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codeName="ThisWorkbook"/>
  <mc:AlternateContent xmlns:mc="http://schemas.openxmlformats.org/markup-compatibility/2006">
    <mc:Choice Requires="x15">
      <x15ac:absPath xmlns:x15ac="http://schemas.microsoft.com/office/spreadsheetml/2010/11/ac" url="C:\_research micro\domestic violence\GBV prevalence  international data\"/>
    </mc:Choice>
  </mc:AlternateContent>
  <xr:revisionPtr revIDLastSave="0" documentId="10_ncr:8100000_{176769E5-018E-42C6-868B-692C297577CC}" xr6:coauthVersionLast="34" xr6:coauthVersionMax="34" xr10:uidLastSave="{00000000-0000-0000-0000-000000000000}"/>
  <bookViews>
    <workbookView xWindow="0" yWindow="5880" windowWidth="19275" windowHeight="6345" tabRatio="749" xr2:uid="{00000000-000D-0000-FFFF-FFFF00000000}"/>
  </bookViews>
  <sheets>
    <sheet name="GBVdata" sheetId="23" r:id="rId1"/>
    <sheet name="GBV data for old map" sheetId="2" r:id="rId2"/>
    <sheet name="data for new map" sheetId="24" r:id="rId3"/>
    <sheet name="attitude to GBV" sheetId="22" r:id="rId4"/>
    <sheet name="jnl appendix" sheetId="26" r:id="rId5"/>
  </sheets>
  <calcPr calcId="162913" calcMode="manual"/>
</workbook>
</file>

<file path=xl/calcChain.xml><?xml version="1.0" encoding="utf-8"?>
<calcChain xmlns="http://schemas.openxmlformats.org/spreadsheetml/2006/main">
  <c r="I17" i="26" l="1"/>
  <c r="CX265" i="23" l="1"/>
  <c r="CX264" i="23"/>
  <c r="CX263" i="23"/>
  <c r="CX262" i="23"/>
  <c r="CX261" i="23"/>
  <c r="CX260" i="23"/>
  <c r="CX259" i="23"/>
  <c r="CX258" i="23"/>
  <c r="CX257" i="23"/>
  <c r="CX256" i="23"/>
  <c r="CX255" i="23"/>
  <c r="CX254" i="23"/>
  <c r="CX253" i="23"/>
  <c r="CX252" i="23"/>
  <c r="CX251" i="23"/>
  <c r="CX250" i="23"/>
  <c r="CX249" i="23"/>
  <c r="CX248" i="23"/>
  <c r="CX247" i="23"/>
  <c r="CX246" i="23"/>
  <c r="CX245" i="23"/>
  <c r="CX244" i="23"/>
  <c r="CX243" i="23"/>
  <c r="CX242" i="23"/>
  <c r="CX241" i="23"/>
  <c r="CX240" i="23"/>
  <c r="CX239" i="23"/>
  <c r="CX238" i="23"/>
  <c r="CX237" i="23"/>
  <c r="CX236" i="23"/>
  <c r="CX235" i="23"/>
  <c r="CX234" i="23"/>
  <c r="CX233" i="23"/>
  <c r="CX232" i="23"/>
  <c r="CX231" i="23"/>
  <c r="CX230" i="23"/>
  <c r="CX229" i="23"/>
  <c r="CX228" i="23"/>
  <c r="CX227" i="23"/>
  <c r="CX226" i="23"/>
  <c r="CX225" i="23"/>
  <c r="CX224" i="23"/>
  <c r="CX223" i="23"/>
  <c r="CX222" i="23"/>
  <c r="CX221" i="23"/>
  <c r="CX220" i="23"/>
  <c r="CX219" i="23"/>
  <c r="CX218" i="23"/>
  <c r="CX217" i="23"/>
  <c r="CX216" i="23"/>
  <c r="CX215" i="23"/>
  <c r="CX214" i="23"/>
  <c r="CX213" i="23"/>
  <c r="CX212" i="23"/>
  <c r="CX211" i="23"/>
  <c r="CX210" i="23"/>
  <c r="CX209" i="23"/>
  <c r="CX208" i="23"/>
  <c r="CX207" i="23"/>
  <c r="CX206" i="23"/>
  <c r="CX205" i="23"/>
  <c r="CX204" i="23"/>
  <c r="CX203" i="23"/>
  <c r="CX202" i="23"/>
  <c r="CX201" i="23"/>
  <c r="CX200" i="23"/>
  <c r="CX199" i="23"/>
  <c r="CX198" i="23"/>
  <c r="CX197" i="23"/>
  <c r="CX196" i="23"/>
  <c r="CX195" i="23"/>
  <c r="CX194" i="23"/>
  <c r="CX193" i="23"/>
  <c r="CX192" i="23"/>
  <c r="CX191" i="23"/>
  <c r="CX190" i="23"/>
  <c r="CX189" i="23"/>
  <c r="CX188" i="23"/>
  <c r="CX187" i="23"/>
  <c r="CX186" i="23"/>
  <c r="CX185" i="23"/>
  <c r="CX184" i="23"/>
  <c r="CX183" i="23"/>
  <c r="CX182" i="23"/>
  <c r="CX181" i="23"/>
  <c r="CX180" i="23"/>
  <c r="CX179" i="23"/>
  <c r="CX178" i="23"/>
  <c r="CX177" i="23"/>
  <c r="CX176" i="23"/>
  <c r="CX175" i="23"/>
  <c r="CX174" i="23"/>
  <c r="CX173" i="23"/>
  <c r="CX172" i="23"/>
  <c r="CX171" i="23"/>
  <c r="CX170" i="23"/>
  <c r="CX169" i="23"/>
  <c r="CX168" i="23"/>
  <c r="CX167" i="23"/>
  <c r="CX166" i="23"/>
  <c r="CX165" i="23"/>
  <c r="CX164" i="23"/>
  <c r="CX163" i="23"/>
  <c r="CX162" i="23"/>
  <c r="CX161" i="23"/>
  <c r="CX160" i="23"/>
  <c r="CX159" i="23"/>
  <c r="CX158" i="23"/>
  <c r="CX157" i="23"/>
  <c r="CX156" i="23"/>
  <c r="CX155" i="23"/>
  <c r="CX154" i="23"/>
  <c r="CX153" i="23"/>
  <c r="CX152" i="23"/>
  <c r="CX151" i="23"/>
  <c r="CX150" i="23"/>
  <c r="CX149" i="23"/>
  <c r="CX148" i="23"/>
  <c r="CX147" i="23"/>
  <c r="CX146" i="23"/>
  <c r="CX145" i="23"/>
  <c r="CX144" i="23"/>
  <c r="CX143" i="23"/>
  <c r="CX142" i="23"/>
  <c r="CX141" i="23"/>
  <c r="CX140" i="23"/>
  <c r="CX139" i="23"/>
  <c r="CX138" i="23"/>
  <c r="CX137" i="23"/>
  <c r="CX136" i="23"/>
  <c r="CX135" i="23"/>
  <c r="CX134" i="23"/>
  <c r="CX133" i="23"/>
  <c r="CX132" i="23"/>
  <c r="CW265" i="23"/>
  <c r="CW264" i="23"/>
  <c r="CW263" i="23"/>
  <c r="CW262" i="23"/>
  <c r="CW261" i="23"/>
  <c r="CW260" i="23"/>
  <c r="CW259" i="23"/>
  <c r="CW258" i="23"/>
  <c r="CW257" i="23"/>
  <c r="CW256" i="23"/>
  <c r="CW255" i="23"/>
  <c r="CW254" i="23"/>
  <c r="CW253" i="23"/>
  <c r="CW252" i="23"/>
  <c r="CW251" i="23"/>
  <c r="CW250" i="23"/>
  <c r="CW249" i="23"/>
  <c r="CW248" i="23"/>
  <c r="CW247" i="23"/>
  <c r="CW246" i="23"/>
  <c r="CW245" i="23"/>
  <c r="CW244" i="23"/>
  <c r="CW243" i="23"/>
  <c r="CW242" i="23"/>
  <c r="CW241" i="23"/>
  <c r="CW240" i="23"/>
  <c r="CW239" i="23"/>
  <c r="CW238" i="23"/>
  <c r="CW237" i="23"/>
  <c r="CW236" i="23"/>
  <c r="CW235" i="23"/>
  <c r="CW234" i="23"/>
  <c r="CW233" i="23"/>
  <c r="CW232" i="23"/>
  <c r="CW231" i="23"/>
  <c r="CW230" i="23"/>
  <c r="CW229" i="23"/>
  <c r="CW228" i="23"/>
  <c r="CW227" i="23"/>
  <c r="CW226" i="23"/>
  <c r="CW225" i="23"/>
  <c r="CW224" i="23"/>
  <c r="CW223" i="23"/>
  <c r="CW222" i="23"/>
  <c r="CW221" i="23"/>
  <c r="CW220" i="23"/>
  <c r="CW219" i="23"/>
  <c r="CW218" i="23"/>
  <c r="CW217" i="23"/>
  <c r="CW216" i="23"/>
  <c r="CW215" i="23"/>
  <c r="CW214" i="23"/>
  <c r="CW213" i="23"/>
  <c r="CW212" i="23"/>
  <c r="CW211" i="23"/>
  <c r="CW210" i="23"/>
  <c r="CW209" i="23"/>
  <c r="CW208" i="23"/>
  <c r="CW207" i="23"/>
  <c r="CW206" i="23"/>
  <c r="CW205" i="23"/>
  <c r="CW204" i="23"/>
  <c r="CW203" i="23"/>
  <c r="CW202" i="23"/>
  <c r="CW201" i="23"/>
  <c r="CW200" i="23"/>
  <c r="CW199" i="23"/>
  <c r="CW198" i="23"/>
  <c r="CW197" i="23"/>
  <c r="CW196" i="23"/>
  <c r="CW195" i="23"/>
  <c r="CW194" i="23"/>
  <c r="CW193" i="23"/>
  <c r="CW192" i="23"/>
  <c r="CW191" i="23"/>
  <c r="CW190" i="23"/>
  <c r="CW189" i="23"/>
  <c r="CW188" i="23"/>
  <c r="CW187" i="23"/>
  <c r="CW186" i="23"/>
  <c r="CW185" i="23"/>
  <c r="CW184" i="23"/>
  <c r="CW183" i="23"/>
  <c r="CW182" i="23"/>
  <c r="CW181" i="23"/>
  <c r="CW180" i="23"/>
  <c r="CW179" i="23"/>
  <c r="CW178" i="23"/>
  <c r="CW177" i="23"/>
  <c r="CW176" i="23"/>
  <c r="CW175" i="23"/>
  <c r="CW174" i="23"/>
  <c r="CW173" i="23"/>
  <c r="CW172" i="23"/>
  <c r="CW171" i="23"/>
  <c r="CW170" i="23"/>
  <c r="CW169" i="23"/>
  <c r="CW168" i="23"/>
  <c r="CW167" i="23"/>
  <c r="CW166" i="23"/>
  <c r="CW165" i="23"/>
  <c r="CW164" i="23"/>
  <c r="CW163" i="23"/>
  <c r="CW162" i="23"/>
  <c r="CW161" i="23"/>
  <c r="CW160" i="23"/>
  <c r="CW159" i="23"/>
  <c r="CW158" i="23"/>
  <c r="CW157" i="23"/>
  <c r="CW156" i="23"/>
  <c r="CW155" i="23"/>
  <c r="CW154" i="23"/>
  <c r="CW153" i="23"/>
  <c r="CW152" i="23"/>
  <c r="CW151" i="23"/>
  <c r="CW150" i="23"/>
  <c r="CW149" i="23"/>
  <c r="CW148" i="23"/>
  <c r="CW147" i="23"/>
  <c r="CW146" i="23"/>
  <c r="CW145" i="23"/>
  <c r="CW144" i="23"/>
  <c r="CW143" i="23"/>
  <c r="CW142" i="23"/>
  <c r="CW141" i="23"/>
  <c r="CW140" i="23"/>
  <c r="CW139" i="23"/>
  <c r="CW138" i="23"/>
  <c r="CW137" i="23"/>
  <c r="CW136" i="23"/>
  <c r="CW135" i="23"/>
  <c r="CW134" i="23"/>
  <c r="CW133" i="23"/>
  <c r="CW132" i="23"/>
  <c r="CU265" i="23"/>
  <c r="CU264" i="23"/>
  <c r="CU263" i="23"/>
  <c r="CU262" i="23"/>
  <c r="CU261" i="23"/>
  <c r="CU260" i="23"/>
  <c r="CU259" i="23"/>
  <c r="CU258" i="23"/>
  <c r="CU257" i="23"/>
  <c r="CU256" i="23"/>
  <c r="CU255" i="23"/>
  <c r="CU254" i="23"/>
  <c r="CU253" i="23"/>
  <c r="CU252" i="23"/>
  <c r="CU251" i="23"/>
  <c r="CU250" i="23"/>
  <c r="CU249" i="23"/>
  <c r="CU248" i="23"/>
  <c r="CU247" i="23"/>
  <c r="CU246" i="23"/>
  <c r="CU245" i="23"/>
  <c r="CU244" i="23"/>
  <c r="CU243" i="23"/>
  <c r="CU242" i="23"/>
  <c r="CU241" i="23"/>
  <c r="CU240" i="23"/>
  <c r="CU239" i="23"/>
  <c r="CU238" i="23"/>
  <c r="CU237" i="23"/>
  <c r="CU236" i="23"/>
  <c r="CU235" i="23"/>
  <c r="CU234" i="23"/>
  <c r="CU233" i="23"/>
  <c r="CU232" i="23"/>
  <c r="CU231" i="23"/>
  <c r="CU230" i="23"/>
  <c r="CU229" i="23"/>
  <c r="CU228" i="23"/>
  <c r="CU227" i="23"/>
  <c r="CU226" i="23"/>
  <c r="CU225" i="23"/>
  <c r="CU224" i="23"/>
  <c r="CU223" i="23"/>
  <c r="CU222" i="23"/>
  <c r="CU221" i="23"/>
  <c r="CU220" i="23"/>
  <c r="CU219" i="23"/>
  <c r="CU218" i="23"/>
  <c r="CU217" i="23"/>
  <c r="CU216" i="23"/>
  <c r="CU215" i="23"/>
  <c r="CU214" i="23"/>
  <c r="CU213" i="23"/>
  <c r="CU212" i="23"/>
  <c r="CU211" i="23"/>
  <c r="CU210" i="23"/>
  <c r="CU209" i="23"/>
  <c r="CU208" i="23"/>
  <c r="CU207" i="23"/>
  <c r="CU206" i="23"/>
  <c r="CU205" i="23"/>
  <c r="CU204" i="23"/>
  <c r="CU203" i="23"/>
  <c r="CU202" i="23"/>
  <c r="CU201" i="23"/>
  <c r="CU200" i="23"/>
  <c r="CU199" i="23"/>
  <c r="CU198" i="23"/>
  <c r="CU197" i="23"/>
  <c r="CU196" i="23"/>
  <c r="CU195" i="23"/>
  <c r="CU194" i="23"/>
  <c r="CU193" i="23"/>
  <c r="CU192" i="23"/>
  <c r="CU191" i="23"/>
  <c r="CU190" i="23"/>
  <c r="CU189" i="23"/>
  <c r="CU188" i="23"/>
  <c r="CU187" i="23"/>
  <c r="CU186" i="23"/>
  <c r="CU185" i="23"/>
  <c r="CU184" i="23"/>
  <c r="CU183" i="23"/>
  <c r="CU182" i="23"/>
  <c r="CU181" i="23"/>
  <c r="CU180" i="23"/>
  <c r="CU179" i="23"/>
  <c r="CU178" i="23"/>
  <c r="CU177" i="23"/>
  <c r="CU176" i="23"/>
  <c r="CU175" i="23"/>
  <c r="CU174" i="23"/>
  <c r="CU173" i="23"/>
  <c r="CU172" i="23"/>
  <c r="CU171" i="23"/>
  <c r="CU170" i="23"/>
  <c r="CU169" i="23"/>
  <c r="CU168" i="23"/>
  <c r="CU167" i="23"/>
  <c r="CU166" i="23"/>
  <c r="CU165" i="23"/>
  <c r="CU164" i="23"/>
  <c r="CU163" i="23"/>
  <c r="CU162" i="23"/>
  <c r="CU161" i="23"/>
  <c r="CU160" i="23"/>
  <c r="CU159" i="23"/>
  <c r="CU158" i="23"/>
  <c r="CU157" i="23"/>
  <c r="CU156" i="23"/>
  <c r="CU155" i="23"/>
  <c r="CU154" i="23"/>
  <c r="CU153" i="23"/>
  <c r="CU152" i="23"/>
  <c r="CU151" i="23"/>
  <c r="CU150" i="23"/>
  <c r="CU149" i="23"/>
  <c r="CU148" i="23"/>
  <c r="CU147" i="23"/>
  <c r="CU146" i="23"/>
  <c r="CU145" i="23"/>
  <c r="CU144" i="23"/>
  <c r="CU143" i="23"/>
  <c r="CU142" i="23"/>
  <c r="CU141" i="23"/>
  <c r="CU140" i="23"/>
  <c r="CU139" i="23"/>
  <c r="CU138" i="23"/>
  <c r="CU137" i="23"/>
  <c r="CU136" i="23"/>
  <c r="CU135" i="23"/>
  <c r="CU134" i="23"/>
  <c r="CU133" i="23"/>
  <c r="CU132" i="23"/>
  <c r="CT265" i="23"/>
  <c r="CT264" i="23"/>
  <c r="CT262" i="23"/>
  <c r="CT261" i="23"/>
  <c r="CT260" i="23"/>
  <c r="CT259" i="23"/>
  <c r="CT257" i="23"/>
  <c r="CT256" i="23"/>
  <c r="CT255" i="23"/>
  <c r="CT254" i="23"/>
  <c r="CT252" i="23"/>
  <c r="CT251" i="23"/>
  <c r="CT249" i="23"/>
  <c r="CT247" i="23"/>
  <c r="CT245" i="23"/>
  <c r="CT242" i="23"/>
  <c r="CT241" i="23"/>
  <c r="CT240" i="23"/>
  <c r="CT239" i="23"/>
  <c r="CT238" i="23"/>
  <c r="CT237" i="23"/>
  <c r="CT236" i="23"/>
  <c r="CT235" i="23"/>
  <c r="CT234" i="23"/>
  <c r="CT233" i="23"/>
  <c r="CT232" i="23"/>
  <c r="CT231" i="23"/>
  <c r="CT230" i="23"/>
  <c r="CT228" i="23"/>
  <c r="CT227" i="23"/>
  <c r="CT226" i="23"/>
  <c r="CT225" i="23"/>
  <c r="CT224" i="23"/>
  <c r="CT223" i="23"/>
  <c r="CT222" i="23"/>
  <c r="CT221" i="23"/>
  <c r="CT220" i="23"/>
  <c r="CT218" i="23"/>
  <c r="CT216" i="23"/>
  <c r="CT215" i="23"/>
  <c r="CT214" i="23"/>
  <c r="CT213" i="23"/>
  <c r="CT212" i="23"/>
  <c r="CT211" i="23"/>
  <c r="CT210" i="23"/>
  <c r="CT206" i="23"/>
  <c r="CT205" i="23"/>
  <c r="CT204" i="23"/>
  <c r="CT203" i="23"/>
  <c r="CT202" i="23"/>
  <c r="CT201" i="23"/>
  <c r="CT200" i="23"/>
  <c r="CT199" i="23"/>
  <c r="CT198" i="23"/>
  <c r="CT197" i="23"/>
  <c r="CT195" i="23"/>
  <c r="CT193" i="23"/>
  <c r="CT192" i="23"/>
  <c r="CT189" i="23"/>
  <c r="CT188" i="23"/>
  <c r="CT187" i="23"/>
  <c r="CT185" i="23"/>
  <c r="CT184" i="23"/>
  <c r="CT183" i="23"/>
  <c r="CT181" i="23"/>
  <c r="CT180" i="23"/>
  <c r="CT179" i="23"/>
  <c r="CT178" i="23"/>
  <c r="CT177" i="23"/>
  <c r="CT176" i="23"/>
  <c r="CT174" i="23"/>
  <c r="CT173" i="23"/>
  <c r="CT169" i="23"/>
  <c r="CT168" i="23"/>
  <c r="CT167" i="23"/>
  <c r="CT164" i="23"/>
  <c r="CT162" i="23"/>
  <c r="CT161" i="23"/>
  <c r="CT160" i="23"/>
  <c r="CT159" i="23"/>
  <c r="CT158" i="23"/>
  <c r="CT156" i="23"/>
  <c r="CT155" i="23"/>
  <c r="CT152" i="23"/>
  <c r="CT151" i="23"/>
  <c r="CT150" i="23"/>
  <c r="CT149" i="23"/>
  <c r="CT148" i="23"/>
  <c r="CT147" i="23"/>
  <c r="CT146" i="23"/>
  <c r="CT144" i="23"/>
  <c r="CT139" i="23"/>
  <c r="CT138" i="23"/>
  <c r="CT137" i="23"/>
  <c r="CT134" i="23"/>
  <c r="CT133" i="23"/>
  <c r="CT132" i="23"/>
  <c r="CR265" i="23" l="1"/>
  <c r="CR264" i="23"/>
  <c r="CR263" i="23"/>
  <c r="CR262" i="23"/>
  <c r="CR261" i="23"/>
  <c r="CR260" i="23"/>
  <c r="CR259" i="23"/>
  <c r="CR258" i="23"/>
  <c r="CR257" i="23"/>
  <c r="CR256" i="23"/>
  <c r="CR255" i="23"/>
  <c r="CR254" i="23"/>
  <c r="CR253" i="23"/>
  <c r="CR252" i="23"/>
  <c r="CR251" i="23"/>
  <c r="CR250" i="23"/>
  <c r="CR249" i="23"/>
  <c r="CR248" i="23"/>
  <c r="CR247" i="23"/>
  <c r="CR246" i="23"/>
  <c r="CR245" i="23"/>
  <c r="CR244" i="23"/>
  <c r="CR243" i="23"/>
  <c r="CR242" i="23"/>
  <c r="CR241" i="23"/>
  <c r="CR240" i="23"/>
  <c r="CR239" i="23"/>
  <c r="CR238" i="23"/>
  <c r="CR237" i="23"/>
  <c r="CR236" i="23"/>
  <c r="CR235" i="23"/>
  <c r="CR234" i="23"/>
  <c r="CR233" i="23"/>
  <c r="CR232" i="23"/>
  <c r="CR231" i="23"/>
  <c r="CR230" i="23"/>
  <c r="CR229" i="23"/>
  <c r="CR228" i="23"/>
  <c r="CR227" i="23"/>
  <c r="CR226" i="23"/>
  <c r="CR225" i="23"/>
  <c r="CR224" i="23"/>
  <c r="CR223" i="23"/>
  <c r="CR222" i="23"/>
  <c r="CR221" i="23"/>
  <c r="CR220" i="23"/>
  <c r="CR219" i="23"/>
  <c r="CR218" i="23"/>
  <c r="CR217" i="23"/>
  <c r="CR216" i="23"/>
  <c r="CR215" i="23"/>
  <c r="CR214" i="23"/>
  <c r="CR213" i="23"/>
  <c r="CR212" i="23"/>
  <c r="CR211" i="23"/>
  <c r="CR210" i="23"/>
  <c r="CR209" i="23"/>
  <c r="CR208" i="23"/>
  <c r="CR207" i="23"/>
  <c r="CR206" i="23"/>
  <c r="CR205" i="23"/>
  <c r="CR204" i="23"/>
  <c r="CR203" i="23"/>
  <c r="CR202" i="23"/>
  <c r="CR201" i="23"/>
  <c r="CR200" i="23"/>
  <c r="CR199" i="23"/>
  <c r="CR198" i="23"/>
  <c r="CR197" i="23"/>
  <c r="CR196" i="23"/>
  <c r="CR195" i="23"/>
  <c r="CR194" i="23"/>
  <c r="CR193" i="23"/>
  <c r="CR192" i="23"/>
  <c r="CR191" i="23"/>
  <c r="CR190" i="23"/>
  <c r="CR189" i="23"/>
  <c r="CR188" i="23"/>
  <c r="CR187" i="23"/>
  <c r="CR186" i="23"/>
  <c r="CR185" i="23"/>
  <c r="CR184" i="23"/>
  <c r="CR183" i="23"/>
  <c r="CR182" i="23"/>
  <c r="CR181" i="23"/>
  <c r="CR180" i="23"/>
  <c r="CR179" i="23"/>
  <c r="CR178" i="23"/>
  <c r="CR177" i="23"/>
  <c r="CR176" i="23"/>
  <c r="CR175" i="23"/>
  <c r="CR174" i="23"/>
  <c r="CR173" i="23"/>
  <c r="CR172" i="23"/>
  <c r="CR171" i="23"/>
  <c r="CR170" i="23"/>
  <c r="CR169" i="23"/>
  <c r="CR168" i="23"/>
  <c r="CR167" i="23"/>
  <c r="CR166" i="23"/>
  <c r="CR165" i="23"/>
  <c r="CR164" i="23"/>
  <c r="CR163" i="23"/>
  <c r="CR162" i="23"/>
  <c r="CR161" i="23"/>
  <c r="CR160" i="23"/>
  <c r="CR159" i="23"/>
  <c r="CR158" i="23"/>
  <c r="CR157" i="23"/>
  <c r="CR156" i="23"/>
  <c r="CR155" i="23"/>
  <c r="CR154" i="23"/>
  <c r="CR153" i="23"/>
  <c r="CR152" i="23"/>
  <c r="CR150" i="23"/>
  <c r="CR149" i="23"/>
  <c r="CR148" i="23"/>
  <c r="CR147" i="23"/>
  <c r="CR146" i="23"/>
  <c r="CR145" i="23"/>
  <c r="CR144" i="23"/>
  <c r="CR143" i="23"/>
  <c r="CR142" i="23"/>
  <c r="CR141" i="23"/>
  <c r="CR140" i="23"/>
  <c r="CR139" i="23"/>
  <c r="CR138" i="23"/>
  <c r="CR137" i="23"/>
  <c r="CR136" i="23"/>
  <c r="CR135" i="23"/>
  <c r="CR134" i="23"/>
  <c r="CR133" i="23"/>
  <c r="CR132" i="23"/>
  <c r="CS265" i="23"/>
  <c r="CS264" i="23"/>
  <c r="CS263" i="23"/>
  <c r="CS262" i="23"/>
  <c r="CS261" i="23"/>
  <c r="CS260" i="23"/>
  <c r="CS259" i="23"/>
  <c r="CS258" i="23"/>
  <c r="CS257" i="23"/>
  <c r="CS256" i="23"/>
  <c r="CS255" i="23"/>
  <c r="CS254" i="23"/>
  <c r="CS253" i="23"/>
  <c r="CS252" i="23"/>
  <c r="CS251" i="23"/>
  <c r="CS250" i="23"/>
  <c r="CS249" i="23"/>
  <c r="CS248" i="23"/>
  <c r="CS247" i="23"/>
  <c r="CS246" i="23"/>
  <c r="CS245" i="23"/>
  <c r="CS244" i="23"/>
  <c r="CS243" i="23"/>
  <c r="CS242" i="23"/>
  <c r="CS241" i="23"/>
  <c r="CS240" i="23"/>
  <c r="CS239" i="23"/>
  <c r="CS238" i="23"/>
  <c r="CS237" i="23"/>
  <c r="CS236" i="23"/>
  <c r="CS235" i="23"/>
  <c r="CS234" i="23"/>
  <c r="CS233" i="23"/>
  <c r="CS232" i="23"/>
  <c r="CS231" i="23"/>
  <c r="CS230" i="23"/>
  <c r="CS229" i="23"/>
  <c r="CS228" i="23"/>
  <c r="CS227" i="23"/>
  <c r="CS226" i="23"/>
  <c r="CS225" i="23"/>
  <c r="CS224" i="23"/>
  <c r="CS223" i="23"/>
  <c r="CS222" i="23"/>
  <c r="CS221" i="23"/>
  <c r="CS220" i="23"/>
  <c r="CS219" i="23"/>
  <c r="CS218" i="23"/>
  <c r="CS217" i="23"/>
  <c r="CS216" i="23"/>
  <c r="CS215" i="23"/>
  <c r="CS214" i="23"/>
  <c r="CS213" i="23"/>
  <c r="CS212" i="23"/>
  <c r="CS211" i="23"/>
  <c r="CS210" i="23"/>
  <c r="CS209" i="23"/>
  <c r="CS208" i="23"/>
  <c r="CS207" i="23"/>
  <c r="CS206" i="23"/>
  <c r="CS205" i="23"/>
  <c r="CS204" i="23"/>
  <c r="CS203" i="23"/>
  <c r="CS202" i="23"/>
  <c r="CS201" i="23"/>
  <c r="CS200" i="23"/>
  <c r="CS199" i="23"/>
  <c r="CS198" i="23"/>
  <c r="CS197" i="23"/>
  <c r="CS196" i="23"/>
  <c r="CS195" i="23"/>
  <c r="CS194" i="23"/>
  <c r="CS193" i="23"/>
  <c r="CS192" i="23"/>
  <c r="CS191" i="23"/>
  <c r="CS190" i="23"/>
  <c r="CS189" i="23"/>
  <c r="CS188" i="23"/>
  <c r="CS187" i="23"/>
  <c r="CS186" i="23"/>
  <c r="CS185" i="23"/>
  <c r="CS184" i="23"/>
  <c r="CS183" i="23"/>
  <c r="CS182" i="23"/>
  <c r="CS181" i="23"/>
  <c r="CS180" i="23"/>
  <c r="CS179" i="23"/>
  <c r="CS178" i="23"/>
  <c r="CS177" i="23"/>
  <c r="CS176" i="23"/>
  <c r="CS175" i="23"/>
  <c r="CS174" i="23"/>
  <c r="CS173" i="23"/>
  <c r="CS172" i="23"/>
  <c r="CS171" i="23"/>
  <c r="CS170" i="23"/>
  <c r="CS169" i="23"/>
  <c r="CS168" i="23"/>
  <c r="CS167" i="23"/>
  <c r="CS166" i="23"/>
  <c r="CS165" i="23"/>
  <c r="CS164" i="23"/>
  <c r="CS163" i="23"/>
  <c r="CS162" i="23"/>
  <c r="CS161" i="23"/>
  <c r="CS160" i="23"/>
  <c r="CS159" i="23"/>
  <c r="CS158" i="23"/>
  <c r="CS157" i="23"/>
  <c r="CS156" i="23"/>
  <c r="CS155" i="23"/>
  <c r="CS154" i="23"/>
  <c r="CS153" i="23"/>
  <c r="CS152" i="23"/>
  <c r="CS151" i="23"/>
  <c r="CS150" i="23"/>
  <c r="CS149" i="23"/>
  <c r="CS148" i="23"/>
  <c r="CS147" i="23"/>
  <c r="CS146" i="23"/>
  <c r="CS145" i="23"/>
  <c r="CS144" i="23"/>
  <c r="CS143" i="23"/>
  <c r="CS142" i="23"/>
  <c r="CS141" i="23"/>
  <c r="CS140" i="23"/>
  <c r="CS139" i="23"/>
  <c r="CS138" i="23"/>
  <c r="CS137" i="23"/>
  <c r="CS136" i="23"/>
  <c r="CS135" i="23"/>
  <c r="CS134" i="23"/>
  <c r="CS133" i="23"/>
  <c r="CS132" i="23"/>
  <c r="DA265" i="23"/>
  <c r="CZ265" i="23"/>
  <c r="CY265" i="23"/>
  <c r="CV265" i="23"/>
  <c r="DA264" i="23"/>
  <c r="CZ264" i="23"/>
  <c r="CY264" i="23"/>
  <c r="CV264" i="23"/>
  <c r="DA263" i="23"/>
  <c r="CZ263" i="23"/>
  <c r="CY263" i="23"/>
  <c r="CV263" i="23"/>
  <c r="DA262" i="23"/>
  <c r="CZ262" i="23"/>
  <c r="CY262" i="23"/>
  <c r="CV262" i="23"/>
  <c r="DA261" i="23"/>
  <c r="CZ261" i="23"/>
  <c r="CY261" i="23"/>
  <c r="CV261" i="23"/>
  <c r="DA260" i="23"/>
  <c r="CZ260" i="23"/>
  <c r="CY260" i="23"/>
  <c r="CV260" i="23"/>
  <c r="DA259" i="23"/>
  <c r="CZ259" i="23"/>
  <c r="CY259" i="23"/>
  <c r="CV259" i="23"/>
  <c r="DA258" i="23"/>
  <c r="CZ258" i="23"/>
  <c r="CY258" i="23"/>
  <c r="CV258" i="23"/>
  <c r="DA257" i="23"/>
  <c r="CZ257" i="23"/>
  <c r="CY257" i="23"/>
  <c r="CV257" i="23"/>
  <c r="DA256" i="23"/>
  <c r="CZ256" i="23"/>
  <c r="CY256" i="23"/>
  <c r="CV256" i="23"/>
  <c r="DA255" i="23"/>
  <c r="CZ255" i="23"/>
  <c r="CY255" i="23"/>
  <c r="CV255" i="23"/>
  <c r="DA254" i="23"/>
  <c r="CZ254" i="23"/>
  <c r="CY254" i="23"/>
  <c r="CV254" i="23"/>
  <c r="DA253" i="23"/>
  <c r="CZ253" i="23"/>
  <c r="CY253" i="23"/>
  <c r="CV253" i="23"/>
  <c r="DA252" i="23"/>
  <c r="CZ252" i="23"/>
  <c r="CY252" i="23"/>
  <c r="CV252" i="23"/>
  <c r="DA251" i="23"/>
  <c r="CZ251" i="23"/>
  <c r="CY251" i="23"/>
  <c r="CV251" i="23"/>
  <c r="DA250" i="23"/>
  <c r="CZ250" i="23"/>
  <c r="CY250" i="23"/>
  <c r="CV250" i="23"/>
  <c r="DA249" i="23"/>
  <c r="CZ249" i="23"/>
  <c r="CY249" i="23"/>
  <c r="CV249" i="23"/>
  <c r="DA248" i="23"/>
  <c r="CZ248" i="23"/>
  <c r="CY248" i="23"/>
  <c r="CV248" i="23"/>
  <c r="DA247" i="23"/>
  <c r="CZ247" i="23"/>
  <c r="CY247" i="23"/>
  <c r="CV247" i="23"/>
  <c r="DA246" i="23"/>
  <c r="CZ246" i="23"/>
  <c r="CY246" i="23"/>
  <c r="CV246" i="23"/>
  <c r="DA245" i="23"/>
  <c r="CZ245" i="23"/>
  <c r="CY245" i="23"/>
  <c r="CV245" i="23"/>
  <c r="DA244" i="23"/>
  <c r="CZ244" i="23"/>
  <c r="CY244" i="23"/>
  <c r="CV244" i="23"/>
  <c r="DA243" i="23"/>
  <c r="CZ243" i="23"/>
  <c r="CY243" i="23"/>
  <c r="CV243" i="23"/>
  <c r="DA242" i="23"/>
  <c r="CZ242" i="23"/>
  <c r="CY242" i="23"/>
  <c r="CV242" i="23"/>
  <c r="DA241" i="23"/>
  <c r="CZ241" i="23"/>
  <c r="CY241" i="23"/>
  <c r="CV241" i="23"/>
  <c r="DA240" i="23"/>
  <c r="CZ240" i="23"/>
  <c r="CY240" i="23"/>
  <c r="CV240" i="23"/>
  <c r="DA239" i="23"/>
  <c r="CZ239" i="23"/>
  <c r="CY239" i="23"/>
  <c r="CV239" i="23"/>
  <c r="DA238" i="23"/>
  <c r="CZ238" i="23"/>
  <c r="CY238" i="23"/>
  <c r="CV238" i="23"/>
  <c r="DA237" i="23"/>
  <c r="CY237" i="23"/>
  <c r="CV237" i="23"/>
  <c r="DA236" i="23"/>
  <c r="CZ236" i="23"/>
  <c r="CY236" i="23"/>
  <c r="CV236" i="23"/>
  <c r="DA235" i="23"/>
  <c r="CZ235" i="23"/>
  <c r="CY235" i="23"/>
  <c r="CV235" i="23"/>
  <c r="DA234" i="23"/>
  <c r="CZ234" i="23"/>
  <c r="CY234" i="23"/>
  <c r="CV234" i="23"/>
  <c r="DA233" i="23"/>
  <c r="CZ233" i="23"/>
  <c r="CY233" i="23"/>
  <c r="CV233" i="23"/>
  <c r="DA232" i="23"/>
  <c r="CZ232" i="23"/>
  <c r="CY232" i="23"/>
  <c r="CV232" i="23"/>
  <c r="DA231" i="23"/>
  <c r="CZ231" i="23"/>
  <c r="CY231" i="23"/>
  <c r="CV231" i="23"/>
  <c r="DA230" i="23"/>
  <c r="CZ230" i="23"/>
  <c r="CY230" i="23"/>
  <c r="CV230" i="23"/>
  <c r="DA229" i="23"/>
  <c r="CZ229" i="23"/>
  <c r="CY229" i="23"/>
  <c r="CV229" i="23"/>
  <c r="DA228" i="23"/>
  <c r="CZ228" i="23"/>
  <c r="CY228" i="23"/>
  <c r="CV228" i="23"/>
  <c r="DA227" i="23"/>
  <c r="CZ227" i="23"/>
  <c r="CY227" i="23"/>
  <c r="CV227" i="23"/>
  <c r="DA226" i="23"/>
  <c r="CZ226" i="23"/>
  <c r="CY226" i="23"/>
  <c r="CV226" i="23"/>
  <c r="DA225" i="23"/>
  <c r="CZ225" i="23"/>
  <c r="CY225" i="23"/>
  <c r="CV225" i="23"/>
  <c r="DA224" i="23"/>
  <c r="CY224" i="23"/>
  <c r="CV224" i="23"/>
  <c r="DA223" i="23"/>
  <c r="CZ223" i="23"/>
  <c r="CY223" i="23"/>
  <c r="CV223" i="23"/>
  <c r="DA222" i="23"/>
  <c r="CZ222" i="23"/>
  <c r="CY222" i="23"/>
  <c r="CV222" i="23"/>
  <c r="DA221" i="23"/>
  <c r="CZ221" i="23"/>
  <c r="CY221" i="23"/>
  <c r="CV221" i="23"/>
  <c r="DA220" i="23"/>
  <c r="CZ220" i="23"/>
  <c r="CY220" i="23"/>
  <c r="CV220" i="23"/>
  <c r="DA219" i="23"/>
  <c r="CZ219" i="23"/>
  <c r="CY219" i="23"/>
  <c r="CV219" i="23"/>
  <c r="DA218" i="23"/>
  <c r="CZ218" i="23"/>
  <c r="CY218" i="23"/>
  <c r="CV218" i="23"/>
  <c r="DA217" i="23"/>
  <c r="CZ217" i="23"/>
  <c r="CY217" i="23"/>
  <c r="CV217" i="23"/>
  <c r="DA216" i="23"/>
  <c r="CZ216" i="23"/>
  <c r="CY216" i="23"/>
  <c r="CV216" i="23"/>
  <c r="DA215" i="23"/>
  <c r="CZ215" i="23"/>
  <c r="CY215" i="23"/>
  <c r="CV215" i="23"/>
  <c r="DA214" i="23"/>
  <c r="CZ214" i="23"/>
  <c r="CY214" i="23"/>
  <c r="CV214" i="23"/>
  <c r="DA213" i="23"/>
  <c r="CZ213" i="23"/>
  <c r="CY213" i="23"/>
  <c r="CV213" i="23"/>
  <c r="DA212" i="23"/>
  <c r="CZ212" i="23"/>
  <c r="CY212" i="23"/>
  <c r="CV212" i="23"/>
  <c r="DA211" i="23"/>
  <c r="CZ211" i="23"/>
  <c r="CY211" i="23"/>
  <c r="CV211" i="23"/>
  <c r="DA210" i="23"/>
  <c r="CZ210" i="23"/>
  <c r="CY210" i="23"/>
  <c r="CV210" i="23"/>
  <c r="DA209" i="23"/>
  <c r="CZ209" i="23"/>
  <c r="CY209" i="23"/>
  <c r="CV209" i="23"/>
  <c r="DA208" i="23"/>
  <c r="CZ208" i="23"/>
  <c r="CY208" i="23"/>
  <c r="CV208" i="23"/>
  <c r="DA207" i="23"/>
  <c r="CZ207" i="23"/>
  <c r="CY207" i="23"/>
  <c r="CV207" i="23"/>
  <c r="DA206" i="23"/>
  <c r="CZ206" i="23"/>
  <c r="CY206" i="23"/>
  <c r="CV206" i="23"/>
  <c r="DA205" i="23"/>
  <c r="CZ205" i="23"/>
  <c r="CY205" i="23"/>
  <c r="CV205" i="23"/>
  <c r="DA204" i="23"/>
  <c r="CZ204" i="23"/>
  <c r="CY204" i="23"/>
  <c r="CV204" i="23"/>
  <c r="DA203" i="23"/>
  <c r="CZ203" i="23"/>
  <c r="CY203" i="23"/>
  <c r="CV203" i="23"/>
  <c r="DA202" i="23"/>
  <c r="CZ202" i="23"/>
  <c r="CY202" i="23"/>
  <c r="CV202" i="23"/>
  <c r="DA201" i="23"/>
  <c r="CZ201" i="23"/>
  <c r="CY201" i="23"/>
  <c r="CV201" i="23"/>
  <c r="DA200" i="23"/>
  <c r="CY200" i="23"/>
  <c r="CV200" i="23"/>
  <c r="DA199" i="23"/>
  <c r="CZ199" i="23"/>
  <c r="CY199" i="23"/>
  <c r="CV199" i="23"/>
  <c r="DA198" i="23"/>
  <c r="CZ198" i="23"/>
  <c r="CY198" i="23"/>
  <c r="CV198" i="23"/>
  <c r="DA197" i="23"/>
  <c r="CZ197" i="23"/>
  <c r="CY197" i="23"/>
  <c r="CV197" i="23"/>
  <c r="DA196" i="23"/>
  <c r="CZ196" i="23"/>
  <c r="CY196" i="23"/>
  <c r="CV196" i="23"/>
  <c r="DA195" i="23"/>
  <c r="CZ195" i="23"/>
  <c r="CY195" i="23"/>
  <c r="CV195" i="23"/>
  <c r="DA194" i="23"/>
  <c r="CY194" i="23"/>
  <c r="CV194" i="23"/>
  <c r="DA193" i="23"/>
  <c r="CZ193" i="23"/>
  <c r="CY193" i="23"/>
  <c r="CV193" i="23"/>
  <c r="DA192" i="23"/>
  <c r="CZ192" i="23"/>
  <c r="CY192" i="23"/>
  <c r="CV192" i="23"/>
  <c r="DA191" i="23"/>
  <c r="CZ191" i="23"/>
  <c r="CY191" i="23"/>
  <c r="CV191" i="23"/>
  <c r="DA190" i="23"/>
  <c r="CZ190" i="23"/>
  <c r="CY190" i="23"/>
  <c r="CV190" i="23"/>
  <c r="DA189" i="23"/>
  <c r="CZ189" i="23"/>
  <c r="CY189" i="23"/>
  <c r="CV189" i="23"/>
  <c r="DA188" i="23"/>
  <c r="CZ188" i="23"/>
  <c r="CY188" i="23"/>
  <c r="CV188" i="23"/>
  <c r="DA187" i="23"/>
  <c r="CY187" i="23"/>
  <c r="CV187" i="23"/>
  <c r="DA186" i="23"/>
  <c r="CZ186" i="23"/>
  <c r="CY186" i="23"/>
  <c r="CV186" i="23"/>
  <c r="DA185" i="23"/>
  <c r="CZ185" i="23"/>
  <c r="CY185" i="23"/>
  <c r="CV185" i="23"/>
  <c r="DA184" i="23"/>
  <c r="CZ184" i="23"/>
  <c r="CY184" i="23"/>
  <c r="CV184" i="23"/>
  <c r="DA183" i="23"/>
  <c r="CZ183" i="23"/>
  <c r="CY183" i="23"/>
  <c r="CV183" i="23"/>
  <c r="DA182" i="23"/>
  <c r="CZ182" i="23"/>
  <c r="CY182" i="23"/>
  <c r="CV182" i="23"/>
  <c r="DA181" i="23"/>
  <c r="CZ181" i="23"/>
  <c r="CY181" i="23"/>
  <c r="CV181" i="23"/>
  <c r="DA180" i="23"/>
  <c r="CZ180" i="23"/>
  <c r="CY180" i="23"/>
  <c r="CV180" i="23"/>
  <c r="DA179" i="23"/>
  <c r="CZ179" i="23"/>
  <c r="CY179" i="23"/>
  <c r="CV179" i="23"/>
  <c r="DA178" i="23"/>
  <c r="CZ178" i="23"/>
  <c r="CY178" i="23"/>
  <c r="CV178" i="23"/>
  <c r="DA177" i="23"/>
  <c r="CZ177" i="23"/>
  <c r="CY177" i="23"/>
  <c r="CV177" i="23"/>
  <c r="DA176" i="23"/>
  <c r="CZ176" i="23"/>
  <c r="CY176" i="23"/>
  <c r="CV176" i="23"/>
  <c r="DA175" i="23"/>
  <c r="CZ175" i="23"/>
  <c r="CY175" i="23"/>
  <c r="CV175" i="23"/>
  <c r="DA174" i="23"/>
  <c r="CZ174" i="23"/>
  <c r="CY174" i="23"/>
  <c r="CV174" i="23"/>
  <c r="DA173" i="23"/>
  <c r="CZ173" i="23"/>
  <c r="CY173" i="23"/>
  <c r="CV173" i="23"/>
  <c r="DA172" i="23"/>
  <c r="CZ172" i="23"/>
  <c r="CY172" i="23"/>
  <c r="CV172" i="23"/>
  <c r="DA171" i="23"/>
  <c r="CZ171" i="23"/>
  <c r="CY171" i="23"/>
  <c r="CV171" i="23"/>
  <c r="DA170" i="23"/>
  <c r="CZ170" i="23"/>
  <c r="CY170" i="23"/>
  <c r="CV170" i="23"/>
  <c r="DA169" i="23"/>
  <c r="CZ169" i="23"/>
  <c r="CY169" i="23"/>
  <c r="CV169" i="23"/>
  <c r="DA168" i="23"/>
  <c r="CZ168" i="23"/>
  <c r="CY168" i="23"/>
  <c r="CV168" i="23"/>
  <c r="DA167" i="23"/>
  <c r="CZ167" i="23"/>
  <c r="CY167" i="23"/>
  <c r="CV167" i="23"/>
  <c r="DA166" i="23"/>
  <c r="CZ166" i="23"/>
  <c r="CY166" i="23"/>
  <c r="CV166" i="23"/>
  <c r="DA165" i="23"/>
  <c r="CZ165" i="23"/>
  <c r="CY165" i="23"/>
  <c r="CV165" i="23"/>
  <c r="DA164" i="23"/>
  <c r="CZ164" i="23"/>
  <c r="CY164" i="23"/>
  <c r="CV164" i="23"/>
  <c r="DA163" i="23"/>
  <c r="CZ163" i="23"/>
  <c r="CY163" i="23"/>
  <c r="CV163" i="23"/>
  <c r="DA162" i="23"/>
  <c r="CZ162" i="23"/>
  <c r="CY162" i="23"/>
  <c r="CV162" i="23"/>
  <c r="DA161" i="23"/>
  <c r="CZ161" i="23"/>
  <c r="CY161" i="23"/>
  <c r="CV161" i="23"/>
  <c r="DA160" i="23"/>
  <c r="CZ160" i="23"/>
  <c r="CY160" i="23"/>
  <c r="CV160" i="23"/>
  <c r="DA159" i="23"/>
  <c r="CZ159" i="23"/>
  <c r="CY159" i="23"/>
  <c r="CV159" i="23"/>
  <c r="DA158" i="23"/>
  <c r="CZ158" i="23"/>
  <c r="CY158" i="23"/>
  <c r="CV158" i="23"/>
  <c r="DA157" i="23"/>
  <c r="CZ157" i="23"/>
  <c r="CY157" i="23"/>
  <c r="CV157" i="23"/>
  <c r="DA156" i="23"/>
  <c r="CZ156" i="23"/>
  <c r="CY156" i="23"/>
  <c r="CV156" i="23"/>
  <c r="DA155" i="23"/>
  <c r="CZ155" i="23"/>
  <c r="CY155" i="23"/>
  <c r="CV155" i="23"/>
  <c r="DA154" i="23"/>
  <c r="CY154" i="23"/>
  <c r="CV154" i="23"/>
  <c r="DA153" i="23"/>
  <c r="CY153" i="23"/>
  <c r="CV153" i="23"/>
  <c r="DA152" i="23"/>
  <c r="CZ152" i="23"/>
  <c r="CY152" i="23"/>
  <c r="CV152" i="23"/>
  <c r="DA151" i="23"/>
  <c r="CZ151" i="23"/>
  <c r="CY151" i="23"/>
  <c r="CV151" i="23"/>
  <c r="DA150" i="23"/>
  <c r="CZ150" i="23"/>
  <c r="CY150" i="23"/>
  <c r="CV150" i="23"/>
  <c r="DA149" i="23"/>
  <c r="CZ149" i="23"/>
  <c r="CY149" i="23"/>
  <c r="CV149" i="23"/>
  <c r="DA148" i="23"/>
  <c r="DA147" i="23"/>
  <c r="DA146" i="23"/>
  <c r="DA145" i="23"/>
  <c r="DA144" i="23"/>
  <c r="DA143" i="23"/>
  <c r="DA142" i="23"/>
  <c r="DA141" i="23"/>
  <c r="DA140" i="23"/>
  <c r="DA139" i="23"/>
  <c r="DA138" i="23"/>
  <c r="DA137" i="23"/>
  <c r="DA136" i="23"/>
  <c r="DA135" i="23"/>
  <c r="DA134" i="23"/>
  <c r="DA133" i="23"/>
  <c r="DA132" i="23"/>
  <c r="CZ147" i="23"/>
  <c r="CZ146" i="23"/>
  <c r="CZ145" i="23"/>
  <c r="CZ144" i="23"/>
  <c r="CZ143" i="23"/>
  <c r="CZ140" i="23"/>
  <c r="CZ139" i="23"/>
  <c r="CZ138" i="23"/>
  <c r="CZ137" i="23"/>
  <c r="CZ136" i="23"/>
  <c r="CZ135" i="23"/>
  <c r="CZ134" i="23"/>
  <c r="CZ133" i="23"/>
  <c r="CZ132" i="23"/>
  <c r="CY148" i="23"/>
  <c r="CY147" i="23"/>
  <c r="CY146" i="23"/>
  <c r="CY145" i="23"/>
  <c r="CY144" i="23"/>
  <c r="CY143" i="23"/>
  <c r="CY142" i="23"/>
  <c r="CY141" i="23"/>
  <c r="CY140" i="23"/>
  <c r="CY139" i="23"/>
  <c r="CY138" i="23"/>
  <c r="CY137" i="23"/>
  <c r="CY136" i="23"/>
  <c r="CY135" i="23"/>
  <c r="CY134" i="23"/>
  <c r="CY133" i="23"/>
  <c r="CY132" i="23"/>
  <c r="CV148" i="23"/>
  <c r="CV147" i="23"/>
  <c r="CV146" i="23"/>
  <c r="CV145" i="23"/>
  <c r="CV144" i="23"/>
  <c r="CV143" i="23"/>
  <c r="CV142" i="23"/>
  <c r="CV141" i="23"/>
  <c r="CV140" i="23"/>
  <c r="CV139" i="23"/>
  <c r="CV138" i="23"/>
  <c r="CV137" i="23"/>
  <c r="CV136" i="23"/>
  <c r="CV135" i="23"/>
  <c r="CV134" i="23"/>
  <c r="CV133" i="23"/>
  <c r="CV132" i="23"/>
  <c r="BC229" i="23" l="1"/>
  <c r="AM229" i="23"/>
  <c r="BA166" i="23"/>
  <c r="AQ166" i="23"/>
  <c r="CT166" i="23" s="1"/>
  <c r="AW248" i="23" l="1"/>
  <c r="AJ157" i="23" l="1"/>
  <c r="AI157" i="23"/>
  <c r="AW142" i="23" l="1"/>
  <c r="AW141" i="23"/>
  <c r="BC142" i="23" l="1"/>
  <c r="BC141" i="23"/>
  <c r="AU142" i="23"/>
  <c r="AU141" i="23"/>
  <c r="BA141" i="23"/>
  <c r="BA142" i="23"/>
  <c r="AY142" i="23"/>
  <c r="AY141" i="23"/>
  <c r="AM142" i="23"/>
  <c r="AM141" i="23"/>
  <c r="S160" i="23" l="1"/>
  <c r="S162" i="23" l="1"/>
  <c r="S166" i="23"/>
  <c r="T175" i="23"/>
  <c r="T177" i="23"/>
  <c r="S181" i="23"/>
  <c r="S180" i="23"/>
  <c r="T198" i="23" l="1"/>
  <c r="S202" i="23" l="1"/>
  <c r="S203" i="23"/>
  <c r="T206" i="23"/>
  <c r="S206" i="23"/>
  <c r="S207" i="23"/>
  <c r="T208" i="23"/>
  <c r="T223" i="23"/>
  <c r="T229" i="23" l="1"/>
  <c r="T235" i="23"/>
  <c r="T241" i="23"/>
  <c r="T240" i="23"/>
  <c r="T244" i="23"/>
  <c r="S608" i="23" l="1"/>
  <c r="S243" i="23"/>
  <c r="T243" i="23"/>
  <c r="T618" i="23"/>
  <c r="T260" i="23"/>
  <c r="T262" i="23"/>
  <c r="BP262" i="23"/>
  <c r="BO262" i="23"/>
  <c r="X214" i="23" l="1"/>
  <c r="BC615" i="23" l="1"/>
  <c r="AU615" i="23"/>
  <c r="BC258" i="23"/>
  <c r="AU258" i="23"/>
  <c r="BC253" i="23"/>
  <c r="AU253" i="23"/>
  <c r="CT253" i="23" s="1"/>
  <c r="BC250" i="23"/>
  <c r="AU250" i="23"/>
  <c r="CT250" i="23" s="1"/>
  <c r="U142" i="23"/>
  <c r="CZ142" i="23" s="1"/>
  <c r="U141" i="23"/>
  <c r="CZ141" i="23" s="1"/>
  <c r="BO219" i="23" l="1"/>
  <c r="BI255" i="23" l="1"/>
  <c r="BX255" i="23"/>
  <c r="R255" i="23"/>
  <c r="Q255" i="23"/>
  <c r="P255" i="23"/>
  <c r="BC145" i="23" l="1"/>
  <c r="AR135" i="23" l="1"/>
  <c r="AN135" i="23"/>
  <c r="AS229" i="23" l="1"/>
  <c r="AW229" i="23"/>
  <c r="AA209" i="23" l="1"/>
  <c r="AW602" i="23" l="1"/>
  <c r="AE602" i="23"/>
  <c r="AQ606" i="23" l="1"/>
  <c r="R165" i="23" l="1"/>
  <c r="BM165" i="23"/>
  <c r="Y165" i="23"/>
  <c r="AU165" i="23"/>
  <c r="AW165" i="23"/>
  <c r="AG165" i="23"/>
  <c r="BE165" i="23"/>
  <c r="AQ165" i="23"/>
  <c r="BC165" i="23"/>
  <c r="CE165" i="23"/>
  <c r="X165" i="23"/>
  <c r="CT165" i="23" l="1"/>
  <c r="X174" i="23"/>
  <c r="Q174" i="23"/>
  <c r="P174" i="23"/>
  <c r="BS174" i="23"/>
  <c r="BO169" i="23"/>
  <c r="R203" i="23" l="1"/>
  <c r="R202" i="23"/>
  <c r="CD203" i="23"/>
  <c r="CD202" i="23"/>
  <c r="CB203" i="23"/>
  <c r="CB202" i="23"/>
  <c r="BZ203" i="23"/>
  <c r="BZ202" i="23"/>
  <c r="CC203" i="23"/>
  <c r="CC202" i="23"/>
  <c r="AC209" i="23"/>
  <c r="AU209" i="23"/>
  <c r="R599" i="23" l="1"/>
  <c r="BH171" i="23" l="1"/>
  <c r="AV171" i="23"/>
  <c r="BH208" i="23"/>
  <c r="AV208" i="23"/>
  <c r="X599" i="23"/>
  <c r="BJ613" i="23" l="1"/>
  <c r="BL246" i="23"/>
  <c r="AR246" i="23"/>
  <c r="BO243" i="23"/>
  <c r="AQ243" i="23"/>
  <c r="BI238" i="23" l="1"/>
  <c r="BJ238" i="23"/>
  <c r="R239" i="23"/>
  <c r="Q241" i="23"/>
  <c r="P241" i="23"/>
  <c r="R241" i="23"/>
  <c r="BM229" i="23" l="1"/>
  <c r="BO229" i="23"/>
  <c r="AC229" i="23"/>
  <c r="CF226" i="23" l="1"/>
  <c r="AY219" i="23"/>
  <c r="CF601" i="23" l="1"/>
  <c r="AR601" i="23"/>
  <c r="BE209" i="23" l="1"/>
  <c r="R180" i="23" l="1"/>
  <c r="AN190" i="23" l="1"/>
  <c r="CC189" i="23"/>
  <c r="CA189" i="23"/>
  <c r="CD189" i="23"/>
  <c r="BY189" i="23"/>
  <c r="BZ189" i="23"/>
  <c r="BL172" i="23" l="1"/>
  <c r="BK172" i="23"/>
  <c r="BL171" i="23" l="1"/>
  <c r="AD157" i="23" l="1"/>
  <c r="AN157" i="23"/>
  <c r="BD157" i="23"/>
  <c r="AV157" i="23"/>
  <c r="AZ157" i="23"/>
  <c r="AY157" i="23"/>
  <c r="AX154" i="23" l="1"/>
  <c r="CT154" i="23" s="1"/>
  <c r="AA153" i="23"/>
  <c r="BX591" i="23" l="1"/>
  <c r="AA591" i="23"/>
  <c r="X591" i="23" l="1"/>
  <c r="AI143" i="23" l="1"/>
  <c r="AY143" i="23"/>
  <c r="AZ143" i="23" s="1"/>
  <c r="AC143" i="23"/>
  <c r="Y604" i="23"/>
  <c r="BA604" i="23"/>
  <c r="AO604" i="23"/>
  <c r="AQ604" i="23"/>
  <c r="AU604" i="23"/>
  <c r="AS604" i="23"/>
  <c r="AM604" i="23"/>
  <c r="AJ143" i="23" l="1"/>
  <c r="AZ142" i="23"/>
  <c r="BD142" i="23"/>
  <c r="AV142" i="23"/>
  <c r="BB142" i="23"/>
  <c r="AN142" i="23"/>
  <c r="CT142" i="23" s="1"/>
  <c r="X142" i="23"/>
  <c r="AZ141" i="23"/>
  <c r="Y140" i="23" l="1"/>
  <c r="BK140" i="23"/>
  <c r="AC140" i="23"/>
  <c r="AB136" i="23"/>
  <c r="AB207" i="23" l="1"/>
  <c r="BJ148" i="23" l="1"/>
  <c r="AB613" i="23" l="1"/>
  <c r="AB246" i="23"/>
  <c r="Y602" i="23" l="1"/>
  <c r="AC602" i="23"/>
  <c r="AY602" i="23"/>
  <c r="AK602" i="23" l="1"/>
  <c r="AM602" i="23"/>
  <c r="BC602" i="23"/>
  <c r="AU602" i="23"/>
  <c r="BW602" i="23"/>
  <c r="AB602" i="23"/>
  <c r="BJ602" i="23"/>
  <c r="BN602" i="23"/>
  <c r="BL602" i="23"/>
  <c r="BK602" i="23"/>
  <c r="BP208" i="23" l="1"/>
  <c r="AD208" i="23"/>
  <c r="AW263" i="23" l="1"/>
  <c r="AO263" i="23"/>
  <c r="AR217" i="23"/>
  <c r="AQ601" i="23"/>
  <c r="AM598" i="23" l="1"/>
  <c r="AS598" i="23"/>
  <c r="AU598" i="23"/>
  <c r="BO604" i="23" l="1"/>
  <c r="X604" i="23"/>
  <c r="BJ145" i="23" l="1"/>
  <c r="AK145" i="23"/>
  <c r="CT145" i="23" s="1"/>
  <c r="X145" i="23"/>
  <c r="X259" i="23" l="1"/>
  <c r="X596" i="23" l="1"/>
  <c r="R596" i="23"/>
  <c r="BI161" i="23" l="1"/>
  <c r="X161" i="23"/>
  <c r="X237" i="23"/>
  <c r="U237" i="23"/>
  <c r="CZ237" i="23" s="1"/>
  <c r="AN615" i="23" l="1"/>
  <c r="AQ615" i="23"/>
  <c r="X615" i="23"/>
  <c r="AF170" i="23" l="1"/>
  <c r="AB170" i="23"/>
  <c r="AN170" i="23"/>
  <c r="CT170" i="23" s="1"/>
  <c r="R190" i="23"/>
  <c r="R191" i="23"/>
  <c r="AJ191" i="23"/>
  <c r="AJ190" i="23"/>
  <c r="AX191" i="23"/>
  <c r="AX190" i="23"/>
  <c r="AV191" i="23"/>
  <c r="AV190" i="23"/>
  <c r="AT191" i="23"/>
  <c r="AT190" i="23"/>
  <c r="AR191" i="23"/>
  <c r="AR190" i="23"/>
  <c r="AP191" i="23"/>
  <c r="AP190" i="23"/>
  <c r="AN191" i="23"/>
  <c r="CT190" i="23" l="1"/>
  <c r="CT191" i="23"/>
  <c r="AX207" i="23"/>
  <c r="BJ207" i="23"/>
  <c r="AV207" i="23"/>
  <c r="AK263" i="23" l="1"/>
  <c r="AS263" i="23"/>
  <c r="AU263" i="23"/>
  <c r="AQ263" i="23"/>
  <c r="AM263" i="23"/>
  <c r="X263" i="23"/>
  <c r="CT263" i="23" l="1"/>
  <c r="X222" i="23"/>
  <c r="R222" i="23"/>
  <c r="BW253" i="23" l="1"/>
  <c r="R146" i="23" l="1"/>
  <c r="R147" i="23"/>
  <c r="R155" i="23"/>
  <c r="R153" i="23"/>
  <c r="R154" i="23"/>
  <c r="X251" i="23" l="1"/>
  <c r="R251" i="23"/>
  <c r="P240" i="23" l="1"/>
  <c r="Q240" i="23"/>
  <c r="R240" i="23"/>
  <c r="R238" i="23"/>
  <c r="BI143" i="23"/>
  <c r="R218" i="23" l="1"/>
  <c r="BJ181" i="23" l="1"/>
  <c r="BJ180" i="23"/>
  <c r="AW219" i="23"/>
  <c r="AU219" i="23"/>
  <c r="AQ219" i="23"/>
  <c r="AQ248" i="23"/>
  <c r="CT248" i="23" s="1"/>
  <c r="AP207" i="23"/>
  <c r="AO219" i="23"/>
  <c r="AO243" i="23"/>
  <c r="AQ605" i="23" l="1"/>
  <c r="AO605" i="23"/>
  <c r="BI137" i="23" l="1"/>
  <c r="X137" i="23"/>
  <c r="R181" i="23" l="1"/>
  <c r="BI201" i="23" l="1"/>
  <c r="BI168" i="23" l="1"/>
  <c r="X183" i="23" l="1"/>
  <c r="R183" i="23"/>
  <c r="AS608" i="23" l="1"/>
  <c r="AM608" i="23"/>
  <c r="AR605" i="23"/>
  <c r="AN605" i="23"/>
  <c r="AM605" i="23"/>
  <c r="AT217" i="23"/>
  <c r="AN217" i="23"/>
  <c r="AV136" i="23" l="1"/>
  <c r="AU136" i="23"/>
  <c r="AT136" i="23"/>
  <c r="AS136" i="23"/>
  <c r="AR136" i="23"/>
  <c r="AN136" i="23"/>
  <c r="AQ136" i="23"/>
  <c r="AM136" i="23"/>
  <c r="AS182" i="23"/>
  <c r="AU182" i="23"/>
  <c r="AQ182" i="23"/>
  <c r="AM182" i="23"/>
  <c r="R182" i="23"/>
  <c r="BA182" i="23"/>
  <c r="AE182" i="23"/>
  <c r="X182" i="23"/>
  <c r="CT182" i="23" l="1"/>
  <c r="BO605" i="23"/>
  <c r="BM605" i="23"/>
  <c r="AI605" i="23"/>
  <c r="AW605" i="23"/>
  <c r="AV605" i="23"/>
  <c r="AU605" i="23"/>
  <c r="AS605" i="23"/>
  <c r="AF605" i="23"/>
  <c r="AE605" i="23"/>
  <c r="Z605" i="23"/>
  <c r="Y605" i="23"/>
  <c r="AD605" i="23"/>
  <c r="AC605" i="23"/>
  <c r="BI605" i="23"/>
  <c r="X261" i="23" l="1"/>
  <c r="AV163" i="23" l="1"/>
  <c r="CT163" i="23" s="1"/>
  <c r="X163" i="23"/>
  <c r="AB171" i="23" l="1"/>
  <c r="BB186" i="23"/>
  <c r="AS616" i="23" l="1"/>
  <c r="BM249" i="23" l="1"/>
  <c r="BI249" i="23"/>
  <c r="BX158" i="23" l="1"/>
  <c r="X158" i="23"/>
  <c r="AL135" i="23" l="1"/>
  <c r="CT135" i="23" s="1"/>
  <c r="X248" i="23" l="1"/>
  <c r="BX247" i="23" l="1"/>
  <c r="X198" i="23" l="1"/>
  <c r="R198" i="23"/>
  <c r="BJ197" i="23" l="1"/>
  <c r="BI197" i="23"/>
  <c r="X217" i="23" l="1"/>
  <c r="R217" i="23"/>
  <c r="AV217" i="23"/>
  <c r="CT217" i="23" s="1"/>
  <c r="BB217" i="23"/>
  <c r="X618" i="23" l="1"/>
  <c r="R618" i="23"/>
  <c r="BI618" i="23"/>
  <c r="BO258" i="23" l="1"/>
  <c r="BM258" i="23"/>
  <c r="AE258" i="23"/>
  <c r="AC258" i="23"/>
  <c r="Y258" i="23"/>
  <c r="AI258" i="23"/>
  <c r="AW258" i="23"/>
  <c r="AY258" i="23"/>
  <c r="AQ258" i="23"/>
  <c r="AM258" i="23"/>
  <c r="AA258" i="23"/>
  <c r="BI258" i="23"/>
  <c r="X258" i="23"/>
  <c r="CT258" i="23" l="1"/>
  <c r="BN252" i="23"/>
  <c r="X257" i="23" l="1"/>
  <c r="R257" i="23"/>
  <c r="X216" i="23"/>
  <c r="BJ216" i="23"/>
  <c r="AA602" i="23"/>
  <c r="BM602" i="23"/>
  <c r="BI602" i="23"/>
  <c r="X243" i="23" l="1"/>
  <c r="BM243" i="23"/>
  <c r="AU243" i="23"/>
  <c r="AM243" i="23" l="1"/>
  <c r="CT243" i="23" s="1"/>
  <c r="X244" i="23" l="1"/>
  <c r="BM244" i="23"/>
  <c r="AC244" i="23"/>
  <c r="AE244" i="23"/>
  <c r="Y244" i="23"/>
  <c r="AW244" i="23"/>
  <c r="AU244" i="23"/>
  <c r="BA244" i="23"/>
  <c r="AQ244" i="23"/>
  <c r="AO244" i="23"/>
  <c r="AM244" i="23"/>
  <c r="R609" i="23"/>
  <c r="R603" i="23"/>
  <c r="BJ603" i="23"/>
  <c r="X603" i="23"/>
  <c r="CT244" i="23" l="1"/>
  <c r="X227" i="23"/>
  <c r="X220" i="23" l="1"/>
  <c r="X614" i="23" l="1"/>
  <c r="R614" i="23"/>
  <c r="X247" i="23"/>
  <c r="BD246" i="23" l="1"/>
  <c r="BJ246" i="23"/>
  <c r="AN246" i="23"/>
  <c r="CT246" i="23" s="1"/>
  <c r="R246" i="23"/>
  <c r="X245" i="23"/>
  <c r="R617" i="23" l="1"/>
  <c r="Y229" i="23" l="1"/>
  <c r="AQ229" i="23"/>
  <c r="AU229" i="23"/>
  <c r="BI229" i="23"/>
  <c r="X229" i="23"/>
  <c r="CT229" i="23" l="1"/>
  <c r="X231" i="23"/>
  <c r="X230" i="23"/>
  <c r="X226" i="23"/>
  <c r="X611" i="23" l="1"/>
  <c r="R611" i="23"/>
  <c r="X610" i="23" l="1"/>
  <c r="AU610" i="23"/>
  <c r="AM610" i="23"/>
  <c r="BJ610" i="23"/>
  <c r="BJ262" i="23" l="1"/>
  <c r="BI262" i="23"/>
  <c r="X262" i="23"/>
  <c r="AK219" i="23"/>
  <c r="X219" i="23"/>
  <c r="BX219" i="23"/>
  <c r="BM219" i="23"/>
  <c r="AS219" i="23"/>
  <c r="BC219" i="23"/>
  <c r="AM219" i="23"/>
  <c r="BI219" i="23"/>
  <c r="X223" i="23"/>
  <c r="R223" i="23"/>
  <c r="X260" i="23"/>
  <c r="CT219" i="23" l="1"/>
  <c r="X583" i="23"/>
  <c r="R583" i="23"/>
  <c r="BA616" i="23" l="1"/>
  <c r="AU616" i="23"/>
  <c r="AM616" i="23"/>
  <c r="X616" i="23"/>
  <c r="BI616" i="23"/>
  <c r="U224" i="23" l="1"/>
  <c r="CZ224" i="23" s="1"/>
  <c r="BJ224" i="23"/>
  <c r="X601" i="23"/>
  <c r="AM157" i="23" l="1"/>
  <c r="AU157" i="23"/>
  <c r="CT157" i="23" l="1"/>
  <c r="AM143" i="23"/>
  <c r="AU143" i="23"/>
  <c r="AV143" i="23" s="1"/>
  <c r="BC143" i="23"/>
  <c r="BD143" i="23" s="1"/>
  <c r="AN143" i="23" l="1"/>
  <c r="CT143" i="23" s="1"/>
  <c r="U200" i="23"/>
  <c r="CZ200" i="23" s="1"/>
  <c r="BI172" i="23"/>
  <c r="R597" i="23" l="1"/>
  <c r="X597" i="23"/>
  <c r="X162" i="23" l="1"/>
  <c r="BX166" i="23" l="1"/>
  <c r="BR166" i="23" l="1"/>
  <c r="X135" i="23" l="1"/>
  <c r="X206" i="23" l="1"/>
  <c r="R206" i="23"/>
  <c r="X256" i="23"/>
  <c r="X235" i="23"/>
  <c r="BM213" i="23"/>
  <c r="BI213" i="23"/>
  <c r="X213" i="23"/>
  <c r="X211" i="23"/>
  <c r="X210" i="23"/>
  <c r="X621" i="23" l="1"/>
  <c r="X189" i="23"/>
  <c r="R197" i="23"/>
  <c r="X194" i="23"/>
  <c r="X186" i="23"/>
  <c r="X208" i="23"/>
  <c r="X180" i="23" l="1"/>
  <c r="X181" i="23"/>
  <c r="X179" i="23"/>
  <c r="X178" i="23" l="1"/>
  <c r="X176" i="23"/>
  <c r="AL171" i="23"/>
  <c r="X171" i="23"/>
  <c r="X173" i="23" l="1"/>
  <c r="X172" i="23"/>
  <c r="X160" i="23"/>
  <c r="R199" i="23"/>
  <c r="X199" i="23"/>
  <c r="X152" i="23"/>
  <c r="X146" i="23"/>
  <c r="X149" i="23"/>
  <c r="X147" i="23"/>
  <c r="BC147" i="23"/>
  <c r="X139" i="23"/>
  <c r="X138" i="23"/>
  <c r="X144" i="23"/>
  <c r="X143" i="23"/>
  <c r="BS582" i="23" l="1"/>
  <c r="AR208" i="23"/>
  <c r="AD194" i="23"/>
  <c r="AR194" i="23"/>
  <c r="AT194" i="23"/>
  <c r="AV194" i="23"/>
  <c r="BJ194" i="23"/>
  <c r="CT194" i="23" l="1"/>
  <c r="BQ204" i="23"/>
  <c r="X225" i="23"/>
  <c r="X608" i="23" l="1"/>
  <c r="BD141" i="23" l="1"/>
  <c r="AV141" i="23"/>
  <c r="AL136" i="23"/>
  <c r="AK136" i="23"/>
  <c r="CT136" i="23" s="1"/>
  <c r="AR171" i="23"/>
  <c r="CT171" i="23" s="1"/>
  <c r="BT171" i="23"/>
  <c r="AV186" i="23" l="1"/>
  <c r="R579" i="23" l="1"/>
  <c r="X579" i="23"/>
  <c r="AL579" i="23"/>
  <c r="AT579" i="23"/>
  <c r="BD579" i="23"/>
  <c r="AV579" i="23"/>
  <c r="AN579" i="23"/>
  <c r="U579" i="23"/>
  <c r="AM209" i="23" l="1"/>
  <c r="BJ209" i="23"/>
  <c r="BI580" i="23" l="1"/>
  <c r="BX157" i="23" l="1"/>
  <c r="AF157" i="23"/>
  <c r="Z157" i="23"/>
  <c r="BP157" i="23"/>
  <c r="BC157" i="23"/>
  <c r="AC157" i="23"/>
  <c r="AE157" i="23"/>
  <c r="Y157" i="23"/>
  <c r="X157" i="23"/>
  <c r="X607" i="23" l="1"/>
  <c r="AA147" i="23" l="1"/>
  <c r="BX143" i="23" l="1"/>
  <c r="BN143" i="23"/>
  <c r="AE143" i="23"/>
  <c r="Y143" i="23"/>
  <c r="Z143" i="23" s="1"/>
  <c r="R144" i="23"/>
  <c r="R143" i="23"/>
  <c r="R179" i="23" l="1"/>
  <c r="R194" i="23" l="1"/>
  <c r="AD204" i="23" l="1"/>
  <c r="AC204" i="23"/>
  <c r="BA175" i="23"/>
  <c r="AO175" i="23"/>
  <c r="AQ175" i="23"/>
  <c r="AU175" i="23"/>
  <c r="AM175" i="23"/>
  <c r="CT175" i="23" s="1"/>
  <c r="R196" i="23"/>
  <c r="BJ212" i="23" l="1"/>
  <c r="X212" i="23"/>
  <c r="X166" i="23" l="1"/>
  <c r="R166" i="23"/>
  <c r="X204" i="23" l="1"/>
  <c r="X134" i="23" l="1"/>
  <c r="X133" i="23"/>
  <c r="X136" i="23" l="1"/>
  <c r="X209" i="23"/>
  <c r="X207" i="23"/>
  <c r="X141" i="23"/>
  <c r="R209" i="23"/>
  <c r="AE209" i="23"/>
  <c r="AW209" i="23"/>
  <c r="AO209" i="23"/>
  <c r="AI209" i="23"/>
  <c r="BA209" i="23"/>
  <c r="AY209" i="23"/>
  <c r="CT209" i="23" l="1"/>
  <c r="AA213" i="23"/>
  <c r="R213" i="23"/>
  <c r="BR204" i="23"/>
  <c r="R235" i="23" l="1"/>
  <c r="R207" i="23" l="1"/>
  <c r="BX208" i="23"/>
  <c r="Z208" i="23"/>
  <c r="AN208" i="23"/>
  <c r="CT208" i="23" s="1"/>
  <c r="AP208" i="23"/>
  <c r="BJ208" i="23"/>
  <c r="R208" i="23"/>
  <c r="BN187" i="23" l="1"/>
  <c r="BS187" i="23"/>
  <c r="U187" i="23"/>
  <c r="CZ187" i="23" s="1"/>
  <c r="BI140" i="23"/>
  <c r="BC140" i="23" l="1"/>
  <c r="BE140" i="23"/>
  <c r="AQ140" i="23"/>
  <c r="BA140" i="23"/>
  <c r="BD207" i="23"/>
  <c r="BC194" i="23"/>
  <c r="BD188" i="23"/>
  <c r="BC188" i="23"/>
  <c r="BC152" i="23"/>
  <c r="BC37" i="23"/>
  <c r="R186" i="23" l="1"/>
  <c r="AT186" i="23"/>
  <c r="AN186" i="23"/>
  <c r="CT186" i="23" s="1"/>
  <c r="AX196" i="23" l="1"/>
  <c r="CT196" i="23" s="1"/>
  <c r="AC172" i="23" l="1"/>
  <c r="AD172" i="23"/>
  <c r="BJ172" i="23"/>
  <c r="AF172" i="23"/>
  <c r="AX172" i="23"/>
  <c r="AW172" i="23"/>
  <c r="CT172" i="23" s="1"/>
  <c r="AJ207" i="23" l="1"/>
  <c r="X606" i="23" l="1"/>
  <c r="BS150" i="23" l="1"/>
  <c r="BP138" i="23" l="1"/>
  <c r="BJ138" i="23"/>
  <c r="R173" i="23" l="1"/>
  <c r="R172" i="23"/>
  <c r="BN172" i="23"/>
  <c r="AE172" i="23"/>
  <c r="BM172" i="23"/>
  <c r="BS173" i="23"/>
  <c r="AM153" i="23" l="1"/>
  <c r="CT153" i="23" s="1"/>
  <c r="BI153" i="23"/>
  <c r="U153" i="23"/>
  <c r="CZ153" i="23" s="1"/>
  <c r="R160" i="23" l="1"/>
  <c r="BC159" i="23"/>
  <c r="BM578" i="23" l="1"/>
  <c r="AE578" i="23"/>
  <c r="AS578" i="23"/>
  <c r="AT578" i="23"/>
  <c r="BN578" i="23"/>
  <c r="BJ578" i="23"/>
  <c r="BI578" i="23" l="1"/>
  <c r="BX207" i="23" l="1"/>
  <c r="BN207" i="23"/>
  <c r="AF207" i="23"/>
  <c r="AD207" i="23"/>
  <c r="Z207" i="23"/>
  <c r="AN207" i="23"/>
  <c r="AT207" i="23"/>
  <c r="CT207" i="23" l="1"/>
  <c r="Q189" i="23"/>
  <c r="P315" i="23"/>
  <c r="BB141" i="23"/>
  <c r="AN141" i="23"/>
  <c r="CT141" i="23" s="1"/>
  <c r="BM140" i="23" l="1"/>
  <c r="AE140" i="23"/>
  <c r="AM140" i="23"/>
  <c r="CT140" i="23" s="1"/>
  <c r="U577" i="23"/>
  <c r="BI160" i="23" l="1"/>
  <c r="U148" i="23"/>
  <c r="CZ148" i="23" s="1"/>
  <c r="U154" i="23" l="1"/>
  <c r="CZ154" i="23" s="1"/>
  <c r="BM194" i="23" l="1"/>
  <c r="BN194" i="23" s="1"/>
  <c r="BM136" i="23"/>
  <c r="BS172" i="23" l="1"/>
  <c r="BI136" i="23" l="1"/>
  <c r="CZ194" i="23"/>
  <c r="BX194" i="23"/>
  <c r="BI430" i="23"/>
  <c r="BS309" i="23"/>
  <c r="BJ30" i="23"/>
  <c r="BI30" i="23"/>
  <c r="BI411" i="23"/>
  <c r="BI544" i="23"/>
  <c r="U544" i="23"/>
  <c r="BS528" i="23"/>
  <c r="U515" i="23"/>
  <c r="U511" i="23"/>
  <c r="BJ500" i="23"/>
  <c r="U500" i="23"/>
  <c r="U440" i="23"/>
  <c r="U431" i="23"/>
  <c r="BS404" i="23"/>
  <c r="BS351" i="23"/>
  <c r="U337" i="23"/>
  <c r="U333" i="23"/>
  <c r="U313" i="23"/>
  <c r="U303" i="23"/>
  <c r="BS118" i="23"/>
  <c r="U116" i="23"/>
  <c r="BS52" i="23"/>
  <c r="BS48" i="23"/>
  <c r="U43" i="23"/>
  <c r="AU37" i="23"/>
  <c r="BI12" i="23"/>
  <c r="F209" i="2"/>
  <c r="F208" i="2"/>
  <c r="F207" i="2"/>
  <c r="F206" i="2"/>
  <c r="F205" i="2"/>
  <c r="F204" i="2"/>
  <c r="F210" i="2" s="1"/>
  <c r="AH549" i="2"/>
  <c r="Z549" i="2"/>
  <c r="AH387" i="2"/>
  <c r="AH358" i="2"/>
  <c r="AH345" i="2"/>
  <c r="Z345" i="2"/>
  <c r="K345" i="2" s="1"/>
  <c r="AF334" i="2"/>
  <c r="AH334" i="2"/>
  <c r="AH306" i="2"/>
  <c r="AH298" i="2"/>
  <c r="L298" i="2" s="1"/>
  <c r="Z298" i="2"/>
  <c r="K298" i="2"/>
  <c r="AH294" i="2"/>
  <c r="AH286" i="2"/>
  <c r="L286" i="2" s="1"/>
  <c r="Z266" i="2"/>
  <c r="K266" i="2" s="1"/>
  <c r="Z221" i="2"/>
  <c r="K221" i="2" s="1"/>
  <c r="K469" i="2"/>
  <c r="X469" i="2" s="1"/>
  <c r="Z469" i="2" s="1"/>
  <c r="D157" i="2"/>
  <c r="X312" i="2"/>
  <c r="Z312" i="2" s="1"/>
  <c r="D2" i="2"/>
  <c r="E2" i="2"/>
  <c r="AD212" i="2"/>
  <c r="AH212" i="2" s="1"/>
  <c r="X212" i="2"/>
  <c r="Z212" i="2" s="1"/>
  <c r="X304" i="2"/>
  <c r="Z304" i="2" s="1"/>
  <c r="AB304" i="2" s="1"/>
  <c r="AB62" i="2" s="1"/>
  <c r="X246" i="2"/>
  <c r="Z246" i="2" s="1"/>
  <c r="AB246" i="2" s="1"/>
  <c r="AF501" i="2"/>
  <c r="AH501" i="2" s="1"/>
  <c r="X501" i="2"/>
  <c r="Z501" i="2" s="1"/>
  <c r="L458" i="2"/>
  <c r="AF407" i="2"/>
  <c r="AH407" i="2" s="1"/>
  <c r="X407" i="2"/>
  <c r="Z407" i="2"/>
  <c r="AH385" i="2"/>
  <c r="AI385" i="2" s="1"/>
  <c r="Z385" i="2"/>
  <c r="AB385" i="2" s="1"/>
  <c r="K384" i="2"/>
  <c r="Z275" i="2"/>
  <c r="AB275" i="2" s="1"/>
  <c r="L275" i="2"/>
  <c r="Z276" i="2"/>
  <c r="AA276" i="2" s="1"/>
  <c r="AA41" i="2" s="1"/>
  <c r="L276" i="2"/>
  <c r="AA194" i="2"/>
  <c r="AB194" i="2"/>
  <c r="Z194" i="2"/>
  <c r="AI194" i="2"/>
  <c r="AJ194" i="2"/>
  <c r="AH194" i="2" s="1"/>
  <c r="E190" i="2"/>
  <c r="D190" i="2"/>
  <c r="E188" i="2"/>
  <c r="D188" i="2"/>
  <c r="E187" i="2"/>
  <c r="D187" i="2"/>
  <c r="E183" i="2"/>
  <c r="D183" i="2"/>
  <c r="E180" i="2"/>
  <c r="D180" i="2"/>
  <c r="E172" i="2"/>
  <c r="D172" i="2"/>
  <c r="E167" i="2"/>
  <c r="D167" i="2"/>
  <c r="E165" i="2"/>
  <c r="D165" i="2"/>
  <c r="E164" i="2"/>
  <c r="D164" i="2"/>
  <c r="E161" i="2"/>
  <c r="D161" i="2"/>
  <c r="E159" i="2"/>
  <c r="D159" i="2"/>
  <c r="E157" i="2"/>
  <c r="E152" i="2"/>
  <c r="D152" i="2"/>
  <c r="E137" i="2"/>
  <c r="D137" i="2"/>
  <c r="E135" i="2"/>
  <c r="D135" i="2"/>
  <c r="E129" i="2"/>
  <c r="D129" i="2"/>
  <c r="E128" i="2"/>
  <c r="D128" i="2"/>
  <c r="E121" i="2"/>
  <c r="D121" i="2"/>
  <c r="E118" i="2"/>
  <c r="D118" i="2"/>
  <c r="E117" i="2"/>
  <c r="D117" i="2"/>
  <c r="E116" i="2"/>
  <c r="D116" i="2"/>
  <c r="E115" i="2"/>
  <c r="D115" i="2"/>
  <c r="E109" i="2"/>
  <c r="D109" i="2"/>
  <c r="E107" i="2"/>
  <c r="D107" i="2"/>
  <c r="E106" i="2"/>
  <c r="D106" i="2"/>
  <c r="E102" i="2"/>
  <c r="D102" i="2"/>
  <c r="E101" i="2"/>
  <c r="D101" i="2"/>
  <c r="E99" i="2"/>
  <c r="D99" i="2"/>
  <c r="E97" i="2"/>
  <c r="D97" i="2"/>
  <c r="E91" i="2"/>
  <c r="D91" i="2"/>
  <c r="E78" i="2"/>
  <c r="D78" i="2"/>
  <c r="E77" i="2"/>
  <c r="D77" i="2"/>
  <c r="E74" i="2"/>
  <c r="D74" i="2"/>
  <c r="E73" i="2"/>
  <c r="D73" i="2"/>
  <c r="E72" i="2"/>
  <c r="D72" i="2"/>
  <c r="E71" i="2"/>
  <c r="D71" i="2"/>
  <c r="C71" i="2" s="1"/>
  <c r="E67" i="2"/>
  <c r="D67" i="2"/>
  <c r="E66" i="2"/>
  <c r="D66" i="2"/>
  <c r="E65" i="2"/>
  <c r="D65" i="2"/>
  <c r="E62" i="2"/>
  <c r="D62" i="2"/>
  <c r="C62" i="2"/>
  <c r="E61" i="2"/>
  <c r="D61" i="2"/>
  <c r="E59" i="2"/>
  <c r="D59" i="2"/>
  <c r="E57" i="2"/>
  <c r="D57" i="2"/>
  <c r="E51" i="2"/>
  <c r="D51" i="2"/>
  <c r="E50" i="2"/>
  <c r="D50" i="2"/>
  <c r="E46" i="2"/>
  <c r="D46" i="2"/>
  <c r="E45" i="2"/>
  <c r="D45" i="2"/>
  <c r="E44" i="2"/>
  <c r="D44" i="2"/>
  <c r="E40" i="2"/>
  <c r="D40" i="2"/>
  <c r="E34" i="2"/>
  <c r="D34" i="2"/>
  <c r="E29" i="2"/>
  <c r="D29" i="2"/>
  <c r="E28" i="2"/>
  <c r="D28" i="2"/>
  <c r="E27" i="2"/>
  <c r="D27" i="2"/>
  <c r="E22" i="2"/>
  <c r="D22" i="2"/>
  <c r="E21" i="2"/>
  <c r="D21" i="2"/>
  <c r="E20" i="2"/>
  <c r="D20" i="2"/>
  <c r="E15" i="2"/>
  <c r="D15" i="2"/>
  <c r="E14" i="2"/>
  <c r="D14" i="2"/>
  <c r="E12" i="2"/>
  <c r="D12" i="2"/>
  <c r="E6" i="2"/>
  <c r="D6" i="2"/>
  <c r="E5" i="2"/>
  <c r="D5" i="2"/>
  <c r="E4" i="2"/>
  <c r="D4" i="2"/>
  <c r="AB190" i="2"/>
  <c r="Z190" i="2" s="1"/>
  <c r="K190" i="2" s="1"/>
  <c r="AA190" i="2"/>
  <c r="AB188" i="2"/>
  <c r="AA188" i="2"/>
  <c r="AB187" i="2"/>
  <c r="Z187" i="2" s="1"/>
  <c r="K187" i="2" s="1"/>
  <c r="AA187" i="2"/>
  <c r="AB183" i="2"/>
  <c r="Z183" i="2" s="1"/>
  <c r="K183" i="2" s="1"/>
  <c r="AA183" i="2"/>
  <c r="AB180" i="2"/>
  <c r="Z180" i="2" s="1"/>
  <c r="K180" i="2" s="1"/>
  <c r="AA180" i="2"/>
  <c r="AB172" i="2"/>
  <c r="AA172" i="2"/>
  <c r="AB167" i="2"/>
  <c r="Z167" i="2"/>
  <c r="K167" i="2" s="1"/>
  <c r="AA167" i="2"/>
  <c r="AB165" i="2"/>
  <c r="Z165" i="2"/>
  <c r="K165" i="2"/>
  <c r="AA165" i="2"/>
  <c r="AB164" i="2"/>
  <c r="Z164" i="2"/>
  <c r="K164" i="2" s="1"/>
  <c r="AA164" i="2"/>
  <c r="AB161" i="2"/>
  <c r="Z161" i="2"/>
  <c r="K161" i="2" s="1"/>
  <c r="AA161" i="2"/>
  <c r="AB159" i="2"/>
  <c r="Z159" i="2" s="1"/>
  <c r="K159" i="2" s="1"/>
  <c r="AA159" i="2"/>
  <c r="AB152" i="2"/>
  <c r="Z152" i="2"/>
  <c r="K152" i="2" s="1"/>
  <c r="AA152" i="2"/>
  <c r="AB137" i="2"/>
  <c r="Z137" i="2"/>
  <c r="K137" i="2" s="1"/>
  <c r="AA137" i="2"/>
  <c r="AB135" i="2"/>
  <c r="Z135" i="2" s="1"/>
  <c r="K135" i="2" s="1"/>
  <c r="AA135" i="2"/>
  <c r="AB129" i="2"/>
  <c r="Z129" i="2" s="1"/>
  <c r="K129" i="2" s="1"/>
  <c r="AA129" i="2"/>
  <c r="AB128" i="2"/>
  <c r="Z128" i="2"/>
  <c r="K128" i="2" s="1"/>
  <c r="AA128" i="2"/>
  <c r="AB124" i="2"/>
  <c r="Z124" i="2" s="1"/>
  <c r="K124" i="2"/>
  <c r="AA124" i="2"/>
  <c r="AB121" i="2"/>
  <c r="AA121" i="2"/>
  <c r="AB118" i="2"/>
  <c r="Z118" i="2"/>
  <c r="K118" i="2"/>
  <c r="AA118" i="2"/>
  <c r="AB117" i="2"/>
  <c r="Z117" i="2"/>
  <c r="K117" i="2" s="1"/>
  <c r="AA117" i="2"/>
  <c r="AB116" i="2"/>
  <c r="Z116" i="2"/>
  <c r="K116" i="2" s="1"/>
  <c r="AA116" i="2"/>
  <c r="AB115" i="2"/>
  <c r="AA115" i="2"/>
  <c r="AB109" i="2"/>
  <c r="Z109" i="2"/>
  <c r="K109" i="2" s="1"/>
  <c r="AA109" i="2"/>
  <c r="AB107" i="2"/>
  <c r="Z107" i="2" s="1"/>
  <c r="K107" i="2" s="1"/>
  <c r="AA107" i="2"/>
  <c r="AB106" i="2"/>
  <c r="Z106" i="2"/>
  <c r="K106" i="2" s="1"/>
  <c r="AA106" i="2"/>
  <c r="AB102" i="2"/>
  <c r="Z102" i="2"/>
  <c r="K102" i="2" s="1"/>
  <c r="AA102" i="2"/>
  <c r="AB101" i="2"/>
  <c r="Z101" i="2" s="1"/>
  <c r="K101" i="2"/>
  <c r="AA101" i="2"/>
  <c r="AB99" i="2"/>
  <c r="Z99" i="2" s="1"/>
  <c r="K99" i="2" s="1"/>
  <c r="AA99" i="2"/>
  <c r="AB97" i="2"/>
  <c r="Z97" i="2"/>
  <c r="K97" i="2" s="1"/>
  <c r="AA97" i="2"/>
  <c r="AB91" i="2"/>
  <c r="AA91" i="2"/>
  <c r="AB78" i="2"/>
  <c r="Z78" i="2"/>
  <c r="K78" i="2" s="1"/>
  <c r="AA78" i="2"/>
  <c r="AB77" i="2"/>
  <c r="Z77" i="2"/>
  <c r="K77" i="2"/>
  <c r="AA77" i="2"/>
  <c r="AB74" i="2"/>
  <c r="Z74" i="2"/>
  <c r="K74" i="2" s="1"/>
  <c r="AA74" i="2"/>
  <c r="AB73" i="2"/>
  <c r="Z73" i="2" s="1"/>
  <c r="K73" i="2" s="1"/>
  <c r="AA73" i="2"/>
  <c r="AB72" i="2"/>
  <c r="Z72" i="2"/>
  <c r="K72" i="2"/>
  <c r="AA72" i="2"/>
  <c r="AB67" i="2"/>
  <c r="Z67" i="2"/>
  <c r="K67" i="2" s="1"/>
  <c r="AA67" i="2"/>
  <c r="AB66" i="2"/>
  <c r="Z66" i="2"/>
  <c r="K66" i="2" s="1"/>
  <c r="AA66" i="2"/>
  <c r="AB65" i="2"/>
  <c r="Z65" i="2"/>
  <c r="K65" i="2"/>
  <c r="AA65" i="2"/>
  <c r="AB61" i="2"/>
  <c r="Z61" i="2"/>
  <c r="K61" i="2" s="1"/>
  <c r="AA61" i="2"/>
  <c r="AB59" i="2"/>
  <c r="Z59" i="2"/>
  <c r="K59" i="2" s="1"/>
  <c r="AA59" i="2"/>
  <c r="AB57" i="2"/>
  <c r="Z57" i="2" s="1"/>
  <c r="K57" i="2" s="1"/>
  <c r="AA57" i="2"/>
  <c r="AB51" i="2"/>
  <c r="Z51" i="2"/>
  <c r="K51" i="2" s="1"/>
  <c r="AA51" i="2"/>
  <c r="AB50" i="2"/>
  <c r="Z50" i="2"/>
  <c r="K50" i="2" s="1"/>
  <c r="AA50" i="2"/>
  <c r="AB46" i="2"/>
  <c r="Z46" i="2" s="1"/>
  <c r="K46" i="2" s="1"/>
  <c r="AA46" i="2"/>
  <c r="AB45" i="2"/>
  <c r="Z45" i="2" s="1"/>
  <c r="K45" i="2" s="1"/>
  <c r="AA45" i="2"/>
  <c r="AB44" i="2"/>
  <c r="Z44" i="2"/>
  <c r="K44" i="2" s="1"/>
  <c r="AA44" i="2"/>
  <c r="AB40" i="2"/>
  <c r="Z40" i="2" s="1"/>
  <c r="K40" i="2" s="1"/>
  <c r="AA40" i="2"/>
  <c r="AB34" i="2"/>
  <c r="Z34" i="2" s="1"/>
  <c r="K34" i="2" s="1"/>
  <c r="AA34" i="2"/>
  <c r="AB29" i="2"/>
  <c r="Z29" i="2" s="1"/>
  <c r="K29" i="2" s="1"/>
  <c r="AA29" i="2"/>
  <c r="AB28" i="2"/>
  <c r="Z28" i="2" s="1"/>
  <c r="K28" i="2" s="1"/>
  <c r="AA28" i="2"/>
  <c r="AB27" i="2"/>
  <c r="Z27" i="2" s="1"/>
  <c r="K27" i="2" s="1"/>
  <c r="AA27" i="2"/>
  <c r="AB22" i="2"/>
  <c r="Z22" i="2" s="1"/>
  <c r="K22" i="2" s="1"/>
  <c r="AA22" i="2"/>
  <c r="AB21" i="2"/>
  <c r="Z21" i="2" s="1"/>
  <c r="K21" i="2" s="1"/>
  <c r="AA21" i="2"/>
  <c r="AB20" i="2"/>
  <c r="Z20" i="2" s="1"/>
  <c r="K20" i="2" s="1"/>
  <c r="AA20" i="2"/>
  <c r="AB15" i="2"/>
  <c r="Z15" i="2"/>
  <c r="K15" i="2" s="1"/>
  <c r="AA15" i="2"/>
  <c r="AB14" i="2"/>
  <c r="Z14" i="2" s="1"/>
  <c r="K14" i="2" s="1"/>
  <c r="AA14" i="2"/>
  <c r="AB12" i="2"/>
  <c r="Z12" i="2" s="1"/>
  <c r="K12" i="2" s="1"/>
  <c r="AA12" i="2"/>
  <c r="AB6" i="2"/>
  <c r="Z6" i="2" s="1"/>
  <c r="AA6" i="2"/>
  <c r="AB5" i="2"/>
  <c r="Z5" i="2" s="1"/>
  <c r="AA5" i="2"/>
  <c r="AJ190" i="2"/>
  <c r="AH190" i="2"/>
  <c r="L190" i="2" s="1"/>
  <c r="AI190" i="2"/>
  <c r="AJ188" i="2"/>
  <c r="AH188" i="2"/>
  <c r="L188" i="2"/>
  <c r="AI188" i="2"/>
  <c r="AJ187" i="2"/>
  <c r="AH187" i="2"/>
  <c r="L187" i="2" s="1"/>
  <c r="AI187" i="2"/>
  <c r="AJ183" i="2"/>
  <c r="AH183" i="2"/>
  <c r="L183" i="2" s="1"/>
  <c r="AI183" i="2"/>
  <c r="AJ180" i="2"/>
  <c r="AH180" i="2"/>
  <c r="L180" i="2"/>
  <c r="AI180" i="2"/>
  <c r="AJ176" i="2"/>
  <c r="AH176" i="2"/>
  <c r="L176" i="2" s="1"/>
  <c r="AI176" i="2"/>
  <c r="AJ172" i="2"/>
  <c r="AH172" i="2"/>
  <c r="L172" i="2" s="1"/>
  <c r="AI172" i="2"/>
  <c r="AJ167" i="2"/>
  <c r="AH167" i="2"/>
  <c r="L167" i="2"/>
  <c r="AI167" i="2"/>
  <c r="AJ165" i="2"/>
  <c r="AH165" i="2"/>
  <c r="L165" i="2" s="1"/>
  <c r="AI165" i="2"/>
  <c r="AJ164" i="2"/>
  <c r="AH164" i="2"/>
  <c r="L164" i="2" s="1"/>
  <c r="AI164" i="2"/>
  <c r="AJ161" i="2"/>
  <c r="AH161" i="2"/>
  <c r="L161" i="2"/>
  <c r="AI161" i="2"/>
  <c r="AJ159" i="2"/>
  <c r="AH159" i="2"/>
  <c r="L159" i="2" s="1"/>
  <c r="AI159" i="2"/>
  <c r="AJ157" i="2"/>
  <c r="AH157" i="2"/>
  <c r="L157" i="2" s="1"/>
  <c r="AI157" i="2"/>
  <c r="AJ152" i="2"/>
  <c r="AH152" i="2"/>
  <c r="L152" i="2"/>
  <c r="AI152" i="2"/>
  <c r="AJ137" i="2"/>
  <c r="AH137" i="2"/>
  <c r="L137" i="2" s="1"/>
  <c r="AI137" i="2"/>
  <c r="AJ135" i="2"/>
  <c r="AH135" i="2"/>
  <c r="L135" i="2" s="1"/>
  <c r="AI135" i="2"/>
  <c r="AJ129" i="2"/>
  <c r="AI129" i="2"/>
  <c r="AJ128" i="2"/>
  <c r="AH128" i="2" s="1"/>
  <c r="L128" i="2" s="1"/>
  <c r="AI128" i="2"/>
  <c r="AJ122" i="2"/>
  <c r="AH122" i="2" s="1"/>
  <c r="L122" i="2" s="1"/>
  <c r="AI122" i="2"/>
  <c r="AJ121" i="2"/>
  <c r="AH121" i="2"/>
  <c r="L121" i="2" s="1"/>
  <c r="AI121" i="2"/>
  <c r="AJ118" i="2"/>
  <c r="AH118" i="2"/>
  <c r="L118" i="2" s="1"/>
  <c r="AI118" i="2"/>
  <c r="AJ117" i="2"/>
  <c r="AH117" i="2" s="1"/>
  <c r="L117" i="2" s="1"/>
  <c r="AI117" i="2"/>
  <c r="AJ116" i="2"/>
  <c r="AH116" i="2" s="1"/>
  <c r="L116" i="2" s="1"/>
  <c r="AI116" i="2"/>
  <c r="AJ115" i="2"/>
  <c r="AH115" i="2" s="1"/>
  <c r="L115" i="2" s="1"/>
  <c r="AI115" i="2"/>
  <c r="AJ109" i="2"/>
  <c r="AH109" i="2" s="1"/>
  <c r="L109" i="2" s="1"/>
  <c r="AI109" i="2"/>
  <c r="AJ107" i="2"/>
  <c r="AH107" i="2" s="1"/>
  <c r="L107" i="2" s="1"/>
  <c r="AI107" i="2"/>
  <c r="AJ106" i="2"/>
  <c r="AH106" i="2" s="1"/>
  <c r="L106" i="2" s="1"/>
  <c r="AI106" i="2"/>
  <c r="AJ102" i="2"/>
  <c r="AH102" i="2" s="1"/>
  <c r="L102" i="2" s="1"/>
  <c r="AI102" i="2"/>
  <c r="AJ101" i="2"/>
  <c r="AH101" i="2" s="1"/>
  <c r="L101" i="2" s="1"/>
  <c r="AI101" i="2"/>
  <c r="AJ99" i="2"/>
  <c r="AH99" i="2" s="1"/>
  <c r="L99" i="2" s="1"/>
  <c r="AI99" i="2"/>
  <c r="AJ97" i="2"/>
  <c r="AH97" i="2" s="1"/>
  <c r="L97" i="2" s="1"/>
  <c r="AI97" i="2"/>
  <c r="AJ91" i="2"/>
  <c r="AH91" i="2" s="1"/>
  <c r="L91" i="2" s="1"/>
  <c r="AI91" i="2"/>
  <c r="AJ78" i="2"/>
  <c r="AH78" i="2" s="1"/>
  <c r="L78" i="2" s="1"/>
  <c r="AI78" i="2"/>
  <c r="AJ77" i="2"/>
  <c r="AH77" i="2" s="1"/>
  <c r="L77" i="2" s="1"/>
  <c r="AI77" i="2"/>
  <c r="AJ76" i="2"/>
  <c r="AH76" i="2" s="1"/>
  <c r="L76" i="2" s="1"/>
  <c r="AI76" i="2"/>
  <c r="AJ74" i="2"/>
  <c r="AH74" i="2"/>
  <c r="L74" i="2" s="1"/>
  <c r="AI74" i="2"/>
  <c r="AJ73" i="2"/>
  <c r="AH73" i="2" s="1"/>
  <c r="L73" i="2" s="1"/>
  <c r="AI73" i="2"/>
  <c r="AJ72" i="2"/>
  <c r="AH72" i="2" s="1"/>
  <c r="L72" i="2" s="1"/>
  <c r="AI72" i="2"/>
  <c r="AJ71" i="2"/>
  <c r="AH71" i="2"/>
  <c r="L71" i="2" s="1"/>
  <c r="AI71" i="2"/>
  <c r="AJ67" i="2"/>
  <c r="AH67" i="2" s="1"/>
  <c r="L67" i="2" s="1"/>
  <c r="AI67" i="2"/>
  <c r="AJ66" i="2"/>
  <c r="AH66" i="2" s="1"/>
  <c r="L66" i="2" s="1"/>
  <c r="AI66" i="2"/>
  <c r="AJ65" i="2"/>
  <c r="AH65" i="2" s="1"/>
  <c r="L65" i="2" s="1"/>
  <c r="AI65" i="2"/>
  <c r="AJ62" i="2"/>
  <c r="AH62" i="2" s="1"/>
  <c r="L62" i="2" s="1"/>
  <c r="AI62" i="2"/>
  <c r="AJ61" i="2"/>
  <c r="AH61" i="2" s="1"/>
  <c r="L61" i="2" s="1"/>
  <c r="AI61" i="2"/>
  <c r="AJ59" i="2"/>
  <c r="AH59" i="2" s="1"/>
  <c r="L59" i="2" s="1"/>
  <c r="AI59" i="2"/>
  <c r="AJ58" i="2"/>
  <c r="AH58" i="2" s="1"/>
  <c r="L58" i="2" s="1"/>
  <c r="AI58" i="2"/>
  <c r="AJ57" i="2"/>
  <c r="AH57" i="2" s="1"/>
  <c r="L57" i="2" s="1"/>
  <c r="AI57" i="2"/>
  <c r="AJ51" i="2"/>
  <c r="AH51" i="2"/>
  <c r="L51" i="2" s="1"/>
  <c r="AI51" i="2"/>
  <c r="AJ50" i="2"/>
  <c r="AH50" i="2" s="1"/>
  <c r="L50" i="2" s="1"/>
  <c r="AI50" i="2"/>
  <c r="AJ46" i="2"/>
  <c r="AH46" i="2" s="1"/>
  <c r="L46" i="2" s="1"/>
  <c r="AI46" i="2"/>
  <c r="AJ45" i="2"/>
  <c r="AH45" i="2" s="1"/>
  <c r="L45" i="2" s="1"/>
  <c r="AI45" i="2"/>
  <c r="AJ44" i="2"/>
  <c r="AH44" i="2" s="1"/>
  <c r="L44" i="2" s="1"/>
  <c r="AI44" i="2"/>
  <c r="AJ41" i="2"/>
  <c r="AH41" i="2" s="1"/>
  <c r="L41" i="2" s="1"/>
  <c r="AI41" i="2"/>
  <c r="AJ40" i="2"/>
  <c r="AH40" i="2"/>
  <c r="L40" i="2" s="1"/>
  <c r="AI40" i="2"/>
  <c r="AJ34" i="2"/>
  <c r="AH34" i="2" s="1"/>
  <c r="L34" i="2" s="1"/>
  <c r="AI34" i="2"/>
  <c r="AJ29" i="2"/>
  <c r="AH29" i="2" s="1"/>
  <c r="L29" i="2" s="1"/>
  <c r="AI29" i="2"/>
  <c r="AJ28" i="2"/>
  <c r="AH28" i="2"/>
  <c r="L28" i="2" s="1"/>
  <c r="AI28" i="2"/>
  <c r="AJ27" i="2"/>
  <c r="AH27" i="2" s="1"/>
  <c r="L27" i="2" s="1"/>
  <c r="AI27" i="2"/>
  <c r="AJ22" i="2"/>
  <c r="AH22" i="2" s="1"/>
  <c r="L22" i="2" s="1"/>
  <c r="AI22" i="2"/>
  <c r="AJ21" i="2"/>
  <c r="AH21" i="2" s="1"/>
  <c r="L21" i="2" s="1"/>
  <c r="AI21" i="2"/>
  <c r="AJ20" i="2"/>
  <c r="AH20" i="2" s="1"/>
  <c r="L20" i="2" s="1"/>
  <c r="AI20" i="2"/>
  <c r="AJ15" i="2"/>
  <c r="AH15" i="2" s="1"/>
  <c r="L15" i="2" s="1"/>
  <c r="AI15" i="2"/>
  <c r="AJ14" i="2"/>
  <c r="AH14" i="2" s="1"/>
  <c r="L14" i="2" s="1"/>
  <c r="AI14" i="2"/>
  <c r="AJ12" i="2"/>
  <c r="AH12" i="2" s="1"/>
  <c r="L12" i="2" s="1"/>
  <c r="AI12" i="2"/>
  <c r="AJ6" i="2"/>
  <c r="AH6" i="2" s="1"/>
  <c r="L6" i="2" s="1"/>
  <c r="AI6" i="2"/>
  <c r="AJ5" i="2"/>
  <c r="AH5" i="2" s="1"/>
  <c r="L5" i="2" s="1"/>
  <c r="AI5" i="2"/>
  <c r="AH561" i="2"/>
  <c r="AH557" i="2"/>
  <c r="AI557" i="2"/>
  <c r="AH553" i="2"/>
  <c r="AI553" i="2" s="1"/>
  <c r="Z553" i="2"/>
  <c r="AA553" i="2"/>
  <c r="AH517" i="2"/>
  <c r="AJ517" i="2"/>
  <c r="AH475" i="2"/>
  <c r="L475" i="2"/>
  <c r="AH468" i="2"/>
  <c r="AJ468" i="2" s="1"/>
  <c r="Z454" i="2"/>
  <c r="AB454" i="2"/>
  <c r="L454" i="2"/>
  <c r="AH372" i="2"/>
  <c r="AI372" i="2"/>
  <c r="AA372" i="2"/>
  <c r="Z372" i="2"/>
  <c r="AB372" i="2" s="1"/>
  <c r="AH441" i="2"/>
  <c r="AI441" i="2"/>
  <c r="Z441" i="2"/>
  <c r="AA441" i="2" s="1"/>
  <c r="AH446" i="2"/>
  <c r="AJ446" i="2"/>
  <c r="AH428" i="2"/>
  <c r="Z428" i="2"/>
  <c r="AA428" i="2" s="1"/>
  <c r="AH425" i="2"/>
  <c r="AH417" i="2"/>
  <c r="AI417" i="2" s="1"/>
  <c r="Z417" i="2"/>
  <c r="Z400" i="2"/>
  <c r="AB400" i="2"/>
  <c r="AB122" i="2" s="1"/>
  <c r="L400" i="2"/>
  <c r="AH383" i="2"/>
  <c r="AI383" i="2" s="1"/>
  <c r="Z383" i="2"/>
  <c r="AA383" i="2" s="1"/>
  <c r="AH368" i="2"/>
  <c r="Z368" i="2"/>
  <c r="AB368" i="2" s="1"/>
  <c r="AH260" i="2"/>
  <c r="L260" i="2"/>
  <c r="Z260" i="2"/>
  <c r="AA260" i="2" s="1"/>
  <c r="AA33" i="2" s="1"/>
  <c r="Z215" i="2"/>
  <c r="AH215" i="2"/>
  <c r="AJ215" i="2"/>
  <c r="AJ4" i="2" s="1"/>
  <c r="J495" i="2"/>
  <c r="AH288" i="2"/>
  <c r="AJ288" i="2"/>
  <c r="Z288" i="2"/>
  <c r="K288" i="2" s="1"/>
  <c r="X250" i="2"/>
  <c r="Z250" i="2"/>
  <c r="L250" i="2"/>
  <c r="L247" i="2"/>
  <c r="AB245" i="2"/>
  <c r="AA245" i="2"/>
  <c r="Z247" i="2"/>
  <c r="AB247" i="2" s="1"/>
  <c r="L457" i="2"/>
  <c r="Z457" i="2"/>
  <c r="AB457" i="2" s="1"/>
  <c r="Z299" i="2"/>
  <c r="AB299" i="2" s="1"/>
  <c r="AB58" i="2" s="1"/>
  <c r="BI193" i="2"/>
  <c r="BI192" i="2"/>
  <c r="BI191" i="2"/>
  <c r="BJ191" i="2" s="1"/>
  <c r="BI189" i="2"/>
  <c r="BJ189" i="2" s="1"/>
  <c r="BI188" i="2"/>
  <c r="BI186" i="2"/>
  <c r="BI185" i="2"/>
  <c r="BI184" i="2"/>
  <c r="BI182" i="2"/>
  <c r="BI181" i="2"/>
  <c r="BI179" i="2"/>
  <c r="BI178" i="2"/>
  <c r="BJ178" i="2"/>
  <c r="BI177" i="2"/>
  <c r="BI176" i="2"/>
  <c r="BI175" i="2"/>
  <c r="BJ175" i="2" s="1"/>
  <c r="BI174" i="2"/>
  <c r="BI173" i="2"/>
  <c r="BJ173" i="2"/>
  <c r="BI172" i="2"/>
  <c r="BI171" i="2"/>
  <c r="BI170" i="2"/>
  <c r="BI169" i="2"/>
  <c r="BJ169" i="2"/>
  <c r="BI166" i="2"/>
  <c r="BI163" i="2"/>
  <c r="BI162" i="2"/>
  <c r="BI160" i="2"/>
  <c r="BJ160" i="2" s="1"/>
  <c r="BI159" i="2"/>
  <c r="BI155" i="2"/>
  <c r="BI154" i="2"/>
  <c r="BI152" i="2"/>
  <c r="BI151" i="2"/>
  <c r="BI149" i="2"/>
  <c r="BI148" i="2"/>
  <c r="BI147" i="2"/>
  <c r="BJ147" i="2" s="1"/>
  <c r="BI144" i="2"/>
  <c r="BI143" i="2"/>
  <c r="BI142" i="2"/>
  <c r="BI141" i="2"/>
  <c r="BI140" i="2"/>
  <c r="BI139" i="2"/>
  <c r="BI138" i="2"/>
  <c r="BI137" i="2"/>
  <c r="BI136" i="2"/>
  <c r="BI134" i="2"/>
  <c r="BI133" i="2"/>
  <c r="BI132" i="2"/>
  <c r="BI131" i="2"/>
  <c r="BI130" i="2"/>
  <c r="BI127" i="2"/>
  <c r="BI126" i="2"/>
  <c r="BJ126" i="2"/>
  <c r="BI125" i="2"/>
  <c r="BI123" i="2"/>
  <c r="BI122" i="2"/>
  <c r="BJ122" i="2" s="1"/>
  <c r="BI121" i="2"/>
  <c r="BI120" i="2"/>
  <c r="BI119" i="2"/>
  <c r="BI118" i="2"/>
  <c r="BJ118" i="2" s="1"/>
  <c r="BI117" i="2"/>
  <c r="BI115" i="2"/>
  <c r="BI114" i="2"/>
  <c r="BI113" i="2"/>
  <c r="BI112" i="2"/>
  <c r="BI111" i="2"/>
  <c r="BI109" i="2"/>
  <c r="BI108" i="2"/>
  <c r="BI106" i="2"/>
  <c r="BI105" i="2"/>
  <c r="BI104" i="2"/>
  <c r="BI103" i="2"/>
  <c r="BI101" i="2"/>
  <c r="BJ101" i="2" s="1"/>
  <c r="BI99" i="2"/>
  <c r="BI98" i="2"/>
  <c r="BI97" i="2"/>
  <c r="BI96" i="2"/>
  <c r="BI94" i="2"/>
  <c r="BI93" i="2"/>
  <c r="BI92" i="2"/>
  <c r="BI91" i="2"/>
  <c r="BI90" i="2"/>
  <c r="BI89" i="2"/>
  <c r="BJ89" i="2" s="1"/>
  <c r="BI88" i="2"/>
  <c r="BI87" i="2"/>
  <c r="BI86" i="2"/>
  <c r="BI85" i="2"/>
  <c r="BI84" i="2"/>
  <c r="BI83" i="2"/>
  <c r="BI82" i="2"/>
  <c r="BJ82" i="2"/>
  <c r="BI81" i="2"/>
  <c r="BI80" i="2"/>
  <c r="BI79" i="2"/>
  <c r="BJ79" i="2" s="1"/>
  <c r="BI78" i="2"/>
  <c r="BI76" i="2"/>
  <c r="BI75" i="2"/>
  <c r="BI71" i="2"/>
  <c r="BI70" i="2"/>
  <c r="BJ70" i="2" s="1"/>
  <c r="BI69" i="2"/>
  <c r="BJ69" i="2"/>
  <c r="BI68" i="2"/>
  <c r="BJ68" i="2"/>
  <c r="BI67" i="2"/>
  <c r="BI66" i="2"/>
  <c r="BI64" i="2"/>
  <c r="BI63" i="2"/>
  <c r="BI60" i="2"/>
  <c r="BI56" i="2"/>
  <c r="BI55" i="2"/>
  <c r="BI54" i="2"/>
  <c r="BI52" i="2"/>
  <c r="BI49" i="2"/>
  <c r="BI48" i="2"/>
  <c r="BI47" i="2"/>
  <c r="BI46" i="2"/>
  <c r="BI45" i="2"/>
  <c r="BI43" i="2"/>
  <c r="BI42" i="2"/>
  <c r="BJ42" i="2" s="1"/>
  <c r="BI41" i="2"/>
  <c r="BI39" i="2"/>
  <c r="BI38" i="2"/>
  <c r="BI37" i="2"/>
  <c r="BI36" i="2"/>
  <c r="BI35" i="2"/>
  <c r="BI32" i="2"/>
  <c r="BI31" i="2"/>
  <c r="BI30" i="2"/>
  <c r="BI29" i="2"/>
  <c r="BJ29" i="2" s="1"/>
  <c r="BI28" i="2"/>
  <c r="BI26" i="2"/>
  <c r="BI25" i="2"/>
  <c r="BJ25" i="2" s="1"/>
  <c r="BI23" i="2"/>
  <c r="BI21" i="2"/>
  <c r="BI19" i="2"/>
  <c r="BI17" i="2"/>
  <c r="BI16" i="2"/>
  <c r="BI13" i="2"/>
  <c r="BI12" i="2"/>
  <c r="BI11" i="2"/>
  <c r="BI9" i="2"/>
  <c r="BI8" i="2"/>
  <c r="BI7" i="2"/>
  <c r="BI4" i="2"/>
  <c r="BI3" i="2"/>
  <c r="BI2" i="2"/>
  <c r="BH193" i="2"/>
  <c r="BG193" i="2"/>
  <c r="BF193" i="2"/>
  <c r="BH192" i="2"/>
  <c r="BJ192" i="2"/>
  <c r="BG192" i="2"/>
  <c r="BF192" i="2"/>
  <c r="BH48" i="2"/>
  <c r="BG48" i="2"/>
  <c r="BF48" i="2"/>
  <c r="BH195" i="2"/>
  <c r="BG195" i="2"/>
  <c r="BF195" i="2"/>
  <c r="BH188" i="2"/>
  <c r="BG188" i="2"/>
  <c r="BF188" i="2"/>
  <c r="BH186" i="2"/>
  <c r="BG186" i="2"/>
  <c r="BF186" i="2"/>
  <c r="BH29" i="2"/>
  <c r="BG29" i="2"/>
  <c r="BF29" i="2"/>
  <c r="BH185" i="2"/>
  <c r="BG185" i="2"/>
  <c r="BF185" i="2"/>
  <c r="BH184" i="2"/>
  <c r="BJ184" i="2" s="1"/>
  <c r="BG184" i="2"/>
  <c r="BF184" i="2"/>
  <c r="BH182" i="2"/>
  <c r="BJ182" i="2" s="1"/>
  <c r="BG182" i="2"/>
  <c r="BF182" i="2"/>
  <c r="BH181" i="2"/>
  <c r="BG181" i="2"/>
  <c r="BF181" i="2"/>
  <c r="BH179" i="2"/>
  <c r="BG179" i="2"/>
  <c r="BF179" i="2"/>
  <c r="BH178" i="2"/>
  <c r="BG178" i="2"/>
  <c r="BF178" i="2"/>
  <c r="BH177" i="2"/>
  <c r="BG177" i="2"/>
  <c r="BF177" i="2"/>
  <c r="BH176" i="2"/>
  <c r="BJ176" i="2"/>
  <c r="BG176" i="2"/>
  <c r="BF176" i="2"/>
  <c r="BH175" i="2"/>
  <c r="BG175" i="2"/>
  <c r="BF175" i="2"/>
  <c r="BH174" i="2"/>
  <c r="BJ174" i="2" s="1"/>
  <c r="BG174" i="2"/>
  <c r="BF174" i="2"/>
  <c r="BH173" i="2"/>
  <c r="BG173" i="2"/>
  <c r="BF173" i="2"/>
  <c r="BH172" i="2"/>
  <c r="BG172" i="2"/>
  <c r="BF172" i="2"/>
  <c r="BH171" i="2"/>
  <c r="BG171" i="2"/>
  <c r="BF171" i="2"/>
  <c r="BH170" i="2"/>
  <c r="BJ170" i="2" s="1"/>
  <c r="BG170" i="2"/>
  <c r="BF170" i="2"/>
  <c r="BH169" i="2"/>
  <c r="BG169" i="2"/>
  <c r="BF169" i="2"/>
  <c r="BH166" i="2"/>
  <c r="BG166" i="2"/>
  <c r="BF166" i="2"/>
  <c r="BH163" i="2"/>
  <c r="BJ163" i="2" s="1"/>
  <c r="BG163" i="2"/>
  <c r="BF163" i="2"/>
  <c r="BH162" i="2"/>
  <c r="BJ162" i="2" s="1"/>
  <c r="BG162" i="2"/>
  <c r="BF162" i="2"/>
  <c r="BH148" i="2"/>
  <c r="BJ148" i="2"/>
  <c r="BG148" i="2"/>
  <c r="BF148" i="2"/>
  <c r="BH160" i="2"/>
  <c r="BG160" i="2"/>
  <c r="BF160" i="2"/>
  <c r="BH159" i="2"/>
  <c r="BG159" i="2"/>
  <c r="BF159" i="2"/>
  <c r="BH155" i="2"/>
  <c r="BG155" i="2"/>
  <c r="BF155" i="2"/>
  <c r="BH154" i="2"/>
  <c r="BG154" i="2"/>
  <c r="BF154" i="2"/>
  <c r="BH152" i="2"/>
  <c r="BG152" i="2"/>
  <c r="BF152" i="2"/>
  <c r="BH151" i="2"/>
  <c r="BJ151" i="2" s="1"/>
  <c r="BG151" i="2"/>
  <c r="BF151" i="2"/>
  <c r="BH196" i="2"/>
  <c r="BG196" i="2"/>
  <c r="BF196" i="2"/>
  <c r="BH149" i="2"/>
  <c r="BG149" i="2"/>
  <c r="BF149" i="2"/>
  <c r="BH147" i="2"/>
  <c r="BG147" i="2"/>
  <c r="BF147" i="2"/>
  <c r="BH144" i="2"/>
  <c r="BG144" i="2"/>
  <c r="BF144" i="2"/>
  <c r="BH143" i="2"/>
  <c r="BG143" i="2"/>
  <c r="BF143" i="2"/>
  <c r="BH142" i="2"/>
  <c r="BJ142" i="2" s="1"/>
  <c r="BG142" i="2"/>
  <c r="BF142" i="2"/>
  <c r="BH141" i="2"/>
  <c r="BG141" i="2"/>
  <c r="BF141" i="2"/>
  <c r="BH140" i="2"/>
  <c r="BG140" i="2"/>
  <c r="BF140" i="2"/>
  <c r="BH139" i="2"/>
  <c r="BG139" i="2"/>
  <c r="BF139" i="2"/>
  <c r="BH138" i="2"/>
  <c r="BJ138" i="2" s="1"/>
  <c r="BG138" i="2"/>
  <c r="BF138" i="2"/>
  <c r="BH137" i="2"/>
  <c r="BG137" i="2"/>
  <c r="BF137" i="2"/>
  <c r="BH136" i="2"/>
  <c r="BG136" i="2"/>
  <c r="BF136" i="2"/>
  <c r="BH134" i="2"/>
  <c r="BG134" i="2"/>
  <c r="BF134" i="2"/>
  <c r="BH133" i="2"/>
  <c r="BJ133" i="2"/>
  <c r="BG133" i="2"/>
  <c r="BF133" i="2"/>
  <c r="BH132" i="2"/>
  <c r="BG132" i="2"/>
  <c r="BF132" i="2"/>
  <c r="BH131" i="2"/>
  <c r="BG131" i="2"/>
  <c r="BF131" i="2"/>
  <c r="BH130" i="2"/>
  <c r="BG130" i="2"/>
  <c r="BF130" i="2"/>
  <c r="BH127" i="2"/>
  <c r="BJ127" i="2"/>
  <c r="BG127" i="2"/>
  <c r="BF127" i="2"/>
  <c r="BH126" i="2"/>
  <c r="BG126" i="2"/>
  <c r="BF126" i="2"/>
  <c r="BH125" i="2"/>
  <c r="BJ125" i="2" s="1"/>
  <c r="BG125" i="2"/>
  <c r="BF125" i="2"/>
  <c r="BH123" i="2"/>
  <c r="BG123" i="2"/>
  <c r="BF123" i="2"/>
  <c r="BH122" i="2"/>
  <c r="BG122" i="2"/>
  <c r="BF122" i="2"/>
  <c r="BH121" i="2"/>
  <c r="BG121" i="2"/>
  <c r="BF121" i="2"/>
  <c r="BH120" i="2"/>
  <c r="BJ120" i="2" s="1"/>
  <c r="BG120" i="2"/>
  <c r="BF120" i="2"/>
  <c r="BH119" i="2"/>
  <c r="BJ119" i="2" s="1"/>
  <c r="BG119" i="2"/>
  <c r="BF119" i="2"/>
  <c r="BH118" i="2"/>
  <c r="BG118" i="2"/>
  <c r="BF118" i="2"/>
  <c r="BH117" i="2"/>
  <c r="BG117" i="2"/>
  <c r="BF117" i="2"/>
  <c r="BH115" i="2"/>
  <c r="BJ115" i="2" s="1"/>
  <c r="BG115" i="2"/>
  <c r="BF115" i="2"/>
  <c r="BH114" i="2"/>
  <c r="BG114" i="2"/>
  <c r="BF114" i="2"/>
  <c r="BH197" i="2"/>
  <c r="BG197" i="2"/>
  <c r="BF197" i="2"/>
  <c r="BH113" i="2"/>
  <c r="BG113" i="2"/>
  <c r="BF113" i="2"/>
  <c r="BH112" i="2"/>
  <c r="BG112" i="2"/>
  <c r="BF112" i="2"/>
  <c r="BH111" i="2"/>
  <c r="BJ111" i="2"/>
  <c r="BG111" i="2"/>
  <c r="BF111" i="2"/>
  <c r="BH109" i="2"/>
  <c r="BG109" i="2"/>
  <c r="BF109" i="2"/>
  <c r="BH106" i="2"/>
  <c r="BJ106" i="2" s="1"/>
  <c r="BG106" i="2"/>
  <c r="BF106" i="2"/>
  <c r="BH108" i="2"/>
  <c r="BJ108" i="2"/>
  <c r="BG108" i="2"/>
  <c r="BF108" i="2"/>
  <c r="BH105" i="2"/>
  <c r="BJ105" i="2"/>
  <c r="BG105" i="2"/>
  <c r="BF105" i="2"/>
  <c r="BH104" i="2"/>
  <c r="BG104" i="2"/>
  <c r="BF104" i="2"/>
  <c r="BH103" i="2"/>
  <c r="BG103" i="2"/>
  <c r="BF103" i="2"/>
  <c r="BH101" i="2"/>
  <c r="BG101" i="2"/>
  <c r="BF101" i="2"/>
  <c r="BH99" i="2"/>
  <c r="BJ99" i="2" s="1"/>
  <c r="BG99" i="2"/>
  <c r="BF99" i="2"/>
  <c r="BH98" i="2"/>
  <c r="BJ98" i="2" s="1"/>
  <c r="BG98" i="2"/>
  <c r="BF98" i="2"/>
  <c r="BH97" i="2"/>
  <c r="BG97" i="2"/>
  <c r="BF97" i="2"/>
  <c r="BH96" i="2"/>
  <c r="BG96" i="2"/>
  <c r="BF96" i="2"/>
  <c r="BH94" i="2"/>
  <c r="BJ94" i="2" s="1"/>
  <c r="BG94" i="2"/>
  <c r="BF94" i="2"/>
  <c r="BH93" i="2"/>
  <c r="BG93" i="2"/>
  <c r="BF93" i="2"/>
  <c r="BH92" i="2"/>
  <c r="BG92" i="2"/>
  <c r="BF92" i="2"/>
  <c r="BH91" i="2"/>
  <c r="BJ91" i="2" s="1"/>
  <c r="BG91" i="2"/>
  <c r="BF91" i="2"/>
  <c r="BH43" i="2"/>
  <c r="BG43" i="2"/>
  <c r="BF43" i="2"/>
  <c r="BH90" i="2"/>
  <c r="BJ90" i="2" s="1"/>
  <c r="BG90" i="2"/>
  <c r="BF90" i="2"/>
  <c r="BH89" i="2"/>
  <c r="BG89" i="2"/>
  <c r="BF89" i="2"/>
  <c r="BH88" i="2"/>
  <c r="BG88" i="2"/>
  <c r="BF88" i="2"/>
  <c r="BH87" i="2"/>
  <c r="BG87" i="2"/>
  <c r="BF87" i="2"/>
  <c r="BH86" i="2"/>
  <c r="BG86" i="2"/>
  <c r="BF86" i="2"/>
  <c r="BH85" i="2"/>
  <c r="BG85" i="2"/>
  <c r="BF85" i="2"/>
  <c r="BH84" i="2"/>
  <c r="BJ84" i="2" s="1"/>
  <c r="BG84" i="2"/>
  <c r="BF84" i="2"/>
  <c r="BH83" i="2"/>
  <c r="BJ83" i="2" s="1"/>
  <c r="BG83" i="2"/>
  <c r="BF83" i="2"/>
  <c r="BH82" i="2"/>
  <c r="BG82" i="2"/>
  <c r="BF82" i="2"/>
  <c r="BH81" i="2"/>
  <c r="BG81" i="2"/>
  <c r="BF81" i="2"/>
  <c r="BH80" i="2"/>
  <c r="BG80" i="2"/>
  <c r="BF80" i="2"/>
  <c r="BH79" i="2"/>
  <c r="BG79" i="2"/>
  <c r="BF79" i="2"/>
  <c r="BH78" i="2"/>
  <c r="BG78" i="2"/>
  <c r="BF78" i="2"/>
  <c r="BH76" i="2"/>
  <c r="BG76" i="2"/>
  <c r="BF76" i="2"/>
  <c r="BH75" i="2"/>
  <c r="BG75" i="2"/>
  <c r="BF75" i="2"/>
  <c r="BH71" i="2"/>
  <c r="BG71" i="2"/>
  <c r="BF71" i="2"/>
  <c r="BH70" i="2"/>
  <c r="BG70" i="2"/>
  <c r="BF70" i="2"/>
  <c r="BH68" i="2"/>
  <c r="BG68" i="2"/>
  <c r="BF68" i="2"/>
  <c r="BH67" i="2"/>
  <c r="BG67" i="2"/>
  <c r="BF67" i="2"/>
  <c r="BH66" i="2"/>
  <c r="BJ66" i="2" s="1"/>
  <c r="BG66" i="2"/>
  <c r="BF66" i="2"/>
  <c r="BH64" i="2"/>
  <c r="BG64" i="2"/>
  <c r="BF64" i="2"/>
  <c r="BH63" i="2"/>
  <c r="BG63" i="2"/>
  <c r="BF63" i="2"/>
  <c r="BH60" i="2"/>
  <c r="BJ60" i="2" s="1"/>
  <c r="BG60" i="2"/>
  <c r="BF60" i="2"/>
  <c r="BH56" i="2"/>
  <c r="BJ56" i="2" s="1"/>
  <c r="BG56" i="2"/>
  <c r="BF56" i="2"/>
  <c r="BH55" i="2"/>
  <c r="BG55" i="2"/>
  <c r="BF55" i="2"/>
  <c r="BH54" i="2"/>
  <c r="BJ54" i="2" s="1"/>
  <c r="BG54" i="2"/>
  <c r="BF54" i="2"/>
  <c r="BH52" i="2"/>
  <c r="BG52" i="2"/>
  <c r="BF52" i="2"/>
  <c r="BH49" i="2"/>
  <c r="BJ49" i="2" s="1"/>
  <c r="BG49" i="2"/>
  <c r="BF49" i="2"/>
  <c r="BH47" i="2"/>
  <c r="BJ47" i="2"/>
  <c r="BG47" i="2"/>
  <c r="BF47" i="2"/>
  <c r="BH46" i="2"/>
  <c r="BJ46" i="2"/>
  <c r="BG46" i="2"/>
  <c r="BF46" i="2"/>
  <c r="BH45" i="2"/>
  <c r="BG45" i="2"/>
  <c r="BF45" i="2"/>
  <c r="BH42" i="2"/>
  <c r="BG42" i="2"/>
  <c r="BF42" i="2"/>
  <c r="BH41" i="2"/>
  <c r="BG41" i="2"/>
  <c r="BF41" i="2"/>
  <c r="BH39" i="2"/>
  <c r="BG39" i="2"/>
  <c r="BF39" i="2"/>
  <c r="BH38" i="2"/>
  <c r="BG38" i="2"/>
  <c r="BF38" i="2"/>
  <c r="BH37" i="2"/>
  <c r="BJ37" i="2" s="1"/>
  <c r="BG37" i="2"/>
  <c r="BF37" i="2"/>
  <c r="BH36" i="2"/>
  <c r="BJ36" i="2" s="1"/>
  <c r="BG36" i="2"/>
  <c r="BF36" i="2"/>
  <c r="BH35" i="2"/>
  <c r="BJ35" i="2"/>
  <c r="BG35" i="2"/>
  <c r="BF35" i="2"/>
  <c r="BH32" i="2"/>
  <c r="BG32" i="2"/>
  <c r="BF32" i="2"/>
  <c r="BH31" i="2"/>
  <c r="BG31" i="2"/>
  <c r="BF31" i="2"/>
  <c r="BH30" i="2"/>
  <c r="BG30" i="2"/>
  <c r="BF30" i="2"/>
  <c r="BH124" i="2"/>
  <c r="BG124" i="2"/>
  <c r="BF124" i="2"/>
  <c r="BH28" i="2"/>
  <c r="BG28" i="2"/>
  <c r="BF28" i="2"/>
  <c r="BH26" i="2"/>
  <c r="BJ26" i="2"/>
  <c r="BG26" i="2"/>
  <c r="BF26" i="2"/>
  <c r="BH25" i="2"/>
  <c r="BG25" i="2"/>
  <c r="BF25" i="2"/>
  <c r="BH23" i="2"/>
  <c r="BJ23" i="2"/>
  <c r="BG23" i="2"/>
  <c r="BF23" i="2"/>
  <c r="BH21" i="2"/>
  <c r="BG21" i="2"/>
  <c r="BF21" i="2"/>
  <c r="BH19" i="2"/>
  <c r="BG19" i="2"/>
  <c r="BF19" i="2"/>
  <c r="BH17" i="2"/>
  <c r="BJ17" i="2" s="1"/>
  <c r="BG17" i="2"/>
  <c r="BF17" i="2"/>
  <c r="BH16" i="2"/>
  <c r="BJ16" i="2"/>
  <c r="BG16" i="2"/>
  <c r="BF16" i="2"/>
  <c r="BH13" i="2"/>
  <c r="BG13" i="2"/>
  <c r="BF13" i="2"/>
  <c r="BH12" i="2"/>
  <c r="BJ12" i="2" s="1"/>
  <c r="BG12" i="2"/>
  <c r="BF12" i="2"/>
  <c r="BH11" i="2"/>
  <c r="BJ11" i="2" s="1"/>
  <c r="BG11" i="2"/>
  <c r="BF11" i="2"/>
  <c r="BH9" i="2"/>
  <c r="BG9" i="2"/>
  <c r="BF9" i="2"/>
  <c r="BH8" i="2"/>
  <c r="BJ8" i="2" s="1"/>
  <c r="BG8" i="2"/>
  <c r="BF8" i="2"/>
  <c r="BH7" i="2"/>
  <c r="BJ7" i="2" s="1"/>
  <c r="BG7" i="2"/>
  <c r="BF7" i="2"/>
  <c r="BH4" i="2"/>
  <c r="BJ4" i="2" s="1"/>
  <c r="BG4" i="2"/>
  <c r="BF4" i="2"/>
  <c r="BH3" i="2"/>
  <c r="BJ3" i="2"/>
  <c r="BG3" i="2"/>
  <c r="BF3" i="2"/>
  <c r="BH2" i="2"/>
  <c r="BG2" i="2"/>
  <c r="BF2" i="2"/>
  <c r="Z502" i="2"/>
  <c r="L315" i="2"/>
  <c r="Z315" i="2"/>
  <c r="X464" i="2"/>
  <c r="Z464" i="2"/>
  <c r="J291" i="2"/>
  <c r="J278" i="2"/>
  <c r="AA278" i="2" s="1"/>
  <c r="AB300" i="2"/>
  <c r="AA300" i="2"/>
  <c r="K300" i="2"/>
  <c r="K560" i="2"/>
  <c r="L559" i="2"/>
  <c r="K559" i="2"/>
  <c r="L558" i="2"/>
  <c r="K556" i="2"/>
  <c r="L555" i="2"/>
  <c r="K555" i="2"/>
  <c r="L554" i="2"/>
  <c r="K554" i="2"/>
  <c r="L552" i="2"/>
  <c r="K552" i="2"/>
  <c r="L551" i="2"/>
  <c r="K550" i="2"/>
  <c r="L548" i="2"/>
  <c r="K548" i="2"/>
  <c r="L547" i="2"/>
  <c r="L546" i="2"/>
  <c r="K545" i="2"/>
  <c r="K544" i="2"/>
  <c r="K543" i="2"/>
  <c r="L541" i="2"/>
  <c r="K540" i="2"/>
  <c r="K539" i="2"/>
  <c r="K537" i="2"/>
  <c r="L536" i="2"/>
  <c r="L534" i="2"/>
  <c r="K533" i="2"/>
  <c r="L532" i="2"/>
  <c r="K530" i="2"/>
  <c r="K529" i="2"/>
  <c r="L528" i="2"/>
  <c r="K528" i="2"/>
  <c r="L527" i="2"/>
  <c r="K527" i="2"/>
  <c r="L525" i="2"/>
  <c r="K525" i="2"/>
  <c r="L523" i="2"/>
  <c r="K523" i="2"/>
  <c r="L522" i="2"/>
  <c r="K522" i="2"/>
  <c r="L521" i="2"/>
  <c r="L520" i="2"/>
  <c r="K520" i="2"/>
  <c r="L519" i="2"/>
  <c r="K519" i="2"/>
  <c r="L518" i="2"/>
  <c r="K518" i="2"/>
  <c r="L516" i="2"/>
  <c r="K516" i="2"/>
  <c r="L515" i="2"/>
  <c r="K515" i="2"/>
  <c r="K514" i="2"/>
  <c r="L513" i="2"/>
  <c r="L512" i="2"/>
  <c r="L511" i="2"/>
  <c r="K511" i="2"/>
  <c r="L509" i="2"/>
  <c r="L508" i="2"/>
  <c r="K508" i="2"/>
  <c r="L507" i="2"/>
  <c r="K507" i="2"/>
  <c r="L506" i="2"/>
  <c r="K506" i="2"/>
  <c r="D177" i="2" s="1"/>
  <c r="L505" i="2"/>
  <c r="K505" i="2"/>
  <c r="L504" i="2"/>
  <c r="K504" i="2"/>
  <c r="L503" i="2"/>
  <c r="K503" i="2"/>
  <c r="L499" i="2"/>
  <c r="K499" i="2"/>
  <c r="L498" i="2"/>
  <c r="K498" i="2"/>
  <c r="L497" i="2"/>
  <c r="K497" i="2"/>
  <c r="L496" i="2"/>
  <c r="K496" i="2"/>
  <c r="L495" i="2"/>
  <c r="K495" i="2"/>
  <c r="D173" i="2"/>
  <c r="L494" i="2"/>
  <c r="K494" i="2"/>
  <c r="L493" i="2"/>
  <c r="K493" i="2"/>
  <c r="L492" i="2"/>
  <c r="L490" i="2"/>
  <c r="L489" i="2"/>
  <c r="K488" i="2"/>
  <c r="L487" i="2"/>
  <c r="K487" i="2"/>
  <c r="K486" i="2"/>
  <c r="L485" i="2"/>
  <c r="L484" i="2"/>
  <c r="K484" i="2"/>
  <c r="L483" i="2"/>
  <c r="K483" i="2"/>
  <c r="L482" i="2"/>
  <c r="K482" i="2"/>
  <c r="L481" i="2"/>
  <c r="K481" i="2"/>
  <c r="L480" i="2"/>
  <c r="K479" i="2"/>
  <c r="K478" i="2"/>
  <c r="L477" i="2"/>
  <c r="K477" i="2"/>
  <c r="K474" i="2"/>
  <c r="L473" i="2"/>
  <c r="K473" i="2"/>
  <c r="L472" i="2"/>
  <c r="K472" i="2"/>
  <c r="L471" i="2"/>
  <c r="K471" i="2"/>
  <c r="L470" i="2"/>
  <c r="L467" i="2"/>
  <c r="L465" i="2"/>
  <c r="K465" i="2"/>
  <c r="L462" i="2"/>
  <c r="K462" i="2"/>
  <c r="L461" i="2"/>
  <c r="K461" i="2"/>
  <c r="D151" i="2" s="1"/>
  <c r="L459" i="2"/>
  <c r="K459" i="2"/>
  <c r="L455" i="2"/>
  <c r="K455" i="2"/>
  <c r="L453" i="2"/>
  <c r="L452" i="2"/>
  <c r="K451" i="2"/>
  <c r="L450" i="2"/>
  <c r="K450" i="2"/>
  <c r="E145" i="2"/>
  <c r="L449" i="2"/>
  <c r="K449" i="2"/>
  <c r="E144" i="2" s="1"/>
  <c r="L448" i="2"/>
  <c r="K447" i="2"/>
  <c r="L445" i="2"/>
  <c r="K445" i="2"/>
  <c r="L443" i="2"/>
  <c r="K443" i="2"/>
  <c r="L442" i="2"/>
  <c r="K442" i="2"/>
  <c r="L440" i="2"/>
  <c r="L439" i="2"/>
  <c r="K439" i="2"/>
  <c r="L438" i="2"/>
  <c r="K438" i="2"/>
  <c r="L437" i="2"/>
  <c r="L436" i="2"/>
  <c r="K436" i="2"/>
  <c r="L435" i="2"/>
  <c r="K435" i="2"/>
  <c r="L434" i="2"/>
  <c r="K434" i="2"/>
  <c r="D139" i="2" s="1"/>
  <c r="L433" i="2"/>
  <c r="K433" i="2"/>
  <c r="L432" i="2"/>
  <c r="K432" i="2"/>
  <c r="L431" i="2"/>
  <c r="K431" i="2"/>
  <c r="L430" i="2"/>
  <c r="K430" i="2"/>
  <c r="L429" i="2"/>
  <c r="L427" i="2"/>
  <c r="K427" i="2"/>
  <c r="L426" i="2"/>
  <c r="K426" i="2"/>
  <c r="L424" i="2"/>
  <c r="L423" i="2"/>
  <c r="K423" i="2"/>
  <c r="L422" i="2"/>
  <c r="K421" i="2"/>
  <c r="L420" i="2"/>
  <c r="L419" i="2"/>
  <c r="K419" i="2"/>
  <c r="L418" i="2"/>
  <c r="K416" i="2"/>
  <c r="L414" i="2"/>
  <c r="K414" i="2"/>
  <c r="L413" i="2"/>
  <c r="K413" i="2"/>
  <c r="L411" i="2"/>
  <c r="K411" i="2"/>
  <c r="L410" i="2"/>
  <c r="K410" i="2"/>
  <c r="L408" i="2"/>
  <c r="K408" i="2"/>
  <c r="D127" i="2"/>
  <c r="L406" i="2"/>
  <c r="K406" i="2"/>
  <c r="K405" i="2"/>
  <c r="L404" i="2"/>
  <c r="K404" i="2"/>
  <c r="K403" i="2"/>
  <c r="K401" i="2"/>
  <c r="L398" i="2"/>
  <c r="L397" i="2"/>
  <c r="K397" i="2"/>
  <c r="L396" i="2"/>
  <c r="L395" i="2"/>
  <c r="L394" i="2"/>
  <c r="K394" i="2"/>
  <c r="L392" i="2"/>
  <c r="K391" i="2"/>
  <c r="L390" i="2"/>
  <c r="K390" i="2"/>
  <c r="L389" i="2"/>
  <c r="K389" i="2"/>
  <c r="L388" i="2"/>
  <c r="L387" i="2"/>
  <c r="L386" i="2"/>
  <c r="K386" i="2"/>
  <c r="E113" i="2" s="1"/>
  <c r="L384" i="2"/>
  <c r="K382" i="2"/>
  <c r="L380" i="2"/>
  <c r="L379" i="2"/>
  <c r="L378" i="2"/>
  <c r="L377" i="2"/>
  <c r="K377" i="2"/>
  <c r="L376" i="2"/>
  <c r="K375" i="2"/>
  <c r="L374" i="2"/>
  <c r="K374" i="2"/>
  <c r="E103" i="2" s="1"/>
  <c r="L373" i="2"/>
  <c r="L371" i="2"/>
  <c r="K371" i="2"/>
  <c r="L370" i="2"/>
  <c r="K370" i="2"/>
  <c r="E98" i="2"/>
  <c r="L369" i="2"/>
  <c r="K369" i="2"/>
  <c r="L367" i="2"/>
  <c r="L366" i="2"/>
  <c r="L365" i="2"/>
  <c r="L363" i="2"/>
  <c r="K363" i="2"/>
  <c r="L360" i="2"/>
  <c r="K360" i="2"/>
  <c r="L359" i="2"/>
  <c r="K359" i="2"/>
  <c r="L358" i="2"/>
  <c r="L357" i="2"/>
  <c r="K357" i="2"/>
  <c r="L356" i="2"/>
  <c r="L355" i="2"/>
  <c r="K355" i="2"/>
  <c r="L351" i="2"/>
  <c r="K351" i="2"/>
  <c r="L350" i="2"/>
  <c r="K350" i="2"/>
  <c r="L349" i="2"/>
  <c r="K349" i="2"/>
  <c r="L348" i="2"/>
  <c r="K348" i="2"/>
  <c r="L347" i="2"/>
  <c r="K347" i="2"/>
  <c r="L346" i="2"/>
  <c r="K346" i="2"/>
  <c r="L343" i="2"/>
  <c r="L342" i="2"/>
  <c r="K342" i="2"/>
  <c r="K341" i="2"/>
  <c r="L340" i="2"/>
  <c r="K340" i="2"/>
  <c r="L339" i="2"/>
  <c r="K339" i="2"/>
  <c r="L338" i="2"/>
  <c r="L337" i="2"/>
  <c r="L336" i="2"/>
  <c r="L335" i="2"/>
  <c r="L333" i="2"/>
  <c r="L332" i="2"/>
  <c r="K332" i="2"/>
  <c r="L331" i="2"/>
  <c r="K331" i="2"/>
  <c r="L330" i="2"/>
  <c r="K330" i="2"/>
  <c r="L329" i="2"/>
  <c r="L328" i="2"/>
  <c r="L327" i="2"/>
  <c r="K327" i="2"/>
  <c r="L326" i="2"/>
  <c r="K326" i="2"/>
  <c r="L325" i="2"/>
  <c r="K325" i="2"/>
  <c r="L323" i="2"/>
  <c r="K323" i="2"/>
  <c r="L321" i="2"/>
  <c r="K321" i="2"/>
  <c r="L320" i="2"/>
  <c r="L319" i="2"/>
  <c r="L318" i="2"/>
  <c r="K318" i="2"/>
  <c r="L317" i="2"/>
  <c r="L314" i="2"/>
  <c r="K314" i="2"/>
  <c r="L313" i="2"/>
  <c r="L311" i="2"/>
  <c r="K311" i="2"/>
  <c r="L310" i="2"/>
  <c r="L309" i="2"/>
  <c r="K309" i="2"/>
  <c r="L308" i="2"/>
  <c r="K308" i="2"/>
  <c r="L307" i="2"/>
  <c r="K307" i="2"/>
  <c r="L306" i="2"/>
  <c r="L303" i="2"/>
  <c r="K303" i="2"/>
  <c r="L302" i="2"/>
  <c r="K302" i="2"/>
  <c r="L301" i="2"/>
  <c r="K301" i="2"/>
  <c r="L297" i="2"/>
  <c r="K297" i="2"/>
  <c r="D56" i="2" s="1"/>
  <c r="L296" i="2"/>
  <c r="L295" i="2"/>
  <c r="L293" i="2"/>
  <c r="L292" i="2"/>
  <c r="K292" i="2"/>
  <c r="L290" i="2"/>
  <c r="K290" i="2"/>
  <c r="L289" i="2"/>
  <c r="K289" i="2"/>
  <c r="K287" i="2"/>
  <c r="L280" i="2"/>
  <c r="K280" i="2"/>
  <c r="E43" i="2" s="1"/>
  <c r="L278" i="2"/>
  <c r="K278" i="2"/>
  <c r="L277" i="2"/>
  <c r="K277" i="2"/>
  <c r="L273" i="2"/>
  <c r="L272" i="2"/>
  <c r="L268" i="2"/>
  <c r="L267" i="2"/>
  <c r="K267" i="2"/>
  <c r="K265" i="2"/>
  <c r="K264" i="2"/>
  <c r="L263" i="2"/>
  <c r="K263" i="2"/>
  <c r="L262" i="2"/>
  <c r="L261" i="2"/>
  <c r="K258" i="2"/>
  <c r="L257" i="2"/>
  <c r="K257" i="2"/>
  <c r="L256" i="2"/>
  <c r="K256" i="2"/>
  <c r="L255" i="2"/>
  <c r="K255" i="2"/>
  <c r="L254" i="2"/>
  <c r="L252" i="2"/>
  <c r="L251" i="2"/>
  <c r="K251" i="2"/>
  <c r="L249" i="2"/>
  <c r="K249" i="2"/>
  <c r="L248" i="2"/>
  <c r="K248" i="2"/>
  <c r="K245" i="2"/>
  <c r="L244" i="2"/>
  <c r="K244" i="2"/>
  <c r="K243" i="2"/>
  <c r="L242" i="2"/>
  <c r="L241" i="2"/>
  <c r="K241" i="2"/>
  <c r="L240" i="2"/>
  <c r="L239" i="2"/>
  <c r="L238" i="2"/>
  <c r="K238" i="2"/>
  <c r="L237" i="2"/>
  <c r="K237" i="2"/>
  <c r="L236" i="2"/>
  <c r="L235" i="2"/>
  <c r="L234" i="2"/>
  <c r="K234" i="2"/>
  <c r="L233" i="2"/>
  <c r="K233" i="2"/>
  <c r="L232" i="2"/>
  <c r="K232" i="2"/>
  <c r="L231" i="2"/>
  <c r="K231" i="2"/>
  <c r="L230" i="2"/>
  <c r="L229" i="2"/>
  <c r="K229" i="2"/>
  <c r="E13" i="2" s="1"/>
  <c r="L228" i="2"/>
  <c r="L226" i="2"/>
  <c r="L225" i="2"/>
  <c r="L224" i="2"/>
  <c r="L223" i="2"/>
  <c r="L222" i="2"/>
  <c r="K222" i="2"/>
  <c r="L220" i="2"/>
  <c r="K220" i="2"/>
  <c r="L219" i="2"/>
  <c r="K219" i="2"/>
  <c r="L218" i="2"/>
  <c r="L217" i="2"/>
  <c r="K217" i="2"/>
  <c r="L216" i="2"/>
  <c r="K216" i="2"/>
  <c r="L214" i="2"/>
  <c r="K214" i="2"/>
  <c r="Z470" i="2"/>
  <c r="AB470" i="2" s="1"/>
  <c r="AB158" i="2" s="1"/>
  <c r="AI470" i="2"/>
  <c r="AI158" i="2"/>
  <c r="AJ470" i="2"/>
  <c r="AJ158" i="2"/>
  <c r="AH158" i="2" s="1"/>
  <c r="L158" i="2" s="1"/>
  <c r="J279" i="2"/>
  <c r="AH415" i="2"/>
  <c r="L415" i="2" s="1"/>
  <c r="Z415" i="2"/>
  <c r="AH285" i="2"/>
  <c r="AH399" i="2"/>
  <c r="AI252" i="2"/>
  <c r="AI30" i="2"/>
  <c r="AJ252" i="2"/>
  <c r="AJ30" i="2" s="1"/>
  <c r="AH30" i="2" s="1"/>
  <c r="L30" i="2" s="1"/>
  <c r="X252" i="2"/>
  <c r="Z252" i="2"/>
  <c r="AB252" i="2" s="1"/>
  <c r="AB30" i="2" s="1"/>
  <c r="AH129" i="2"/>
  <c r="L129" i="2" s="1"/>
  <c r="Z188" i="2"/>
  <c r="K188" i="2"/>
  <c r="Z172" i="2"/>
  <c r="K172" i="2" s="1"/>
  <c r="Z121" i="2"/>
  <c r="K121" i="2" s="1"/>
  <c r="Z115" i="2"/>
  <c r="K115" i="2"/>
  <c r="Z91" i="2"/>
  <c r="K91" i="2" s="1"/>
  <c r="AH391" i="2"/>
  <c r="AJ391" i="2" s="1"/>
  <c r="AH269" i="2"/>
  <c r="Z269" i="2"/>
  <c r="AB269" i="2"/>
  <c r="Z356" i="2"/>
  <c r="AH463" i="2"/>
  <c r="Z463" i="2"/>
  <c r="AA463" i="2"/>
  <c r="AH479" i="2"/>
  <c r="L479" i="2"/>
  <c r="AA479" i="2"/>
  <c r="AB479" i="2"/>
  <c r="Z320" i="2"/>
  <c r="AI320" i="2"/>
  <c r="AI82" i="2"/>
  <c r="AJ320" i="2"/>
  <c r="AJ82" i="2" s="1"/>
  <c r="AH82" i="2" s="1"/>
  <c r="L82" i="2" s="1"/>
  <c r="AH324" i="2"/>
  <c r="AJ324" i="2"/>
  <c r="Z324" i="2"/>
  <c r="AA324" i="2"/>
  <c r="AH530" i="2"/>
  <c r="AI530" i="2" s="1"/>
  <c r="Z328" i="2"/>
  <c r="K328" i="2"/>
  <c r="AH258" i="2"/>
  <c r="L258" i="2"/>
  <c r="Z235" i="2"/>
  <c r="AH531" i="2"/>
  <c r="AI531" i="2"/>
  <c r="AJ531" i="2"/>
  <c r="Z531" i="2"/>
  <c r="AA531" i="2"/>
  <c r="AH488" i="2"/>
  <c r="AH539" i="2"/>
  <c r="AH538" i="2"/>
  <c r="L538" i="2"/>
  <c r="Z538" i="2"/>
  <c r="AB538" i="2"/>
  <c r="AH535" i="2"/>
  <c r="AJ535" i="2" s="1"/>
  <c r="Z535" i="2"/>
  <c r="K535" i="2" s="1"/>
  <c r="Z392" i="2"/>
  <c r="AI392" i="2"/>
  <c r="AJ392" i="2"/>
  <c r="Z224" i="2"/>
  <c r="Z343" i="2"/>
  <c r="AI343" i="2"/>
  <c r="AJ343" i="2"/>
  <c r="Z429" i="2"/>
  <c r="AH510" i="2"/>
  <c r="Z510" i="2"/>
  <c r="AB510" i="2"/>
  <c r="Z293" i="2"/>
  <c r="AB293" i="2"/>
  <c r="Z546" i="2"/>
  <c r="K546" i="2"/>
  <c r="AH537" i="2"/>
  <c r="Z480" i="2"/>
  <c r="Z395" i="2"/>
  <c r="AH444" i="2"/>
  <c r="Z444" i="2"/>
  <c r="AH352" i="2"/>
  <c r="Z352" i="2"/>
  <c r="AB352" i="2" s="1"/>
  <c r="AH524" i="2"/>
  <c r="L524" i="2" s="1"/>
  <c r="Z524" i="2"/>
  <c r="Z268" i="2"/>
  <c r="AB268" i="2" s="1"/>
  <c r="AI268" i="2"/>
  <c r="AJ268" i="2"/>
  <c r="AH270" i="2"/>
  <c r="L270" i="2"/>
  <c r="Z270" i="2"/>
  <c r="AA270" i="2" s="1"/>
  <c r="Z223" i="2"/>
  <c r="K223" i="2"/>
  <c r="Z225" i="2"/>
  <c r="AH353" i="2"/>
  <c r="L353" i="2"/>
  <c r="Z353" i="2"/>
  <c r="AH403" i="2"/>
  <c r="AH500" i="2"/>
  <c r="AJ500" i="2" s="1"/>
  <c r="Z500" i="2"/>
  <c r="AB500" i="2"/>
  <c r="Z512" i="2"/>
  <c r="K512" i="2" s="1"/>
  <c r="Z513" i="2"/>
  <c r="Z228" i="2"/>
  <c r="AB228" i="2"/>
  <c r="AH583" i="2"/>
  <c r="L583" i="2" s="1"/>
  <c r="Z583" i="2"/>
  <c r="K583" i="2"/>
  <c r="Z542" i="2"/>
  <c r="AH542" i="2"/>
  <c r="AI542" i="2"/>
  <c r="AH581" i="2"/>
  <c r="L581" i="2" s="1"/>
  <c r="Z581" i="2"/>
  <c r="K581" i="2"/>
  <c r="AH543" i="2"/>
  <c r="AH587" i="2"/>
  <c r="L587" i="2" s="1"/>
  <c r="Z587" i="2"/>
  <c r="K587" i="2"/>
  <c r="Z585" i="2"/>
  <c r="K585" i="2" s="1"/>
  <c r="AH585" i="2"/>
  <c r="L585" i="2"/>
  <c r="AH381" i="2"/>
  <c r="L381" i="2" s="1"/>
  <c r="Z424" i="2"/>
  <c r="Z366" i="2"/>
  <c r="Z365" i="2"/>
  <c r="AB365" i="2" s="1"/>
  <c r="Z337" i="2"/>
  <c r="Z336" i="2"/>
  <c r="Z329" i="2"/>
  <c r="Z272" i="2"/>
  <c r="Z262" i="2"/>
  <c r="K262" i="2" s="1"/>
  <c r="Z254" i="2"/>
  <c r="AA254" i="2"/>
  <c r="K254" i="2"/>
  <c r="K586" i="2"/>
  <c r="K595" i="2"/>
  <c r="K596" i="2"/>
  <c r="K602" i="2"/>
  <c r="K574" i="2"/>
  <c r="K571" i="2"/>
  <c r="K569" i="2"/>
  <c r="K568" i="2"/>
  <c r="K567" i="2"/>
  <c r="K566" i="2"/>
  <c r="K565" i="2"/>
  <c r="K563" i="2"/>
  <c r="Z437" i="2"/>
  <c r="Z333" i="2"/>
  <c r="K333" i="2" s="1"/>
  <c r="Z558" i="2"/>
  <c r="Z521" i="2"/>
  <c r="K521" i="2"/>
  <c r="Z475" i="2"/>
  <c r="Z388" i="2"/>
  <c r="K388" i="2" s="1"/>
  <c r="D114" i="2" s="1"/>
  <c r="Z319" i="2"/>
  <c r="Z295" i="2"/>
  <c r="K295" i="2"/>
  <c r="Z282" i="2"/>
  <c r="Z561" i="2"/>
  <c r="Z557" i="2"/>
  <c r="Z517" i="2"/>
  <c r="Z456" i="2"/>
  <c r="AB456" i="2"/>
  <c r="Z446" i="2"/>
  <c r="Z440" i="2"/>
  <c r="K440" i="2" s="1"/>
  <c r="Z425" i="2"/>
  <c r="K425" i="2"/>
  <c r="Z399" i="2"/>
  <c r="Z381" i="2"/>
  <c r="K381" i="2" s="1"/>
  <c r="Z376" i="2"/>
  <c r="K376" i="2"/>
  <c r="E105" i="2" s="1"/>
  <c r="Z367" i="2"/>
  <c r="K367" i="2"/>
  <c r="Z364" i="2"/>
  <c r="Z361" i="2"/>
  <c r="Z362" i="2"/>
  <c r="K362" i="2"/>
  <c r="Z358" i="2"/>
  <c r="Z334" i="2"/>
  <c r="Z317" i="2"/>
  <c r="Z316" i="2"/>
  <c r="K316" i="2"/>
  <c r="Z310" i="2"/>
  <c r="Z296" i="2"/>
  <c r="K296" i="2"/>
  <c r="Z294" i="2"/>
  <c r="Z286" i="2"/>
  <c r="Z285" i="2"/>
  <c r="Z284" i="2"/>
  <c r="AB284" i="2"/>
  <c r="Z274" i="2"/>
  <c r="Z273" i="2"/>
  <c r="AA273" i="2"/>
  <c r="Z253" i="2"/>
  <c r="Z242" i="2"/>
  <c r="K242" i="2"/>
  <c r="D23" i="2" s="1"/>
  <c r="Z236" i="2"/>
  <c r="Z230" i="2"/>
  <c r="K230" i="2" s="1"/>
  <c r="AJ559" i="2"/>
  <c r="AI559" i="2"/>
  <c r="AJ558" i="2"/>
  <c r="AI558" i="2"/>
  <c r="AJ557" i="2"/>
  <c r="AJ555" i="2"/>
  <c r="AI555" i="2"/>
  <c r="AJ554" i="2"/>
  <c r="AJ191" i="2" s="1"/>
  <c r="AH191" i="2" s="1"/>
  <c r="L191" i="2" s="1"/>
  <c r="AI554" i="2"/>
  <c r="AI191" i="2" s="1"/>
  <c r="AJ552" i="2"/>
  <c r="AI552" i="2"/>
  <c r="AJ551" i="2"/>
  <c r="AJ186" i="2" s="1"/>
  <c r="AI551" i="2"/>
  <c r="AI186" i="2"/>
  <c r="AJ548" i="2"/>
  <c r="AI548" i="2"/>
  <c r="AJ547" i="2"/>
  <c r="AI547" i="2"/>
  <c r="AJ594" i="2"/>
  <c r="AI594" i="2"/>
  <c r="AJ541" i="2"/>
  <c r="AI541" i="2"/>
  <c r="AJ536" i="2"/>
  <c r="AI536" i="2"/>
  <c r="AJ534" i="2"/>
  <c r="AI534" i="2"/>
  <c r="AJ532" i="2"/>
  <c r="AI532" i="2"/>
  <c r="AJ528" i="2"/>
  <c r="AI528" i="2"/>
  <c r="AJ527" i="2"/>
  <c r="AI527" i="2"/>
  <c r="AJ525" i="2"/>
  <c r="AI525" i="2"/>
  <c r="AJ523" i="2"/>
  <c r="AI523" i="2"/>
  <c r="AJ522" i="2"/>
  <c r="AI522" i="2"/>
  <c r="AJ521" i="2"/>
  <c r="AI521" i="2"/>
  <c r="AJ520" i="2"/>
  <c r="AI520" i="2"/>
  <c r="AJ519" i="2"/>
  <c r="AI519" i="2"/>
  <c r="AJ518" i="2"/>
  <c r="AI518" i="2"/>
  <c r="AJ516" i="2"/>
  <c r="AI516" i="2"/>
  <c r="AJ515" i="2"/>
  <c r="AI515" i="2"/>
  <c r="AJ511" i="2"/>
  <c r="AI511" i="2"/>
  <c r="AJ509" i="2"/>
  <c r="AI509" i="2"/>
  <c r="AJ508" i="2"/>
  <c r="AI508" i="2"/>
  <c r="AJ507" i="2"/>
  <c r="AJ178" i="2" s="1"/>
  <c r="AH178" i="2"/>
  <c r="L178" i="2" s="1"/>
  <c r="AI507" i="2"/>
  <c r="AI178" i="2"/>
  <c r="AJ506" i="2"/>
  <c r="AJ177" i="2"/>
  <c r="AH177" i="2" s="1"/>
  <c r="L177" i="2"/>
  <c r="AI506" i="2"/>
  <c r="AI177" i="2" s="1"/>
  <c r="AJ505" i="2"/>
  <c r="AI505" i="2"/>
  <c r="AJ504" i="2"/>
  <c r="AI504" i="2"/>
  <c r="AJ503" i="2"/>
  <c r="AI503" i="2"/>
  <c r="AJ499" i="2"/>
  <c r="AI499" i="2"/>
  <c r="AJ498" i="2"/>
  <c r="AI498" i="2"/>
  <c r="AJ497" i="2"/>
  <c r="AI497" i="2"/>
  <c r="AJ496" i="2"/>
  <c r="AI496" i="2"/>
  <c r="AJ495" i="2"/>
  <c r="AI495" i="2"/>
  <c r="AJ494" i="2"/>
  <c r="AI494" i="2"/>
  <c r="AJ493" i="2"/>
  <c r="AI493" i="2"/>
  <c r="AJ492" i="2"/>
  <c r="AI492" i="2"/>
  <c r="AJ490" i="2"/>
  <c r="AI490" i="2"/>
  <c r="AJ489" i="2"/>
  <c r="AI489" i="2"/>
  <c r="AJ487" i="2"/>
  <c r="AI487" i="2"/>
  <c r="AJ485" i="2"/>
  <c r="AJ166" i="2" s="1"/>
  <c r="AH166" i="2" s="1"/>
  <c r="L166" i="2" s="1"/>
  <c r="AI485" i="2"/>
  <c r="AI166" i="2"/>
  <c r="AJ484" i="2"/>
  <c r="AI484" i="2"/>
  <c r="AJ483" i="2"/>
  <c r="AI483" i="2"/>
  <c r="AJ482" i="2"/>
  <c r="AI482" i="2"/>
  <c r="AJ481" i="2"/>
  <c r="AI481" i="2"/>
  <c r="AJ477" i="2"/>
  <c r="AI477" i="2"/>
  <c r="AI475" i="2"/>
  <c r="AJ473" i="2"/>
  <c r="AI473" i="2"/>
  <c r="AJ472" i="2"/>
  <c r="AI472" i="2"/>
  <c r="AJ471" i="2"/>
  <c r="AI471" i="2"/>
  <c r="AJ467" i="2"/>
  <c r="AJ156" i="2" s="1"/>
  <c r="AI467" i="2"/>
  <c r="AJ465" i="2"/>
  <c r="AJ154" i="2"/>
  <c r="AH154" i="2" s="1"/>
  <c r="L154" i="2" s="1"/>
  <c r="AI465" i="2"/>
  <c r="AI154" i="2"/>
  <c r="AJ462" i="2"/>
  <c r="AI462" i="2"/>
  <c r="AJ461" i="2"/>
  <c r="AJ151" i="2"/>
  <c r="AH151" i="2"/>
  <c r="L151" i="2"/>
  <c r="AI461" i="2"/>
  <c r="AI151" i="2" s="1"/>
  <c r="AJ459" i="2"/>
  <c r="AI459" i="2"/>
  <c r="AJ455" i="2"/>
  <c r="AJ148" i="2"/>
  <c r="AI455" i="2"/>
  <c r="AI148" i="2" s="1"/>
  <c r="AJ453" i="2"/>
  <c r="AI453" i="2"/>
  <c r="AJ452" i="2"/>
  <c r="AJ147" i="2"/>
  <c r="AI452" i="2"/>
  <c r="AJ450" i="2"/>
  <c r="AJ145" i="2" s="1"/>
  <c r="AH145" i="2" s="1"/>
  <c r="L145" i="2" s="1"/>
  <c r="AI450" i="2"/>
  <c r="AI145" i="2"/>
  <c r="AJ449" i="2"/>
  <c r="AJ144" i="2" s="1"/>
  <c r="AH144" i="2" s="1"/>
  <c r="L144" i="2" s="1"/>
  <c r="AI449" i="2"/>
  <c r="AI144" i="2"/>
  <c r="AJ448" i="2"/>
  <c r="AJ143" i="2"/>
  <c r="AH143" i="2" s="1"/>
  <c r="L143" i="2" s="1"/>
  <c r="AI448" i="2"/>
  <c r="AI143" i="2"/>
  <c r="AJ445" i="2"/>
  <c r="AI445" i="2"/>
  <c r="AJ443" i="2"/>
  <c r="AI443" i="2"/>
  <c r="AJ442" i="2"/>
  <c r="AI442" i="2"/>
  <c r="AJ440" i="2"/>
  <c r="AI440" i="2"/>
  <c r="AJ439" i="2"/>
  <c r="AI439" i="2"/>
  <c r="AJ438" i="2"/>
  <c r="AI438" i="2"/>
  <c r="AJ437" i="2"/>
  <c r="AI437" i="2"/>
  <c r="AJ436" i="2"/>
  <c r="AI436" i="2"/>
  <c r="AJ435" i="2"/>
  <c r="AI435" i="2"/>
  <c r="AJ434" i="2"/>
  <c r="AI434" i="2"/>
  <c r="AI139" i="2"/>
  <c r="AJ433" i="2"/>
  <c r="AI433" i="2"/>
  <c r="AJ432" i="2"/>
  <c r="AI432" i="2"/>
  <c r="AJ431" i="2"/>
  <c r="AI431" i="2"/>
  <c r="AI138" i="2" s="1"/>
  <c r="AJ430" i="2"/>
  <c r="AJ136" i="2" s="1"/>
  <c r="AH136" i="2" s="1"/>
  <c r="L136" i="2" s="1"/>
  <c r="AI430" i="2"/>
  <c r="AI136" i="2"/>
  <c r="AJ427" i="2"/>
  <c r="AI427" i="2"/>
  <c r="AJ426" i="2"/>
  <c r="AI426" i="2"/>
  <c r="AI425" i="2"/>
  <c r="AJ424" i="2"/>
  <c r="AI424" i="2"/>
  <c r="AJ423" i="2"/>
  <c r="AI423" i="2"/>
  <c r="AJ422" i="2"/>
  <c r="AI422" i="2"/>
  <c r="AJ420" i="2"/>
  <c r="AI420" i="2"/>
  <c r="AJ419" i="2"/>
  <c r="AI419" i="2"/>
  <c r="AJ418" i="2"/>
  <c r="AJ132" i="2"/>
  <c r="AH132" i="2"/>
  <c r="L132" i="2"/>
  <c r="AI418" i="2"/>
  <c r="AI132" i="2" s="1"/>
  <c r="AJ414" i="2"/>
  <c r="AI414" i="2"/>
  <c r="AJ413" i="2"/>
  <c r="AI413" i="2"/>
  <c r="AJ411" i="2"/>
  <c r="AJ130" i="2" s="1"/>
  <c r="AI411" i="2"/>
  <c r="AJ410" i="2"/>
  <c r="AI410" i="2"/>
  <c r="AJ408" i="2"/>
  <c r="AJ127" i="2"/>
  <c r="AH127" i="2"/>
  <c r="L127" i="2" s="1"/>
  <c r="AI408" i="2"/>
  <c r="AI127" i="2" s="1"/>
  <c r="AJ406" i="2"/>
  <c r="AI406" i="2"/>
  <c r="AJ404" i="2"/>
  <c r="AI404" i="2"/>
  <c r="AJ398" i="2"/>
  <c r="AI398" i="2"/>
  <c r="AJ397" i="2"/>
  <c r="AI397" i="2"/>
  <c r="AJ396" i="2"/>
  <c r="AI396" i="2"/>
  <c r="AJ394" i="2"/>
  <c r="AI394" i="2"/>
  <c r="AJ390" i="2"/>
  <c r="AI390" i="2"/>
  <c r="AJ389" i="2"/>
  <c r="AI389" i="2"/>
  <c r="AJ388" i="2"/>
  <c r="AJ114" i="2" s="1"/>
  <c r="AH114" i="2" s="1"/>
  <c r="L114" i="2" s="1"/>
  <c r="AI388" i="2"/>
  <c r="AI114" i="2"/>
  <c r="AJ387" i="2"/>
  <c r="AI387" i="2"/>
  <c r="AJ386" i="2"/>
  <c r="AJ113" i="2" s="1"/>
  <c r="AH113" i="2" s="1"/>
  <c r="L113" i="2" s="1"/>
  <c r="AI386" i="2"/>
  <c r="AI113" i="2" s="1"/>
  <c r="AJ384" i="2"/>
  <c r="AI384" i="2"/>
  <c r="AJ380" i="2"/>
  <c r="AJ111" i="2"/>
  <c r="AH111" i="2" s="1"/>
  <c r="L111" i="2" s="1"/>
  <c r="AI380" i="2"/>
  <c r="AI111" i="2" s="1"/>
  <c r="AJ379" i="2"/>
  <c r="AJ110" i="2"/>
  <c r="AH110" i="2" s="1"/>
  <c r="L110" i="2" s="1"/>
  <c r="AI379" i="2"/>
  <c r="AI110" i="2"/>
  <c r="AJ378" i="2"/>
  <c r="AI378" i="2"/>
  <c r="AJ377" i="2"/>
  <c r="AI377" i="2"/>
  <c r="AI108" i="2" s="1"/>
  <c r="AJ376" i="2"/>
  <c r="AJ105" i="2"/>
  <c r="AH105" i="2"/>
  <c r="L105" i="2" s="1"/>
  <c r="AI376" i="2"/>
  <c r="AI105" i="2" s="1"/>
  <c r="AJ374" i="2"/>
  <c r="AJ103" i="2" s="1"/>
  <c r="AI374" i="2"/>
  <c r="AI103" i="2"/>
  <c r="AJ373" i="2"/>
  <c r="AJ100" i="2" s="1"/>
  <c r="AH100" i="2" s="1"/>
  <c r="L100" i="2" s="1"/>
  <c r="AI373" i="2"/>
  <c r="AI100" i="2"/>
  <c r="AJ371" i="2"/>
  <c r="AI371" i="2"/>
  <c r="AJ370" i="2"/>
  <c r="AI370" i="2"/>
  <c r="AJ369" i="2"/>
  <c r="AI369" i="2"/>
  <c r="AI98" i="2" s="1"/>
  <c r="AJ367" i="2"/>
  <c r="AI367" i="2"/>
  <c r="AJ366" i="2"/>
  <c r="AI366" i="2"/>
  <c r="AJ365" i="2"/>
  <c r="AI365" i="2"/>
  <c r="AJ363" i="2"/>
  <c r="AJ95" i="2" s="1"/>
  <c r="AH95" i="2" s="1"/>
  <c r="L95" i="2" s="1"/>
  <c r="AI363" i="2"/>
  <c r="AI95" i="2"/>
  <c r="AJ360" i="2"/>
  <c r="AI360" i="2"/>
  <c r="AJ359" i="2"/>
  <c r="AI359" i="2"/>
  <c r="AJ358" i="2"/>
  <c r="AI358" i="2"/>
  <c r="AI93" i="2" s="1"/>
  <c r="AJ357" i="2"/>
  <c r="AI357" i="2"/>
  <c r="AJ355" i="2"/>
  <c r="AJ92" i="2"/>
  <c r="AI355" i="2"/>
  <c r="AI92" i="2"/>
  <c r="AJ351" i="2"/>
  <c r="AI351" i="2"/>
  <c r="AJ350" i="2"/>
  <c r="AI350" i="2"/>
  <c r="AJ349" i="2"/>
  <c r="AI349" i="2"/>
  <c r="AJ348" i="2"/>
  <c r="AI348" i="2"/>
  <c r="AJ347" i="2"/>
  <c r="AI347" i="2"/>
  <c r="AJ346" i="2"/>
  <c r="AI346" i="2"/>
  <c r="AJ342" i="2"/>
  <c r="AJ87" i="2" s="1"/>
  <c r="AH87" i="2" s="1"/>
  <c r="L87" i="2" s="1"/>
  <c r="AI342" i="2"/>
  <c r="AI87" i="2"/>
  <c r="AJ340" i="2"/>
  <c r="AI340" i="2"/>
  <c r="AJ339" i="2"/>
  <c r="AI339" i="2"/>
  <c r="AJ338" i="2"/>
  <c r="AI338" i="2"/>
  <c r="AJ337" i="2"/>
  <c r="AI337" i="2"/>
  <c r="AJ336" i="2"/>
  <c r="AI336" i="2"/>
  <c r="AJ335" i="2"/>
  <c r="AI335" i="2"/>
  <c r="AI85" i="2" s="1"/>
  <c r="AJ333" i="2"/>
  <c r="AI333" i="2"/>
  <c r="AJ332" i="2"/>
  <c r="AI332" i="2"/>
  <c r="AJ331" i="2"/>
  <c r="AI331" i="2"/>
  <c r="AJ330" i="2"/>
  <c r="AI330" i="2"/>
  <c r="AJ329" i="2"/>
  <c r="AI329" i="2"/>
  <c r="AJ327" i="2"/>
  <c r="AI327" i="2"/>
  <c r="AJ326" i="2"/>
  <c r="AI326" i="2"/>
  <c r="AJ325" i="2"/>
  <c r="AI325" i="2"/>
  <c r="AJ323" i="2"/>
  <c r="AI323" i="2"/>
  <c r="AJ321" i="2"/>
  <c r="AI321" i="2"/>
  <c r="AJ319" i="2"/>
  <c r="AI319" i="2"/>
  <c r="AI80" i="2"/>
  <c r="AJ318" i="2"/>
  <c r="AJ80" i="2" s="1"/>
  <c r="AI318" i="2"/>
  <c r="AJ317" i="2"/>
  <c r="AI317" i="2"/>
  <c r="AJ314" i="2"/>
  <c r="AJ75" i="2" s="1"/>
  <c r="AI314" i="2"/>
  <c r="AJ313" i="2"/>
  <c r="AI313" i="2"/>
  <c r="AI75" i="2" s="1"/>
  <c r="AJ310" i="2"/>
  <c r="AI310" i="2"/>
  <c r="AJ309" i="2"/>
  <c r="AJ69" i="2" s="1"/>
  <c r="AH69" i="2" s="1"/>
  <c r="L69" i="2" s="1"/>
  <c r="AI309" i="2"/>
  <c r="AI69" i="2"/>
  <c r="AJ308" i="2"/>
  <c r="AJ68" i="2"/>
  <c r="AI308" i="2"/>
  <c r="AI68" i="2" s="1"/>
  <c r="AJ307" i="2"/>
  <c r="AJ64" i="2" s="1"/>
  <c r="AI307" i="2"/>
  <c r="AI64" i="2"/>
  <c r="AJ306" i="2"/>
  <c r="AI306" i="2"/>
  <c r="AJ303" i="2"/>
  <c r="AI303" i="2"/>
  <c r="AJ302" i="2"/>
  <c r="AI302" i="2"/>
  <c r="AI60" i="2"/>
  <c r="AJ301" i="2"/>
  <c r="AJ60" i="2" s="1"/>
  <c r="AI301" i="2"/>
  <c r="AJ297" i="2"/>
  <c r="AJ56" i="2"/>
  <c r="AI297" i="2"/>
  <c r="AI56" i="2" s="1"/>
  <c r="AJ296" i="2"/>
  <c r="AI296" i="2"/>
  <c r="AJ295" i="2"/>
  <c r="AI295" i="2"/>
  <c r="AJ292" i="2"/>
  <c r="AI292" i="2"/>
  <c r="AJ290" i="2"/>
  <c r="AI290" i="2"/>
  <c r="AJ289" i="2"/>
  <c r="AI289" i="2"/>
  <c r="AJ286" i="2"/>
  <c r="AI286" i="2"/>
  <c r="AJ280" i="2"/>
  <c r="AJ43" i="2" s="1"/>
  <c r="AI280" i="2"/>
  <c r="AI43" i="2"/>
  <c r="AJ278" i="2"/>
  <c r="AI278" i="2"/>
  <c r="AJ277" i="2"/>
  <c r="AI277" i="2"/>
  <c r="AJ273" i="2"/>
  <c r="AI273" i="2"/>
  <c r="AJ272" i="2"/>
  <c r="AI272" i="2"/>
  <c r="AJ267" i="2"/>
  <c r="AI267" i="2"/>
  <c r="AJ263" i="2"/>
  <c r="AI263" i="2"/>
  <c r="AJ262" i="2"/>
  <c r="AJ36" i="2"/>
  <c r="AH36" i="2"/>
  <c r="L36" i="2" s="1"/>
  <c r="AI262" i="2"/>
  <c r="AI36" i="2"/>
  <c r="AJ261" i="2"/>
  <c r="AJ35" i="2" s="1"/>
  <c r="AI261" i="2"/>
  <c r="AI35" i="2" s="1"/>
  <c r="AJ257" i="2"/>
  <c r="AI257" i="2"/>
  <c r="AJ256" i="2"/>
  <c r="AI256" i="2"/>
  <c r="AJ255" i="2"/>
  <c r="AI255" i="2"/>
  <c r="AJ254" i="2"/>
  <c r="AI254" i="2"/>
  <c r="AJ251" i="2"/>
  <c r="AI251" i="2"/>
  <c r="AJ249" i="2"/>
  <c r="AI249" i="2"/>
  <c r="AJ248" i="2"/>
  <c r="AJ26" i="2" s="1"/>
  <c r="AI248" i="2"/>
  <c r="AI26" i="2" s="1"/>
  <c r="AJ244" i="2"/>
  <c r="AJ24" i="2" s="1"/>
  <c r="AH24" i="2" s="1"/>
  <c r="L24" i="2" s="1"/>
  <c r="AI244" i="2"/>
  <c r="AI24" i="2"/>
  <c r="AJ242" i="2"/>
  <c r="AI242" i="2"/>
  <c r="AJ241" i="2"/>
  <c r="AI241" i="2"/>
  <c r="AJ240" i="2"/>
  <c r="AJ19" i="2" s="1"/>
  <c r="AH19" i="2" s="1"/>
  <c r="L19" i="2"/>
  <c r="AI240" i="2"/>
  <c r="AI19" i="2"/>
  <c r="AJ239" i="2"/>
  <c r="AJ18" i="2"/>
  <c r="AH18" i="2" s="1"/>
  <c r="L18" i="2" s="1"/>
  <c r="AI239" i="2"/>
  <c r="AI18" i="2" s="1"/>
  <c r="AJ238" i="2"/>
  <c r="AJ17" i="2" s="1"/>
  <c r="AH17" i="2" s="1"/>
  <c r="L17" i="2" s="1"/>
  <c r="AI238" i="2"/>
  <c r="AI17" i="2"/>
  <c r="AJ237" i="2"/>
  <c r="AI237" i="2"/>
  <c r="AJ236" i="2"/>
  <c r="AI236" i="2"/>
  <c r="AJ234" i="2"/>
  <c r="AI234" i="2"/>
  <c r="AJ233" i="2"/>
  <c r="AI233" i="2"/>
  <c r="AJ232" i="2"/>
  <c r="AJ16" i="2" s="1"/>
  <c r="AI232" i="2"/>
  <c r="AJ231" i="2"/>
  <c r="AI231" i="2"/>
  <c r="AJ230" i="2"/>
  <c r="AI230" i="2"/>
  <c r="AJ229" i="2"/>
  <c r="AI229" i="2"/>
  <c r="AI13" i="2" s="1"/>
  <c r="AJ226" i="2"/>
  <c r="AI226" i="2"/>
  <c r="AJ222" i="2"/>
  <c r="AI222" i="2"/>
  <c r="AJ220" i="2"/>
  <c r="AJ10" i="2" s="1"/>
  <c r="AH10" i="2" s="1"/>
  <c r="L10" i="2" s="1"/>
  <c r="AI220" i="2"/>
  <c r="AI10" i="2"/>
  <c r="AJ219" i="2"/>
  <c r="AJ9" i="2"/>
  <c r="AI219" i="2"/>
  <c r="AJ218" i="2"/>
  <c r="AI218" i="2"/>
  <c r="AJ217" i="2"/>
  <c r="AJ8" i="2"/>
  <c r="AH8" i="2" s="1"/>
  <c r="L8" i="2"/>
  <c r="AI217" i="2"/>
  <c r="AI8" i="2" s="1"/>
  <c r="AJ216" i="2"/>
  <c r="AJ7" i="2"/>
  <c r="AH7" i="2" s="1"/>
  <c r="L7" i="2" s="1"/>
  <c r="AI216" i="2"/>
  <c r="AI7" i="2" s="1"/>
  <c r="AJ214" i="2"/>
  <c r="AI214" i="2"/>
  <c r="AB560" i="2"/>
  <c r="AA560" i="2"/>
  <c r="AB559" i="2"/>
  <c r="AA559" i="2"/>
  <c r="AB556" i="2"/>
  <c r="AA556" i="2"/>
  <c r="AB555" i="2"/>
  <c r="AA555" i="2"/>
  <c r="AB554" i="2"/>
  <c r="AB191" i="2"/>
  <c r="Z191" i="2"/>
  <c r="AA554" i="2"/>
  <c r="AA191" i="2" s="1"/>
  <c r="AB552" i="2"/>
  <c r="AA552" i="2"/>
  <c r="AA189" i="2" s="1"/>
  <c r="AB550" i="2"/>
  <c r="AA550" i="2"/>
  <c r="AB548" i="2"/>
  <c r="AA548" i="2"/>
  <c r="AB545" i="2"/>
  <c r="AA545" i="2"/>
  <c r="AB544" i="2"/>
  <c r="AA544" i="2"/>
  <c r="AB540" i="2"/>
  <c r="AA540" i="2"/>
  <c r="AB533" i="2"/>
  <c r="AA533" i="2"/>
  <c r="AB529" i="2"/>
  <c r="AA529" i="2"/>
  <c r="AB528" i="2"/>
  <c r="AA528" i="2"/>
  <c r="AB527" i="2"/>
  <c r="AA527" i="2"/>
  <c r="AB525" i="2"/>
  <c r="AA525" i="2"/>
  <c r="AB523" i="2"/>
  <c r="AA523" i="2"/>
  <c r="AB522" i="2"/>
  <c r="AA522" i="2"/>
  <c r="AB520" i="2"/>
  <c r="AA520" i="2"/>
  <c r="AB519" i="2"/>
  <c r="AA519" i="2"/>
  <c r="AB518" i="2"/>
  <c r="AA518" i="2"/>
  <c r="AB516" i="2"/>
  <c r="AA516" i="2"/>
  <c r="AB515" i="2"/>
  <c r="AA515" i="2"/>
  <c r="AB514" i="2"/>
  <c r="AA514" i="2"/>
  <c r="AB511" i="2"/>
  <c r="AA511" i="2"/>
  <c r="AB508" i="2"/>
  <c r="AA508" i="2"/>
  <c r="AB507" i="2"/>
  <c r="AB178" i="2" s="1"/>
  <c r="AA507" i="2"/>
  <c r="AA178" i="2" s="1"/>
  <c r="AB506" i="2"/>
  <c r="AB177" i="2" s="1"/>
  <c r="AA506" i="2"/>
  <c r="AA177" i="2" s="1"/>
  <c r="AB505" i="2"/>
  <c r="AB175" i="2" s="1"/>
  <c r="AA505" i="2"/>
  <c r="AB504" i="2"/>
  <c r="AA504" i="2"/>
  <c r="AB503" i="2"/>
  <c r="AA503" i="2"/>
  <c r="AB499" i="2"/>
  <c r="AA499" i="2"/>
  <c r="AB498" i="2"/>
  <c r="AA498" i="2"/>
  <c r="AB497" i="2"/>
  <c r="AA497" i="2"/>
  <c r="AB496" i="2"/>
  <c r="AA496" i="2"/>
  <c r="AB494" i="2"/>
  <c r="AA494" i="2"/>
  <c r="AB493" i="2"/>
  <c r="AB171" i="2"/>
  <c r="AA493" i="2"/>
  <c r="AB487" i="2"/>
  <c r="AA487" i="2"/>
  <c r="AB486" i="2"/>
  <c r="AB168" i="2" s="1"/>
  <c r="Z168" i="2" s="1"/>
  <c r="K168" i="2" s="1"/>
  <c r="AA486" i="2"/>
  <c r="AA168" i="2" s="1"/>
  <c r="AB484" i="2"/>
  <c r="AA484" i="2"/>
  <c r="AB483" i="2"/>
  <c r="AA483" i="2"/>
  <c r="AB482" i="2"/>
  <c r="AA482" i="2"/>
  <c r="AB481" i="2"/>
  <c r="AA481" i="2"/>
  <c r="AB478" i="2"/>
  <c r="AA478" i="2"/>
  <c r="AB477" i="2"/>
  <c r="AA477" i="2"/>
  <c r="AB474" i="2"/>
  <c r="AA474" i="2"/>
  <c r="AB473" i="2"/>
  <c r="AA473" i="2"/>
  <c r="AB472" i="2"/>
  <c r="AA472" i="2"/>
  <c r="AB471" i="2"/>
  <c r="AA471" i="2"/>
  <c r="AB465" i="2"/>
  <c r="AB154" i="2" s="1"/>
  <c r="Z154" i="2" s="1"/>
  <c r="AA465" i="2"/>
  <c r="AA154" i="2"/>
  <c r="AB462" i="2"/>
  <c r="AA462" i="2"/>
  <c r="AA153" i="2"/>
  <c r="AB461" i="2"/>
  <c r="AB151" i="2" s="1"/>
  <c r="AA461" i="2"/>
  <c r="AA151" i="2"/>
  <c r="AB459" i="2"/>
  <c r="AA459" i="2"/>
  <c r="AB455" i="2"/>
  <c r="AB148" i="2"/>
  <c r="AA455" i="2"/>
  <c r="AA148" i="2" s="1"/>
  <c r="Z148" i="2" s="1"/>
  <c r="AB451" i="2"/>
  <c r="AB146" i="2"/>
  <c r="Z146" i="2" s="1"/>
  <c r="K146" i="2" s="1"/>
  <c r="AA451" i="2"/>
  <c r="AA146" i="2"/>
  <c r="AB450" i="2"/>
  <c r="AB145" i="2"/>
  <c r="AA450" i="2"/>
  <c r="AA145" i="2"/>
  <c r="AB449" i="2"/>
  <c r="AB144" i="2" s="1"/>
  <c r="AA449" i="2"/>
  <c r="AA144" i="2" s="1"/>
  <c r="AB447" i="2"/>
  <c r="AB142" i="2" s="1"/>
  <c r="Z142" i="2" s="1"/>
  <c r="AA447" i="2"/>
  <c r="AA142" i="2"/>
  <c r="AB445" i="2"/>
  <c r="AA445" i="2"/>
  <c r="AB443" i="2"/>
  <c r="AA443" i="2"/>
  <c r="AB442" i="2"/>
  <c r="AA442" i="2"/>
  <c r="AB439" i="2"/>
  <c r="AA439" i="2"/>
  <c r="AB438" i="2"/>
  <c r="AA438" i="2"/>
  <c r="AB436" i="2"/>
  <c r="AA436" i="2"/>
  <c r="AB435" i="2"/>
  <c r="AA435" i="2"/>
  <c r="AB434" i="2"/>
  <c r="AA434" i="2"/>
  <c r="AB433" i="2"/>
  <c r="AA433" i="2"/>
  <c r="AB432" i="2"/>
  <c r="AA432" i="2"/>
  <c r="AB431" i="2"/>
  <c r="AA431" i="2"/>
  <c r="AB430" i="2"/>
  <c r="AA430" i="2"/>
  <c r="AB427" i="2"/>
  <c r="AA427" i="2"/>
  <c r="AB426" i="2"/>
  <c r="AA426" i="2"/>
  <c r="AB423" i="2"/>
  <c r="AA423" i="2"/>
  <c r="AB421" i="2"/>
  <c r="AA421" i="2"/>
  <c r="AB419" i="2"/>
  <c r="AA419" i="2"/>
  <c r="AB416" i="2"/>
  <c r="AA416" i="2"/>
  <c r="AB414" i="2"/>
  <c r="AA414" i="2"/>
  <c r="AB413" i="2"/>
  <c r="AA413" i="2"/>
  <c r="AB411" i="2"/>
  <c r="AA411" i="2"/>
  <c r="AB410" i="2"/>
  <c r="AA410" i="2"/>
  <c r="AB408" i="2"/>
  <c r="AB127" i="2" s="1"/>
  <c r="Z127" i="2" s="1"/>
  <c r="K127" i="2" s="1"/>
  <c r="AA408" i="2"/>
  <c r="AA127" i="2"/>
  <c r="AB406" i="2"/>
  <c r="AA406" i="2"/>
  <c r="AB405" i="2"/>
  <c r="AB125" i="2"/>
  <c r="AA405" i="2"/>
  <c r="AA125" i="2" s="1"/>
  <c r="AB404" i="2"/>
  <c r="AA404" i="2"/>
  <c r="AB401" i="2"/>
  <c r="AA401" i="2"/>
  <c r="AB397" i="2"/>
  <c r="AA397" i="2"/>
  <c r="AB394" i="2"/>
  <c r="AA394" i="2"/>
  <c r="AB390" i="2"/>
  <c r="AA390" i="2"/>
  <c r="AB389" i="2"/>
  <c r="AA389" i="2"/>
  <c r="AB386" i="2"/>
  <c r="AB113" i="2" s="1"/>
  <c r="AA386" i="2"/>
  <c r="AA113" i="2" s="1"/>
  <c r="AB384" i="2"/>
  <c r="AA384" i="2"/>
  <c r="AB382" i="2"/>
  <c r="AA382" i="2"/>
  <c r="AB377" i="2"/>
  <c r="AA377" i="2"/>
  <c r="AB375" i="2"/>
  <c r="AB104" i="2" s="1"/>
  <c r="Z104" i="2" s="1"/>
  <c r="K104" i="2" s="1"/>
  <c r="AA375" i="2"/>
  <c r="AA104" i="2" s="1"/>
  <c r="AB374" i="2"/>
  <c r="AB103" i="2"/>
  <c r="Z103" i="2" s="1"/>
  <c r="K103" i="2" s="1"/>
  <c r="AA374" i="2"/>
  <c r="AA103" i="2"/>
  <c r="AB371" i="2"/>
  <c r="AA371" i="2"/>
  <c r="AB370" i="2"/>
  <c r="AA370" i="2"/>
  <c r="AB369" i="2"/>
  <c r="AB98" i="2" s="1"/>
  <c r="AA369" i="2"/>
  <c r="AB363" i="2"/>
  <c r="AB95" i="2" s="1"/>
  <c r="Z95" i="2" s="1"/>
  <c r="K95" i="2" s="1"/>
  <c r="AA363" i="2"/>
  <c r="AA95" i="2"/>
  <c r="AB360" i="2"/>
  <c r="AA360" i="2"/>
  <c r="AB359" i="2"/>
  <c r="AA359" i="2"/>
  <c r="AB357" i="2"/>
  <c r="AA357" i="2"/>
  <c r="AB355" i="2"/>
  <c r="AA355" i="2"/>
  <c r="AB351" i="2"/>
  <c r="AA351" i="2"/>
  <c r="AB350" i="2"/>
  <c r="AA350" i="2"/>
  <c r="AB349" i="2"/>
  <c r="AA349" i="2"/>
  <c r="AB348" i="2"/>
  <c r="AA348" i="2"/>
  <c r="AB347" i="2"/>
  <c r="AA347" i="2"/>
  <c r="AB346" i="2"/>
  <c r="AB89" i="2" s="1"/>
  <c r="AA346" i="2"/>
  <c r="AB342" i="2"/>
  <c r="AB87" i="2" s="1"/>
  <c r="AA342" i="2"/>
  <c r="AA87" i="2"/>
  <c r="AB341" i="2"/>
  <c r="AA341" i="2"/>
  <c r="AB340" i="2"/>
  <c r="AA340" i="2"/>
  <c r="AB339" i="2"/>
  <c r="AA339" i="2"/>
  <c r="AB332" i="2"/>
  <c r="AA332" i="2"/>
  <c r="AB331" i="2"/>
  <c r="AA331" i="2"/>
  <c r="AB330" i="2"/>
  <c r="AA330" i="2"/>
  <c r="AB327" i="2"/>
  <c r="AA327" i="2"/>
  <c r="AB326" i="2"/>
  <c r="AA326" i="2"/>
  <c r="AB325" i="2"/>
  <c r="AA325" i="2"/>
  <c r="AB323" i="2"/>
  <c r="AA323" i="2"/>
  <c r="AB321" i="2"/>
  <c r="AA321" i="2"/>
  <c r="AB318" i="2"/>
  <c r="AA318" i="2"/>
  <c r="AA80" i="2" s="1"/>
  <c r="AB314" i="2"/>
  <c r="AA314" i="2"/>
  <c r="AB311" i="2"/>
  <c r="AA311" i="2"/>
  <c r="AB309" i="2"/>
  <c r="AB69" i="2"/>
  <c r="AA309" i="2"/>
  <c r="AA69" i="2"/>
  <c r="AB308" i="2"/>
  <c r="AB68" i="2" s="1"/>
  <c r="Z68" i="2" s="1"/>
  <c r="AA308" i="2"/>
  <c r="AA68" i="2"/>
  <c r="AB307" i="2"/>
  <c r="AB64" i="2" s="1"/>
  <c r="Z64" i="2" s="1"/>
  <c r="K64" i="2" s="1"/>
  <c r="AA307" i="2"/>
  <c r="AA64" i="2"/>
  <c r="AB303" i="2"/>
  <c r="AA303" i="2"/>
  <c r="AB302" i="2"/>
  <c r="AA302" i="2"/>
  <c r="AB301" i="2"/>
  <c r="AA301" i="2"/>
  <c r="AA60" i="2" s="1"/>
  <c r="AB297" i="2"/>
  <c r="AB56" i="2" s="1"/>
  <c r="AA297" i="2"/>
  <c r="AA56" i="2"/>
  <c r="AB292" i="2"/>
  <c r="AA292" i="2"/>
  <c r="AB290" i="2"/>
  <c r="AA290" i="2"/>
  <c r="AB289" i="2"/>
  <c r="AA289" i="2"/>
  <c r="AB287" i="2"/>
  <c r="AB53" i="2" s="1"/>
  <c r="AA287" i="2"/>
  <c r="AA53" i="2" s="1"/>
  <c r="AB280" i="2"/>
  <c r="AB43" i="2" s="1"/>
  <c r="Z43" i="2" s="1"/>
  <c r="K43" i="2" s="1"/>
  <c r="AA280" i="2"/>
  <c r="AA43" i="2"/>
  <c r="AB277" i="2"/>
  <c r="AA277" i="2"/>
  <c r="AB274" i="2"/>
  <c r="AB267" i="2"/>
  <c r="AA267" i="2"/>
  <c r="AB265" i="2"/>
  <c r="AB37" i="2" s="1"/>
  <c r="AA265" i="2"/>
  <c r="AB264" i="2"/>
  <c r="AA264" i="2"/>
  <c r="AA37" i="2"/>
  <c r="AB263" i="2"/>
  <c r="AA263" i="2"/>
  <c r="AB257" i="2"/>
  <c r="AA257" i="2"/>
  <c r="AB256" i="2"/>
  <c r="AA256" i="2"/>
  <c r="AB255" i="2"/>
  <c r="AA255" i="2"/>
  <c r="AB251" i="2"/>
  <c r="AA251" i="2"/>
  <c r="AB249" i="2"/>
  <c r="AA249" i="2"/>
  <c r="AB248" i="2"/>
  <c r="AA248" i="2"/>
  <c r="AB244" i="2"/>
  <c r="AB24" i="2"/>
  <c r="AA244" i="2"/>
  <c r="AA24" i="2"/>
  <c r="AB243" i="2"/>
  <c r="AA243" i="2"/>
  <c r="AB241" i="2"/>
  <c r="AA241" i="2"/>
  <c r="AA23" i="2" s="1"/>
  <c r="AB238" i="2"/>
  <c r="AB17" i="2"/>
  <c r="AA238" i="2"/>
  <c r="AA17" i="2"/>
  <c r="AB237" i="2"/>
  <c r="AA237" i="2"/>
  <c r="AB234" i="2"/>
  <c r="AA234" i="2"/>
  <c r="AB233" i="2"/>
  <c r="AA233" i="2"/>
  <c r="AB232" i="2"/>
  <c r="AA232" i="2"/>
  <c r="AB231" i="2"/>
  <c r="AA231" i="2"/>
  <c r="AB229" i="2"/>
  <c r="AA229" i="2"/>
  <c r="AB222" i="2"/>
  <c r="AA222" i="2"/>
  <c r="AB220" i="2"/>
  <c r="AB10" i="2" s="1"/>
  <c r="AA220" i="2"/>
  <c r="AA10" i="2" s="1"/>
  <c r="AB219" i="2"/>
  <c r="AA219" i="2"/>
  <c r="AB217" i="2"/>
  <c r="AB8" i="2"/>
  <c r="AA217" i="2"/>
  <c r="AA8" i="2" s="1"/>
  <c r="Z8" i="2" s="1"/>
  <c r="K8" i="2" s="1"/>
  <c r="AB216" i="2"/>
  <c r="AB7" i="2"/>
  <c r="AA216" i="2"/>
  <c r="AA7" i="2" s="1"/>
  <c r="AB214" i="2"/>
  <c r="AA214" i="2"/>
  <c r="AH550" i="2"/>
  <c r="AJ550" i="2" s="1"/>
  <c r="AH491" i="2"/>
  <c r="AH466" i="2"/>
  <c r="AI466" i="2" s="1"/>
  <c r="AI155" i="2" s="1"/>
  <c r="AH456" i="2"/>
  <c r="AJ456" i="2" s="1"/>
  <c r="AH416" i="2"/>
  <c r="AI416" i="2" s="1"/>
  <c r="AH409" i="2"/>
  <c r="L409" i="2"/>
  <c r="AH364" i="2"/>
  <c r="AH362" i="2"/>
  <c r="AH361" i="2"/>
  <c r="AH316" i="2"/>
  <c r="L316" i="2" s="1"/>
  <c r="AH284" i="2"/>
  <c r="AH274" i="2"/>
  <c r="AH265" i="2"/>
  <c r="AJ265" i="2" s="1"/>
  <c r="AH264" i="2"/>
  <c r="AH282" i="2"/>
  <c r="L282" i="2" s="1"/>
  <c r="AH253" i="2"/>
  <c r="AI253" i="2" s="1"/>
  <c r="AI31" i="2" s="1"/>
  <c r="AJ253" i="2"/>
  <c r="AJ31" i="2" s="1"/>
  <c r="AH31" i="2" s="1"/>
  <c r="Z532" i="2"/>
  <c r="K532" i="2" s="1"/>
  <c r="AF586" i="2"/>
  <c r="AH586" i="2"/>
  <c r="L586" i="2"/>
  <c r="J586" i="2"/>
  <c r="L594" i="2"/>
  <c r="AH243" i="2"/>
  <c r="AJ243" i="2"/>
  <c r="AH460" i="2"/>
  <c r="AI460" i="2"/>
  <c r="AI150" i="2" s="1"/>
  <c r="Z534" i="2"/>
  <c r="AB534" i="2" s="1"/>
  <c r="AH533" i="2"/>
  <c r="Z536" i="2"/>
  <c r="K536" i="2"/>
  <c r="AH589" i="2"/>
  <c r="L589" i="2" s="1"/>
  <c r="Z589" i="2"/>
  <c r="K589" i="2" s="1"/>
  <c r="AH540" i="2"/>
  <c r="AJ540" i="2" s="1"/>
  <c r="L588" i="2"/>
  <c r="Z588" i="2"/>
  <c r="K588" i="2"/>
  <c r="L592" i="2"/>
  <c r="L591" i="2"/>
  <c r="L565" i="2"/>
  <c r="L566" i="2"/>
  <c r="L571" i="2"/>
  <c r="L570" i="2"/>
  <c r="L569" i="2"/>
  <c r="AH567" i="2"/>
  <c r="L567" i="2" s="1"/>
  <c r="Z592" i="2"/>
  <c r="K592" i="2" s="1"/>
  <c r="Z591" i="2"/>
  <c r="K591" i="2" s="1"/>
  <c r="AH593" i="2"/>
  <c r="L593" i="2"/>
  <c r="Z593" i="2"/>
  <c r="K593" i="2" s="1"/>
  <c r="AH568" i="2"/>
  <c r="L568" i="2" s="1"/>
  <c r="AH595" i="2"/>
  <c r="L595" i="2"/>
  <c r="Z594" i="2"/>
  <c r="K594" i="2"/>
  <c r="Z393" i="2"/>
  <c r="AA393" i="2"/>
  <c r="AH393" i="2"/>
  <c r="AJ393" i="2" s="1"/>
  <c r="AH476" i="2"/>
  <c r="Z476" i="2"/>
  <c r="AB476" i="2"/>
  <c r="Z541" i="2"/>
  <c r="Z420" i="2"/>
  <c r="AH421" i="2"/>
  <c r="AH597" i="2"/>
  <c r="L597" i="2"/>
  <c r="Z597" i="2"/>
  <c r="K597" i="2"/>
  <c r="AH545" i="2"/>
  <c r="AJ545" i="2" s="1"/>
  <c r="AH544" i="2"/>
  <c r="L544" i="2" s="1"/>
  <c r="AH596" i="2"/>
  <c r="L596" i="2" s="1"/>
  <c r="Z226" i="2"/>
  <c r="AA226" i="2" s="1"/>
  <c r="Z489" i="2"/>
  <c r="AB489" i="2" s="1"/>
  <c r="Z490" i="2"/>
  <c r="AB490" i="2" s="1"/>
  <c r="AA490" i="2"/>
  <c r="AH412" i="2"/>
  <c r="AI412" i="2"/>
  <c r="Z412" i="2"/>
  <c r="AA412" i="2" s="1"/>
  <c r="Z547" i="2"/>
  <c r="AH602" i="2"/>
  <c r="L602" i="2" s="1"/>
  <c r="Z335" i="2"/>
  <c r="Z409" i="2"/>
  <c r="Z448" i="2"/>
  <c r="AH526" i="2"/>
  <c r="L526" i="2"/>
  <c r="Z526" i="2"/>
  <c r="AH354" i="2"/>
  <c r="AJ354" i="2" s="1"/>
  <c r="Z259" i="2"/>
  <c r="AH259" i="2"/>
  <c r="AI259" i="2"/>
  <c r="AI32" i="2" s="1"/>
  <c r="AH32" i="2" s="1"/>
  <c r="L32" i="2" s="1"/>
  <c r="AH291" i="2"/>
  <c r="L291" i="2" s="1"/>
  <c r="Z291" i="2"/>
  <c r="AH279" i="2"/>
  <c r="AI279" i="2" s="1"/>
  <c r="AI42" i="2" s="1"/>
  <c r="Z279" i="2"/>
  <c r="K279" i="2" s="1"/>
  <c r="D42" i="2" s="1"/>
  <c r="Z387" i="2"/>
  <c r="AH271" i="2"/>
  <c r="Z271" i="2"/>
  <c r="AB271" i="2" s="1"/>
  <c r="AB81" i="2" s="1"/>
  <c r="AH402" i="2"/>
  <c r="Z402" i="2"/>
  <c r="K402" i="2" s="1"/>
  <c r="AH344" i="2"/>
  <c r="Z344" i="2"/>
  <c r="Z468" i="2"/>
  <c r="AH322" i="2"/>
  <c r="AI322" i="2" s="1"/>
  <c r="AI83" i="2" s="1"/>
  <c r="L322" i="2"/>
  <c r="Z322" i="2"/>
  <c r="K322" i="2" s="1"/>
  <c r="D83" i="2" s="1"/>
  <c r="AH478" i="2"/>
  <c r="AI478" i="2" s="1"/>
  <c r="Z492" i="2"/>
  <c r="K492" i="2" s="1"/>
  <c r="AA492" i="2"/>
  <c r="Z491" i="2"/>
  <c r="AB491" i="2" s="1"/>
  <c r="Z466" i="2"/>
  <c r="K466" i="2"/>
  <c r="D155" i="2" s="1"/>
  <c r="Z227" i="2"/>
  <c r="AA227" i="2" s="1"/>
  <c r="Z305" i="2"/>
  <c r="AB305" i="2"/>
  <c r="Z283" i="2"/>
  <c r="AB283" i="2" s="1"/>
  <c r="AB49" i="2" s="1"/>
  <c r="Z281" i="2"/>
  <c r="Z509" i="2"/>
  <c r="AF287" i="2"/>
  <c r="AH287" i="2" s="1"/>
  <c r="AI287" i="2" s="1"/>
  <c r="L574" i="2"/>
  <c r="Z422" i="2"/>
  <c r="AB422" i="2" s="1"/>
  <c r="X218" i="2"/>
  <c r="Z218" i="2" s="1"/>
  <c r="AA218" i="2" s="1"/>
  <c r="AA9" i="2" s="1"/>
  <c r="AH451" i="2"/>
  <c r="Z396" i="2"/>
  <c r="K396" i="2" s="1"/>
  <c r="AH514" i="2"/>
  <c r="AI514" i="2" s="1"/>
  <c r="Z467" i="2"/>
  <c r="K467" i="2" s="1"/>
  <c r="X380" i="2"/>
  <c r="Z380" i="2" s="1"/>
  <c r="Z306" i="2"/>
  <c r="Z261" i="2"/>
  <c r="AB261" i="2"/>
  <c r="AB35" i="2"/>
  <c r="Z373" i="2"/>
  <c r="X570" i="2"/>
  <c r="Z570" i="2" s="1"/>
  <c r="K570" i="2" s="1"/>
  <c r="Z460" i="2"/>
  <c r="AB460" i="2"/>
  <c r="AB150" i="2" s="1"/>
  <c r="X418" i="2"/>
  <c r="Z418" i="2"/>
  <c r="X485" i="2"/>
  <c r="Z485" i="2" s="1"/>
  <c r="J556" i="2"/>
  <c r="J560" i="2"/>
  <c r="AF560" i="2"/>
  <c r="AH560" i="2"/>
  <c r="AJ560" i="2" s="1"/>
  <c r="AF556" i="2"/>
  <c r="AH556" i="2" s="1"/>
  <c r="AF486" i="2"/>
  <c r="AH486" i="2" s="1"/>
  <c r="AI486" i="2" s="1"/>
  <c r="J486" i="2"/>
  <c r="AF405" i="2"/>
  <c r="AH405" i="2" s="1"/>
  <c r="J405" i="2"/>
  <c r="AF245" i="2"/>
  <c r="AH245" i="2" s="1"/>
  <c r="AF375" i="2"/>
  <c r="AH375" i="2" s="1"/>
  <c r="AJ375" i="2" s="1"/>
  <c r="AJ104" i="2" s="1"/>
  <c r="AF382" i="2"/>
  <c r="AH382" i="2" s="1"/>
  <c r="AF401" i="2"/>
  <c r="AH401" i="2" s="1"/>
  <c r="J401" i="2"/>
  <c r="J402" i="2"/>
  <c r="J245" i="2"/>
  <c r="J375" i="2"/>
  <c r="J382" i="2"/>
  <c r="AH341" i="2"/>
  <c r="AJ341" i="2"/>
  <c r="Z338" i="2"/>
  <c r="Z354" i="2"/>
  <c r="AB354" i="2" s="1"/>
  <c r="Z551" i="2"/>
  <c r="K551" i="2" s="1"/>
  <c r="E186" i="2" s="1"/>
  <c r="Z239" i="2"/>
  <c r="Z453" i="2"/>
  <c r="AA453" i="2" s="1"/>
  <c r="Z452" i="2"/>
  <c r="Z398" i="2"/>
  <c r="Z379" i="2"/>
  <c r="Z378" i="2"/>
  <c r="AB378" i="2" s="1"/>
  <c r="AB108" i="2" s="1"/>
  <c r="AH305" i="2"/>
  <c r="L305" i="2" s="1"/>
  <c r="AH227" i="2"/>
  <c r="AJ227" i="2" s="1"/>
  <c r="AH447" i="2"/>
  <c r="AJ447" i="2" s="1"/>
  <c r="AJ142" i="2" s="1"/>
  <c r="AH281" i="2"/>
  <c r="L281" i="2" s="1"/>
  <c r="AH283" i="2"/>
  <c r="L283" i="2" s="1"/>
  <c r="Z313" i="2"/>
  <c r="Z240" i="2"/>
  <c r="AA240" i="2" s="1"/>
  <c r="AA19" i="2" s="1"/>
  <c r="AH474" i="2"/>
  <c r="B191" i="22"/>
  <c r="B197" i="22"/>
  <c r="B196" i="22"/>
  <c r="B186" i="22"/>
  <c r="B185" i="22"/>
  <c r="B183" i="22"/>
  <c r="B178" i="22"/>
  <c r="B172" i="22"/>
  <c r="B156" i="22"/>
  <c r="B153" i="22"/>
  <c r="B145" i="22"/>
  <c r="B137" i="22"/>
  <c r="B136" i="22"/>
  <c r="B135" i="22"/>
  <c r="B130" i="22"/>
  <c r="B129" i="22"/>
  <c r="B124" i="22"/>
  <c r="B118" i="22"/>
  <c r="B116" i="22"/>
  <c r="B115" i="22"/>
  <c r="B108" i="22"/>
  <c r="B109" i="22"/>
  <c r="B100" i="22"/>
  <c r="B98" i="22"/>
  <c r="B97" i="22"/>
  <c r="B89" i="22"/>
  <c r="B88" i="22"/>
  <c r="B84" i="22"/>
  <c r="B83" i="22"/>
  <c r="B80" i="22"/>
  <c r="B74" i="22"/>
  <c r="B64" i="22"/>
  <c r="B59" i="22"/>
  <c r="B56" i="22"/>
  <c r="B52" i="22"/>
  <c r="B45" i="22"/>
  <c r="B40" i="22"/>
  <c r="B33" i="22"/>
  <c r="B35" i="22"/>
  <c r="B27" i="22"/>
  <c r="B25" i="22"/>
  <c r="B20" i="22"/>
  <c r="B17" i="22"/>
  <c r="B14" i="22"/>
  <c r="AJ213" i="2"/>
  <c r="AJ3" i="2" s="1"/>
  <c r="AI213" i="2"/>
  <c r="J311" i="2"/>
  <c r="J529" i="2"/>
  <c r="AD529" i="2"/>
  <c r="AH529" i="2"/>
  <c r="L529" i="2" s="1"/>
  <c r="AB254" i="2"/>
  <c r="AB329" i="2"/>
  <c r="AJ381" i="2"/>
  <c r="AB230" i="2"/>
  <c r="AB13" i="2" s="1"/>
  <c r="AA274" i="2"/>
  <c r="AB362" i="2"/>
  <c r="AB367" i="2"/>
  <c r="AA399" i="2"/>
  <c r="AB557" i="2"/>
  <c r="AI403" i="2"/>
  <c r="AI124" i="2" s="1"/>
  <c r="AB223" i="2"/>
  <c r="AB444" i="2"/>
  <c r="AA512" i="2"/>
  <c r="AB535" i="2"/>
  <c r="AJ538" i="2"/>
  <c r="AA295" i="2"/>
  <c r="AI270" i="2"/>
  <c r="AI537" i="2"/>
  <c r="AI258" i="2"/>
  <c r="AJ479" i="2"/>
  <c r="AA367" i="2"/>
  <c r="L542" i="2"/>
  <c r="AI353" i="2"/>
  <c r="K282" i="2"/>
  <c r="E48" i="2"/>
  <c r="AI500" i="2"/>
  <c r="AB353" i="2"/>
  <c r="K510" i="2"/>
  <c r="AA510" i="2"/>
  <c r="K235" i="2"/>
  <c r="AB235" i="2"/>
  <c r="AA235" i="2"/>
  <c r="K320" i="2"/>
  <c r="E82" i="2"/>
  <c r="AA376" i="2"/>
  <c r="AA105" i="2" s="1"/>
  <c r="AA470" i="2"/>
  <c r="AA158" i="2"/>
  <c r="AA388" i="2"/>
  <c r="AA114" i="2" s="1"/>
  <c r="AB295" i="2"/>
  <c r="AA337" i="2"/>
  <c r="AB399" i="2"/>
  <c r="AB364" i="2"/>
  <c r="AA282" i="2"/>
  <c r="AA48" i="2"/>
  <c r="AA546" i="2"/>
  <c r="AB296" i="2"/>
  <c r="AA230" i="2"/>
  <c r="AA296" i="2"/>
  <c r="AJ285" i="2"/>
  <c r="AB388" i="2"/>
  <c r="AB114" i="2"/>
  <c r="AA446" i="2"/>
  <c r="AA440" i="2"/>
  <c r="AA456" i="2"/>
  <c r="K420" i="2"/>
  <c r="AA526" i="2"/>
  <c r="AA352" i="2"/>
  <c r="AB546" i="2"/>
  <c r="AJ264" i="2"/>
  <c r="AJ37" i="2" s="1"/>
  <c r="L545" i="2"/>
  <c r="AJ270" i="2"/>
  <c r="AB480" i="2"/>
  <c r="L354" i="2"/>
  <c r="AJ316" i="2"/>
  <c r="AJ79" i="2" s="1"/>
  <c r="AA409" i="2"/>
  <c r="AA130" i="2" s="1"/>
  <c r="AJ305" i="2"/>
  <c r="AJ63" i="2" s="1"/>
  <c r="AB531" i="2"/>
  <c r="AI491" i="2"/>
  <c r="AI170" i="2" s="1"/>
  <c r="AA310" i="2"/>
  <c r="AA70" i="2"/>
  <c r="K460" i="2"/>
  <c r="D150" i="2" s="1"/>
  <c r="AJ281" i="2"/>
  <c r="AJ47" i="2" s="1"/>
  <c r="K283" i="2"/>
  <c r="D49" i="2" s="1"/>
  <c r="AA283" i="2"/>
  <c r="AA49" i="2" s="1"/>
  <c r="K463" i="2"/>
  <c r="D153" i="2"/>
  <c r="AA448" i="2"/>
  <c r="AA143" i="2" s="1"/>
  <c r="K354" i="2"/>
  <c r="AA476" i="2"/>
  <c r="AA293" i="2"/>
  <c r="AB224" i="2"/>
  <c r="L535" i="2"/>
  <c r="AI535" i="2"/>
  <c r="AB324" i="2"/>
  <c r="K324" i="2"/>
  <c r="AA223" i="2"/>
  <c r="AA535" i="2"/>
  <c r="AJ258" i="2"/>
  <c r="AI479" i="2"/>
  <c r="AI162" i="2" s="1"/>
  <c r="L391" i="2"/>
  <c r="K247" i="2"/>
  <c r="AI288" i="2"/>
  <c r="AA288" i="2"/>
  <c r="AJ385" i="2"/>
  <c r="AI561" i="2"/>
  <c r="L557" i="2"/>
  <c r="AH9" i="2"/>
  <c r="L9" i="2" s="1"/>
  <c r="AJ163" i="2"/>
  <c r="BJ87" i="2"/>
  <c r="AJ409" i="2"/>
  <c r="AA534" i="2"/>
  <c r="K531" i="2"/>
  <c r="AI409" i="2"/>
  <c r="AI130" i="2"/>
  <c r="AA329" i="2"/>
  <c r="K542" i="2"/>
  <c r="AB328" i="2"/>
  <c r="AB392" i="2"/>
  <c r="AI524" i="2"/>
  <c r="AA561" i="2"/>
  <c r="AB376" i="2"/>
  <c r="AB105" i="2"/>
  <c r="BJ43" i="2"/>
  <c r="BJ114" i="2"/>
  <c r="BJ123" i="2"/>
  <c r="BJ130" i="2"/>
  <c r="BJ134" i="2"/>
  <c r="AA247" i="2"/>
  <c r="AI391" i="2"/>
  <c r="K293" i="2"/>
  <c r="K476" i="2"/>
  <c r="K470" i="2"/>
  <c r="D158" i="2"/>
  <c r="AA236" i="2"/>
  <c r="AA328" i="2"/>
  <c r="AB273" i="2"/>
  <c r="AI545" i="2"/>
  <c r="AI533" i="2"/>
  <c r="AJ466" i="2"/>
  <c r="AJ155" i="2"/>
  <c r="AH155" i="2" s="1"/>
  <c r="L155" i="2" s="1"/>
  <c r="AA362" i="2"/>
  <c r="AB242" i="2"/>
  <c r="AB23" i="2"/>
  <c r="Z23" i="2" s="1"/>
  <c r="K23" i="2" s="1"/>
  <c r="AA242" i="2"/>
  <c r="AJ510" i="2"/>
  <c r="AA381" i="2"/>
  <c r="AB333" i="2"/>
  <c r="AJ542" i="2"/>
  <c r="AI324" i="2"/>
  <c r="L500" i="2"/>
  <c r="AA521" i="2"/>
  <c r="AA182" i="2"/>
  <c r="AB463" i="2"/>
  <c r="AB153" i="2" s="1"/>
  <c r="AA538" i="2"/>
  <c r="AJ353" i="2"/>
  <c r="AB381" i="2"/>
  <c r="AB112" i="2" s="1"/>
  <c r="AA437" i="2"/>
  <c r="K273" i="2"/>
  <c r="K286" i="2"/>
  <c r="L468" i="2"/>
  <c r="BJ2" i="2"/>
  <c r="BJ13" i="2"/>
  <c r="BJ21" i="2"/>
  <c r="BJ28" i="2"/>
  <c r="BJ32" i="2"/>
  <c r="BJ38" i="2"/>
  <c r="BJ52" i="2"/>
  <c r="BJ67" i="2"/>
  <c r="BJ96" i="2"/>
  <c r="BJ171" i="2"/>
  <c r="BJ185" i="2"/>
  <c r="BJ48" i="2"/>
  <c r="K400" i="2"/>
  <c r="E122" i="2" s="1"/>
  <c r="D122" i="2"/>
  <c r="K343" i="2"/>
  <c r="BJ55" i="2"/>
  <c r="BJ64" i="2"/>
  <c r="BJ104" i="2"/>
  <c r="BJ109" i="2"/>
  <c r="BJ149" i="2"/>
  <c r="AB278" i="2"/>
  <c r="AB501" i="2"/>
  <c r="AA501" i="2"/>
  <c r="AJ279" i="2"/>
  <c r="K524" i="2"/>
  <c r="D184" i="2" s="1"/>
  <c r="C184" i="2" s="1"/>
  <c r="AA368" i="2"/>
  <c r="AI361" i="2"/>
  <c r="AJ259" i="2"/>
  <c r="L271" i="2"/>
  <c r="L287" i="2"/>
  <c r="AJ514" i="2"/>
  <c r="AJ544" i="2"/>
  <c r="BJ139" i="2"/>
  <c r="BJ143" i="2"/>
  <c r="BJ155" i="2"/>
  <c r="K457" i="2"/>
  <c r="D149" i="2" s="1"/>
  <c r="K368" i="2"/>
  <c r="K383" i="2"/>
  <c r="AB383" i="2"/>
  <c r="L444" i="2"/>
  <c r="BJ45" i="2"/>
  <c r="BJ131" i="2"/>
  <c r="BJ136" i="2"/>
  <c r="BJ140" i="2"/>
  <c r="L441" i="2"/>
  <c r="K372" i="2"/>
  <c r="AA454" i="2"/>
  <c r="L553" i="2"/>
  <c r="AA271" i="2"/>
  <c r="AA81" i="2" s="1"/>
  <c r="AJ412" i="2"/>
  <c r="AB226" i="2"/>
  <c r="K226" i="2"/>
  <c r="L264" i="2"/>
  <c r="AI264" i="2"/>
  <c r="AA334" i="2"/>
  <c r="AB334" i="2"/>
  <c r="K334" i="2"/>
  <c r="AB282" i="2"/>
  <c r="AB48" i="2" s="1"/>
  <c r="Z48" i="2"/>
  <c r="K48" i="2" s="1"/>
  <c r="K272" i="2"/>
  <c r="AA429" i="2"/>
  <c r="AA136" i="2" s="1"/>
  <c r="L488" i="2"/>
  <c r="AI463" i="2"/>
  <c r="AI285" i="2"/>
  <c r="L285" i="2"/>
  <c r="AB315" i="2"/>
  <c r="AB76" i="2"/>
  <c r="K315" i="2"/>
  <c r="E76" i="2"/>
  <c r="AA139" i="2"/>
  <c r="AI16" i="2"/>
  <c r="AI175" i="2"/>
  <c r="K306" i="2"/>
  <c r="D63" i="2"/>
  <c r="AA279" i="2"/>
  <c r="AA42" i="2"/>
  <c r="AA319" i="2"/>
  <c r="AB366" i="2"/>
  <c r="K269" i="2"/>
  <c r="AA269" i="2"/>
  <c r="AA322" i="2"/>
  <c r="L253" i="2"/>
  <c r="K456" i="2"/>
  <c r="K366" i="2"/>
  <c r="K225" i="2"/>
  <c r="AB467" i="2"/>
  <c r="K526" i="2"/>
  <c r="AB526" i="2"/>
  <c r="K393" i="2"/>
  <c r="AA558" i="2"/>
  <c r="AA356" i="2"/>
  <c r="L243" i="2"/>
  <c r="AB279" i="2"/>
  <c r="AB42" i="2" s="1"/>
  <c r="Z42" i="2" s="1"/>
  <c r="K42" i="2" s="1"/>
  <c r="AJ474" i="2"/>
  <c r="AI168" i="2"/>
  <c r="AJ284" i="2"/>
  <c r="AJ52" i="2"/>
  <c r="K412" i="2"/>
  <c r="L531" i="2"/>
  <c r="AB440" i="2"/>
  <c r="AA366" i="2"/>
  <c r="AI243" i="2"/>
  <c r="L31" i="2"/>
  <c r="AI538" i="2"/>
  <c r="AA315" i="2"/>
  <c r="AA76" i="2" s="1"/>
  <c r="AA385" i="2"/>
  <c r="BJ88" i="2"/>
  <c r="BJ75" i="2"/>
  <c r="BJ80" i="2"/>
  <c r="AB288" i="2"/>
  <c r="L288" i="2"/>
  <c r="AJ524" i="2"/>
  <c r="AI415" i="2"/>
  <c r="AJ415" i="2"/>
  <c r="AB512" i="2"/>
  <c r="AA228" i="2"/>
  <c r="AI3" i="2"/>
  <c r="AA171" i="2"/>
  <c r="AJ13" i="2"/>
  <c r="AH13" i="2" s="1"/>
  <c r="L13" i="2"/>
  <c r="AJ85" i="2"/>
  <c r="AH85" i="2" s="1"/>
  <c r="L85" i="2" s="1"/>
  <c r="AJ475" i="2"/>
  <c r="AJ181" i="2"/>
  <c r="AJ182" i="2"/>
  <c r="BJ63" i="2"/>
  <c r="BJ76" i="2"/>
  <c r="BJ81" i="2"/>
  <c r="BJ92" i="2"/>
  <c r="BJ97" i="2"/>
  <c r="BJ103" i="2"/>
  <c r="BJ113" i="2"/>
  <c r="BJ121" i="2"/>
  <c r="BJ132" i="2"/>
  <c r="BJ141" i="2"/>
  <c r="BJ159" i="2"/>
  <c r="BJ166" i="2"/>
  <c r="BJ172" i="2"/>
  <c r="BJ181" i="2"/>
  <c r="BJ186" i="2"/>
  <c r="K441" i="2"/>
  <c r="K454" i="2"/>
  <c r="K553" i="2"/>
  <c r="E189" i="2" s="1"/>
  <c r="E150" i="2"/>
  <c r="L478" i="2"/>
  <c r="AJ478" i="2"/>
  <c r="AJ162" i="2" s="1"/>
  <c r="AB532" i="2"/>
  <c r="AA532" i="2"/>
  <c r="AA354" i="2"/>
  <c r="AJ287" i="2"/>
  <c r="AJ53" i="2" s="1"/>
  <c r="AI281" i="2"/>
  <c r="AI47" i="2" s="1"/>
  <c r="AJ556" i="2"/>
  <c r="AJ192" i="2" s="1"/>
  <c r="K271" i="2"/>
  <c r="E81" i="2"/>
  <c r="AJ362" i="2"/>
  <c r="AI544" i="2"/>
  <c r="AI354" i="2"/>
  <c r="AB398" i="2"/>
  <c r="K305" i="2"/>
  <c r="AA305" i="2"/>
  <c r="AB344" i="2"/>
  <c r="K291" i="2"/>
  <c r="D54" i="2" s="1"/>
  <c r="AA541" i="2"/>
  <c r="AI282" i="2"/>
  <c r="AI48" i="2" s="1"/>
  <c r="AJ23" i="2"/>
  <c r="E49" i="2"/>
  <c r="E155" i="2"/>
  <c r="AI227" i="2"/>
  <c r="AI11" i="2" s="1"/>
  <c r="D10" i="2"/>
  <c r="E10" i="2"/>
  <c r="C10" i="2"/>
  <c r="D17" i="2"/>
  <c r="C17" i="2"/>
  <c r="E17" i="2"/>
  <c r="D24" i="2"/>
  <c r="C24" i="2" s="1"/>
  <c r="E24" i="2"/>
  <c r="D37" i="2"/>
  <c r="D53" i="2"/>
  <c r="E53" i="2"/>
  <c r="D64" i="2"/>
  <c r="E64" i="2"/>
  <c r="C64" i="2" s="1"/>
  <c r="D69" i="2"/>
  <c r="E69" i="2"/>
  <c r="D124" i="2"/>
  <c r="E124" i="2"/>
  <c r="D126" i="2"/>
  <c r="E126" i="2"/>
  <c r="C126" i="2"/>
  <c r="E139" i="2"/>
  <c r="E151" i="2"/>
  <c r="D154" i="2"/>
  <c r="E154" i="2"/>
  <c r="E163" i="2"/>
  <c r="D175" i="2"/>
  <c r="E175" i="2"/>
  <c r="D178" i="2"/>
  <c r="E178" i="2"/>
  <c r="AA417" i="2"/>
  <c r="AB417" i="2"/>
  <c r="K417" i="2"/>
  <c r="D8" i="2"/>
  <c r="C8" i="2" s="1"/>
  <c r="E8" i="2"/>
  <c r="E56" i="2"/>
  <c r="D95" i="2"/>
  <c r="E95" i="2"/>
  <c r="C95" i="2"/>
  <c r="D103" i="2"/>
  <c r="C103" i="2" s="1"/>
  <c r="D142" i="2"/>
  <c r="E142" i="2"/>
  <c r="D145" i="2"/>
  <c r="D168" i="2"/>
  <c r="E168" i="2"/>
  <c r="AI428" i="2"/>
  <c r="AI134" i="2"/>
  <c r="AJ428" i="2"/>
  <c r="AJ134" i="2"/>
  <c r="AH134" i="2" s="1"/>
  <c r="L134" i="2" s="1"/>
  <c r="D82" i="2"/>
  <c r="D25" i="2"/>
  <c r="E25" i="2"/>
  <c r="D68" i="2"/>
  <c r="E68" i="2"/>
  <c r="C68" i="2" s="1"/>
  <c r="D113" i="2"/>
  <c r="C113" i="2"/>
  <c r="E127" i="2"/>
  <c r="E153" i="2"/>
  <c r="D171" i="2"/>
  <c r="E171" i="2"/>
  <c r="E173" i="2"/>
  <c r="E177" i="2"/>
  <c r="C177" i="2" s="1"/>
  <c r="AA89" i="2"/>
  <c r="AA92" i="2"/>
  <c r="L361" i="2"/>
  <c r="AI341" i="2"/>
  <c r="AI86" i="2"/>
  <c r="L341" i="2"/>
  <c r="AJ416" i="2"/>
  <c r="AB60" i="2"/>
  <c r="Z60" i="2" s="1"/>
  <c r="K60" i="2" s="1"/>
  <c r="AB139" i="2"/>
  <c r="AB162" i="2"/>
  <c r="AB163" i="2"/>
  <c r="AJ42" i="2"/>
  <c r="AH42" i="2"/>
  <c r="L42" i="2" s="1"/>
  <c r="AJ89" i="2"/>
  <c r="AH89" i="2" s="1"/>
  <c r="L89" i="2" s="1"/>
  <c r="AJ108" i="2"/>
  <c r="AH108" i="2" s="1"/>
  <c r="L108" i="2" s="1"/>
  <c r="AJ119" i="2"/>
  <c r="AJ171" i="2"/>
  <c r="AH171" i="2" s="1"/>
  <c r="L171" i="2" s="1"/>
  <c r="AJ173" i="2"/>
  <c r="AJ179" i="2"/>
  <c r="D7" i="2"/>
  <c r="E7" i="2"/>
  <c r="D13" i="2"/>
  <c r="C13" i="2" s="1"/>
  <c r="D43" i="2"/>
  <c r="D60" i="2"/>
  <c r="C60" i="2" s="1"/>
  <c r="E60" i="2"/>
  <c r="D89" i="2"/>
  <c r="E89" i="2"/>
  <c r="D104" i="2"/>
  <c r="E104" i="2"/>
  <c r="D125" i="2"/>
  <c r="E125" i="2"/>
  <c r="D146" i="2"/>
  <c r="C146" i="2" s="1"/>
  <c r="E146" i="2"/>
  <c r="D182" i="2"/>
  <c r="D191" i="2"/>
  <c r="E191" i="2"/>
  <c r="D76" i="2"/>
  <c r="AB215" i="2"/>
  <c r="AB4" i="2"/>
  <c r="AA215" i="2"/>
  <c r="AA4" i="2" s="1"/>
  <c r="AI368" i="2"/>
  <c r="L368" i="2"/>
  <c r="AJ368" i="2"/>
  <c r="Z171" i="2"/>
  <c r="K171" i="2" s="1"/>
  <c r="AI9" i="2"/>
  <c r="AI89" i="2"/>
  <c r="AI140" i="2"/>
  <c r="AI147" i="2"/>
  <c r="AH147" i="2" s="1"/>
  <c r="AI153" i="2"/>
  <c r="L428" i="2"/>
  <c r="K428" i="2"/>
  <c r="D134" i="2"/>
  <c r="AB428" i="2"/>
  <c r="AB134" i="2"/>
  <c r="AJ441" i="2"/>
  <c r="AJ372" i="2"/>
  <c r="AJ98" i="2"/>
  <c r="AH98" i="2" s="1"/>
  <c r="L98" i="2" s="1"/>
  <c r="AJ553" i="2"/>
  <c r="AJ189" i="2"/>
  <c r="L385" i="2"/>
  <c r="K276" i="2"/>
  <c r="E41" i="2" s="1"/>
  <c r="C41" i="2" s="1"/>
  <c r="D41" i="2"/>
  <c r="AB276" i="2"/>
  <c r="AB41" i="2" s="1"/>
  <c r="Z41" i="2" s="1"/>
  <c r="K41" i="2" s="1"/>
  <c r="K385" i="2"/>
  <c r="D112" i="2"/>
  <c r="C4" i="2"/>
  <c r="D81" i="2"/>
  <c r="C81" i="2" s="1"/>
  <c r="Z69" i="2"/>
  <c r="K69" i="2"/>
  <c r="K68" i="2"/>
  <c r="K142" i="2"/>
  <c r="K148" i="2"/>
  <c r="K154" i="2"/>
  <c r="D3" i="2"/>
  <c r="E3" i="2"/>
  <c r="Z213" i="2"/>
  <c r="Z24" i="2"/>
  <c r="K24" i="2" s="1"/>
  <c r="Z153" i="2"/>
  <c r="K153" i="2" s="1"/>
  <c r="Z37" i="2"/>
  <c r="K37" i="2"/>
  <c r="K191" i="2"/>
  <c r="Z17" i="2"/>
  <c r="K17" i="2"/>
  <c r="AJ405" i="2"/>
  <c r="AB380" i="2"/>
  <c r="AB111" i="2" s="1"/>
  <c r="E114" i="2"/>
  <c r="AI407" i="2"/>
  <c r="AI126" i="2"/>
  <c r="AJ407" i="2"/>
  <c r="AJ126" i="2" s="1"/>
  <c r="AH126" i="2" s="1"/>
  <c r="L126" i="2" s="1"/>
  <c r="AJ501" i="2"/>
  <c r="AI501" i="2"/>
  <c r="AH64" i="2"/>
  <c r="L64" i="2"/>
  <c r="AH103" i="2"/>
  <c r="L103" i="2" s="1"/>
  <c r="Z158" i="2"/>
  <c r="K158" i="2" s="1"/>
  <c r="K464" i="2"/>
  <c r="AA464" i="2"/>
  <c r="AB464" i="2"/>
  <c r="AA407" i="2"/>
  <c r="AB407" i="2"/>
  <c r="AB126" i="2" s="1"/>
  <c r="Z126" i="2" s="1"/>
  <c r="K126" i="2" s="1"/>
  <c r="AI212" i="2"/>
  <c r="AI2" i="2"/>
  <c r="AJ212" i="2"/>
  <c r="AJ2" i="2" s="1"/>
  <c r="D105" i="2"/>
  <c r="K250" i="2"/>
  <c r="AA250" i="2"/>
  <c r="AA26" i="2" s="1"/>
  <c r="Z26" i="2" s="1"/>
  <c r="K26" i="2" s="1"/>
  <c r="AB250" i="2"/>
  <c r="AB26" i="2"/>
  <c r="AA312" i="2"/>
  <c r="AA71" i="2"/>
  <c r="AB312" i="2"/>
  <c r="AB71" i="2" s="1"/>
  <c r="AA246" i="2"/>
  <c r="AA25" i="2"/>
  <c r="AA304" i="2"/>
  <c r="AA62" i="2" s="1"/>
  <c r="Z62" i="2" s="1"/>
  <c r="K62" i="2" s="1"/>
  <c r="AI283" i="2"/>
  <c r="AI49" i="2" s="1"/>
  <c r="AA239" i="2"/>
  <c r="AA18" i="2" s="1"/>
  <c r="AA460" i="2"/>
  <c r="AA150" i="2"/>
  <c r="Z150" i="2" s="1"/>
  <c r="K150" i="2" s="1"/>
  <c r="K261" i="2"/>
  <c r="D35" i="2" s="1"/>
  <c r="L514" i="2"/>
  <c r="AB281" i="2"/>
  <c r="AB47" i="2" s="1"/>
  <c r="Z47" i="2" s="1"/>
  <c r="K47" i="2" s="1"/>
  <c r="K490" i="2"/>
  <c r="E169" i="2" s="1"/>
  <c r="AJ149" i="2"/>
  <c r="AB441" i="2"/>
  <c r="AB553" i="2"/>
  <c r="AB189" i="2"/>
  <c r="Z189" i="2" s="1"/>
  <c r="K189" i="2" s="1"/>
  <c r="AA261" i="2"/>
  <c r="AA35" i="2"/>
  <c r="AB469" i="2"/>
  <c r="AB157" i="2"/>
  <c r="AA469" i="2"/>
  <c r="AA157" i="2"/>
  <c r="K240" i="2"/>
  <c r="E19" i="2"/>
  <c r="AB240" i="2"/>
  <c r="AB19" i="2" s="1"/>
  <c r="Z19" i="2" s="1"/>
  <c r="K19" i="2" s="1"/>
  <c r="AJ245" i="2"/>
  <c r="AJ25" i="2" s="1"/>
  <c r="L245" i="2"/>
  <c r="AI245" i="2"/>
  <c r="AI25" i="2" s="1"/>
  <c r="AA418" i="2"/>
  <c r="AA132" i="2"/>
  <c r="AB418" i="2"/>
  <c r="AB132" i="2" s="1"/>
  <c r="K489" i="2"/>
  <c r="AA489" i="2"/>
  <c r="AA169" i="2"/>
  <c r="L540" i="2"/>
  <c r="AI540" i="2"/>
  <c r="AJ533" i="2"/>
  <c r="L533" i="2"/>
  <c r="AJ274" i="2"/>
  <c r="AJ39" i="2" s="1"/>
  <c r="AH39" i="2"/>
  <c r="L39" i="2" s="1"/>
  <c r="AI274" i="2"/>
  <c r="AI39" i="2"/>
  <c r="L274" i="2"/>
  <c r="L537" i="2"/>
  <c r="AJ537" i="2"/>
  <c r="L399" i="2"/>
  <c r="AI399" i="2"/>
  <c r="AI120" i="2" s="1"/>
  <c r="AH120" i="2" s="1"/>
  <c r="L120" i="2" s="1"/>
  <c r="AJ399" i="2"/>
  <c r="AI163" i="2"/>
  <c r="AH163" i="2"/>
  <c r="L163" i="2" s="1"/>
  <c r="E23" i="2"/>
  <c r="AI311" i="2"/>
  <c r="AI70" i="2" s="1"/>
  <c r="AJ311" i="2"/>
  <c r="AJ70" i="2"/>
  <c r="AA452" i="2"/>
  <c r="AA147" i="2" s="1"/>
  <c r="AB452" i="2"/>
  <c r="K452" i="2"/>
  <c r="L556" i="2"/>
  <c r="AI556" i="2"/>
  <c r="AI192" i="2"/>
  <c r="K485" i="2"/>
  <c r="D166" i="2" s="1"/>
  <c r="C166" i="2" s="1"/>
  <c r="AB485" i="2"/>
  <c r="AB166" i="2" s="1"/>
  <c r="AA485" i="2"/>
  <c r="AA166" i="2" s="1"/>
  <c r="Z166" i="2" s="1"/>
  <c r="K166" i="2" s="1"/>
  <c r="AB218" i="2"/>
  <c r="AB9" i="2" s="1"/>
  <c r="Z9" i="2" s="1"/>
  <c r="K9" i="2" s="1"/>
  <c r="AA281" i="2"/>
  <c r="AA47" i="2"/>
  <c r="K281" i="2"/>
  <c r="E47" i="2" s="1"/>
  <c r="AI344" i="2"/>
  <c r="AI88" i="2" s="1"/>
  <c r="AJ344" i="2"/>
  <c r="AJ88" i="2" s="1"/>
  <c r="AH88" i="2" s="1"/>
  <c r="L88" i="2" s="1"/>
  <c r="L344" i="2"/>
  <c r="AJ271" i="2"/>
  <c r="AJ81" i="2"/>
  <c r="AH81" i="2" s="1"/>
  <c r="L81" i="2" s="1"/>
  <c r="AI271" i="2"/>
  <c r="AI81" i="2"/>
  <c r="AB448" i="2"/>
  <c r="AB143" i="2" s="1"/>
  <c r="Z143" i="2" s="1"/>
  <c r="K143" i="2" s="1"/>
  <c r="K448" i="2"/>
  <c r="D143" i="2" s="1"/>
  <c r="C143" i="2" s="1"/>
  <c r="AB547" i="2"/>
  <c r="K547" i="2"/>
  <c r="AA547" i="2"/>
  <c r="L476" i="2"/>
  <c r="AJ476" i="2"/>
  <c r="AI476" i="2"/>
  <c r="AI160" i="2"/>
  <c r="AB236" i="2"/>
  <c r="AB16" i="2"/>
  <c r="K274" i="2"/>
  <c r="K294" i="2"/>
  <c r="D55" i="2" s="1"/>
  <c r="C55" i="2" s="1"/>
  <c r="AA294" i="2"/>
  <c r="AB294" i="2"/>
  <c r="K317" i="2"/>
  <c r="AB317" i="2"/>
  <c r="AA317" i="2"/>
  <c r="K561" i="2"/>
  <c r="D193" i="2" s="1"/>
  <c r="C193" i="2" s="1"/>
  <c r="AB561" i="2"/>
  <c r="AB193" i="2"/>
  <c r="AB319" i="2"/>
  <c r="AB80" i="2"/>
  <c r="Z80" i="2" s="1"/>
  <c r="K80" i="2" s="1"/>
  <c r="K319" i="2"/>
  <c r="E80" i="2"/>
  <c r="C80" i="2" s="1"/>
  <c r="AA336" i="2"/>
  <c r="AA542" i="2"/>
  <c r="AB542" i="2"/>
  <c r="K513" i="2"/>
  <c r="AB513" i="2"/>
  <c r="AA513" i="2"/>
  <c r="AB356" i="2"/>
  <c r="AB92" i="2" s="1"/>
  <c r="Z92" i="2"/>
  <c r="K92" i="2" s="1"/>
  <c r="K356" i="2"/>
  <c r="D92" i="2"/>
  <c r="C92" i="2" s="1"/>
  <c r="E134" i="2"/>
  <c r="C134" i="2" s="1"/>
  <c r="K418" i="2"/>
  <c r="E132" i="2" s="1"/>
  <c r="L560" i="2"/>
  <c r="AI182" i="2"/>
  <c r="AH182" i="2"/>
  <c r="L182" i="2" s="1"/>
  <c r="AI382" i="2"/>
  <c r="L486" i="2"/>
  <c r="AJ486" i="2"/>
  <c r="AJ168" i="2" s="1"/>
  <c r="AH168" i="2" s="1"/>
  <c r="L168" i="2" s="1"/>
  <c r="L451" i="2"/>
  <c r="AJ451" i="2"/>
  <c r="AJ146" i="2" s="1"/>
  <c r="AH146" i="2" s="1"/>
  <c r="L146" i="2" s="1"/>
  <c r="AI451" i="2"/>
  <c r="AI146" i="2" s="1"/>
  <c r="AJ421" i="2"/>
  <c r="L421" i="2"/>
  <c r="AI421" i="2"/>
  <c r="AI133" i="2" s="1"/>
  <c r="L460" i="2"/>
  <c r="AJ460" i="2"/>
  <c r="AJ150" i="2"/>
  <c r="AH150" i="2" s="1"/>
  <c r="L150" i="2" s="1"/>
  <c r="AI456" i="2"/>
  <c r="AI149" i="2"/>
  <c r="AH149" i="2"/>
  <c r="L149" i="2" s="1"/>
  <c r="L456" i="2"/>
  <c r="K437" i="2"/>
  <c r="AB437" i="2"/>
  <c r="AB140" i="2" s="1"/>
  <c r="Z140" i="2" s="1"/>
  <c r="K140" i="2" s="1"/>
  <c r="K395" i="2"/>
  <c r="AB395" i="2"/>
  <c r="AA395" i="2"/>
  <c r="AI539" i="2"/>
  <c r="AJ539" i="2"/>
  <c r="L539" i="2"/>
  <c r="AA415" i="2"/>
  <c r="AA131" i="2"/>
  <c r="AB415" i="2"/>
  <c r="K415" i="2"/>
  <c r="L334" i="2"/>
  <c r="AJ334" i="2"/>
  <c r="AI334" i="2"/>
  <c r="AI84" i="2" s="1"/>
  <c r="AJ120" i="2"/>
  <c r="K379" i="2"/>
  <c r="AA379" i="2"/>
  <c r="AA110" i="2"/>
  <c r="AB379" i="2"/>
  <c r="AB110" i="2" s="1"/>
  <c r="Z110" i="2" s="1"/>
  <c r="K110" i="2" s="1"/>
  <c r="L402" i="2"/>
  <c r="AJ402" i="2"/>
  <c r="K541" i="2"/>
  <c r="AB541" i="2"/>
  <c r="AB393" i="2"/>
  <c r="K253" i="2"/>
  <c r="E31" i="2" s="1"/>
  <c r="AB253" i="2"/>
  <c r="AB31" i="2"/>
  <c r="AA253" i="2"/>
  <c r="AA31" i="2" s="1"/>
  <c r="Z31" i="2" s="1"/>
  <c r="K31" i="2" s="1"/>
  <c r="K285" i="2"/>
  <c r="AB285" i="2"/>
  <c r="AA285" i="2"/>
  <c r="K310" i="2"/>
  <c r="AB310" i="2"/>
  <c r="AB70" i="2"/>
  <c r="Z70" i="2" s="1"/>
  <c r="K70" i="2" s="1"/>
  <c r="K475" i="2"/>
  <c r="D160" i="2"/>
  <c r="C160" i="2"/>
  <c r="AB475" i="2"/>
  <c r="AA475" i="2"/>
  <c r="AA160" i="2"/>
  <c r="AA272" i="2"/>
  <c r="AB272" i="2"/>
  <c r="AB39" i="2" s="1"/>
  <c r="Z39" i="2" s="1"/>
  <c r="K39" i="2" s="1"/>
  <c r="K365" i="2"/>
  <c r="D96" i="2"/>
  <c r="AA365" i="2"/>
  <c r="AB96" i="2"/>
  <c r="L352" i="2"/>
  <c r="AJ352" i="2"/>
  <c r="AJ90" i="2"/>
  <c r="AH90" i="2" s="1"/>
  <c r="L90" i="2" s="1"/>
  <c r="AI352" i="2"/>
  <c r="AI90" i="2" s="1"/>
  <c r="L269" i="2"/>
  <c r="AJ269" i="2"/>
  <c r="AJ38" i="2"/>
  <c r="AI269" i="2"/>
  <c r="AI38" i="2" s="1"/>
  <c r="AH38" i="2" s="1"/>
  <c r="L38" i="2" s="1"/>
  <c r="K252" i="2"/>
  <c r="E30" i="2" s="1"/>
  <c r="AA252" i="2"/>
  <c r="AA30" i="2" s="1"/>
  <c r="Z30" i="2" s="1"/>
  <c r="K30" i="2" s="1"/>
  <c r="AI131" i="2"/>
  <c r="AA299" i="2"/>
  <c r="AA58" i="2" s="1"/>
  <c r="AI260" i="2"/>
  <c r="AI33" i="2" s="1"/>
  <c r="AJ383" i="2"/>
  <c r="L417" i="2"/>
  <c r="L383" i="2"/>
  <c r="AI517" i="2"/>
  <c r="AI181" i="2" s="1"/>
  <c r="AH181" i="2" s="1"/>
  <c r="L181" i="2" s="1"/>
  <c r="K260" i="2"/>
  <c r="D33" i="2"/>
  <c r="C33" i="2" s="1"/>
  <c r="AA400" i="2"/>
  <c r="AA122" i="2"/>
  <c r="Z122" i="2" s="1"/>
  <c r="K122" i="2" s="1"/>
  <c r="L259" i="2"/>
  <c r="K409" i="2"/>
  <c r="E130" i="2" s="1"/>
  <c r="AB536" i="2"/>
  <c r="AA396" i="2"/>
  <c r="AB409" i="2"/>
  <c r="AB412" i="2"/>
  <c r="L393" i="2"/>
  <c r="K534" i="2"/>
  <c r="D185" i="2" s="1"/>
  <c r="C185" i="2" s="1"/>
  <c r="AI215" i="2"/>
  <c r="AI4" i="2"/>
  <c r="AI446" i="2"/>
  <c r="AI468" i="2"/>
  <c r="AI156" i="2"/>
  <c r="AH156" i="2" s="1"/>
  <c r="L156" i="2" s="1"/>
  <c r="L446" i="2"/>
  <c r="AJ417" i="2"/>
  <c r="L372" i="2"/>
  <c r="AJ260" i="2"/>
  <c r="AJ33" i="2" s="1"/>
  <c r="AH33" i="2" s="1"/>
  <c r="L33" i="2" s="1"/>
  <c r="AB260" i="2"/>
  <c r="AB33" i="2" s="1"/>
  <c r="Z33" i="2" s="1"/>
  <c r="K33" i="2" s="1"/>
  <c r="L517" i="2"/>
  <c r="K299" i="2"/>
  <c r="AB396" i="2"/>
  <c r="Z71" i="2"/>
  <c r="K71" i="2" s="1"/>
  <c r="C2" i="2"/>
  <c r="AH68" i="2"/>
  <c r="L68" i="2"/>
  <c r="AH148" i="2"/>
  <c r="L148" i="2" s="1"/>
  <c r="AH92" i="2"/>
  <c r="L92" i="2" s="1"/>
  <c r="AH60" i="2"/>
  <c r="L60" i="2"/>
  <c r="AH26" i="2"/>
  <c r="L26" i="2" s="1"/>
  <c r="AH56" i="2"/>
  <c r="L56" i="2"/>
  <c r="L147" i="2"/>
  <c r="C173" i="2"/>
  <c r="C56" i="2"/>
  <c r="C139" i="2"/>
  <c r="C23" i="2"/>
  <c r="AH80" i="2"/>
  <c r="L80" i="2"/>
  <c r="AH35" i="2"/>
  <c r="L35" i="2" s="1"/>
  <c r="C105" i="2"/>
  <c r="C191" i="2"/>
  <c r="C125" i="2"/>
  <c r="C153" i="2"/>
  <c r="C127" i="2"/>
  <c r="C145" i="2"/>
  <c r="C175" i="2"/>
  <c r="C154" i="2"/>
  <c r="C69" i="2"/>
  <c r="C76" i="2"/>
  <c r="C89" i="2"/>
  <c r="C3" i="2"/>
  <c r="E160" i="2"/>
  <c r="D80" i="2"/>
  <c r="E143" i="2"/>
  <c r="E92" i="2"/>
  <c r="E193" i="2"/>
  <c r="D19" i="2"/>
  <c r="E33" i="2"/>
  <c r="D31" i="2"/>
  <c r="E110" i="2"/>
  <c r="C110" i="2"/>
  <c r="D110" i="2"/>
  <c r="AB130" i="2"/>
  <c r="E55" i="2"/>
  <c r="E166" i="2"/>
  <c r="L401" i="2"/>
  <c r="AI401" i="2"/>
  <c r="AI123" i="2" s="1"/>
  <c r="AJ401" i="2"/>
  <c r="AH192" i="2"/>
  <c r="L192" i="2" s="1"/>
  <c r="E36" i="2"/>
  <c r="D36" i="2"/>
  <c r="C36" i="2" s="1"/>
  <c r="AB373" i="2"/>
  <c r="AB100" i="2" s="1"/>
  <c r="Z100" i="2" s="1"/>
  <c r="K100" i="2" s="1"/>
  <c r="AA373" i="2"/>
  <c r="AA100" i="2" s="1"/>
  <c r="AB358" i="2"/>
  <c r="K424" i="2"/>
  <c r="AB424" i="2"/>
  <c r="L543" i="2"/>
  <c r="AJ543" i="2"/>
  <c r="AI543" i="2"/>
  <c r="L474" i="2"/>
  <c r="AI474" i="2"/>
  <c r="AB551" i="2"/>
  <c r="AB186" i="2"/>
  <c r="AA551" i="2"/>
  <c r="AA186" i="2" s="1"/>
  <c r="Z186" i="2" s="1"/>
  <c r="K186" i="2" s="1"/>
  <c r="AJ382" i="2"/>
  <c r="AJ112" i="2"/>
  <c r="L382" i="2"/>
  <c r="AA306" i="2"/>
  <c r="AA63" i="2" s="1"/>
  <c r="AB306" i="2"/>
  <c r="AB63" i="2"/>
  <c r="L284" i="2"/>
  <c r="AI284" i="2"/>
  <c r="AI52" i="2"/>
  <c r="AH52" i="2"/>
  <c r="L52" i="2" s="1"/>
  <c r="AI362" i="2"/>
  <c r="L362" i="2"/>
  <c r="K364" i="2"/>
  <c r="AA364" i="2"/>
  <c r="AA96" i="2"/>
  <c r="Z96" i="2" s="1"/>
  <c r="K96" i="2" s="1"/>
  <c r="AA425" i="2"/>
  <c r="AB425" i="2"/>
  <c r="AB270" i="2"/>
  <c r="AB38" i="2"/>
  <c r="K270" i="2"/>
  <c r="AI447" i="2"/>
  <c r="AI142" i="2"/>
  <c r="AH142" i="2" s="1"/>
  <c r="L142" i="2" s="1"/>
  <c r="K236" i="2"/>
  <c r="K218" i="2"/>
  <c r="AJ283" i="2"/>
  <c r="AJ49" i="2"/>
  <c r="AH49" i="2" s="1"/>
  <c r="L49" i="2" s="1"/>
  <c r="K453" i="2"/>
  <c r="D147" i="2" s="1"/>
  <c r="C147" i="2" s="1"/>
  <c r="E63" i="2"/>
  <c r="C63" i="2"/>
  <c r="K398" i="2"/>
  <c r="D120" i="2" s="1"/>
  <c r="D48" i="2"/>
  <c r="C48" i="2" s="1"/>
  <c r="AJ526" i="2"/>
  <c r="AJ184" i="2"/>
  <c r="AA398" i="2"/>
  <c r="AA120" i="2" s="1"/>
  <c r="K491" i="2"/>
  <c r="D170" i="2"/>
  <c r="AA262" i="2"/>
  <c r="AA36" i="2"/>
  <c r="L412" i="2"/>
  <c r="AA491" i="2"/>
  <c r="AA170" i="2" s="1"/>
  <c r="AA466" i="2"/>
  <c r="AA155" i="2"/>
  <c r="AB466" i="2"/>
  <c r="AB155" i="2" s="1"/>
  <c r="Z155" i="2" s="1"/>
  <c r="K155" i="2" s="1"/>
  <c r="AA149" i="2"/>
  <c r="AA284" i="2"/>
  <c r="AA52" i="2" s="1"/>
  <c r="L447" i="2"/>
  <c r="K378" i="2"/>
  <c r="AA536" i="2"/>
  <c r="AJ32" i="2"/>
  <c r="AB316" i="2"/>
  <c r="AB79" i="2"/>
  <c r="K358" i="2"/>
  <c r="E93" i="2"/>
  <c r="E112" i="2"/>
  <c r="C112" i="2" s="1"/>
  <c r="K228" i="2"/>
  <c r="AA500" i="2"/>
  <c r="AA174" i="2" s="1"/>
  <c r="AB90" i="2"/>
  <c r="AA344" i="2"/>
  <c r="AA88" i="2" s="1"/>
  <c r="K344" i="2"/>
  <c r="E88" i="2" s="1"/>
  <c r="AA420" i="2"/>
  <c r="AB420" i="2"/>
  <c r="AB133" i="2"/>
  <c r="AB361" i="2"/>
  <c r="K361" i="2"/>
  <c r="E94" i="2" s="1"/>
  <c r="AA361" i="2"/>
  <c r="AA94" i="2" s="1"/>
  <c r="Z94" i="2" s="1"/>
  <c r="K94" i="2" s="1"/>
  <c r="AJ403" i="2"/>
  <c r="AJ124" i="2"/>
  <c r="AH124" i="2" s="1"/>
  <c r="L124" i="2" s="1"/>
  <c r="L403" i="2"/>
  <c r="AA225" i="2"/>
  <c r="AB225" i="2"/>
  <c r="K429" i="2"/>
  <c r="E136" i="2" s="1"/>
  <c r="AB429" i="2"/>
  <c r="AB136" i="2"/>
  <c r="Z136" i="2" s="1"/>
  <c r="K136" i="2" s="1"/>
  <c r="AA224" i="2"/>
  <c r="AA11" i="2" s="1"/>
  <c r="K224" i="2"/>
  <c r="AB502" i="2"/>
  <c r="AB176" i="2"/>
  <c r="Z176" i="2" s="1"/>
  <c r="K176" i="2" s="1"/>
  <c r="AA502" i="2"/>
  <c r="AA176" i="2"/>
  <c r="K502" i="2"/>
  <c r="D176" i="2" s="1"/>
  <c r="C176" i="2" s="1"/>
  <c r="E149" i="2"/>
  <c r="AB453" i="2"/>
  <c r="AB147" i="2"/>
  <c r="Z147" i="2" s="1"/>
  <c r="K147" i="2" s="1"/>
  <c r="AA378" i="2"/>
  <c r="AA108" i="2"/>
  <c r="Z108" i="2" s="1"/>
  <c r="K108" i="2" s="1"/>
  <c r="K373" i="2"/>
  <c r="C122" i="2"/>
  <c r="AA316" i="2"/>
  <c r="AA79" i="2" s="1"/>
  <c r="Z79" i="2" s="1"/>
  <c r="K79" i="2" s="1"/>
  <c r="AA358" i="2"/>
  <c r="AA93" i="2"/>
  <c r="Z93" i="2" s="1"/>
  <c r="K93" i="2" s="1"/>
  <c r="AA83" i="2"/>
  <c r="AB93" i="2"/>
  <c r="E182" i="2"/>
  <c r="C182" i="2"/>
  <c r="AA291" i="2"/>
  <c r="AA54" i="2" s="1"/>
  <c r="AB291" i="2"/>
  <c r="AB54" i="2"/>
  <c r="L265" i="2"/>
  <c r="AI265" i="2"/>
  <c r="K446" i="2"/>
  <c r="AB446" i="2"/>
  <c r="AB141" i="2" s="1"/>
  <c r="Z141" i="2" s="1"/>
  <c r="K141" i="2" s="1"/>
  <c r="K557" i="2"/>
  <c r="E192" i="2" s="1"/>
  <c r="AA557" i="2"/>
  <c r="AA192" i="2"/>
  <c r="K337" i="2"/>
  <c r="AB337" i="2"/>
  <c r="K480" i="2"/>
  <c r="AA480" i="2"/>
  <c r="AA162" i="2" s="1"/>
  <c r="Z162" i="2" s="1"/>
  <c r="K162" i="2" s="1"/>
  <c r="AA343" i="2"/>
  <c r="AB343" i="2"/>
  <c r="AB88" i="2" s="1"/>
  <c r="Z88" i="2" s="1"/>
  <c r="K88" i="2" s="1"/>
  <c r="K392" i="2"/>
  <c r="D119" i="2" s="1"/>
  <c r="AA392" i="2"/>
  <c r="AI488" i="2"/>
  <c r="AI169" i="2" s="1"/>
  <c r="AH169" i="2" s="1"/>
  <c r="L169" i="2" s="1"/>
  <c r="AJ488" i="2"/>
  <c r="AJ169" i="2"/>
  <c r="L463" i="2"/>
  <c r="AJ463" i="2"/>
  <c r="AJ153" i="2"/>
  <c r="AH153" i="2" s="1"/>
  <c r="L153" i="2" s="1"/>
  <c r="D186" i="2"/>
  <c r="AB262" i="2"/>
  <c r="AB36" i="2" s="1"/>
  <c r="Z36" i="2" s="1"/>
  <c r="K36" i="2" s="1"/>
  <c r="K500" i="2"/>
  <c r="E174" i="2" s="1"/>
  <c r="K338" i="2"/>
  <c r="D86" i="2" s="1"/>
  <c r="AA424" i="2"/>
  <c r="AA333" i="2"/>
  <c r="AA84" i="2"/>
  <c r="L375" i="2"/>
  <c r="AI526" i="2"/>
  <c r="AI184" i="2" s="1"/>
  <c r="AJ361" i="2"/>
  <c r="AJ94" i="2" s="1"/>
  <c r="AH94" i="2" s="1"/>
  <c r="L94" i="2" s="1"/>
  <c r="Z87" i="2"/>
  <c r="K87" i="2"/>
  <c r="AJ11" i="2"/>
  <c r="AH11" i="2" s="1"/>
  <c r="L11" i="2" s="1"/>
  <c r="AJ174" i="2"/>
  <c r="AB521" i="2"/>
  <c r="AB182" i="2" s="1"/>
  <c r="Z182" i="2" s="1"/>
  <c r="K182" i="2" s="1"/>
  <c r="K538" i="2"/>
  <c r="L324" i="2"/>
  <c r="E54" i="2"/>
  <c r="E184" i="2"/>
  <c r="AA495" i="2"/>
  <c r="AA173" i="2"/>
  <c r="AB495" i="2"/>
  <c r="AB173" i="2"/>
  <c r="Z173" i="2" s="1"/>
  <c r="K173" i="2" s="1"/>
  <c r="BJ152" i="2"/>
  <c r="AA457" i="2"/>
  <c r="AB286" i="2"/>
  <c r="AA286" i="2"/>
  <c r="K399" i="2"/>
  <c r="AA134" i="2"/>
  <c r="AI171" i="2"/>
  <c r="BJ41" i="2"/>
  <c r="BJ71" i="2"/>
  <c r="BJ93" i="2"/>
  <c r="BJ154" i="2"/>
  <c r="BJ193" i="2"/>
  <c r="AB138" i="2"/>
  <c r="AJ175" i="2"/>
  <c r="AH175" i="2" s="1"/>
  <c r="L175" i="2" s="1"/>
  <c r="E100" i="2"/>
  <c r="D100" i="2"/>
  <c r="C100" i="2" s="1"/>
  <c r="E162" i="2"/>
  <c r="D162" i="2"/>
  <c r="C162" i="2" s="1"/>
  <c r="E176" i="2"/>
  <c r="D94" i="2"/>
  <c r="C94" i="2" s="1"/>
  <c r="E108" i="2"/>
  <c r="D108" i="2"/>
  <c r="C108" i="2" s="1"/>
  <c r="D16" i="2"/>
  <c r="C16" i="2" s="1"/>
  <c r="E16" i="2"/>
  <c r="E9" i="2"/>
  <c r="D9" i="2"/>
  <c r="C9" i="2"/>
  <c r="C170" i="2"/>
  <c r="AB25" i="2"/>
  <c r="Z25" i="2" s="1"/>
  <c r="K25" i="2" s="1"/>
  <c r="AB212" i="2"/>
  <c r="AB2" i="2"/>
  <c r="AA212" i="2"/>
  <c r="AA2" i="2" s="1"/>
  <c r="Z130" i="2"/>
  <c r="K130" i="2" s="1"/>
  <c r="D87" i="2"/>
  <c r="C87" i="2" s="1"/>
  <c r="E87" i="2"/>
  <c r="K275" i="2"/>
  <c r="AA275" i="2"/>
  <c r="AA39" i="2"/>
  <c r="E170" i="2"/>
  <c r="E185" i="2"/>
  <c r="C82" i="2"/>
  <c r="AJ131" i="2"/>
  <c r="AH131" i="2"/>
  <c r="L131" i="2"/>
  <c r="AB468" i="2"/>
  <c r="AB156" i="2"/>
  <c r="AA468" i="2"/>
  <c r="K468" i="2"/>
  <c r="E156" i="2"/>
  <c r="C156" i="2" s="1"/>
  <c r="K387" i="2"/>
  <c r="AA387" i="2"/>
  <c r="AB387" i="2"/>
  <c r="AA259" i="2"/>
  <c r="K259" i="2"/>
  <c r="E32" i="2" s="1"/>
  <c r="AA335" i="2"/>
  <c r="AA85" i="2"/>
  <c r="AB335" i="2"/>
  <c r="K335" i="2"/>
  <c r="E85" i="2" s="1"/>
  <c r="AI364" i="2"/>
  <c r="AI96" i="2" s="1"/>
  <c r="L364" i="2"/>
  <c r="AJ364" i="2"/>
  <c r="AJ96" i="2" s="1"/>
  <c r="AA32" i="2"/>
  <c r="AA119" i="2"/>
  <c r="D58" i="2"/>
  <c r="C58" i="2" s="1"/>
  <c r="E58" i="2"/>
  <c r="E147" i="2"/>
  <c r="E35" i="2"/>
  <c r="C35" i="2"/>
  <c r="E70" i="2"/>
  <c r="D70" i="2"/>
  <c r="C70" i="2" s="1"/>
  <c r="D98" i="2"/>
  <c r="C98" i="2"/>
  <c r="AH47" i="2"/>
  <c r="L47" i="2"/>
  <c r="AB402" i="2"/>
  <c r="AB123" i="2" s="1"/>
  <c r="Z123" i="2" s="1"/>
  <c r="K123" i="2" s="1"/>
  <c r="AI402" i="2"/>
  <c r="AA402" i="2"/>
  <c r="AA123" i="2"/>
  <c r="AJ160" i="2"/>
  <c r="AH160" i="2"/>
  <c r="L160" i="2" s="1"/>
  <c r="AA185" i="2"/>
  <c r="L294" i="2"/>
  <c r="AI294" i="2"/>
  <c r="AJ294" i="2"/>
  <c r="AJ55" i="2"/>
  <c r="AH55" i="2" s="1"/>
  <c r="L55" i="2" s="1"/>
  <c r="D93" i="2"/>
  <c r="C93" i="2" s="1"/>
  <c r="AJ123" i="2"/>
  <c r="AH123" i="2" s="1"/>
  <c r="L123" i="2" s="1"/>
  <c r="AB213" i="2"/>
  <c r="AB3" i="2"/>
  <c r="Z3" i="2" s="1"/>
  <c r="K3" i="2" s="1"/>
  <c r="AA213" i="2"/>
  <c r="AA3" i="2"/>
  <c r="D148" i="2"/>
  <c r="E148" i="2"/>
  <c r="C148" i="2" s="1"/>
  <c r="Z157" i="2"/>
  <c r="K157" i="2"/>
  <c r="K284" i="2"/>
  <c r="AB94" i="2"/>
  <c r="D140" i="2"/>
  <c r="D130" i="2"/>
  <c r="C130" i="2" s="1"/>
  <c r="D144" i="2"/>
  <c r="C144" i="2"/>
  <c r="E96" i="2"/>
  <c r="C96" i="2"/>
  <c r="C186" i="2"/>
  <c r="D141" i="2"/>
  <c r="C141" i="2" s="1"/>
  <c r="C19" i="2"/>
  <c r="D132" i="2"/>
  <c r="C132" i="2"/>
  <c r="AB120" i="2"/>
  <c r="Z120" i="2" s="1"/>
  <c r="K120" i="2" s="1"/>
  <c r="E158" i="2"/>
  <c r="C158" i="2"/>
  <c r="AI94" i="2"/>
  <c r="AA112" i="2"/>
  <c r="Z112" i="2" s="1"/>
  <c r="K112" i="2" s="1"/>
  <c r="D138" i="2"/>
  <c r="C138" i="2" s="1"/>
  <c r="E138" i="2"/>
  <c r="AA517" i="2"/>
  <c r="AA181" i="2"/>
  <c r="K517" i="2"/>
  <c r="E181" i="2" s="1"/>
  <c r="AB517" i="2"/>
  <c r="AB181" i="2" s="1"/>
  <c r="Z181" i="2" s="1"/>
  <c r="K181" i="2" s="1"/>
  <c r="AA444" i="2"/>
  <c r="AA141" i="2"/>
  <c r="K444" i="2"/>
  <c r="E141" i="2"/>
  <c r="E131" i="2"/>
  <c r="AB259" i="2"/>
  <c r="AB32" i="2"/>
  <c r="Z32" i="2" s="1"/>
  <c r="K32" i="2" s="1"/>
  <c r="AH2" i="2"/>
  <c r="L2" i="2"/>
  <c r="C114" i="2"/>
  <c r="AH162" i="2"/>
  <c r="L162" i="2" s="1"/>
  <c r="D156" i="2"/>
  <c r="AI37" i="2"/>
  <c r="AH37" i="2" s="1"/>
  <c r="L37" i="2" s="1"/>
  <c r="AB84" i="2"/>
  <c r="Z84" i="2"/>
  <c r="K84" i="2" s="1"/>
  <c r="Z4" i="2"/>
  <c r="K4" i="2"/>
  <c r="C7" i="2"/>
  <c r="Z139" i="2"/>
  <c r="K139" i="2" s="1"/>
  <c r="Z49" i="2"/>
  <c r="K49" i="2"/>
  <c r="C178" i="2"/>
  <c r="Z114" i="2"/>
  <c r="K114" i="2" s="1"/>
  <c r="Z132" i="2"/>
  <c r="K132" i="2"/>
  <c r="AA140" i="2"/>
  <c r="Z113" i="2"/>
  <c r="K113" i="2"/>
  <c r="AA126" i="2"/>
  <c r="D79" i="2"/>
  <c r="C79" i="2" s="1"/>
  <c r="E79" i="2"/>
  <c r="C25" i="2"/>
  <c r="AH3" i="2"/>
  <c r="L3" i="2"/>
  <c r="Z35" i="2"/>
  <c r="K35" i="2" s="1"/>
  <c r="Z177" i="2"/>
  <c r="K177" i="2"/>
  <c r="Z89" i="2"/>
  <c r="K89" i="2" s="1"/>
  <c r="AH43" i="2"/>
  <c r="L43" i="2" s="1"/>
  <c r="AI55" i="2"/>
  <c r="K558" i="2"/>
  <c r="AB558" i="2"/>
  <c r="AB192" i="2"/>
  <c r="Z192" i="2" s="1"/>
  <c r="K192" i="2" s="1"/>
  <c r="AJ125" i="2"/>
  <c r="AI560" i="2"/>
  <c r="AI193" i="2" s="1"/>
  <c r="Z125" i="2"/>
  <c r="K125" i="2"/>
  <c r="AB174" i="2"/>
  <c r="Z174" i="2" s="1"/>
  <c r="K174" i="2" s="1"/>
  <c r="AH186" i="2"/>
  <c r="L186" i="2"/>
  <c r="AB336" i="2"/>
  <c r="K336" i="2"/>
  <c r="D85" i="2" s="1"/>
  <c r="C85" i="2" s="1"/>
  <c r="D163" i="2"/>
  <c r="C163" i="2"/>
  <c r="Z56" i="2"/>
  <c r="K56" i="2"/>
  <c r="Z145" i="2"/>
  <c r="K145" i="2"/>
  <c r="AA193" i="2"/>
  <c r="Z193" i="2" s="1"/>
  <c r="K193" i="2" s="1"/>
  <c r="AI23" i="2"/>
  <c r="AH23" i="2"/>
  <c r="L23" i="2"/>
  <c r="L510" i="2"/>
  <c r="AI510" i="2"/>
  <c r="AI179" i="2" s="1"/>
  <c r="AH179" i="2" s="1"/>
  <c r="L179" i="2" s="1"/>
  <c r="BJ144" i="2"/>
  <c r="C155" i="2"/>
  <c r="L491" i="2"/>
  <c r="AJ491" i="2"/>
  <c r="AJ170" i="2" s="1"/>
  <c r="AH170" i="2" s="1"/>
  <c r="L170" i="2" s="1"/>
  <c r="AA175" i="2"/>
  <c r="Z175" i="2"/>
  <c r="K175" i="2" s="1"/>
  <c r="AJ86" i="2"/>
  <c r="AH86" i="2" s="1"/>
  <c r="L86" i="2" s="1"/>
  <c r="AI173" i="2"/>
  <c r="AH173" i="2"/>
  <c r="L173" i="2" s="1"/>
  <c r="AB320" i="2"/>
  <c r="AB82" i="2"/>
  <c r="AA320" i="2"/>
  <c r="AA82" i="2" s="1"/>
  <c r="Z82" i="2" s="1"/>
  <c r="K82" i="2" s="1"/>
  <c r="AB131" i="2"/>
  <c r="Z131" i="2" s="1"/>
  <c r="K131" i="2" s="1"/>
  <c r="BJ179" i="2"/>
  <c r="Z151" i="2"/>
  <c r="K151" i="2" s="1"/>
  <c r="BJ188" i="2"/>
  <c r="Z10" i="2"/>
  <c r="K10" i="2"/>
  <c r="AB119" i="2"/>
  <c r="Z119" i="2"/>
  <c r="K119" i="2" s="1"/>
  <c r="AI189" i="2"/>
  <c r="AH189" i="2" s="1"/>
  <c r="L189" i="2" s="1"/>
  <c r="AA524" i="2"/>
  <c r="AA184" i="2"/>
  <c r="AB524" i="2"/>
  <c r="AB184" i="2" s="1"/>
  <c r="Z184" i="2" s="1"/>
  <c r="K184" i="2" s="1"/>
  <c r="E83" i="2"/>
  <c r="C83" i="2"/>
  <c r="BJ86" i="2"/>
  <c r="BJ117" i="2"/>
  <c r="K329" i="2"/>
  <c r="E84" i="2" s="1"/>
  <c r="BJ31" i="2"/>
  <c r="AJ93" i="2"/>
  <c r="AH93" i="2" s="1"/>
  <c r="L93" i="2" s="1"/>
  <c r="AJ138" i="2"/>
  <c r="AH138" i="2"/>
  <c r="L138" i="2"/>
  <c r="D32" i="2"/>
  <c r="C32" i="2" s="1"/>
  <c r="E39" i="2"/>
  <c r="D39" i="2"/>
  <c r="C39" i="2" s="1"/>
  <c r="E52" i="2"/>
  <c r="D52" i="2"/>
  <c r="C52" i="2" s="1"/>
  <c r="D84" i="2"/>
  <c r="AB85" i="2"/>
  <c r="Z85" i="2" s="1"/>
  <c r="K85" i="2" s="1"/>
  <c r="Z54" i="2" l="1"/>
  <c r="K54" i="2" s="1"/>
  <c r="C31" i="2"/>
  <c r="AH96" i="2"/>
  <c r="L96" i="2" s="1"/>
  <c r="AH184" i="2"/>
  <c r="L184" i="2" s="1"/>
  <c r="AH25" i="2"/>
  <c r="L25" i="2" s="1"/>
  <c r="Z63" i="2"/>
  <c r="K63" i="2" s="1"/>
  <c r="Z2" i="2"/>
  <c r="K2" i="2" s="1"/>
  <c r="C84" i="2"/>
  <c r="E86" i="2"/>
  <c r="C86" i="2" s="1"/>
  <c r="D47" i="2"/>
  <c r="C47" i="2" s="1"/>
  <c r="C49" i="2"/>
  <c r="AA55" i="2"/>
  <c r="D174" i="2"/>
  <c r="C174" i="2" s="1"/>
  <c r="C171" i="2"/>
  <c r="C53" i="2"/>
  <c r="AJ84" i="2"/>
  <c r="AH84" i="2" s="1"/>
  <c r="L84" i="2" s="1"/>
  <c r="D192" i="2"/>
  <c r="C192" i="2" s="1"/>
  <c r="E120" i="2"/>
  <c r="C120" i="2" s="1"/>
  <c r="D26" i="2"/>
  <c r="E26" i="2"/>
  <c r="C150" i="2"/>
  <c r="AI53" i="2"/>
  <c r="AH70" i="2"/>
  <c r="L70" i="2" s="1"/>
  <c r="K509" i="2"/>
  <c r="AA509" i="2"/>
  <c r="AA179" i="2" s="1"/>
  <c r="AB509" i="2"/>
  <c r="AA13" i="2"/>
  <c r="AH16" i="2"/>
  <c r="L16" i="2" s="1"/>
  <c r="E119" i="2"/>
  <c r="C119" i="2" s="1"/>
  <c r="C151" i="2"/>
  <c r="C149" i="2"/>
  <c r="Z7" i="2"/>
  <c r="K7" i="2" s="1"/>
  <c r="Z178" i="2"/>
  <c r="K178" i="2" s="1"/>
  <c r="AB185" i="2"/>
  <c r="Z185" i="2" s="1"/>
  <c r="K185" i="2" s="1"/>
  <c r="D131" i="2"/>
  <c r="C131" i="2" s="1"/>
  <c r="D30" i="2"/>
  <c r="C30" i="2" s="1"/>
  <c r="AJ529" i="2"/>
  <c r="AI529" i="2"/>
  <c r="AA16" i="2"/>
  <c r="Z16" i="2" s="1"/>
  <c r="K16" i="2" s="1"/>
  <c r="AA138" i="2"/>
  <c r="Z138" i="2" s="1"/>
  <c r="K138" i="2" s="1"/>
  <c r="AJ140" i="2"/>
  <c r="AH140" i="2" s="1"/>
  <c r="L140" i="2" s="1"/>
  <c r="AI174" i="2"/>
  <c r="AH174" i="2" s="1"/>
  <c r="L174" i="2" s="1"/>
  <c r="D136" i="2"/>
  <c r="C136" i="2" s="1"/>
  <c r="AB52" i="2"/>
  <c r="Z52" i="2" s="1"/>
  <c r="K52" i="2" s="1"/>
  <c r="Z134" i="2"/>
  <c r="K134" i="2" s="1"/>
  <c r="K239" i="2"/>
  <c r="AB239" i="2"/>
  <c r="AB18" i="2" s="1"/>
  <c r="Z18" i="2" s="1"/>
  <c r="K18" i="2" s="1"/>
  <c r="K380" i="2"/>
  <c r="AA380" i="2"/>
  <c r="AA111" i="2" s="1"/>
  <c r="Z111" i="2" s="1"/>
  <c r="K111" i="2" s="1"/>
  <c r="AB179" i="2"/>
  <c r="Z179" i="2" s="1"/>
  <c r="K179" i="2" s="1"/>
  <c r="Z58" i="2"/>
  <c r="K58" i="2" s="1"/>
  <c r="D181" i="2"/>
  <c r="C181" i="2" s="1"/>
  <c r="D169" i="2"/>
  <c r="C169" i="2" s="1"/>
  <c r="C142" i="2"/>
  <c r="Z76" i="2"/>
  <c r="K76" i="2" s="1"/>
  <c r="K313" i="2"/>
  <c r="AA313" i="2"/>
  <c r="AA75" i="2" s="1"/>
  <c r="AB313" i="2"/>
  <c r="AB75" i="2" s="1"/>
  <c r="Z75" i="2" s="1"/>
  <c r="K75" i="2" s="1"/>
  <c r="Z53" i="2"/>
  <c r="K53" i="2" s="1"/>
  <c r="Z144" i="2"/>
  <c r="K144" i="2" s="1"/>
  <c r="C54" i="2"/>
  <c r="Z105" i="2"/>
  <c r="K105" i="2" s="1"/>
  <c r="AA163" i="2"/>
  <c r="Z163" i="2" s="1"/>
  <c r="K163" i="2" s="1"/>
  <c r="AH75" i="2"/>
  <c r="L75" i="2" s="1"/>
  <c r="AH4" i="2"/>
  <c r="L4" i="2" s="1"/>
  <c r="AB338" i="2"/>
  <c r="AB86" i="2" s="1"/>
  <c r="AA338" i="2"/>
  <c r="AA86" i="2" s="1"/>
  <c r="E123" i="2"/>
  <c r="D123" i="2"/>
  <c r="C123" i="2" s="1"/>
  <c r="AB55" i="2"/>
  <c r="Z55" i="2" s="1"/>
  <c r="K55" i="2" s="1"/>
  <c r="AH53" i="2"/>
  <c r="L53" i="2" s="1"/>
  <c r="Z13" i="2"/>
  <c r="K13" i="2" s="1"/>
  <c r="AI405" i="2"/>
  <c r="AI125" i="2" s="1"/>
  <c r="AH125" i="2" s="1"/>
  <c r="L125" i="2" s="1"/>
  <c r="L405" i="2"/>
  <c r="Z81" i="2"/>
  <c r="K81" i="2" s="1"/>
  <c r="AB169" i="2"/>
  <c r="Z169" i="2" s="1"/>
  <c r="K169" i="2" s="1"/>
  <c r="AB160" i="2"/>
  <c r="Z160" i="2" s="1"/>
  <c r="K160" i="2" s="1"/>
  <c r="AJ54" i="2"/>
  <c r="AH130" i="2"/>
  <c r="L130" i="2" s="1"/>
  <c r="K352" i="2"/>
  <c r="BJ19" i="2"/>
  <c r="BJ30" i="2"/>
  <c r="L425" i="2"/>
  <c r="AJ425" i="2"/>
  <c r="AJ133" i="2" s="1"/>
  <c r="AH133" i="2" s="1"/>
  <c r="L133" i="2" s="1"/>
  <c r="AJ322" i="2"/>
  <c r="AJ83" i="2" s="1"/>
  <c r="AH83" i="2" s="1"/>
  <c r="L83" i="2" s="1"/>
  <c r="L279" i="2"/>
  <c r="K422" i="2"/>
  <c r="AJ291" i="2"/>
  <c r="AI393" i="2"/>
  <c r="AI119" i="2" s="1"/>
  <c r="AH119" i="2" s="1"/>
  <c r="L119" i="2" s="1"/>
  <c r="AI316" i="2"/>
  <c r="AI79" i="2" s="1"/>
  <c r="AH79" i="2" s="1"/>
  <c r="L79" i="2" s="1"/>
  <c r="AA422" i="2"/>
  <c r="AA133" i="2" s="1"/>
  <c r="Z133" i="2" s="1"/>
  <c r="K133" i="2" s="1"/>
  <c r="AI550" i="2"/>
  <c r="AI381" i="2"/>
  <c r="AI112" i="2" s="1"/>
  <c r="AH112" i="2" s="1"/>
  <c r="L112" i="2" s="1"/>
  <c r="E42" i="2"/>
  <c r="C42" i="2" s="1"/>
  <c r="BJ137" i="2"/>
  <c r="AA268" i="2"/>
  <c r="AA38" i="2" s="1"/>
  <c r="Z38" i="2" s="1"/>
  <c r="K38" i="2" s="1"/>
  <c r="AI375" i="2"/>
  <c r="AI104" i="2" s="1"/>
  <c r="AH104" i="2" s="1"/>
  <c r="L104" i="2" s="1"/>
  <c r="AA467" i="2"/>
  <c r="AA156" i="2" s="1"/>
  <c r="Z156" i="2" s="1"/>
  <c r="K156" i="2" s="1"/>
  <c r="AA98" i="2"/>
  <c r="Z98" i="2" s="1"/>
  <c r="K98" i="2" s="1"/>
  <c r="AJ561" i="2"/>
  <c r="AJ193" i="2" s="1"/>
  <c r="AH193" i="2" s="1"/>
  <c r="L193" i="2" s="1"/>
  <c r="L561" i="2"/>
  <c r="AI444" i="2"/>
  <c r="AI141" i="2" s="1"/>
  <c r="AJ444" i="2"/>
  <c r="AJ141" i="2" s="1"/>
  <c r="AH141" i="2" s="1"/>
  <c r="L141" i="2" s="1"/>
  <c r="E37" i="2"/>
  <c r="C37" i="2" s="1"/>
  <c r="BJ9" i="2"/>
  <c r="BJ85" i="2"/>
  <c r="L227" i="2"/>
  <c r="L562" i="2" s="1"/>
  <c r="AB322" i="2"/>
  <c r="AB83" i="2" s="1"/>
  <c r="Z83" i="2" s="1"/>
  <c r="K83" i="2" s="1"/>
  <c r="AI291" i="2"/>
  <c r="AI54" i="2" s="1"/>
  <c r="AJ282" i="2"/>
  <c r="AJ48" i="2" s="1"/>
  <c r="AH48" i="2" s="1"/>
  <c r="L48" i="2" s="1"/>
  <c r="BJ112" i="2"/>
  <c r="K227" i="2"/>
  <c r="E11" i="2" s="1"/>
  <c r="AI305" i="2"/>
  <c r="AI63" i="2" s="1"/>
  <c r="AH63" i="2" s="1"/>
  <c r="L63" i="2" s="1"/>
  <c r="L416" i="2"/>
  <c r="E140" i="2"/>
  <c r="C140" i="2" s="1"/>
  <c r="BJ78" i="2"/>
  <c r="D88" i="2"/>
  <c r="C88" i="2" s="1"/>
  <c r="AJ530" i="2"/>
  <c r="K353" i="2"/>
  <c r="AA353" i="2"/>
  <c r="AA90" i="2" s="1"/>
  <c r="Z90" i="2" s="1"/>
  <c r="K90" i="2" s="1"/>
  <c r="K268" i="2"/>
  <c r="L530" i="2"/>
  <c r="AB149" i="2"/>
  <c r="Z149" i="2" s="1"/>
  <c r="K149" i="2" s="1"/>
  <c r="AB227" i="2"/>
  <c r="AB11" i="2" s="1"/>
  <c r="Z11" i="2" s="1"/>
  <c r="K11" i="2" s="1"/>
  <c r="BJ177" i="2"/>
  <c r="L550" i="2"/>
  <c r="D189" i="2"/>
  <c r="C189" i="2" s="1"/>
  <c r="L466" i="2"/>
  <c r="AB492" i="2"/>
  <c r="AB170" i="2" s="1"/>
  <c r="Z170" i="2" s="1"/>
  <c r="K170" i="2" s="1"/>
  <c r="BJ39" i="2"/>
  <c r="AJ139" i="2"/>
  <c r="AH139" i="2" s="1"/>
  <c r="L139" i="2" s="1"/>
  <c r="E90" i="2" l="1"/>
  <c r="D90" i="2"/>
  <c r="C90" i="2" s="1"/>
  <c r="E38" i="2"/>
  <c r="D38" i="2"/>
  <c r="AI185" i="2"/>
  <c r="C26" i="2"/>
  <c r="E111" i="2"/>
  <c r="D111" i="2"/>
  <c r="AJ185" i="2"/>
  <c r="AH185" i="2" s="1"/>
  <c r="L185" i="2" s="1"/>
  <c r="AH54" i="2"/>
  <c r="L54" i="2" s="1"/>
  <c r="D18" i="2"/>
  <c r="E18" i="2"/>
  <c r="D179" i="2"/>
  <c r="E179" i="2"/>
  <c r="D75" i="2"/>
  <c r="C75" i="2" s="1"/>
  <c r="E75" i="2"/>
  <c r="K562" i="2"/>
  <c r="Z86" i="2"/>
  <c r="K86" i="2" s="1"/>
  <c r="D133" i="2"/>
  <c r="C133" i="2" s="1"/>
  <c r="E133" i="2"/>
  <c r="D11" i="2"/>
  <c r="C11" i="2" s="1"/>
  <c r="C18" i="2" l="1"/>
  <c r="C111" i="2"/>
  <c r="C38" i="2"/>
  <c r="C17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author>
    <author>John (London)</author>
    <author>John Simister</author>
  </authors>
  <commentList>
    <comment ref="CD1" authorId="0" shapeId="0" xr:uid="{00000000-0006-0000-0000-000001000000}">
      <text>
        <r>
          <rPr>
            <b/>
            <sz val="9"/>
            <color indexed="81"/>
            <rFont val="Tahoma"/>
            <family val="2"/>
          </rPr>
          <t>John:</t>
        </r>
        <r>
          <rPr>
            <sz val="9"/>
            <color indexed="81"/>
            <rFont val="Tahoma"/>
            <family val="2"/>
          </rPr>
          <t xml:space="preserve">
I chose attitude questions in both DHS India 1999 and DHS India 2006.</t>
        </r>
      </text>
    </comment>
    <comment ref="BC2" authorId="0" shapeId="0" xr:uid="{00000000-0006-0000-0000-000002000000}">
      <text>
        <r>
          <rPr>
            <b/>
            <sz val="9"/>
            <color indexed="81"/>
            <rFont val="Tahoma"/>
            <family val="2"/>
          </rPr>
          <t>John:</t>
        </r>
        <r>
          <rPr>
            <sz val="9"/>
            <color indexed="81"/>
            <rFont val="Tahoma"/>
            <family val="2"/>
          </rPr>
          <t xml:space="preserve">
In AAS, 'beat' is defined as 'repeated hits': see Varghese, Prasad &amp; Jacob (2013), in National Medical Jnl of India.</t>
        </r>
      </text>
    </comment>
    <comment ref="BU2" authorId="0" shapeId="0" xr:uid="{00000000-0006-0000-0000-000003000000}">
      <text>
        <r>
          <rPr>
            <b/>
            <sz val="9"/>
            <color indexed="81"/>
            <rFont val="Tahoma"/>
            <family val="2"/>
          </rPr>
          <t>John:</t>
        </r>
        <r>
          <rPr>
            <sz val="9"/>
            <color indexed="81"/>
            <rFont val="Tahoma"/>
            <family val="2"/>
          </rPr>
          <t xml:space="preserve">
If vior variables are based on less than 12 months, show this by using red colour on the left.</t>
        </r>
      </text>
    </comment>
    <comment ref="I17" authorId="1" shapeId="0" xr:uid="{00000000-0006-0000-0000-000004000000}">
      <text>
        <r>
          <rPr>
            <b/>
            <sz val="9"/>
            <color indexed="81"/>
            <rFont val="Tahoma"/>
            <family val="2"/>
          </rPr>
          <t>John:</t>
        </r>
        <r>
          <rPr>
            <sz val="9"/>
            <color indexed="81"/>
            <rFont val="Tahoma"/>
            <family val="2"/>
          </rPr>
          <t xml:space="preserve">
This is the date in Mazza et al.
</t>
        </r>
      </text>
    </comment>
    <comment ref="I18" authorId="1" shapeId="0" xr:uid="{00000000-0006-0000-0000-000005000000}">
      <text>
        <r>
          <rPr>
            <b/>
            <sz val="9"/>
            <color indexed="81"/>
            <rFont val="Tahoma"/>
            <family val="2"/>
          </rPr>
          <t>John:</t>
        </r>
        <r>
          <rPr>
            <sz val="9"/>
            <color indexed="81"/>
            <rFont val="Tahoma"/>
            <family val="2"/>
          </rPr>
          <t xml:space="preserve">
This is the date in Hegarty &amp; Bush
</t>
        </r>
      </text>
    </comment>
    <comment ref="I19" authorId="1" shapeId="0" xr:uid="{00000000-0006-0000-0000-000006000000}">
      <text>
        <r>
          <rPr>
            <b/>
            <sz val="9"/>
            <color indexed="81"/>
            <rFont val="Tahoma"/>
            <family val="2"/>
          </rPr>
          <t>John:</t>
        </r>
        <r>
          <rPr>
            <sz val="9"/>
            <color indexed="81"/>
            <rFont val="Tahoma"/>
            <family val="2"/>
          </rPr>
          <t xml:space="preserve">
This is the date in Grande et al
</t>
        </r>
      </text>
    </comment>
    <comment ref="I20" authorId="1" shapeId="0" xr:uid="{00000000-0006-0000-0000-000007000000}">
      <text>
        <r>
          <rPr>
            <b/>
            <sz val="9"/>
            <color indexed="81"/>
            <rFont val="Tahoma"/>
            <family val="2"/>
          </rPr>
          <t>John:</t>
        </r>
        <r>
          <rPr>
            <sz val="9"/>
            <color indexed="81"/>
            <rFont val="Tahoma"/>
            <family val="2"/>
          </rPr>
          <t xml:space="preserve">
This is the date in Dal grande et al.
</t>
        </r>
      </text>
    </comment>
    <comment ref="I21" authorId="0" shapeId="0" xr:uid="{00000000-0006-0000-0000-000008000000}">
      <text>
        <r>
          <rPr>
            <b/>
            <sz val="9"/>
            <color indexed="81"/>
            <rFont val="Tahoma"/>
            <family val="2"/>
          </rPr>
          <t>John:</t>
        </r>
        <r>
          <rPr>
            <sz val="9"/>
            <color indexed="81"/>
            <rFont val="Tahoma"/>
            <family val="2"/>
          </rPr>
          <t xml:space="preserve">
This is the date published in Schei et al.</t>
        </r>
      </text>
    </comment>
    <comment ref="BJ22" authorId="2" shapeId="0" xr:uid="{00000000-0006-0000-0000-000009000000}">
      <text>
        <r>
          <rPr>
            <b/>
            <sz val="8"/>
            <color indexed="81"/>
            <rFont val="Tahoma"/>
            <family val="2"/>
          </rPr>
          <t>John Simister:</t>
        </r>
        <r>
          <rPr>
            <sz val="8"/>
            <color indexed="81"/>
            <rFont val="Tahoma"/>
            <family val="2"/>
          </rPr>
          <t xml:space="preserve">
Shown as 3% in source k, but as 10% in source l &amp; n.  Maybe source k confused the two Australian surveys?  Shown as 4% in source af.</t>
        </r>
      </text>
    </comment>
    <comment ref="I33" authorId="0" shapeId="0" xr:uid="{00000000-0006-0000-0000-00000A000000}">
      <text>
        <r>
          <rPr>
            <b/>
            <sz val="9"/>
            <color indexed="81"/>
            <rFont val="Tahoma"/>
            <family val="2"/>
          </rPr>
          <t>John:</t>
        </r>
        <r>
          <rPr>
            <sz val="9"/>
            <color indexed="81"/>
            <rFont val="Tahoma"/>
            <family val="2"/>
          </rPr>
          <t xml:space="preserve">
This is the date published in Salam et al.</t>
        </r>
      </text>
    </comment>
    <comment ref="I36" authorId="0" shapeId="0" xr:uid="{00000000-0006-0000-0000-00000B000000}">
      <text>
        <r>
          <rPr>
            <b/>
            <sz val="9"/>
            <color indexed="81"/>
            <rFont val="Tahoma"/>
            <family val="2"/>
          </rPr>
          <t>John:</t>
        </r>
        <r>
          <rPr>
            <sz val="9"/>
            <color indexed="81"/>
            <rFont val="Tahoma"/>
            <family val="2"/>
          </rPr>
          <t xml:space="preserve">
This is the year of publication in Rosenberg et al.</t>
        </r>
      </text>
    </comment>
    <comment ref="I37" authorId="1" shapeId="0" xr:uid="{00000000-0006-0000-0000-00000C000000}">
      <text>
        <r>
          <rPr>
            <b/>
            <sz val="9"/>
            <color indexed="81"/>
            <rFont val="Tahoma"/>
            <family val="2"/>
          </rPr>
          <t>John:</t>
        </r>
        <r>
          <rPr>
            <sz val="9"/>
            <color indexed="81"/>
            <rFont val="Tahoma"/>
            <family val="2"/>
          </rPr>
          <t xml:space="preserve">
This is the year of publication by Bruynnooghe and others
</t>
        </r>
      </text>
    </comment>
    <comment ref="I42" authorId="0" shapeId="0" xr:uid="{00000000-0006-0000-0000-00000D000000}">
      <text>
        <r>
          <rPr>
            <b/>
            <sz val="9"/>
            <color indexed="81"/>
            <rFont val="Tahoma"/>
            <family val="2"/>
          </rPr>
          <t>John:</t>
        </r>
        <r>
          <rPr>
            <sz val="9"/>
            <color indexed="81"/>
            <rFont val="Tahoma"/>
            <family val="2"/>
          </rPr>
          <t xml:space="preserve">
This is year of publication in Peele et al</t>
        </r>
      </text>
    </comment>
    <comment ref="I44" authorId="1" shapeId="0" xr:uid="{00000000-0006-0000-0000-00000E000000}">
      <text>
        <r>
          <rPr>
            <b/>
            <sz val="9"/>
            <color indexed="81"/>
            <rFont val="Tahoma"/>
            <family val="2"/>
          </rPr>
          <t>John:</t>
        </r>
        <r>
          <rPr>
            <sz val="9"/>
            <color indexed="81"/>
            <rFont val="Tahoma"/>
            <family val="2"/>
          </rPr>
          <t xml:space="preserve">
This is the date the journal article was published.</t>
        </r>
      </text>
    </comment>
    <comment ref="M45" authorId="0" shapeId="0" xr:uid="{00000000-0006-0000-0000-00000F000000}">
      <text>
        <r>
          <rPr>
            <b/>
            <sz val="9"/>
            <color indexed="81"/>
            <rFont val="Tahoma"/>
            <family val="2"/>
          </rPr>
          <t>John:</t>
        </r>
        <r>
          <rPr>
            <sz val="9"/>
            <color indexed="81"/>
            <rFont val="Tahoma"/>
            <family val="2"/>
          </rPr>
          <t xml:space="preserve">
Only interviewed women with children age under 18.</t>
        </r>
      </text>
    </comment>
    <comment ref="U45" authorId="0" shapeId="0" xr:uid="{00000000-0006-0000-0000-000010000000}">
      <text>
        <r>
          <rPr>
            <b/>
            <sz val="9"/>
            <color indexed="81"/>
            <rFont val="Tahoma"/>
            <family val="2"/>
          </rPr>
          <t>John:</t>
        </r>
        <r>
          <rPr>
            <sz val="9"/>
            <color indexed="81"/>
            <rFont val="Tahoma"/>
            <family val="2"/>
          </rPr>
          <t xml:space="preserve">
Note the small sample size.</t>
        </r>
      </text>
    </comment>
    <comment ref="I48" authorId="0" shapeId="0" xr:uid="{00000000-0006-0000-0000-000011000000}">
      <text>
        <r>
          <rPr>
            <b/>
            <sz val="9"/>
            <color indexed="81"/>
            <rFont val="Tahoma"/>
            <family val="2"/>
          </rPr>
          <t>John:</t>
        </r>
        <r>
          <rPr>
            <sz val="9"/>
            <color indexed="81"/>
            <rFont val="Tahoma"/>
            <family val="2"/>
          </rPr>
          <t xml:space="preserve">
This is the date of the research report on the website.</t>
        </r>
      </text>
    </comment>
    <comment ref="I52" authorId="0" shapeId="0" xr:uid="{00000000-0006-0000-0000-000012000000}">
      <text>
        <r>
          <rPr>
            <b/>
            <sz val="9"/>
            <color indexed="81"/>
            <rFont val="Tahoma"/>
            <family val="2"/>
          </rPr>
          <t>John:</t>
        </r>
        <r>
          <rPr>
            <sz val="9"/>
            <color indexed="81"/>
            <rFont val="Tahoma"/>
            <family val="2"/>
          </rPr>
          <t xml:space="preserve">
This is the date of publication by ITEKA.</t>
        </r>
      </text>
    </comment>
    <comment ref="I59" authorId="0" shapeId="0" xr:uid="{00000000-0006-0000-0000-000013000000}">
      <text>
        <r>
          <rPr>
            <b/>
            <sz val="9"/>
            <color indexed="81"/>
            <rFont val="Tahoma"/>
            <family val="2"/>
          </rPr>
          <t>John:</t>
        </r>
        <r>
          <rPr>
            <sz val="9"/>
            <color indexed="81"/>
            <rFont val="Tahoma"/>
            <family val="2"/>
          </rPr>
          <t xml:space="preserve">
This is the date published in Rinfret-Raynor et al.</t>
        </r>
      </text>
    </comment>
    <comment ref="I69" authorId="0" shapeId="0" xr:uid="{00000000-0006-0000-0000-000014000000}">
      <text>
        <r>
          <rPr>
            <b/>
            <sz val="9"/>
            <color indexed="81"/>
            <rFont val="Tahoma"/>
            <family val="2"/>
          </rPr>
          <t>John:</t>
        </r>
        <r>
          <rPr>
            <sz val="9"/>
            <color indexed="81"/>
            <rFont val="Tahoma"/>
            <family val="2"/>
          </rPr>
          <t xml:space="preserve">
This is the date published in Parish et al.
</t>
        </r>
      </text>
    </comment>
    <comment ref="I70" authorId="0" shapeId="0" xr:uid="{00000000-0006-0000-0000-000015000000}">
      <text>
        <r>
          <rPr>
            <b/>
            <sz val="9"/>
            <color indexed="81"/>
            <rFont val="Tahoma"/>
            <family val="2"/>
          </rPr>
          <t>John:</t>
        </r>
        <r>
          <rPr>
            <sz val="9"/>
            <color indexed="81"/>
            <rFont val="Tahoma"/>
            <family val="2"/>
          </rPr>
          <t xml:space="preserve">
This is the date published in Xu et al.
</t>
        </r>
      </text>
    </comment>
    <comment ref="BQ76" authorId="0" shapeId="0" xr:uid="{00000000-0006-0000-0000-000016000000}">
      <text>
        <r>
          <rPr>
            <b/>
            <sz val="9"/>
            <color indexed="81"/>
            <rFont val="Tahoma"/>
            <family val="2"/>
          </rPr>
          <t>John:</t>
        </r>
        <r>
          <rPr>
            <sz val="9"/>
            <color indexed="81"/>
            <rFont val="Tahoma"/>
            <family val="2"/>
          </rPr>
          <t xml:space="preserve">
from page 371 of www.measuredhs.com/pubs/pdf/FR246/FR246.pdf</t>
        </r>
      </text>
    </comment>
    <comment ref="I78" authorId="1" shapeId="0" xr:uid="{00000000-0006-0000-0000-000017000000}">
      <text>
        <r>
          <rPr>
            <b/>
            <sz val="9"/>
            <color indexed="81"/>
            <rFont val="Tahoma"/>
            <family val="2"/>
          </rPr>
          <t>John:</t>
        </r>
        <r>
          <rPr>
            <sz val="9"/>
            <color indexed="81"/>
            <rFont val="Tahoma"/>
            <family val="2"/>
          </rPr>
          <t xml:space="preserve">
Date not reported in website; 1990 is date of publication by Chacon and others.
</t>
        </r>
      </text>
    </comment>
    <comment ref="I97" authorId="0" shapeId="0" xr:uid="{00000000-0006-0000-0000-000018000000}">
      <text>
        <r>
          <rPr>
            <b/>
            <sz val="9"/>
            <color indexed="81"/>
            <rFont val="Tahoma"/>
            <family val="2"/>
          </rPr>
          <t>John:</t>
        </r>
        <r>
          <rPr>
            <sz val="9"/>
            <color indexed="81"/>
            <rFont val="Tahoma"/>
            <family val="2"/>
          </rPr>
          <t xml:space="preserve">
This is the date published in Diop-Sidibe et al.</t>
        </r>
      </text>
    </comment>
    <comment ref="BJ103" authorId="2" shapeId="0" xr:uid="{00000000-0006-0000-0000-000019000000}">
      <text>
        <r>
          <rPr>
            <b/>
            <sz val="8"/>
            <color indexed="81"/>
            <rFont val="Tahoma"/>
            <family val="2"/>
          </rPr>
          <t>John Simister:</t>
        </r>
        <r>
          <rPr>
            <sz val="8"/>
            <color indexed="81"/>
            <rFont val="Tahoma"/>
            <family val="2"/>
          </rPr>
          <t xml:space="preserve">
10% in the last 3 months</t>
        </r>
      </text>
    </comment>
    <comment ref="I105" authorId="0" shapeId="0" xr:uid="{00000000-0006-0000-0000-00001A000000}">
      <text>
        <r>
          <rPr>
            <b/>
            <sz val="9"/>
            <color indexed="81"/>
            <rFont val="Tahoma"/>
            <family val="2"/>
          </rPr>
          <t>John:</t>
        </r>
        <r>
          <rPr>
            <sz val="9"/>
            <color indexed="81"/>
            <rFont val="Tahoma"/>
            <family val="2"/>
          </rPr>
          <t xml:space="preserve">
This is the year of publication in Dibaba.</t>
        </r>
      </text>
    </comment>
    <comment ref="CG108" authorId="1" shapeId="0" xr:uid="{00000000-0006-0000-0000-00001B000000}">
      <text>
        <r>
          <rPr>
            <b/>
            <sz val="9"/>
            <color indexed="81"/>
            <rFont val="Tahoma"/>
            <family val="2"/>
          </rPr>
          <t>John (London):</t>
        </r>
        <r>
          <rPr>
            <sz val="9"/>
            <color indexed="81"/>
            <rFont val="Tahoma"/>
            <family val="2"/>
          </rPr>
          <t xml:space="preserve">
prevalence rate for last 12 months is from VAW
</t>
        </r>
      </text>
    </comment>
    <comment ref="BJ125" authorId="0" shapeId="0" xr:uid="{00000000-0006-0000-0000-00001C000000}">
      <text>
        <r>
          <rPr>
            <b/>
            <sz val="9"/>
            <color indexed="81"/>
            <rFont val="Tahoma"/>
            <family val="2"/>
          </rPr>
          <t>John:</t>
        </r>
        <r>
          <rPr>
            <sz val="9"/>
            <color indexed="81"/>
            <rFont val="Tahoma"/>
            <family val="2"/>
          </rPr>
          <t xml:space="preserve">
From
www.endvawnow.org/uploads/browser/files/vawprevalence_matrix_june2013.pdf</t>
        </r>
      </text>
    </comment>
    <comment ref="I128" authorId="0" shapeId="0" xr:uid="{00000000-0006-0000-0000-00001D000000}">
      <text>
        <r>
          <rPr>
            <b/>
            <sz val="9"/>
            <color indexed="81"/>
            <rFont val="Tahoma"/>
            <family val="2"/>
          </rPr>
          <t>John:</t>
        </r>
        <r>
          <rPr>
            <sz val="9"/>
            <color indexed="81"/>
            <rFont val="Tahoma"/>
            <family val="2"/>
          </rPr>
          <t xml:space="preserve">
This is the date published in Csoboth et al.</t>
        </r>
      </text>
    </comment>
    <comment ref="BI132" authorId="0" shapeId="0" xr:uid="{00000000-0006-0000-0000-00001E000000}">
      <text>
        <r>
          <rPr>
            <b/>
            <sz val="9"/>
            <color indexed="81"/>
            <rFont val="Tahoma"/>
            <family val="2"/>
          </rPr>
          <t>John:</t>
        </r>
        <r>
          <rPr>
            <sz val="9"/>
            <color indexed="81"/>
            <rFont val="Tahoma"/>
            <family val="2"/>
          </rPr>
          <t xml:space="preserve">
"Have you ever
been physically assaulted by your husband at any
time during your marriage".</t>
        </r>
      </text>
    </comment>
    <comment ref="T133" authorId="0" shapeId="0" xr:uid="{00000000-0006-0000-0000-00001F000000}">
      <text>
        <r>
          <rPr>
            <b/>
            <sz val="9"/>
            <color indexed="81"/>
            <rFont val="Tahoma"/>
            <family val="2"/>
          </rPr>
          <t>John:</t>
        </r>
        <r>
          <rPr>
            <sz val="9"/>
            <color indexed="81"/>
            <rFont val="Tahoma"/>
            <family val="2"/>
          </rPr>
          <t xml:space="preserve">
Based on sample, which only includes women married up to 10 years.</t>
        </r>
      </text>
    </comment>
    <comment ref="BI133" authorId="0" shapeId="0" xr:uid="{00000000-0006-0000-0000-000020000000}">
      <text>
        <r>
          <rPr>
            <b/>
            <sz val="9"/>
            <color indexed="81"/>
            <rFont val="Tahoma"/>
            <family val="2"/>
          </rPr>
          <t>John:</t>
        </r>
        <r>
          <rPr>
            <sz val="9"/>
            <color indexed="81"/>
            <rFont val="Tahoma"/>
            <family val="2"/>
          </rPr>
          <t xml:space="preserve">
"Sometimes men beat their wives. Has your husband ever beaten you?"
From Jejeebhhoy &amp; Cook.</t>
        </r>
      </text>
    </comment>
    <comment ref="BY133" authorId="0" shapeId="0" xr:uid="{00000000-0006-0000-0000-000021000000}">
      <text>
        <r>
          <rPr>
            <b/>
            <sz val="9"/>
            <color indexed="81"/>
            <rFont val="Tahoma"/>
            <family val="2"/>
          </rPr>
          <t>John:</t>
        </r>
        <r>
          <rPr>
            <sz val="9"/>
            <color indexed="81"/>
            <rFont val="Tahoma"/>
            <family val="2"/>
          </rPr>
          <t xml:space="preserve">
54.8% not used, because TN (but not UP) added: 
"Is it all right for a man to beat his wife if she ... even after he has explained to/advised/warned her ..."</t>
        </r>
      </text>
    </comment>
    <comment ref="CA133" authorId="0" shapeId="0" xr:uid="{00000000-0006-0000-0000-000022000000}">
      <text>
        <r>
          <rPr>
            <b/>
            <sz val="9"/>
            <color indexed="81"/>
            <rFont val="Tahoma"/>
            <family val="2"/>
          </rPr>
          <t xml:space="preserve">John:
</t>
        </r>
        <r>
          <rPr>
            <sz val="9"/>
            <color indexed="81"/>
            <rFont val="Tahoma"/>
            <family val="2"/>
          </rPr>
          <t xml:space="preserve">58.1% not used, because </t>
        </r>
        <r>
          <rPr>
            <sz val="9"/>
            <color indexed="81"/>
            <rFont val="Tahoma"/>
            <family val="2"/>
          </rPr>
          <t>TN (but not UP) added: 
"Is it all right for a man to beat his wife if she ... even after he has explained to/advised/warned her ..."</t>
        </r>
      </text>
    </comment>
    <comment ref="T134" authorId="0" shapeId="0" xr:uid="{00000000-0006-0000-0000-000023000000}">
      <text>
        <r>
          <rPr>
            <b/>
            <sz val="9"/>
            <color indexed="81"/>
            <rFont val="Tahoma"/>
            <family val="2"/>
          </rPr>
          <t>John:</t>
        </r>
        <r>
          <rPr>
            <sz val="9"/>
            <color indexed="81"/>
            <rFont val="Tahoma"/>
            <family val="2"/>
          </rPr>
          <t xml:space="preserve">
Based on sample, which only includes women married up to 10 years.</t>
        </r>
      </text>
    </comment>
    <comment ref="BI134" authorId="0" shapeId="0" xr:uid="{00000000-0006-0000-0000-000024000000}">
      <text>
        <r>
          <rPr>
            <b/>
            <sz val="9"/>
            <color indexed="81"/>
            <rFont val="Tahoma"/>
            <family val="2"/>
          </rPr>
          <t>John:</t>
        </r>
        <r>
          <rPr>
            <sz val="9"/>
            <color indexed="81"/>
            <rFont val="Tahoma"/>
            <family val="2"/>
          </rPr>
          <t xml:space="preserve">
"Sometimes men beat their wives. Has your husband ever beaten you?"
From Jejeebhhoy &amp; Cook.</t>
        </r>
      </text>
    </comment>
    <comment ref="H135" authorId="0" shapeId="0" xr:uid="{00000000-0006-0000-0000-000025000000}">
      <text>
        <r>
          <rPr>
            <b/>
            <sz val="9"/>
            <color indexed="81"/>
            <rFont val="Tahoma"/>
            <family val="2"/>
          </rPr>
          <t>John:</t>
        </r>
        <r>
          <rPr>
            <sz val="9"/>
            <color indexed="81"/>
            <rFont val="Tahoma"/>
            <family val="2"/>
          </rPr>
          <t xml:space="preserve">
Almost all urban; but 2.3% of sample were from rural areas.</t>
        </r>
      </text>
    </comment>
    <comment ref="I135" authorId="0" shapeId="0" xr:uid="{00000000-0006-0000-0000-000026000000}">
      <text>
        <r>
          <rPr>
            <b/>
            <sz val="9"/>
            <color indexed="81"/>
            <rFont val="Tahoma"/>
            <family val="2"/>
          </rPr>
          <t>John:</t>
        </r>
        <r>
          <rPr>
            <sz val="9"/>
            <color indexed="81"/>
            <rFont val="Tahoma"/>
            <family val="2"/>
          </rPr>
          <t xml:space="preserve">
Date of fieldwork isn't stated in the article. It was accepted by the journal in 1998; John Simister assumed fieldwork was a few years earlier.</t>
        </r>
      </text>
    </comment>
    <comment ref="N135" authorId="0" shapeId="0" xr:uid="{00000000-0006-0000-0000-000027000000}">
      <text>
        <r>
          <rPr>
            <b/>
            <sz val="9"/>
            <color indexed="81"/>
            <rFont val="Tahoma"/>
            <family val="2"/>
          </rPr>
          <t>John:</t>
        </r>
        <r>
          <rPr>
            <sz val="9"/>
            <color indexed="81"/>
            <rFont val="Tahoma"/>
            <family val="2"/>
          </rPr>
          <t xml:space="preserve">
Abuse Assessment Screen</t>
        </r>
      </text>
    </comment>
    <comment ref="O135" authorId="0" shapeId="0" xr:uid="{00000000-0006-0000-0000-000028000000}">
      <text>
        <r>
          <rPr>
            <b/>
            <sz val="9"/>
            <color indexed="81"/>
            <rFont val="Tahoma"/>
            <family val="2"/>
          </rPr>
          <t>John:</t>
        </r>
        <r>
          <rPr>
            <sz val="9"/>
            <color indexed="81"/>
            <rFont val="Tahoma"/>
            <family val="2"/>
          </rPr>
          <t xml:space="preserve">
most women 20-29; 6% were teenagers.</t>
        </r>
      </text>
    </comment>
    <comment ref="R135" authorId="0" shapeId="0" xr:uid="{00000000-0006-0000-0000-000029000000}">
      <text>
        <r>
          <rPr>
            <b/>
            <sz val="9"/>
            <color indexed="81"/>
            <rFont val="Tahoma"/>
            <family val="2"/>
          </rPr>
          <t>John:</t>
        </r>
        <r>
          <rPr>
            <sz val="9"/>
            <color indexed="81"/>
            <rFont val="Tahoma"/>
            <family val="2"/>
          </rPr>
          <t xml:space="preserve">
Most women were between 20 and 29.
6% were teenagers.</t>
        </r>
      </text>
    </comment>
    <comment ref="X135" authorId="0" shapeId="0" xr:uid="{00000000-0006-0000-0000-00002A000000}">
      <text>
        <r>
          <rPr>
            <b/>
            <sz val="9"/>
            <color indexed="81"/>
            <rFont val="Tahoma"/>
            <family val="2"/>
          </rPr>
          <t>John:</t>
        </r>
        <r>
          <rPr>
            <sz val="9"/>
            <color indexed="81"/>
            <rFont val="Tahoma"/>
            <family val="2"/>
          </rPr>
          <t xml:space="preserve">
42 primary school;
174 middle school;
361 high school;
23 graduation.</t>
        </r>
      </text>
    </comment>
    <comment ref="AL135" authorId="0" shapeId="0" xr:uid="{00000000-0006-0000-0000-00002B000000}">
      <text>
        <r>
          <rPr>
            <b/>
            <sz val="9"/>
            <color indexed="81"/>
            <rFont val="Tahoma"/>
            <family val="2"/>
          </rPr>
          <t>John:</t>
        </r>
        <r>
          <rPr>
            <sz val="9"/>
            <color indexed="81"/>
            <rFont val="Tahoma"/>
            <family val="2"/>
          </rPr>
          <t xml:space="preserve">
Use of weapon, wound from weapon</t>
        </r>
      </text>
    </comment>
    <comment ref="AN135" authorId="0" shapeId="0" xr:uid="{00000000-0006-0000-0000-00002C000000}">
      <text>
        <r>
          <rPr>
            <b/>
            <sz val="9"/>
            <color indexed="81"/>
            <rFont val="Tahoma"/>
            <family val="2"/>
          </rPr>
          <t>John:</t>
        </r>
        <r>
          <rPr>
            <sz val="9"/>
            <color indexed="81"/>
            <rFont val="Tahoma"/>
            <family val="2"/>
          </rPr>
          <t xml:space="preserve">
'Slapping/pushing'.
Use DHS2006 to divide this into slap and push.</t>
        </r>
      </text>
    </comment>
    <comment ref="AR135" authorId="0" shapeId="0" xr:uid="{00000000-0006-0000-0000-00002D000000}">
      <text>
        <r>
          <rPr>
            <b/>
            <sz val="9"/>
            <color indexed="81"/>
            <rFont val="Tahoma"/>
            <family val="2"/>
          </rPr>
          <t>John:</t>
        </r>
        <r>
          <rPr>
            <sz val="9"/>
            <color indexed="81"/>
            <rFont val="Tahoma"/>
            <family val="2"/>
          </rPr>
          <t xml:space="preserve">
'Slapping/pushing'.
Use DHS2006 to divide this into slap and push.</t>
        </r>
      </text>
    </comment>
    <comment ref="AT135" authorId="0" shapeId="0" xr:uid="{00000000-0006-0000-0000-00002E000000}">
      <text>
        <r>
          <rPr>
            <b/>
            <sz val="9"/>
            <color indexed="81"/>
            <rFont val="Tahoma"/>
            <family val="2"/>
          </rPr>
          <t xml:space="preserve">John:
</t>
        </r>
        <r>
          <rPr>
            <sz val="9"/>
            <color indexed="81"/>
            <rFont val="Tahoma"/>
            <family val="2"/>
          </rPr>
          <t>9 out of 600 women experienced 'Punching, kicking, bruises, cuts'.
If use this, could use DHS2006 to divide this into punch and kick.</t>
        </r>
      </text>
    </comment>
    <comment ref="AV135" authorId="0" shapeId="0" xr:uid="{00000000-0006-0000-0000-00002F000000}">
      <text>
        <r>
          <rPr>
            <b/>
            <sz val="9"/>
            <color indexed="81"/>
            <rFont val="Tahoma"/>
            <family val="2"/>
          </rPr>
          <t xml:space="preserve">John:
</t>
        </r>
        <r>
          <rPr>
            <sz val="9"/>
            <color indexed="81"/>
            <rFont val="Tahoma"/>
            <family val="2"/>
          </rPr>
          <t>9 out of 600 women experienced 'Punching, kicking, bruises, cuts'.
If use this, could use DHS2006 to divide this into punch and kick.</t>
        </r>
      </text>
    </comment>
    <comment ref="BD135" authorId="0" shapeId="0" xr:uid="{00000000-0006-0000-0000-000030000000}">
      <text>
        <r>
          <rPr>
            <b/>
            <sz val="9"/>
            <color indexed="81"/>
            <rFont val="Tahoma"/>
            <family val="2"/>
          </rPr>
          <t>John:</t>
        </r>
        <r>
          <rPr>
            <sz val="9"/>
            <color indexed="81"/>
            <rFont val="Tahoma"/>
            <family val="2"/>
          </rPr>
          <t xml:space="preserve">
5 out of 600 women had injuries: 'beaten up, contusion, burns'.</t>
        </r>
      </text>
    </comment>
    <comment ref="BU135" authorId="0" shapeId="0" xr:uid="{00000000-0006-0000-0000-000031000000}">
      <text>
        <r>
          <rPr>
            <b/>
            <sz val="9"/>
            <color indexed="81"/>
            <rFont val="Tahoma"/>
            <family val="2"/>
          </rPr>
          <t>John:</t>
        </r>
        <r>
          <rPr>
            <sz val="9"/>
            <color indexed="81"/>
            <rFont val="Tahoma"/>
            <family val="2"/>
          </rPr>
          <t xml:space="preserve">
Women were in third trimester when interviewed, so it is about 7 to 9 months since they became pregnant.
</t>
        </r>
      </text>
    </comment>
    <comment ref="BW135" authorId="0" shapeId="0" xr:uid="{00000000-0006-0000-0000-000032000000}">
      <text>
        <r>
          <rPr>
            <b/>
            <sz val="9"/>
            <color indexed="81"/>
            <rFont val="Tahoma"/>
            <family val="2"/>
          </rPr>
          <t>John:</t>
        </r>
        <r>
          <rPr>
            <sz val="9"/>
            <color indexed="81"/>
            <rFont val="Tahoma"/>
            <family val="2"/>
          </rPr>
          <t xml:space="preserve">
Among violence victims, 100% of husbands were violent.
As well as husband, women reported violence from:
mother-in-law: 71.2%
father-in-law:    8.33%
brother-in-law:  0.75% </t>
        </r>
      </text>
    </comment>
    <comment ref="I136" authorId="0" shapeId="0" xr:uid="{00000000-0006-0000-0000-000033000000}">
      <text>
        <r>
          <rPr>
            <b/>
            <sz val="9"/>
            <color indexed="81"/>
            <rFont val="Tahoma"/>
            <family val="2"/>
          </rPr>
          <t>John:</t>
        </r>
        <r>
          <rPr>
            <sz val="9"/>
            <color indexed="81"/>
            <rFont val="Tahoma"/>
            <family val="2"/>
          </rPr>
          <t xml:space="preserve">
November 1995 to April 1996</t>
        </r>
      </text>
    </comment>
    <comment ref="L136" authorId="0" shapeId="0" xr:uid="{00000000-0006-0000-0000-000034000000}">
      <text>
        <r>
          <rPr>
            <b/>
            <sz val="9"/>
            <color indexed="81"/>
            <rFont val="Tahoma"/>
            <family val="2"/>
          </rPr>
          <t>John:</t>
        </r>
        <r>
          <rPr>
            <sz val="9"/>
            <color indexed="81"/>
            <rFont val="Tahoma"/>
            <family val="2"/>
          </rPr>
          <t xml:space="preserve">
Fieldwork November 1995 to February 1996 (Martin et al 1999, page 418).</t>
        </r>
      </text>
    </comment>
    <comment ref="AB136" authorId="0" shapeId="0" xr:uid="{00000000-0006-0000-0000-000035000000}">
      <text>
        <r>
          <rPr>
            <b/>
            <sz val="9"/>
            <color indexed="81"/>
            <rFont val="Tahoma"/>
            <family val="2"/>
          </rPr>
          <t>John:</t>
        </r>
        <r>
          <rPr>
            <sz val="9"/>
            <color indexed="81"/>
            <rFont val="Tahoma"/>
            <family val="2"/>
          </rPr>
          <t xml:space="preserve">
Shouted/yelled at wife.</t>
        </r>
      </text>
    </comment>
    <comment ref="AK136" authorId="0" shapeId="0" xr:uid="{00000000-0006-0000-0000-000036000000}">
      <text>
        <r>
          <rPr>
            <b/>
            <sz val="9"/>
            <color indexed="81"/>
            <rFont val="Tahoma"/>
            <family val="2"/>
          </rPr>
          <t>John:</t>
        </r>
        <r>
          <rPr>
            <sz val="9"/>
            <color indexed="81"/>
            <rFont val="Tahoma"/>
            <family val="2"/>
          </rPr>
          <t xml:space="preserve">
Unweighted average of 5 places, from table on page 421 
[assuming "husband's behavior during the last episode" is typical of his violence].
</t>
        </r>
      </text>
    </comment>
    <comment ref="AL136" authorId="0" shapeId="0" xr:uid="{00000000-0006-0000-0000-000037000000}">
      <text>
        <r>
          <rPr>
            <b/>
            <sz val="9"/>
            <color indexed="81"/>
            <rFont val="Tahoma"/>
            <family val="2"/>
          </rPr>
          <t>John:</t>
        </r>
        <r>
          <rPr>
            <sz val="9"/>
            <color indexed="81"/>
            <rFont val="Tahoma"/>
            <family val="2"/>
          </rPr>
          <t xml:space="preserve">
Unweighted average of 5 places, from table on page 421
[assuming husband's most recent violence is typical].
</t>
        </r>
      </text>
    </comment>
    <comment ref="AM136" authorId="0" shapeId="0" xr:uid="{00000000-0006-0000-0000-000038000000}">
      <text>
        <r>
          <rPr>
            <b/>
            <sz val="9"/>
            <color indexed="81"/>
            <rFont val="Tahoma"/>
            <family val="2"/>
          </rPr>
          <t>John:</t>
        </r>
        <r>
          <rPr>
            <sz val="9"/>
            <color indexed="81"/>
            <rFont val="Tahoma"/>
            <family val="2"/>
          </rPr>
          <t xml:space="preserve">
Slapped/pushed. Use DHS2006 to split into slap and push.
Unweighted average of 5 places, from table on page 421
[assuming "husband's behavior during the last episode" is typical of his violence].
This is a crude estimate (e.g. 'multiple types of violent behaviour' unclear).</t>
        </r>
      </text>
    </comment>
    <comment ref="AN136" authorId="0" shapeId="0" xr:uid="{00000000-0006-0000-0000-000039000000}">
      <text>
        <r>
          <rPr>
            <b/>
            <sz val="9"/>
            <color indexed="81"/>
            <rFont val="Tahoma"/>
            <family val="2"/>
          </rPr>
          <t>John:</t>
        </r>
        <r>
          <rPr>
            <sz val="9"/>
            <color indexed="81"/>
            <rFont val="Tahoma"/>
            <family val="2"/>
          </rPr>
          <t xml:space="preserve">
Slapped/pushed.
Unweighted average of 5 places, from table on page 421
[assuming "husband's behavior during the last episode" is typical of his violence]:
This is a crude estimate (e.g. 'multiple types of violent behaviour' unclear).</t>
        </r>
      </text>
    </comment>
    <comment ref="AQ136" authorId="0" shapeId="0" xr:uid="{00000000-0006-0000-0000-00003A000000}">
      <text>
        <r>
          <rPr>
            <b/>
            <sz val="9"/>
            <color indexed="81"/>
            <rFont val="Tahoma"/>
            <family val="2"/>
          </rPr>
          <t>John:</t>
        </r>
        <r>
          <rPr>
            <sz val="9"/>
            <color indexed="81"/>
            <rFont val="Tahoma"/>
            <family val="2"/>
          </rPr>
          <t xml:space="preserve">
Slapped/pushed.
Unweighted average of 5 places, from table on page 421
[assuming "husband's behavior during the last episode" is typical of his violence].
This is a crude estimate (e.g. 'multiple types of violent behaviour' unclear).</t>
        </r>
      </text>
    </comment>
    <comment ref="AR136" authorId="0" shapeId="0" xr:uid="{00000000-0006-0000-0000-00003B000000}">
      <text>
        <r>
          <rPr>
            <b/>
            <sz val="9"/>
            <color indexed="81"/>
            <rFont val="Tahoma"/>
            <family val="2"/>
          </rPr>
          <t>John:</t>
        </r>
        <r>
          <rPr>
            <sz val="9"/>
            <color indexed="81"/>
            <rFont val="Tahoma"/>
            <family val="2"/>
          </rPr>
          <t xml:space="preserve">
Slapped/pushed.
Unweighted average of 5 places, from table on page 421
[assuming "husband's behavior during the last episode" is typical of his violence].
This is a crude estimate (e.g. 'multiple types of violent behaviour' unclear).</t>
        </r>
      </text>
    </comment>
    <comment ref="AS136" authorId="0" shapeId="0" xr:uid="{00000000-0006-0000-0000-00003C000000}">
      <text>
        <r>
          <rPr>
            <b/>
            <sz val="9"/>
            <color indexed="81"/>
            <rFont val="Tahoma"/>
            <family val="2"/>
          </rPr>
          <t>John:</t>
        </r>
        <r>
          <rPr>
            <sz val="9"/>
            <color indexed="81"/>
            <rFont val="Tahoma"/>
            <family val="2"/>
          </rPr>
          <t xml:space="preserve">
Punched/kicked. Use DHS2006 to split into punch and kick.
Unweighted average of 5 places, from table on page 421
[assuming "husband's behavior during the last episode" is typical of his violence].
</t>
        </r>
      </text>
    </comment>
    <comment ref="AT136" authorId="0" shapeId="0" xr:uid="{00000000-0006-0000-0000-00003D000000}">
      <text>
        <r>
          <rPr>
            <b/>
            <sz val="9"/>
            <color indexed="81"/>
            <rFont val="Tahoma"/>
            <family val="2"/>
          </rPr>
          <t>John:</t>
        </r>
        <r>
          <rPr>
            <sz val="9"/>
            <color indexed="81"/>
            <rFont val="Tahoma"/>
            <family val="2"/>
          </rPr>
          <t xml:space="preserve">
Punched/kicked; use DHS2006 to split into punch and kick.
Unweighted average of 5 places, from table on page 421
[assuming "husband's behavior during the last episode" is typical of his violence].
</t>
        </r>
      </text>
    </comment>
    <comment ref="AU136" authorId="0" shapeId="0" xr:uid="{00000000-0006-0000-0000-00003E000000}">
      <text>
        <r>
          <rPr>
            <b/>
            <sz val="9"/>
            <color indexed="81"/>
            <rFont val="Tahoma"/>
            <family val="2"/>
          </rPr>
          <t>John:</t>
        </r>
        <r>
          <rPr>
            <sz val="9"/>
            <color indexed="81"/>
            <rFont val="Tahoma"/>
            <family val="2"/>
          </rPr>
          <t xml:space="preserve">
Punched/kicked. Use DHS2006 to split into punch and kick.
Unweighted average of 5 places, from table on page 421
[assuming "husband's behavior during the last episode" is typical of his violence].
</t>
        </r>
      </text>
    </comment>
    <comment ref="AV136" authorId="0" shapeId="0" xr:uid="{00000000-0006-0000-0000-00003F000000}">
      <text>
        <r>
          <rPr>
            <b/>
            <sz val="9"/>
            <color indexed="81"/>
            <rFont val="Tahoma"/>
            <family val="2"/>
          </rPr>
          <t>John:</t>
        </r>
        <r>
          <rPr>
            <sz val="9"/>
            <color indexed="81"/>
            <rFont val="Tahoma"/>
            <family val="2"/>
          </rPr>
          <t xml:space="preserve">
Punched/kicked; use DHS2006 to split into punch and kick.
Unweighted average of 5 places, from table on page 421
[assuming "husband's behavior during the last episode" is typical of his violence].
</t>
        </r>
      </text>
    </comment>
    <comment ref="BJ136" authorId="0" shapeId="0" xr:uid="{00000000-0006-0000-0000-000040000000}">
      <text>
        <r>
          <rPr>
            <b/>
            <sz val="9"/>
            <color indexed="81"/>
            <rFont val="Tahoma"/>
            <family val="2"/>
          </rPr>
          <t>John:</t>
        </r>
        <r>
          <rPr>
            <sz val="9"/>
            <color indexed="81"/>
            <rFont val="Tahoma"/>
            <family val="2"/>
          </rPr>
          <t xml:space="preserve">
From Konig et al 2006, Table 1.</t>
        </r>
      </text>
    </comment>
    <comment ref="BM136" authorId="0" shapeId="0" xr:uid="{00000000-0006-0000-0000-000041000000}">
      <text>
        <r>
          <rPr>
            <b/>
            <sz val="9"/>
            <color indexed="81"/>
            <rFont val="Tahoma"/>
            <family val="2"/>
          </rPr>
          <t>John:</t>
        </r>
        <r>
          <rPr>
            <sz val="9"/>
            <color indexed="81"/>
            <rFont val="Tahoma"/>
            <family val="2"/>
          </rPr>
          <t xml:space="preserve">
This is 'Physically forced sex'; the figure for 'nonconsensual sex' is much higher: 27%.
</t>
        </r>
      </text>
    </comment>
    <comment ref="BP136" authorId="0" shapeId="0" xr:uid="{00000000-0006-0000-0000-000042000000}">
      <text>
        <r>
          <rPr>
            <b/>
            <sz val="9"/>
            <color indexed="81"/>
            <rFont val="Tahoma"/>
            <family val="2"/>
          </rPr>
          <t>John:</t>
        </r>
        <r>
          <rPr>
            <sz val="9"/>
            <color indexed="81"/>
            <rFont val="Tahoma"/>
            <family val="2"/>
          </rPr>
          <t xml:space="preserve">
30.1% of husbands carried out sexual violence (Koenig et al 2006, p.135); but may not all be rape.</t>
        </r>
      </text>
    </comment>
    <comment ref="K137" authorId="0" shapeId="0" xr:uid="{00000000-0006-0000-0000-000043000000}">
      <text>
        <r>
          <rPr>
            <b/>
            <sz val="9"/>
            <color indexed="81"/>
            <rFont val="Tahoma"/>
            <family val="2"/>
          </rPr>
          <t>John:</t>
        </r>
        <r>
          <rPr>
            <sz val="9"/>
            <color indexed="81"/>
            <rFont val="Tahoma"/>
            <family val="2"/>
          </rPr>
          <t xml:space="preserve">
Published 2002; received 2001.</t>
        </r>
      </text>
    </comment>
    <comment ref="R137" authorId="0" shapeId="0" xr:uid="{00000000-0006-0000-0000-000044000000}">
      <text>
        <r>
          <rPr>
            <b/>
            <sz val="9"/>
            <color indexed="81"/>
            <rFont val="Tahoma"/>
            <family val="2"/>
          </rPr>
          <t>John:</t>
        </r>
        <r>
          <rPr>
            <sz val="9"/>
            <color indexed="81"/>
            <rFont val="Tahoma"/>
            <family val="2"/>
          </rPr>
          <t xml:space="preserve">
From other sources studying PERFORM data.</t>
        </r>
      </text>
    </comment>
    <comment ref="X137" authorId="0" shapeId="0" xr:uid="{00000000-0006-0000-0000-000045000000}">
      <text>
        <r>
          <rPr>
            <b/>
            <sz val="9"/>
            <color indexed="81"/>
            <rFont val="Tahoma"/>
            <family val="2"/>
          </rPr>
          <t>John:</t>
        </r>
        <r>
          <rPr>
            <sz val="9"/>
            <color indexed="81"/>
            <rFont val="Tahoma"/>
            <family val="2"/>
          </rPr>
          <t xml:space="preserve">
From other sources studying PERFORM data.</t>
        </r>
      </text>
    </comment>
    <comment ref="L138" authorId="0" shapeId="0" xr:uid="{00000000-0006-0000-0000-000046000000}">
      <text>
        <r>
          <rPr>
            <b/>
            <sz val="9"/>
            <color indexed="81"/>
            <rFont val="Tahoma"/>
            <family val="2"/>
          </rPr>
          <t>John:</t>
        </r>
        <r>
          <rPr>
            <sz val="9"/>
            <color indexed="81"/>
            <rFont val="Tahoma"/>
            <family val="2"/>
          </rPr>
          <t xml:space="preserve">
matching husbands and wives who responded to the men's and women's surveys of the 1995–1996 PERFORM System of Indicators Survey.</t>
        </r>
      </text>
    </comment>
    <comment ref="L139" authorId="0" shapeId="0" xr:uid="{00000000-0006-0000-0000-000047000000}">
      <text>
        <r>
          <rPr>
            <b/>
            <sz val="9"/>
            <color indexed="81"/>
            <rFont val="Tahoma"/>
            <family val="2"/>
          </rPr>
          <t>John:</t>
        </r>
        <r>
          <rPr>
            <sz val="9"/>
            <color indexed="81"/>
            <rFont val="Tahoma"/>
            <family val="2"/>
          </rPr>
          <t xml:space="preserve">
matching husbands and wives who responded to the men's and women's surveys of the 1995–1996 PERFORM System of Indicators Survey;
then restricted sample to pregnant women.</t>
        </r>
      </text>
    </comment>
    <comment ref="BJ139" authorId="0" shapeId="0" xr:uid="{00000000-0006-0000-0000-000048000000}">
      <text>
        <r>
          <rPr>
            <b/>
            <sz val="9"/>
            <color indexed="81"/>
            <rFont val="Tahoma"/>
            <family val="2"/>
          </rPr>
          <t>John:</t>
        </r>
        <r>
          <rPr>
            <sz val="9"/>
            <color indexed="81"/>
            <rFont val="Tahoma"/>
            <family val="2"/>
          </rPr>
          <t xml:space="preserve">
hit, slapped, or kicked his wife</t>
        </r>
      </text>
    </comment>
    <comment ref="E140" authorId="0" shapeId="0" xr:uid="{00000000-0006-0000-0000-000049000000}">
      <text>
        <r>
          <rPr>
            <b/>
            <sz val="9"/>
            <color indexed="81"/>
            <rFont val="Tahoma"/>
            <family val="2"/>
          </rPr>
          <t>John:</t>
        </r>
        <r>
          <rPr>
            <sz val="9"/>
            <color indexed="81"/>
            <rFont val="Tahoma"/>
            <family val="2"/>
          </rPr>
          <t xml:space="preserve">
The data collection began with focus groups, which may have 'Hawthorne effect'.</t>
        </r>
      </text>
    </comment>
    <comment ref="J140" authorId="0" shapeId="0" xr:uid="{00000000-0006-0000-0000-00004A000000}">
      <text>
        <r>
          <rPr>
            <b/>
            <sz val="9"/>
            <color indexed="81"/>
            <rFont val="Tahoma"/>
            <family val="2"/>
          </rPr>
          <t>John:</t>
        </r>
        <r>
          <rPr>
            <sz val="9"/>
            <color indexed="81"/>
            <rFont val="Tahoma"/>
            <family val="2"/>
          </rPr>
          <t xml:space="preserve">
Questionnaire fieldwork during December 1996- January 1997.</t>
        </r>
      </text>
    </comment>
    <comment ref="Y140" authorId="0" shapeId="0" xr:uid="{00000000-0006-0000-0000-00004B000000}">
      <text>
        <r>
          <rPr>
            <b/>
            <sz val="9"/>
            <color indexed="81"/>
            <rFont val="Tahoma"/>
            <family val="2"/>
          </rPr>
          <t>John:</t>
        </r>
        <r>
          <rPr>
            <sz val="9"/>
            <color indexed="81"/>
            <rFont val="Tahoma"/>
            <family val="2"/>
          </rPr>
          <t xml:space="preserve">
reprimand wife</t>
        </r>
      </text>
    </comment>
    <comment ref="AQ140" authorId="0" shapeId="0" xr:uid="{00000000-0006-0000-0000-00004C000000}">
      <text>
        <r>
          <rPr>
            <b/>
            <sz val="9"/>
            <color indexed="81"/>
            <rFont val="Tahoma"/>
            <family val="2"/>
          </rPr>
          <t>John:</t>
        </r>
        <r>
          <rPr>
            <sz val="9"/>
            <color indexed="81"/>
            <rFont val="Tahoma"/>
            <family val="2"/>
          </rPr>
          <t xml:space="preserve">
hurling objects at wife</t>
        </r>
      </text>
    </comment>
    <comment ref="BA140" authorId="0" shapeId="0" xr:uid="{00000000-0006-0000-0000-00004D000000}">
      <text>
        <r>
          <rPr>
            <b/>
            <sz val="9"/>
            <color indexed="81"/>
            <rFont val="Tahoma"/>
            <family val="2"/>
          </rPr>
          <t>John:</t>
        </r>
        <r>
          <rPr>
            <sz val="9"/>
            <color indexed="81"/>
            <rFont val="Tahoma"/>
            <family val="2"/>
          </rPr>
          <t xml:space="preserve">
58.3% of women who experienced physical violence reported 'Beating with a stick': page 13 of Visaria (1999).</t>
        </r>
      </text>
    </comment>
    <comment ref="BC140" authorId="0" shapeId="0" xr:uid="{00000000-0006-0000-0000-00004E000000}">
      <text>
        <r>
          <rPr>
            <b/>
            <sz val="9"/>
            <color indexed="81"/>
            <rFont val="Tahoma"/>
            <family val="2"/>
          </rPr>
          <t>John:</t>
        </r>
        <r>
          <rPr>
            <sz val="9"/>
            <color indexed="81"/>
            <rFont val="Tahoma"/>
            <family val="2"/>
          </rPr>
          <t xml:space="preserve">
beatings</t>
        </r>
      </text>
    </comment>
    <comment ref="BE140" authorId="0" shapeId="0" xr:uid="{00000000-0006-0000-0000-00004F000000}">
      <text>
        <r>
          <rPr>
            <b/>
            <sz val="9"/>
            <color indexed="81"/>
            <rFont val="Tahoma"/>
            <family val="2"/>
          </rPr>
          <t>John:</t>
        </r>
        <r>
          <rPr>
            <sz val="9"/>
            <color indexed="81"/>
            <rFont val="Tahoma"/>
            <family val="2"/>
          </rPr>
          <t xml:space="preserve">
from Visaria (2000) Table 5</t>
        </r>
      </text>
    </comment>
    <comment ref="BI140" authorId="0" shapeId="0" xr:uid="{00000000-0006-0000-0000-000050000000}">
      <text>
        <r>
          <rPr>
            <b/>
            <sz val="9"/>
            <color indexed="81"/>
            <rFont val="Tahoma"/>
            <family val="2"/>
          </rPr>
          <t>John:</t>
        </r>
        <r>
          <rPr>
            <sz val="9"/>
            <color indexed="81"/>
            <rFont val="Tahoma"/>
            <family val="2"/>
          </rPr>
          <t xml:space="preserve">
"Two thirds of the women who were abused reported physical violence": Visaria (1999: page 13).</t>
        </r>
      </text>
    </comment>
    <comment ref="BK140" authorId="0" shapeId="0" xr:uid="{00000000-0006-0000-0000-000051000000}">
      <text>
        <r>
          <rPr>
            <b/>
            <sz val="9"/>
            <color indexed="81"/>
            <rFont val="Tahoma"/>
            <family val="2"/>
          </rPr>
          <t>John:</t>
        </r>
        <r>
          <rPr>
            <sz val="9"/>
            <color indexed="81"/>
            <rFont val="Tahoma"/>
            <family val="2"/>
          </rPr>
          <t xml:space="preserve">
Not give money</t>
        </r>
      </text>
    </comment>
    <comment ref="I141" authorId="0" shapeId="0" xr:uid="{00000000-0006-0000-0000-000052000000}">
      <text>
        <r>
          <rPr>
            <b/>
            <sz val="9"/>
            <color indexed="81"/>
            <rFont val="Tahoma"/>
            <family val="2"/>
          </rPr>
          <t>John:</t>
        </r>
        <r>
          <rPr>
            <sz val="9"/>
            <color indexed="81"/>
            <rFont val="Tahoma"/>
            <family val="2"/>
          </rPr>
          <t xml:space="preserve">
Date of fieldwork isn't stated.  John Simister assumes it is a few years before the first publication (by Hunter et al, 2000).</t>
        </r>
      </text>
    </comment>
    <comment ref="U141" authorId="0" shapeId="0" xr:uid="{00000000-0006-0000-0000-000053000000}">
      <text>
        <r>
          <rPr>
            <b/>
            <sz val="9"/>
            <color indexed="81"/>
            <rFont val="Tahoma"/>
            <family val="2"/>
          </rPr>
          <t>John:</t>
        </r>
        <r>
          <rPr>
            <sz val="9"/>
            <color indexed="81"/>
            <rFont val="Tahoma"/>
            <family val="2"/>
          </rPr>
          <t xml:space="preserve">
By including reports from pregnant women, these two rows exaggerate the sample-size in these 2 rows; could divide n(=500) by 2, to compensate.</t>
        </r>
      </text>
    </comment>
    <comment ref="AC141" authorId="0" shapeId="0" xr:uid="{00000000-0006-0000-0000-000054000000}">
      <text>
        <r>
          <rPr>
            <b/>
            <sz val="9"/>
            <color indexed="81"/>
            <rFont val="Tahoma"/>
            <family val="2"/>
          </rPr>
          <t>John:</t>
        </r>
        <r>
          <rPr>
            <sz val="9"/>
            <color indexed="81"/>
            <rFont val="Tahoma"/>
            <family val="2"/>
          </rPr>
          <t xml:space="preserve">
Abusive language, belittlement, or threat.</t>
        </r>
      </text>
    </comment>
    <comment ref="AG141" authorId="0" shapeId="0" xr:uid="{00000000-0006-0000-0000-000055000000}">
      <text>
        <r>
          <rPr>
            <b/>
            <sz val="9"/>
            <color indexed="81"/>
            <rFont val="Tahoma"/>
            <family val="2"/>
          </rPr>
          <t>John:</t>
        </r>
        <r>
          <rPr>
            <sz val="9"/>
            <color indexed="81"/>
            <rFont val="Tahoma"/>
            <family val="2"/>
          </rPr>
          <t xml:space="preserve">
12% of women threatened with having kerosene poured on her.
I don't include this, because I don't think kerosene is a 'weapon'.</t>
        </r>
      </text>
    </comment>
    <comment ref="AM141" authorId="0" shapeId="0" xr:uid="{00000000-0006-0000-0000-000056000000}">
      <text>
        <r>
          <rPr>
            <b/>
            <sz val="9"/>
            <color indexed="81"/>
            <rFont val="Tahoma"/>
            <family val="2"/>
          </rPr>
          <t>John:</t>
        </r>
        <r>
          <rPr>
            <sz val="9"/>
            <color indexed="81"/>
            <rFont val="Tahoma"/>
            <family val="2"/>
          </rPr>
          <t xml:space="preserve">
Table 3 of Jain et al reports 48% of women were slapped; but Table 1 reports only 46.9% had experienced GBV. John Simister assumes all physical GBV prevalence is a fraction of this 46.9%.</t>
        </r>
      </text>
    </comment>
    <comment ref="AW141" authorId="0" shapeId="0" xr:uid="{00000000-0006-0000-0000-000057000000}">
      <text>
        <r>
          <rPr>
            <b/>
            <sz val="9"/>
            <color indexed="81"/>
            <rFont val="Tahoma"/>
            <family val="2"/>
          </rPr>
          <t>John:</t>
        </r>
        <r>
          <rPr>
            <sz val="9"/>
            <color indexed="81"/>
            <rFont val="Tahoma"/>
            <family val="2"/>
          </rPr>
          <t xml:space="preserve">
Jain et al state that 2 women reported having been burnt by their husband, "burn wounds visible".  This may understate the prevalence, if non-visible burns aren't included.
</t>
        </r>
      </text>
    </comment>
    <comment ref="BI141" authorId="0" shapeId="0" xr:uid="{00000000-0006-0000-0000-000058000000}">
      <text>
        <r>
          <rPr>
            <b/>
            <sz val="9"/>
            <color indexed="81"/>
            <rFont val="Tahoma"/>
            <family val="2"/>
          </rPr>
          <t>John:</t>
        </r>
        <r>
          <rPr>
            <sz val="9"/>
            <color indexed="81"/>
            <rFont val="Tahoma"/>
            <family val="2"/>
          </rPr>
          <t xml:space="preserve">
slapped, hit, kicked, or beaten</t>
        </r>
      </text>
    </comment>
    <comment ref="I142" authorId="0" shapeId="0" xr:uid="{00000000-0006-0000-0000-000059000000}">
      <text>
        <r>
          <rPr>
            <b/>
            <sz val="9"/>
            <color indexed="81"/>
            <rFont val="Tahoma"/>
            <family val="2"/>
          </rPr>
          <t>John:</t>
        </r>
        <r>
          <rPr>
            <sz val="9"/>
            <color indexed="81"/>
            <rFont val="Tahoma"/>
            <family val="2"/>
          </rPr>
          <t xml:space="preserve">
Date of fieldwork isn't stated.  John Simister assumes it is a few years before the first publication (by Hunter et al, 2000).</t>
        </r>
      </text>
    </comment>
    <comment ref="U142" authorId="0" shapeId="0" xr:uid="{00000000-0006-0000-0000-00005A000000}">
      <text>
        <r>
          <rPr>
            <b/>
            <sz val="9"/>
            <color indexed="81"/>
            <rFont val="Tahoma"/>
            <family val="2"/>
          </rPr>
          <t>John:</t>
        </r>
        <r>
          <rPr>
            <sz val="9"/>
            <color indexed="81"/>
            <rFont val="Tahoma"/>
            <family val="2"/>
          </rPr>
          <t xml:space="preserve">
By including reports from pregnant women, these two rows exaggerate the sample-size in these 2 rows; could divide n(=500) by 2, to compensate.</t>
        </r>
      </text>
    </comment>
    <comment ref="AW142" authorId="0" shapeId="0" xr:uid="{00000000-0006-0000-0000-00005B000000}">
      <text>
        <r>
          <rPr>
            <b/>
            <sz val="9"/>
            <color indexed="81"/>
            <rFont val="Tahoma"/>
            <family val="2"/>
          </rPr>
          <t>John:</t>
        </r>
        <r>
          <rPr>
            <sz val="9"/>
            <color indexed="81"/>
            <rFont val="Tahoma"/>
            <family val="2"/>
          </rPr>
          <t xml:space="preserve">
Jain et al state that 2 women reported having been burnt by their husband, "burn wounds visible".  This may understate the prevalence, if non-visible burns aren't included.
</t>
        </r>
      </text>
    </comment>
    <comment ref="BI142" authorId="0" shapeId="0" xr:uid="{00000000-0006-0000-0000-00005C000000}">
      <text>
        <r>
          <rPr>
            <b/>
            <sz val="9"/>
            <color indexed="81"/>
            <rFont val="Tahoma"/>
            <family val="2"/>
          </rPr>
          <t>John:</t>
        </r>
        <r>
          <rPr>
            <sz val="9"/>
            <color indexed="81"/>
            <rFont val="Tahoma"/>
            <family val="2"/>
          </rPr>
          <t xml:space="preserve">
slapped, hit, kicked, or beaten</t>
        </r>
      </text>
    </comment>
    <comment ref="L143" authorId="0" shapeId="0" xr:uid="{00000000-0006-0000-0000-00005D000000}">
      <text>
        <r>
          <rPr>
            <b/>
            <sz val="9"/>
            <color indexed="81"/>
            <rFont val="Tahoma"/>
            <family val="2"/>
          </rPr>
          <t>John:
a</t>
        </r>
        <r>
          <rPr>
            <sz val="9"/>
            <color indexed="81"/>
            <rFont val="Tahoma"/>
            <family val="2"/>
          </rPr>
          <t xml:space="preserve">lso called 
INCLEN and WorldSAFE
</t>
        </r>
      </text>
    </comment>
    <comment ref="Z143" authorId="0" shapeId="0" xr:uid="{00000000-0006-0000-0000-00005E000000}">
      <text>
        <r>
          <rPr>
            <b/>
            <sz val="9"/>
            <color indexed="81"/>
            <rFont val="Tahoma"/>
            <family val="2"/>
          </rPr>
          <t>John:</t>
        </r>
        <r>
          <rPr>
            <sz val="9"/>
            <color indexed="81"/>
            <rFont val="Tahoma"/>
            <family val="2"/>
          </rPr>
          <t xml:space="preserve">
Referred to as 'demeaned', in the table on page 16.
For consistency with the rest of this row, assume 29% is a fraction of ever-experienced.</t>
        </r>
      </text>
    </comment>
    <comment ref="AE143" authorId="0" shapeId="0" xr:uid="{00000000-0006-0000-0000-00005F000000}">
      <text>
        <r>
          <rPr>
            <b/>
            <sz val="9"/>
            <color indexed="81"/>
            <rFont val="Tahoma"/>
            <family val="2"/>
          </rPr>
          <t>John:</t>
        </r>
        <r>
          <rPr>
            <sz val="9"/>
            <color indexed="81"/>
            <rFont val="Tahoma"/>
            <family val="2"/>
          </rPr>
          <t xml:space="preserve">
9+18 % threatened respondent;
4+  9 % threatened someone else.</t>
        </r>
      </text>
    </comment>
    <comment ref="AI143" authorId="0" shapeId="0" xr:uid="{00000000-0006-0000-0000-000060000000}">
      <text>
        <r>
          <rPr>
            <b/>
            <sz val="9"/>
            <color indexed="81"/>
            <rFont val="Tahoma"/>
            <family val="2"/>
          </rPr>
          <t>John:</t>
        </r>
        <r>
          <rPr>
            <sz val="9"/>
            <color indexed="81"/>
            <rFont val="Tahoma"/>
            <family val="2"/>
          </rPr>
          <t xml:space="preserve">
From Table 2 of Peedicayil et al 2004.</t>
        </r>
      </text>
    </comment>
    <comment ref="AJ143" authorId="0" shapeId="0" xr:uid="{00000000-0006-0000-0000-000061000000}">
      <text>
        <r>
          <rPr>
            <b/>
            <sz val="9"/>
            <color indexed="81"/>
            <rFont val="Tahoma"/>
            <family val="2"/>
          </rPr>
          <t>John:</t>
        </r>
        <r>
          <rPr>
            <sz val="9"/>
            <color indexed="81"/>
            <rFont val="Tahoma"/>
            <family val="2"/>
          </rPr>
          <t xml:space="preserve">
This is use, or threaten to use, a weapon.
For consistency with this row, assume it is a % of ever-experienced.</t>
        </r>
      </text>
    </comment>
    <comment ref="AN143" authorId="0" shapeId="0" xr:uid="{00000000-0006-0000-0000-000062000000}">
      <text>
        <r>
          <rPr>
            <b/>
            <sz val="9"/>
            <color indexed="81"/>
            <rFont val="Tahoma"/>
            <family val="2"/>
          </rPr>
          <t>John:</t>
        </r>
        <r>
          <rPr>
            <sz val="9"/>
            <color indexed="81"/>
            <rFont val="Tahoma"/>
            <family val="2"/>
          </rPr>
          <t xml:space="preserve">
Summary report of 3 studies (Table 5) claims 13% in last 12 months.  For consistency with other data on this row,  I assume this is % of ever-experienced.</t>
        </r>
      </text>
    </comment>
    <comment ref="AV143" authorId="0" shapeId="0" xr:uid="{00000000-0006-0000-0000-000063000000}">
      <text>
        <r>
          <rPr>
            <b/>
            <sz val="9"/>
            <color indexed="81"/>
            <rFont val="Tahoma"/>
            <family val="2"/>
          </rPr>
          <t>John:</t>
        </r>
        <r>
          <rPr>
            <sz val="9"/>
            <color indexed="81"/>
            <rFont val="Tahoma"/>
            <family val="2"/>
          </rPr>
          <t xml:space="preserve">
Summary report of 3 studies Table 5 claims 41% in last 12 months; this is more than 'ever experienced' prevalence, so John assumed this means 41% of 'ever experienced' prevalence rate.</t>
        </r>
      </text>
    </comment>
    <comment ref="AZ143" authorId="0" shapeId="0" xr:uid="{00000000-0006-0000-0000-000064000000}">
      <text>
        <r>
          <rPr>
            <b/>
            <sz val="9"/>
            <color indexed="81"/>
            <rFont val="Tahoma"/>
            <family val="2"/>
          </rPr>
          <t>John:</t>
        </r>
        <r>
          <rPr>
            <sz val="9"/>
            <color indexed="81"/>
            <rFont val="Tahoma"/>
            <family val="2"/>
          </rPr>
          <t xml:space="preserve">
Report of 3 surveys Table 5 states 15+30; this is more than 'ever' hit 20% (Table 2; also Table 3 of Kumar et al), so I assume 15+30 is % of ever hit.</t>
        </r>
      </text>
    </comment>
    <comment ref="BD143" authorId="0" shapeId="0" xr:uid="{00000000-0006-0000-0000-000065000000}">
      <text>
        <r>
          <rPr>
            <b/>
            <sz val="9"/>
            <color indexed="81"/>
            <rFont val="Tahoma"/>
            <family val="2"/>
          </rPr>
          <t>John:</t>
        </r>
        <r>
          <rPr>
            <sz val="9"/>
            <color indexed="81"/>
            <rFont val="Tahoma"/>
            <family val="2"/>
          </rPr>
          <t xml:space="preserve">
Summary report of 3 studies (Table 5) claims 27% in last 12 months; this is more than the fraction who 'ever experienced', so there may be a mistake.
John assumes this means 27% of the 'ever-experienced' prevalence rate.</t>
        </r>
      </text>
    </comment>
    <comment ref="BI143" authorId="0" shapeId="0" xr:uid="{00000000-0006-0000-0000-000066000000}">
      <text>
        <r>
          <rPr>
            <b/>
            <sz val="9"/>
            <color indexed="81"/>
            <rFont val="Tahoma"/>
            <family val="2"/>
          </rPr>
          <t>John:</t>
        </r>
        <r>
          <rPr>
            <sz val="9"/>
            <color indexed="81"/>
            <rFont val="Tahoma"/>
            <family val="2"/>
          </rPr>
          <t xml:space="preserve">
4005 in Kumar et al.
4079, in Table 2 of Peedicayil et al 2004.</t>
        </r>
      </text>
    </comment>
    <comment ref="BN143" authorId="0" shapeId="0" xr:uid="{00000000-0006-0000-0000-000067000000}">
      <text>
        <r>
          <rPr>
            <b/>
            <sz val="9"/>
            <color indexed="81"/>
            <rFont val="Tahoma"/>
            <family val="2"/>
          </rPr>
          <t>John:</t>
        </r>
        <r>
          <rPr>
            <sz val="9"/>
            <color indexed="81"/>
            <rFont val="Tahoma"/>
            <family val="2"/>
          </rPr>
          <t xml:space="preserve">
This is from 'report of three studies'; I can't see data on ever-experienced marital rape.</t>
        </r>
      </text>
    </comment>
    <comment ref="L144" authorId="0" shapeId="0" xr:uid="{00000000-0006-0000-0000-000068000000}">
      <text>
        <r>
          <rPr>
            <b/>
            <sz val="9"/>
            <color indexed="81"/>
            <rFont val="Tahoma"/>
            <family val="2"/>
          </rPr>
          <t>John:
a</t>
        </r>
        <r>
          <rPr>
            <sz val="9"/>
            <color indexed="81"/>
            <rFont val="Tahoma"/>
            <family val="2"/>
          </rPr>
          <t xml:space="preserve">lso called 
INCLEN and WorldSAFE
</t>
        </r>
      </text>
    </comment>
    <comment ref="AV144" authorId="0" shapeId="0" xr:uid="{00000000-0006-0000-0000-000069000000}">
      <text>
        <r>
          <rPr>
            <b/>
            <sz val="9"/>
            <color indexed="81"/>
            <rFont val="Tahoma"/>
            <family val="2"/>
          </rPr>
          <t xml:space="preserve">John:
</t>
        </r>
        <r>
          <rPr>
            <sz val="9"/>
            <color indexed="81"/>
            <rFont val="Tahoma"/>
            <family val="2"/>
          </rPr>
          <t xml:space="preserve">Could use this:
</t>
        </r>
        <r>
          <rPr>
            <sz val="9"/>
            <color indexed="81"/>
            <rFont val="Tahoma"/>
            <family val="2"/>
          </rPr>
          <t>=100*894/9938
But not all women have been pregnant.</t>
        </r>
      </text>
    </comment>
    <comment ref="AZ144" authorId="0" shapeId="0" xr:uid="{00000000-0006-0000-0000-00006A000000}">
      <text>
        <r>
          <rPr>
            <b/>
            <sz val="9"/>
            <color indexed="81"/>
            <rFont val="Tahoma"/>
            <family val="2"/>
          </rPr>
          <t xml:space="preserve">John:
</t>
        </r>
        <r>
          <rPr>
            <sz val="9"/>
            <color indexed="81"/>
            <rFont val="Tahoma"/>
            <family val="2"/>
          </rPr>
          <t xml:space="preserve">Could use this:
</t>
        </r>
        <r>
          <rPr>
            <sz val="9"/>
            <color indexed="81"/>
            <rFont val="Tahoma"/>
            <family val="2"/>
          </rPr>
          <t>=100*970/9938
But not all women have been pregnant.</t>
        </r>
      </text>
    </comment>
    <comment ref="BD144" authorId="0" shapeId="0" xr:uid="{00000000-0006-0000-0000-00006B000000}">
      <text>
        <r>
          <rPr>
            <b/>
            <sz val="9"/>
            <color indexed="81"/>
            <rFont val="Tahoma"/>
            <family val="2"/>
          </rPr>
          <t xml:space="preserve">John:
</t>
        </r>
        <r>
          <rPr>
            <sz val="9"/>
            <color indexed="81"/>
            <rFont val="Tahoma"/>
            <family val="2"/>
          </rPr>
          <t xml:space="preserve">Could use this:
</t>
        </r>
        <r>
          <rPr>
            <sz val="9"/>
            <color indexed="81"/>
            <rFont val="Tahoma"/>
            <family val="2"/>
          </rPr>
          <t>=100*1012/9938
But not all women have been pregnant.</t>
        </r>
      </text>
    </comment>
    <comment ref="BJ144" authorId="0" shapeId="0" xr:uid="{00000000-0006-0000-0000-00006C000000}">
      <text>
        <r>
          <rPr>
            <b/>
            <sz val="9"/>
            <color indexed="81"/>
            <rFont val="Tahoma"/>
            <family val="2"/>
          </rPr>
          <t>John:</t>
        </r>
        <r>
          <rPr>
            <sz val="9"/>
            <color indexed="81"/>
            <rFont val="Tahoma"/>
            <family val="2"/>
          </rPr>
          <t xml:space="preserve">
18% in Table 2 of Peedicayil et al 2004; but I think this refers to any pregnancy.</t>
        </r>
      </text>
    </comment>
    <comment ref="I145" authorId="0" shapeId="0" xr:uid="{00000000-0006-0000-0000-00006D000000}">
      <text>
        <r>
          <rPr>
            <b/>
            <sz val="9"/>
            <color indexed="81"/>
            <rFont val="Tahoma"/>
            <family val="2"/>
          </rPr>
          <t>John:</t>
        </r>
        <r>
          <rPr>
            <sz val="9"/>
            <color indexed="81"/>
            <rFont val="Tahoma"/>
            <family val="2"/>
          </rPr>
          <t xml:space="preserve">
Fieldwork date not reported; John assumes it occurred a few years before publication in 2001.</t>
        </r>
      </text>
    </comment>
    <comment ref="M145" authorId="0" shapeId="0" xr:uid="{00000000-0006-0000-0000-00006E000000}">
      <text>
        <r>
          <rPr>
            <b/>
            <sz val="9"/>
            <color indexed="81"/>
            <rFont val="Tahoma"/>
            <family val="2"/>
          </rPr>
          <t>John:</t>
        </r>
        <r>
          <rPr>
            <sz val="9"/>
            <color indexed="81"/>
            <rFont val="Tahoma"/>
            <family val="2"/>
          </rPr>
          <t xml:space="preserve">
95% of respondents are married</t>
        </r>
      </text>
    </comment>
    <comment ref="X145" authorId="0" shapeId="0" xr:uid="{00000000-0006-0000-0000-00006F000000}">
      <text>
        <r>
          <rPr>
            <b/>
            <sz val="9"/>
            <color indexed="81"/>
            <rFont val="Tahoma"/>
            <family val="2"/>
          </rPr>
          <t>John:</t>
        </r>
        <r>
          <rPr>
            <sz val="9"/>
            <color indexed="81"/>
            <rFont val="Tahoma"/>
            <family val="2"/>
          </rPr>
          <t xml:space="preserve">
over 84% illiterate</t>
        </r>
      </text>
    </comment>
    <comment ref="AA145" authorId="0" shapeId="0" xr:uid="{00000000-0006-0000-0000-000070000000}">
      <text>
        <r>
          <rPr>
            <b/>
            <sz val="9"/>
            <color indexed="81"/>
            <rFont val="Tahoma"/>
            <family val="2"/>
          </rPr>
          <t>John:</t>
        </r>
        <r>
          <rPr>
            <sz val="9"/>
            <color indexed="81"/>
            <rFont val="Tahoma"/>
            <family val="2"/>
          </rPr>
          <t xml:space="preserve">
scolded at home.</t>
        </r>
      </text>
    </comment>
    <comment ref="AK145" authorId="0" shapeId="0" xr:uid="{00000000-0006-0000-0000-000071000000}">
      <text>
        <r>
          <rPr>
            <b/>
            <sz val="9"/>
            <color indexed="81"/>
            <rFont val="Tahoma"/>
            <family val="2"/>
          </rPr>
          <t>John:</t>
        </r>
        <r>
          <rPr>
            <sz val="9"/>
            <color indexed="81"/>
            <rFont val="Tahoma"/>
            <family val="2"/>
          </rPr>
          <t xml:space="preserve">
injuring with sharp equipment</t>
        </r>
      </text>
    </comment>
    <comment ref="AU145" authorId="0" shapeId="0" xr:uid="{00000000-0006-0000-0000-000072000000}">
      <text>
        <r>
          <rPr>
            <b/>
            <sz val="9"/>
            <color indexed="81"/>
            <rFont val="Tahoma"/>
            <family val="2"/>
          </rPr>
          <t>John:</t>
        </r>
        <r>
          <rPr>
            <sz val="9"/>
            <color indexed="81"/>
            <rFont val="Tahoma"/>
            <family val="2"/>
          </rPr>
          <t xml:space="preserve">
"Means of beating varied from, beating by hand (nearly 73% cases) to beating by stick (about 17% cases), kicking (more than 8% cases)".
Does 8 mean 8% of women, or 8% of GBV victims?.</t>
        </r>
      </text>
    </comment>
    <comment ref="BA145" authorId="0" shapeId="0" xr:uid="{00000000-0006-0000-0000-000073000000}">
      <text>
        <r>
          <rPr>
            <b/>
            <sz val="9"/>
            <color indexed="81"/>
            <rFont val="Tahoma"/>
            <family val="2"/>
          </rPr>
          <t>John:</t>
        </r>
        <r>
          <rPr>
            <sz val="9"/>
            <color indexed="81"/>
            <rFont val="Tahoma"/>
            <family val="2"/>
          </rPr>
          <t xml:space="preserve">
"Means of beating varied from, beating by hand (nearly 73% cases) to beating by stick (about 17% cases), kicking (more than 8% cases)".
Does 17 mean 17% of women, or 17% of GBV victims?.</t>
        </r>
      </text>
    </comment>
    <comment ref="BC145" authorId="0" shapeId="0" xr:uid="{00000000-0006-0000-0000-000074000000}">
      <text>
        <r>
          <rPr>
            <b/>
            <sz val="9"/>
            <color indexed="81"/>
            <rFont val="Tahoma"/>
            <family val="2"/>
          </rPr>
          <t>John:</t>
        </r>
        <r>
          <rPr>
            <sz val="9"/>
            <color indexed="81"/>
            <rFont val="Tahoma"/>
            <family val="2"/>
          </rPr>
          <t xml:space="preserve">
Beating by hand</t>
        </r>
      </text>
    </comment>
    <comment ref="BI145" authorId="0" shapeId="0" xr:uid="{00000000-0006-0000-0000-000075000000}">
      <text>
        <r>
          <rPr>
            <b/>
            <sz val="9"/>
            <color indexed="81"/>
            <rFont val="Tahoma"/>
            <family val="2"/>
          </rPr>
          <t>John:</t>
        </r>
        <r>
          <rPr>
            <sz val="9"/>
            <color indexed="81"/>
            <rFont val="Tahoma"/>
            <family val="2"/>
          </rPr>
          <t xml:space="preserve">
'beaten'; two types of violence are discussed, beating and scolding - beating seems to mean any physical violence.</t>
        </r>
      </text>
    </comment>
    <comment ref="BJ145" authorId="0" shapeId="0" xr:uid="{00000000-0006-0000-0000-000076000000}">
      <text>
        <r>
          <rPr>
            <b/>
            <sz val="9"/>
            <color indexed="81"/>
            <rFont val="Tahoma"/>
            <family val="2"/>
          </rPr>
          <t>John:</t>
        </r>
        <r>
          <rPr>
            <sz val="9"/>
            <color indexed="81"/>
            <rFont val="Tahoma"/>
            <family val="2"/>
          </rPr>
          <t xml:space="preserve">
beaten during pregnancy</t>
        </r>
      </text>
    </comment>
    <comment ref="BX145" authorId="0" shapeId="0" xr:uid="{00000000-0006-0000-0000-000077000000}">
      <text>
        <r>
          <rPr>
            <b/>
            <sz val="9"/>
            <color indexed="81"/>
            <rFont val="Tahoma"/>
            <family val="2"/>
          </rPr>
          <t>John:</t>
        </r>
        <r>
          <rPr>
            <sz val="9"/>
            <color indexed="81"/>
            <rFont val="Tahoma"/>
            <family val="2"/>
          </rPr>
          <t xml:space="preserve">
9% of victims reported to ward panchs/sarpanchs (which are intermediary between community and government): page 20.</t>
        </r>
      </text>
    </comment>
    <comment ref="R146" authorId="0" shapeId="0" xr:uid="{00000000-0006-0000-0000-000078000000}">
      <text>
        <r>
          <rPr>
            <b/>
            <sz val="9"/>
            <color indexed="81"/>
            <rFont val="Tahoma"/>
            <family val="2"/>
          </rPr>
          <t>John:</t>
        </r>
        <r>
          <rPr>
            <sz val="9"/>
            <color indexed="81"/>
            <rFont val="Tahoma"/>
            <family val="2"/>
          </rPr>
          <t xml:space="preserve">
Based on 1999_Mum;
subtract 1 for 10-month delay.</t>
        </r>
      </text>
    </comment>
    <comment ref="X146" authorId="0" shapeId="0" xr:uid="{00000000-0006-0000-0000-000079000000}">
      <text>
        <r>
          <rPr>
            <b/>
            <sz val="9"/>
            <color indexed="81"/>
            <rFont val="Tahoma"/>
            <family val="2"/>
          </rPr>
          <t>John:</t>
        </r>
        <r>
          <rPr>
            <sz val="9"/>
            <color indexed="81"/>
            <rFont val="Tahoma"/>
            <family val="2"/>
          </rPr>
          <t xml:space="preserve">
Assume the same as 1999 survey of women:
209 had no education; 344 had some education (assumed by John Simister to be primary school).</t>
        </r>
      </text>
    </comment>
    <comment ref="X147" authorId="0" shapeId="0" xr:uid="{00000000-0006-0000-0000-00007A000000}">
      <text>
        <r>
          <rPr>
            <b/>
            <sz val="9"/>
            <color indexed="81"/>
            <rFont val="Tahoma"/>
            <family val="2"/>
          </rPr>
          <t>John:</t>
        </r>
        <r>
          <rPr>
            <sz val="9"/>
            <color indexed="81"/>
            <rFont val="Tahoma"/>
            <family val="2"/>
          </rPr>
          <t xml:space="preserve">
209 had no education; 344 had some education (assumed by John Simister to be primary school).</t>
        </r>
      </text>
    </comment>
    <comment ref="AA147" authorId="0" shapeId="0" xr:uid="{00000000-0006-0000-0000-00007B000000}">
      <text>
        <r>
          <rPr>
            <b/>
            <sz val="9"/>
            <color indexed="81"/>
            <rFont val="Tahoma"/>
            <family val="2"/>
          </rPr>
          <t>John:</t>
        </r>
        <r>
          <rPr>
            <sz val="9"/>
            <color indexed="81"/>
            <rFont val="Tahoma"/>
            <family val="2"/>
          </rPr>
          <t xml:space="preserve">
Husband shouting /yelling at wife.</t>
        </r>
      </text>
    </comment>
    <comment ref="BA147" authorId="0" shapeId="0" xr:uid="{00000000-0006-0000-0000-00007C000000}">
      <text>
        <r>
          <rPr>
            <b/>
            <sz val="9"/>
            <color indexed="81"/>
            <rFont val="Tahoma"/>
            <family val="2"/>
          </rPr>
          <t>John:</t>
        </r>
        <r>
          <rPr>
            <sz val="9"/>
            <color indexed="81"/>
            <rFont val="Tahoma"/>
            <family val="2"/>
          </rPr>
          <t xml:space="preserve">
severe assault with use of some kind of weapon or instrument.</t>
        </r>
      </text>
    </comment>
    <comment ref="AA148" authorId="0" shapeId="0" xr:uid="{00000000-0006-0000-0000-00007D000000}">
      <text>
        <r>
          <rPr>
            <b/>
            <sz val="9"/>
            <color indexed="81"/>
            <rFont val="Tahoma"/>
            <family val="2"/>
          </rPr>
          <t>John:</t>
        </r>
        <r>
          <rPr>
            <sz val="9"/>
            <color indexed="81"/>
            <rFont val="Tahoma"/>
            <family val="2"/>
          </rPr>
          <t xml:space="preserve">
Labelled "Physical violence threatened in private" in Fig2: I assume this is short for
"psychological and emotional abuse (defined as a woman’s
being threatened with physical abuse, ridiculed, or ignored)" on page 129.</t>
        </r>
      </text>
    </comment>
    <comment ref="AE148" authorId="0" shapeId="0" xr:uid="{00000000-0006-0000-0000-00007E000000}">
      <text>
        <r>
          <rPr>
            <b/>
            <sz val="9"/>
            <color indexed="81"/>
            <rFont val="Tahoma"/>
            <family val="2"/>
          </rPr>
          <t>John:</t>
        </r>
        <r>
          <rPr>
            <sz val="9"/>
            <color indexed="81"/>
            <rFont val="Tahoma"/>
            <family val="2"/>
          </rPr>
          <t xml:space="preserve">
27.2% 'physically threatened in public'.
67.4% 'physically threatened in private'.
</t>
        </r>
      </text>
    </comment>
    <comment ref="BI148" authorId="0" shapeId="0" xr:uid="{00000000-0006-0000-0000-00007F000000}">
      <text>
        <r>
          <rPr>
            <b/>
            <sz val="9"/>
            <color indexed="81"/>
            <rFont val="Tahoma"/>
            <family val="2"/>
          </rPr>
          <t>John:</t>
        </r>
        <r>
          <rPr>
            <sz val="9"/>
            <color indexed="81"/>
            <rFont val="Tahoma"/>
            <family val="2"/>
          </rPr>
          <t xml:space="preserve">
In abstract of paper; and Figure 2.</t>
        </r>
      </text>
    </comment>
    <comment ref="BJ148" authorId="0" shapeId="0" xr:uid="{00000000-0006-0000-0000-000080000000}">
      <text>
        <r>
          <rPr>
            <b/>
            <sz val="9"/>
            <color indexed="81"/>
            <rFont val="Tahoma"/>
            <family val="2"/>
          </rPr>
          <t>John:</t>
        </r>
        <r>
          <rPr>
            <sz val="9"/>
            <color indexed="81"/>
            <rFont val="Tahoma"/>
            <family val="2"/>
          </rPr>
          <t xml:space="preserve">
The term "Beaten" is used; but also "Prevalence of domestic violence".
Same chart shows 'Beaten in last pregnancy' about 14%.</t>
        </r>
      </text>
    </comment>
    <comment ref="BO148" authorId="0" shapeId="0" xr:uid="{00000000-0006-0000-0000-000081000000}">
      <text>
        <r>
          <rPr>
            <b/>
            <sz val="9"/>
            <color indexed="81"/>
            <rFont val="Tahoma"/>
            <family val="2"/>
          </rPr>
          <t>John:</t>
        </r>
        <r>
          <rPr>
            <sz val="9"/>
            <color indexed="81"/>
            <rFont val="Tahoma"/>
            <family val="2"/>
          </rPr>
          <t xml:space="preserve">
sexually coerced
(from Sethathuram)
</t>
        </r>
      </text>
    </comment>
    <comment ref="BV148" authorId="0" shapeId="0" xr:uid="{00000000-0006-0000-0000-000082000000}">
      <text>
        <r>
          <rPr>
            <b/>
            <sz val="9"/>
            <color indexed="81"/>
            <rFont val="Tahoma"/>
            <family val="2"/>
          </rPr>
          <t>John:</t>
        </r>
        <r>
          <rPr>
            <sz val="9"/>
            <color indexed="81"/>
            <rFont val="Tahoma"/>
            <family val="2"/>
          </rPr>
          <t xml:space="preserve">
Not clear. Sethuraman et al p.129 states "Recent surveys have found that the prevalence of domestic violence (defined as physical beating or battering of a woman by a male intimate partner) ranges from…"
But the same page states:
"Women’s empowerment [depends on] their position within the household vis-à-vis other male and female household members; their experience of domestic violence;..."</t>
        </r>
      </text>
    </comment>
    <comment ref="X149" authorId="0" shapeId="0" xr:uid="{00000000-0006-0000-0000-000083000000}">
      <text>
        <r>
          <rPr>
            <b/>
            <sz val="9"/>
            <color indexed="81"/>
            <rFont val="Tahoma"/>
            <family val="2"/>
          </rPr>
          <t>John:</t>
        </r>
        <r>
          <rPr>
            <sz val="9"/>
            <color indexed="81"/>
            <rFont val="Tahoma"/>
            <family val="2"/>
          </rPr>
          <t xml:space="preserve">
147 out of 397 had no education; the rest had 'some education' (John Simister assumed this was primary education).</t>
        </r>
      </text>
    </comment>
    <comment ref="BI149" authorId="0" shapeId="0" xr:uid="{00000000-0006-0000-0000-000084000000}">
      <text>
        <r>
          <rPr>
            <b/>
            <sz val="9"/>
            <color indexed="81"/>
            <rFont val="Tahoma"/>
            <family val="2"/>
          </rPr>
          <t>John:</t>
        </r>
        <r>
          <rPr>
            <sz val="9"/>
            <color indexed="81"/>
            <rFont val="Tahoma"/>
            <family val="2"/>
          </rPr>
          <t xml:space="preserve">
"Has your husband ever hit you?"</t>
        </r>
      </text>
    </comment>
    <comment ref="X150" authorId="0" shapeId="0" xr:uid="{00000000-0006-0000-0000-000085000000}">
      <text>
        <r>
          <rPr>
            <b/>
            <sz val="9"/>
            <color indexed="81"/>
            <rFont val="Tahoma"/>
            <family val="2"/>
          </rPr>
          <t>John:</t>
        </r>
        <r>
          <rPr>
            <sz val="9"/>
            <color indexed="81"/>
            <rFont val="Tahoma"/>
            <family val="2"/>
          </rPr>
          <t xml:space="preserve">
Education level not reported.</t>
        </r>
      </text>
    </comment>
    <comment ref="BV150" authorId="0" shapeId="0" xr:uid="{00000000-0006-0000-0000-000086000000}">
      <text>
        <r>
          <rPr>
            <b/>
            <sz val="9"/>
            <color indexed="81"/>
            <rFont val="Tahoma"/>
            <family val="2"/>
          </rPr>
          <t>John:</t>
        </r>
        <r>
          <rPr>
            <sz val="9"/>
            <color indexed="81"/>
            <rFont val="Tahoma"/>
            <family val="2"/>
          </rPr>
          <t xml:space="preserve">
Not clear from first page of the article.</t>
        </r>
      </text>
    </comment>
    <comment ref="B151" authorId="0" shapeId="0" xr:uid="{00000000-0006-0000-0000-000087000000}">
      <text>
        <r>
          <rPr>
            <b/>
            <sz val="9"/>
            <color indexed="81"/>
            <rFont val="Tahoma"/>
            <family val="2"/>
          </rPr>
          <t>John:</t>
        </r>
        <r>
          <rPr>
            <sz val="9"/>
            <color indexed="81"/>
            <rFont val="Tahoma"/>
            <family val="2"/>
          </rPr>
          <t xml:space="preserve">
1999 DHS
analysed by JGS</t>
        </r>
      </text>
    </comment>
    <comment ref="BC151" authorId="0" shapeId="0" xr:uid="{00000000-0006-0000-0000-000088000000}">
      <text>
        <r>
          <rPr>
            <b/>
            <sz val="9"/>
            <color indexed="81"/>
            <rFont val="Tahoma"/>
            <family val="2"/>
          </rPr>
          <t>John:</t>
        </r>
        <r>
          <rPr>
            <sz val="9"/>
            <color indexed="81"/>
            <rFont val="Tahoma"/>
            <family val="2"/>
          </rPr>
          <t xml:space="preserve">
Calculated as 16.6% by John Simister.</t>
        </r>
      </text>
    </comment>
    <comment ref="BD151" authorId="0" shapeId="0" xr:uid="{00000000-0006-0000-0000-000089000000}">
      <text>
        <r>
          <rPr>
            <b/>
            <sz val="9"/>
            <color indexed="81"/>
            <rFont val="Tahoma"/>
            <family val="2"/>
          </rPr>
          <t>John:</t>
        </r>
        <r>
          <rPr>
            <sz val="9"/>
            <color indexed="81"/>
            <rFont val="Tahoma"/>
            <family val="2"/>
          </rPr>
          <t xml:space="preserve">
Calculated as 9.1 by John Simister, from raw DHS data.</t>
        </r>
      </text>
    </comment>
    <comment ref="R152" authorId="0" shapeId="0" xr:uid="{00000000-0006-0000-0000-00008A000000}">
      <text>
        <r>
          <rPr>
            <b/>
            <sz val="9"/>
            <color indexed="81"/>
            <rFont val="Tahoma"/>
            <family val="2"/>
          </rPr>
          <t>John:</t>
        </r>
        <r>
          <rPr>
            <sz val="9"/>
            <color indexed="81"/>
            <rFont val="Tahoma"/>
            <family val="2"/>
          </rPr>
          <t xml:space="preserve">
From Ahmad et al
</t>
        </r>
      </text>
    </comment>
    <comment ref="BC152" authorId="0" shapeId="0" xr:uid="{00000000-0006-0000-0000-00008B000000}">
      <text>
        <r>
          <rPr>
            <b/>
            <sz val="9"/>
            <color indexed="81"/>
            <rFont val="Tahoma"/>
            <family val="2"/>
          </rPr>
          <t>John:</t>
        </r>
        <r>
          <rPr>
            <sz val="9"/>
            <color indexed="81"/>
            <rFont val="Tahoma"/>
            <family val="2"/>
          </rPr>
          <t xml:space="preserve">
This is from Table 1 of Shidhaye &amp; Patel (2010) Table 1. It's unclear if it means ever, or last 12 months.</t>
        </r>
      </text>
    </comment>
    <comment ref="BD152" authorId="0" shapeId="0" xr:uid="{00000000-0006-0000-0000-00008C000000}">
      <text>
        <r>
          <rPr>
            <b/>
            <sz val="9"/>
            <color indexed="81"/>
            <rFont val="Tahoma"/>
            <family val="2"/>
          </rPr>
          <t>John:</t>
        </r>
        <r>
          <rPr>
            <sz val="9"/>
            <color indexed="81"/>
            <rFont val="Tahoma"/>
            <family val="2"/>
          </rPr>
          <t xml:space="preserve">
This figure is from follow-up survey to DHS: see Bourey et al, linked to 2002-3 survey. I suspect it was asked in 2002, retrospectively.</t>
        </r>
      </text>
    </comment>
    <comment ref="BJ152" authorId="0" shapeId="0" xr:uid="{00000000-0006-0000-0000-00008D000000}">
      <text>
        <r>
          <rPr>
            <b/>
            <sz val="9"/>
            <color indexed="81"/>
            <rFont val="Tahoma"/>
            <family val="2"/>
          </rPr>
          <t>John:</t>
        </r>
        <r>
          <rPr>
            <sz val="9"/>
            <color indexed="81"/>
            <rFont val="Tahoma"/>
            <family val="2"/>
          </rPr>
          <t xml:space="preserve">
From Ahmad et al
</t>
        </r>
      </text>
    </comment>
    <comment ref="BN152" authorId="0" shapeId="0" xr:uid="{00000000-0006-0000-0000-00008E000000}">
      <text>
        <r>
          <rPr>
            <b/>
            <sz val="9"/>
            <color indexed="81"/>
            <rFont val="Tahoma"/>
            <family val="2"/>
          </rPr>
          <t>John:</t>
        </r>
        <r>
          <rPr>
            <sz val="9"/>
            <color indexed="81"/>
            <rFont val="Tahoma"/>
            <family val="2"/>
          </rPr>
          <t xml:space="preserve">
This figure is from follow-up survey to DHS: see Bourey et al, linked to 2002-3 survey. I suspect it was asked in 2002, retrospectively.</t>
        </r>
      </text>
    </comment>
    <comment ref="BT152" authorId="0" shapeId="0" xr:uid="{00000000-0006-0000-0000-00008F000000}">
      <text>
        <r>
          <rPr>
            <b/>
            <sz val="9"/>
            <color indexed="81"/>
            <rFont val="Tahoma"/>
            <family val="2"/>
          </rPr>
          <t>John:</t>
        </r>
        <r>
          <rPr>
            <sz val="9"/>
            <color indexed="81"/>
            <rFont val="Tahoma"/>
            <family val="2"/>
          </rPr>
          <t xml:space="preserve">
From Ahmad et al
</t>
        </r>
      </text>
    </comment>
    <comment ref="R153" authorId="0" shapeId="0" xr:uid="{00000000-0006-0000-0000-000090000000}">
      <text>
        <r>
          <rPr>
            <b/>
            <sz val="9"/>
            <color indexed="81"/>
            <rFont val="Tahoma"/>
            <family val="2"/>
          </rPr>
          <t>John:</t>
        </r>
        <r>
          <rPr>
            <sz val="9"/>
            <color indexed="81"/>
            <rFont val="Tahoma"/>
            <family val="2"/>
          </rPr>
          <t xml:space="preserve">
John's estimate assuming on average, husband is 5 years older than wife (5 years calculated from DHS1999 &amp; DHS2006).</t>
        </r>
      </text>
    </comment>
    <comment ref="AA153" authorId="0" shapeId="0" xr:uid="{00000000-0006-0000-0000-000091000000}">
      <text>
        <r>
          <rPr>
            <b/>
            <sz val="9"/>
            <color indexed="81"/>
            <rFont val="Tahoma"/>
            <family val="2"/>
          </rPr>
          <t>John:</t>
        </r>
        <r>
          <rPr>
            <sz val="9"/>
            <color indexed="81"/>
            <rFont val="Tahoma"/>
            <family val="2"/>
          </rPr>
          <t xml:space="preserve">
Page 25.</t>
        </r>
      </text>
    </comment>
    <comment ref="AM153" authorId="0" shapeId="0" xr:uid="{00000000-0006-0000-0000-000092000000}">
      <text>
        <r>
          <rPr>
            <b/>
            <sz val="9"/>
            <color indexed="81"/>
            <rFont val="Tahoma"/>
            <family val="2"/>
          </rPr>
          <t>John:</t>
        </r>
        <r>
          <rPr>
            <sz val="9"/>
            <color indexed="81"/>
            <rFont val="Tahoma"/>
            <family val="2"/>
          </rPr>
          <t xml:space="preserve">
Page 25.</t>
        </r>
      </text>
    </comment>
    <comment ref="E154" authorId="0" shapeId="0" xr:uid="{00000000-0006-0000-0000-000093000000}">
      <text>
        <r>
          <rPr>
            <b/>
            <sz val="9"/>
            <color indexed="81"/>
            <rFont val="Tahoma"/>
            <family val="2"/>
          </rPr>
          <t>John:</t>
        </r>
        <r>
          <rPr>
            <sz val="9"/>
            <color indexed="81"/>
            <rFont val="Tahoma"/>
            <family val="2"/>
          </rPr>
          <t xml:space="preserve">
This row contains a summary of three surveys: Raj, Pun, and TN.</t>
        </r>
      </text>
    </comment>
    <comment ref="O154" authorId="0" shapeId="0" xr:uid="{00000000-0006-0000-0000-000094000000}">
      <text>
        <r>
          <rPr>
            <b/>
            <sz val="9"/>
            <color indexed="81"/>
            <rFont val="Tahoma"/>
            <family val="2"/>
          </rPr>
          <t>John:</t>
        </r>
        <r>
          <rPr>
            <sz val="9"/>
            <color indexed="81"/>
            <rFont val="Tahoma"/>
            <family val="2"/>
          </rPr>
          <t xml:space="preserve">
Age 16-70 on page 78.
This seems to be husband's age.</t>
        </r>
      </text>
    </comment>
    <comment ref="R154" authorId="0" shapeId="0" xr:uid="{00000000-0006-0000-0000-000095000000}">
      <text>
        <r>
          <rPr>
            <b/>
            <sz val="9"/>
            <color indexed="81"/>
            <rFont val="Tahoma"/>
            <family val="2"/>
          </rPr>
          <t>John:</t>
        </r>
        <r>
          <rPr>
            <sz val="9"/>
            <color indexed="81"/>
            <rFont val="Tahoma"/>
            <family val="2"/>
          </rPr>
          <t xml:space="preserve">
John's estimate assuming on average, husband is 5 years older than wife (5 years calculated from DHS1999 &amp; DHS2006).</t>
        </r>
      </text>
    </comment>
    <comment ref="X154" authorId="0" shapeId="0" xr:uid="{00000000-0006-0000-0000-000096000000}">
      <text>
        <r>
          <rPr>
            <b/>
            <sz val="9"/>
            <color indexed="81"/>
            <rFont val="Tahoma"/>
            <family val="2"/>
          </rPr>
          <t>John:</t>
        </r>
        <r>
          <rPr>
            <sz val="9"/>
            <color indexed="81"/>
            <rFont val="Tahoma"/>
            <family val="2"/>
          </rPr>
          <t xml:space="preserve">
Education of respondents isn't clear.</t>
        </r>
      </text>
    </comment>
    <comment ref="Z154" authorId="0" shapeId="0" xr:uid="{00000000-0006-0000-0000-000097000000}">
      <text>
        <r>
          <rPr>
            <b/>
            <sz val="9"/>
            <color indexed="81"/>
            <rFont val="Tahoma"/>
            <family val="2"/>
          </rPr>
          <t>John:</t>
        </r>
        <r>
          <rPr>
            <sz val="9"/>
            <color indexed="81"/>
            <rFont val="Tahoma"/>
            <family val="2"/>
          </rPr>
          <t xml:space="preserve">
Insulted or humiliated her</t>
        </r>
      </text>
    </comment>
    <comment ref="AB154" authorId="0" shapeId="0" xr:uid="{00000000-0006-0000-0000-000098000000}">
      <text>
        <r>
          <rPr>
            <b/>
            <sz val="9"/>
            <color indexed="81"/>
            <rFont val="Tahoma"/>
            <family val="2"/>
          </rPr>
          <t>John:</t>
        </r>
        <r>
          <rPr>
            <sz val="9"/>
            <color indexed="81"/>
            <rFont val="Tahoma"/>
            <family val="2"/>
          </rPr>
          <t xml:space="preserve">
29.8% 'Used abusive language with her.'
Various other forms of emotional violence are reported on page 74.</t>
        </r>
      </text>
    </comment>
    <comment ref="AD154" authorId="0" shapeId="0" xr:uid="{00000000-0006-0000-0000-000099000000}">
      <text>
        <r>
          <rPr>
            <b/>
            <sz val="9"/>
            <color indexed="81"/>
            <rFont val="Tahoma"/>
            <family val="2"/>
          </rPr>
          <t>John:</t>
        </r>
        <r>
          <rPr>
            <sz val="9"/>
            <color indexed="81"/>
            <rFont val="Tahoma"/>
            <family val="2"/>
          </rPr>
          <t xml:space="preserve">
Called her stupid, ugly, or useless</t>
        </r>
      </text>
    </comment>
    <comment ref="AP154" authorId="0" shapeId="0" xr:uid="{00000000-0006-0000-0000-00009A000000}">
      <text>
        <r>
          <rPr>
            <b/>
            <sz val="9"/>
            <color indexed="81"/>
            <rFont val="Tahoma"/>
            <family val="2"/>
          </rPr>
          <t>John:</t>
        </r>
        <r>
          <rPr>
            <sz val="9"/>
            <color indexed="81"/>
            <rFont val="Tahoma"/>
            <family val="2"/>
          </rPr>
          <t xml:space="preserve">
Pulled her hair or dragged her by the hair</t>
        </r>
      </text>
    </comment>
    <comment ref="AX154" authorId="0" shapeId="0" xr:uid="{00000000-0006-0000-0000-00009B000000}">
      <text>
        <r>
          <rPr>
            <b/>
            <sz val="9"/>
            <color indexed="81"/>
            <rFont val="Tahoma"/>
            <family val="2"/>
          </rPr>
          <t>John:</t>
        </r>
        <r>
          <rPr>
            <sz val="9"/>
            <color indexed="81"/>
            <rFont val="Tahoma"/>
            <family val="2"/>
          </rPr>
          <t xml:space="preserve">
0.6% 'Smothered, choked, or strangled her'
0.5% 'burned her'.
These two may overlap.</t>
        </r>
      </text>
    </comment>
    <comment ref="BL154" authorId="0" shapeId="0" xr:uid="{00000000-0006-0000-0000-00009C000000}">
      <text>
        <r>
          <rPr>
            <b/>
            <sz val="9"/>
            <color indexed="81"/>
            <rFont val="Tahoma"/>
            <family val="2"/>
          </rPr>
          <t>John:</t>
        </r>
        <r>
          <rPr>
            <sz val="9"/>
            <color indexed="81"/>
            <rFont val="Tahoma"/>
            <family val="2"/>
          </rPr>
          <t xml:space="preserve">
Took her money or belongings</t>
        </r>
      </text>
    </comment>
    <comment ref="BN154" authorId="0" shapeId="0" xr:uid="{00000000-0006-0000-0000-00009D000000}">
      <text>
        <r>
          <rPr>
            <b/>
            <sz val="9"/>
            <color indexed="81"/>
            <rFont val="Tahoma"/>
            <family val="2"/>
          </rPr>
          <t>John:</t>
        </r>
        <r>
          <rPr>
            <sz val="9"/>
            <color indexed="81"/>
            <rFont val="Tahoma"/>
            <family val="2"/>
          </rPr>
          <t xml:space="preserve">
Page 59, of report of 4 studies. 
Another source reports 1.4.</t>
        </r>
      </text>
    </comment>
    <comment ref="CA154" authorId="0" shapeId="0" xr:uid="{00000000-0006-0000-0000-00009E000000}">
      <text>
        <r>
          <rPr>
            <b/>
            <sz val="9"/>
            <color indexed="81"/>
            <rFont val="Tahoma"/>
            <family val="2"/>
          </rPr>
          <t>John:</t>
        </r>
        <r>
          <rPr>
            <sz val="9"/>
            <color indexed="81"/>
            <rFont val="Tahoma"/>
            <family val="2"/>
          </rPr>
          <t xml:space="preserve">
62.6% of men say GBV justified if wife "Does not fulfill her responsibilities".</t>
        </r>
      </text>
    </comment>
    <comment ref="CF154" authorId="0" shapeId="0" xr:uid="{00000000-0006-0000-0000-00009F000000}">
      <text>
        <r>
          <rPr>
            <b/>
            <sz val="9"/>
            <color indexed="81"/>
            <rFont val="Tahoma"/>
            <family val="2"/>
          </rPr>
          <t>John:</t>
        </r>
        <r>
          <rPr>
            <sz val="9"/>
            <color indexed="81"/>
            <rFont val="Tahoma"/>
            <family val="2"/>
          </rPr>
          <t xml:space="preserve">
79.4% say IPV justified if she has an extra-marital affair.</t>
        </r>
      </text>
    </comment>
    <comment ref="O155" authorId="0" shapeId="0" xr:uid="{00000000-0006-0000-0000-0000A0000000}">
      <text>
        <r>
          <rPr>
            <b/>
            <sz val="9"/>
            <color indexed="81"/>
            <rFont val="Tahoma"/>
            <family val="2"/>
          </rPr>
          <t>John:</t>
        </r>
        <r>
          <rPr>
            <sz val="9"/>
            <color indexed="81"/>
            <rFont val="Tahoma"/>
            <family val="2"/>
          </rPr>
          <t xml:space="preserve">
men age 16-65</t>
        </r>
      </text>
    </comment>
    <comment ref="R155" authorId="0" shapeId="0" xr:uid="{00000000-0006-0000-0000-0000A1000000}">
      <text>
        <r>
          <rPr>
            <b/>
            <sz val="9"/>
            <color indexed="81"/>
            <rFont val="Tahoma"/>
            <family val="2"/>
          </rPr>
          <t>John:</t>
        </r>
        <r>
          <rPr>
            <sz val="9"/>
            <color indexed="81"/>
            <rFont val="Tahoma"/>
            <family val="2"/>
          </rPr>
          <t xml:space="preserve">
John's estimate assuming on average, husband is 5 years older than wife (5 years calculated from DHS1999 &amp; DHS2006).</t>
        </r>
      </text>
    </comment>
    <comment ref="O156" authorId="0" shapeId="0" xr:uid="{00000000-0006-0000-0000-0000A2000000}">
      <text>
        <r>
          <rPr>
            <b/>
            <sz val="9"/>
            <color indexed="81"/>
            <rFont val="Tahoma"/>
            <family val="2"/>
          </rPr>
          <t>John:</t>
        </r>
        <r>
          <rPr>
            <sz val="9"/>
            <color indexed="81"/>
            <rFont val="Tahoma"/>
            <family val="2"/>
          </rPr>
          <t xml:space="preserve">
Page 17, of the report of 4 studies.</t>
        </r>
      </text>
    </comment>
    <comment ref="AB157" authorId="0" shapeId="0" xr:uid="{00000000-0006-0000-0000-0000A3000000}">
      <text>
        <r>
          <rPr>
            <b/>
            <sz val="9"/>
            <color indexed="81"/>
            <rFont val="Tahoma"/>
            <family val="2"/>
          </rPr>
          <t>John:</t>
        </r>
        <r>
          <rPr>
            <sz val="9"/>
            <color indexed="81"/>
            <rFont val="Tahoma"/>
            <family val="2"/>
          </rPr>
          <t xml:space="preserve">
psychological abuse.</t>
        </r>
      </text>
    </comment>
    <comment ref="AU157" authorId="0" shapeId="0" xr:uid="{00000000-0006-0000-0000-0000A4000000}">
      <text>
        <r>
          <rPr>
            <b/>
            <sz val="9"/>
            <color indexed="81"/>
            <rFont val="Tahoma"/>
            <family val="2"/>
          </rPr>
          <t>John:</t>
        </r>
        <r>
          <rPr>
            <sz val="9"/>
            <color indexed="81"/>
            <rFont val="Tahoma"/>
            <family val="2"/>
          </rPr>
          <t xml:space="preserve">
8.8% kicked once or twice; 14.5% 3 or more times.</t>
        </r>
      </text>
    </comment>
    <comment ref="BP157" authorId="0" shapeId="0" xr:uid="{00000000-0006-0000-0000-0000A5000000}">
      <text>
        <r>
          <rPr>
            <b/>
            <sz val="9"/>
            <color indexed="81"/>
            <rFont val="Tahoma"/>
            <family val="2"/>
          </rPr>
          <t xml:space="preserve">John:
</t>
        </r>
        <r>
          <rPr>
            <sz val="9"/>
            <color indexed="81"/>
            <rFont val="Tahoma"/>
            <family val="2"/>
          </rPr>
          <t>'Subjected to forced sex':</t>
        </r>
        <r>
          <rPr>
            <sz val="9"/>
            <color indexed="81"/>
            <rFont val="Tahoma"/>
            <family val="2"/>
          </rPr>
          <t xml:space="preserve">
includes forced to have sex during menstuation, or soon after birth.</t>
        </r>
      </text>
    </comment>
    <comment ref="U159" authorId="0" shapeId="0" xr:uid="{00000000-0006-0000-0000-0000A6000000}">
      <text>
        <r>
          <rPr>
            <b/>
            <sz val="9"/>
            <color indexed="81"/>
            <rFont val="Tahoma"/>
            <family val="2"/>
          </rPr>
          <t>John:</t>
        </r>
        <r>
          <rPr>
            <sz val="9"/>
            <color indexed="81"/>
            <rFont val="Tahoma"/>
            <family val="2"/>
          </rPr>
          <t xml:space="preserve">
Men and women interviewed.
Includes 34 single women.</t>
        </r>
      </text>
    </comment>
    <comment ref="BC159" authorId="0" shapeId="0" xr:uid="{00000000-0006-0000-0000-0000A7000000}">
      <text>
        <r>
          <rPr>
            <b/>
            <sz val="9"/>
            <color indexed="81"/>
            <rFont val="Tahoma"/>
            <family val="2"/>
          </rPr>
          <t>John:</t>
        </r>
        <r>
          <rPr>
            <sz val="9"/>
            <color indexed="81"/>
            <rFont val="Tahoma"/>
            <family val="2"/>
          </rPr>
          <t xml:space="preserve">
11% of women said there had been violence between husband &amp; herself; 
in WAS 2007 survey, 84% of women who said violence occurred said she had been hit by her husband.</t>
        </r>
      </text>
    </comment>
    <comment ref="S160" authorId="0" shapeId="0" xr:uid="{00000000-0006-0000-0000-0000A8000000}">
      <text>
        <r>
          <rPr>
            <b/>
            <sz val="9"/>
            <color indexed="81"/>
            <rFont val="Tahoma"/>
            <family val="2"/>
          </rPr>
          <t>John:</t>
        </r>
        <r>
          <rPr>
            <sz val="9"/>
            <color indexed="81"/>
            <rFont val="Tahoma"/>
            <family val="2"/>
          </rPr>
          <t xml:space="preserve">
John Simister assumes 'less than 16' means about 14 years;
and 'over 18' means about 21 years.</t>
        </r>
      </text>
    </comment>
    <comment ref="X160" authorId="0" shapeId="0" xr:uid="{00000000-0006-0000-0000-0000A9000000}">
      <text>
        <r>
          <rPr>
            <b/>
            <sz val="9"/>
            <color indexed="81"/>
            <rFont val="Tahoma"/>
            <family val="2"/>
          </rPr>
          <t>John:</t>
        </r>
        <r>
          <rPr>
            <sz val="9"/>
            <color indexed="81"/>
            <rFont val="Tahoma"/>
            <family val="2"/>
          </rPr>
          <t xml:space="preserve">
84.9% 'less than middle school';
15.1% 'middle school or more';</t>
        </r>
      </text>
    </comment>
    <comment ref="BI160" authorId="0" shapeId="0" xr:uid="{00000000-0006-0000-0000-0000AA000000}">
      <text>
        <r>
          <rPr>
            <b/>
            <sz val="9"/>
            <color indexed="81"/>
            <rFont val="Tahoma"/>
            <family val="2"/>
          </rPr>
          <t>John:</t>
        </r>
        <r>
          <rPr>
            <sz val="9"/>
            <color indexed="81"/>
            <rFont val="Tahoma"/>
            <family val="2"/>
          </rPr>
          <t xml:space="preserve">
This is from Table 1 of Shidhaye &amp; Patel (2010) Table 1. It's unclear if it means ever, or last 12 months.</t>
        </r>
      </text>
    </comment>
    <comment ref="BJ160" authorId="0" shapeId="0" xr:uid="{00000000-0006-0000-0000-0000AB000000}">
      <text>
        <r>
          <rPr>
            <b/>
            <sz val="9"/>
            <color indexed="81"/>
            <rFont val="Tahoma"/>
            <family val="2"/>
          </rPr>
          <t>John:</t>
        </r>
        <r>
          <rPr>
            <sz val="9"/>
            <color indexed="81"/>
            <rFont val="Tahoma"/>
            <family val="2"/>
          </rPr>
          <t xml:space="preserve">
From page 221 of Bourey et al (2013).</t>
        </r>
      </text>
    </comment>
    <comment ref="M161" authorId="0" shapeId="0" xr:uid="{00000000-0006-0000-0000-0000AC000000}">
      <text>
        <r>
          <rPr>
            <b/>
            <sz val="9"/>
            <color indexed="81"/>
            <rFont val="Tahoma"/>
            <family val="2"/>
          </rPr>
          <t>John:</t>
        </r>
        <r>
          <rPr>
            <sz val="9"/>
            <color indexed="81"/>
            <rFont val="Tahoma"/>
            <family val="2"/>
          </rPr>
          <t xml:space="preserve">
This sample limited to women who had given birth in the last 4 years.</t>
        </r>
      </text>
    </comment>
    <comment ref="X161" authorId="0" shapeId="0" xr:uid="{00000000-0006-0000-0000-0000AD000000}">
      <text>
        <r>
          <rPr>
            <b/>
            <sz val="9"/>
            <color indexed="81"/>
            <rFont val="Tahoma"/>
            <family val="2"/>
          </rPr>
          <t>John:</t>
        </r>
        <r>
          <rPr>
            <sz val="9"/>
            <color indexed="81"/>
            <rFont val="Tahoma"/>
            <family val="2"/>
          </rPr>
          <t xml:space="preserve">
72.8% no education;
13.6% primary;
13.6% secondary/higher.</t>
        </r>
      </text>
    </comment>
    <comment ref="S162" authorId="0" shapeId="0" xr:uid="{00000000-0006-0000-0000-0000AE000000}">
      <text>
        <r>
          <rPr>
            <b/>
            <sz val="9"/>
            <color indexed="81"/>
            <rFont val="Tahoma"/>
            <family val="2"/>
          </rPr>
          <t>John:</t>
        </r>
        <r>
          <rPr>
            <sz val="9"/>
            <color indexed="81"/>
            <rFont val="Tahoma"/>
            <family val="2"/>
          </rPr>
          <t xml:space="preserve">
John Simister assumes 'under 18' is about 16 years; and 'over 25' is about 29 years old.</t>
        </r>
      </text>
    </comment>
    <comment ref="BI162" authorId="0" shapeId="0" xr:uid="{00000000-0006-0000-0000-0000AF000000}">
      <text>
        <r>
          <rPr>
            <b/>
            <sz val="9"/>
            <color indexed="81"/>
            <rFont val="Tahoma"/>
            <family val="2"/>
          </rPr>
          <t>John:</t>
        </r>
        <r>
          <rPr>
            <sz val="9"/>
            <color indexed="81"/>
            <rFont val="Tahoma"/>
            <family val="2"/>
          </rPr>
          <t xml:space="preserve">
Physical violence: Has your husband/partner ever hit you (slap, hit, kick, pinch, pull your hair, etc).</t>
        </r>
      </text>
    </comment>
    <comment ref="I163" authorId="0" shapeId="0" xr:uid="{00000000-0006-0000-0000-0000B0000000}">
      <text>
        <r>
          <rPr>
            <b/>
            <sz val="9"/>
            <color indexed="81"/>
            <rFont val="Tahoma"/>
            <family val="2"/>
          </rPr>
          <t>John:</t>
        </r>
        <r>
          <rPr>
            <sz val="9"/>
            <color indexed="81"/>
            <rFont val="Tahoma"/>
            <family val="2"/>
          </rPr>
          <t xml:space="preserve">
Date of fieldwork isn't stated.</t>
        </r>
      </text>
    </comment>
    <comment ref="AA163" authorId="0" shapeId="0" xr:uid="{00000000-0006-0000-0000-0000B1000000}">
      <text>
        <r>
          <rPr>
            <b/>
            <sz val="9"/>
            <color indexed="81"/>
            <rFont val="Tahoma"/>
            <family val="2"/>
          </rPr>
          <t>John:</t>
        </r>
        <r>
          <rPr>
            <sz val="9"/>
            <color indexed="81"/>
            <rFont val="Tahoma"/>
            <family val="2"/>
          </rPr>
          <t xml:space="preserve">
Abusive language, belittlement, or threats.</t>
        </r>
      </text>
    </comment>
    <comment ref="AG163" authorId="0" shapeId="0" xr:uid="{00000000-0006-0000-0000-0000B2000000}">
      <text>
        <r>
          <rPr>
            <b/>
            <sz val="9"/>
            <color indexed="81"/>
            <rFont val="Tahoma"/>
            <family val="2"/>
          </rPr>
          <t>John:</t>
        </r>
        <r>
          <rPr>
            <sz val="9"/>
            <color indexed="81"/>
            <rFont val="Tahoma"/>
            <family val="2"/>
          </rPr>
          <t xml:space="preserve">
8% threatened with kerosene poured on them, and then being set on fire. Could put 8 here, but I don't think this is a 'weapon'.</t>
        </r>
      </text>
    </comment>
    <comment ref="BU163" authorId="0" shapeId="0" xr:uid="{00000000-0006-0000-0000-0000B3000000}">
      <text>
        <r>
          <rPr>
            <b/>
            <sz val="9"/>
            <color indexed="81"/>
            <rFont val="Tahoma"/>
            <family val="2"/>
          </rPr>
          <t>John:</t>
        </r>
        <r>
          <rPr>
            <sz val="9"/>
            <color indexed="81"/>
            <rFont val="Tahoma"/>
            <family val="2"/>
          </rPr>
          <t xml:space="preserve">
During pregnancy.</t>
        </r>
      </text>
    </comment>
    <comment ref="X164" authorId="0" shapeId="0" xr:uid="{00000000-0006-0000-0000-0000B4000000}">
      <text>
        <r>
          <rPr>
            <b/>
            <sz val="9"/>
            <color indexed="81"/>
            <rFont val="Tahoma"/>
            <family val="2"/>
          </rPr>
          <t>John:</t>
        </r>
        <r>
          <rPr>
            <sz val="9"/>
            <color indexed="81"/>
            <rFont val="Tahoma"/>
            <family val="2"/>
          </rPr>
          <t xml:space="preserve">
Wife's education isn't reported.
</t>
        </r>
      </text>
    </comment>
    <comment ref="BJ164" authorId="0" shapeId="0" xr:uid="{00000000-0006-0000-0000-0000B5000000}">
      <text>
        <r>
          <rPr>
            <b/>
            <sz val="9"/>
            <color indexed="81"/>
            <rFont val="Tahoma"/>
            <family val="2"/>
          </rPr>
          <t>John:</t>
        </r>
        <r>
          <rPr>
            <sz val="9"/>
            <color indexed="81"/>
            <rFont val="Tahoma"/>
            <family val="2"/>
          </rPr>
          <t xml:space="preserve">
pushing, punching, or slapping, or physically aggressive in some other way</t>
        </r>
      </text>
    </comment>
    <comment ref="I165" authorId="0" shapeId="0" xr:uid="{00000000-0006-0000-0000-0000B6000000}">
      <text>
        <r>
          <rPr>
            <b/>
            <sz val="9"/>
            <color indexed="81"/>
            <rFont val="Tahoma"/>
            <family val="2"/>
          </rPr>
          <t>John:</t>
        </r>
        <r>
          <rPr>
            <sz val="9"/>
            <color indexed="81"/>
            <rFont val="Tahoma"/>
            <family val="2"/>
          </rPr>
          <t xml:space="preserve">
October 2003 to February 2004</t>
        </r>
      </text>
    </comment>
    <comment ref="M165" authorId="0" shapeId="0" xr:uid="{00000000-0006-0000-0000-0000B7000000}">
      <text>
        <r>
          <rPr>
            <b/>
            <sz val="9"/>
            <color indexed="81"/>
            <rFont val="Tahoma"/>
            <family val="2"/>
          </rPr>
          <t>John:</t>
        </r>
        <r>
          <rPr>
            <sz val="9"/>
            <color indexed="81"/>
            <rFont val="Tahoma"/>
            <family val="2"/>
          </rPr>
          <t xml:space="preserve">
72.7% currently married.</t>
        </r>
      </text>
    </comment>
    <comment ref="AG165" authorId="0" shapeId="0" xr:uid="{00000000-0006-0000-0000-0000B8000000}">
      <text>
        <r>
          <rPr>
            <b/>
            <sz val="9"/>
            <color indexed="81"/>
            <rFont val="Tahoma"/>
            <family val="2"/>
          </rPr>
          <t>John:</t>
        </r>
        <r>
          <rPr>
            <sz val="9"/>
            <color indexed="81"/>
            <rFont val="Tahoma"/>
            <family val="2"/>
          </rPr>
          <t xml:space="preserve">
Threatened to kill her (by pointing weapons at)</t>
        </r>
      </text>
    </comment>
    <comment ref="AK165" authorId="0" shapeId="0" xr:uid="{00000000-0006-0000-0000-0000B9000000}">
      <text>
        <r>
          <rPr>
            <b/>
            <sz val="9"/>
            <color indexed="81"/>
            <rFont val="Tahoma"/>
            <family val="2"/>
          </rPr>
          <t>John:</t>
        </r>
        <r>
          <rPr>
            <sz val="9"/>
            <color indexed="81"/>
            <rFont val="Tahoma"/>
            <family val="2"/>
          </rPr>
          <t xml:space="preserve">
3/900 tried to push her into the well</t>
        </r>
      </text>
    </comment>
    <comment ref="AQ165" authorId="0" shapeId="0" xr:uid="{00000000-0006-0000-0000-0000BA000000}">
      <text>
        <r>
          <rPr>
            <b/>
            <sz val="9"/>
            <color indexed="81"/>
            <rFont val="Tahoma"/>
            <family val="2"/>
          </rPr>
          <t>John:</t>
        </r>
        <r>
          <rPr>
            <sz val="9"/>
            <color indexed="81"/>
            <rFont val="Tahoma"/>
            <family val="2"/>
          </rPr>
          <t xml:space="preserve">
Threw things at her</t>
        </r>
      </text>
    </comment>
    <comment ref="AU165" authorId="0" shapeId="0" xr:uid="{00000000-0006-0000-0000-0000BB000000}">
      <text>
        <r>
          <rPr>
            <b/>
            <sz val="9"/>
            <color indexed="81"/>
            <rFont val="Tahoma"/>
            <family val="2"/>
          </rPr>
          <t>John:</t>
        </r>
        <r>
          <rPr>
            <sz val="9"/>
            <color indexed="81"/>
            <rFont val="Tahoma"/>
            <family val="2"/>
          </rPr>
          <t xml:space="preserve">
Kicked on the stomach/ near the genitals</t>
        </r>
      </text>
    </comment>
    <comment ref="BC165" authorId="0" shapeId="0" xr:uid="{00000000-0006-0000-0000-0000BC000000}">
      <text>
        <r>
          <rPr>
            <b/>
            <sz val="9"/>
            <color indexed="81"/>
            <rFont val="Tahoma"/>
            <family val="2"/>
          </rPr>
          <t>John:</t>
        </r>
        <r>
          <rPr>
            <sz val="9"/>
            <color indexed="81"/>
            <rFont val="Tahoma"/>
            <family val="2"/>
          </rPr>
          <t xml:space="preserve">
Beaten / struck / pushed down</t>
        </r>
      </text>
    </comment>
    <comment ref="BE165" authorId="0" shapeId="0" xr:uid="{00000000-0006-0000-0000-0000BD000000}">
      <text>
        <r>
          <rPr>
            <b/>
            <sz val="9"/>
            <color indexed="81"/>
            <rFont val="Tahoma"/>
            <family val="2"/>
          </rPr>
          <t>John:</t>
        </r>
        <r>
          <rPr>
            <sz val="9"/>
            <color indexed="81"/>
            <rFont val="Tahoma"/>
            <family val="2"/>
          </rPr>
          <t xml:space="preserve">
Banged her head against the wall</t>
        </r>
      </text>
    </comment>
    <comment ref="BK165" authorId="0" shapeId="0" xr:uid="{00000000-0006-0000-0000-0000BE000000}">
      <text>
        <r>
          <rPr>
            <b/>
            <sz val="9"/>
            <color indexed="81"/>
            <rFont val="Tahoma"/>
            <family val="2"/>
          </rPr>
          <t>John:</t>
        </r>
        <r>
          <rPr>
            <sz val="9"/>
            <color indexed="81"/>
            <rFont val="Tahoma"/>
            <family val="2"/>
          </rPr>
          <t xml:space="preserve">
Economic neglect/abuse. Includes various types, e.g.:
27/900: "Deprived her of food, money and/or residence";
39/900: "Limits her access to money" .</t>
        </r>
      </text>
    </comment>
    <comment ref="CE165" authorId="0" shapeId="0" xr:uid="{00000000-0006-0000-0000-0000BF000000}">
      <text>
        <r>
          <rPr>
            <b/>
            <sz val="9"/>
            <color indexed="81"/>
            <rFont val="Tahoma"/>
            <family val="2"/>
          </rPr>
          <t>John:</t>
        </r>
        <r>
          <rPr>
            <sz val="9"/>
            <color indexed="81"/>
            <rFont val="Tahoma"/>
            <family val="2"/>
          </rPr>
          <t xml:space="preserve">
'Husband has the right to beat his wife'</t>
        </r>
      </text>
    </comment>
    <comment ref="M166" authorId="0" shapeId="0" xr:uid="{00000000-0006-0000-0000-0000C0000000}">
      <text>
        <r>
          <rPr>
            <b/>
            <sz val="9"/>
            <color indexed="81"/>
            <rFont val="Tahoma"/>
            <family val="2"/>
          </rPr>
          <t>John:</t>
        </r>
        <r>
          <rPr>
            <sz val="9"/>
            <color indexed="81"/>
            <rFont val="Tahoma"/>
            <family val="2"/>
          </rPr>
          <t xml:space="preserve">
Page 7: 82% married; the others separated, divorced or widowed.
</t>
        </r>
      </text>
    </comment>
    <comment ref="Q166" authorId="0" shapeId="0" xr:uid="{00000000-0006-0000-0000-0000C1000000}">
      <text>
        <r>
          <rPr>
            <b/>
            <sz val="9"/>
            <color indexed="81"/>
            <rFont val="Tahoma"/>
            <family val="2"/>
          </rPr>
          <t>John:</t>
        </r>
        <r>
          <rPr>
            <sz val="9"/>
            <color indexed="81"/>
            <rFont val="Tahoma"/>
            <family val="2"/>
          </rPr>
          <t xml:space="preserve">
Estimated by John Simister, for age 61+ (previous age-range was 56-60).</t>
        </r>
      </text>
    </comment>
    <comment ref="S166" authorId="0" shapeId="0" xr:uid="{00000000-0006-0000-0000-0000C2000000}">
      <text>
        <r>
          <rPr>
            <b/>
            <sz val="9"/>
            <color indexed="81"/>
            <rFont val="Tahoma"/>
            <family val="2"/>
          </rPr>
          <t>John:</t>
        </r>
        <r>
          <rPr>
            <sz val="9"/>
            <color indexed="81"/>
            <rFont val="Tahoma"/>
            <family val="2"/>
          </rPr>
          <t xml:space="preserve">
John Simister assumes '31 &amp; above' means average of 36 years.</t>
        </r>
      </text>
    </comment>
    <comment ref="Y166" authorId="0" shapeId="0" xr:uid="{00000000-0006-0000-0000-0000C3000000}">
      <text>
        <r>
          <rPr>
            <b/>
            <sz val="9"/>
            <color indexed="81"/>
            <rFont val="Tahoma"/>
            <family val="2"/>
          </rPr>
          <t>John:</t>
        </r>
        <r>
          <rPr>
            <sz val="9"/>
            <color indexed="81"/>
            <rFont val="Tahoma"/>
            <family val="2"/>
          </rPr>
          <t xml:space="preserve">
These may not all be from husband.
</t>
        </r>
      </text>
    </comment>
    <comment ref="AE166" authorId="0" shapeId="0" xr:uid="{00000000-0006-0000-0000-0000C4000000}">
      <text>
        <r>
          <rPr>
            <b/>
            <sz val="9"/>
            <color indexed="81"/>
            <rFont val="Tahoma"/>
            <family val="2"/>
          </rPr>
          <t>John:</t>
        </r>
        <r>
          <rPr>
            <sz val="9"/>
            <color indexed="81"/>
            <rFont val="Tahoma"/>
            <family val="2"/>
          </rPr>
          <t xml:space="preserve">
Threat to use physical force</t>
        </r>
      </text>
    </comment>
    <comment ref="AK166" authorId="0" shapeId="0" xr:uid="{00000000-0006-0000-0000-0000C5000000}">
      <text>
        <r>
          <rPr>
            <b/>
            <sz val="9"/>
            <color indexed="81"/>
            <rFont val="Tahoma"/>
            <family val="2"/>
          </rPr>
          <t>John:</t>
        </r>
        <r>
          <rPr>
            <sz val="9"/>
            <color indexed="81"/>
            <rFont val="Tahoma"/>
            <family val="2"/>
          </rPr>
          <t xml:space="preserve">
assault with weapon.
</t>
        </r>
      </text>
    </comment>
    <comment ref="AQ166" authorId="0" shapeId="0" xr:uid="{00000000-0006-0000-0000-0000C6000000}">
      <text>
        <r>
          <rPr>
            <b/>
            <sz val="9"/>
            <color indexed="81"/>
            <rFont val="Tahoma"/>
            <family val="2"/>
          </rPr>
          <t>John:</t>
        </r>
        <r>
          <rPr>
            <sz val="9"/>
            <color indexed="81"/>
            <rFont val="Tahoma"/>
            <family val="2"/>
          </rPr>
          <t xml:space="preserve">
throwing objects, beating with cane, burning with rod.
John Simister assumes half are throwing objects, and the other half are hitting with a stick.</t>
        </r>
      </text>
    </comment>
    <comment ref="BA166" authorId="0" shapeId="0" xr:uid="{00000000-0006-0000-0000-0000C7000000}">
      <text>
        <r>
          <rPr>
            <b/>
            <sz val="9"/>
            <color indexed="81"/>
            <rFont val="Tahoma"/>
            <family val="2"/>
          </rPr>
          <t>John:</t>
        </r>
        <r>
          <rPr>
            <sz val="9"/>
            <color indexed="81"/>
            <rFont val="Tahoma"/>
            <family val="2"/>
          </rPr>
          <t xml:space="preserve">
throwing objects, beating with cane, burning with rod.
John Simister assumes half are throwing objects, and the other half are hitting with a stick.</t>
        </r>
      </text>
    </comment>
    <comment ref="BI166" authorId="0" shapeId="0" xr:uid="{00000000-0006-0000-0000-0000C8000000}">
      <text>
        <r>
          <rPr>
            <b/>
            <sz val="9"/>
            <color indexed="81"/>
            <rFont val="Tahoma"/>
            <family val="2"/>
          </rPr>
          <t>John:</t>
        </r>
        <r>
          <rPr>
            <sz val="9"/>
            <color indexed="81"/>
            <rFont val="Tahoma"/>
            <family val="2"/>
          </rPr>
          <t xml:space="preserve">
beating/slapping, pushing or kicking.
</t>
        </r>
      </text>
    </comment>
    <comment ref="BK166" authorId="0" shapeId="0" xr:uid="{00000000-0006-0000-0000-0000C9000000}">
      <text>
        <r>
          <rPr>
            <b/>
            <sz val="9"/>
            <color indexed="81"/>
            <rFont val="Tahoma"/>
            <family val="2"/>
          </rPr>
          <t>John:</t>
        </r>
        <r>
          <rPr>
            <sz val="9"/>
            <color indexed="81"/>
            <rFont val="Tahoma"/>
            <family val="2"/>
          </rPr>
          <t xml:space="preserve">
Preventing you from taking a job</t>
        </r>
      </text>
    </comment>
    <comment ref="BO166" authorId="0" shapeId="0" xr:uid="{00000000-0006-0000-0000-0000CA000000}">
      <text>
        <r>
          <rPr>
            <b/>
            <sz val="9"/>
            <color indexed="81"/>
            <rFont val="Tahoma"/>
            <family val="2"/>
          </rPr>
          <t>John:</t>
        </r>
        <r>
          <rPr>
            <sz val="9"/>
            <color indexed="81"/>
            <rFont val="Tahoma"/>
            <family val="2"/>
          </rPr>
          <t xml:space="preserve">
Not clearly defined, but included in 'physical violence'. 
John Simister assumes sexual violence only from husband, not other household members.</t>
        </r>
      </text>
    </comment>
    <comment ref="BQ166" authorId="0" shapeId="0" xr:uid="{00000000-0006-0000-0000-0000CB000000}">
      <text>
        <r>
          <rPr>
            <b/>
            <sz val="9"/>
            <color indexed="81"/>
            <rFont val="Tahoma"/>
            <family val="2"/>
          </rPr>
          <t>John:</t>
        </r>
        <r>
          <rPr>
            <sz val="9"/>
            <color indexed="81"/>
            <rFont val="Tahoma"/>
            <family val="2"/>
          </rPr>
          <t xml:space="preserve">
Page 74 states:
"Information collected from these respondents with regard to physical violence faced by them shows that almost about 84 per cent of respondents had been the victims of physical violence in one form or other".</t>
        </r>
      </text>
    </comment>
    <comment ref="BR166" authorId="0" shapeId="0" xr:uid="{00000000-0006-0000-0000-0000CC000000}">
      <text>
        <r>
          <rPr>
            <b/>
            <sz val="9"/>
            <color indexed="81"/>
            <rFont val="Tahoma"/>
            <family val="2"/>
          </rPr>
          <t>John:</t>
        </r>
        <r>
          <rPr>
            <sz val="9"/>
            <color indexed="81"/>
            <rFont val="Tahoma"/>
            <family val="2"/>
          </rPr>
          <t xml:space="preserve">
From Table 4.6; assuming 'uncertain' means no GBV in last 12 months.</t>
        </r>
      </text>
    </comment>
    <comment ref="BX166" authorId="0" shapeId="0" xr:uid="{00000000-0006-0000-0000-0000CD000000}">
      <text>
        <r>
          <rPr>
            <b/>
            <sz val="9"/>
            <color indexed="81"/>
            <rFont val="Tahoma"/>
            <family val="2"/>
          </rPr>
          <t>John:</t>
        </r>
        <r>
          <rPr>
            <sz val="9"/>
            <color indexed="81"/>
            <rFont val="Tahoma"/>
            <family val="2"/>
          </rPr>
          <t xml:space="preserve">
Page 13: 72% went to police or courts, out of 5% who sought help from formal agencies.</t>
        </r>
      </text>
    </comment>
    <comment ref="BJ167" authorId="0" shapeId="0" xr:uid="{00000000-0006-0000-0000-0000CE000000}">
      <text>
        <r>
          <rPr>
            <b/>
            <sz val="9"/>
            <color indexed="81"/>
            <rFont val="Tahoma"/>
            <family val="2"/>
          </rPr>
          <t>John:</t>
        </r>
        <r>
          <rPr>
            <sz val="9"/>
            <color indexed="81"/>
            <rFont val="Tahoma"/>
            <family val="2"/>
          </rPr>
          <t xml:space="preserve">
Footnote 34 (page 18) suggests it's not clear if this was 'ever experienced' or 'last 12 months'.</t>
        </r>
      </text>
    </comment>
    <comment ref="X168" authorId="0" shapeId="0" xr:uid="{00000000-0006-0000-0000-0000CF000000}">
      <text>
        <r>
          <rPr>
            <b/>
            <sz val="9"/>
            <color indexed="81"/>
            <rFont val="Tahoma"/>
            <family val="2"/>
          </rPr>
          <t>John:</t>
        </r>
        <r>
          <rPr>
            <sz val="9"/>
            <color indexed="81"/>
            <rFont val="Tahoma"/>
            <family val="2"/>
          </rPr>
          <t xml:space="preserve">
Wife's education isn't reported.
</t>
        </r>
      </text>
    </comment>
    <comment ref="BI168" authorId="0" shapeId="0" xr:uid="{00000000-0006-0000-0000-0000D0000000}">
      <text>
        <r>
          <rPr>
            <b/>
            <sz val="9"/>
            <color indexed="81"/>
            <rFont val="Tahoma"/>
            <family val="2"/>
          </rPr>
          <t>John:</t>
        </r>
        <r>
          <rPr>
            <sz val="9"/>
            <color indexed="81"/>
            <rFont val="Tahoma"/>
            <family val="2"/>
          </rPr>
          <t xml:space="preserve">
ever hit by her husband.</t>
        </r>
      </text>
    </comment>
    <comment ref="I169" authorId="0" shapeId="0" xr:uid="{00000000-0006-0000-0000-0000D1000000}">
      <text>
        <r>
          <rPr>
            <b/>
            <sz val="9"/>
            <color indexed="81"/>
            <rFont val="Tahoma"/>
            <family val="2"/>
          </rPr>
          <t>John:</t>
        </r>
        <r>
          <rPr>
            <sz val="9"/>
            <color indexed="81"/>
            <rFont val="Tahoma"/>
            <family val="2"/>
          </rPr>
          <t xml:space="preserve">
Date of fieldwork isn't stated.</t>
        </r>
      </text>
    </comment>
    <comment ref="X169" authorId="0" shapeId="0" xr:uid="{00000000-0006-0000-0000-0000D2000000}">
      <text>
        <r>
          <rPr>
            <b/>
            <sz val="9"/>
            <color indexed="81"/>
            <rFont val="Tahoma"/>
            <family val="2"/>
          </rPr>
          <t>John:</t>
        </r>
        <r>
          <rPr>
            <sz val="9"/>
            <color indexed="81"/>
            <rFont val="Tahoma"/>
            <family val="2"/>
          </rPr>
          <t xml:space="preserve">
Wife's education isn't reported.
</t>
        </r>
      </text>
    </comment>
    <comment ref="AZ169" authorId="0" shapeId="0" xr:uid="{00000000-0006-0000-0000-0000D3000000}">
      <text>
        <r>
          <rPr>
            <b/>
            <sz val="9"/>
            <color indexed="81"/>
            <rFont val="Tahoma"/>
            <family val="2"/>
          </rPr>
          <t>John:</t>
        </r>
        <r>
          <rPr>
            <sz val="9"/>
            <color indexed="81"/>
            <rFont val="Tahoma"/>
            <family val="2"/>
          </rPr>
          <t xml:space="preserve">
More than 3 times in the last 12 months</t>
        </r>
      </text>
    </comment>
    <comment ref="BO169" authorId="0" shapeId="0" xr:uid="{00000000-0006-0000-0000-0000D4000000}">
      <text>
        <r>
          <rPr>
            <b/>
            <sz val="9"/>
            <color indexed="81"/>
            <rFont val="Tahoma"/>
            <family val="2"/>
          </rPr>
          <t>John:</t>
        </r>
        <r>
          <rPr>
            <sz val="9"/>
            <color indexed="81"/>
            <rFont val="Tahoma"/>
            <family val="2"/>
          </rPr>
          <t xml:space="preserve">
'Forced sex'</t>
        </r>
      </text>
    </comment>
    <comment ref="BP169" authorId="0" shapeId="0" xr:uid="{00000000-0006-0000-0000-0000D5000000}">
      <text>
        <r>
          <rPr>
            <b/>
            <sz val="9"/>
            <color indexed="81"/>
            <rFont val="Tahoma"/>
            <family val="2"/>
          </rPr>
          <t>John:</t>
        </r>
        <r>
          <rPr>
            <sz val="9"/>
            <color indexed="81"/>
            <rFont val="Tahoma"/>
            <family val="2"/>
          </rPr>
          <t xml:space="preserve">
More than 3 times in the last 12 months</t>
        </r>
      </text>
    </comment>
    <comment ref="AB170" authorId="0" shapeId="0" xr:uid="{00000000-0006-0000-0000-0000D6000000}">
      <text>
        <r>
          <rPr>
            <b/>
            <sz val="9"/>
            <color indexed="81"/>
            <rFont val="Tahoma"/>
            <family val="2"/>
          </rPr>
          <t>John:</t>
        </r>
        <r>
          <rPr>
            <sz val="9"/>
            <color indexed="81"/>
            <rFont val="Tahoma"/>
            <family val="2"/>
          </rPr>
          <t xml:space="preserve">
Estimated by John Simister, from chart on page 1: use unweighted average of below &amp; above 18 (about half of women in India married under 18 years, from DHS 1998 data).</t>
        </r>
      </text>
    </comment>
    <comment ref="AF170" authorId="0" shapeId="0" xr:uid="{00000000-0006-0000-0000-0000D7000000}">
      <text>
        <r>
          <rPr>
            <b/>
            <sz val="9"/>
            <color indexed="81"/>
            <rFont val="Tahoma"/>
            <family val="2"/>
          </rPr>
          <t>John:</t>
        </r>
        <r>
          <rPr>
            <sz val="9"/>
            <color indexed="81"/>
            <rFont val="Tahoma"/>
            <family val="2"/>
          </rPr>
          <t xml:space="preserve">
Estimated by John Simister, from chart on page 1: use unweighted average of below &amp; above 18 (about half of women in India married under 18 years, from DHS 1998 data).</t>
        </r>
      </text>
    </comment>
    <comment ref="AN170" authorId="0" shapeId="0" xr:uid="{00000000-0006-0000-0000-0000D8000000}">
      <text>
        <r>
          <rPr>
            <b/>
            <sz val="9"/>
            <color indexed="81"/>
            <rFont val="Tahoma"/>
            <family val="2"/>
          </rPr>
          <t>John:</t>
        </r>
        <r>
          <rPr>
            <sz val="9"/>
            <color indexed="81"/>
            <rFont val="Tahoma"/>
            <family val="2"/>
          </rPr>
          <t xml:space="preserve">
Estimated by John Simister, from chart on page 1: use unweighted average of below &amp; above 18 (about half of women in India married under 18 years, from DHS 1998 data).</t>
        </r>
      </text>
    </comment>
    <comment ref="X171" authorId="0" shapeId="0" xr:uid="{00000000-0006-0000-0000-0000D9000000}">
      <text>
        <r>
          <rPr>
            <b/>
            <sz val="9"/>
            <color indexed="81"/>
            <rFont val="Tahoma"/>
            <family val="2"/>
          </rPr>
          <t>John:</t>
        </r>
        <r>
          <rPr>
            <sz val="9"/>
            <color indexed="81"/>
            <rFont val="Tahoma"/>
            <family val="2"/>
          </rPr>
          <t xml:space="preserve">
413 women educated up to 10th class;
578 have higher education.</t>
        </r>
      </text>
    </comment>
    <comment ref="AB171" authorId="0" shapeId="0" xr:uid="{00000000-0006-0000-0000-0000DA000000}">
      <text>
        <r>
          <rPr>
            <b/>
            <sz val="9"/>
            <color indexed="81"/>
            <rFont val="Tahoma"/>
            <family val="2"/>
          </rPr>
          <t>John:</t>
        </r>
        <r>
          <rPr>
            <sz val="9"/>
            <color indexed="81"/>
            <rFont val="Tahoma"/>
            <family val="2"/>
          </rPr>
          <t xml:space="preserve">
Verbal abuse.</t>
        </r>
      </text>
    </comment>
    <comment ref="AR171" authorId="0" shapeId="0" xr:uid="{00000000-0006-0000-0000-0000DB000000}">
      <text>
        <r>
          <rPr>
            <b/>
            <sz val="9"/>
            <color indexed="81"/>
            <rFont val="Tahoma"/>
            <family val="2"/>
          </rPr>
          <t>John:</t>
        </r>
        <r>
          <rPr>
            <sz val="9"/>
            <color indexed="81"/>
            <rFont val="Tahoma"/>
            <family val="2"/>
          </rPr>
          <t xml:space="preserve">
32 cases of 'Pushing, shoving, and grabbing'.
Also, 6 women reported throwing objects /damage to property &amp; pets.</t>
        </r>
      </text>
    </comment>
    <comment ref="AV171" authorId="0" shapeId="0" xr:uid="{00000000-0006-0000-0000-0000DC000000}">
      <text>
        <r>
          <rPr>
            <b/>
            <sz val="9"/>
            <color indexed="81"/>
            <rFont val="Tahoma"/>
            <family val="2"/>
          </rPr>
          <t>John:</t>
        </r>
        <r>
          <rPr>
            <sz val="9"/>
            <color indexed="81"/>
            <rFont val="Tahoma"/>
            <family val="2"/>
          </rPr>
          <t xml:space="preserve">
Kicking and biting.
Assign half to kick, and half to bite.</t>
        </r>
      </text>
    </comment>
    <comment ref="BH171" authorId="0" shapeId="0" xr:uid="{00000000-0006-0000-0000-0000DD000000}">
      <text>
        <r>
          <rPr>
            <b/>
            <sz val="9"/>
            <color indexed="81"/>
            <rFont val="Tahoma"/>
            <family val="2"/>
          </rPr>
          <t>John:</t>
        </r>
        <r>
          <rPr>
            <sz val="9"/>
            <color indexed="81"/>
            <rFont val="Tahoma"/>
            <family val="2"/>
          </rPr>
          <t xml:space="preserve">
Kicking and biting.
Assign half to kick, and half to bite.</t>
        </r>
      </text>
    </comment>
    <comment ref="BL171" authorId="0" shapeId="0" xr:uid="{00000000-0006-0000-0000-0000DE000000}">
      <text>
        <r>
          <rPr>
            <b/>
            <sz val="9"/>
            <color indexed="81"/>
            <rFont val="Tahoma"/>
            <family val="2"/>
          </rPr>
          <t>John:</t>
        </r>
        <r>
          <rPr>
            <sz val="9"/>
            <color indexed="81"/>
            <rFont val="Tahoma"/>
            <family val="2"/>
          </rPr>
          <t xml:space="preserve">
restricted access to money.</t>
        </r>
      </text>
    </comment>
    <comment ref="X172" authorId="0" shapeId="0" xr:uid="{00000000-0006-0000-0000-0000DF000000}">
      <text>
        <r>
          <rPr>
            <b/>
            <sz val="9"/>
            <color indexed="81"/>
            <rFont val="Tahoma"/>
            <family val="2"/>
          </rPr>
          <t>John:</t>
        </r>
        <r>
          <rPr>
            <sz val="9"/>
            <color indexed="81"/>
            <rFont val="Tahoma"/>
            <family val="2"/>
          </rPr>
          <t xml:space="preserve">
30.3+7.6% no school;
47.6% school education
(1 to 10 years in school);
14.5% college or above.</t>
        </r>
      </text>
    </comment>
    <comment ref="AE172" authorId="0" shapeId="0" xr:uid="{00000000-0006-0000-0000-0000E0000000}">
      <text>
        <r>
          <rPr>
            <b/>
            <sz val="9"/>
            <color indexed="81"/>
            <rFont val="Tahoma"/>
            <family val="2"/>
          </rPr>
          <t>John:</t>
        </r>
        <r>
          <rPr>
            <sz val="9"/>
            <color indexed="81"/>
            <rFont val="Tahoma"/>
            <family val="2"/>
          </rPr>
          <t xml:space="preserve">
Threatened with objects like stone, belt, knife, etc.</t>
        </r>
      </text>
    </comment>
    <comment ref="BI172" authorId="0" shapeId="0" xr:uid="{00000000-0006-0000-0000-0000E1000000}">
      <text>
        <r>
          <rPr>
            <b/>
            <sz val="9"/>
            <color indexed="81"/>
            <rFont val="Tahoma"/>
            <family val="2"/>
          </rPr>
          <t>John:</t>
        </r>
        <r>
          <rPr>
            <sz val="9"/>
            <color indexed="81"/>
            <rFont val="Tahoma"/>
            <family val="2"/>
          </rPr>
          <t xml:space="preserve">
Has your husband ever assaulted you physically (like slapped or thrown something, pushed, pulled your hair, shoved, hit with fist or  something else, kicked, dragged or beaten you up, chocked)?
Data here is by husbands only.</t>
        </r>
      </text>
    </comment>
    <comment ref="BK172" authorId="0" shapeId="0" xr:uid="{00000000-0006-0000-0000-0000E2000000}">
      <text>
        <r>
          <rPr>
            <b/>
            <sz val="9"/>
            <color indexed="81"/>
            <rFont val="Tahoma"/>
            <family val="2"/>
          </rPr>
          <t>John:</t>
        </r>
        <r>
          <rPr>
            <sz val="9"/>
            <color indexed="81"/>
            <rFont val="Tahoma"/>
            <family val="2"/>
          </rPr>
          <t xml:space="preserve">
financial hardships</t>
        </r>
      </text>
    </comment>
    <comment ref="BM172" authorId="0" shapeId="0" xr:uid="{00000000-0006-0000-0000-0000E3000000}">
      <text>
        <r>
          <rPr>
            <b/>
            <sz val="9"/>
            <color indexed="81"/>
            <rFont val="Tahoma"/>
            <family val="2"/>
          </rPr>
          <t>John:</t>
        </r>
        <r>
          <rPr>
            <sz val="9"/>
            <color indexed="81"/>
            <rFont val="Tahoma"/>
            <family val="2"/>
          </rPr>
          <t xml:space="preserve">
"Did your husband or any other male members in your family ever physically force you to have sexual intercourse when you did not want to?"
Data are here are by husbands only.</t>
        </r>
      </text>
    </comment>
    <comment ref="X173" authorId="0" shapeId="0" xr:uid="{00000000-0006-0000-0000-0000E4000000}">
      <text>
        <r>
          <rPr>
            <b/>
            <sz val="9"/>
            <color indexed="81"/>
            <rFont val="Tahoma"/>
            <family val="2"/>
          </rPr>
          <t>John:</t>
        </r>
        <r>
          <rPr>
            <sz val="9"/>
            <color indexed="81"/>
            <rFont val="Tahoma"/>
            <family val="2"/>
          </rPr>
          <t xml:space="preserve">
30.3+7.6% no school;
47.6% school education
(1 to 10 years in school);
14.5% college or above.</t>
        </r>
      </text>
    </comment>
    <comment ref="H174" authorId="0" shapeId="0" xr:uid="{00000000-0006-0000-0000-0000E5000000}">
      <text>
        <r>
          <rPr>
            <b/>
            <sz val="9"/>
            <color indexed="81"/>
            <rFont val="Tahoma"/>
            <family val="2"/>
          </rPr>
          <t>John:</t>
        </r>
        <r>
          <rPr>
            <sz val="9"/>
            <color indexed="81"/>
            <rFont val="Tahoma"/>
            <family val="2"/>
          </rPr>
          <t xml:space="preserve">
urban and rural
</t>
        </r>
      </text>
    </comment>
    <comment ref="X174" authorId="0" shapeId="0" xr:uid="{00000000-0006-0000-0000-0000E6000000}">
      <text>
        <r>
          <rPr>
            <b/>
            <sz val="9"/>
            <color indexed="81"/>
            <rFont val="Tahoma"/>
            <family val="2"/>
          </rPr>
          <t>John:</t>
        </r>
        <r>
          <rPr>
            <sz val="9"/>
            <color indexed="81"/>
            <rFont val="Tahoma"/>
            <family val="2"/>
          </rPr>
          <t xml:space="preserve">
Assuming this is about the same as 2001_Ker
</t>
        </r>
      </text>
    </comment>
    <comment ref="S175" authorId="0" shapeId="0" xr:uid="{00000000-0006-0000-0000-0000E7000000}">
      <text>
        <r>
          <rPr>
            <b/>
            <sz val="9"/>
            <color indexed="81"/>
            <rFont val="Tahoma"/>
            <family val="2"/>
          </rPr>
          <t>John:</t>
        </r>
        <r>
          <rPr>
            <sz val="9"/>
            <color indexed="81"/>
            <rFont val="Tahoma"/>
            <family val="2"/>
          </rPr>
          <t xml:space="preserve">
=89.2%*83/(83+52)
+75.0%*52/(83+52)
married under 21 years old.</t>
        </r>
      </text>
    </comment>
    <comment ref="T175" authorId="0" shapeId="0" xr:uid="{00000000-0006-0000-0000-0000E8000000}">
      <text>
        <r>
          <rPr>
            <b/>
            <sz val="9"/>
            <color indexed="81"/>
            <rFont val="Tahoma"/>
            <family val="2"/>
          </rPr>
          <t>John:</t>
        </r>
        <r>
          <rPr>
            <sz val="9"/>
            <color indexed="81"/>
            <rFont val="Tahoma"/>
            <family val="2"/>
          </rPr>
          <t xml:space="preserve">
John Simister assumed 'greater than 5 years' meant an average of 12 years.</t>
        </r>
      </text>
    </comment>
    <comment ref="X175" authorId="0" shapeId="0" xr:uid="{00000000-0006-0000-0000-0000E9000000}">
      <text>
        <r>
          <rPr>
            <b/>
            <sz val="9"/>
            <color indexed="81"/>
            <rFont val="Tahoma"/>
            <family val="2"/>
          </rPr>
          <t>John:</t>
        </r>
        <r>
          <rPr>
            <sz val="9"/>
            <color indexed="81"/>
            <rFont val="Tahoma"/>
            <family val="2"/>
          </rPr>
          <t xml:space="preserve">
In DHS 2006 survey, 6.86 is average for Maharasthra slum-dwellers.</t>
        </r>
      </text>
    </comment>
    <comment ref="BA175" authorId="0" shapeId="0" xr:uid="{00000000-0006-0000-0000-0000EA000000}">
      <text>
        <r>
          <rPr>
            <b/>
            <sz val="9"/>
            <color indexed="81"/>
            <rFont val="Tahoma"/>
            <family val="2"/>
          </rPr>
          <t>John:</t>
        </r>
        <r>
          <rPr>
            <sz val="9"/>
            <color indexed="81"/>
            <rFont val="Tahoma"/>
            <family val="2"/>
          </rPr>
          <t xml:space="preserve">
"using a weapon/object"</t>
        </r>
      </text>
    </comment>
    <comment ref="BO175" authorId="0" shapeId="0" xr:uid="{00000000-0006-0000-0000-0000EB000000}">
      <text>
        <r>
          <rPr>
            <b/>
            <sz val="9"/>
            <color indexed="81"/>
            <rFont val="Tahoma"/>
            <family val="2"/>
          </rPr>
          <t>John:</t>
        </r>
        <r>
          <rPr>
            <sz val="9"/>
            <color indexed="81"/>
            <rFont val="Tahoma"/>
            <family val="2"/>
          </rPr>
          <t xml:space="preserve">
65.2% reported "Non-consensual sex"</t>
        </r>
      </text>
    </comment>
    <comment ref="X176" authorId="0" shapeId="0" xr:uid="{00000000-0006-0000-0000-0000EC000000}">
      <text>
        <r>
          <rPr>
            <b/>
            <sz val="9"/>
            <color indexed="81"/>
            <rFont val="Tahoma"/>
            <family val="2"/>
          </rPr>
          <t>John:</t>
        </r>
        <r>
          <rPr>
            <sz val="9"/>
            <color indexed="81"/>
            <rFont val="Tahoma"/>
            <family val="2"/>
          </rPr>
          <t xml:space="preserve">
18.3% illiterate;
70.0% educated to middle level and above (John Simister assumes average of 12 years);
11.7% remaining (John assumes primary school).</t>
        </r>
      </text>
    </comment>
    <comment ref="I177" authorId="0" shapeId="0" xr:uid="{00000000-0006-0000-0000-0000ED000000}">
      <text>
        <r>
          <rPr>
            <b/>
            <sz val="9"/>
            <color indexed="81"/>
            <rFont val="Tahoma"/>
            <family val="2"/>
          </rPr>
          <t>John:</t>
        </r>
        <r>
          <rPr>
            <sz val="9"/>
            <color indexed="81"/>
            <rFont val="Tahoma"/>
            <family val="2"/>
          </rPr>
          <t xml:space="preserve">
Interviewing began October 2004, and lasted 6 months.</t>
        </r>
      </text>
    </comment>
    <comment ref="T177" authorId="0" shapeId="0" xr:uid="{00000000-0006-0000-0000-0000EE000000}">
      <text>
        <r>
          <rPr>
            <b/>
            <sz val="9"/>
            <color indexed="81"/>
            <rFont val="Tahoma"/>
            <family val="2"/>
          </rPr>
          <t>John:</t>
        </r>
        <r>
          <rPr>
            <sz val="9"/>
            <color indexed="81"/>
            <rFont val="Tahoma"/>
            <family val="2"/>
          </rPr>
          <t xml:space="preserve">
332 women married '10 plus years'; John Simister assumed they'd been married 11 years, but the true figure is sure to be higher.</t>
        </r>
      </text>
    </comment>
    <comment ref="X177" authorId="0" shapeId="0" xr:uid="{00000000-0006-0000-0000-0000EF000000}">
      <text>
        <r>
          <rPr>
            <b/>
            <sz val="9"/>
            <color indexed="81"/>
            <rFont val="Tahoma"/>
            <family val="2"/>
          </rPr>
          <t>John:</t>
        </r>
        <r>
          <rPr>
            <sz val="9"/>
            <color indexed="81"/>
            <rFont val="Tahoma"/>
            <family val="2"/>
          </rPr>
          <t xml:space="preserve">
Wife's education isn't reported.
</t>
        </r>
      </text>
    </comment>
    <comment ref="AL177" authorId="0" shapeId="0" xr:uid="{00000000-0006-0000-0000-0000F0000000}">
      <text>
        <r>
          <rPr>
            <b/>
            <sz val="9"/>
            <color indexed="81"/>
            <rFont val="Tahoma"/>
            <family val="2"/>
          </rPr>
          <t>John:</t>
        </r>
        <r>
          <rPr>
            <sz val="9"/>
            <color indexed="81"/>
            <rFont val="Tahoma"/>
            <family val="2"/>
          </rPr>
          <t xml:space="preserve">
sharp weapon used.</t>
        </r>
      </text>
    </comment>
    <comment ref="BB177" authorId="0" shapeId="0" xr:uid="{00000000-0006-0000-0000-0000F1000000}">
      <text>
        <r>
          <rPr>
            <b/>
            <sz val="9"/>
            <color indexed="81"/>
            <rFont val="Tahoma"/>
            <family val="2"/>
          </rPr>
          <t>John:</t>
        </r>
        <r>
          <rPr>
            <sz val="9"/>
            <color indexed="81"/>
            <rFont val="Tahoma"/>
            <family val="2"/>
          </rPr>
          <t xml:space="preserve">
Blunt weapon used.
It's not clear if this is 5.3% of women, or 5.3% of injured women.</t>
        </r>
      </text>
    </comment>
    <comment ref="BJ177" authorId="0" shapeId="0" xr:uid="{00000000-0006-0000-0000-0000F2000000}">
      <text>
        <r>
          <rPr>
            <b/>
            <sz val="9"/>
            <color indexed="81"/>
            <rFont val="Tahoma"/>
            <family val="2"/>
          </rPr>
          <t>John:</t>
        </r>
        <r>
          <rPr>
            <sz val="9"/>
            <color indexed="81"/>
            <rFont val="Tahoma"/>
            <family val="2"/>
          </rPr>
          <t xml:space="preserve">
In the past year have you ever been physically assaulted by your husband?</t>
        </r>
      </text>
    </comment>
    <comment ref="I178" authorId="0" shapeId="0" xr:uid="{00000000-0006-0000-0000-0000F3000000}">
      <text>
        <r>
          <rPr>
            <b/>
            <sz val="9"/>
            <color indexed="81"/>
            <rFont val="Tahoma"/>
            <family val="2"/>
          </rPr>
          <t>John:</t>
        </r>
        <r>
          <rPr>
            <sz val="9"/>
            <color indexed="81"/>
            <rFont val="Tahoma"/>
            <family val="2"/>
          </rPr>
          <t xml:space="preserve">
Date of fieldwork isn't stated.  2005 is estimated as year, by John Simister - based on 2006 as the year the paper by Varma et al was published online.</t>
        </r>
      </text>
    </comment>
    <comment ref="X178" authorId="0" shapeId="0" xr:uid="{00000000-0006-0000-0000-0000F4000000}">
      <text>
        <r>
          <rPr>
            <b/>
            <sz val="9"/>
            <color indexed="81"/>
            <rFont val="Tahoma"/>
            <family val="2"/>
          </rPr>
          <t>John:</t>
        </r>
        <r>
          <rPr>
            <sz val="9"/>
            <color indexed="81"/>
            <rFont val="Tahoma"/>
            <family val="2"/>
          </rPr>
          <t xml:space="preserve">
13% had no schooling;
76% had primary or high school education (John Simister assumes average of incomplete primary &amp; completed secondary);
10% had college education.</t>
        </r>
      </text>
    </comment>
    <comment ref="BN178" authorId="0" shapeId="0" xr:uid="{00000000-0006-0000-0000-0000F5000000}">
      <text>
        <r>
          <rPr>
            <b/>
            <sz val="9"/>
            <color indexed="81"/>
            <rFont val="Tahoma"/>
            <family val="2"/>
          </rPr>
          <t>John:</t>
        </r>
        <r>
          <rPr>
            <sz val="9"/>
            <color indexed="81"/>
            <rFont val="Tahoma"/>
            <family val="2"/>
          </rPr>
          <t xml:space="preserve">
“My partner demands sex whether I want it or not”</t>
        </r>
      </text>
    </comment>
    <comment ref="X179" authorId="0" shapeId="0" xr:uid="{00000000-0006-0000-0000-0000F6000000}">
      <text>
        <r>
          <rPr>
            <b/>
            <sz val="9"/>
            <color indexed="81"/>
            <rFont val="Tahoma"/>
            <family val="2"/>
          </rPr>
          <t>John:</t>
        </r>
        <r>
          <rPr>
            <sz val="9"/>
            <color indexed="81"/>
            <rFont val="Tahoma"/>
            <family val="2"/>
          </rPr>
          <t xml:space="preserve">
In Rathod et al (2011) Table 2:
55.4% had 0 - 6 years education;
44.6% had 7+ years (John Simister assumes they average 9.5 years,
from average of 7 and 15=college).</t>
        </r>
      </text>
    </comment>
    <comment ref="O180" authorId="0" shapeId="0" xr:uid="{00000000-0006-0000-0000-0000F7000000}">
      <text>
        <r>
          <rPr>
            <b/>
            <sz val="9"/>
            <color indexed="81"/>
            <rFont val="Tahoma"/>
            <family val="2"/>
          </rPr>
          <t>John:</t>
        </r>
        <r>
          <rPr>
            <sz val="9"/>
            <color indexed="81"/>
            <rFont val="Tahoma"/>
            <family val="2"/>
          </rPr>
          <t xml:space="preserve">
Initial sample was age 16-25 (Rathod et al, 2011: page 2440). Add 1 year for 12-month follow-up.
</t>
        </r>
      </text>
    </comment>
    <comment ref="X180" authorId="0" shapeId="0" xr:uid="{00000000-0006-0000-0000-0000F8000000}">
      <text>
        <r>
          <rPr>
            <b/>
            <sz val="9"/>
            <color indexed="81"/>
            <rFont val="Tahoma"/>
            <family val="2"/>
          </rPr>
          <t>John:</t>
        </r>
        <r>
          <rPr>
            <sz val="9"/>
            <color indexed="81"/>
            <rFont val="Tahoma"/>
            <family val="2"/>
          </rPr>
          <t xml:space="preserve">
In Rathod et al (2011) Table 2:
55.4% had 0 - 6 years education;
44.6% had 7+ years (John Simister assumes they average 9.5 years,
from average of 7 and 15=college).</t>
        </r>
      </text>
    </comment>
    <comment ref="BJ180" authorId="0" shapeId="0" xr:uid="{00000000-0006-0000-0000-0000F9000000}">
      <text>
        <r>
          <rPr>
            <b/>
            <sz val="9"/>
            <color indexed="81"/>
            <rFont val="Tahoma"/>
            <family val="2"/>
          </rPr>
          <t xml:space="preserve">John:
</t>
        </r>
        <r>
          <rPr>
            <sz val="9"/>
            <color indexed="81"/>
            <rFont val="Tahoma"/>
            <family val="2"/>
          </rPr>
          <t>Could use FTFI (31.3%) or ACASI (19.3%), or both.
"In the last six months have you been hit, kicked, or beaten by your husband for any reason?"</t>
        </r>
      </text>
    </comment>
    <comment ref="O181" authorId="0" shapeId="0" xr:uid="{00000000-0006-0000-0000-0000FA000000}">
      <text>
        <r>
          <rPr>
            <b/>
            <sz val="9"/>
            <color indexed="81"/>
            <rFont val="Tahoma"/>
            <family val="2"/>
          </rPr>
          <t>John:</t>
        </r>
        <r>
          <rPr>
            <sz val="9"/>
            <color indexed="81"/>
            <rFont val="Tahoma"/>
            <family val="2"/>
          </rPr>
          <t xml:space="preserve">
Initial sample was age 16-25 (Rathod et al, 2011: page 2440). Add 2 years for 24-month follow-up.
</t>
        </r>
      </text>
    </comment>
    <comment ref="X181" authorId="0" shapeId="0" xr:uid="{00000000-0006-0000-0000-0000FB000000}">
      <text>
        <r>
          <rPr>
            <b/>
            <sz val="9"/>
            <color indexed="81"/>
            <rFont val="Tahoma"/>
            <family val="2"/>
          </rPr>
          <t>John:</t>
        </r>
        <r>
          <rPr>
            <sz val="9"/>
            <color indexed="81"/>
            <rFont val="Tahoma"/>
            <family val="2"/>
          </rPr>
          <t xml:space="preserve">
In Rathod et al (2011) Table 2:
55.4% had 0 - 6 years education;
44.6% had 7+ years (John Simister assumes they average 9.5 years,
from average of 7 and 15=college).</t>
        </r>
      </text>
    </comment>
    <comment ref="BJ181" authorId="0" shapeId="0" xr:uid="{00000000-0006-0000-0000-0000FC000000}">
      <text>
        <r>
          <rPr>
            <b/>
            <sz val="9"/>
            <color indexed="81"/>
            <rFont val="Tahoma"/>
            <family val="2"/>
          </rPr>
          <t>John:</t>
        </r>
        <r>
          <rPr>
            <sz val="9"/>
            <color indexed="81"/>
            <rFont val="Tahoma"/>
            <family val="2"/>
          </rPr>
          <t xml:space="preserve">
Could use FTFI (29.8%) or ACASI (22.6%), or both.
"In the last six months have you been hit, kicked, or beaten by your husband for any reason?"</t>
        </r>
      </text>
    </comment>
    <comment ref="I182" authorId="0" shapeId="0" xr:uid="{00000000-0006-0000-0000-0000FD000000}">
      <text>
        <r>
          <rPr>
            <b/>
            <sz val="9"/>
            <color indexed="81"/>
            <rFont val="Tahoma"/>
            <family val="2"/>
          </rPr>
          <t>John:</t>
        </r>
        <r>
          <rPr>
            <sz val="9"/>
            <color indexed="81"/>
            <rFont val="Tahoma"/>
            <family val="2"/>
          </rPr>
          <t xml:space="preserve">
Date unclear.</t>
        </r>
      </text>
    </comment>
    <comment ref="M182" authorId="0" shapeId="0" xr:uid="{00000000-0006-0000-0000-0000FE000000}">
      <text>
        <r>
          <rPr>
            <b/>
            <sz val="9"/>
            <color indexed="81"/>
            <rFont val="Tahoma"/>
            <family val="2"/>
          </rPr>
          <t>John:</t>
        </r>
        <r>
          <rPr>
            <sz val="9"/>
            <color indexed="81"/>
            <rFont val="Tahoma"/>
            <family val="2"/>
          </rPr>
          <t xml:space="preserve">
96% married; 
1.8% divorced.</t>
        </r>
      </text>
    </comment>
    <comment ref="U182" authorId="0" shapeId="0" xr:uid="{00000000-0006-0000-0000-0000FF000000}">
      <text>
        <r>
          <rPr>
            <b/>
            <sz val="9"/>
            <color indexed="81"/>
            <rFont val="Tahoma"/>
            <family val="2"/>
          </rPr>
          <t>John:</t>
        </r>
        <r>
          <rPr>
            <sz val="9"/>
            <color indexed="81"/>
            <rFont val="Tahoma"/>
            <family val="2"/>
          </rPr>
          <t xml:space="preserve">
Because not every woman answered every question, the numbers of responses received are not the same for each answer.</t>
        </r>
      </text>
    </comment>
    <comment ref="AM182" authorId="0" shapeId="0" xr:uid="{00000000-0006-0000-0000-000000010000}">
      <text>
        <r>
          <rPr>
            <b/>
            <sz val="9"/>
            <color indexed="81"/>
            <rFont val="Tahoma"/>
            <family val="2"/>
          </rPr>
          <t>John:</t>
        </r>
        <r>
          <rPr>
            <sz val="9"/>
            <color indexed="81"/>
            <rFont val="Tahoma"/>
            <family val="2"/>
          </rPr>
          <t xml:space="preserve">
slap/push combined;
use DHS 2006 data to estimate slap prevalence alone.</t>
        </r>
      </text>
    </comment>
    <comment ref="AQ182" authorId="0" shapeId="0" xr:uid="{00000000-0006-0000-0000-000001010000}">
      <text>
        <r>
          <rPr>
            <b/>
            <sz val="9"/>
            <color indexed="81"/>
            <rFont val="Tahoma"/>
            <family val="2"/>
          </rPr>
          <t>John:</t>
        </r>
        <r>
          <rPr>
            <sz val="9"/>
            <color indexed="81"/>
            <rFont val="Tahoma"/>
            <family val="2"/>
          </rPr>
          <t xml:space="preserve">
slap/push combined;
use DHS 2006 data to estimate push prevalence alone.</t>
        </r>
      </text>
    </comment>
    <comment ref="AS182" authorId="0" shapeId="0" xr:uid="{00000000-0006-0000-0000-000002010000}">
      <text>
        <r>
          <rPr>
            <b/>
            <sz val="9"/>
            <color indexed="81"/>
            <rFont val="Tahoma"/>
            <family val="2"/>
          </rPr>
          <t xml:space="preserve">John:
</t>
        </r>
        <r>
          <rPr>
            <sz val="9"/>
            <color indexed="81"/>
            <rFont val="Tahoma"/>
            <family val="2"/>
          </rPr>
          <t>46 women report kick/punch combined.
Use DHS 2006 to estimate kick and punch separately.</t>
        </r>
      </text>
    </comment>
    <comment ref="AU182" authorId="0" shapeId="0" xr:uid="{00000000-0006-0000-0000-000003010000}">
      <text>
        <r>
          <rPr>
            <b/>
            <sz val="9"/>
            <color indexed="81"/>
            <rFont val="Tahoma"/>
            <family val="2"/>
          </rPr>
          <t xml:space="preserve">John:
</t>
        </r>
        <r>
          <rPr>
            <sz val="9"/>
            <color indexed="81"/>
            <rFont val="Tahoma"/>
            <family val="2"/>
          </rPr>
          <t>46 women report kick/punch combined.
Use DHS 2006 to estimate kick and punch separately.</t>
        </r>
      </text>
    </comment>
    <comment ref="BA182" authorId="0" shapeId="0" xr:uid="{00000000-0006-0000-0000-000004010000}">
      <text>
        <r>
          <rPr>
            <b/>
            <sz val="9"/>
            <color indexed="81"/>
            <rFont val="Tahoma"/>
            <family val="2"/>
          </rPr>
          <t xml:space="preserve">John:
</t>
        </r>
        <r>
          <rPr>
            <sz val="9"/>
            <color indexed="81"/>
            <rFont val="Tahoma"/>
            <family val="2"/>
          </rPr>
          <t>objects (knife, stick, etc)</t>
        </r>
      </text>
    </comment>
    <comment ref="BO182" authorId="0" shapeId="0" xr:uid="{00000000-0006-0000-0000-000005010000}">
      <text>
        <r>
          <rPr>
            <b/>
            <sz val="9"/>
            <color indexed="81"/>
            <rFont val="Tahoma"/>
            <family val="2"/>
          </rPr>
          <t>John:</t>
        </r>
        <r>
          <rPr>
            <sz val="9"/>
            <color indexed="81"/>
            <rFont val="Tahoma"/>
            <family val="2"/>
          </rPr>
          <t xml:space="preserve">
forced sexual activity</t>
        </r>
      </text>
    </comment>
    <comment ref="I183" authorId="0" shapeId="0" xr:uid="{00000000-0006-0000-0000-000006010000}">
      <text>
        <r>
          <rPr>
            <b/>
            <sz val="9"/>
            <color indexed="81"/>
            <rFont val="Tahoma"/>
            <family val="2"/>
          </rPr>
          <t>John:</t>
        </r>
        <r>
          <rPr>
            <sz val="9"/>
            <color indexed="81"/>
            <rFont val="Tahoma"/>
            <family val="2"/>
          </rPr>
          <t xml:space="preserve">
Date unclear.</t>
        </r>
      </text>
    </comment>
    <comment ref="X183" authorId="0" shapeId="0" xr:uid="{00000000-0006-0000-0000-000007010000}">
      <text>
        <r>
          <rPr>
            <b/>
            <sz val="9"/>
            <color indexed="81"/>
            <rFont val="Tahoma"/>
            <family val="2"/>
          </rPr>
          <t>John:</t>
        </r>
        <r>
          <rPr>
            <sz val="9"/>
            <color indexed="81"/>
            <rFont val="Tahoma"/>
            <family val="2"/>
          </rPr>
          <t xml:space="preserve">
1-4th grade;
5-8th grade;
9-12th grade;
undergrad/postgrad</t>
        </r>
      </text>
    </comment>
    <comment ref="BJ183" authorId="0" shapeId="0" xr:uid="{00000000-0006-0000-0000-000008010000}">
      <text>
        <r>
          <rPr>
            <b/>
            <sz val="9"/>
            <color indexed="81"/>
            <rFont val="Tahoma"/>
            <family val="2"/>
          </rPr>
          <t>John:</t>
        </r>
        <r>
          <rPr>
            <sz val="9"/>
            <color indexed="81"/>
            <rFont val="Tahoma"/>
            <family val="2"/>
          </rPr>
          <t xml:space="preserve">
physically hurt, hit, slapped or
kicked at some time during their pregnancy</t>
        </r>
      </text>
    </comment>
    <comment ref="Q186" authorId="0" shapeId="0" xr:uid="{00000000-0006-0000-0000-000009010000}">
      <text>
        <r>
          <rPr>
            <b/>
            <sz val="9"/>
            <color indexed="81"/>
            <rFont val="Tahoma"/>
            <family val="2"/>
          </rPr>
          <t>John:</t>
        </r>
        <r>
          <rPr>
            <sz val="9"/>
            <color indexed="81"/>
            <rFont val="Tahoma"/>
            <family val="2"/>
          </rPr>
          <t xml:space="preserve">
59 is an estimate by John Simister; oldest age-group is over 50.</t>
        </r>
      </text>
    </comment>
    <comment ref="X186" authorId="0" shapeId="0" xr:uid="{00000000-0006-0000-0000-00000A010000}">
      <text>
        <r>
          <rPr>
            <b/>
            <sz val="9"/>
            <color indexed="81"/>
            <rFont val="Tahoma"/>
            <family val="2"/>
          </rPr>
          <t>John:</t>
        </r>
        <r>
          <rPr>
            <sz val="9"/>
            <color indexed="81"/>
            <rFont val="Tahoma"/>
            <family val="2"/>
          </rPr>
          <t xml:space="preserve">
39 illiterate;
15 below primary;
45 primary;
18 middle school;
24 secondary &amp; above (John Simiser assumed 12 years).</t>
        </r>
      </text>
    </comment>
    <comment ref="BB186" authorId="0" shapeId="0" xr:uid="{00000000-0006-0000-0000-00000B010000}">
      <text>
        <r>
          <rPr>
            <b/>
            <sz val="9"/>
            <color indexed="81"/>
            <rFont val="Tahoma"/>
            <family val="2"/>
          </rPr>
          <t>John:</t>
        </r>
        <r>
          <rPr>
            <sz val="9"/>
            <color indexed="81"/>
            <rFont val="Tahoma"/>
            <family val="2"/>
          </rPr>
          <t xml:space="preserve">
beating with a stick or rod</t>
        </r>
      </text>
    </comment>
    <comment ref="U187" authorId="0" shapeId="0" xr:uid="{00000000-0006-0000-0000-00000C010000}">
      <text>
        <r>
          <rPr>
            <b/>
            <sz val="9"/>
            <color indexed="81"/>
            <rFont val="Tahoma"/>
            <family val="2"/>
          </rPr>
          <t>John:</t>
        </r>
        <r>
          <rPr>
            <sz val="9"/>
            <color indexed="81"/>
            <rFont val="Tahoma"/>
            <family val="2"/>
          </rPr>
          <t xml:space="preserve">
This is from Table 2</t>
        </r>
      </text>
    </comment>
    <comment ref="X187" authorId="0" shapeId="0" xr:uid="{00000000-0006-0000-0000-00000D010000}">
      <text>
        <r>
          <rPr>
            <b/>
            <sz val="9"/>
            <color indexed="81"/>
            <rFont val="Tahoma"/>
            <family val="2"/>
          </rPr>
          <t>John:</t>
        </r>
        <r>
          <rPr>
            <sz val="9"/>
            <color indexed="81"/>
            <rFont val="Tahoma"/>
            <family val="2"/>
          </rPr>
          <t xml:space="preserve">
Education isn't reported in this paper.
In DHS 2006, the average is 5.197 years for women.</t>
        </r>
      </text>
    </comment>
    <comment ref="BJ187" authorId="0" shapeId="0" xr:uid="{00000000-0006-0000-0000-00000E010000}">
      <text>
        <r>
          <rPr>
            <b/>
            <sz val="9"/>
            <color indexed="81"/>
            <rFont val="Tahoma"/>
            <family val="2"/>
          </rPr>
          <t>John:</t>
        </r>
        <r>
          <rPr>
            <sz val="9"/>
            <color indexed="81"/>
            <rFont val="Tahoma"/>
            <family val="2"/>
          </rPr>
          <t xml:space="preserve">
From page 2979.
</t>
        </r>
      </text>
    </comment>
    <comment ref="BS187" authorId="0" shapeId="0" xr:uid="{00000000-0006-0000-0000-00000F010000}">
      <text>
        <r>
          <rPr>
            <b/>
            <sz val="9"/>
            <color indexed="81"/>
            <rFont val="Tahoma"/>
            <family val="2"/>
          </rPr>
          <t>John:</t>
        </r>
        <r>
          <rPr>
            <sz val="9"/>
            <color indexed="81"/>
            <rFont val="Tahoma"/>
            <family val="2"/>
          </rPr>
          <t xml:space="preserve">
This is 'non-sexual violence', which includes psychological and physical violence.</t>
        </r>
      </text>
    </comment>
    <comment ref="B188" authorId="0" shapeId="0" xr:uid="{00000000-0006-0000-0000-000010010000}">
      <text>
        <r>
          <rPr>
            <b/>
            <sz val="9"/>
            <color indexed="81"/>
            <rFont val="Tahoma"/>
            <family val="2"/>
          </rPr>
          <t>John:</t>
        </r>
        <r>
          <rPr>
            <sz val="9"/>
            <color indexed="81"/>
            <rFont val="Tahoma"/>
            <family val="2"/>
          </rPr>
          <t xml:space="preserve">
2006 DHS
analysed by JGS
</t>
        </r>
      </text>
    </comment>
    <comment ref="J188" authorId="0" shapeId="0" xr:uid="{00000000-0006-0000-0000-000011010000}">
      <text>
        <r>
          <rPr>
            <b/>
            <sz val="9"/>
            <color indexed="81"/>
            <rFont val="Tahoma"/>
            <family val="2"/>
          </rPr>
          <t>John:</t>
        </r>
        <r>
          <rPr>
            <sz val="9"/>
            <color indexed="81"/>
            <rFont val="Tahoma"/>
            <family val="2"/>
          </rPr>
          <t xml:space="preserve">
About 94% of interviews were in 2006.</t>
        </r>
      </text>
    </comment>
    <comment ref="BW188" authorId="0" shapeId="0" xr:uid="{00000000-0006-0000-0000-000012010000}">
      <text>
        <r>
          <rPr>
            <b/>
            <sz val="9"/>
            <color indexed="81"/>
            <rFont val="Tahoma"/>
            <family val="2"/>
          </rPr>
          <t>John:</t>
        </r>
        <r>
          <rPr>
            <sz val="9"/>
            <color indexed="81"/>
            <rFont val="Tahoma"/>
            <family val="2"/>
          </rPr>
          <t xml:space="preserve">
Could adjust DHS data, to take account of violence from other family.</t>
        </r>
      </text>
    </comment>
    <comment ref="V189" authorId="0" shapeId="0" xr:uid="{00000000-0006-0000-0000-000013010000}">
      <text>
        <r>
          <rPr>
            <b/>
            <sz val="9"/>
            <color indexed="81"/>
            <rFont val="Tahoma"/>
            <family val="2"/>
          </rPr>
          <t>John:</t>
        </r>
        <r>
          <rPr>
            <sz val="9"/>
            <color indexed="81"/>
            <rFont val="Tahoma"/>
            <family val="2"/>
          </rPr>
          <t xml:space="preserve">
In a clinic, yes; but not women seeking healthcare for themselves.</t>
        </r>
      </text>
    </comment>
    <comment ref="BI189" authorId="0" shapeId="0" xr:uid="{00000000-0006-0000-0000-000014010000}">
      <text>
        <r>
          <rPr>
            <b/>
            <sz val="9"/>
            <color indexed="81"/>
            <rFont val="Tahoma"/>
            <family val="2"/>
          </rPr>
          <t>John:</t>
        </r>
        <r>
          <rPr>
            <sz val="9"/>
            <color indexed="81"/>
            <rFont val="Tahoma"/>
            <family val="2"/>
          </rPr>
          <t xml:space="preserve">
Does your husband ever hit or beat you?</t>
        </r>
      </text>
    </comment>
    <comment ref="I190" authorId="0" shapeId="0" xr:uid="{00000000-0006-0000-0000-000015010000}">
      <text>
        <r>
          <rPr>
            <b/>
            <sz val="9"/>
            <color indexed="81"/>
            <rFont val="Tahoma"/>
            <family val="2"/>
          </rPr>
          <t>John:</t>
        </r>
        <r>
          <rPr>
            <sz val="9"/>
            <color indexed="81"/>
            <rFont val="Tahoma"/>
            <family val="2"/>
          </rPr>
          <t xml:space="preserve">
Fieldwork January 2006 to April 2008</t>
        </r>
      </text>
    </comment>
    <comment ref="M190" authorId="0" shapeId="0" xr:uid="{00000000-0006-0000-0000-000016010000}">
      <text>
        <r>
          <rPr>
            <b/>
            <sz val="9"/>
            <color indexed="81"/>
            <rFont val="Tahoma"/>
            <family val="2"/>
          </rPr>
          <t>John:</t>
        </r>
        <r>
          <rPr>
            <sz val="9"/>
            <color indexed="81"/>
            <rFont val="Tahoma"/>
            <family val="2"/>
          </rPr>
          <t xml:space="preserve">
includes married or cohabiting</t>
        </r>
      </text>
    </comment>
    <comment ref="X190" authorId="0" shapeId="0" xr:uid="{00000000-0006-0000-0000-000017010000}">
      <text>
        <r>
          <rPr>
            <b/>
            <sz val="9"/>
            <color indexed="81"/>
            <rFont val="Tahoma"/>
            <family val="2"/>
          </rPr>
          <t>John:</t>
        </r>
        <r>
          <rPr>
            <sz val="9"/>
            <color indexed="81"/>
            <rFont val="Tahoma"/>
            <family val="2"/>
          </rPr>
          <t xml:space="preserve">
This is the median (from Table 3.1), not the mean.
22.4% are still in college.</t>
        </r>
      </text>
    </comment>
    <comment ref="I191" authorId="0" shapeId="0" xr:uid="{00000000-0006-0000-0000-000018010000}">
      <text>
        <r>
          <rPr>
            <b/>
            <sz val="9"/>
            <color indexed="81"/>
            <rFont val="Tahoma"/>
            <family val="2"/>
          </rPr>
          <t>John:</t>
        </r>
        <r>
          <rPr>
            <sz val="9"/>
            <color indexed="81"/>
            <rFont val="Tahoma"/>
            <family val="2"/>
          </rPr>
          <t xml:space="preserve">
Fieldwork January 2006 to April 2008</t>
        </r>
      </text>
    </comment>
    <comment ref="O191" authorId="0" shapeId="0" xr:uid="{00000000-0006-0000-0000-000019010000}">
      <text>
        <r>
          <rPr>
            <b/>
            <sz val="9"/>
            <color indexed="81"/>
            <rFont val="Tahoma"/>
            <family val="2"/>
          </rPr>
          <t>John:</t>
        </r>
        <r>
          <rPr>
            <sz val="9"/>
            <color indexed="81"/>
            <rFont val="Tahoma"/>
            <family val="2"/>
          </rPr>
          <t xml:space="preserve">
men are ages 15 to 29.</t>
        </r>
      </text>
    </comment>
    <comment ref="R191" authorId="0" shapeId="0" xr:uid="{00000000-0006-0000-0000-00001A010000}">
      <text>
        <r>
          <rPr>
            <b/>
            <sz val="9"/>
            <color indexed="81"/>
            <rFont val="Tahoma"/>
            <family val="2"/>
          </rPr>
          <t>John:</t>
        </r>
        <r>
          <rPr>
            <sz val="9"/>
            <color indexed="81"/>
            <rFont val="Tahoma"/>
            <family val="2"/>
          </rPr>
          <t xml:space="preserve">
Assuming wives' average age is similar ro the female sample.</t>
        </r>
      </text>
    </comment>
    <comment ref="X191" authorId="0" shapeId="0" xr:uid="{00000000-0006-0000-0000-00001B010000}">
      <text>
        <r>
          <rPr>
            <b/>
            <sz val="9"/>
            <color indexed="81"/>
            <rFont val="Tahoma"/>
            <family val="2"/>
          </rPr>
          <t>John:</t>
        </r>
        <r>
          <rPr>
            <sz val="9"/>
            <color indexed="81"/>
            <rFont val="Tahoma"/>
            <family val="2"/>
          </rPr>
          <t xml:space="preserve">
Assuming the average education of men's wives is the same as the female sample.</t>
        </r>
      </text>
    </comment>
    <comment ref="M194" authorId="0" shapeId="0" xr:uid="{00000000-0006-0000-0000-00001C010000}">
      <text>
        <r>
          <rPr>
            <b/>
            <sz val="9"/>
            <color indexed="81"/>
            <rFont val="Tahoma"/>
            <family val="2"/>
          </rPr>
          <t>John:</t>
        </r>
        <r>
          <rPr>
            <sz val="9"/>
            <color indexed="81"/>
            <rFont val="Tahoma"/>
            <family val="2"/>
          </rPr>
          <t xml:space="preserve">
Data on this row are for women respondents; the chapter also has data from male respondents.</t>
        </r>
      </text>
    </comment>
    <comment ref="X194" authorId="0" shapeId="0" xr:uid="{00000000-0006-0000-0000-00001D010000}">
      <text>
        <r>
          <rPr>
            <b/>
            <sz val="9"/>
            <color indexed="81"/>
            <rFont val="Tahoma"/>
            <family val="2"/>
          </rPr>
          <t>John:</t>
        </r>
        <r>
          <rPr>
            <sz val="9"/>
            <color indexed="81"/>
            <rFont val="Tahoma"/>
            <family val="2"/>
          </rPr>
          <t xml:space="preserve">
17.3% no schooling
39.1% 1-8 years school
43.9% over 8 years (John Simister assumed they average 12 years).
</t>
        </r>
      </text>
    </comment>
    <comment ref="BJ194" authorId="0" shapeId="0" xr:uid="{00000000-0006-0000-0000-00001E010000}">
      <text>
        <r>
          <rPr>
            <b/>
            <sz val="9"/>
            <color indexed="81"/>
            <rFont val="Tahoma"/>
            <family val="2"/>
          </rPr>
          <t>John:</t>
        </r>
        <r>
          <rPr>
            <sz val="9"/>
            <color indexed="81"/>
            <rFont val="Tahoma"/>
            <family val="2"/>
          </rPr>
          <t xml:space="preserve">
21.3% of women had been 'abused'.
</t>
        </r>
      </text>
    </comment>
    <comment ref="BM194" authorId="0" shapeId="0" xr:uid="{00000000-0006-0000-0000-00001F010000}">
      <text>
        <r>
          <rPr>
            <b/>
            <sz val="9"/>
            <color indexed="81"/>
            <rFont val="Tahoma"/>
            <family val="2"/>
          </rPr>
          <t>John:</t>
        </r>
        <r>
          <rPr>
            <sz val="9"/>
            <color indexed="81"/>
            <rFont val="Tahoma"/>
            <family val="2"/>
          </rPr>
          <t xml:space="preserve">
Table 4 on page 13 suggests (7.2+29.5)% of women had experienced forced sex. This may refer to last 12 months.</t>
        </r>
      </text>
    </comment>
    <comment ref="BW194" authorId="0" shapeId="0" xr:uid="{00000000-0006-0000-0000-000020010000}">
      <text>
        <r>
          <rPr>
            <b/>
            <sz val="9"/>
            <color indexed="81"/>
            <rFont val="Tahoma"/>
            <family val="2"/>
          </rPr>
          <t>John:</t>
        </r>
        <r>
          <rPr>
            <sz val="9"/>
            <color indexed="81"/>
            <rFont val="Tahoma"/>
            <family val="2"/>
          </rPr>
          <t xml:space="preserve">
51.8% of women who had been abused, were abused by husband.</t>
        </r>
      </text>
    </comment>
    <comment ref="I195" authorId="0" shapeId="0" xr:uid="{00000000-0006-0000-0000-000021010000}">
      <text>
        <r>
          <rPr>
            <b/>
            <sz val="9"/>
            <color indexed="81"/>
            <rFont val="Tahoma"/>
            <family val="2"/>
          </rPr>
          <t>John:</t>
        </r>
        <r>
          <rPr>
            <sz val="9"/>
            <color indexed="81"/>
            <rFont val="Tahoma"/>
            <family val="2"/>
          </rPr>
          <t xml:space="preserve">
Date of fieldwork isn't reported in jnl article. But the additional file on the website implies (in John Simister's view) fieldwork seems to have occurred in 2008.
</t>
        </r>
      </text>
    </comment>
    <comment ref="BJ195" authorId="0" shapeId="0" xr:uid="{00000000-0006-0000-0000-000022010000}">
      <text>
        <r>
          <rPr>
            <b/>
            <sz val="9"/>
            <color indexed="81"/>
            <rFont val="Tahoma"/>
            <family val="2"/>
          </rPr>
          <t>John:</t>
        </r>
        <r>
          <rPr>
            <sz val="9"/>
            <color indexed="81"/>
            <rFont val="Tahoma"/>
            <family val="2"/>
          </rPr>
          <t xml:space="preserve">
This prevalence rate may have been reduced by the intervention.</t>
        </r>
      </text>
    </comment>
    <comment ref="L196" authorId="0" shapeId="0" xr:uid="{00000000-0006-0000-0000-000023010000}">
      <text>
        <r>
          <rPr>
            <b/>
            <sz val="9"/>
            <color indexed="81"/>
            <rFont val="Tahoma"/>
            <family val="2"/>
          </rPr>
          <t>John:</t>
        </r>
        <r>
          <rPr>
            <sz val="9"/>
            <color indexed="81"/>
            <rFont val="Tahoma"/>
            <family val="2"/>
          </rPr>
          <t xml:space="preserve">
Mechanism for Relations of Domestic Violence to Poor Maternal and Infant Health</t>
        </r>
      </text>
    </comment>
    <comment ref="S196" authorId="0" shapeId="0" xr:uid="{00000000-0006-0000-0000-000024010000}">
      <text>
        <r>
          <rPr>
            <b/>
            <sz val="9"/>
            <color indexed="81"/>
            <rFont val="Tahoma"/>
            <family val="2"/>
          </rPr>
          <t>John:</t>
        </r>
        <r>
          <rPr>
            <sz val="9"/>
            <color indexed="81"/>
            <rFont val="Tahoma"/>
            <family val="2"/>
          </rPr>
          <t xml:space="preserve">
32% got married when under 18 years old.
</t>
        </r>
      </text>
    </comment>
    <comment ref="V196" authorId="0" shapeId="0" xr:uid="{00000000-0006-0000-0000-000025010000}">
      <text>
        <r>
          <rPr>
            <b/>
            <sz val="9"/>
            <color indexed="81"/>
            <rFont val="Tahoma"/>
            <family val="2"/>
          </rPr>
          <t>John:</t>
        </r>
        <r>
          <rPr>
            <sz val="9"/>
            <color indexed="81"/>
            <rFont val="Tahoma"/>
            <family val="2"/>
          </rPr>
          <t xml:space="preserve">
In a clinic, yes; but not women seeking healthcare for themselves.</t>
        </r>
      </text>
    </comment>
    <comment ref="X196" authorId="0" shapeId="0" xr:uid="{00000000-0006-0000-0000-000026010000}">
      <text>
        <r>
          <rPr>
            <b/>
            <sz val="9"/>
            <color indexed="81"/>
            <rFont val="Tahoma"/>
            <family val="2"/>
          </rPr>
          <t>John:</t>
        </r>
        <r>
          <rPr>
            <sz val="9"/>
            <color indexed="81"/>
            <rFont val="Tahoma"/>
            <family val="2"/>
          </rPr>
          <t xml:space="preserve">
15.7% of women had no formal education.</t>
        </r>
      </text>
    </comment>
    <comment ref="BJ196" authorId="0" shapeId="0" xr:uid="{00000000-0006-0000-0000-000027010000}">
      <text>
        <r>
          <rPr>
            <b/>
            <sz val="9"/>
            <color indexed="81"/>
            <rFont val="Tahoma"/>
            <family val="2"/>
          </rPr>
          <t xml:space="preserve">John:
</t>
        </r>
        <r>
          <rPr>
            <sz val="9"/>
            <color indexed="81"/>
            <rFont val="Tahoma"/>
            <family val="2"/>
          </rPr>
          <t>8.8% prevalence of 'Did your husband hit, push, kick, beat, or slap you?'</t>
        </r>
      </text>
    </comment>
    <comment ref="BR196" authorId="0" shapeId="0" xr:uid="{00000000-0006-0000-0000-000028010000}">
      <text>
        <r>
          <rPr>
            <b/>
            <sz val="9"/>
            <color indexed="81"/>
            <rFont val="Tahoma"/>
            <family val="2"/>
          </rPr>
          <t>John:</t>
        </r>
        <r>
          <rPr>
            <sz val="9"/>
            <color indexed="81"/>
            <rFont val="Tahoma"/>
            <family val="2"/>
          </rPr>
          <t xml:space="preserve">
This is from Raj et al (2011)</t>
        </r>
      </text>
    </comment>
    <comment ref="BU196" authorId="0" shapeId="0" xr:uid="{00000000-0006-0000-0000-000029010000}">
      <text>
        <r>
          <rPr>
            <b/>
            <sz val="9"/>
            <color indexed="81"/>
            <rFont val="Tahoma"/>
            <family val="2"/>
          </rPr>
          <t>John:</t>
        </r>
        <r>
          <rPr>
            <sz val="9"/>
            <color indexed="81"/>
            <rFont val="Tahoma"/>
            <family val="2"/>
          </rPr>
          <t xml:space="preserve">
Postpartum: 6 months or less.</t>
        </r>
      </text>
    </comment>
    <comment ref="I197" authorId="0" shapeId="0" xr:uid="{00000000-0006-0000-0000-00002A010000}">
      <text>
        <r>
          <rPr>
            <b/>
            <sz val="9"/>
            <color indexed="81"/>
            <rFont val="Tahoma"/>
            <family val="2"/>
          </rPr>
          <t>John:</t>
        </r>
        <r>
          <rPr>
            <sz val="9"/>
            <color indexed="81"/>
            <rFont val="Tahoma"/>
            <family val="2"/>
          </rPr>
          <t xml:space="preserve">
Recruitment occurred during all immunization hours from August to December 2008.</t>
        </r>
      </text>
    </comment>
    <comment ref="S197" authorId="0" shapeId="0" xr:uid="{00000000-0006-0000-0000-00002B010000}">
      <text>
        <r>
          <rPr>
            <b/>
            <sz val="9"/>
            <color indexed="81"/>
            <rFont val="Tahoma"/>
            <family val="2"/>
          </rPr>
          <t>John:</t>
        </r>
        <r>
          <rPr>
            <sz val="9"/>
            <color indexed="81"/>
            <rFont val="Tahoma"/>
            <family val="2"/>
          </rPr>
          <t xml:space="preserve">
32% got married when under 18 years old.
</t>
        </r>
      </text>
    </comment>
    <comment ref="V197" authorId="0" shapeId="0" xr:uid="{00000000-0006-0000-0000-00002C010000}">
      <text>
        <r>
          <rPr>
            <b/>
            <sz val="9"/>
            <color indexed="81"/>
            <rFont val="Tahoma"/>
            <family val="2"/>
          </rPr>
          <t>John:</t>
        </r>
        <r>
          <rPr>
            <sz val="9"/>
            <color indexed="81"/>
            <rFont val="Tahoma"/>
            <family val="2"/>
          </rPr>
          <t xml:space="preserve">
In a clinic, yes; but not women seeking healthcare for themselves.</t>
        </r>
      </text>
    </comment>
    <comment ref="X197" authorId="0" shapeId="0" xr:uid="{00000000-0006-0000-0000-00002D010000}">
      <text>
        <r>
          <rPr>
            <b/>
            <sz val="9"/>
            <color indexed="81"/>
            <rFont val="Tahoma"/>
            <family val="2"/>
          </rPr>
          <t>John:</t>
        </r>
        <r>
          <rPr>
            <sz val="9"/>
            <color indexed="81"/>
            <rFont val="Tahoma"/>
            <family val="2"/>
          </rPr>
          <t xml:space="preserve">
15.7% of women had no formal education.</t>
        </r>
      </text>
    </comment>
    <comment ref="BI197" authorId="0" shapeId="0" xr:uid="{00000000-0006-0000-0000-00002E010000}">
      <text>
        <r>
          <rPr>
            <b/>
            <sz val="9"/>
            <color indexed="81"/>
            <rFont val="Tahoma"/>
            <family val="2"/>
          </rPr>
          <t>John:</t>
        </r>
        <r>
          <rPr>
            <sz val="9"/>
            <color indexed="81"/>
            <rFont val="Tahoma"/>
            <family val="2"/>
          </rPr>
          <t xml:space="preserve">
In the year before pregnancy, or pregnancy, or period since pregnancy.
Treat this as approximation of lifetime GBV.</t>
        </r>
      </text>
    </comment>
    <comment ref="BJ197" authorId="0" shapeId="0" xr:uid="{00000000-0006-0000-0000-00002F010000}">
      <text>
        <r>
          <rPr>
            <b/>
            <sz val="9"/>
            <color indexed="81"/>
            <rFont val="Tahoma"/>
            <family val="2"/>
          </rPr>
          <t>John:</t>
        </r>
        <r>
          <rPr>
            <sz val="9"/>
            <color indexed="81"/>
            <rFont val="Tahoma"/>
            <family val="2"/>
          </rPr>
          <t xml:space="preserve">
4.3%+19.9% were hit during pregancy.</t>
        </r>
      </text>
    </comment>
    <comment ref="BX198" authorId="0" shapeId="0" xr:uid="{00000000-0006-0000-0000-000030010000}">
      <text>
        <r>
          <rPr>
            <b/>
            <sz val="9"/>
            <color indexed="81"/>
            <rFont val="Tahoma"/>
            <family val="2"/>
          </rPr>
          <t>John:</t>
        </r>
        <r>
          <rPr>
            <sz val="9"/>
            <color indexed="81"/>
            <rFont val="Tahoma"/>
            <family val="2"/>
          </rPr>
          <t xml:space="preserve">
"Approached legal aid cell/NGO"
It's not clear how many of these were reported to the police.</t>
        </r>
      </text>
    </comment>
    <comment ref="CF198" authorId="0" shapeId="0" xr:uid="{00000000-0006-0000-0000-000031010000}">
      <text>
        <r>
          <rPr>
            <b/>
            <sz val="9"/>
            <color indexed="81"/>
            <rFont val="Tahoma"/>
            <family val="2"/>
          </rPr>
          <t>John:</t>
        </r>
        <r>
          <rPr>
            <sz val="9"/>
            <color indexed="81"/>
            <rFont val="Tahoma"/>
            <family val="2"/>
          </rPr>
          <t xml:space="preserve">
94.3% say IPV justified if she has an extra-marital affair.</t>
        </r>
      </text>
    </comment>
    <comment ref="I199" authorId="0" shapeId="0" xr:uid="{00000000-0006-0000-0000-000032010000}">
      <text>
        <r>
          <rPr>
            <b/>
            <sz val="9"/>
            <color indexed="81"/>
            <rFont val="Tahoma"/>
            <family val="2"/>
          </rPr>
          <t>John:</t>
        </r>
        <r>
          <rPr>
            <sz val="9"/>
            <color indexed="81"/>
            <rFont val="Tahoma"/>
            <family val="2"/>
          </rPr>
          <t xml:space="preserve">
Date of survey isn't given. I use date about halfway between 2007 electoral roll (used for sampling), and date Nayak et al paper was received (2009).</t>
        </r>
      </text>
    </comment>
    <comment ref="X199" authorId="0" shapeId="0" xr:uid="{00000000-0006-0000-0000-000033010000}">
      <text>
        <r>
          <rPr>
            <b/>
            <sz val="9"/>
            <color indexed="81"/>
            <rFont val="Tahoma"/>
            <family val="2"/>
          </rPr>
          <t>John:</t>
        </r>
        <r>
          <rPr>
            <sz val="9"/>
            <color indexed="81"/>
            <rFont val="Tahoma"/>
            <family val="2"/>
          </rPr>
          <t xml:space="preserve">
43.4% no educ/didn't complete high school; 56.6% high school or more.</t>
        </r>
      </text>
    </comment>
    <comment ref="BJ199" authorId="0" shapeId="0" xr:uid="{00000000-0006-0000-0000-000034010000}">
      <text>
        <r>
          <rPr>
            <b/>
            <sz val="9"/>
            <color indexed="81"/>
            <rFont val="Tahoma"/>
            <family val="2"/>
          </rPr>
          <t>John:</t>
        </r>
        <r>
          <rPr>
            <sz val="9"/>
            <color indexed="81"/>
            <rFont val="Tahoma"/>
            <family val="2"/>
          </rPr>
          <t xml:space="preserve">
‘Has your partner slapped, hit, kicked, punched you or done something else that did or could have hurt you physically?’</t>
        </r>
      </text>
    </comment>
    <comment ref="CE199" authorId="0" shapeId="0" xr:uid="{00000000-0006-0000-0000-000035010000}">
      <text>
        <r>
          <rPr>
            <b/>
            <sz val="9"/>
            <color indexed="81"/>
            <rFont val="Tahoma"/>
            <family val="2"/>
          </rPr>
          <t>John:</t>
        </r>
        <r>
          <rPr>
            <sz val="9"/>
            <color indexed="81"/>
            <rFont val="Tahoma"/>
            <family val="2"/>
          </rPr>
          <t xml:space="preserve">
47.7% condone GBV, but the exact questions aren't clear: seem to be three of these questions.</t>
        </r>
      </text>
    </comment>
    <comment ref="I200" authorId="0" shapeId="0" xr:uid="{00000000-0006-0000-0000-000036010000}">
      <text>
        <r>
          <rPr>
            <b/>
            <sz val="9"/>
            <color indexed="81"/>
            <rFont val="Tahoma"/>
            <family val="2"/>
          </rPr>
          <t>John:</t>
        </r>
        <r>
          <rPr>
            <sz val="9"/>
            <color indexed="81"/>
            <rFont val="Tahoma"/>
            <family val="2"/>
          </rPr>
          <t xml:space="preserve">
Date of fieldwork isn't reported.  It was 
published in 2011.</t>
        </r>
      </text>
    </comment>
    <comment ref="U200" authorId="0" shapeId="0" xr:uid="{00000000-0006-0000-0000-000037010000}">
      <text>
        <r>
          <rPr>
            <b/>
            <sz val="9"/>
            <color indexed="81"/>
            <rFont val="Tahoma"/>
            <family val="2"/>
          </rPr>
          <t>John:</t>
        </r>
        <r>
          <rPr>
            <sz val="9"/>
            <color indexed="81"/>
            <rFont val="Tahoma"/>
            <family val="2"/>
          </rPr>
          <t xml:space="preserve">
This row just uses data from the 13% of the sample who don't live with their parents.</t>
        </r>
      </text>
    </comment>
    <comment ref="X200" authorId="0" shapeId="0" xr:uid="{00000000-0006-0000-0000-000038010000}">
      <text>
        <r>
          <rPr>
            <b/>
            <sz val="9"/>
            <color indexed="81"/>
            <rFont val="Tahoma"/>
            <family val="2"/>
          </rPr>
          <t>John:</t>
        </r>
        <r>
          <rPr>
            <sz val="9"/>
            <color indexed="81"/>
            <rFont val="Tahoma"/>
            <family val="2"/>
          </rPr>
          <t xml:space="preserve">
Education level not reported.</t>
        </r>
      </text>
    </comment>
    <comment ref="BJ200" authorId="0" shapeId="0" xr:uid="{00000000-0006-0000-0000-000039010000}">
      <text>
        <r>
          <rPr>
            <b/>
            <sz val="9"/>
            <color indexed="81"/>
            <rFont val="Tahoma"/>
            <family val="2"/>
          </rPr>
          <t>John:
Focusing on the fraction not living with parents.</t>
        </r>
        <r>
          <rPr>
            <sz val="9"/>
            <color indexed="81"/>
            <rFont val="Tahoma"/>
            <family val="2"/>
          </rPr>
          <t xml:space="preserve">
In the past 1 year did you push, grab, slap, hit, kick, punch anyone or do something else that hurt that person physically?</t>
        </r>
      </text>
    </comment>
    <comment ref="X201" authorId="0" shapeId="0" xr:uid="{00000000-0006-0000-0000-00003A010000}">
      <text>
        <r>
          <rPr>
            <b/>
            <sz val="9"/>
            <color indexed="81"/>
            <rFont val="Tahoma"/>
            <family val="2"/>
          </rPr>
          <t>John:</t>
        </r>
        <r>
          <rPr>
            <sz val="9"/>
            <color indexed="81"/>
            <rFont val="Tahoma"/>
            <family val="2"/>
          </rPr>
          <t xml:space="preserve">
Education level not reported.</t>
        </r>
      </text>
    </comment>
    <comment ref="H202" authorId="0" shapeId="0" xr:uid="{00000000-0006-0000-0000-00003B010000}">
      <text>
        <r>
          <rPr>
            <b/>
            <sz val="9"/>
            <color indexed="81"/>
            <rFont val="Tahoma"/>
            <family val="2"/>
          </rPr>
          <t>John:</t>
        </r>
        <r>
          <rPr>
            <sz val="9"/>
            <color indexed="81"/>
            <rFont val="Tahoma"/>
            <family val="2"/>
          </rPr>
          <t xml:space="preserve">
just over half were urban</t>
        </r>
      </text>
    </comment>
    <comment ref="M202" authorId="0" shapeId="0" xr:uid="{00000000-0006-0000-0000-00003C010000}">
      <text>
        <r>
          <rPr>
            <b/>
            <sz val="9"/>
            <color indexed="81"/>
            <rFont val="Tahoma"/>
            <family val="2"/>
          </rPr>
          <t>John:</t>
        </r>
        <r>
          <rPr>
            <sz val="9"/>
            <color indexed="81"/>
            <rFont val="Tahoma"/>
            <family val="2"/>
          </rPr>
          <t xml:space="preserve">
80% were married</t>
        </r>
      </text>
    </comment>
    <comment ref="S202" authorId="0" shapeId="0" xr:uid="{00000000-0006-0000-0000-00003D010000}">
      <text>
        <r>
          <rPr>
            <b/>
            <sz val="9"/>
            <color indexed="81"/>
            <rFont val="Tahoma"/>
            <family val="2"/>
          </rPr>
          <t>John:</t>
        </r>
        <r>
          <rPr>
            <sz val="9"/>
            <color indexed="81"/>
            <rFont val="Tahoma"/>
            <family val="2"/>
          </rPr>
          <t xml:space="preserve">
John Simister assumed 'under 18' is about 16 years; and '31 and above' is 31-35 years.</t>
        </r>
      </text>
    </comment>
    <comment ref="X202" authorId="0" shapeId="0" xr:uid="{00000000-0006-0000-0000-00003E010000}">
      <text>
        <r>
          <rPr>
            <b/>
            <sz val="9"/>
            <color indexed="81"/>
            <rFont val="Tahoma"/>
            <family val="2"/>
          </rPr>
          <t>John:</t>
        </r>
        <r>
          <rPr>
            <sz val="9"/>
            <color indexed="81"/>
            <rFont val="Tahoma"/>
            <family val="2"/>
          </rPr>
          <t xml:space="preserve">
18% were illiterate</t>
        </r>
      </text>
    </comment>
    <comment ref="CD202" authorId="0" shapeId="0" xr:uid="{00000000-0006-0000-0000-00003F010000}">
      <text>
        <r>
          <rPr>
            <b/>
            <sz val="9"/>
            <color indexed="81"/>
            <rFont val="Tahoma"/>
            <family val="2"/>
          </rPr>
          <t>John:</t>
        </r>
        <r>
          <rPr>
            <sz val="9"/>
            <color indexed="81"/>
            <rFont val="Tahoma"/>
            <family val="2"/>
          </rPr>
          <t xml:space="preserve">
If she does anything without taking his permission</t>
        </r>
      </text>
    </comment>
    <comment ref="H203" authorId="0" shapeId="0" xr:uid="{00000000-0006-0000-0000-000040010000}">
      <text>
        <r>
          <rPr>
            <b/>
            <sz val="9"/>
            <color indexed="81"/>
            <rFont val="Tahoma"/>
            <family val="2"/>
          </rPr>
          <t>John:</t>
        </r>
        <r>
          <rPr>
            <sz val="9"/>
            <color indexed="81"/>
            <rFont val="Tahoma"/>
            <family val="2"/>
          </rPr>
          <t xml:space="preserve">
just over half were urban</t>
        </r>
      </text>
    </comment>
    <comment ref="M203" authorId="0" shapeId="0" xr:uid="{00000000-0006-0000-0000-000041010000}">
      <text>
        <r>
          <rPr>
            <b/>
            <sz val="9"/>
            <color indexed="81"/>
            <rFont val="Tahoma"/>
            <family val="2"/>
          </rPr>
          <t>John:</t>
        </r>
        <r>
          <rPr>
            <sz val="9"/>
            <color indexed="81"/>
            <rFont val="Tahoma"/>
            <family val="2"/>
          </rPr>
          <t xml:space="preserve">
80% were married</t>
        </r>
      </text>
    </comment>
    <comment ref="S203" authorId="0" shapeId="0" xr:uid="{00000000-0006-0000-0000-000042010000}">
      <text>
        <r>
          <rPr>
            <b/>
            <sz val="9"/>
            <color indexed="81"/>
            <rFont val="Tahoma"/>
            <family val="2"/>
          </rPr>
          <t>John:</t>
        </r>
        <r>
          <rPr>
            <sz val="9"/>
            <color indexed="81"/>
            <rFont val="Tahoma"/>
            <family val="2"/>
          </rPr>
          <t xml:space="preserve">
John Simister assumed 'under 18' is about 16 years; and '31 and above' is 31-35 years.</t>
        </r>
      </text>
    </comment>
    <comment ref="X203" authorId="0" shapeId="0" xr:uid="{00000000-0006-0000-0000-000043010000}">
      <text>
        <r>
          <rPr>
            <b/>
            <sz val="9"/>
            <color indexed="81"/>
            <rFont val="Tahoma"/>
            <family val="2"/>
          </rPr>
          <t>John:</t>
        </r>
        <r>
          <rPr>
            <sz val="9"/>
            <color indexed="81"/>
            <rFont val="Tahoma"/>
            <family val="2"/>
          </rPr>
          <t xml:space="preserve">
18% of women illiterate</t>
        </r>
      </text>
    </comment>
    <comment ref="CD203" authorId="0" shapeId="0" xr:uid="{00000000-0006-0000-0000-000044010000}">
      <text>
        <r>
          <rPr>
            <b/>
            <sz val="9"/>
            <color indexed="81"/>
            <rFont val="Tahoma"/>
            <family val="2"/>
          </rPr>
          <t>John:</t>
        </r>
        <r>
          <rPr>
            <sz val="9"/>
            <color indexed="81"/>
            <rFont val="Tahoma"/>
            <family val="2"/>
          </rPr>
          <t xml:space="preserve">
If she does anything without taking his permission</t>
        </r>
      </text>
    </comment>
    <comment ref="X204" authorId="0" shapeId="0" xr:uid="{00000000-0006-0000-0000-000045010000}">
      <text>
        <r>
          <rPr>
            <b/>
            <sz val="9"/>
            <color indexed="81"/>
            <rFont val="Tahoma"/>
            <family val="2"/>
          </rPr>
          <t>John:</t>
        </r>
        <r>
          <rPr>
            <sz val="9"/>
            <color indexed="81"/>
            <rFont val="Tahoma"/>
            <family val="2"/>
          </rPr>
          <t xml:space="preserve">
30.9% illiterate; 34.0% primary educ; 18.9% middle school; 12.6% secondary; 3% higher secondary &amp; above.</t>
        </r>
      </text>
    </comment>
    <comment ref="BQ204" authorId="0" shapeId="0" xr:uid="{00000000-0006-0000-0000-000046010000}">
      <text>
        <r>
          <rPr>
            <b/>
            <sz val="9"/>
            <color indexed="81"/>
            <rFont val="Tahoma"/>
            <family val="2"/>
          </rPr>
          <t>John:</t>
        </r>
        <r>
          <rPr>
            <sz val="9"/>
            <color indexed="81"/>
            <rFont val="Tahoma"/>
            <family val="2"/>
          </rPr>
          <t xml:space="preserve">
Includes "hitting, kicking, beating, slapping, forced sex etc" (Sinha et al, page 32).</t>
        </r>
      </text>
    </comment>
    <comment ref="X205" authorId="0" shapeId="0" xr:uid="{00000000-0006-0000-0000-000047010000}">
      <text>
        <r>
          <rPr>
            <b/>
            <sz val="9"/>
            <color indexed="81"/>
            <rFont val="Tahoma"/>
            <family val="2"/>
          </rPr>
          <t>John:</t>
        </r>
        <r>
          <rPr>
            <sz val="9"/>
            <color indexed="81"/>
            <rFont val="Tahoma"/>
            <family val="2"/>
          </rPr>
          <t xml:space="preserve">
No report of women's education level.
</t>
        </r>
      </text>
    </comment>
    <comment ref="AF205" authorId="0" shapeId="0" xr:uid="{00000000-0006-0000-0000-000048010000}">
      <text>
        <r>
          <rPr>
            <b/>
            <sz val="9"/>
            <color indexed="81"/>
            <rFont val="Tahoma"/>
            <family val="2"/>
          </rPr>
          <t>John:</t>
        </r>
        <r>
          <rPr>
            <sz val="9"/>
            <color indexed="81"/>
            <rFont val="Tahoma"/>
            <family val="2"/>
          </rPr>
          <t xml:space="preserve">
The fraction of women threatened (2.1%) is less than
'threatened to hurt someone she cared about' (10.2%).</t>
        </r>
      </text>
    </comment>
    <comment ref="AG205" authorId="0" shapeId="0" xr:uid="{00000000-0006-0000-0000-000049010000}">
      <text>
        <r>
          <rPr>
            <b/>
            <sz val="9"/>
            <color indexed="81"/>
            <rFont val="Tahoma"/>
            <family val="2"/>
          </rPr>
          <t>John:</t>
        </r>
        <r>
          <rPr>
            <sz val="9"/>
            <color indexed="81"/>
            <rFont val="Tahoma"/>
            <family val="2"/>
          </rPr>
          <t xml:space="preserve">
3.9% 'Threatening to kill'.
</t>
        </r>
      </text>
    </comment>
    <comment ref="AH205" authorId="0" shapeId="0" xr:uid="{00000000-0006-0000-0000-00004A010000}">
      <text>
        <r>
          <rPr>
            <b/>
            <sz val="9"/>
            <color indexed="81"/>
            <rFont val="Tahoma"/>
            <family val="2"/>
          </rPr>
          <t>John:</t>
        </r>
        <r>
          <rPr>
            <sz val="9"/>
            <color indexed="81"/>
            <rFont val="Tahoma"/>
            <family val="2"/>
          </rPr>
          <t xml:space="preserve">
0.7% 'Threatening to kill'.
</t>
        </r>
      </text>
    </comment>
    <comment ref="AQ205" authorId="0" shapeId="0" xr:uid="{00000000-0006-0000-0000-00004B010000}">
      <text>
        <r>
          <rPr>
            <b/>
            <sz val="9"/>
            <color indexed="81"/>
            <rFont val="Tahoma"/>
            <family val="2"/>
          </rPr>
          <t>John:</t>
        </r>
        <r>
          <rPr>
            <sz val="9"/>
            <color indexed="81"/>
            <rFont val="Tahoma"/>
            <family val="2"/>
          </rPr>
          <t xml:space="preserve">
Throwing object</t>
        </r>
      </text>
    </comment>
    <comment ref="AY205" authorId="0" shapeId="0" xr:uid="{00000000-0006-0000-0000-00004C010000}">
      <text>
        <r>
          <rPr>
            <b/>
            <sz val="9"/>
            <color indexed="81"/>
            <rFont val="Tahoma"/>
            <family val="2"/>
          </rPr>
          <t>John:</t>
        </r>
        <r>
          <rPr>
            <sz val="9"/>
            <color indexed="81"/>
            <rFont val="Tahoma"/>
            <family val="2"/>
          </rPr>
          <t xml:space="preserve">
I think this means 'hurting without object' (it says "Threading without object").</t>
        </r>
      </text>
    </comment>
    <comment ref="BA205" authorId="0" shapeId="0" xr:uid="{00000000-0006-0000-0000-00004D010000}">
      <text>
        <r>
          <rPr>
            <b/>
            <sz val="9"/>
            <color indexed="81"/>
            <rFont val="Tahoma"/>
            <family val="2"/>
          </rPr>
          <t>John:</t>
        </r>
        <r>
          <rPr>
            <sz val="9"/>
            <color indexed="81"/>
            <rFont val="Tahoma"/>
            <family val="2"/>
          </rPr>
          <t xml:space="preserve">
Hurting with an object.</t>
        </r>
      </text>
    </comment>
    <comment ref="BI205" authorId="0" shapeId="0" xr:uid="{00000000-0006-0000-0000-00004E010000}">
      <text>
        <r>
          <rPr>
            <b/>
            <sz val="9"/>
            <color indexed="81"/>
            <rFont val="Tahoma"/>
            <family val="2"/>
          </rPr>
          <t>John:</t>
        </r>
        <r>
          <rPr>
            <sz val="9"/>
            <color indexed="81"/>
            <rFont val="Tahoma"/>
            <family val="2"/>
          </rPr>
          <t xml:space="preserve">
Ray et al (2012) page 159: "Over all 52.1% women had ever faced physical violence from their intimate partner".
</t>
        </r>
      </text>
    </comment>
    <comment ref="BJ205" authorId="0" shapeId="0" xr:uid="{00000000-0006-0000-0000-00004F010000}">
      <text>
        <r>
          <rPr>
            <b/>
            <sz val="9"/>
            <color indexed="81"/>
            <rFont val="Tahoma"/>
            <family val="2"/>
          </rPr>
          <t>John:</t>
        </r>
        <r>
          <rPr>
            <sz val="9"/>
            <color indexed="81"/>
            <rFont val="Tahoma"/>
            <family val="2"/>
          </rPr>
          <t xml:space="preserve">
Table 2 shows 1 figure for slapping/ kicking/ choking/ punching combined.</t>
        </r>
      </text>
    </comment>
    <comment ref="BM205" authorId="0" shapeId="0" xr:uid="{00000000-0006-0000-0000-000050010000}">
      <text>
        <r>
          <rPr>
            <b/>
            <sz val="9"/>
            <color indexed="81"/>
            <rFont val="Tahoma"/>
            <family val="2"/>
          </rPr>
          <t>John:</t>
        </r>
        <r>
          <rPr>
            <sz val="9"/>
            <color indexed="81"/>
            <rFont val="Tahoma"/>
            <family val="2"/>
          </rPr>
          <t xml:space="preserve">
This is referred to as 'Hurt for sex' in Table 2.</t>
        </r>
      </text>
    </comment>
    <comment ref="BW205" authorId="0" shapeId="0" xr:uid="{00000000-0006-0000-0000-000051010000}">
      <text>
        <r>
          <rPr>
            <b/>
            <sz val="9"/>
            <color indexed="81"/>
            <rFont val="Tahoma"/>
            <family val="2"/>
          </rPr>
          <t>John:</t>
        </r>
        <r>
          <rPr>
            <sz val="9"/>
            <color indexed="81"/>
            <rFont val="Tahoma"/>
            <family val="2"/>
          </rPr>
          <t xml:space="preserve">
Ray et al (2012: page 162) state "women get victimized by their very near and dear ones. In 57.2% cases they were abused by their husbands. 16.2% women get
harassed by their mother-in-laws".</t>
        </r>
      </text>
    </comment>
    <comment ref="I206" authorId="0" shapeId="0" xr:uid="{00000000-0006-0000-0000-000052010000}">
      <text>
        <r>
          <rPr>
            <b/>
            <sz val="9"/>
            <color indexed="81"/>
            <rFont val="Tahoma"/>
            <family val="2"/>
          </rPr>
          <t>John:</t>
        </r>
        <r>
          <rPr>
            <sz val="9"/>
            <color indexed="81"/>
            <rFont val="Tahoma"/>
            <family val="2"/>
          </rPr>
          <t xml:space="preserve">
Date of fieldwork isn't reported. 2009 chosen by John Simister, based on submission to journal in 2011.</t>
        </r>
      </text>
    </comment>
    <comment ref="AA206" authorId="0" shapeId="0" xr:uid="{00000000-0006-0000-0000-000053010000}">
      <text>
        <r>
          <rPr>
            <b/>
            <sz val="9"/>
            <color indexed="81"/>
            <rFont val="Tahoma"/>
            <family val="2"/>
          </rPr>
          <t>John:</t>
        </r>
        <r>
          <rPr>
            <sz val="9"/>
            <color indexed="81"/>
            <rFont val="Tahoma"/>
            <family val="2"/>
          </rPr>
          <t xml:space="preserve">
psychological abuse.</t>
        </r>
      </text>
    </comment>
    <comment ref="BI206" authorId="0" shapeId="0" xr:uid="{00000000-0006-0000-0000-000054010000}">
      <text>
        <r>
          <rPr>
            <b/>
            <sz val="9"/>
            <color indexed="81"/>
            <rFont val="Tahoma"/>
            <family val="2"/>
          </rPr>
          <t>John:</t>
        </r>
        <r>
          <rPr>
            <sz val="9"/>
            <color indexed="81"/>
            <rFont val="Tahoma"/>
            <family val="2"/>
          </rPr>
          <t xml:space="preserve">
It isn't clear if this is GBV in the last 12 months, or 'ever experienced' GBV:
"The questionnaire addressed both current and past episodes of domestic violence within one year."</t>
        </r>
      </text>
    </comment>
    <comment ref="L207" authorId="0" shapeId="0" xr:uid="{00000000-0006-0000-0000-000055010000}">
      <text>
        <r>
          <rPr>
            <b/>
            <sz val="9"/>
            <color indexed="81"/>
            <rFont val="Tahoma"/>
            <family val="2"/>
          </rPr>
          <t>John:</t>
        </r>
        <r>
          <rPr>
            <sz val="9"/>
            <color indexed="81"/>
            <rFont val="Tahoma"/>
            <family val="2"/>
          </rPr>
          <t xml:space="preserve">
Society for Nutrition, Education and Health Action</t>
        </r>
      </text>
    </comment>
    <comment ref="AB207" authorId="0" shapeId="0" xr:uid="{00000000-0006-0000-0000-000056010000}">
      <text>
        <r>
          <rPr>
            <b/>
            <sz val="9"/>
            <color indexed="81"/>
            <rFont val="Tahoma"/>
            <family val="2"/>
          </rPr>
          <t>John:</t>
        </r>
        <r>
          <rPr>
            <sz val="9"/>
            <color indexed="81"/>
            <rFont val="Tahoma"/>
            <family val="2"/>
          </rPr>
          <t xml:space="preserve">
Emotional IPV was defined as an instance in which a spouse showed jealousy, humiliated his partner in front of others, accused her of infidelity, threatened to evict her or actually did so, threatened her or her children with violence, or forcibly took something from her.</t>
        </r>
      </text>
    </comment>
    <comment ref="AJ207" authorId="0" shapeId="0" xr:uid="{00000000-0006-0000-0000-000057010000}">
      <text>
        <r>
          <rPr>
            <b/>
            <sz val="9"/>
            <color indexed="81"/>
            <rFont val="Tahoma"/>
            <family val="2"/>
          </rPr>
          <t>John:</t>
        </r>
        <r>
          <rPr>
            <sz val="9"/>
            <color indexed="81"/>
            <rFont val="Tahoma"/>
            <family val="2"/>
          </rPr>
          <t xml:space="preserve">
Threatened or attacked with a household object or knife.</t>
        </r>
      </text>
    </comment>
    <comment ref="AP207" authorId="0" shapeId="0" xr:uid="{00000000-0006-0000-0000-000058010000}">
      <text>
        <r>
          <rPr>
            <b/>
            <sz val="9"/>
            <color indexed="81"/>
            <rFont val="Tahoma"/>
            <family val="2"/>
          </rPr>
          <t xml:space="preserve">John:
</t>
        </r>
        <r>
          <rPr>
            <sz val="9"/>
            <color indexed="81"/>
            <rFont val="Tahoma"/>
            <family val="2"/>
          </rPr>
          <t xml:space="preserve">53 for 'Hair pulled';
42 for 'arm twisted'.
Could add numbers for 'Hair pulled' and 'Arm twisted'; but they may overlap.
</t>
        </r>
      </text>
    </comment>
    <comment ref="AV207" authorId="0" shapeId="0" xr:uid="{00000000-0006-0000-0000-000059010000}">
      <text>
        <r>
          <rPr>
            <b/>
            <sz val="9"/>
            <color indexed="81"/>
            <rFont val="Tahoma"/>
            <family val="2"/>
          </rPr>
          <t>John:</t>
        </r>
        <r>
          <rPr>
            <sz val="9"/>
            <color indexed="81"/>
            <rFont val="Tahoma"/>
            <family val="2"/>
          </rPr>
          <t xml:space="preserve">
80 women kicked;
35 women dragged.
Could add 80+35, but they may overlap.</t>
        </r>
      </text>
    </comment>
    <comment ref="AX207" authorId="0" shapeId="0" xr:uid="{00000000-0006-0000-0000-00005A010000}">
      <text>
        <r>
          <rPr>
            <b/>
            <sz val="9"/>
            <color indexed="81"/>
            <rFont val="Tahoma"/>
            <family val="2"/>
          </rPr>
          <t>John:</t>
        </r>
        <r>
          <rPr>
            <sz val="9"/>
            <color indexed="81"/>
            <rFont val="Tahoma"/>
            <family val="2"/>
          </rPr>
          <t xml:space="preserve">
11 women choked;
2 women burned.
Can add 11+2, but they may overlap.</t>
        </r>
      </text>
    </comment>
    <comment ref="BJ207" authorId="0" shapeId="0" xr:uid="{00000000-0006-0000-0000-00005B010000}">
      <text>
        <r>
          <rPr>
            <b/>
            <sz val="9"/>
            <color indexed="81"/>
            <rFont val="Tahoma"/>
            <family val="2"/>
          </rPr>
          <t>John:</t>
        </r>
        <r>
          <rPr>
            <sz val="9"/>
            <color indexed="81"/>
            <rFont val="Tahoma"/>
            <family val="2"/>
          </rPr>
          <t xml:space="preserve">
her partner beat, punched, kicked, dragged, or slapped a woman, twisted her arm, pulled her hair, hit her with an object, choked, burned, or physically restrained her.</t>
        </r>
      </text>
    </comment>
    <comment ref="BU207" authorId="0" shapeId="0" xr:uid="{00000000-0006-0000-0000-00005C010000}">
      <text>
        <r>
          <rPr>
            <b/>
            <sz val="9"/>
            <color indexed="81"/>
            <rFont val="Tahoma"/>
            <family val="2"/>
          </rPr>
          <t>John:</t>
        </r>
        <r>
          <rPr>
            <sz val="9"/>
            <color indexed="81"/>
            <rFont val="Tahoma"/>
            <family val="2"/>
          </rPr>
          <t xml:space="preserve">
the preceding year encompassed less than two months before the pregnancy, pregnancy itself, and the postpartum period.</t>
        </r>
      </text>
    </comment>
    <comment ref="CA207" authorId="0" shapeId="0" xr:uid="{00000000-0006-0000-0000-00005D010000}">
      <text>
        <r>
          <rPr>
            <b/>
            <sz val="9"/>
            <color indexed="81"/>
            <rFont val="Tahoma"/>
            <family val="2"/>
          </rPr>
          <t>John:</t>
        </r>
        <r>
          <rPr>
            <sz val="9"/>
            <color indexed="81"/>
            <rFont val="Tahoma"/>
            <family val="2"/>
          </rPr>
          <t xml:space="preserve">
16% say hitting justified if "She does not fulfill his expectations of her household or childcare duties"</t>
        </r>
      </text>
    </comment>
    <comment ref="I208" authorId="0" shapeId="0" xr:uid="{00000000-0006-0000-0000-00005E010000}">
      <text>
        <r>
          <rPr>
            <b/>
            <sz val="9"/>
            <color indexed="81"/>
            <rFont val="Tahoma"/>
            <family val="2"/>
          </rPr>
          <t>John:</t>
        </r>
        <r>
          <rPr>
            <sz val="9"/>
            <color indexed="81"/>
            <rFont val="Tahoma"/>
            <family val="2"/>
          </rPr>
          <t xml:space="preserve">
SPSS version 17 was used by jnl authors; version 17 was published in 2008.
Article published 2013, but received by jnl in 2011.</t>
        </r>
      </text>
    </comment>
    <comment ref="R208" authorId="0" shapeId="0" xr:uid="{00000000-0006-0000-0000-00005F010000}">
      <text>
        <r>
          <rPr>
            <b/>
            <sz val="9"/>
            <color indexed="81"/>
            <rFont val="Tahoma"/>
            <family val="2"/>
          </rPr>
          <t>John:</t>
        </r>
        <r>
          <rPr>
            <sz val="9"/>
            <color indexed="81"/>
            <rFont val="Tahoma"/>
            <family val="2"/>
          </rPr>
          <t xml:space="preserve">
These age-bands are from Table 2; not consistent with age-range in jnl abstract.</t>
        </r>
      </text>
    </comment>
    <comment ref="S208" authorId="0" shapeId="0" xr:uid="{00000000-0006-0000-0000-000060010000}">
      <text>
        <r>
          <rPr>
            <b/>
            <sz val="9"/>
            <color indexed="81"/>
            <rFont val="Tahoma"/>
            <family val="2"/>
          </rPr>
          <t>John:</t>
        </r>
        <r>
          <rPr>
            <sz val="9"/>
            <color indexed="81"/>
            <rFont val="Tahoma"/>
            <family val="2"/>
          </rPr>
          <t xml:space="preserve">
74 women married under 18; 
184 married 18-22; 
16 married over 22.</t>
        </r>
      </text>
    </comment>
    <comment ref="T208" authorId="0" shapeId="0" xr:uid="{00000000-0006-0000-0000-000061010000}">
      <text>
        <r>
          <rPr>
            <b/>
            <sz val="9"/>
            <color indexed="81"/>
            <rFont val="Tahoma"/>
            <family val="2"/>
          </rPr>
          <t>John:</t>
        </r>
        <r>
          <rPr>
            <sz val="9"/>
            <color indexed="81"/>
            <rFont val="Tahoma"/>
            <family val="2"/>
          </rPr>
          <t xml:space="preserve">
Perhaps the remaining 74 women have been married over 15 years?</t>
        </r>
      </text>
    </comment>
    <comment ref="X208" authorId="0" shapeId="0" xr:uid="{00000000-0006-0000-0000-000062010000}">
      <text>
        <r>
          <rPr>
            <b/>
            <sz val="9"/>
            <color indexed="81"/>
            <rFont val="Tahoma"/>
            <family val="2"/>
          </rPr>
          <t>John:</t>
        </r>
        <r>
          <rPr>
            <sz val="9"/>
            <color indexed="81"/>
            <rFont val="Tahoma"/>
            <family val="2"/>
          </rPr>
          <t xml:space="preserve">
138 illiterate;
  57 primary;
  53 secondary;
  26 higher secondary &amp; above.</t>
        </r>
      </text>
    </comment>
    <comment ref="AD208" authorId="0" shapeId="0" xr:uid="{00000000-0006-0000-0000-000063010000}">
      <text>
        <r>
          <rPr>
            <b/>
            <sz val="9"/>
            <color indexed="81"/>
            <rFont val="Tahoma"/>
            <family val="2"/>
          </rPr>
          <t>John:</t>
        </r>
        <r>
          <rPr>
            <sz val="9"/>
            <color indexed="81"/>
            <rFont val="Tahoma"/>
            <family val="2"/>
          </rPr>
          <t xml:space="preserve">
'Doubting character' of the woman.</t>
        </r>
      </text>
    </comment>
    <comment ref="AF208" authorId="0" shapeId="0" xr:uid="{00000000-0006-0000-0000-000064010000}">
      <text>
        <r>
          <rPr>
            <b/>
            <sz val="9"/>
            <color indexed="81"/>
            <rFont val="Tahoma"/>
            <family val="2"/>
          </rPr>
          <t>John:</t>
        </r>
        <r>
          <rPr>
            <sz val="9"/>
            <color indexed="81"/>
            <rFont val="Tahoma"/>
            <family val="2"/>
          </rPr>
          <t xml:space="preserve">
=100*57/274 = 21%
threaten with divorce.</t>
        </r>
      </text>
    </comment>
    <comment ref="AN208" authorId="0" shapeId="0" xr:uid="{00000000-0006-0000-0000-000065010000}">
      <text>
        <r>
          <rPr>
            <b/>
            <sz val="9"/>
            <color indexed="81"/>
            <rFont val="Tahoma"/>
            <family val="2"/>
          </rPr>
          <t>John:</t>
        </r>
        <r>
          <rPr>
            <sz val="9"/>
            <color indexed="81"/>
            <rFont val="Tahoma"/>
            <family val="2"/>
          </rPr>
          <t xml:space="preserve">
slapping/beating with hands</t>
        </r>
      </text>
    </comment>
    <comment ref="AV208" authorId="0" shapeId="0" xr:uid="{00000000-0006-0000-0000-000066010000}">
      <text>
        <r>
          <rPr>
            <b/>
            <sz val="9"/>
            <color indexed="81"/>
            <rFont val="Tahoma"/>
            <family val="2"/>
          </rPr>
          <t>John:</t>
        </r>
        <r>
          <rPr>
            <sz val="9"/>
            <color indexed="81"/>
            <rFont val="Tahoma"/>
            <family val="2"/>
          </rPr>
          <t xml:space="preserve">
Kicking/biting.
Assign half to kick, and half to biting.</t>
        </r>
      </text>
    </comment>
    <comment ref="BH208" authorId="0" shapeId="0" xr:uid="{00000000-0006-0000-0000-000067010000}">
      <text>
        <r>
          <rPr>
            <b/>
            <sz val="9"/>
            <color indexed="81"/>
            <rFont val="Tahoma"/>
            <family val="2"/>
          </rPr>
          <t>John:</t>
        </r>
        <r>
          <rPr>
            <sz val="9"/>
            <color indexed="81"/>
            <rFont val="Tahoma"/>
            <family val="2"/>
          </rPr>
          <t xml:space="preserve">
Kicking/biting.
Assign half to kick, and half to biting.</t>
        </r>
      </text>
    </comment>
    <comment ref="BP208" authorId="0" shapeId="0" xr:uid="{00000000-0006-0000-0000-000068010000}">
      <text>
        <r>
          <rPr>
            <b/>
            <sz val="9"/>
            <color indexed="81"/>
            <rFont val="Tahoma"/>
            <family val="2"/>
          </rPr>
          <t>John:</t>
        </r>
        <r>
          <rPr>
            <sz val="9"/>
            <color indexed="81"/>
            <rFont val="Tahoma"/>
            <family val="2"/>
          </rPr>
          <t xml:space="preserve">
sexual violence</t>
        </r>
      </text>
    </comment>
    <comment ref="AA209" authorId="0" shapeId="0" xr:uid="{00000000-0006-0000-0000-000069010000}">
      <text>
        <r>
          <rPr>
            <b/>
            <sz val="9"/>
            <color indexed="81"/>
            <rFont val="Tahoma"/>
            <family val="2"/>
          </rPr>
          <t>John:</t>
        </r>
        <r>
          <rPr>
            <sz val="9"/>
            <color indexed="81"/>
            <rFont val="Tahoma"/>
            <family val="2"/>
          </rPr>
          <t xml:space="preserve">
Psychological abuse.</t>
        </r>
      </text>
    </comment>
    <comment ref="AQ209" authorId="0" shapeId="0" xr:uid="{00000000-0006-0000-0000-00006A010000}">
      <text>
        <r>
          <rPr>
            <b/>
            <sz val="9"/>
            <color indexed="81"/>
            <rFont val="Tahoma"/>
            <family val="2"/>
          </rPr>
          <t>John:</t>
        </r>
        <r>
          <rPr>
            <sz val="9"/>
            <color indexed="81"/>
            <rFont val="Tahoma"/>
            <family val="2"/>
          </rPr>
          <t xml:space="preserve">
Push isn't reported; but 'throwing objects'' has prevalence of 4.8%.</t>
        </r>
      </text>
    </comment>
    <comment ref="AU209" authorId="0" shapeId="0" xr:uid="{00000000-0006-0000-0000-00006B010000}">
      <text>
        <r>
          <rPr>
            <b/>
            <sz val="9"/>
            <color indexed="81"/>
            <rFont val="Tahoma"/>
            <family val="2"/>
          </rPr>
          <t>John:</t>
        </r>
        <r>
          <rPr>
            <sz val="9"/>
            <color indexed="81"/>
            <rFont val="Tahoma"/>
            <family val="2"/>
          </rPr>
          <t xml:space="preserve">
14 women kicked;
1 woman dragged.</t>
        </r>
      </text>
    </comment>
    <comment ref="AW209" authorId="0" shapeId="0" xr:uid="{00000000-0006-0000-0000-00006C010000}">
      <text>
        <r>
          <rPr>
            <b/>
            <sz val="9"/>
            <color indexed="81"/>
            <rFont val="Tahoma"/>
            <family val="2"/>
          </rPr>
          <t>John:</t>
        </r>
        <r>
          <rPr>
            <sz val="9"/>
            <color indexed="81"/>
            <rFont val="Tahoma"/>
            <family val="2"/>
          </rPr>
          <t xml:space="preserve">
This is 'scorching', which I assume means 'burning'.</t>
        </r>
      </text>
    </comment>
    <comment ref="AY209" authorId="0" shapeId="0" xr:uid="{00000000-0006-0000-0000-00006D010000}">
      <text>
        <r>
          <rPr>
            <b/>
            <sz val="9"/>
            <color indexed="81"/>
            <rFont val="Tahoma"/>
            <family val="2"/>
          </rPr>
          <t>John:</t>
        </r>
        <r>
          <rPr>
            <sz val="9"/>
            <color indexed="81"/>
            <rFont val="Tahoma"/>
            <family val="2"/>
          </rPr>
          <t xml:space="preserve">
The article calls this "hit with fist"; is this the same as a punch?</t>
        </r>
      </text>
    </comment>
    <comment ref="BA209" authorId="0" shapeId="0" xr:uid="{00000000-0006-0000-0000-00006E010000}">
      <text>
        <r>
          <rPr>
            <b/>
            <sz val="9"/>
            <color indexed="81"/>
            <rFont val="Tahoma"/>
            <family val="2"/>
          </rPr>
          <t>John:</t>
        </r>
        <r>
          <rPr>
            <sz val="9"/>
            <color indexed="81"/>
            <rFont val="Tahoma"/>
            <family val="2"/>
          </rPr>
          <t xml:space="preserve">
This is 'beating with stick'</t>
        </r>
      </text>
    </comment>
    <comment ref="BE209" authorId="0" shapeId="0" xr:uid="{00000000-0006-0000-0000-00006F010000}">
      <text>
        <r>
          <rPr>
            <b/>
            <sz val="9"/>
            <color indexed="81"/>
            <rFont val="Tahoma"/>
            <family val="2"/>
          </rPr>
          <t>John:</t>
        </r>
        <r>
          <rPr>
            <sz val="9"/>
            <color indexed="81"/>
            <rFont val="Tahoma"/>
            <family val="2"/>
          </rPr>
          <t xml:space="preserve">
Head banging.</t>
        </r>
      </text>
    </comment>
    <comment ref="U210" authorId="0" shapeId="0" xr:uid="{00000000-0006-0000-0000-000070010000}">
      <text>
        <r>
          <rPr>
            <b/>
            <sz val="9"/>
            <color indexed="81"/>
            <rFont val="Tahoma"/>
            <family val="2"/>
          </rPr>
          <t>John:</t>
        </r>
        <r>
          <rPr>
            <sz val="9"/>
            <color indexed="81"/>
            <rFont val="Tahoma"/>
            <family val="2"/>
          </rPr>
          <t xml:space="preserve">
This row shows answers from female respondents in this survey.</t>
        </r>
      </text>
    </comment>
    <comment ref="Z210" authorId="0" shapeId="0" xr:uid="{00000000-0006-0000-0000-000071010000}">
      <text>
        <r>
          <rPr>
            <b/>
            <sz val="9"/>
            <color indexed="81"/>
            <rFont val="Tahoma"/>
            <family val="2"/>
          </rPr>
          <t>John:</t>
        </r>
        <r>
          <rPr>
            <sz val="9"/>
            <color indexed="81"/>
            <rFont val="Tahoma"/>
            <family val="2"/>
          </rPr>
          <t xml:space="preserve">
It's not clear if this is ever, or last 12 months.</t>
        </r>
      </text>
    </comment>
    <comment ref="BN210" authorId="0" shapeId="0" xr:uid="{00000000-0006-0000-0000-000072010000}">
      <text>
        <r>
          <rPr>
            <b/>
            <sz val="9"/>
            <color indexed="81"/>
            <rFont val="Tahoma"/>
            <family val="2"/>
          </rPr>
          <t>John:</t>
        </r>
        <r>
          <rPr>
            <sz val="9"/>
            <color indexed="81"/>
            <rFont val="Tahoma"/>
            <family val="2"/>
          </rPr>
          <t xml:space="preserve">
6.3% refers to female respondents.
Among male respondents, 5.1% said they had forced their wife to have sex (page 3121).</t>
        </r>
      </text>
    </comment>
    <comment ref="U211" authorId="0" shapeId="0" xr:uid="{00000000-0006-0000-0000-000073010000}">
      <text>
        <r>
          <rPr>
            <b/>
            <sz val="9"/>
            <color indexed="81"/>
            <rFont val="Tahoma"/>
            <family val="2"/>
          </rPr>
          <t>John:</t>
        </r>
        <r>
          <rPr>
            <sz val="9"/>
            <color indexed="81"/>
            <rFont val="Tahoma"/>
            <family val="2"/>
          </rPr>
          <t xml:space="preserve">
This row shows answers from male respondents in this survey.</t>
        </r>
      </text>
    </comment>
    <comment ref="BJ212" authorId="0" shapeId="0" xr:uid="{00000000-0006-0000-0000-000074010000}">
      <text>
        <r>
          <rPr>
            <b/>
            <sz val="9"/>
            <color indexed="81"/>
            <rFont val="Tahoma"/>
            <family val="2"/>
          </rPr>
          <t>John:</t>
        </r>
        <r>
          <rPr>
            <sz val="9"/>
            <color indexed="81"/>
            <rFont val="Tahoma"/>
            <family val="2"/>
          </rPr>
          <t xml:space="preserve">
It isn’t clear if this is 'ever experienced', or 'experienced in the last 12 months'.</t>
        </r>
      </text>
    </comment>
    <comment ref="Q213" authorId="0" shapeId="0" xr:uid="{00000000-0006-0000-0000-000075010000}">
      <text>
        <r>
          <rPr>
            <b/>
            <sz val="9"/>
            <color indexed="81"/>
            <rFont val="Tahoma"/>
            <family val="2"/>
          </rPr>
          <t>John:</t>
        </r>
        <r>
          <rPr>
            <sz val="9"/>
            <color indexed="81"/>
            <rFont val="Tahoma"/>
            <family val="2"/>
          </rPr>
          <t xml:space="preserve">
44 is estimated by John Simister. Table 1 reports oldest age-group as 41+.</t>
        </r>
      </text>
    </comment>
    <comment ref="BS213" authorId="0" shapeId="0" xr:uid="{00000000-0006-0000-0000-000076010000}">
      <text>
        <r>
          <rPr>
            <b/>
            <sz val="9"/>
            <color indexed="81"/>
            <rFont val="Tahoma"/>
            <family val="2"/>
          </rPr>
          <t>John:</t>
        </r>
        <r>
          <rPr>
            <sz val="9"/>
            <color indexed="81"/>
            <rFont val="Tahoma"/>
            <family val="2"/>
          </rPr>
          <t xml:space="preserve">
This is from the Discussion section; earlier data suggests a higher GBV prevalence.</t>
        </r>
      </text>
    </comment>
    <comment ref="BU213" authorId="0" shapeId="0" xr:uid="{00000000-0006-0000-0000-000077010000}">
      <text>
        <r>
          <rPr>
            <b/>
            <sz val="9"/>
            <color indexed="81"/>
            <rFont val="Tahoma"/>
            <family val="2"/>
          </rPr>
          <t>John:</t>
        </r>
        <r>
          <rPr>
            <sz val="9"/>
            <color indexed="81"/>
            <rFont val="Tahoma"/>
            <family val="2"/>
          </rPr>
          <t xml:space="preserve">
It's not clear if the data on this row are 'ever experienced' violence, or in the last 12 months.</t>
        </r>
      </text>
    </comment>
    <comment ref="M214" authorId="0" shapeId="0" xr:uid="{00000000-0006-0000-0000-000078010000}">
      <text>
        <r>
          <rPr>
            <b/>
            <sz val="9"/>
            <color indexed="81"/>
            <rFont val="Tahoma"/>
            <family val="2"/>
          </rPr>
          <t>John:</t>
        </r>
        <r>
          <rPr>
            <sz val="9"/>
            <color indexed="81"/>
            <rFont val="Tahoma"/>
            <family val="2"/>
          </rPr>
          <t xml:space="preserve">
80% of female respondents married/cohabiting; 20% single.</t>
        </r>
      </text>
    </comment>
    <comment ref="O215" authorId="0" shapeId="0" xr:uid="{00000000-0006-0000-0000-000079010000}">
      <text>
        <r>
          <rPr>
            <b/>
            <sz val="9"/>
            <color indexed="81"/>
            <rFont val="Tahoma"/>
            <family val="2"/>
          </rPr>
          <t>John:</t>
        </r>
        <r>
          <rPr>
            <sz val="9"/>
            <color indexed="81"/>
            <rFont val="Tahoma"/>
            <family val="2"/>
          </rPr>
          <t xml:space="preserve">
18-59 is men's age range</t>
        </r>
      </text>
    </comment>
    <comment ref="CE215" authorId="0" shapeId="0" xr:uid="{00000000-0006-0000-0000-00007A010000}">
      <text>
        <r>
          <rPr>
            <b/>
            <sz val="9"/>
            <color indexed="81"/>
            <rFont val="Tahoma"/>
            <family val="2"/>
          </rPr>
          <t>John:</t>
        </r>
        <r>
          <rPr>
            <sz val="9"/>
            <color indexed="81"/>
            <rFont val="Tahoma"/>
            <family val="2"/>
          </rPr>
          <t xml:space="preserve">
"There are times when a woman deserves to be beaten"</t>
        </r>
      </text>
    </comment>
    <comment ref="BO216" authorId="0" shapeId="0" xr:uid="{00000000-0006-0000-0000-00007B010000}">
      <text>
        <r>
          <rPr>
            <b/>
            <sz val="9"/>
            <color indexed="81"/>
            <rFont val="Tahoma"/>
            <family val="2"/>
          </rPr>
          <t>John:</t>
        </r>
        <r>
          <rPr>
            <sz val="9"/>
            <color indexed="81"/>
            <rFont val="Tahoma"/>
            <family val="2"/>
          </rPr>
          <t xml:space="preserve">
women in this study who "had to participate in sex with husband without their wish".</t>
        </r>
      </text>
    </comment>
    <comment ref="I217" authorId="0" shapeId="0" xr:uid="{00000000-0006-0000-0000-00007C010000}">
      <text>
        <r>
          <rPr>
            <b/>
            <sz val="9"/>
            <color indexed="81"/>
            <rFont val="Tahoma"/>
            <family val="2"/>
          </rPr>
          <t>John:</t>
        </r>
        <r>
          <rPr>
            <sz val="9"/>
            <color indexed="81"/>
            <rFont val="Tahoma"/>
            <family val="2"/>
          </rPr>
          <t xml:space="preserve">
Date of survey isn't given. I estimate the date as a few years before the journal article was received (2013).</t>
        </r>
      </text>
    </comment>
    <comment ref="AN217" authorId="0" shapeId="0" xr:uid="{00000000-0006-0000-0000-00007D010000}">
      <text>
        <r>
          <rPr>
            <b/>
            <sz val="9"/>
            <color indexed="81"/>
            <rFont val="Tahoma"/>
            <family val="2"/>
          </rPr>
          <t>John:</t>
        </r>
        <r>
          <rPr>
            <sz val="9"/>
            <color indexed="81"/>
            <rFont val="Tahoma"/>
            <family val="2"/>
          </rPr>
          <t xml:space="preserve">
Slapped/ punched/ hit with free hand.
Use DHS2006 to split into slap and punch.</t>
        </r>
      </text>
    </comment>
    <comment ref="AR217" authorId="0" shapeId="0" xr:uid="{00000000-0006-0000-0000-00007E010000}">
      <text>
        <r>
          <rPr>
            <b/>
            <sz val="9"/>
            <color indexed="81"/>
            <rFont val="Tahoma"/>
            <family val="2"/>
          </rPr>
          <t>John:</t>
        </r>
        <r>
          <rPr>
            <sz val="9"/>
            <color indexed="81"/>
            <rFont val="Tahoma"/>
            <family val="2"/>
          </rPr>
          <t xml:space="preserve">
22 women pushed;
  7 women had objects thrown at them. It's not clear if we should add 22+7 in this column.</t>
        </r>
      </text>
    </comment>
    <comment ref="AT217" authorId="0" shapeId="0" xr:uid="{00000000-0006-0000-0000-00007F010000}">
      <text>
        <r>
          <rPr>
            <b/>
            <sz val="9"/>
            <color indexed="81"/>
            <rFont val="Tahoma"/>
            <family val="2"/>
          </rPr>
          <t>John:</t>
        </r>
        <r>
          <rPr>
            <sz val="9"/>
            <color indexed="81"/>
            <rFont val="Tahoma"/>
            <family val="2"/>
          </rPr>
          <t xml:space="preserve">
Slapped/ punched/ hit with free hand.
Use DHS2006 to split into slap and punch.</t>
        </r>
      </text>
    </comment>
    <comment ref="BB217" authorId="0" shapeId="0" xr:uid="{00000000-0006-0000-0000-000080010000}">
      <text>
        <r>
          <rPr>
            <b/>
            <sz val="9"/>
            <color indexed="81"/>
            <rFont val="Tahoma"/>
            <family val="2"/>
          </rPr>
          <t>John:</t>
        </r>
        <r>
          <rPr>
            <sz val="9"/>
            <color indexed="81"/>
            <rFont val="Tahoma"/>
            <family val="2"/>
          </rPr>
          <t xml:space="preserve">
Hit with stick/rod</t>
        </r>
      </text>
    </comment>
    <comment ref="H218" authorId="0" shapeId="0" xr:uid="{00000000-0006-0000-0000-000081010000}">
      <text>
        <r>
          <rPr>
            <b/>
            <sz val="9"/>
            <color indexed="81"/>
            <rFont val="Tahoma"/>
            <family val="2"/>
          </rPr>
          <t>John:</t>
        </r>
        <r>
          <rPr>
            <sz val="9"/>
            <color indexed="81"/>
            <rFont val="Tahoma"/>
            <family val="2"/>
          </rPr>
          <t xml:space="preserve">
73.5% of sample is urban.</t>
        </r>
      </text>
    </comment>
    <comment ref="I218" authorId="0" shapeId="0" xr:uid="{00000000-0006-0000-0000-000082010000}">
      <text>
        <r>
          <rPr>
            <b/>
            <sz val="9"/>
            <color indexed="81"/>
            <rFont val="Tahoma"/>
            <family val="2"/>
          </rPr>
          <t>John:</t>
        </r>
        <r>
          <rPr>
            <sz val="9"/>
            <color indexed="81"/>
            <rFont val="Tahoma"/>
            <family val="2"/>
          </rPr>
          <t xml:space="preserve">
Date of survey isn't given. I estimate the date as a few years before the journal article was published (2013).</t>
        </r>
      </text>
    </comment>
    <comment ref="M218" authorId="0" shapeId="0" xr:uid="{00000000-0006-0000-0000-000083010000}">
      <text>
        <r>
          <rPr>
            <b/>
            <sz val="9"/>
            <color indexed="81"/>
            <rFont val="Tahoma"/>
            <family val="2"/>
          </rPr>
          <t>John:</t>
        </r>
        <r>
          <rPr>
            <sz val="9"/>
            <color indexed="81"/>
            <rFont val="Tahoma"/>
            <family val="2"/>
          </rPr>
          <t xml:space="preserve">
60.8% of women married; 1.1% separated; 7.2% widowed; 30.9% unmarried (I suppose this includes cohabiting).</t>
        </r>
      </text>
    </comment>
    <comment ref="U218" authorId="0" shapeId="0" xr:uid="{00000000-0006-0000-0000-000084010000}">
      <text>
        <r>
          <rPr>
            <b/>
            <sz val="9"/>
            <color indexed="81"/>
            <rFont val="Tahoma"/>
            <family val="2"/>
          </rPr>
          <t>John:</t>
        </r>
        <r>
          <rPr>
            <sz val="9"/>
            <color indexed="81"/>
            <rFont val="Tahoma"/>
            <family val="2"/>
          </rPr>
          <t xml:space="preserve">
Sample size isn't reported.  </t>
        </r>
      </text>
    </comment>
    <comment ref="X218" authorId="0" shapeId="0" xr:uid="{00000000-0006-0000-0000-000085010000}">
      <text>
        <r>
          <rPr>
            <b/>
            <sz val="9"/>
            <color indexed="81"/>
            <rFont val="Tahoma"/>
            <family val="2"/>
          </rPr>
          <t>John:</t>
        </r>
        <r>
          <rPr>
            <sz val="9"/>
            <color indexed="81"/>
            <rFont val="Tahoma"/>
            <family val="2"/>
          </rPr>
          <t xml:space="preserve">
Education level not reported.</t>
        </r>
      </text>
    </comment>
    <comment ref="AA218" authorId="0" shapeId="0" xr:uid="{00000000-0006-0000-0000-000086010000}">
      <text>
        <r>
          <rPr>
            <b/>
            <sz val="9"/>
            <color indexed="81"/>
            <rFont val="Tahoma"/>
            <family val="2"/>
          </rPr>
          <t>John:</t>
        </r>
        <r>
          <rPr>
            <sz val="9"/>
            <color indexed="81"/>
            <rFont val="Tahoma"/>
            <family val="2"/>
          </rPr>
          <t xml:space="preserve">
psychological violence.</t>
        </r>
      </text>
    </comment>
    <comment ref="BK218" authorId="0" shapeId="0" xr:uid="{00000000-0006-0000-0000-000087010000}">
      <text>
        <r>
          <rPr>
            <b/>
            <sz val="9"/>
            <color indexed="81"/>
            <rFont val="Tahoma"/>
            <family val="2"/>
          </rPr>
          <t>John:</t>
        </r>
        <r>
          <rPr>
            <sz val="9"/>
            <color indexed="81"/>
            <rFont val="Tahoma"/>
            <family val="2"/>
          </rPr>
          <t xml:space="preserve">
financial abuse</t>
        </r>
      </text>
    </comment>
    <comment ref="BM218" authorId="0" shapeId="0" xr:uid="{00000000-0006-0000-0000-000088010000}">
      <text>
        <r>
          <rPr>
            <b/>
            <sz val="9"/>
            <color indexed="81"/>
            <rFont val="Tahoma"/>
            <family val="2"/>
          </rPr>
          <t>John:</t>
        </r>
        <r>
          <rPr>
            <sz val="9"/>
            <color indexed="81"/>
            <rFont val="Tahoma"/>
            <family val="2"/>
          </rPr>
          <t xml:space="preserve">
sexual violence</t>
        </r>
      </text>
    </comment>
    <comment ref="Y219" authorId="0" shapeId="0" xr:uid="{00000000-0006-0000-0000-000089010000}">
      <text>
        <r>
          <rPr>
            <b/>
            <sz val="9"/>
            <color indexed="81"/>
            <rFont val="Tahoma"/>
            <family val="2"/>
          </rPr>
          <t>John:</t>
        </r>
        <r>
          <rPr>
            <sz val="9"/>
            <color indexed="81"/>
            <rFont val="Tahoma"/>
            <family val="2"/>
          </rPr>
          <t xml:space="preserve">
"Out of the 83 women who were subjected to domestic violence, 52 (20.8%) women reported that their husbands humiliated
them in front of others"</t>
        </r>
      </text>
    </comment>
    <comment ref="AO219" authorId="0" shapeId="0" xr:uid="{00000000-0006-0000-0000-00008A010000}">
      <text>
        <r>
          <rPr>
            <b/>
            <sz val="9"/>
            <color indexed="81"/>
            <rFont val="Tahoma"/>
            <family val="2"/>
          </rPr>
          <t>John:</t>
        </r>
        <r>
          <rPr>
            <sz val="9"/>
            <color indexed="81"/>
            <rFont val="Tahoma"/>
            <family val="2"/>
          </rPr>
          <t xml:space="preserve">
11 women reported arm twisted.
12 women reported hair pulled.
Could add 11+12, but they may overlap.</t>
        </r>
      </text>
    </comment>
    <comment ref="AQ219" authorId="0" shapeId="0" xr:uid="{00000000-0006-0000-0000-00008B010000}">
      <text>
        <r>
          <rPr>
            <b/>
            <sz val="9"/>
            <color indexed="81"/>
            <rFont val="Tahoma"/>
            <family val="2"/>
          </rPr>
          <t>John:</t>
        </r>
        <r>
          <rPr>
            <sz val="9"/>
            <color indexed="81"/>
            <rFont val="Tahoma"/>
            <family val="2"/>
          </rPr>
          <t xml:space="preserve">
15 women reported being pushed.
11 women reported things thrown at them.
Could add 15+11, but they may overlap.</t>
        </r>
      </text>
    </comment>
    <comment ref="AU219" authorId="0" shapeId="0" xr:uid="{00000000-0006-0000-0000-00008C010000}">
      <text>
        <r>
          <rPr>
            <b/>
            <sz val="9"/>
            <color indexed="81"/>
            <rFont val="Tahoma"/>
            <family val="2"/>
          </rPr>
          <t>John:</t>
        </r>
        <r>
          <rPr>
            <sz val="9"/>
            <color indexed="81"/>
            <rFont val="Tahoma"/>
            <family val="2"/>
          </rPr>
          <t xml:space="preserve">
8 women reported being kicked.
9 women reported being dragged.
Could add 8+9, but they may overlap.</t>
        </r>
      </text>
    </comment>
    <comment ref="AW219" authorId="0" shapeId="0" xr:uid="{00000000-0006-0000-0000-00008D010000}">
      <text>
        <r>
          <rPr>
            <b/>
            <sz val="9"/>
            <color indexed="81"/>
            <rFont val="Tahoma"/>
            <family val="2"/>
          </rPr>
          <t>John:</t>
        </r>
        <r>
          <rPr>
            <sz val="9"/>
            <color indexed="81"/>
            <rFont val="Tahoma"/>
            <family val="2"/>
          </rPr>
          <t xml:space="preserve">
2 women reported being choked.
3 women reported being burned.
Can add 2+3, but they may overlap.</t>
        </r>
      </text>
    </comment>
    <comment ref="AY219" authorId="0" shapeId="0" xr:uid="{00000000-0006-0000-0000-00008E010000}">
      <text>
        <r>
          <rPr>
            <b/>
            <sz val="9"/>
            <color indexed="81"/>
            <rFont val="Tahoma"/>
            <family val="2"/>
          </rPr>
          <t>John:</t>
        </r>
        <r>
          <rPr>
            <sz val="9"/>
            <color indexed="81"/>
            <rFont val="Tahoma"/>
            <family val="2"/>
          </rPr>
          <t xml:space="preserve">
Hit by hand</t>
        </r>
      </text>
    </comment>
    <comment ref="H220" authorId="0" shapeId="0" xr:uid="{00000000-0006-0000-0000-00008F010000}">
      <text>
        <r>
          <rPr>
            <b/>
            <sz val="9"/>
            <color indexed="81"/>
            <rFont val="Tahoma"/>
            <family val="2"/>
          </rPr>
          <t>John:</t>
        </r>
        <r>
          <rPr>
            <sz val="9"/>
            <color indexed="81"/>
            <rFont val="Tahoma"/>
            <family val="2"/>
          </rPr>
          <t xml:space="preserve">
72% from rural areas.</t>
        </r>
      </text>
    </comment>
    <comment ref="H221" authorId="0" shapeId="0" xr:uid="{00000000-0006-0000-0000-000090010000}">
      <text>
        <r>
          <rPr>
            <b/>
            <sz val="9"/>
            <color indexed="81"/>
            <rFont val="Tahoma"/>
            <family val="2"/>
          </rPr>
          <t>John:</t>
        </r>
        <r>
          <rPr>
            <sz val="9"/>
            <color indexed="81"/>
            <rFont val="Tahoma"/>
            <family val="2"/>
          </rPr>
          <t xml:space="preserve">
53% of sample from rural areas.</t>
        </r>
      </text>
    </comment>
    <comment ref="M221" authorId="0" shapeId="0" xr:uid="{00000000-0006-0000-0000-000091010000}">
      <text>
        <r>
          <rPr>
            <b/>
            <sz val="9"/>
            <color indexed="81"/>
            <rFont val="Tahoma"/>
            <family val="2"/>
          </rPr>
          <t>John:</t>
        </r>
        <r>
          <rPr>
            <sz val="9"/>
            <color indexed="81"/>
            <rFont val="Tahoma"/>
            <family val="2"/>
          </rPr>
          <t xml:space="preserve">
52.7% of respondents were female.</t>
        </r>
      </text>
    </comment>
    <comment ref="R221" authorId="0" shapeId="0" xr:uid="{00000000-0006-0000-0000-000092010000}">
      <text>
        <r>
          <rPr>
            <b/>
            <sz val="9"/>
            <color indexed="81"/>
            <rFont val="Tahoma"/>
            <family val="2"/>
          </rPr>
          <t>John:</t>
        </r>
        <r>
          <rPr>
            <sz val="9"/>
            <color indexed="81"/>
            <rFont val="Tahoma"/>
            <family val="2"/>
          </rPr>
          <t xml:space="preserve">
Most people interviewed were in the range 20-30 years.</t>
        </r>
      </text>
    </comment>
    <comment ref="M222" authorId="0" shapeId="0" xr:uid="{00000000-0006-0000-0000-000093010000}">
      <text>
        <r>
          <rPr>
            <b/>
            <sz val="9"/>
            <color indexed="81"/>
            <rFont val="Tahoma"/>
            <family val="2"/>
          </rPr>
          <t>John:</t>
        </r>
        <r>
          <rPr>
            <sz val="9"/>
            <color indexed="81"/>
            <rFont val="Tahoma"/>
            <family val="2"/>
          </rPr>
          <t xml:space="preserve">
49.8% married under 18 years old.</t>
        </r>
      </text>
    </comment>
    <comment ref="S222" authorId="0" shapeId="0" xr:uid="{00000000-0006-0000-0000-000094010000}">
      <text>
        <r>
          <rPr>
            <b/>
            <sz val="9"/>
            <color indexed="81"/>
            <rFont val="Tahoma"/>
            <family val="2"/>
          </rPr>
          <t>John:</t>
        </r>
        <r>
          <rPr>
            <sz val="9"/>
            <color indexed="81"/>
            <rFont val="Tahoma"/>
            <family val="2"/>
          </rPr>
          <t xml:space="preserve">
49.8% of women married when under 18 years old.</t>
        </r>
      </text>
    </comment>
    <comment ref="X222" authorId="0" shapeId="0" xr:uid="{00000000-0006-0000-0000-000095010000}">
      <text>
        <r>
          <rPr>
            <b/>
            <sz val="9"/>
            <color indexed="81"/>
            <rFont val="Tahoma"/>
            <family val="2"/>
          </rPr>
          <t>John:</t>
        </r>
        <r>
          <rPr>
            <sz val="9"/>
            <color indexed="81"/>
            <rFont val="Tahoma"/>
            <family val="2"/>
          </rPr>
          <t xml:space="preserve">
26.8% have 'above class 10', which John Simister interprets as over 10 years in education. Assume they are completed secondary education on average.</t>
        </r>
      </text>
    </comment>
    <comment ref="I223" authorId="0" shapeId="0" xr:uid="{00000000-0006-0000-0000-000096010000}">
      <text>
        <r>
          <rPr>
            <b/>
            <sz val="9"/>
            <color indexed="81"/>
            <rFont val="Tahoma"/>
            <family val="2"/>
          </rPr>
          <t>John:</t>
        </r>
        <r>
          <rPr>
            <sz val="9"/>
            <color indexed="81"/>
            <rFont val="Tahoma"/>
            <family val="2"/>
          </rPr>
          <t xml:space="preserve">
Date of survey isn't given. I estimate the date as a few years before the journal article was received (2014).</t>
        </r>
      </text>
    </comment>
    <comment ref="BI223" authorId="0" shapeId="0" xr:uid="{00000000-0006-0000-0000-000097010000}">
      <text>
        <r>
          <rPr>
            <b/>
            <sz val="9"/>
            <color indexed="81"/>
            <rFont val="Tahoma"/>
            <family val="2"/>
          </rPr>
          <t>John:</t>
        </r>
        <r>
          <rPr>
            <sz val="9"/>
            <color indexed="81"/>
            <rFont val="Tahoma"/>
            <family val="2"/>
          </rPr>
          <t xml:space="preserve">
slap/kick/beat.
</t>
        </r>
      </text>
    </comment>
    <comment ref="X224" authorId="0" shapeId="0" xr:uid="{00000000-0006-0000-0000-000098010000}">
      <text>
        <r>
          <rPr>
            <b/>
            <sz val="9"/>
            <color indexed="81"/>
            <rFont val="Tahoma"/>
            <family val="2"/>
          </rPr>
          <t>John:</t>
        </r>
        <r>
          <rPr>
            <sz val="9"/>
            <color indexed="81"/>
            <rFont val="Tahoma"/>
            <family val="2"/>
          </rPr>
          <t xml:space="preserve">
Education level not reported.</t>
        </r>
      </text>
    </comment>
    <comment ref="I225" authorId="0" shapeId="0" xr:uid="{00000000-0006-0000-0000-000099010000}">
      <text>
        <r>
          <rPr>
            <b/>
            <sz val="9"/>
            <color indexed="81"/>
            <rFont val="Tahoma"/>
            <family val="2"/>
          </rPr>
          <t>John:</t>
        </r>
        <r>
          <rPr>
            <sz val="9"/>
            <color indexed="81"/>
            <rFont val="Tahoma"/>
            <family val="2"/>
          </rPr>
          <t xml:space="preserve">
Date of survey isn't given. I estimate the date as a few years before the journal article was received (2015).</t>
        </r>
      </text>
    </comment>
    <comment ref="X225" authorId="0" shapeId="0" xr:uid="{00000000-0006-0000-0000-00009A010000}">
      <text>
        <r>
          <rPr>
            <b/>
            <sz val="9"/>
            <color indexed="81"/>
            <rFont val="Tahoma"/>
            <family val="2"/>
          </rPr>
          <t>John:</t>
        </r>
        <r>
          <rPr>
            <sz val="9"/>
            <color indexed="81"/>
            <rFont val="Tahoma"/>
            <family val="2"/>
          </rPr>
          <t xml:space="preserve">
Table on page 229: 
level of education 
89 women ‘‘none to 12th standard’’
61 women ‘‘above 12th standard’’</t>
        </r>
      </text>
    </comment>
    <comment ref="AA225" authorId="0" shapeId="0" xr:uid="{00000000-0006-0000-0000-00009B010000}">
      <text>
        <r>
          <rPr>
            <b/>
            <sz val="9"/>
            <color indexed="81"/>
            <rFont val="Tahoma"/>
            <family val="2"/>
          </rPr>
          <t>John:</t>
        </r>
        <r>
          <rPr>
            <sz val="9"/>
            <color indexed="81"/>
            <rFont val="Tahoma"/>
            <family val="2"/>
          </rPr>
          <t xml:space="preserve">
Has anyone ever insulted you, frightened you or someone you love, did something that made you feel afraid without touching you, or abandoned you?</t>
        </r>
      </text>
    </comment>
    <comment ref="BI225" authorId="0" shapeId="0" xr:uid="{00000000-0006-0000-0000-00009C010000}">
      <text>
        <r>
          <rPr>
            <b/>
            <sz val="9"/>
            <color indexed="81"/>
            <rFont val="Tahoma"/>
            <family val="2"/>
          </rPr>
          <t>John:</t>
        </r>
        <r>
          <rPr>
            <sz val="9"/>
            <color indexed="81"/>
            <rFont val="Tahoma"/>
            <family val="2"/>
          </rPr>
          <t xml:space="preserve">
Has anyone ever
slapped, hit, kicked or beaten you?</t>
        </r>
      </text>
    </comment>
    <comment ref="BM225" authorId="0" shapeId="0" xr:uid="{00000000-0006-0000-0000-00009D010000}">
      <text>
        <r>
          <rPr>
            <b/>
            <sz val="9"/>
            <color indexed="81"/>
            <rFont val="Tahoma"/>
            <family val="2"/>
          </rPr>
          <t>John:</t>
        </r>
        <r>
          <rPr>
            <sz val="9"/>
            <color indexed="81"/>
            <rFont val="Tahoma"/>
            <family val="2"/>
          </rPr>
          <t xml:space="preserve">
zero reported, but this is unreliable in such a small sample.</t>
        </r>
      </text>
    </comment>
    <comment ref="CA226" authorId="0" shapeId="0" xr:uid="{00000000-0006-0000-0000-00009E010000}">
      <text>
        <r>
          <rPr>
            <b/>
            <sz val="9"/>
            <color indexed="81"/>
            <rFont val="Tahoma"/>
            <family val="2"/>
          </rPr>
          <t>John:</t>
        </r>
        <r>
          <rPr>
            <sz val="9"/>
            <color indexed="81"/>
            <rFont val="Tahoma"/>
            <family val="2"/>
          </rPr>
          <t xml:space="preserve">
housework-related mistakes (cooking food incorrectly, not working effectively, not caring for the children, and so forth):
43%.</t>
        </r>
      </text>
    </comment>
    <comment ref="CE226" authorId="0" shapeId="0" xr:uid="{00000000-0006-0000-0000-00009F010000}">
      <text>
        <r>
          <rPr>
            <b/>
            <sz val="9"/>
            <color indexed="81"/>
            <rFont val="Tahoma"/>
            <family val="2"/>
          </rPr>
          <t>John:</t>
        </r>
        <r>
          <rPr>
            <sz val="9"/>
            <color indexed="81"/>
            <rFont val="Tahoma"/>
            <family val="2"/>
          </rPr>
          <t xml:space="preserve">
disobeying the husband (talking back, leaving without permission, or not following directions):
50%.</t>
        </r>
      </text>
    </comment>
    <comment ref="CF226" authorId="0" shapeId="0" xr:uid="{00000000-0006-0000-0000-0000A0010000}">
      <text>
        <r>
          <rPr>
            <b/>
            <sz val="9"/>
            <color indexed="81"/>
            <rFont val="Tahoma"/>
            <family val="2"/>
          </rPr>
          <t>John:</t>
        </r>
        <r>
          <rPr>
            <sz val="9"/>
            <color indexed="81"/>
            <rFont val="Tahoma"/>
            <family val="2"/>
          </rPr>
          <t xml:space="preserve">
This survey also has data on a small male sample (n=52), but the only helpful question is this one: 85% of men say he can hit wife if she is unfaithful.</t>
        </r>
      </text>
    </comment>
    <comment ref="I227" authorId="0" shapeId="0" xr:uid="{00000000-0006-0000-0000-0000A1010000}">
      <text>
        <r>
          <rPr>
            <b/>
            <sz val="9"/>
            <color indexed="81"/>
            <rFont val="Tahoma"/>
            <family val="2"/>
          </rPr>
          <t>John:</t>
        </r>
        <r>
          <rPr>
            <sz val="9"/>
            <color indexed="81"/>
            <rFont val="Tahoma"/>
            <family val="2"/>
          </rPr>
          <t xml:space="preserve">
Date of survey isn't given. I estimate the date as a few years before the journal article was received (2014).</t>
        </r>
      </text>
    </comment>
    <comment ref="U227" authorId="0" shapeId="0" xr:uid="{00000000-0006-0000-0000-0000A2010000}">
      <text>
        <r>
          <rPr>
            <b/>
            <sz val="9"/>
            <color indexed="81"/>
            <rFont val="Tahoma"/>
            <family val="2"/>
          </rPr>
          <t>John:</t>
        </r>
        <r>
          <rPr>
            <sz val="9"/>
            <color indexed="81"/>
            <rFont val="Tahoma"/>
            <family val="2"/>
          </rPr>
          <t xml:space="preserve">
Results on this row are a control group; the same article has data on another 50 women.</t>
        </r>
      </text>
    </comment>
    <comment ref="BO227" authorId="0" shapeId="0" xr:uid="{00000000-0006-0000-0000-0000A3010000}">
      <text>
        <r>
          <rPr>
            <b/>
            <sz val="9"/>
            <color indexed="81"/>
            <rFont val="Tahoma"/>
            <family val="2"/>
          </rPr>
          <t>John:</t>
        </r>
        <r>
          <rPr>
            <sz val="9"/>
            <color indexed="81"/>
            <rFont val="Tahoma"/>
            <family val="2"/>
          </rPr>
          <t xml:space="preserve">
Sexual violence.</t>
        </r>
      </text>
    </comment>
    <comment ref="I228" authorId="0" shapeId="0" xr:uid="{00000000-0006-0000-0000-0000A4010000}">
      <text>
        <r>
          <rPr>
            <b/>
            <sz val="9"/>
            <color indexed="81"/>
            <rFont val="Tahoma"/>
            <family val="2"/>
          </rPr>
          <t>John:</t>
        </r>
        <r>
          <rPr>
            <sz val="9"/>
            <color indexed="81"/>
            <rFont val="Tahoma"/>
            <family val="2"/>
          </rPr>
          <t xml:space="preserve">
Date of survey isn't given. I estimate the date as a few years before the journal article was received (2014).</t>
        </r>
      </text>
    </comment>
    <comment ref="X228" authorId="0" shapeId="0" xr:uid="{00000000-0006-0000-0000-0000A5010000}">
      <text>
        <r>
          <rPr>
            <b/>
            <sz val="9"/>
            <color indexed="81"/>
            <rFont val="Tahoma"/>
            <family val="2"/>
          </rPr>
          <t>John:</t>
        </r>
        <r>
          <rPr>
            <sz val="9"/>
            <color indexed="81"/>
            <rFont val="Tahoma"/>
            <family val="2"/>
          </rPr>
          <t xml:space="preserve">
Education level not reported.</t>
        </r>
      </text>
    </comment>
    <comment ref="BJ228" authorId="0" shapeId="0" xr:uid="{00000000-0006-0000-0000-0000A6010000}">
      <text>
        <r>
          <rPr>
            <b/>
            <sz val="9"/>
            <color indexed="81"/>
            <rFont val="Tahoma"/>
            <family val="2"/>
          </rPr>
          <t>John:</t>
        </r>
        <r>
          <rPr>
            <sz val="9"/>
            <color indexed="81"/>
            <rFont val="Tahoma"/>
            <family val="2"/>
          </rPr>
          <t xml:space="preserve">
This appears to be the fraction of women experiencing GBV in pregnancy; but the article isn't clear - it might be 'ever experienced' GBV.</t>
        </r>
      </text>
    </comment>
    <comment ref="I229" authorId="0" shapeId="0" xr:uid="{00000000-0006-0000-0000-0000A7010000}">
      <text>
        <r>
          <rPr>
            <b/>
            <sz val="9"/>
            <color indexed="81"/>
            <rFont val="Tahoma"/>
            <family val="2"/>
          </rPr>
          <t>John:</t>
        </r>
        <r>
          <rPr>
            <sz val="9"/>
            <color indexed="81"/>
            <rFont val="Tahoma"/>
            <family val="2"/>
          </rPr>
          <t xml:space="preserve">
April 2011 to January 2012
</t>
        </r>
      </text>
    </comment>
    <comment ref="S229" authorId="0" shapeId="0" xr:uid="{00000000-0006-0000-0000-0000A8010000}">
      <text>
        <r>
          <rPr>
            <b/>
            <sz val="9"/>
            <color indexed="81"/>
            <rFont val="Tahoma"/>
            <family val="2"/>
          </rPr>
          <t>John:</t>
        </r>
        <r>
          <rPr>
            <sz val="9"/>
            <color indexed="81"/>
            <rFont val="Tahoma"/>
            <family val="2"/>
          </rPr>
          <t xml:space="preserve">
(81+87)/260 women married when under 18 years old.</t>
        </r>
      </text>
    </comment>
    <comment ref="AC229" authorId="0" shapeId="0" xr:uid="{00000000-0006-0000-0000-0000A9010000}">
      <text>
        <r>
          <rPr>
            <b/>
            <sz val="9"/>
            <color indexed="81"/>
            <rFont val="Tahoma"/>
            <family val="2"/>
          </rPr>
          <t>John:</t>
        </r>
        <r>
          <rPr>
            <sz val="9"/>
            <color indexed="81"/>
            <rFont val="Tahoma"/>
            <family val="2"/>
          </rPr>
          <t xml:space="preserve">
Blaming character of spouse.</t>
        </r>
      </text>
    </comment>
    <comment ref="AE229" authorId="0" shapeId="0" xr:uid="{00000000-0006-0000-0000-0000AA010000}">
      <text>
        <r>
          <rPr>
            <b/>
            <sz val="9"/>
            <color indexed="81"/>
            <rFont val="Tahoma"/>
            <family val="2"/>
          </rPr>
          <t xml:space="preserve">John:
</t>
        </r>
        <r>
          <rPr>
            <sz val="9"/>
            <color indexed="81"/>
            <rFont val="Tahoma"/>
            <family val="2"/>
          </rPr>
          <t>=100*68/260 = 26%
threatened to leave her.</t>
        </r>
      </text>
    </comment>
    <comment ref="AM229" authorId="0" shapeId="0" xr:uid="{00000000-0006-0000-0000-0000AB010000}">
      <text>
        <r>
          <rPr>
            <b/>
            <sz val="9"/>
            <color indexed="81"/>
            <rFont val="Tahoma"/>
            <family val="2"/>
          </rPr>
          <t>John:</t>
        </r>
        <r>
          <rPr>
            <sz val="9"/>
            <color indexed="81"/>
            <rFont val="Tahoma"/>
            <family val="2"/>
          </rPr>
          <t xml:space="preserve">
slapping/beating.
John Simister assumes half are slap, the other half are beating.</t>
        </r>
      </text>
    </comment>
    <comment ref="AQ229" authorId="0" shapeId="0" xr:uid="{00000000-0006-0000-0000-0000AC010000}">
      <text>
        <r>
          <rPr>
            <b/>
            <sz val="9"/>
            <color indexed="81"/>
            <rFont val="Tahoma"/>
            <family val="2"/>
          </rPr>
          <t>John:</t>
        </r>
        <r>
          <rPr>
            <sz val="9"/>
            <color indexed="81"/>
            <rFont val="Tahoma"/>
            <family val="2"/>
          </rPr>
          <t xml:space="preserve">
"object throwing"</t>
        </r>
      </text>
    </comment>
    <comment ref="AS229" authorId="0" shapeId="0" xr:uid="{00000000-0006-0000-0000-0000AD010000}">
      <text>
        <r>
          <rPr>
            <b/>
            <sz val="9"/>
            <color indexed="81"/>
            <rFont val="Tahoma"/>
            <family val="2"/>
          </rPr>
          <t>John:</t>
        </r>
        <r>
          <rPr>
            <sz val="9"/>
            <color indexed="81"/>
            <rFont val="Tahoma"/>
            <family val="2"/>
          </rPr>
          <t xml:space="preserve">
Other (choking, punching, threatening to kill).
Use DHS 2005/6 data to split between punch and choke column.</t>
        </r>
      </text>
    </comment>
    <comment ref="AW229" authorId="0" shapeId="0" xr:uid="{00000000-0006-0000-0000-0000AE010000}">
      <text>
        <r>
          <rPr>
            <b/>
            <sz val="9"/>
            <color indexed="81"/>
            <rFont val="Tahoma"/>
            <family val="2"/>
          </rPr>
          <t>John:</t>
        </r>
        <r>
          <rPr>
            <sz val="9"/>
            <color indexed="81"/>
            <rFont val="Tahoma"/>
            <family val="2"/>
          </rPr>
          <t xml:space="preserve">
Other (choking, punching, threatening to kill).
Use DHS 2005/6 data to split between punch and choke column.</t>
        </r>
      </text>
    </comment>
    <comment ref="BC229" authorId="0" shapeId="0" xr:uid="{00000000-0006-0000-0000-0000AF010000}">
      <text>
        <r>
          <rPr>
            <b/>
            <sz val="9"/>
            <color indexed="81"/>
            <rFont val="Tahoma"/>
            <family val="2"/>
          </rPr>
          <t>John:</t>
        </r>
        <r>
          <rPr>
            <sz val="9"/>
            <color indexed="81"/>
            <rFont val="Tahoma"/>
            <family val="2"/>
          </rPr>
          <t xml:space="preserve">
slapping/beating.
John Simister assumes half are slap, the other half are beating.</t>
        </r>
      </text>
    </comment>
    <comment ref="BM229" authorId="0" shapeId="0" xr:uid="{00000000-0006-0000-0000-0000B0010000}">
      <text>
        <r>
          <rPr>
            <b/>
            <sz val="9"/>
            <color indexed="81"/>
            <rFont val="Tahoma"/>
            <family val="2"/>
          </rPr>
          <t>John:</t>
        </r>
        <r>
          <rPr>
            <sz val="9"/>
            <color indexed="81"/>
            <rFont val="Tahoma"/>
            <family val="2"/>
          </rPr>
          <t xml:space="preserve">
60/260: "sexual violence", of which:
35/260: "Pressure for sex".
31/260: "Hurt for sex".</t>
        </r>
      </text>
    </comment>
    <comment ref="BO229" authorId="0" shapeId="0" xr:uid="{00000000-0006-0000-0000-0000B1010000}">
      <text>
        <r>
          <rPr>
            <b/>
            <sz val="9"/>
            <color indexed="81"/>
            <rFont val="Tahoma"/>
            <family val="2"/>
          </rPr>
          <t>John:</t>
        </r>
        <r>
          <rPr>
            <sz val="9"/>
            <color indexed="81"/>
            <rFont val="Tahoma"/>
            <family val="2"/>
          </rPr>
          <t xml:space="preserve">
60/260: "sexual violence", of which:
35/260: "Pressure for sex".
31/260: "Hurt for sex".</t>
        </r>
      </text>
    </comment>
    <comment ref="BV229" authorId="0" shapeId="0" xr:uid="{00000000-0006-0000-0000-0000B2010000}">
      <text>
        <r>
          <rPr>
            <b/>
            <sz val="9"/>
            <color indexed="81"/>
            <rFont val="Tahoma"/>
            <family val="2"/>
          </rPr>
          <t>John:</t>
        </r>
        <r>
          <rPr>
            <sz val="9"/>
            <color indexed="81"/>
            <rFont val="Tahoma"/>
            <family val="2"/>
          </rPr>
          <t xml:space="preserve">
This paper doesn't make clear if violence is just from husband, or includes violence from other family members.</t>
        </r>
      </text>
    </comment>
    <comment ref="I230" authorId="0" shapeId="0" xr:uid="{00000000-0006-0000-0000-0000B3010000}">
      <text>
        <r>
          <rPr>
            <b/>
            <sz val="9"/>
            <color indexed="81"/>
            <rFont val="Tahoma"/>
            <family val="2"/>
          </rPr>
          <t>John:</t>
        </r>
        <r>
          <rPr>
            <sz val="9"/>
            <color indexed="81"/>
            <rFont val="Tahoma"/>
            <family val="2"/>
          </rPr>
          <t xml:space="preserve">
Date of survey isn't given. I estimate the date as a few years before the journal article was received (2014).</t>
        </r>
      </text>
    </comment>
    <comment ref="M230" authorId="0" shapeId="0" xr:uid="{00000000-0006-0000-0000-0000B4010000}">
      <text>
        <r>
          <rPr>
            <b/>
            <sz val="9"/>
            <color indexed="81"/>
            <rFont val="Tahoma"/>
            <family val="2"/>
          </rPr>
          <t>John:</t>
        </r>
        <r>
          <rPr>
            <sz val="9"/>
            <color indexed="81"/>
            <rFont val="Tahoma"/>
            <family val="2"/>
          </rPr>
          <t xml:space="preserve">
More than three-quarters of sample currently married; some cohabiting.</t>
        </r>
      </text>
    </comment>
    <comment ref="BK230" authorId="0" shapeId="0" xr:uid="{00000000-0006-0000-0000-0000B5010000}">
      <text>
        <r>
          <rPr>
            <b/>
            <sz val="9"/>
            <color indexed="81"/>
            <rFont val="Tahoma"/>
            <family val="2"/>
          </rPr>
          <t>John:</t>
        </r>
        <r>
          <rPr>
            <sz val="9"/>
            <color indexed="81"/>
            <rFont val="Tahoma"/>
            <family val="2"/>
          </rPr>
          <t xml:space="preserve">
Economic abuse:
1. Prohibited a partner from getting a job, going to work, trading or earning money
2. Took a wife/partner’s earnings against her will
3. Threw a wife/partner out of the house</t>
        </r>
      </text>
    </comment>
    <comment ref="CB230" authorId="0" shapeId="0" xr:uid="{00000000-0006-0000-0000-0000B6010000}">
      <text>
        <r>
          <rPr>
            <b/>
            <sz val="9"/>
            <color indexed="81"/>
            <rFont val="Tahoma"/>
            <family val="2"/>
          </rPr>
          <t>John:</t>
        </r>
        <r>
          <rPr>
            <sz val="9"/>
            <color indexed="81"/>
            <rFont val="Tahoma"/>
            <family val="2"/>
          </rPr>
          <t xml:space="preserve">
Agree with statement
'A woman cannot refuse to have sex with her husband'.</t>
        </r>
      </text>
    </comment>
    <comment ref="CE230" authorId="0" shapeId="0" xr:uid="{00000000-0006-0000-0000-0000B7010000}">
      <text>
        <r>
          <rPr>
            <b/>
            <sz val="9"/>
            <color indexed="81"/>
            <rFont val="Tahoma"/>
            <family val="2"/>
          </rPr>
          <t>John:</t>
        </r>
        <r>
          <rPr>
            <sz val="9"/>
            <color indexed="81"/>
            <rFont val="Tahoma"/>
            <family val="2"/>
          </rPr>
          <t xml:space="preserve">
Agree with 'There are times when a woman deserves to be beaten'.
OR: 78.7% agree 'If a wife/partner does something wrong her husband has right to punish her'.
There are other attitude Qs, such as 91.1% of women agree 'A woman should obey her husband'.</t>
        </r>
      </text>
    </comment>
    <comment ref="I231" authorId="0" shapeId="0" xr:uid="{00000000-0006-0000-0000-0000B8010000}">
      <text>
        <r>
          <rPr>
            <b/>
            <sz val="9"/>
            <color indexed="81"/>
            <rFont val="Tahoma"/>
            <family val="2"/>
          </rPr>
          <t>John:</t>
        </r>
        <r>
          <rPr>
            <sz val="9"/>
            <color indexed="81"/>
            <rFont val="Tahoma"/>
            <family val="2"/>
          </rPr>
          <t xml:space="preserve">
Date of survey isn't given. I estimate the date as a few years before the journal article was received (2014).</t>
        </r>
      </text>
    </comment>
    <comment ref="CB231" authorId="0" shapeId="0" xr:uid="{00000000-0006-0000-0000-0000B9010000}">
      <text>
        <r>
          <rPr>
            <b/>
            <sz val="9"/>
            <color indexed="81"/>
            <rFont val="Tahoma"/>
            <family val="2"/>
          </rPr>
          <t>John:</t>
        </r>
        <r>
          <rPr>
            <sz val="9"/>
            <color indexed="81"/>
            <rFont val="Tahoma"/>
            <family val="2"/>
          </rPr>
          <t xml:space="preserve">
Agree with statement
'A woman cannot refuse to have sex with her husband'.</t>
        </r>
      </text>
    </comment>
    <comment ref="CE231" authorId="0" shapeId="0" xr:uid="{00000000-0006-0000-0000-0000BA010000}">
      <text>
        <r>
          <rPr>
            <b/>
            <sz val="9"/>
            <color indexed="81"/>
            <rFont val="Tahoma"/>
            <family val="2"/>
          </rPr>
          <t>John:</t>
        </r>
        <r>
          <rPr>
            <sz val="9"/>
            <color indexed="81"/>
            <rFont val="Tahoma"/>
            <family val="2"/>
          </rPr>
          <t xml:space="preserve">
Agree with 'There are times when a woman deserves to be beaten'.</t>
        </r>
      </text>
    </comment>
    <comment ref="I232" authorId="0" shapeId="0" xr:uid="{00000000-0006-0000-0000-0000BB010000}">
      <text>
        <r>
          <rPr>
            <b/>
            <sz val="9"/>
            <color indexed="81"/>
            <rFont val="Tahoma"/>
            <family val="2"/>
          </rPr>
          <t>John:</t>
        </r>
        <r>
          <rPr>
            <sz val="9"/>
            <color indexed="81"/>
            <rFont val="Tahoma"/>
            <family val="2"/>
          </rPr>
          <t xml:space="preserve">
Date of survey isn't given. I estimate the date as a few years before the journal article was published (2015).</t>
        </r>
      </text>
    </comment>
    <comment ref="R232" authorId="0" shapeId="0" xr:uid="{00000000-0006-0000-0000-0000BC010000}">
      <text>
        <r>
          <rPr>
            <b/>
            <sz val="9"/>
            <color indexed="81"/>
            <rFont val="Tahoma"/>
            <family val="2"/>
          </rPr>
          <t>John:</t>
        </r>
        <r>
          <rPr>
            <sz val="9"/>
            <color indexed="81"/>
            <rFont val="Tahoma"/>
            <family val="2"/>
          </rPr>
          <t xml:space="preserve">
Most in age-group 35-45</t>
        </r>
      </text>
    </comment>
    <comment ref="X232" authorId="0" shapeId="0" xr:uid="{00000000-0006-0000-0000-0000BD010000}">
      <text>
        <r>
          <rPr>
            <b/>
            <sz val="9"/>
            <color indexed="81"/>
            <rFont val="Tahoma"/>
            <family val="2"/>
          </rPr>
          <t>John:</t>
        </r>
        <r>
          <rPr>
            <sz val="9"/>
            <color indexed="81"/>
            <rFont val="Tahoma"/>
            <family val="2"/>
          </rPr>
          <t xml:space="preserve">
Education level not reported.
33% were illiterate.</t>
        </r>
      </text>
    </comment>
    <comment ref="AA232" authorId="0" shapeId="0" xr:uid="{00000000-0006-0000-0000-0000BE010000}">
      <text>
        <r>
          <rPr>
            <b/>
            <sz val="9"/>
            <color indexed="81"/>
            <rFont val="Tahoma"/>
            <family val="2"/>
          </rPr>
          <t>John:</t>
        </r>
        <r>
          <rPr>
            <sz val="9"/>
            <color indexed="81"/>
            <rFont val="Tahoma"/>
            <family val="2"/>
          </rPr>
          <t xml:space="preserve">
called "mental torture".</t>
        </r>
      </text>
    </comment>
    <comment ref="BI232" authorId="0" shapeId="0" xr:uid="{00000000-0006-0000-0000-0000BF010000}">
      <text>
        <r>
          <rPr>
            <b/>
            <sz val="9"/>
            <color indexed="81"/>
            <rFont val="Tahoma"/>
            <family val="2"/>
          </rPr>
          <t>John:</t>
        </r>
        <r>
          <rPr>
            <sz val="9"/>
            <color indexed="81"/>
            <rFont val="Tahoma"/>
            <family val="2"/>
          </rPr>
          <t xml:space="preserve">
slapping, kicking, tearing hair, pushing and pulling, hitting with an object, attempting to strangulate and threatening.</t>
        </r>
      </text>
    </comment>
    <comment ref="BS232" authorId="0" shapeId="0" xr:uid="{00000000-0006-0000-0000-0000C0010000}">
      <text>
        <r>
          <rPr>
            <b/>
            <sz val="9"/>
            <color indexed="81"/>
            <rFont val="Tahoma"/>
            <family val="2"/>
          </rPr>
          <t>John:</t>
        </r>
        <r>
          <rPr>
            <sz val="9"/>
            <color indexed="81"/>
            <rFont val="Tahoma"/>
            <family val="2"/>
          </rPr>
          <t xml:space="preserve">
called "abuse".</t>
        </r>
      </text>
    </comment>
    <comment ref="BW232" authorId="0" shapeId="0" xr:uid="{00000000-0006-0000-0000-0000C1010000}">
      <text>
        <r>
          <rPr>
            <b/>
            <sz val="9"/>
            <color indexed="81"/>
            <rFont val="Tahoma"/>
            <family val="2"/>
          </rPr>
          <t>John:</t>
        </r>
        <r>
          <rPr>
            <sz val="9"/>
            <color indexed="81"/>
            <rFont val="Tahoma"/>
            <family val="2"/>
          </rPr>
          <t xml:space="preserve">
64 women battered by husband;
40 women battered by other family members.</t>
        </r>
      </text>
    </comment>
    <comment ref="S235" authorId="0" shapeId="0" xr:uid="{00000000-0006-0000-0000-0000C2010000}">
      <text>
        <r>
          <rPr>
            <b/>
            <sz val="9"/>
            <color indexed="81"/>
            <rFont val="Tahoma"/>
            <family val="2"/>
          </rPr>
          <t>John:</t>
        </r>
        <r>
          <rPr>
            <sz val="9"/>
            <color indexed="81"/>
            <rFont val="Tahoma"/>
            <family val="2"/>
          </rPr>
          <t xml:space="preserve">
400 women married at under 18 years old;
737 women married at age 18 or older.</t>
        </r>
      </text>
    </comment>
    <comment ref="W235" authorId="0" shapeId="0" xr:uid="{00000000-0006-0000-0000-0000C3010000}">
      <text>
        <r>
          <rPr>
            <b/>
            <sz val="9"/>
            <color indexed="81"/>
            <rFont val="Tahoma"/>
            <family val="2"/>
          </rPr>
          <t>John:</t>
        </r>
        <r>
          <rPr>
            <sz val="9"/>
            <color indexed="81"/>
            <rFont val="Tahoma"/>
            <family val="2"/>
          </rPr>
          <t xml:space="preserve">
It's not clear if this is a representative sample: it includes only women with an unmet need for contraceptives.</t>
        </r>
      </text>
    </comment>
    <comment ref="X235" authorId="0" shapeId="0" xr:uid="{00000000-0006-0000-0000-0000C4010000}">
      <text>
        <r>
          <rPr>
            <b/>
            <sz val="9"/>
            <color indexed="81"/>
            <rFont val="Tahoma"/>
            <family val="2"/>
          </rPr>
          <t>John:</t>
        </r>
        <r>
          <rPr>
            <sz val="9"/>
            <color indexed="81"/>
            <rFont val="Tahoma"/>
            <family val="2"/>
          </rPr>
          <t xml:space="preserve">
178 illiterate women;
959 literate women - John Simister assumed they have incomplete secondary education.</t>
        </r>
      </text>
    </comment>
    <comment ref="I236" authorId="0" shapeId="0" xr:uid="{00000000-0006-0000-0000-0000C5010000}">
      <text>
        <r>
          <rPr>
            <b/>
            <sz val="9"/>
            <color indexed="81"/>
            <rFont val="Tahoma"/>
            <family val="2"/>
          </rPr>
          <t>John:</t>
        </r>
        <r>
          <rPr>
            <sz val="9"/>
            <color indexed="81"/>
            <rFont val="Tahoma"/>
            <family val="2"/>
          </rPr>
          <t xml:space="preserve">
Date of survey isn't given. I estimate the date as a few years before the journal article was published (2015).</t>
        </r>
      </text>
    </comment>
    <comment ref="X236" authorId="0" shapeId="0" xr:uid="{00000000-0006-0000-0000-0000C6010000}">
      <text>
        <r>
          <rPr>
            <b/>
            <sz val="9"/>
            <color indexed="81"/>
            <rFont val="Tahoma"/>
            <family val="2"/>
          </rPr>
          <t>John:</t>
        </r>
        <r>
          <rPr>
            <sz val="9"/>
            <color indexed="81"/>
            <rFont val="Tahoma"/>
            <family val="2"/>
          </rPr>
          <t xml:space="preserve">
Education level not reported.</t>
        </r>
      </text>
    </comment>
    <comment ref="BW236" authorId="0" shapeId="0" xr:uid="{00000000-0006-0000-0000-0000C7010000}">
      <text>
        <r>
          <rPr>
            <b/>
            <sz val="9"/>
            <color indexed="81"/>
            <rFont val="Tahoma"/>
            <family val="2"/>
          </rPr>
          <t>John:</t>
        </r>
        <r>
          <rPr>
            <sz val="9"/>
            <color indexed="81"/>
            <rFont val="Tahoma"/>
            <family val="2"/>
          </rPr>
          <t xml:space="preserve">
household abuse was 48.5%; abuse from husband (IPV) was 34%.</t>
        </r>
      </text>
    </comment>
    <comment ref="I237" authorId="0" shapeId="0" xr:uid="{00000000-0006-0000-0000-0000C8010000}">
      <text>
        <r>
          <rPr>
            <b/>
            <sz val="9"/>
            <color indexed="81"/>
            <rFont val="Tahoma"/>
            <family val="2"/>
          </rPr>
          <t>John:</t>
        </r>
        <r>
          <rPr>
            <sz val="9"/>
            <color indexed="81"/>
            <rFont val="Tahoma"/>
            <family val="2"/>
          </rPr>
          <t xml:space="preserve">
Date of survey isn't given. I estimate the date as a few years before the journal article was published (2015).</t>
        </r>
      </text>
    </comment>
    <comment ref="U237" authorId="0" shapeId="0" xr:uid="{00000000-0006-0000-0000-0000C9010000}">
      <text>
        <r>
          <rPr>
            <b/>
            <sz val="9"/>
            <color indexed="81"/>
            <rFont val="Tahoma"/>
            <family val="2"/>
          </rPr>
          <t>John:</t>
        </r>
        <r>
          <rPr>
            <sz val="9"/>
            <color indexed="81"/>
            <rFont val="Tahoma"/>
            <family val="2"/>
          </rPr>
          <t xml:space="preserve">
318 interviewed; this row only reports female rspondents (ignoring data on how many men were victims of violence)</t>
        </r>
      </text>
    </comment>
    <comment ref="X237" authorId="0" shapeId="0" xr:uid="{00000000-0006-0000-0000-0000CA010000}">
      <text>
        <r>
          <rPr>
            <b/>
            <sz val="9"/>
            <color indexed="81"/>
            <rFont val="Tahoma"/>
            <family val="2"/>
          </rPr>
          <t>John:</t>
        </r>
        <r>
          <rPr>
            <sz val="9"/>
            <color indexed="81"/>
            <rFont val="Tahoma"/>
            <family val="2"/>
          </rPr>
          <t xml:space="preserve">
among women,
  6.8% primary school;
35.8% up to class X;
43.2% up to class XII;
14.2% grad/postgrad.</t>
        </r>
      </text>
    </comment>
    <comment ref="BJ237" authorId="0" shapeId="0" xr:uid="{00000000-0006-0000-0000-0000CB010000}">
      <text>
        <r>
          <rPr>
            <b/>
            <sz val="9"/>
            <color indexed="81"/>
            <rFont val="Tahoma"/>
            <family val="2"/>
          </rPr>
          <t>John:</t>
        </r>
        <r>
          <rPr>
            <sz val="9"/>
            <color indexed="81"/>
            <rFont val="Tahoma"/>
            <family val="2"/>
          </rPr>
          <t xml:space="preserve">
16% experienced IPV, as defined by a HITS score of 10 or more.</t>
        </r>
      </text>
    </comment>
    <comment ref="L238" authorId="0" shapeId="0" xr:uid="{00000000-0006-0000-0000-0000CC010000}">
      <text>
        <r>
          <rPr>
            <b/>
            <sz val="9"/>
            <color indexed="81"/>
            <rFont val="Tahoma"/>
            <family val="2"/>
          </rPr>
          <t>John:</t>
        </r>
        <r>
          <rPr>
            <sz val="9"/>
            <color indexed="81"/>
            <rFont val="Tahoma"/>
            <family val="2"/>
          </rPr>
          <t xml:space="preserve">
Counseling Husbands to Achieve Reproductive Health and Marital Equity</t>
        </r>
      </text>
    </comment>
    <comment ref="X238" authorId="0" shapeId="0" xr:uid="{00000000-0006-0000-0000-0000CD010000}">
      <text>
        <r>
          <rPr>
            <b/>
            <sz val="9"/>
            <color indexed="81"/>
            <rFont val="Tahoma"/>
            <family val="2"/>
          </rPr>
          <t>John:</t>
        </r>
        <r>
          <rPr>
            <sz val="9"/>
            <color indexed="81"/>
            <rFont val="Tahoma"/>
            <family val="2"/>
          </rPr>
          <t xml:space="preserve">
17% of women didn't go to school; but no detailed data on education.
</t>
        </r>
      </text>
    </comment>
    <comment ref="BI238" authorId="0" shapeId="0" xr:uid="{00000000-0006-0000-0000-0000CE010000}">
      <text>
        <r>
          <rPr>
            <b/>
            <sz val="9"/>
            <color indexed="81"/>
            <rFont val="Tahoma"/>
            <family val="2"/>
          </rPr>
          <t>John:</t>
        </r>
        <r>
          <rPr>
            <sz val="9"/>
            <color indexed="81"/>
            <rFont val="Tahoma"/>
            <family val="2"/>
          </rPr>
          <t xml:space="preserve">
35.9% in Reed et al.</t>
        </r>
      </text>
    </comment>
    <comment ref="BM238" authorId="0" shapeId="0" xr:uid="{00000000-0006-0000-0000-0000CF010000}">
      <text>
        <r>
          <rPr>
            <b/>
            <sz val="9"/>
            <color indexed="81"/>
            <rFont val="Tahoma"/>
            <family val="2"/>
          </rPr>
          <t>John:</t>
        </r>
        <r>
          <rPr>
            <sz val="9"/>
            <color indexed="81"/>
            <rFont val="Tahoma"/>
            <family val="2"/>
          </rPr>
          <t xml:space="preserve">
sexual IPV.
Reported as 31.7% by Reed et al.
</t>
        </r>
      </text>
    </comment>
    <comment ref="BN238" authorId="0" shapeId="0" xr:uid="{00000000-0006-0000-0000-0000D0010000}">
      <text>
        <r>
          <rPr>
            <b/>
            <sz val="9"/>
            <color indexed="81"/>
            <rFont val="Tahoma"/>
            <family val="2"/>
          </rPr>
          <t>John:</t>
        </r>
        <r>
          <rPr>
            <sz val="9"/>
            <color indexed="81"/>
            <rFont val="Tahoma"/>
            <family val="2"/>
          </rPr>
          <t xml:space="preserve">
sexual IPV.
</t>
        </r>
      </text>
    </comment>
    <comment ref="L239" authorId="0" shapeId="0" xr:uid="{00000000-0006-0000-0000-0000D1010000}">
      <text>
        <r>
          <rPr>
            <b/>
            <sz val="9"/>
            <color indexed="81"/>
            <rFont val="Tahoma"/>
            <family val="2"/>
          </rPr>
          <t>John:</t>
        </r>
        <r>
          <rPr>
            <sz val="9"/>
            <color indexed="81"/>
            <rFont val="Tahoma"/>
            <family val="2"/>
          </rPr>
          <t xml:space="preserve">
Counseling Husbands to Achieve Reproductive Health and Marital Equity</t>
        </r>
      </text>
    </comment>
    <comment ref="X239" authorId="0" shapeId="0" xr:uid="{00000000-0006-0000-0000-0000D2010000}">
      <text>
        <r>
          <rPr>
            <b/>
            <sz val="9"/>
            <color indexed="81"/>
            <rFont val="Tahoma"/>
            <family val="2"/>
          </rPr>
          <t>John:</t>
        </r>
        <r>
          <rPr>
            <sz val="9"/>
            <color indexed="81"/>
            <rFont val="Tahoma"/>
            <family val="2"/>
          </rPr>
          <t xml:space="preserve">
17% of women didn't go to school; but no detailed data on education.
</t>
        </r>
      </text>
    </comment>
    <comment ref="L240" authorId="0" shapeId="0" xr:uid="{00000000-0006-0000-0000-0000D3010000}">
      <text>
        <r>
          <rPr>
            <b/>
            <sz val="9"/>
            <color indexed="81"/>
            <rFont val="Tahoma"/>
            <family val="2"/>
          </rPr>
          <t>John:</t>
        </r>
        <r>
          <rPr>
            <sz val="9"/>
            <color indexed="81"/>
            <rFont val="Tahoma"/>
            <family val="2"/>
          </rPr>
          <t xml:space="preserve">
Counseling Husbands to Achieve Reproductive Health and Marital Equity</t>
        </r>
      </text>
    </comment>
    <comment ref="R240" authorId="0" shapeId="0" xr:uid="{00000000-0006-0000-0000-0000D4010000}">
      <text>
        <r>
          <rPr>
            <b/>
            <sz val="9"/>
            <color indexed="81"/>
            <rFont val="Tahoma"/>
            <family val="2"/>
          </rPr>
          <t>John:</t>
        </r>
        <r>
          <rPr>
            <sz val="9"/>
            <color indexed="81"/>
            <rFont val="Tahoma"/>
            <family val="2"/>
          </rPr>
          <t xml:space="preserve">
Assuming follow-up are 1 year older; the gap been baseline and follow-up is 9 months, not 12.</t>
        </r>
      </text>
    </comment>
    <comment ref="T240" authorId="0" shapeId="0" xr:uid="{00000000-0006-0000-0000-0000D5010000}">
      <text>
        <r>
          <rPr>
            <b/>
            <sz val="9"/>
            <color indexed="81"/>
            <rFont val="Tahoma"/>
            <family val="2"/>
          </rPr>
          <t>John:</t>
        </r>
        <r>
          <rPr>
            <sz val="9"/>
            <color indexed="81"/>
            <rFont val="Tahoma"/>
            <family val="2"/>
          </rPr>
          <t xml:space="preserve">
Adding 1 year to the 2012 figure, from page 26 of http://escholarship.org/uc/item/0jr396wk</t>
        </r>
      </text>
    </comment>
    <comment ref="W240" authorId="0" shapeId="0" xr:uid="{00000000-0006-0000-0000-0000D6010000}">
      <text>
        <r>
          <rPr>
            <b/>
            <sz val="9"/>
            <color indexed="81"/>
            <rFont val="Tahoma"/>
            <family val="2"/>
          </rPr>
          <t>John:</t>
        </r>
        <r>
          <rPr>
            <sz val="9"/>
            <color indexed="81"/>
            <rFont val="Tahoma"/>
            <family val="2"/>
          </rPr>
          <t xml:space="preserve">
Could use intervention sample, but they are presumably affected by the intervention.</t>
        </r>
      </text>
    </comment>
    <comment ref="X240" authorId="0" shapeId="0" xr:uid="{00000000-0006-0000-0000-0000D7010000}">
      <text>
        <r>
          <rPr>
            <b/>
            <sz val="9"/>
            <color indexed="81"/>
            <rFont val="Tahoma"/>
            <family val="2"/>
          </rPr>
          <t>John:</t>
        </r>
        <r>
          <rPr>
            <sz val="9"/>
            <color indexed="81"/>
            <rFont val="Tahoma"/>
            <family val="2"/>
          </rPr>
          <t xml:space="preserve">
Education level not reported.</t>
        </r>
      </text>
    </comment>
    <comment ref="CE240" authorId="0" shapeId="0" xr:uid="{00000000-0006-0000-0000-0000D8010000}">
      <text>
        <r>
          <rPr>
            <b/>
            <sz val="9"/>
            <color indexed="81"/>
            <rFont val="Tahoma"/>
            <family val="2"/>
          </rPr>
          <t>John:</t>
        </r>
        <r>
          <rPr>
            <sz val="9"/>
            <color indexed="81"/>
            <rFont val="Tahoma"/>
            <family val="2"/>
          </rPr>
          <t xml:space="preserve">
This acceptance may be affected by the Hawthorne effect (as in any panel study).</t>
        </r>
      </text>
    </comment>
    <comment ref="L241" authorId="0" shapeId="0" xr:uid="{00000000-0006-0000-0000-0000D9010000}">
      <text>
        <r>
          <rPr>
            <b/>
            <sz val="9"/>
            <color indexed="81"/>
            <rFont val="Tahoma"/>
            <family val="2"/>
          </rPr>
          <t>John:</t>
        </r>
        <r>
          <rPr>
            <sz val="9"/>
            <color indexed="81"/>
            <rFont val="Tahoma"/>
            <family val="2"/>
          </rPr>
          <t xml:space="preserve">
Counseling Husbands to Achieve Reproductive Health and Marital Equity</t>
        </r>
      </text>
    </comment>
    <comment ref="R241" authorId="0" shapeId="0" xr:uid="{00000000-0006-0000-0000-0000DA010000}">
      <text>
        <r>
          <rPr>
            <b/>
            <sz val="9"/>
            <color indexed="81"/>
            <rFont val="Tahoma"/>
            <family val="2"/>
          </rPr>
          <t>John:</t>
        </r>
        <r>
          <rPr>
            <sz val="9"/>
            <color indexed="81"/>
            <rFont val="Tahoma"/>
            <family val="2"/>
          </rPr>
          <t xml:space="preserve">
Assuming follow-up are 1 year older; the gap been baseline and follow-up is 9 months, not 12.</t>
        </r>
      </text>
    </comment>
    <comment ref="W241" authorId="0" shapeId="0" xr:uid="{00000000-0006-0000-0000-0000DB010000}">
      <text>
        <r>
          <rPr>
            <b/>
            <sz val="9"/>
            <color indexed="81"/>
            <rFont val="Tahoma"/>
            <family val="2"/>
          </rPr>
          <t>John:</t>
        </r>
        <r>
          <rPr>
            <sz val="9"/>
            <color indexed="81"/>
            <rFont val="Tahoma"/>
            <family val="2"/>
          </rPr>
          <t xml:space="preserve">
Could use intervention sample, but they are presumably affected by the intervention.</t>
        </r>
      </text>
    </comment>
    <comment ref="X241" authorId="0" shapeId="0" xr:uid="{00000000-0006-0000-0000-0000DC010000}">
      <text>
        <r>
          <rPr>
            <b/>
            <sz val="9"/>
            <color indexed="81"/>
            <rFont val="Tahoma"/>
            <family val="2"/>
          </rPr>
          <t>John:</t>
        </r>
        <r>
          <rPr>
            <sz val="9"/>
            <color indexed="81"/>
            <rFont val="Tahoma"/>
            <family val="2"/>
          </rPr>
          <t xml:space="preserve">
Education level not reported.</t>
        </r>
      </text>
    </comment>
    <comment ref="CE241" authorId="0" shapeId="0" xr:uid="{00000000-0006-0000-0000-0000DD010000}">
      <text>
        <r>
          <rPr>
            <b/>
            <sz val="9"/>
            <color indexed="81"/>
            <rFont val="Tahoma"/>
            <family val="2"/>
          </rPr>
          <t>John:</t>
        </r>
        <r>
          <rPr>
            <sz val="9"/>
            <color indexed="81"/>
            <rFont val="Tahoma"/>
            <family val="2"/>
          </rPr>
          <t xml:space="preserve">
This acceptance may be affected by the Hawthorne effect (as in any panel study).</t>
        </r>
      </text>
    </comment>
    <comment ref="M242" authorId="0" shapeId="0" xr:uid="{00000000-0006-0000-0000-0000DE010000}">
      <text>
        <r>
          <rPr>
            <b/>
            <sz val="9"/>
            <color indexed="81"/>
            <rFont val="Tahoma"/>
            <family val="2"/>
          </rPr>
          <t>John:</t>
        </r>
        <r>
          <rPr>
            <sz val="9"/>
            <color indexed="81"/>
            <rFont val="Tahoma"/>
            <family val="2"/>
          </rPr>
          <t xml:space="preserve">
93% of sample married, 1% separated,
7% widows.
</t>
        </r>
      </text>
    </comment>
    <comment ref="H243" authorId="0" shapeId="0" xr:uid="{00000000-0006-0000-0000-0000DF010000}">
      <text>
        <r>
          <rPr>
            <b/>
            <sz val="9"/>
            <color indexed="81"/>
            <rFont val="Tahoma"/>
            <family val="2"/>
          </rPr>
          <t>John:</t>
        </r>
        <r>
          <rPr>
            <sz val="9"/>
            <color indexed="81"/>
            <rFont val="Tahoma"/>
            <family val="2"/>
          </rPr>
          <t xml:space="preserve">
79.3% of sample in rural areas.</t>
        </r>
      </text>
    </comment>
    <comment ref="M243" authorId="0" shapeId="0" xr:uid="{00000000-0006-0000-0000-0000E0010000}">
      <text>
        <r>
          <rPr>
            <b/>
            <sz val="9"/>
            <color indexed="81"/>
            <rFont val="Tahoma"/>
            <family val="2"/>
          </rPr>
          <t>John:</t>
        </r>
        <r>
          <rPr>
            <sz val="9"/>
            <color indexed="81"/>
            <rFont val="Tahoma"/>
            <family val="2"/>
          </rPr>
          <t xml:space="preserve">
90% of sample currently married;
4.6% widows;
5.3% unmarried.</t>
        </r>
      </text>
    </comment>
    <comment ref="S243" authorId="0" shapeId="0" xr:uid="{00000000-0006-0000-0000-0000E1010000}">
      <text>
        <r>
          <rPr>
            <b/>
            <sz val="9"/>
            <color indexed="81"/>
            <rFont val="Tahoma"/>
            <family val="2"/>
          </rPr>
          <t>John:</t>
        </r>
        <r>
          <rPr>
            <sz val="9"/>
            <color indexed="81"/>
            <rFont val="Tahoma"/>
            <family val="2"/>
          </rPr>
          <t xml:space="preserve">
John Simister assumes under-18 are age 17, but this is a guess.</t>
        </r>
      </text>
    </comment>
    <comment ref="X243" authorId="0" shapeId="0" xr:uid="{00000000-0006-0000-0000-0000E2010000}">
      <text>
        <r>
          <rPr>
            <b/>
            <sz val="9"/>
            <color indexed="81"/>
            <rFont val="Tahoma"/>
            <family val="2"/>
          </rPr>
          <t>John:</t>
        </r>
        <r>
          <rPr>
            <sz val="9"/>
            <color indexed="81"/>
            <rFont val="Tahoma"/>
            <family val="2"/>
          </rPr>
          <t xml:space="preserve">
Categories:
59.3% 'up to high school';
36%    'up to pre-university';
  4.6% 'graduates'.</t>
        </r>
      </text>
    </comment>
    <comment ref="AO243" authorId="0" shapeId="0" xr:uid="{00000000-0006-0000-0000-0000E3010000}">
      <text>
        <r>
          <rPr>
            <b/>
            <sz val="9"/>
            <color indexed="81"/>
            <rFont val="Tahoma"/>
            <family val="2"/>
          </rPr>
          <t>John:</t>
        </r>
        <r>
          <rPr>
            <sz val="9"/>
            <color indexed="81"/>
            <rFont val="Tahoma"/>
            <family val="2"/>
          </rPr>
          <t xml:space="preserve">
12 cases of twisting arm;
10 cases of pulling hair.
Do they overlap, or should we add 12+10?</t>
        </r>
      </text>
    </comment>
    <comment ref="AQ243" authorId="0" shapeId="0" xr:uid="{00000000-0006-0000-0000-0000E4010000}">
      <text>
        <r>
          <rPr>
            <b/>
            <sz val="9"/>
            <color indexed="81"/>
            <rFont val="Tahoma"/>
            <family val="2"/>
          </rPr>
          <t>John:</t>
        </r>
        <r>
          <rPr>
            <sz val="9"/>
            <color indexed="81"/>
            <rFont val="Tahoma"/>
            <family val="2"/>
          </rPr>
          <t xml:space="preserve">
15 cases of throwing things; 
6 cases of pushed away.
They may overlap.</t>
        </r>
      </text>
    </comment>
    <comment ref="BO243" authorId="0" shapeId="0" xr:uid="{00000000-0006-0000-0000-0000E5010000}">
      <text>
        <r>
          <rPr>
            <b/>
            <sz val="9"/>
            <color indexed="81"/>
            <rFont val="Tahoma"/>
            <family val="2"/>
          </rPr>
          <t>John:</t>
        </r>
        <r>
          <rPr>
            <sz val="9"/>
            <color indexed="81"/>
            <rFont val="Tahoma"/>
            <family val="2"/>
          </rPr>
          <t xml:space="preserve">
3 cases of 'unnatural sex'.
Also 2 cases of 'imitating pornographic film' which could be added, but they may be the same people as the above 3 cases.</t>
        </r>
      </text>
    </comment>
    <comment ref="BX243" authorId="0" shapeId="0" xr:uid="{00000000-0006-0000-0000-0000E6010000}">
      <text>
        <r>
          <rPr>
            <b/>
            <sz val="9"/>
            <color indexed="81"/>
            <rFont val="Tahoma"/>
            <family val="2"/>
          </rPr>
          <t>John:</t>
        </r>
        <r>
          <rPr>
            <sz val="9"/>
            <color indexed="81"/>
            <rFont val="Tahoma"/>
            <family val="2"/>
          </rPr>
          <t xml:space="preserve">
It's not clear if 13 people or 13% sought 'Legal help' (Table 7); did all of them contact police?</t>
        </r>
      </text>
    </comment>
    <comment ref="I244" authorId="0" shapeId="0" xr:uid="{00000000-0006-0000-0000-0000E7010000}">
      <text>
        <r>
          <rPr>
            <b/>
            <sz val="9"/>
            <color indexed="81"/>
            <rFont val="Tahoma"/>
            <family val="2"/>
          </rPr>
          <t>John:</t>
        </r>
        <r>
          <rPr>
            <sz val="9"/>
            <color indexed="81"/>
            <rFont val="Tahoma"/>
            <family val="2"/>
          </rPr>
          <t xml:space="preserve">
Date of survey isn't given. I estimate the date as a few years before the journal article was published (2016).</t>
        </r>
      </text>
    </comment>
    <comment ref="M244" authorId="0" shapeId="0" xr:uid="{00000000-0006-0000-0000-0000E8010000}">
      <text>
        <r>
          <rPr>
            <b/>
            <sz val="9"/>
            <color indexed="81"/>
            <rFont val="Tahoma"/>
            <family val="2"/>
          </rPr>
          <t>John:</t>
        </r>
        <r>
          <rPr>
            <sz val="9"/>
            <color indexed="81"/>
            <rFont val="Tahoma"/>
            <family val="2"/>
          </rPr>
          <t xml:space="preserve">
92.7% of respondents currently married</t>
        </r>
      </text>
    </comment>
    <comment ref="BA244" authorId="0" shapeId="0" xr:uid="{00000000-0006-0000-0000-0000E9010000}">
      <text>
        <r>
          <rPr>
            <b/>
            <sz val="9"/>
            <color indexed="81"/>
            <rFont val="Tahoma"/>
            <family val="2"/>
          </rPr>
          <t>John:</t>
        </r>
        <r>
          <rPr>
            <sz val="9"/>
            <color indexed="81"/>
            <rFont val="Tahoma"/>
            <family val="2"/>
          </rPr>
          <t xml:space="preserve">
Beaten with fist/ sticks/ rods/ utensils/ knife/ gun/ any other weapon</t>
        </r>
      </text>
    </comment>
    <comment ref="BK244" authorId="0" shapeId="0" xr:uid="{00000000-0006-0000-0000-0000EA010000}">
      <text>
        <r>
          <rPr>
            <b/>
            <sz val="9"/>
            <color indexed="81"/>
            <rFont val="Tahoma"/>
            <family val="2"/>
          </rPr>
          <t>John:</t>
        </r>
        <r>
          <rPr>
            <sz val="9"/>
            <color indexed="81"/>
            <rFont val="Tahoma"/>
            <family val="2"/>
          </rPr>
          <t xml:space="preserve">
Financial abuse.  This includes various issues, including:
 14/300 husbands 'Controls your access to money';
   8/300 husbands 'Taken money from you forcibly';
   3/300 husbands 'Taken your salary forcibly from you'.</t>
        </r>
      </text>
    </comment>
    <comment ref="BU244" authorId="0" shapeId="0" xr:uid="{00000000-0006-0000-0000-0000EB010000}">
      <text>
        <r>
          <rPr>
            <b/>
            <sz val="9"/>
            <color indexed="81"/>
            <rFont val="Tahoma"/>
            <family val="2"/>
          </rPr>
          <t>John:</t>
        </r>
        <r>
          <rPr>
            <sz val="9"/>
            <color indexed="81"/>
            <rFont val="Tahoma"/>
            <family val="2"/>
          </rPr>
          <t xml:space="preserve">
It's not clear if prevalence rates on this row are lifetime, or last 12 months.</t>
        </r>
      </text>
    </comment>
    <comment ref="I245" authorId="0" shapeId="0" xr:uid="{00000000-0006-0000-0000-0000EC010000}">
      <text>
        <r>
          <rPr>
            <b/>
            <sz val="9"/>
            <color indexed="81"/>
            <rFont val="Tahoma"/>
            <family val="2"/>
          </rPr>
          <t>John:</t>
        </r>
        <r>
          <rPr>
            <sz val="9"/>
            <color indexed="81"/>
            <rFont val="Tahoma"/>
            <family val="2"/>
          </rPr>
          <t xml:space="preserve">
Date of survey isn't given. I estimate the date as a few years before the journal article was received (2016).</t>
        </r>
      </text>
    </comment>
    <comment ref="X245" authorId="0" shapeId="0" xr:uid="{00000000-0006-0000-0000-0000ED010000}">
      <text>
        <r>
          <rPr>
            <b/>
            <sz val="9"/>
            <color indexed="81"/>
            <rFont val="Tahoma"/>
            <family val="2"/>
          </rPr>
          <t>John:</t>
        </r>
        <r>
          <rPr>
            <sz val="9"/>
            <color indexed="81"/>
            <rFont val="Tahoma"/>
            <family val="2"/>
          </rPr>
          <t xml:space="preserve">
77.2% had high school education or above.</t>
        </r>
      </text>
    </comment>
    <comment ref="BV245" authorId="0" shapeId="0" xr:uid="{00000000-0006-0000-0000-0000EE010000}">
      <text>
        <r>
          <rPr>
            <b/>
            <sz val="9"/>
            <color indexed="81"/>
            <rFont val="Tahoma"/>
            <family val="2"/>
          </rPr>
          <t>John:</t>
        </r>
        <r>
          <rPr>
            <sz val="9"/>
            <color indexed="81"/>
            <rFont val="Tahoma"/>
            <family val="2"/>
          </rPr>
          <t xml:space="preserve">
Not clear, in this journal article.</t>
        </r>
      </text>
    </comment>
    <comment ref="X246" authorId="0" shapeId="0" xr:uid="{00000000-0006-0000-0000-0000EF010000}">
      <text>
        <r>
          <rPr>
            <b/>
            <sz val="9"/>
            <color indexed="81"/>
            <rFont val="Tahoma"/>
            <family val="2"/>
          </rPr>
          <t>John:</t>
        </r>
        <r>
          <rPr>
            <sz val="9"/>
            <color indexed="81"/>
            <rFont val="Tahoma"/>
            <family val="2"/>
          </rPr>
          <t xml:space="preserve">
Education level not reported.</t>
        </r>
      </text>
    </comment>
    <comment ref="AB246" authorId="0" shapeId="0" xr:uid="{00000000-0006-0000-0000-0000F0010000}">
      <text>
        <r>
          <rPr>
            <b/>
            <sz val="9"/>
            <color indexed="81"/>
            <rFont val="Tahoma"/>
            <family val="2"/>
          </rPr>
          <t>John:</t>
        </r>
        <r>
          <rPr>
            <sz val="9"/>
            <color indexed="81"/>
            <rFont val="Tahoma"/>
            <family val="2"/>
          </rPr>
          <t xml:space="preserve">
261/389 women report 'verbal violence' used by husband.</t>
        </r>
      </text>
    </comment>
    <comment ref="AR246" authorId="0" shapeId="0" xr:uid="{00000000-0006-0000-0000-0000F1010000}">
      <text>
        <r>
          <rPr>
            <b/>
            <sz val="9"/>
            <color indexed="81"/>
            <rFont val="Tahoma"/>
            <family val="2"/>
          </rPr>
          <t>John:</t>
        </r>
        <r>
          <rPr>
            <sz val="9"/>
            <color indexed="81"/>
            <rFont val="Tahoma"/>
            <family val="2"/>
          </rPr>
          <t xml:space="preserve">
16/389 women report 'pushing';
12/389 women report 'throwing objects'.</t>
        </r>
      </text>
    </comment>
    <comment ref="H247" authorId="0" shapeId="0" xr:uid="{00000000-0006-0000-0000-0000F2010000}">
      <text>
        <r>
          <rPr>
            <b/>
            <sz val="9"/>
            <color indexed="81"/>
            <rFont val="Tahoma"/>
            <family val="2"/>
          </rPr>
          <t>John:</t>
        </r>
        <r>
          <rPr>
            <sz val="9"/>
            <color indexed="81"/>
            <rFont val="Tahoma"/>
            <family val="2"/>
          </rPr>
          <t xml:space="preserve">
29+169 urban;
  8+198 rural.</t>
        </r>
      </text>
    </comment>
    <comment ref="R247" authorId="0" shapeId="0" xr:uid="{00000000-0006-0000-0000-0000F3010000}">
      <text>
        <r>
          <rPr>
            <b/>
            <sz val="9"/>
            <color indexed="81"/>
            <rFont val="Tahoma"/>
            <family val="2"/>
          </rPr>
          <t>John:</t>
        </r>
        <r>
          <rPr>
            <sz val="9"/>
            <color indexed="81"/>
            <rFont val="Tahoma"/>
            <family val="2"/>
          </rPr>
          <t xml:space="preserve">
32+227 age under 25;
  5+140 age 25 or more.
Estimated as 23 by John Simister.</t>
        </r>
      </text>
    </comment>
    <comment ref="S247" authorId="0" shapeId="0" xr:uid="{00000000-0006-0000-0000-0000F4010000}">
      <text>
        <r>
          <rPr>
            <b/>
            <sz val="9"/>
            <color indexed="81"/>
            <rFont val="Tahoma"/>
            <family val="2"/>
          </rPr>
          <t>John:</t>
        </r>
        <r>
          <rPr>
            <sz val="9"/>
            <color indexed="81"/>
            <rFont val="Tahoma"/>
            <family val="2"/>
          </rPr>
          <t xml:space="preserve">
12% of control group married for up to 1 year; the remaining 88% were married for over 1 year.</t>
        </r>
      </text>
    </comment>
    <comment ref="X247" authorId="0" shapeId="0" xr:uid="{00000000-0006-0000-0000-0000F5010000}">
      <text>
        <r>
          <rPr>
            <b/>
            <sz val="9"/>
            <color indexed="81"/>
            <rFont val="Tahoma"/>
            <family val="2"/>
          </rPr>
          <t>John:</t>
        </r>
        <r>
          <rPr>
            <sz val="9"/>
            <color indexed="81"/>
            <rFont val="Tahoma"/>
            <family val="2"/>
          </rPr>
          <t xml:space="preserve">
less than secondary school;
secondary school and above</t>
        </r>
      </text>
    </comment>
    <comment ref="BJ247" authorId="0" shapeId="0" xr:uid="{00000000-0006-0000-0000-0000F6010000}">
      <text>
        <r>
          <rPr>
            <b/>
            <sz val="9"/>
            <color indexed="81"/>
            <rFont val="Tahoma"/>
            <family val="2"/>
          </rPr>
          <t>John:</t>
        </r>
        <r>
          <rPr>
            <sz val="9"/>
            <color indexed="81"/>
            <rFont val="Tahoma"/>
            <family val="2"/>
          </rPr>
          <t xml:space="preserve">
hit, slapped, kicked or physically hurt by anyone during the current pregnancy.</t>
        </r>
      </text>
    </comment>
    <comment ref="K248" authorId="0" shapeId="0" xr:uid="{00000000-0006-0000-0000-0000F7010000}">
      <text>
        <r>
          <rPr>
            <b/>
            <sz val="9"/>
            <color indexed="81"/>
            <rFont val="Tahoma"/>
            <family val="2"/>
          </rPr>
          <t>John:</t>
        </r>
        <r>
          <rPr>
            <sz val="9"/>
            <color indexed="81"/>
            <rFont val="Tahoma"/>
            <family val="2"/>
          </rPr>
          <t xml:space="preserve">
Received 2015; published 2016</t>
        </r>
      </text>
    </comment>
    <comment ref="N248" authorId="0" shapeId="0" xr:uid="{00000000-0006-0000-0000-0000F8010000}">
      <text>
        <r>
          <rPr>
            <b/>
            <sz val="9"/>
            <color indexed="81"/>
            <rFont val="Tahoma"/>
            <family val="2"/>
          </rPr>
          <t>John:</t>
        </r>
        <r>
          <rPr>
            <sz val="9"/>
            <color indexed="81"/>
            <rFont val="Tahoma"/>
            <family val="2"/>
          </rPr>
          <t xml:space="preserve">
Indian Family Violence and Control Scale</t>
        </r>
      </text>
    </comment>
    <comment ref="Y248" authorId="0" shapeId="0" xr:uid="{00000000-0006-0000-0000-0000F9010000}">
      <text>
        <r>
          <rPr>
            <b/>
            <sz val="9"/>
            <color indexed="81"/>
            <rFont val="Tahoma"/>
            <family val="2"/>
          </rPr>
          <t>John:</t>
        </r>
        <r>
          <rPr>
            <sz val="9"/>
            <color indexed="81"/>
            <rFont val="Tahoma"/>
            <family val="2"/>
          </rPr>
          <t xml:space="preserve">
screamed at me or insulted me in front of others, in a public place, or on a social networking site.</t>
        </r>
      </text>
    </comment>
    <comment ref="AA248" authorId="0" shapeId="0" xr:uid="{00000000-0006-0000-0000-0000FA010000}">
      <text>
        <r>
          <rPr>
            <b/>
            <sz val="9"/>
            <color indexed="81"/>
            <rFont val="Tahoma"/>
            <family val="2"/>
          </rPr>
          <t>John:</t>
        </r>
        <r>
          <rPr>
            <sz val="9"/>
            <color indexed="81"/>
            <rFont val="Tahoma"/>
            <family val="2"/>
          </rPr>
          <t xml:space="preserve">
screamed at me when I was alone.</t>
        </r>
      </text>
    </comment>
    <comment ref="AC248" authorId="0" shapeId="0" xr:uid="{00000000-0006-0000-0000-0000FB010000}">
      <text>
        <r>
          <rPr>
            <b/>
            <sz val="9"/>
            <color indexed="81"/>
            <rFont val="Tahoma"/>
            <family val="2"/>
          </rPr>
          <t>John:</t>
        </r>
        <r>
          <rPr>
            <sz val="9"/>
            <color indexed="81"/>
            <rFont val="Tahoma"/>
            <family val="2"/>
          </rPr>
          <t xml:space="preserve">
excessively criticized me for my work at home.</t>
        </r>
      </text>
    </comment>
    <comment ref="AE248" authorId="0" shapeId="0" xr:uid="{00000000-0006-0000-0000-0000FC010000}">
      <text>
        <r>
          <rPr>
            <b/>
            <sz val="9"/>
            <color indexed="81"/>
            <rFont val="Tahoma"/>
            <family val="2"/>
          </rPr>
          <t>John:</t>
        </r>
        <r>
          <rPr>
            <sz val="9"/>
            <color indexed="81"/>
            <rFont val="Tahoma"/>
            <family val="2"/>
          </rPr>
          <t xml:space="preserve">
threatened to hurt or hurt my children because he/she was angry with me.</t>
        </r>
      </text>
    </comment>
    <comment ref="AG248" authorId="0" shapeId="0" xr:uid="{00000000-0006-0000-0000-0000FD010000}">
      <text>
        <r>
          <rPr>
            <b/>
            <sz val="9"/>
            <color indexed="81"/>
            <rFont val="Tahoma"/>
            <family val="2"/>
          </rPr>
          <t>John:</t>
        </r>
        <r>
          <rPr>
            <sz val="9"/>
            <color indexed="81"/>
            <rFont val="Tahoma"/>
            <family val="2"/>
          </rPr>
          <t xml:space="preserve">
threatened me with a blunt object such as a belt, stone, broomstick, or rolling pin.</t>
        </r>
      </text>
    </comment>
    <comment ref="AI248" authorId="0" shapeId="0" xr:uid="{00000000-0006-0000-0000-0000FE010000}">
      <text>
        <r>
          <rPr>
            <b/>
            <sz val="9"/>
            <color indexed="81"/>
            <rFont val="Tahoma"/>
            <family val="2"/>
          </rPr>
          <t>John:</t>
        </r>
        <r>
          <rPr>
            <sz val="9"/>
            <color indexed="81"/>
            <rFont val="Tahoma"/>
            <family val="2"/>
          </rPr>
          <t xml:space="preserve">
less than 1%:
'threatened me with a sharp object such as broken glass, a razor blade, axe, or knife'.</t>
        </r>
      </text>
    </comment>
    <comment ref="AK248" authorId="0" shapeId="0" xr:uid="{00000000-0006-0000-0000-0000FF010000}">
      <text>
        <r>
          <rPr>
            <b/>
            <sz val="9"/>
            <color indexed="81"/>
            <rFont val="Tahoma"/>
            <family val="2"/>
          </rPr>
          <t>John:</t>
        </r>
        <r>
          <rPr>
            <sz val="9"/>
            <color indexed="81"/>
            <rFont val="Tahoma"/>
            <family val="2"/>
          </rPr>
          <t xml:space="preserve">
less than 1%:
'attacked me with a sharp object such as broken glass, a razor blade, axe, or knife'.</t>
        </r>
      </text>
    </comment>
    <comment ref="AM248" authorId="0" shapeId="0" xr:uid="{00000000-0006-0000-0000-000000020000}">
      <text>
        <r>
          <rPr>
            <b/>
            <sz val="9"/>
            <color indexed="81"/>
            <rFont val="Tahoma"/>
            <family val="2"/>
          </rPr>
          <t>John:</t>
        </r>
        <r>
          <rPr>
            <sz val="9"/>
            <color indexed="81"/>
            <rFont val="Tahoma"/>
            <family val="2"/>
          </rPr>
          <t xml:space="preserve">
slapped or scratched</t>
        </r>
      </text>
    </comment>
    <comment ref="AQ248" authorId="0" shapeId="0" xr:uid="{00000000-0006-0000-0000-000001020000}">
      <text>
        <r>
          <rPr>
            <b/>
            <sz val="9"/>
            <color indexed="81"/>
            <rFont val="Tahoma"/>
            <family val="2"/>
          </rPr>
          <t>John:</t>
        </r>
        <r>
          <rPr>
            <sz val="9"/>
            <color indexed="81"/>
            <rFont val="Tahoma"/>
            <family val="2"/>
          </rPr>
          <t xml:space="preserve">
14% threw things in the house when angry with me.
Also, 4% "pushed me, pulled me, dragged me, shook me, or held me down".
Could add 14 + 4, but they may overlap (i.e. 1 or more of the 4 may be in the 14).</t>
        </r>
      </text>
    </comment>
    <comment ref="AS248" authorId="0" shapeId="0" xr:uid="{00000000-0006-0000-0000-000002020000}">
      <text>
        <r>
          <rPr>
            <b/>
            <sz val="9"/>
            <color indexed="81"/>
            <rFont val="Tahoma"/>
            <family val="2"/>
          </rPr>
          <t>John:</t>
        </r>
        <r>
          <rPr>
            <sz val="9"/>
            <color indexed="81"/>
            <rFont val="Tahoma"/>
            <family val="2"/>
          </rPr>
          <t xml:space="preserve">
1% is 'kicked, punched or beat me'; assume half is kicked, the other half is punched.</t>
        </r>
      </text>
    </comment>
    <comment ref="AU248" authorId="0" shapeId="0" xr:uid="{00000000-0006-0000-0000-000003020000}">
      <text>
        <r>
          <rPr>
            <b/>
            <sz val="9"/>
            <color indexed="81"/>
            <rFont val="Tahoma"/>
            <family val="2"/>
          </rPr>
          <t>John:</t>
        </r>
        <r>
          <rPr>
            <sz val="9"/>
            <color indexed="81"/>
            <rFont val="Tahoma"/>
            <family val="2"/>
          </rPr>
          <t xml:space="preserve">
1% is 'kicked, punched or beat me'; assume half is kicked, the other half is punched.</t>
        </r>
      </text>
    </comment>
    <comment ref="AW248" authorId="0" shapeId="0" xr:uid="{00000000-0006-0000-0000-000004020000}">
      <text>
        <r>
          <rPr>
            <b/>
            <sz val="9"/>
            <color indexed="81"/>
            <rFont val="Tahoma"/>
            <family val="2"/>
          </rPr>
          <t>John:</t>
        </r>
        <r>
          <rPr>
            <sz val="9"/>
            <color indexed="81"/>
            <rFont val="Tahoma"/>
            <family val="2"/>
          </rPr>
          <t xml:space="preserve">
strangle: less than 1%;
burned using kerosene etc: less than 1%.
I assume each is 0.5%, and add them.</t>
        </r>
      </text>
    </comment>
    <comment ref="BA248" authorId="0" shapeId="0" xr:uid="{00000000-0006-0000-0000-000005020000}">
      <text>
        <r>
          <rPr>
            <b/>
            <sz val="9"/>
            <color indexed="81"/>
            <rFont val="Tahoma"/>
            <family val="2"/>
          </rPr>
          <t>John:</t>
        </r>
        <r>
          <rPr>
            <sz val="9"/>
            <color indexed="81"/>
            <rFont val="Tahoma"/>
            <family val="2"/>
          </rPr>
          <t xml:space="preserve">
Less than 1%:
attacked with a blunt object such as a belt, stone, broomstick, or rolling pin.</t>
        </r>
      </text>
    </comment>
    <comment ref="BC248" authorId="0" shapeId="0" xr:uid="{00000000-0006-0000-0000-000006020000}">
      <text>
        <r>
          <rPr>
            <b/>
            <sz val="9"/>
            <color indexed="81"/>
            <rFont val="Tahoma"/>
            <family val="2"/>
          </rPr>
          <t>John:</t>
        </r>
        <r>
          <rPr>
            <sz val="9"/>
            <color indexed="81"/>
            <rFont val="Tahoma"/>
            <family val="2"/>
          </rPr>
          <t xml:space="preserve">
kicked, punched, or beat me</t>
        </r>
      </text>
    </comment>
    <comment ref="I249" authorId="0" shapeId="0" xr:uid="{00000000-0006-0000-0000-000007020000}">
      <text>
        <r>
          <rPr>
            <b/>
            <sz val="9"/>
            <color indexed="81"/>
            <rFont val="Tahoma"/>
            <family val="2"/>
          </rPr>
          <t>John:</t>
        </r>
        <r>
          <rPr>
            <sz val="9"/>
            <color indexed="81"/>
            <rFont val="Tahoma"/>
            <family val="2"/>
          </rPr>
          <t xml:space="preserve">
Date of survey isn't given. I estimate the date as a few years before the journal article was received in 2016 (published 2017).</t>
        </r>
      </text>
    </comment>
    <comment ref="X249" authorId="0" shapeId="0" xr:uid="{00000000-0006-0000-0000-000008020000}">
      <text>
        <r>
          <rPr>
            <b/>
            <sz val="9"/>
            <color indexed="81"/>
            <rFont val="Tahoma"/>
            <family val="2"/>
          </rPr>
          <t>John:</t>
        </r>
        <r>
          <rPr>
            <sz val="9"/>
            <color indexed="81"/>
            <rFont val="Tahoma"/>
            <family val="2"/>
          </rPr>
          <t xml:space="preserve">
Education level not reported.</t>
        </r>
      </text>
    </comment>
    <comment ref="BI249" authorId="0" shapeId="0" xr:uid="{00000000-0006-0000-0000-000009020000}">
      <text>
        <r>
          <rPr>
            <b/>
            <sz val="9"/>
            <color indexed="81"/>
            <rFont val="Tahoma"/>
            <family val="2"/>
          </rPr>
          <t>John:</t>
        </r>
        <r>
          <rPr>
            <sz val="9"/>
            <color indexed="81"/>
            <rFont val="Tahoma"/>
            <family val="2"/>
          </rPr>
          <t xml:space="preserve">
"physical violence was virtually absent in
case of Meghalaya", so assume zero.</t>
        </r>
      </text>
    </comment>
    <comment ref="BM249" authorId="0" shapeId="0" xr:uid="{00000000-0006-0000-0000-00000A020000}">
      <text>
        <r>
          <rPr>
            <b/>
            <sz val="9"/>
            <color indexed="81"/>
            <rFont val="Tahoma"/>
            <family val="2"/>
          </rPr>
          <t>John:</t>
        </r>
        <r>
          <rPr>
            <sz val="9"/>
            <color indexed="81"/>
            <rFont val="Tahoma"/>
            <family val="2"/>
          </rPr>
          <t xml:space="preserve">
This is "sexual violence", which isn't defined precisely.</t>
        </r>
      </text>
    </comment>
    <comment ref="H250" authorId="0" shapeId="0" xr:uid="{00000000-0006-0000-0000-00000B020000}">
      <text>
        <r>
          <rPr>
            <b/>
            <sz val="9"/>
            <color indexed="81"/>
            <rFont val="Tahoma"/>
            <family val="2"/>
          </rPr>
          <t>John:</t>
        </r>
        <r>
          <rPr>
            <sz val="9"/>
            <color indexed="81"/>
            <rFont val="Tahoma"/>
            <family val="2"/>
          </rPr>
          <t xml:space="preserve">
90% of sample live in rural areas</t>
        </r>
      </text>
    </comment>
    <comment ref="I250" authorId="0" shapeId="0" xr:uid="{00000000-0006-0000-0000-00000C020000}">
      <text>
        <r>
          <rPr>
            <b/>
            <sz val="9"/>
            <color indexed="81"/>
            <rFont val="Tahoma"/>
            <family val="2"/>
          </rPr>
          <t>John:</t>
        </r>
        <r>
          <rPr>
            <sz val="9"/>
            <color indexed="81"/>
            <rFont val="Tahoma"/>
            <family val="2"/>
          </rPr>
          <t xml:space="preserve">
January to April</t>
        </r>
      </text>
    </comment>
    <comment ref="X250" authorId="0" shapeId="0" xr:uid="{00000000-0006-0000-0000-00000D020000}">
      <text>
        <r>
          <rPr>
            <b/>
            <sz val="9"/>
            <color indexed="81"/>
            <rFont val="Tahoma"/>
            <family val="2"/>
          </rPr>
          <t>John:</t>
        </r>
        <r>
          <rPr>
            <sz val="9"/>
            <color indexed="81"/>
            <rFont val="Tahoma"/>
            <family val="2"/>
          </rPr>
          <t xml:space="preserve">
46% of sample can read and write</t>
        </r>
      </text>
    </comment>
    <comment ref="AU250" authorId="0" shapeId="0" xr:uid="{00000000-0006-0000-0000-00000E020000}">
      <text>
        <r>
          <rPr>
            <b/>
            <sz val="9"/>
            <color indexed="81"/>
            <rFont val="Tahoma"/>
            <family val="2"/>
          </rPr>
          <t>John:</t>
        </r>
        <r>
          <rPr>
            <sz val="9"/>
            <color indexed="81"/>
            <rFont val="Tahoma"/>
            <family val="2"/>
          </rPr>
          <t xml:space="preserve">
kick/drag/beat. 
Assume half are kick/drag, the other half are beat.</t>
        </r>
      </text>
    </comment>
    <comment ref="BC250" authorId="0" shapeId="0" xr:uid="{00000000-0006-0000-0000-00000F020000}">
      <text>
        <r>
          <rPr>
            <b/>
            <sz val="9"/>
            <color indexed="81"/>
            <rFont val="Tahoma"/>
            <family val="2"/>
          </rPr>
          <t>John:</t>
        </r>
        <r>
          <rPr>
            <sz val="9"/>
            <color indexed="81"/>
            <rFont val="Tahoma"/>
            <family val="2"/>
          </rPr>
          <t xml:space="preserve">
kick/drag/beat. 
Assume half are kick/drag, the other half are beat.</t>
        </r>
      </text>
    </comment>
    <comment ref="BK250" authorId="0" shapeId="0" xr:uid="{00000000-0006-0000-0000-000010020000}">
      <text>
        <r>
          <rPr>
            <b/>
            <sz val="9"/>
            <color indexed="81"/>
            <rFont val="Tahoma"/>
            <family val="2"/>
          </rPr>
          <t>John:</t>
        </r>
        <r>
          <rPr>
            <sz val="9"/>
            <color indexed="81"/>
            <rFont val="Tahoma"/>
            <family val="2"/>
          </rPr>
          <t xml:space="preserve">
Doesn't trust you with money</t>
        </r>
      </text>
    </comment>
    <comment ref="AA251" authorId="0" shapeId="0" xr:uid="{00000000-0006-0000-0000-000011020000}">
      <text>
        <r>
          <rPr>
            <b/>
            <sz val="9"/>
            <color indexed="81"/>
            <rFont val="Tahoma"/>
            <family val="2"/>
          </rPr>
          <t>John:</t>
        </r>
        <r>
          <rPr>
            <sz val="9"/>
            <color indexed="81"/>
            <rFont val="Tahoma"/>
            <family val="2"/>
          </rPr>
          <t xml:space="preserve">
verbal abuse</t>
        </r>
      </text>
    </comment>
    <comment ref="AK251" authorId="0" shapeId="0" xr:uid="{00000000-0006-0000-0000-000012020000}">
      <text>
        <r>
          <rPr>
            <b/>
            <sz val="9"/>
            <color indexed="81"/>
            <rFont val="Tahoma"/>
            <family val="2"/>
          </rPr>
          <t>John:</t>
        </r>
        <r>
          <rPr>
            <sz val="9"/>
            <color indexed="81"/>
            <rFont val="Tahoma"/>
            <family val="2"/>
          </rPr>
          <t xml:space="preserve">
beat with weapon</t>
        </r>
      </text>
    </comment>
    <comment ref="AW251" authorId="0" shapeId="0" xr:uid="{00000000-0006-0000-0000-000013020000}">
      <text>
        <r>
          <rPr>
            <b/>
            <sz val="9"/>
            <color indexed="81"/>
            <rFont val="Tahoma"/>
            <family val="2"/>
          </rPr>
          <t>John:</t>
        </r>
        <r>
          <rPr>
            <sz val="9"/>
            <color indexed="81"/>
            <rFont val="Tahoma"/>
            <family val="2"/>
          </rPr>
          <t xml:space="preserve">
inflicted burns.</t>
        </r>
      </text>
    </comment>
    <comment ref="BO251" authorId="0" shapeId="0" xr:uid="{00000000-0006-0000-0000-000014020000}">
      <text>
        <r>
          <rPr>
            <b/>
            <sz val="9"/>
            <color indexed="81"/>
            <rFont val="Tahoma"/>
            <family val="2"/>
          </rPr>
          <t>John:</t>
        </r>
        <r>
          <rPr>
            <sz val="9"/>
            <color indexed="81"/>
            <rFont val="Tahoma"/>
            <family val="2"/>
          </rPr>
          <t xml:space="preserve">
Have you ever experienced any forced sex by your husband?</t>
        </r>
      </text>
    </comment>
    <comment ref="I252" authorId="0" shapeId="0" xr:uid="{00000000-0006-0000-0000-000015020000}">
      <text>
        <r>
          <rPr>
            <b/>
            <sz val="9"/>
            <color indexed="81"/>
            <rFont val="Tahoma"/>
            <family val="2"/>
          </rPr>
          <t>John:</t>
        </r>
        <r>
          <rPr>
            <sz val="9"/>
            <color indexed="81"/>
            <rFont val="Tahoma"/>
            <family val="2"/>
          </rPr>
          <t xml:space="preserve">
Date of survey isn't given. I estimate the date as a few years before the journal article was published (2017).</t>
        </r>
      </text>
    </comment>
    <comment ref="X252" authorId="0" shapeId="0" xr:uid="{00000000-0006-0000-0000-000016020000}">
      <text>
        <r>
          <rPr>
            <b/>
            <sz val="9"/>
            <color indexed="81"/>
            <rFont val="Tahoma"/>
            <family val="2"/>
          </rPr>
          <t>John:</t>
        </r>
        <r>
          <rPr>
            <sz val="9"/>
            <color indexed="81"/>
            <rFont val="Tahoma"/>
            <family val="2"/>
          </rPr>
          <t xml:space="preserve">
Education level not reported.</t>
        </r>
      </text>
    </comment>
    <comment ref="BT252" authorId="0" shapeId="0" xr:uid="{00000000-0006-0000-0000-000017020000}">
      <text>
        <r>
          <rPr>
            <b/>
            <sz val="9"/>
            <color indexed="81"/>
            <rFont val="Tahoma"/>
            <family val="2"/>
          </rPr>
          <t>John:</t>
        </r>
        <r>
          <rPr>
            <sz val="9"/>
            <color indexed="81"/>
            <rFont val="Tahoma"/>
            <family val="2"/>
          </rPr>
          <t xml:space="preserve">
Most common form of domestic violence is physical followed by emotional and sexual violence.</t>
        </r>
      </text>
    </comment>
    <comment ref="AA253" authorId="0" shapeId="0" xr:uid="{00000000-0006-0000-0000-000018020000}">
      <text>
        <r>
          <rPr>
            <b/>
            <sz val="9"/>
            <color indexed="81"/>
            <rFont val="Tahoma"/>
            <family val="2"/>
          </rPr>
          <t>John:</t>
        </r>
        <r>
          <rPr>
            <sz val="9"/>
            <color indexed="81"/>
            <rFont val="Tahoma"/>
            <family val="2"/>
          </rPr>
          <t xml:space="preserve">
yelling at wife</t>
        </r>
      </text>
    </comment>
    <comment ref="AU253" authorId="0" shapeId="0" xr:uid="{00000000-0006-0000-0000-000019020000}">
      <text>
        <r>
          <rPr>
            <b/>
            <sz val="9"/>
            <color indexed="81"/>
            <rFont val="Tahoma"/>
            <family val="2"/>
          </rPr>
          <t>John:</t>
        </r>
        <r>
          <rPr>
            <sz val="9"/>
            <color indexed="81"/>
            <rFont val="Tahoma"/>
            <family val="2"/>
          </rPr>
          <t xml:space="preserve">
kicked, dragged, or beaten.
Assume half are kicked/dragged, the other half are beaten.</t>
        </r>
      </text>
    </comment>
    <comment ref="BC253" authorId="0" shapeId="0" xr:uid="{00000000-0006-0000-0000-00001A020000}">
      <text>
        <r>
          <rPr>
            <b/>
            <sz val="9"/>
            <color indexed="81"/>
            <rFont val="Tahoma"/>
            <family val="2"/>
          </rPr>
          <t>John:</t>
        </r>
        <r>
          <rPr>
            <sz val="9"/>
            <color indexed="81"/>
            <rFont val="Tahoma"/>
            <family val="2"/>
          </rPr>
          <t xml:space="preserve">
kicked, dragged, or beaten.
Assume half are kicked/dragged, the other half are beaten.</t>
        </r>
      </text>
    </comment>
    <comment ref="BK253" authorId="0" shapeId="0" xr:uid="{00000000-0006-0000-0000-00001B020000}">
      <text>
        <r>
          <rPr>
            <b/>
            <sz val="9"/>
            <color indexed="81"/>
            <rFont val="Tahoma"/>
            <family val="2"/>
          </rPr>
          <t>John:</t>
        </r>
        <r>
          <rPr>
            <sz val="9"/>
            <color indexed="81"/>
            <rFont val="Tahoma"/>
            <family val="2"/>
          </rPr>
          <t xml:space="preserve">
Husband not trusting wife with any money</t>
        </r>
      </text>
    </comment>
    <comment ref="BW253" authorId="0" shapeId="0" xr:uid="{00000000-0006-0000-0000-00001C020000}">
      <text>
        <r>
          <rPr>
            <b/>
            <sz val="9"/>
            <color indexed="81"/>
            <rFont val="Tahoma"/>
            <family val="2"/>
          </rPr>
          <t>John:</t>
        </r>
        <r>
          <rPr>
            <sz val="9"/>
            <color indexed="81"/>
            <rFont val="Tahoma"/>
            <family val="2"/>
          </rPr>
          <t xml:space="preserve">
This refers to slapping. Physical violence from in-laws is rare, compared to violence from husband.</t>
        </r>
      </text>
    </comment>
    <comment ref="I254" authorId="0" shapeId="0" xr:uid="{00000000-0006-0000-0000-00001D020000}">
      <text>
        <r>
          <rPr>
            <b/>
            <sz val="9"/>
            <color indexed="81"/>
            <rFont val="Tahoma"/>
            <family val="2"/>
          </rPr>
          <t>John:</t>
        </r>
        <r>
          <rPr>
            <sz val="9"/>
            <color indexed="81"/>
            <rFont val="Tahoma"/>
            <family val="2"/>
          </rPr>
          <t xml:space="preserve">
completed June 2015</t>
        </r>
      </text>
    </comment>
    <comment ref="BJ254" authorId="0" shapeId="0" xr:uid="{00000000-0006-0000-0000-00001E020000}">
      <text>
        <r>
          <rPr>
            <b/>
            <sz val="9"/>
            <color indexed="81"/>
            <rFont val="Tahoma"/>
            <family val="2"/>
          </rPr>
          <t>John:</t>
        </r>
        <r>
          <rPr>
            <sz val="9"/>
            <color indexed="81"/>
            <rFont val="Tahoma"/>
            <family val="2"/>
          </rPr>
          <t xml:space="preserve">
From page 25. Other figures are reported on other pages.</t>
        </r>
      </text>
    </comment>
    <comment ref="CA254" authorId="0" shapeId="0" xr:uid="{00000000-0006-0000-0000-00001F020000}">
      <text>
        <r>
          <rPr>
            <b/>
            <sz val="9"/>
            <color indexed="81"/>
            <rFont val="Tahoma"/>
            <family val="2"/>
          </rPr>
          <t>John:</t>
        </r>
        <r>
          <rPr>
            <sz val="9"/>
            <color indexed="81"/>
            <rFont val="Tahoma"/>
            <family val="2"/>
          </rPr>
          <t xml:space="preserve">
If she does not take care of her children to his satisfaction</t>
        </r>
      </text>
    </comment>
    <comment ref="I255" authorId="0" shapeId="0" xr:uid="{00000000-0006-0000-0000-000020020000}">
      <text>
        <r>
          <rPr>
            <b/>
            <sz val="9"/>
            <color indexed="81"/>
            <rFont val="Tahoma"/>
            <family val="2"/>
          </rPr>
          <t>John:</t>
        </r>
        <r>
          <rPr>
            <sz val="9"/>
            <color indexed="81"/>
            <rFont val="Tahoma"/>
            <family val="2"/>
          </rPr>
          <t xml:space="preserve">
March-April 2016</t>
        </r>
      </text>
    </comment>
    <comment ref="BI255" authorId="0" shapeId="0" xr:uid="{00000000-0006-0000-0000-000021020000}">
      <text>
        <r>
          <rPr>
            <b/>
            <sz val="9"/>
            <color indexed="81"/>
            <rFont val="Tahoma"/>
            <family val="2"/>
          </rPr>
          <t>John:</t>
        </r>
        <r>
          <rPr>
            <sz val="9"/>
            <color indexed="81"/>
            <rFont val="Tahoma"/>
            <family val="2"/>
          </rPr>
          <t xml:space="preserve">
Women screened for violence, as  fraction of sample re-interviewed.</t>
        </r>
      </text>
    </comment>
    <comment ref="BX255" authorId="0" shapeId="0" xr:uid="{00000000-0006-0000-0000-000022020000}">
      <text>
        <r>
          <rPr>
            <b/>
            <sz val="9"/>
            <color indexed="81"/>
            <rFont val="Tahoma"/>
            <family val="2"/>
          </rPr>
          <t>John:</t>
        </r>
        <r>
          <rPr>
            <sz val="9"/>
            <color indexed="81"/>
            <rFont val="Tahoma"/>
            <family val="2"/>
          </rPr>
          <t xml:space="preserve">
This figure may be affected by the intervention.</t>
        </r>
      </text>
    </comment>
    <comment ref="X256" authorId="0" shapeId="0" xr:uid="{00000000-0006-0000-0000-000023020000}">
      <text>
        <r>
          <rPr>
            <b/>
            <sz val="9"/>
            <color indexed="81"/>
            <rFont val="Tahoma"/>
            <family val="2"/>
          </rPr>
          <t>John:</t>
        </r>
        <r>
          <rPr>
            <sz val="9"/>
            <color indexed="81"/>
            <rFont val="Tahoma"/>
            <family val="2"/>
          </rPr>
          <t xml:space="preserve">
18.6% illiterate;
29.9% 1 - 9 years education;
51.5% 10+ years education.</t>
        </r>
      </text>
    </comment>
    <comment ref="BJ256" authorId="0" shapeId="0" xr:uid="{00000000-0006-0000-0000-000024020000}">
      <text>
        <r>
          <rPr>
            <b/>
            <sz val="9"/>
            <color indexed="81"/>
            <rFont val="Tahoma"/>
            <family val="2"/>
          </rPr>
          <t>John:</t>
        </r>
        <r>
          <rPr>
            <sz val="9"/>
            <color indexed="81"/>
            <rFont val="Tahoma"/>
            <family val="2"/>
          </rPr>
          <t xml:space="preserve">
This is experienced GBV during any pregnancy (rather than one specific 9-month period). The 'total fertility rate' is 2.2 children per woman; it would be possible to divide 3.3 by 2.2 to estimate GBV risk in one pregnancy.</t>
        </r>
      </text>
    </comment>
    <comment ref="H257" authorId="0" shapeId="0" xr:uid="{00000000-0006-0000-0000-000025020000}">
      <text>
        <r>
          <rPr>
            <b/>
            <sz val="9"/>
            <color indexed="81"/>
            <rFont val="Tahoma"/>
            <family val="2"/>
          </rPr>
          <t>John:</t>
        </r>
        <r>
          <rPr>
            <sz val="9"/>
            <color indexed="81"/>
            <rFont val="Tahoma"/>
            <family val="2"/>
          </rPr>
          <t xml:space="preserve">
Half of the sample urban, half rural.</t>
        </r>
      </text>
    </comment>
    <comment ref="S257" authorId="0" shapeId="0" xr:uid="{00000000-0006-0000-0000-000026020000}">
      <text>
        <r>
          <rPr>
            <b/>
            <sz val="9"/>
            <color indexed="81"/>
            <rFont val="Tahoma"/>
            <family val="2"/>
          </rPr>
          <t>John:</t>
        </r>
        <r>
          <rPr>
            <sz val="9"/>
            <color indexed="81"/>
            <rFont val="Tahoma"/>
            <family val="2"/>
          </rPr>
          <t xml:space="preserve">
272 women married under 18;
328 married over 18 years.</t>
        </r>
      </text>
    </comment>
    <comment ref="BI257" authorId="0" shapeId="0" xr:uid="{00000000-0006-0000-0000-000027020000}">
      <text>
        <r>
          <rPr>
            <b/>
            <sz val="9"/>
            <color indexed="81"/>
            <rFont val="Tahoma"/>
            <family val="2"/>
          </rPr>
          <t>John:</t>
        </r>
        <r>
          <rPr>
            <sz val="9"/>
            <color indexed="81"/>
            <rFont val="Tahoma"/>
            <family val="2"/>
          </rPr>
          <t xml:space="preserve">
This articles doesn't clarify how domestic violence is defined.
</t>
        </r>
      </text>
    </comment>
    <comment ref="R258" authorId="0" shapeId="0" xr:uid="{00000000-0006-0000-0000-000028020000}">
      <text>
        <r>
          <rPr>
            <b/>
            <sz val="9"/>
            <color indexed="81"/>
            <rFont val="Tahoma"/>
            <family val="2"/>
          </rPr>
          <t>John:</t>
        </r>
        <r>
          <rPr>
            <sz val="9"/>
            <color indexed="81"/>
            <rFont val="Tahoma"/>
            <family val="2"/>
          </rPr>
          <t xml:space="preserve">
Estimated by John Simister, from range 20 to 40+</t>
        </r>
      </text>
    </comment>
    <comment ref="AU258" authorId="0" shapeId="0" xr:uid="{00000000-0006-0000-0000-000029020000}">
      <text>
        <r>
          <rPr>
            <b/>
            <sz val="9"/>
            <color indexed="81"/>
            <rFont val="Tahoma"/>
            <family val="2"/>
          </rPr>
          <t>John:</t>
        </r>
        <r>
          <rPr>
            <sz val="9"/>
            <color indexed="81"/>
            <rFont val="Tahoma"/>
            <family val="2"/>
          </rPr>
          <t xml:space="preserve">
Kicked, dragged or beaten.
Assume half are kicked/dragged, the other half beaten.</t>
        </r>
      </text>
    </comment>
    <comment ref="AY258" authorId="0" shapeId="0" xr:uid="{00000000-0006-0000-0000-00002A020000}">
      <text>
        <r>
          <rPr>
            <b/>
            <sz val="9"/>
            <color indexed="81"/>
            <rFont val="Tahoma"/>
            <family val="2"/>
          </rPr>
          <t>John:</t>
        </r>
        <r>
          <rPr>
            <sz val="9"/>
            <color indexed="81"/>
            <rFont val="Tahoma"/>
            <family val="2"/>
          </rPr>
          <t xml:space="preserve">
Hit her with fist or something that could hurt.
[is this like a punch?]</t>
        </r>
      </text>
    </comment>
    <comment ref="BC258" authorId="0" shapeId="0" xr:uid="{00000000-0006-0000-0000-00002B020000}">
      <text>
        <r>
          <rPr>
            <b/>
            <sz val="9"/>
            <color indexed="81"/>
            <rFont val="Tahoma"/>
            <family val="2"/>
          </rPr>
          <t>John:</t>
        </r>
        <r>
          <rPr>
            <sz val="9"/>
            <color indexed="81"/>
            <rFont val="Tahoma"/>
            <family val="2"/>
          </rPr>
          <t xml:space="preserve">
Kicked, dragged or beaten.
Assume half are kicked/dragged, the other half beaten.</t>
        </r>
      </text>
    </comment>
    <comment ref="BO258" authorId="0" shapeId="0" xr:uid="{00000000-0006-0000-0000-00002C020000}">
      <text>
        <r>
          <rPr>
            <b/>
            <sz val="9"/>
            <color indexed="81"/>
            <rFont val="Tahoma"/>
            <family val="2"/>
          </rPr>
          <t>John:</t>
        </r>
        <r>
          <rPr>
            <sz val="9"/>
            <color indexed="81"/>
            <rFont val="Tahoma"/>
            <family val="2"/>
          </rPr>
          <t xml:space="preserve">
Being forced to do something sexual she found degrading or humiliating.</t>
        </r>
      </text>
    </comment>
    <comment ref="M259" authorId="0" shapeId="0" xr:uid="{00000000-0006-0000-0000-00002D020000}">
      <text>
        <r>
          <rPr>
            <b/>
            <sz val="9"/>
            <color indexed="81"/>
            <rFont val="Tahoma"/>
            <family val="2"/>
          </rPr>
          <t>John:</t>
        </r>
        <r>
          <rPr>
            <sz val="9"/>
            <color indexed="81"/>
            <rFont val="Tahoma"/>
            <family val="2"/>
          </rPr>
          <t xml:space="preserve">
67.4% of sample were ever-married.</t>
        </r>
      </text>
    </comment>
    <comment ref="Y259" authorId="0" shapeId="0" xr:uid="{00000000-0006-0000-0000-00002E020000}">
      <text>
        <r>
          <rPr>
            <b/>
            <sz val="9"/>
            <color indexed="81"/>
            <rFont val="Tahoma"/>
            <family val="2"/>
          </rPr>
          <t>John:</t>
        </r>
        <r>
          <rPr>
            <sz val="9"/>
            <color indexed="81"/>
            <rFont val="Tahoma"/>
            <family val="2"/>
          </rPr>
          <t xml:space="preserve">
regular ridiculing, insulting and mocking.
'marital fights': presumably this is only from husband, not from other household members.</t>
        </r>
      </text>
    </comment>
    <comment ref="AM259" authorId="0" shapeId="0" xr:uid="{00000000-0006-0000-0000-00002F020000}">
      <text>
        <r>
          <rPr>
            <b/>
            <sz val="9"/>
            <color indexed="81"/>
            <rFont val="Tahoma"/>
            <family val="2"/>
          </rPr>
          <t>John:</t>
        </r>
        <r>
          <rPr>
            <sz val="9"/>
            <color indexed="81"/>
            <rFont val="Tahoma"/>
            <family val="2"/>
          </rPr>
          <t xml:space="preserve">
women in the house have been: Slapped or hit with something by any person in the family</t>
        </r>
      </text>
    </comment>
    <comment ref="AQ259" authorId="0" shapeId="0" xr:uid="{00000000-0006-0000-0000-000030020000}">
      <text>
        <r>
          <rPr>
            <b/>
            <sz val="9"/>
            <color indexed="81"/>
            <rFont val="Tahoma"/>
            <family val="2"/>
          </rPr>
          <t>John:</t>
        </r>
        <r>
          <rPr>
            <sz val="9"/>
            <color indexed="81"/>
            <rFont val="Tahoma"/>
            <family val="2"/>
          </rPr>
          <t xml:space="preserve">
women in the house have been:
Pushed hard by any person in the family</t>
        </r>
      </text>
    </comment>
    <comment ref="AS259" authorId="0" shapeId="0" xr:uid="{00000000-0006-0000-0000-000031020000}">
      <text>
        <r>
          <rPr>
            <b/>
            <sz val="9"/>
            <color indexed="81"/>
            <rFont val="Tahoma"/>
            <family val="2"/>
          </rPr>
          <t>John:</t>
        </r>
        <r>
          <rPr>
            <sz val="9"/>
            <color indexed="81"/>
            <rFont val="Tahoma"/>
            <family val="2"/>
          </rPr>
          <t xml:space="preserve">
women in the house have been:
Punched or hit with something that might cause injury
by any person in the family</t>
        </r>
      </text>
    </comment>
    <comment ref="AU259" authorId="0" shapeId="0" xr:uid="{00000000-0006-0000-0000-000032020000}">
      <text>
        <r>
          <rPr>
            <b/>
            <sz val="9"/>
            <color indexed="81"/>
            <rFont val="Tahoma"/>
            <family val="2"/>
          </rPr>
          <t>John:</t>
        </r>
        <r>
          <rPr>
            <sz val="9"/>
            <color indexed="81"/>
            <rFont val="Tahoma"/>
            <family val="2"/>
          </rPr>
          <t xml:space="preserve">
women in the house have been:
kicked or pulled hard by any person in the family</t>
        </r>
      </text>
    </comment>
    <comment ref="AW259" authorId="0" shapeId="0" xr:uid="{00000000-0006-0000-0000-000033020000}">
      <text>
        <r>
          <rPr>
            <b/>
            <sz val="9"/>
            <color indexed="81"/>
            <rFont val="Tahoma"/>
            <family val="2"/>
          </rPr>
          <t>John:</t>
        </r>
        <r>
          <rPr>
            <sz val="9"/>
            <color indexed="81"/>
            <rFont val="Tahoma"/>
            <family val="2"/>
          </rPr>
          <t xml:space="preserve">
women in the house have been:
strangled or burnt (attempted)
by any person in the family</t>
        </r>
      </text>
    </comment>
    <comment ref="BI259" authorId="0" shapeId="0" xr:uid="{00000000-0006-0000-0000-000034020000}">
      <text>
        <r>
          <rPr>
            <b/>
            <sz val="9"/>
            <color indexed="81"/>
            <rFont val="Tahoma"/>
            <family val="2"/>
          </rPr>
          <t>John:</t>
        </r>
        <r>
          <rPr>
            <sz val="9"/>
            <color indexed="81"/>
            <rFont val="Tahoma"/>
            <family val="2"/>
          </rPr>
          <t xml:space="preserve">
Physical: 'marital fights' (presumably this only includes violence from husband, not from other household members)</t>
        </r>
      </text>
    </comment>
    <comment ref="BK259" authorId="0" shapeId="0" xr:uid="{00000000-0006-0000-0000-000035020000}">
      <text>
        <r>
          <rPr>
            <b/>
            <sz val="9"/>
            <color indexed="81"/>
            <rFont val="Tahoma"/>
            <family val="2"/>
          </rPr>
          <t>John:</t>
        </r>
        <r>
          <rPr>
            <sz val="9"/>
            <color indexed="81"/>
            <rFont val="Tahoma"/>
            <family val="2"/>
          </rPr>
          <t xml:space="preserve">
'marital fights': Financial. Presumably this is only from husband, not from other household members.</t>
        </r>
      </text>
    </comment>
    <comment ref="BS259" authorId="0" shapeId="0" xr:uid="{00000000-0006-0000-0000-000036020000}">
      <text>
        <r>
          <rPr>
            <b/>
            <sz val="9"/>
            <color indexed="81"/>
            <rFont val="Tahoma"/>
            <family val="2"/>
          </rPr>
          <t>John:</t>
        </r>
        <r>
          <rPr>
            <sz val="9"/>
            <color indexed="81"/>
            <rFont val="Tahoma"/>
            <family val="2"/>
          </rPr>
          <t xml:space="preserve">
Suffer from any form of torture - physical, mental, or are victims of negligence</t>
        </r>
      </text>
    </comment>
    <comment ref="BM260" authorId="0" shapeId="0" xr:uid="{00000000-0006-0000-0000-000037020000}">
      <text>
        <r>
          <rPr>
            <b/>
            <sz val="9"/>
            <color indexed="81"/>
            <rFont val="Tahoma"/>
            <family val="2"/>
          </rPr>
          <t>John:</t>
        </r>
        <r>
          <rPr>
            <sz val="9"/>
            <color indexed="81"/>
            <rFont val="Tahoma"/>
            <family val="2"/>
          </rPr>
          <t xml:space="preserve">
"sexual violence"</t>
        </r>
      </text>
    </comment>
    <comment ref="E261" authorId="0" shapeId="0" xr:uid="{00000000-0006-0000-0000-000038020000}">
      <text>
        <r>
          <rPr>
            <b/>
            <sz val="9"/>
            <color indexed="81"/>
            <rFont val="Tahoma"/>
            <family val="2"/>
          </rPr>
          <t>John:</t>
        </r>
        <r>
          <rPr>
            <sz val="9"/>
            <color indexed="81"/>
            <rFont val="Tahoma"/>
            <family val="2"/>
          </rPr>
          <t xml:space="preserve">
Now called Odisha.</t>
        </r>
      </text>
    </comment>
    <comment ref="S262" authorId="0" shapeId="0" xr:uid="{00000000-0006-0000-0000-000039020000}">
      <text>
        <r>
          <rPr>
            <b/>
            <sz val="9"/>
            <color indexed="81"/>
            <rFont val="Tahoma"/>
            <family val="2"/>
          </rPr>
          <t>John:</t>
        </r>
        <r>
          <rPr>
            <sz val="9"/>
            <color indexed="81"/>
            <rFont val="Tahoma"/>
            <family val="2"/>
          </rPr>
          <t xml:space="preserve">
77 women married under 18;
109 married over 18 years.</t>
        </r>
      </text>
    </comment>
    <comment ref="BI262" authorId="0" shapeId="0" xr:uid="{00000000-0006-0000-0000-00003A020000}">
      <text>
        <r>
          <rPr>
            <b/>
            <sz val="9"/>
            <color indexed="81"/>
            <rFont val="Tahoma"/>
            <family val="2"/>
          </rPr>
          <t>John:</t>
        </r>
        <r>
          <rPr>
            <sz val="9"/>
            <color indexed="81"/>
            <rFont val="Tahoma"/>
            <family val="2"/>
          </rPr>
          <t xml:space="preserve">
slapping, hitting, beating, kicking, head banging, pulling hair</t>
        </r>
      </text>
    </comment>
    <comment ref="BO262" authorId="0" shapeId="0" xr:uid="{00000000-0006-0000-0000-00003B020000}">
      <text>
        <r>
          <rPr>
            <b/>
            <sz val="9"/>
            <color indexed="81"/>
            <rFont val="Tahoma"/>
            <family val="2"/>
          </rPr>
          <t>John:</t>
        </r>
        <r>
          <rPr>
            <sz val="9"/>
            <color indexed="81"/>
            <rFont val="Tahoma"/>
            <family val="2"/>
          </rPr>
          <t xml:space="preserve">
Sexual violence: forced sex</t>
        </r>
      </text>
    </comment>
    <comment ref="BP262" authorId="0" shapeId="0" xr:uid="{00000000-0006-0000-0000-00003C020000}">
      <text>
        <r>
          <rPr>
            <b/>
            <sz val="9"/>
            <color indexed="81"/>
            <rFont val="Tahoma"/>
            <family val="2"/>
          </rPr>
          <t>John:</t>
        </r>
        <r>
          <rPr>
            <sz val="9"/>
            <color indexed="81"/>
            <rFont val="Tahoma"/>
            <family val="2"/>
          </rPr>
          <t xml:space="preserve">
Sexual violence: forced sex</t>
        </r>
      </text>
    </comment>
    <comment ref="X263" authorId="0" shapeId="0" xr:uid="{00000000-0006-0000-0000-00003D020000}">
      <text>
        <r>
          <rPr>
            <b/>
            <sz val="9"/>
            <color indexed="81"/>
            <rFont val="Tahoma"/>
            <family val="2"/>
          </rPr>
          <t xml:space="preserve">John:
</t>
        </r>
        <r>
          <rPr>
            <sz val="9"/>
            <color indexed="81"/>
            <rFont val="Tahoma"/>
            <family val="2"/>
          </rPr>
          <t xml:space="preserve">29.5% illiterate;
25% primary educ.
</t>
        </r>
        <r>
          <rPr>
            <sz val="9"/>
            <color indexed="81"/>
            <rFont val="Tahoma"/>
            <family val="2"/>
          </rPr>
          <t>Assume the rest had secondary education.</t>
        </r>
      </text>
    </comment>
    <comment ref="AK263" authorId="0" shapeId="0" xr:uid="{00000000-0006-0000-0000-00003E020000}">
      <text>
        <r>
          <rPr>
            <b/>
            <sz val="9"/>
            <color indexed="81"/>
            <rFont val="Tahoma"/>
            <family val="2"/>
          </rPr>
          <t>John:</t>
        </r>
        <r>
          <rPr>
            <sz val="9"/>
            <color indexed="81"/>
            <rFont val="Tahoma"/>
            <family val="2"/>
          </rPr>
          <t xml:space="preserve">
used weapon.</t>
        </r>
      </text>
    </comment>
    <comment ref="AO263" authorId="0" shapeId="0" xr:uid="{00000000-0006-0000-0000-00003F020000}">
      <text>
        <r>
          <rPr>
            <b/>
            <sz val="9"/>
            <color indexed="81"/>
            <rFont val="Tahoma"/>
            <family val="2"/>
          </rPr>
          <t>John:</t>
        </r>
        <r>
          <rPr>
            <sz val="9"/>
            <color indexed="81"/>
            <rFont val="Tahoma"/>
            <family val="2"/>
          </rPr>
          <t xml:space="preserve">
57 arm twist;
61 pull hair.
They may overlap, so I subtract Prob(A and B). </t>
        </r>
      </text>
    </comment>
    <comment ref="AW263" authorId="0" shapeId="0" xr:uid="{00000000-0006-0000-0000-000040020000}">
      <text>
        <r>
          <rPr>
            <b/>
            <sz val="9"/>
            <color indexed="81"/>
            <rFont val="Tahoma"/>
            <family val="2"/>
          </rPr>
          <t>John:</t>
        </r>
        <r>
          <rPr>
            <sz val="9"/>
            <color indexed="81"/>
            <rFont val="Tahoma"/>
            <family val="2"/>
          </rPr>
          <t xml:space="preserve">
31 tried to choke;
  1 tried to burn.
They may overlap.</t>
        </r>
      </text>
    </comment>
    <comment ref="BK263" authorId="0" shapeId="0" xr:uid="{00000000-0006-0000-0000-000041020000}">
      <text>
        <r>
          <rPr>
            <b/>
            <sz val="9"/>
            <color indexed="81"/>
            <rFont val="Tahoma"/>
            <family val="2"/>
          </rPr>
          <t>John:</t>
        </r>
        <r>
          <rPr>
            <sz val="9"/>
            <color indexed="81"/>
            <rFont val="Tahoma"/>
            <family val="2"/>
          </rPr>
          <t xml:space="preserve">
Denied economic independence.</t>
        </r>
      </text>
    </comment>
    <comment ref="BM263" authorId="0" shapeId="0" xr:uid="{00000000-0006-0000-0000-000042020000}">
      <text>
        <r>
          <rPr>
            <b/>
            <sz val="9"/>
            <color indexed="81"/>
            <rFont val="Tahoma"/>
            <family val="2"/>
          </rPr>
          <t>John:</t>
        </r>
        <r>
          <rPr>
            <sz val="9"/>
            <color indexed="81"/>
            <rFont val="Tahoma"/>
            <family val="2"/>
          </rPr>
          <t xml:space="preserve">
“physically forcing her to have sexual intercourse with him even when she did not want to or forcing her to perform any sexual acts that she did not want to”</t>
        </r>
      </text>
    </comment>
    <comment ref="BX263" authorId="0" shapeId="0" xr:uid="{00000000-0006-0000-0000-000043020000}">
      <text>
        <r>
          <rPr>
            <b/>
            <sz val="9"/>
            <color indexed="81"/>
            <rFont val="Tahoma"/>
            <family val="2"/>
          </rPr>
          <t>John:</t>
        </r>
        <r>
          <rPr>
            <sz val="9"/>
            <color indexed="81"/>
            <rFont val="Tahoma"/>
            <family val="2"/>
          </rPr>
          <t xml:space="preserve">
8% of women sought help; not clear how many went to police.</t>
        </r>
      </text>
    </comment>
    <comment ref="I269" authorId="0" shapeId="0" xr:uid="{00000000-0006-0000-0000-000044020000}">
      <text>
        <r>
          <rPr>
            <b/>
            <sz val="9"/>
            <color indexed="81"/>
            <rFont val="Tahoma"/>
            <family val="2"/>
          </rPr>
          <t>John:</t>
        </r>
        <r>
          <rPr>
            <sz val="9"/>
            <color indexed="81"/>
            <rFont val="Tahoma"/>
            <family val="2"/>
          </rPr>
          <t xml:space="preserve">
This is the year of publication in Faramarzi et al.</t>
        </r>
      </text>
    </comment>
    <comment ref="I270" authorId="0" shapeId="0" xr:uid="{00000000-0006-0000-0000-000045020000}">
      <text>
        <r>
          <rPr>
            <b/>
            <sz val="9"/>
            <color indexed="81"/>
            <rFont val="Tahoma"/>
            <family val="2"/>
          </rPr>
          <t>John:</t>
        </r>
        <r>
          <rPr>
            <sz val="9"/>
            <color indexed="81"/>
            <rFont val="Tahoma"/>
            <family val="2"/>
          </rPr>
          <t xml:space="preserve">
This is the year of publication in Ghazizadeh.</t>
        </r>
      </text>
    </comment>
    <comment ref="I271" authorId="1" shapeId="0" xr:uid="{00000000-0006-0000-0000-000046020000}">
      <text>
        <r>
          <rPr>
            <b/>
            <sz val="9"/>
            <color indexed="81"/>
            <rFont val="Tahoma"/>
            <family val="2"/>
          </rPr>
          <t>John:</t>
        </r>
        <r>
          <rPr>
            <sz val="9"/>
            <color indexed="81"/>
            <rFont val="Tahoma"/>
            <family val="2"/>
          </rPr>
          <t xml:space="preserve">
This is the date published by Mousavi et al.</t>
        </r>
      </text>
    </comment>
    <comment ref="I280" authorId="1" shapeId="0" xr:uid="{00000000-0006-0000-0000-000047020000}">
      <text>
        <r>
          <rPr>
            <b/>
            <sz val="9"/>
            <color indexed="81"/>
            <rFont val="Tahoma"/>
            <family val="2"/>
          </rPr>
          <t>John:</t>
        </r>
        <r>
          <rPr>
            <sz val="9"/>
            <color indexed="81"/>
            <rFont val="Tahoma"/>
            <family val="2"/>
          </rPr>
          <t xml:space="preserve">
2004 is the date published in Eisikovits et al
</t>
        </r>
      </text>
    </comment>
    <comment ref="I283" authorId="0" shapeId="0" xr:uid="{00000000-0006-0000-0000-000048020000}">
      <text>
        <r>
          <rPr>
            <b/>
            <sz val="9"/>
            <color indexed="81"/>
            <rFont val="Tahoma"/>
            <family val="2"/>
          </rPr>
          <t>John:</t>
        </r>
        <r>
          <rPr>
            <sz val="9"/>
            <color indexed="81"/>
            <rFont val="Tahoma"/>
            <family val="2"/>
          </rPr>
          <t xml:space="preserve">
This is the date published in Romito et al.</t>
        </r>
      </text>
    </comment>
    <comment ref="I284" authorId="0" shapeId="0" xr:uid="{00000000-0006-0000-0000-000049020000}">
      <text>
        <r>
          <rPr>
            <b/>
            <sz val="9"/>
            <color indexed="81"/>
            <rFont val="Tahoma"/>
            <family val="2"/>
          </rPr>
          <t>John:</t>
        </r>
        <r>
          <rPr>
            <sz val="9"/>
            <color indexed="81"/>
            <rFont val="Tahoma"/>
            <family val="2"/>
          </rPr>
          <t xml:space="preserve">
This is the date published in Romito et al.</t>
        </r>
      </text>
    </comment>
    <comment ref="I288" authorId="0" shapeId="0" xr:uid="{00000000-0006-0000-0000-00004A020000}">
      <text>
        <r>
          <rPr>
            <b/>
            <sz val="9"/>
            <color indexed="81"/>
            <rFont val="Tahoma"/>
            <family val="2"/>
          </rPr>
          <t>John:</t>
        </r>
        <r>
          <rPr>
            <sz val="9"/>
            <color indexed="81"/>
            <rFont val="Tahoma"/>
            <family val="2"/>
          </rPr>
          <t xml:space="preserve">
This is the date published in Yoshihama et al.</t>
        </r>
      </text>
    </comment>
    <comment ref="I290" authorId="1" shapeId="0" xr:uid="{00000000-0006-0000-0000-00004B020000}">
      <text>
        <r>
          <rPr>
            <b/>
            <sz val="9"/>
            <color indexed="81"/>
            <rFont val="Tahoma"/>
            <family val="2"/>
          </rPr>
          <t>John:</t>
        </r>
        <r>
          <rPr>
            <sz val="9"/>
            <color indexed="81"/>
            <rFont val="Tahoma"/>
            <family val="2"/>
          </rPr>
          <t xml:space="preserve">
This is the date published in Kwaha &amp; Barazi.</t>
        </r>
      </text>
    </comment>
    <comment ref="I294" authorId="0" shapeId="0" xr:uid="{00000000-0006-0000-0000-00004C020000}">
      <text>
        <r>
          <rPr>
            <b/>
            <sz val="9"/>
            <color indexed="81"/>
            <rFont val="Tahoma"/>
            <family val="2"/>
          </rPr>
          <t>John:</t>
        </r>
        <r>
          <rPr>
            <sz val="9"/>
            <color indexed="81"/>
            <rFont val="Tahoma"/>
            <family val="2"/>
          </rPr>
          <t xml:space="preserve">
This is the year of publication in Rosenberg et al.</t>
        </r>
      </text>
    </comment>
    <comment ref="I302" authorId="1" shapeId="0" xr:uid="{00000000-0006-0000-0000-00004D020000}">
      <text>
        <r>
          <rPr>
            <b/>
            <sz val="9"/>
            <color indexed="81"/>
            <rFont val="Tahoma"/>
            <family val="2"/>
          </rPr>
          <t>John:</t>
        </r>
        <r>
          <rPr>
            <sz val="9"/>
            <color indexed="81"/>
            <rFont val="Tahoma"/>
            <family val="2"/>
          </rPr>
          <t xml:space="preserve">
2004 is the date published in Khawaja &amp; Tewtel-Salem.</t>
        </r>
      </text>
    </comment>
    <comment ref="I307" authorId="0" shapeId="0" xr:uid="{00000000-0006-0000-0000-00004E020000}">
      <text>
        <r>
          <rPr>
            <b/>
            <sz val="9"/>
            <color indexed="81"/>
            <rFont val="Tahoma"/>
            <family val="2"/>
          </rPr>
          <t>John:</t>
        </r>
        <r>
          <rPr>
            <sz val="9"/>
            <color indexed="81"/>
            <rFont val="Tahoma"/>
            <family val="2"/>
          </rPr>
          <t xml:space="preserve">
This is year of publication in ESE 2000</t>
        </r>
      </text>
    </comment>
    <comment ref="O316" authorId="0" shapeId="0" xr:uid="{00000000-0006-0000-0000-00004F020000}">
      <text>
        <r>
          <rPr>
            <b/>
            <sz val="9"/>
            <color indexed="81"/>
            <rFont val="Tahoma"/>
            <family val="2"/>
          </rPr>
          <t>John:</t>
        </r>
        <r>
          <rPr>
            <sz val="9"/>
            <color indexed="81"/>
            <rFont val="Tahoma"/>
            <family val="2"/>
          </rPr>
          <t xml:space="preserve">
Minimum age 18. I assume maximum age was 26, because 2005 sample were re-interviewed.
</t>
        </r>
      </text>
    </comment>
    <comment ref="CG316" authorId="1" shapeId="0" xr:uid="{00000000-0006-0000-0000-000050020000}">
      <text>
        <r>
          <rPr>
            <b/>
            <sz val="9"/>
            <color indexed="81"/>
            <rFont val="Tahoma"/>
            <family val="2"/>
          </rPr>
          <t>John (London):</t>
        </r>
        <r>
          <rPr>
            <sz val="9"/>
            <color indexed="81"/>
            <rFont val="Tahoma"/>
            <family val="2"/>
          </rPr>
          <t xml:space="preserve">
prevalence rate for last 12 months is from VAW
</t>
        </r>
      </text>
    </comment>
    <comment ref="I323" authorId="0" shapeId="0" xr:uid="{00000000-0006-0000-0000-000051020000}">
      <text>
        <r>
          <rPr>
            <b/>
            <sz val="9"/>
            <color indexed="81"/>
            <rFont val="Tahoma"/>
            <family val="2"/>
          </rPr>
          <t>John:</t>
        </r>
        <r>
          <rPr>
            <sz val="9"/>
            <color indexed="81"/>
            <rFont val="Tahoma"/>
            <family val="2"/>
          </rPr>
          <t xml:space="preserve">
This is the date published in Tollestrup et al.</t>
        </r>
      </text>
    </comment>
    <comment ref="I324" authorId="0" shapeId="0" xr:uid="{00000000-0006-0000-0000-000052020000}">
      <text>
        <r>
          <rPr>
            <b/>
            <sz val="9"/>
            <color indexed="81"/>
            <rFont val="Tahoma"/>
            <family val="2"/>
          </rPr>
          <t>John:</t>
        </r>
        <r>
          <rPr>
            <sz val="9"/>
            <color indexed="81"/>
            <rFont val="Tahoma"/>
            <family val="2"/>
          </rPr>
          <t xml:space="preserve">
This is the date published in Az-Olavarrieta et al.</t>
        </r>
      </text>
    </comment>
    <comment ref="O324" authorId="0" shapeId="0" xr:uid="{00000000-0006-0000-0000-000053020000}">
      <text>
        <r>
          <rPr>
            <b/>
            <sz val="9"/>
            <color indexed="81"/>
            <rFont val="Tahoma"/>
            <family val="2"/>
          </rPr>
          <t>John:</t>
        </r>
        <r>
          <rPr>
            <sz val="9"/>
            <color indexed="81"/>
            <rFont val="Tahoma"/>
            <family val="2"/>
          </rPr>
          <t xml:space="preserve">
Minimum age 18 in 2006. I assume minimum &amp; maximum age increased by 1, because 2006 sample were re-interviewed.</t>
        </r>
      </text>
    </comment>
    <comment ref="I327" authorId="0" shapeId="0" xr:uid="{00000000-0006-0000-0000-000054020000}">
      <text>
        <r>
          <rPr>
            <b/>
            <sz val="9"/>
            <color indexed="81"/>
            <rFont val="Tahoma"/>
            <family val="2"/>
          </rPr>
          <t>John:</t>
        </r>
        <r>
          <rPr>
            <sz val="9"/>
            <color indexed="81"/>
            <rFont val="Tahoma"/>
            <family val="2"/>
          </rPr>
          <t xml:space="preserve">
This is the date published by River-Rivera et al.</t>
        </r>
      </text>
    </comment>
    <comment ref="O328" authorId="0" shapeId="0" xr:uid="{00000000-0006-0000-0000-000055020000}">
      <text>
        <r>
          <rPr>
            <b/>
            <sz val="9"/>
            <color indexed="81"/>
            <rFont val="Tahoma"/>
            <family val="2"/>
          </rPr>
          <t>John:</t>
        </r>
        <r>
          <rPr>
            <sz val="9"/>
            <color indexed="81"/>
            <rFont val="Tahoma"/>
            <family val="2"/>
          </rPr>
          <t xml:space="preserve">
ages 17-45 according to Raj et al (2011).</t>
        </r>
      </text>
    </comment>
    <comment ref="I336" authorId="0" shapeId="0" xr:uid="{00000000-0006-0000-0000-000056020000}">
      <text>
        <r>
          <rPr>
            <b/>
            <sz val="9"/>
            <color indexed="81"/>
            <rFont val="Tahoma"/>
            <family val="2"/>
          </rPr>
          <t>John:</t>
        </r>
        <r>
          <rPr>
            <sz val="9"/>
            <color indexed="81"/>
            <rFont val="Tahoma"/>
            <family val="2"/>
          </rPr>
          <t xml:space="preserve">
This is the date published in Kyu &amp; Kana.</t>
        </r>
      </text>
    </comment>
    <comment ref="I345" authorId="1" shapeId="0" xr:uid="{00000000-0006-0000-0000-000057020000}">
      <text>
        <r>
          <rPr>
            <b/>
            <sz val="9"/>
            <color indexed="81"/>
            <rFont val="Tahoma"/>
            <family val="2"/>
          </rPr>
          <t>John:</t>
        </r>
        <r>
          <rPr>
            <sz val="9"/>
            <color indexed="81"/>
            <rFont val="Tahoma"/>
            <family val="2"/>
          </rPr>
          <t xml:space="preserve">
This is the date published in Koziol-McLain et al
</t>
        </r>
      </text>
    </comment>
    <comment ref="I356" authorId="1" shapeId="0" xr:uid="{00000000-0006-0000-0000-000058020000}">
      <text>
        <r>
          <rPr>
            <b/>
            <sz val="9"/>
            <color indexed="81"/>
            <rFont val="Tahoma"/>
            <family val="2"/>
          </rPr>
          <t>John:</t>
        </r>
        <r>
          <rPr>
            <sz val="9"/>
            <color indexed="81"/>
            <rFont val="Tahoma"/>
            <family val="2"/>
          </rPr>
          <t xml:space="preserve">
This is the date in Llika et al</t>
        </r>
      </text>
    </comment>
    <comment ref="I359" authorId="1" shapeId="0" xr:uid="{00000000-0006-0000-0000-000059020000}">
      <text>
        <r>
          <rPr>
            <b/>
            <sz val="9"/>
            <color indexed="81"/>
            <rFont val="Tahoma"/>
            <family val="2"/>
          </rPr>
          <t>John:</t>
        </r>
        <r>
          <rPr>
            <sz val="9"/>
            <color indexed="81"/>
            <rFont val="Tahoma"/>
            <family val="2"/>
          </rPr>
          <t xml:space="preserve">
2005 is the date published by Fawole et al.</t>
        </r>
      </text>
    </comment>
    <comment ref="I363" authorId="1" shapeId="0" xr:uid="{00000000-0006-0000-0000-00005A020000}">
      <text>
        <r>
          <rPr>
            <b/>
            <sz val="9"/>
            <color indexed="81"/>
            <rFont val="Tahoma"/>
            <family val="2"/>
          </rPr>
          <t>John:</t>
        </r>
        <r>
          <rPr>
            <sz val="9"/>
            <color indexed="81"/>
            <rFont val="Tahoma"/>
            <family val="2"/>
          </rPr>
          <t xml:space="preserve">
This is the year of publication in Fikree &amp; Bhatti.
</t>
        </r>
      </text>
    </comment>
    <comment ref="I364" authorId="0" shapeId="0" xr:uid="{00000000-0006-0000-0000-00005B020000}">
      <text>
        <r>
          <rPr>
            <b/>
            <sz val="9"/>
            <color indexed="81"/>
            <rFont val="Tahoma"/>
            <family val="2"/>
          </rPr>
          <t>John:</t>
        </r>
        <r>
          <rPr>
            <sz val="9"/>
            <color indexed="81"/>
            <rFont val="Tahoma"/>
            <family val="2"/>
          </rPr>
          <t xml:space="preserve">
This is the date published in Shaikh et al.
</t>
        </r>
      </text>
    </comment>
    <comment ref="I382" authorId="0" shapeId="0" xr:uid="{00000000-0006-0000-0000-00005C020000}">
      <text>
        <r>
          <rPr>
            <b/>
            <sz val="9"/>
            <color indexed="81"/>
            <rFont val="Tahoma"/>
            <family val="2"/>
          </rPr>
          <t>John:</t>
        </r>
        <r>
          <rPr>
            <sz val="9"/>
            <color indexed="81"/>
            <rFont val="Tahoma"/>
            <family val="2"/>
          </rPr>
          <t xml:space="preserve">
This is the date published by Serquina-Ramiro et al.</t>
        </r>
      </text>
    </comment>
    <comment ref="BQ395" authorId="0" shapeId="0" xr:uid="{00000000-0006-0000-0000-00005D020000}">
      <text>
        <r>
          <rPr>
            <b/>
            <sz val="9"/>
            <color indexed="81"/>
            <rFont val="Tahoma"/>
            <family val="2"/>
          </rPr>
          <t>John:</t>
        </r>
        <r>
          <rPr>
            <sz val="9"/>
            <color indexed="81"/>
            <rFont val="Tahoma"/>
            <family val="2"/>
          </rPr>
          <t xml:space="preserve">
any type of GBV (verbal, physical, sexual)</t>
        </r>
      </text>
    </comment>
    <comment ref="BI400" authorId="0" shapeId="0" xr:uid="{00000000-0006-0000-0000-00005E020000}">
      <text>
        <r>
          <rPr>
            <b/>
            <sz val="9"/>
            <color indexed="81"/>
            <rFont val="Tahoma"/>
            <family val="2"/>
          </rPr>
          <t>John:</t>
        </r>
        <r>
          <rPr>
            <sz val="9"/>
            <color indexed="81"/>
            <rFont val="Tahoma"/>
            <family val="2"/>
          </rPr>
          <t xml:space="preserve">
This is 'slapped, beaten, or physical brutalities'; on page 30, other types of GBV are mentioned - so the true prevalence rate may be more than 26%.
</t>
        </r>
      </text>
    </comment>
    <comment ref="I417" authorId="1" shapeId="0" xr:uid="{00000000-0006-0000-0000-00005F020000}">
      <text>
        <r>
          <rPr>
            <b/>
            <sz val="9"/>
            <color indexed="81"/>
            <rFont val="Tahoma"/>
            <family val="2"/>
          </rPr>
          <t>John:</t>
        </r>
        <r>
          <rPr>
            <sz val="9"/>
            <color indexed="81"/>
            <rFont val="Tahoma"/>
            <family val="2"/>
          </rPr>
          <t xml:space="preserve">
This is the date in Jewkes et al.</t>
        </r>
      </text>
    </comment>
    <comment ref="I419" authorId="2" shapeId="0" xr:uid="{00000000-0006-0000-0000-000060020000}">
      <text>
        <r>
          <rPr>
            <b/>
            <sz val="8"/>
            <color indexed="81"/>
            <rFont val="Tahoma"/>
            <family val="2"/>
          </rPr>
          <t>John Simister:</t>
        </r>
        <r>
          <rPr>
            <sz val="8"/>
            <color indexed="81"/>
            <rFont val="Tahoma"/>
            <family val="2"/>
          </rPr>
          <t xml:space="preserve">
No survey date reported; 1988 is the date of the Shim (1988) report, cited in Kim &amp; Cho.</t>
        </r>
      </text>
    </comment>
    <comment ref="I423" authorId="0" shapeId="0" xr:uid="{00000000-0006-0000-0000-000061020000}">
      <text>
        <r>
          <rPr>
            <b/>
            <sz val="9"/>
            <color indexed="81"/>
            <rFont val="Tahoma"/>
            <family val="2"/>
          </rPr>
          <t>John:</t>
        </r>
        <r>
          <rPr>
            <sz val="9"/>
            <color indexed="81"/>
            <rFont val="Tahoma"/>
            <family val="2"/>
          </rPr>
          <t xml:space="preserve">
This is the date published in Medina et al.</t>
        </r>
      </text>
    </comment>
    <comment ref="I425" authorId="0" shapeId="0" xr:uid="{00000000-0006-0000-0000-000062020000}">
      <text>
        <r>
          <rPr>
            <b/>
            <sz val="9"/>
            <color indexed="81"/>
            <rFont val="Tahoma"/>
            <family val="2"/>
          </rPr>
          <t>John:</t>
        </r>
        <r>
          <rPr>
            <sz val="9"/>
            <color indexed="81"/>
            <rFont val="Tahoma"/>
            <family val="2"/>
          </rPr>
          <t xml:space="preserve">
This is the date published by Ruiz-Perez et al.</t>
        </r>
      </text>
    </comment>
    <comment ref="U426" authorId="0" shapeId="0" xr:uid="{00000000-0006-0000-0000-000063020000}">
      <text>
        <r>
          <rPr>
            <b/>
            <sz val="9"/>
            <color indexed="81"/>
            <rFont val="Tahoma"/>
            <family val="2"/>
          </rPr>
          <t>John:</t>
        </r>
        <r>
          <rPr>
            <sz val="9"/>
            <color indexed="81"/>
            <rFont val="Tahoma"/>
            <family val="2"/>
          </rPr>
          <t xml:space="preserve">
This is all women;  I ignore GBV prevalence among immigrant women, but I don't know how many of these women are immigrants</t>
        </r>
      </text>
    </comment>
    <comment ref="I427" authorId="0" shapeId="0" xr:uid="{00000000-0006-0000-0000-000064020000}">
      <text>
        <r>
          <rPr>
            <b/>
            <sz val="9"/>
            <color indexed="81"/>
            <rFont val="Tahoma"/>
            <family val="2"/>
          </rPr>
          <t>John:</t>
        </r>
        <r>
          <rPr>
            <sz val="9"/>
            <color indexed="81"/>
            <rFont val="Tahoma"/>
            <family val="2"/>
          </rPr>
          <t xml:space="preserve">
This the year of publication.  I don't know the year of the survey.
</t>
        </r>
      </text>
    </comment>
    <comment ref="I428" authorId="0" shapeId="0" xr:uid="{00000000-0006-0000-0000-000065020000}">
      <text>
        <r>
          <rPr>
            <b/>
            <sz val="9"/>
            <color indexed="81"/>
            <rFont val="Tahoma"/>
            <family val="2"/>
          </rPr>
          <t>John:</t>
        </r>
        <r>
          <rPr>
            <sz val="9"/>
            <color indexed="81"/>
            <rFont val="Tahoma"/>
            <family val="2"/>
          </rPr>
          <t xml:space="preserve">
This the year of publication.  I don't know the year of the survey.
</t>
        </r>
      </text>
    </comment>
    <comment ref="I429" authorId="0" shapeId="0" xr:uid="{00000000-0006-0000-0000-000066020000}">
      <text>
        <r>
          <rPr>
            <b/>
            <sz val="9"/>
            <color indexed="81"/>
            <rFont val="Tahoma"/>
            <family val="2"/>
          </rPr>
          <t>John:</t>
        </r>
        <r>
          <rPr>
            <sz val="9"/>
            <color indexed="81"/>
            <rFont val="Tahoma"/>
            <family val="2"/>
          </rPr>
          <t xml:space="preserve">
This the year of publication.  I don't know the year of the survey.
</t>
        </r>
      </text>
    </comment>
    <comment ref="BJ429" authorId="0" shapeId="0" xr:uid="{00000000-0006-0000-0000-000067020000}">
      <text>
        <r>
          <rPr>
            <b/>
            <sz val="9"/>
            <color indexed="81"/>
            <rFont val="Tahoma"/>
            <family val="2"/>
          </rPr>
          <t>John:</t>
        </r>
        <r>
          <rPr>
            <sz val="9"/>
            <color indexed="81"/>
            <rFont val="Tahoma"/>
            <family val="2"/>
          </rPr>
          <t xml:space="preserve">
"current abuse" - this may mean the last 12 months, but I don't know.</t>
        </r>
      </text>
    </comment>
    <comment ref="I432" authorId="1" shapeId="0" xr:uid="{00000000-0006-0000-0000-000068020000}">
      <text>
        <r>
          <rPr>
            <b/>
            <sz val="9"/>
            <color indexed="81"/>
            <rFont val="Tahoma"/>
            <family val="2"/>
          </rPr>
          <t>John:</t>
        </r>
        <r>
          <rPr>
            <sz val="9"/>
            <color indexed="81"/>
            <rFont val="Tahoma"/>
            <family val="2"/>
          </rPr>
          <t xml:space="preserve">
This is the date published in Swahnberg et al
</t>
        </r>
      </text>
    </comment>
    <comment ref="I434" authorId="1" shapeId="0" xr:uid="{00000000-0006-0000-0000-000069020000}">
      <text>
        <r>
          <rPr>
            <b/>
            <sz val="9"/>
            <color indexed="81"/>
            <rFont val="Tahoma"/>
            <family val="2"/>
          </rPr>
          <t>John:</t>
        </r>
        <r>
          <rPr>
            <sz val="9"/>
            <color indexed="81"/>
            <rFont val="Tahoma"/>
            <family val="2"/>
          </rPr>
          <t xml:space="preserve">
This is the date published in Hedin et al.
</t>
        </r>
      </text>
    </comment>
    <comment ref="I435" authorId="1" shapeId="0" xr:uid="{00000000-0006-0000-0000-00006A020000}">
      <text>
        <r>
          <rPr>
            <b/>
            <sz val="9"/>
            <color indexed="81"/>
            <rFont val="Tahoma"/>
            <family val="2"/>
          </rPr>
          <t>John:</t>
        </r>
        <r>
          <rPr>
            <sz val="9"/>
            <color indexed="81"/>
            <rFont val="Tahoma"/>
            <family val="2"/>
          </rPr>
          <t xml:space="preserve">
This is the date published in Swahnberg et al
</t>
        </r>
      </text>
    </comment>
    <comment ref="I438" authorId="1" shapeId="0" xr:uid="{00000000-0006-0000-0000-00006B020000}">
      <text>
        <r>
          <rPr>
            <b/>
            <sz val="9"/>
            <color indexed="81"/>
            <rFont val="Tahoma"/>
            <family val="2"/>
          </rPr>
          <t>John:</t>
        </r>
        <r>
          <rPr>
            <sz val="9"/>
            <color indexed="81"/>
            <rFont val="Tahoma"/>
            <family val="2"/>
          </rPr>
          <t xml:space="preserve">
2003 is the date published in Maziak &amp; Asfar.</t>
        </r>
      </text>
    </comment>
    <comment ref="I440" authorId="0" shapeId="0" xr:uid="{00000000-0006-0000-0000-00006C020000}">
      <text>
        <r>
          <rPr>
            <b/>
            <sz val="9"/>
            <color indexed="81"/>
            <rFont val="Tahoma"/>
            <family val="2"/>
          </rPr>
          <t>This is the date published by WHO</t>
        </r>
      </text>
    </comment>
    <comment ref="U440" authorId="0" shapeId="0" xr:uid="{00000000-0006-0000-0000-00006D020000}">
      <text>
        <r>
          <rPr>
            <b/>
            <sz val="9"/>
            <color indexed="81"/>
            <rFont val="Tahoma"/>
            <family val="2"/>
          </rPr>
          <t>John:</t>
        </r>
        <r>
          <rPr>
            <sz val="9"/>
            <color indexed="81"/>
            <rFont val="Tahoma"/>
            <family val="2"/>
          </rPr>
          <t xml:space="preserve">
I don't know this sample size, so use the sample size from the 2005 survey to give an unweighted average.</t>
        </r>
      </text>
    </comment>
    <comment ref="I443" authorId="1" shapeId="0" xr:uid="{00000000-0006-0000-0000-00006E020000}">
      <text>
        <r>
          <rPr>
            <b/>
            <sz val="9"/>
            <color indexed="81"/>
            <rFont val="Tahoma"/>
            <family val="2"/>
          </rPr>
          <t>John:</t>
        </r>
        <r>
          <rPr>
            <sz val="9"/>
            <color indexed="81"/>
            <rFont val="Tahoma"/>
            <family val="2"/>
          </rPr>
          <t xml:space="preserve">
1990 is the year of publication in Sheikh-Hashim &amp; Gabba
</t>
        </r>
      </text>
    </comment>
    <comment ref="I446" authorId="0" shapeId="0" xr:uid="{00000000-0006-0000-0000-00006F020000}">
      <text>
        <r>
          <rPr>
            <b/>
            <sz val="9"/>
            <color indexed="81"/>
            <rFont val="Tahoma"/>
            <family val="2"/>
          </rPr>
          <t>John:</t>
        </r>
        <r>
          <rPr>
            <sz val="9"/>
            <color indexed="81"/>
            <rFont val="Tahoma"/>
            <family val="2"/>
          </rPr>
          <t xml:space="preserve">
This is the date published in McCloskey et al.</t>
        </r>
      </text>
    </comment>
    <comment ref="I451" authorId="0" shapeId="0" xr:uid="{00000000-0006-0000-0000-000070020000}">
      <text>
        <r>
          <rPr>
            <b/>
            <sz val="9"/>
            <color indexed="81"/>
            <rFont val="Tahoma"/>
            <family val="2"/>
          </rPr>
          <t>John:</t>
        </r>
        <r>
          <rPr>
            <sz val="9"/>
            <color indexed="81"/>
            <rFont val="Tahoma"/>
            <family val="2"/>
          </rPr>
          <t xml:space="preserve">
This is the year of publication in Nagassar et al.</t>
        </r>
      </text>
    </comment>
    <comment ref="I454" authorId="1" shapeId="0" xr:uid="{00000000-0006-0000-0000-000071020000}">
      <text>
        <r>
          <rPr>
            <b/>
            <sz val="9"/>
            <color indexed="81"/>
            <rFont val="Tahoma"/>
            <family val="2"/>
          </rPr>
          <t>John:</t>
        </r>
        <r>
          <rPr>
            <sz val="9"/>
            <color indexed="81"/>
            <rFont val="Tahoma"/>
            <family val="2"/>
          </rPr>
          <t xml:space="preserve">
This is the date published in Sahin &amp; Sahin.</t>
        </r>
      </text>
    </comment>
    <comment ref="I455" authorId="1" shapeId="0" xr:uid="{00000000-0006-0000-0000-000072020000}">
      <text>
        <r>
          <rPr>
            <b/>
            <sz val="9"/>
            <color indexed="81"/>
            <rFont val="Tahoma"/>
            <family val="2"/>
          </rPr>
          <t>John:</t>
        </r>
        <r>
          <rPr>
            <sz val="9"/>
            <color indexed="81"/>
            <rFont val="Tahoma"/>
            <family val="2"/>
          </rPr>
          <t xml:space="preserve">
This is the date published in Mayda &amp; Akkus.</t>
        </r>
      </text>
    </comment>
    <comment ref="I456" authorId="1" shapeId="0" xr:uid="{00000000-0006-0000-0000-000073020000}">
      <text>
        <r>
          <rPr>
            <b/>
            <sz val="9"/>
            <color indexed="81"/>
            <rFont val="Tahoma"/>
            <family val="2"/>
          </rPr>
          <t>John:</t>
        </r>
        <r>
          <rPr>
            <sz val="9"/>
            <color indexed="81"/>
            <rFont val="Tahoma"/>
            <family val="2"/>
          </rPr>
          <t xml:space="preserve">
This is the date published in Apler et al.</t>
        </r>
      </text>
    </comment>
    <comment ref="I457" authorId="1" shapeId="0" xr:uid="{00000000-0006-0000-0000-000074020000}">
      <text>
        <r>
          <rPr>
            <b/>
            <sz val="9"/>
            <color indexed="81"/>
            <rFont val="Tahoma"/>
            <family val="2"/>
          </rPr>
          <t>John:</t>
        </r>
        <r>
          <rPr>
            <sz val="9"/>
            <color indexed="81"/>
            <rFont val="Tahoma"/>
            <family val="2"/>
          </rPr>
          <t xml:space="preserve">
This is the date published in Ergin et al.</t>
        </r>
      </text>
    </comment>
    <comment ref="I458" authorId="1" shapeId="0" xr:uid="{00000000-0006-0000-0000-000075020000}">
      <text>
        <r>
          <rPr>
            <b/>
            <sz val="9"/>
            <color indexed="81"/>
            <rFont val="Tahoma"/>
            <family val="2"/>
          </rPr>
          <t>John:</t>
        </r>
        <r>
          <rPr>
            <sz val="9"/>
            <color indexed="81"/>
            <rFont val="Tahoma"/>
            <family val="2"/>
          </rPr>
          <t xml:space="preserve">
This is the date published in Kocacik et al.</t>
        </r>
      </text>
    </comment>
    <comment ref="I466" authorId="1" shapeId="0" xr:uid="{00000000-0006-0000-0000-000076020000}">
      <text>
        <r>
          <rPr>
            <b/>
            <sz val="9"/>
            <color indexed="81"/>
            <rFont val="Tahoma"/>
            <family val="2"/>
          </rPr>
          <t>John:</t>
        </r>
        <r>
          <rPr>
            <sz val="9"/>
            <color indexed="81"/>
            <rFont val="Tahoma"/>
            <family val="2"/>
          </rPr>
          <t xml:space="preserve">
1991 is the year of publication in Wakabi &amp; Mwesigye.</t>
        </r>
      </text>
    </comment>
    <comment ref="I472" authorId="0" shapeId="0" xr:uid="{00000000-0006-0000-0000-000077020000}">
      <text>
        <r>
          <rPr>
            <b/>
            <sz val="9"/>
            <color indexed="81"/>
            <rFont val="Tahoma"/>
            <family val="2"/>
          </rPr>
          <t>John:</t>
        </r>
        <r>
          <rPr>
            <sz val="9"/>
            <color indexed="81"/>
            <rFont val="Tahoma"/>
            <family val="2"/>
          </rPr>
          <t xml:space="preserve">
This is the date pubished by KIIS</t>
        </r>
      </text>
    </comment>
    <comment ref="I475" authorId="0" shapeId="0" xr:uid="{00000000-0006-0000-0000-000078020000}">
      <text>
        <r>
          <rPr>
            <b/>
            <sz val="9"/>
            <color indexed="81"/>
            <rFont val="Tahoma"/>
            <family val="2"/>
          </rPr>
          <t>John:</t>
        </r>
        <r>
          <rPr>
            <sz val="9"/>
            <color indexed="81"/>
            <rFont val="Tahoma"/>
            <family val="2"/>
          </rPr>
          <t xml:space="preserve">
This is the date published in John et al.</t>
        </r>
      </text>
    </comment>
    <comment ref="I478" authorId="1" shapeId="0" xr:uid="{00000000-0006-0000-0000-000079020000}">
      <text>
        <r>
          <rPr>
            <b/>
            <sz val="9"/>
            <color indexed="81"/>
            <rFont val="Tahoma"/>
            <family val="2"/>
          </rPr>
          <t>John:</t>
        </r>
        <r>
          <rPr>
            <sz val="9"/>
            <color indexed="81"/>
            <rFont val="Tahoma"/>
            <family val="2"/>
          </rPr>
          <t xml:space="preserve">
1986 is the year of publication in Straus &amp; Gellas.</t>
        </r>
      </text>
    </comment>
    <comment ref="I481" authorId="1" shapeId="0" xr:uid="{00000000-0006-0000-0000-00007A020000}">
      <text>
        <r>
          <rPr>
            <b/>
            <sz val="9"/>
            <color indexed="81"/>
            <rFont val="Tahoma"/>
            <family val="2"/>
          </rPr>
          <t>John:</t>
        </r>
        <r>
          <rPr>
            <sz val="9"/>
            <color indexed="81"/>
            <rFont val="Tahoma"/>
            <family val="2"/>
          </rPr>
          <t xml:space="preserve">
Year of publication in CDC
</t>
        </r>
      </text>
    </comment>
    <comment ref="I482" authorId="0" shapeId="0" xr:uid="{00000000-0006-0000-0000-00007B020000}">
      <text>
        <r>
          <rPr>
            <b/>
            <sz val="9"/>
            <color indexed="81"/>
            <rFont val="Tahoma"/>
            <family val="2"/>
          </rPr>
          <t>John:</t>
        </r>
        <r>
          <rPr>
            <sz val="9"/>
            <color indexed="81"/>
            <rFont val="Tahoma"/>
            <family val="2"/>
          </rPr>
          <t xml:space="preserve">
This is the date published in Koziol-McLain et al.</t>
        </r>
      </text>
    </comment>
    <comment ref="I483" authorId="0" shapeId="0" xr:uid="{00000000-0006-0000-0000-00007C020000}">
      <text>
        <r>
          <rPr>
            <b/>
            <sz val="9"/>
            <color indexed="81"/>
            <rFont val="Tahoma"/>
            <family val="2"/>
          </rPr>
          <t>John:</t>
        </r>
        <r>
          <rPr>
            <sz val="9"/>
            <color indexed="81"/>
            <rFont val="Tahoma"/>
            <family val="2"/>
          </rPr>
          <t xml:space="preserve">
This is the date published in Jones et al.</t>
        </r>
      </text>
    </comment>
    <comment ref="I484" authorId="1" shapeId="0" xr:uid="{00000000-0006-0000-0000-00007D020000}">
      <text>
        <r>
          <rPr>
            <b/>
            <sz val="9"/>
            <color indexed="81"/>
            <rFont val="Tahoma"/>
            <family val="2"/>
          </rPr>
          <t>John:</t>
        </r>
        <r>
          <rPr>
            <sz val="9"/>
            <color indexed="81"/>
            <rFont val="Tahoma"/>
            <family val="2"/>
          </rPr>
          <t xml:space="preserve">
This is the date published by Coker et al.
</t>
        </r>
      </text>
    </comment>
    <comment ref="I485" authorId="1" shapeId="0" xr:uid="{00000000-0006-0000-0000-00007E020000}">
      <text>
        <r>
          <rPr>
            <b/>
            <sz val="9"/>
            <color indexed="81"/>
            <rFont val="Tahoma"/>
            <family val="2"/>
          </rPr>
          <t>John:</t>
        </r>
        <r>
          <rPr>
            <sz val="9"/>
            <color indexed="81"/>
            <rFont val="Tahoma"/>
            <family val="2"/>
          </rPr>
          <t xml:space="preserve">
Year of publication in Bauer et al.
</t>
        </r>
      </text>
    </comment>
    <comment ref="I486" authorId="1" shapeId="0" xr:uid="{00000000-0006-0000-0000-00007F020000}">
      <text>
        <r>
          <rPr>
            <b/>
            <sz val="9"/>
            <color indexed="81"/>
            <rFont val="Tahoma"/>
            <family val="2"/>
          </rPr>
          <t>John:</t>
        </r>
        <r>
          <rPr>
            <sz val="9"/>
            <color indexed="81"/>
            <rFont val="Tahoma"/>
            <family val="2"/>
          </rPr>
          <t xml:space="preserve">
This is the date published by Harwell &amp; Spence</t>
        </r>
      </text>
    </comment>
    <comment ref="I488" authorId="0" shapeId="0" xr:uid="{00000000-0006-0000-0000-000080020000}">
      <text>
        <r>
          <rPr>
            <b/>
            <sz val="9"/>
            <color indexed="81"/>
            <rFont val="Tahoma"/>
            <family val="2"/>
          </rPr>
          <t>John:</t>
        </r>
        <r>
          <rPr>
            <sz val="9"/>
            <color indexed="81"/>
            <rFont val="Tahoma"/>
            <family val="2"/>
          </rPr>
          <t xml:space="preserve">
This is the date published in CDC.</t>
        </r>
      </text>
    </comment>
    <comment ref="I489" authorId="1" shapeId="0" xr:uid="{00000000-0006-0000-0000-000081020000}">
      <text>
        <r>
          <rPr>
            <b/>
            <sz val="9"/>
            <color indexed="81"/>
            <rFont val="Tahoma"/>
            <family val="2"/>
          </rPr>
          <t>John:</t>
        </r>
        <r>
          <rPr>
            <sz val="9"/>
            <color indexed="81"/>
            <rFont val="Tahoma"/>
            <family val="2"/>
          </rPr>
          <t xml:space="preserve">
Year of publication in Weinbaum et al
</t>
        </r>
      </text>
    </comment>
    <comment ref="I490" authorId="0" shapeId="0" xr:uid="{00000000-0006-0000-0000-000082020000}">
      <text>
        <r>
          <rPr>
            <b/>
            <sz val="9"/>
            <color indexed="81"/>
            <rFont val="Tahoma"/>
            <family val="2"/>
          </rPr>
          <t>John:</t>
        </r>
        <r>
          <rPr>
            <sz val="9"/>
            <color indexed="81"/>
            <rFont val="Tahoma"/>
            <family val="2"/>
          </rPr>
          <t xml:space="preserve">
This is the date published in Lown &amp; Vega.</t>
        </r>
      </text>
    </comment>
    <comment ref="I491" authorId="1" shapeId="0" xr:uid="{00000000-0006-0000-0000-000083020000}">
      <text>
        <r>
          <rPr>
            <b/>
            <sz val="9"/>
            <color indexed="81"/>
            <rFont val="Tahoma"/>
            <family val="2"/>
          </rPr>
          <t>John:</t>
        </r>
        <r>
          <rPr>
            <sz val="9"/>
            <color indexed="81"/>
            <rFont val="Tahoma"/>
            <family val="2"/>
          </rPr>
          <t xml:space="preserve">
Year of publication in Augenbraum et al.
</t>
        </r>
      </text>
    </comment>
    <comment ref="I492" authorId="1" shapeId="0" xr:uid="{00000000-0006-0000-0000-000084020000}">
      <text>
        <r>
          <rPr>
            <b/>
            <sz val="9"/>
            <color indexed="81"/>
            <rFont val="Tahoma"/>
            <family val="2"/>
          </rPr>
          <t>John:</t>
        </r>
        <r>
          <rPr>
            <sz val="9"/>
            <color indexed="81"/>
            <rFont val="Tahoma"/>
            <family val="2"/>
          </rPr>
          <t xml:space="preserve">
Year of publication in Plichta &amp; Falik
</t>
        </r>
      </text>
    </comment>
    <comment ref="I493" authorId="1" shapeId="0" xr:uid="{00000000-0006-0000-0000-000085020000}">
      <text>
        <r>
          <rPr>
            <b/>
            <sz val="9"/>
            <color indexed="81"/>
            <rFont val="Tahoma"/>
            <family val="2"/>
          </rPr>
          <t>John:</t>
        </r>
        <r>
          <rPr>
            <sz val="9"/>
            <color indexed="81"/>
            <rFont val="Tahoma"/>
            <family val="2"/>
          </rPr>
          <t xml:space="preserve">
Year of publication in Coker et al
</t>
        </r>
      </text>
    </comment>
    <comment ref="I494" authorId="1" shapeId="0" xr:uid="{00000000-0006-0000-0000-000086020000}">
      <text>
        <r>
          <rPr>
            <b/>
            <sz val="9"/>
            <color indexed="81"/>
            <rFont val="Tahoma"/>
            <family val="2"/>
          </rPr>
          <t>John:</t>
        </r>
        <r>
          <rPr>
            <sz val="9"/>
            <color indexed="81"/>
            <rFont val="Tahoma"/>
            <family val="2"/>
          </rPr>
          <t xml:space="preserve">
Year of publication in Murty et al
</t>
        </r>
      </text>
    </comment>
    <comment ref="I495" authorId="1" shapeId="0" xr:uid="{00000000-0006-0000-0000-000087020000}">
      <text>
        <r>
          <rPr>
            <b/>
            <sz val="9"/>
            <color indexed="81"/>
            <rFont val="Tahoma"/>
            <family val="2"/>
          </rPr>
          <t>John:</t>
        </r>
        <r>
          <rPr>
            <sz val="9"/>
            <color indexed="81"/>
            <rFont val="Tahoma"/>
            <family val="2"/>
          </rPr>
          <t xml:space="preserve">
Year of publication in Bensley et al
</t>
        </r>
      </text>
    </comment>
    <comment ref="I496" authorId="1" shapeId="0" xr:uid="{00000000-0006-0000-0000-000088020000}">
      <text>
        <r>
          <rPr>
            <b/>
            <sz val="9"/>
            <color indexed="81"/>
            <rFont val="Tahoma"/>
            <family val="2"/>
          </rPr>
          <t>John:</t>
        </r>
        <r>
          <rPr>
            <sz val="9"/>
            <color indexed="81"/>
            <rFont val="Tahoma"/>
            <family val="2"/>
          </rPr>
          <t xml:space="preserve">
Year of publication in Seedat et al
</t>
        </r>
      </text>
    </comment>
    <comment ref="I497" authorId="1" shapeId="0" xr:uid="{00000000-0006-0000-0000-000089020000}">
      <text>
        <r>
          <rPr>
            <b/>
            <sz val="9"/>
            <color indexed="81"/>
            <rFont val="Tahoma"/>
            <family val="2"/>
          </rPr>
          <t>John:</t>
        </r>
        <r>
          <rPr>
            <sz val="9"/>
            <color indexed="81"/>
            <rFont val="Tahoma"/>
            <family val="2"/>
          </rPr>
          <t xml:space="preserve">
Year of publication in Evans-Campbell et al
</t>
        </r>
      </text>
    </comment>
    <comment ref="I498" authorId="1" shapeId="0" xr:uid="{00000000-0006-0000-0000-00008A020000}">
      <text>
        <r>
          <rPr>
            <b/>
            <sz val="9"/>
            <color indexed="81"/>
            <rFont val="Tahoma"/>
            <family val="2"/>
          </rPr>
          <t>John:</t>
        </r>
        <r>
          <rPr>
            <sz val="9"/>
            <color indexed="81"/>
            <rFont val="Tahoma"/>
            <family val="2"/>
          </rPr>
          <t xml:space="preserve">
Year of publication in Lown et al.
</t>
        </r>
      </text>
    </comment>
    <comment ref="I510" authorId="1" shapeId="0" xr:uid="{00000000-0006-0000-0000-00008B020000}">
      <text>
        <r>
          <rPr>
            <b/>
            <sz val="9"/>
            <color indexed="81"/>
            <rFont val="Tahoma"/>
            <family val="2"/>
          </rPr>
          <t>John:</t>
        </r>
        <r>
          <rPr>
            <sz val="9"/>
            <color indexed="81"/>
            <rFont val="Tahoma"/>
            <family val="2"/>
          </rPr>
          <t xml:space="preserve">
1992 is the year of publication in Phiri.</t>
        </r>
      </text>
    </comment>
    <comment ref="I522" authorId="0" shapeId="0" xr:uid="{00000000-0006-0000-0000-00008C020000}">
      <text>
        <r>
          <rPr>
            <b/>
            <sz val="9"/>
            <color indexed="81"/>
            <rFont val="Tahoma"/>
            <family val="2"/>
          </rPr>
          <t>John:</t>
        </r>
        <r>
          <rPr>
            <sz val="9"/>
            <color indexed="81"/>
            <rFont val="Tahoma"/>
            <family val="2"/>
          </rPr>
          <t xml:space="preserve">
This is the date published in Avdibegovic et al.</t>
        </r>
      </text>
    </comment>
    <comment ref="I526" authorId="1" shapeId="0" xr:uid="{00000000-0006-0000-0000-00008D020000}">
      <text>
        <r>
          <rPr>
            <b/>
            <sz val="9"/>
            <color indexed="81"/>
            <rFont val="Tahoma"/>
            <family val="2"/>
          </rPr>
          <t>John:</t>
        </r>
        <r>
          <rPr>
            <sz val="9"/>
            <color indexed="81"/>
            <rFont val="Tahoma"/>
            <family val="2"/>
          </rPr>
          <t xml:space="preserve">
This is the date published in Romito &amp; Gerin</t>
        </r>
      </text>
    </comment>
    <comment ref="I530" authorId="0" shapeId="0" xr:uid="{00000000-0006-0000-0000-00008E020000}">
      <text>
        <r>
          <rPr>
            <b/>
            <sz val="9"/>
            <color indexed="81"/>
            <rFont val="Tahoma"/>
            <family val="2"/>
          </rPr>
          <t>John:</t>
        </r>
        <r>
          <rPr>
            <sz val="9"/>
            <color indexed="81"/>
            <rFont val="Tahoma"/>
            <family val="2"/>
          </rPr>
          <t xml:space="preserve">
This is the date published in Bengtsson-Tops.</t>
        </r>
      </text>
    </comment>
    <comment ref="I531" authorId="0" shapeId="0" xr:uid="{00000000-0006-0000-0000-00008F020000}">
      <text>
        <r>
          <rPr>
            <b/>
            <sz val="9"/>
            <color indexed="81"/>
            <rFont val="Tahoma"/>
            <family val="2"/>
          </rPr>
          <t>John:</t>
        </r>
        <r>
          <rPr>
            <sz val="9"/>
            <color indexed="81"/>
            <rFont val="Tahoma"/>
            <family val="2"/>
          </rPr>
          <t xml:space="preserve">
this is the date published in Hofner et al.</t>
        </r>
      </text>
    </comment>
    <comment ref="I532" authorId="2" shapeId="0" xr:uid="{00000000-0006-0000-0000-000090020000}">
      <text>
        <r>
          <rPr>
            <b/>
            <sz val="8"/>
            <color indexed="81"/>
            <rFont val="Tahoma"/>
            <family val="2"/>
          </rPr>
          <t>John Simister:</t>
        </r>
        <r>
          <rPr>
            <sz val="8"/>
            <color indexed="81"/>
            <rFont val="Tahoma"/>
            <family val="2"/>
          </rPr>
          <t xml:space="preserve">
Publication date:  the date of study was not reported.</t>
        </r>
      </text>
    </comment>
    <comment ref="I533" authorId="0" shapeId="0" xr:uid="{00000000-0006-0000-0000-000091020000}">
      <text>
        <r>
          <rPr>
            <b/>
            <sz val="9"/>
            <color indexed="81"/>
            <rFont val="Tahoma"/>
            <family val="2"/>
          </rPr>
          <t>John:</t>
        </r>
        <r>
          <rPr>
            <sz val="9"/>
            <color indexed="81"/>
            <rFont val="Tahoma"/>
            <family val="2"/>
          </rPr>
          <t xml:space="preserve">
This is the date published in Yang et al.</t>
        </r>
      </text>
    </comment>
    <comment ref="I534" authorId="0" shapeId="0" xr:uid="{00000000-0006-0000-0000-000092020000}">
      <text>
        <r>
          <rPr>
            <b/>
            <sz val="9"/>
            <color indexed="81"/>
            <rFont val="Tahoma"/>
            <family val="2"/>
          </rPr>
          <t>John:</t>
        </r>
        <r>
          <rPr>
            <sz val="9"/>
            <color indexed="81"/>
            <rFont val="Tahoma"/>
            <family val="2"/>
          </rPr>
          <t xml:space="preserve">
This is the date published by Boyle &amp; Todd.</t>
        </r>
      </text>
    </comment>
    <comment ref="I535" authorId="0" shapeId="0" xr:uid="{00000000-0006-0000-0000-000093020000}">
      <text>
        <r>
          <rPr>
            <b/>
            <sz val="9"/>
            <color indexed="81"/>
            <rFont val="Tahoma"/>
            <family val="2"/>
          </rPr>
          <t>John:</t>
        </r>
        <r>
          <rPr>
            <sz val="9"/>
            <color indexed="81"/>
            <rFont val="Tahoma"/>
            <family val="2"/>
          </rPr>
          <t xml:space="preserve">
This is the date published by Sethi et al.</t>
        </r>
      </text>
    </comment>
    <comment ref="I536" authorId="0" shapeId="0" xr:uid="{00000000-0006-0000-0000-000094020000}">
      <text>
        <r>
          <rPr>
            <b/>
            <sz val="9"/>
            <color indexed="81"/>
            <rFont val="Tahoma"/>
            <family val="2"/>
          </rPr>
          <t>John:</t>
        </r>
        <r>
          <rPr>
            <sz val="9"/>
            <color indexed="81"/>
            <rFont val="Tahoma"/>
            <family val="2"/>
          </rPr>
          <t xml:space="preserve">
This is the date published by Keeling &amp; Birch.</t>
        </r>
      </text>
    </comment>
    <comment ref="I537" authorId="0" shapeId="0" xr:uid="{00000000-0006-0000-0000-000095020000}">
      <text>
        <r>
          <rPr>
            <b/>
            <sz val="9"/>
            <color indexed="81"/>
            <rFont val="Tahoma"/>
            <family val="2"/>
          </rPr>
          <t>John:</t>
        </r>
        <r>
          <rPr>
            <sz val="9"/>
            <color indexed="81"/>
            <rFont val="Tahoma"/>
            <family val="2"/>
          </rPr>
          <t xml:space="preserve">
This is the date in Feldhaus et al.
</t>
        </r>
      </text>
    </comment>
    <comment ref="I538" authorId="0" shapeId="0" xr:uid="{00000000-0006-0000-0000-000096020000}">
      <text>
        <r>
          <rPr>
            <b/>
            <sz val="9"/>
            <color indexed="81"/>
            <rFont val="Tahoma"/>
            <family val="2"/>
          </rPr>
          <t>John:</t>
        </r>
        <r>
          <rPr>
            <sz val="9"/>
            <color indexed="81"/>
            <rFont val="Tahoma"/>
            <family val="2"/>
          </rPr>
          <t xml:space="preserve">
This is the date published in Ernst et al.</t>
        </r>
      </text>
    </comment>
    <comment ref="I539" authorId="0" shapeId="0" xr:uid="{00000000-0006-0000-0000-000097020000}">
      <text>
        <r>
          <rPr>
            <b/>
            <sz val="9"/>
            <color indexed="81"/>
            <rFont val="Tahoma"/>
            <family val="2"/>
          </rPr>
          <t>John:</t>
        </r>
        <r>
          <rPr>
            <sz val="9"/>
            <color indexed="81"/>
            <rFont val="Tahoma"/>
            <family val="2"/>
          </rPr>
          <t xml:space="preserve">
This is the date published in Kershner et al.</t>
        </r>
      </text>
    </comment>
    <comment ref="I540" authorId="0" shapeId="0" xr:uid="{00000000-0006-0000-0000-000098020000}">
      <text>
        <r>
          <rPr>
            <b/>
            <sz val="9"/>
            <color indexed="81"/>
            <rFont val="Tahoma"/>
            <family val="2"/>
          </rPr>
          <t>John:</t>
        </r>
        <r>
          <rPr>
            <sz val="9"/>
            <color indexed="81"/>
            <rFont val="Tahoma"/>
            <family val="2"/>
          </rPr>
          <t xml:space="preserve">
This is the date published in Dearwater et al.</t>
        </r>
      </text>
    </comment>
    <comment ref="I541" authorId="0" shapeId="0" xr:uid="{00000000-0006-0000-0000-000099020000}">
      <text>
        <r>
          <rPr>
            <b/>
            <sz val="9"/>
            <color indexed="81"/>
            <rFont val="Tahoma"/>
            <family val="2"/>
          </rPr>
          <t>John:</t>
        </r>
        <r>
          <rPr>
            <sz val="9"/>
            <color indexed="81"/>
            <rFont val="Tahoma"/>
            <family val="2"/>
          </rPr>
          <t xml:space="preserve">
This is the date published in Pakieser et al.</t>
        </r>
      </text>
    </comment>
    <comment ref="I542" authorId="0" shapeId="0" xr:uid="{00000000-0006-0000-0000-00009A020000}">
      <text>
        <r>
          <rPr>
            <b/>
            <sz val="9"/>
            <color indexed="81"/>
            <rFont val="Tahoma"/>
            <family val="2"/>
          </rPr>
          <t>John:</t>
        </r>
        <r>
          <rPr>
            <sz val="9"/>
            <color indexed="81"/>
            <rFont val="Tahoma"/>
            <family val="2"/>
          </rPr>
          <t xml:space="preserve">
This is the date published in Duffy et al.</t>
        </r>
      </text>
    </comment>
    <comment ref="I543" authorId="1" shapeId="0" xr:uid="{00000000-0006-0000-0000-00009B020000}">
      <text>
        <r>
          <rPr>
            <b/>
            <sz val="9"/>
            <color indexed="81"/>
            <rFont val="Tahoma"/>
            <family val="2"/>
          </rPr>
          <t>John (London):</t>
        </r>
        <r>
          <rPr>
            <sz val="9"/>
            <color indexed="81"/>
            <rFont val="Tahoma"/>
            <family val="2"/>
          </rPr>
          <t xml:space="preserve">
Year of publication in Coker et al
</t>
        </r>
      </text>
    </comment>
    <comment ref="I544" authorId="1" shapeId="0" xr:uid="{00000000-0006-0000-0000-00009C020000}">
      <text>
        <r>
          <rPr>
            <b/>
            <sz val="9"/>
            <color indexed="81"/>
            <rFont val="Tahoma"/>
            <family val="2"/>
          </rPr>
          <t>John (London):</t>
        </r>
        <r>
          <rPr>
            <sz val="9"/>
            <color indexed="81"/>
            <rFont val="Tahoma"/>
            <family val="2"/>
          </rPr>
          <t xml:space="preserve">
This is the date published by Caetano et al.</t>
        </r>
      </text>
    </comment>
    <comment ref="I545" authorId="1" shapeId="0" xr:uid="{00000000-0006-0000-0000-00009D020000}">
      <text>
        <r>
          <rPr>
            <b/>
            <sz val="9"/>
            <color indexed="81"/>
            <rFont val="Tahoma"/>
            <family val="2"/>
          </rPr>
          <t>John (London):</t>
        </r>
        <r>
          <rPr>
            <sz val="9"/>
            <color indexed="81"/>
            <rFont val="Tahoma"/>
            <family val="2"/>
          </rPr>
          <t xml:space="preserve">
Year of publication in Coker et al
</t>
        </r>
      </text>
    </comment>
    <comment ref="I546" authorId="1" shapeId="0" xr:uid="{00000000-0006-0000-0000-00009E020000}">
      <text>
        <r>
          <rPr>
            <b/>
            <sz val="9"/>
            <color indexed="81"/>
            <rFont val="Tahoma"/>
            <family val="2"/>
          </rPr>
          <t>John (London):</t>
        </r>
        <r>
          <rPr>
            <sz val="9"/>
            <color indexed="81"/>
            <rFont val="Tahoma"/>
            <family val="2"/>
          </rPr>
          <t xml:space="preserve">
Date published in Barnes et al.</t>
        </r>
      </text>
    </comment>
    <comment ref="I547" authorId="1" shapeId="0" xr:uid="{00000000-0006-0000-0000-00009F020000}">
      <text>
        <r>
          <rPr>
            <b/>
            <sz val="9"/>
            <color indexed="81"/>
            <rFont val="Tahoma"/>
            <family val="2"/>
          </rPr>
          <t>John (London):</t>
        </r>
        <r>
          <rPr>
            <sz val="9"/>
            <color indexed="81"/>
            <rFont val="Tahoma"/>
            <family val="2"/>
          </rPr>
          <t xml:space="preserve">
Date published in Parkinson et al.</t>
        </r>
      </text>
    </comment>
    <comment ref="I548" authorId="0" shapeId="0" xr:uid="{00000000-0006-0000-0000-0000A0020000}">
      <text>
        <r>
          <rPr>
            <b/>
            <sz val="9"/>
            <color indexed="81"/>
            <rFont val="Tahoma"/>
            <family val="2"/>
          </rPr>
          <t>John:</t>
        </r>
        <r>
          <rPr>
            <sz val="9"/>
            <color indexed="81"/>
            <rFont val="Tahoma"/>
            <family val="2"/>
          </rPr>
          <t xml:space="preserve">
This is the date published in Zachary et al.</t>
        </r>
      </text>
    </comment>
    <comment ref="I549" authorId="1" shapeId="0" xr:uid="{00000000-0006-0000-0000-0000A1020000}">
      <text>
        <r>
          <rPr>
            <b/>
            <sz val="9"/>
            <color indexed="81"/>
            <rFont val="Tahoma"/>
            <family val="2"/>
          </rPr>
          <t>John (London):</t>
        </r>
        <r>
          <rPr>
            <sz val="9"/>
            <color indexed="81"/>
            <rFont val="Tahoma"/>
            <family val="2"/>
          </rPr>
          <t xml:space="preserve">
Date published in Brokaw et al.</t>
        </r>
      </text>
    </comment>
    <comment ref="I550" authorId="1" shapeId="0" xr:uid="{00000000-0006-0000-0000-0000A2020000}">
      <text>
        <r>
          <rPr>
            <b/>
            <sz val="9"/>
            <color indexed="81"/>
            <rFont val="Tahoma"/>
            <family val="2"/>
          </rPr>
          <t>John (London):</t>
        </r>
        <r>
          <rPr>
            <sz val="9"/>
            <color indexed="81"/>
            <rFont val="Tahoma"/>
            <family val="2"/>
          </rPr>
          <t xml:space="preserve">
Date published in Krishnan et al.</t>
        </r>
      </text>
    </comment>
    <comment ref="I551" authorId="1" shapeId="0" xr:uid="{00000000-0006-0000-0000-0000A3020000}">
      <text>
        <r>
          <rPr>
            <b/>
            <sz val="9"/>
            <color indexed="81"/>
            <rFont val="Tahoma"/>
            <family val="2"/>
          </rPr>
          <t>John (London):</t>
        </r>
        <r>
          <rPr>
            <sz val="9"/>
            <color indexed="81"/>
            <rFont val="Tahoma"/>
            <family val="2"/>
          </rPr>
          <t xml:space="preserve">
Date published in Raj &amp; Silverman</t>
        </r>
      </text>
    </comment>
    <comment ref="I552" authorId="1" shapeId="0" xr:uid="{00000000-0006-0000-0000-0000A4020000}">
      <text>
        <r>
          <rPr>
            <b/>
            <sz val="9"/>
            <color indexed="81"/>
            <rFont val="Tahoma"/>
            <family val="2"/>
          </rPr>
          <t>John (London):</t>
        </r>
        <r>
          <rPr>
            <sz val="9"/>
            <color indexed="81"/>
            <rFont val="Tahoma"/>
            <family val="2"/>
          </rPr>
          <t xml:space="preserve">
Year of publication in Coker et al
</t>
        </r>
      </text>
    </comment>
    <comment ref="I553" authorId="1" shapeId="0" xr:uid="{00000000-0006-0000-0000-0000A5020000}">
      <text>
        <r>
          <rPr>
            <b/>
            <sz val="9"/>
            <color indexed="81"/>
            <rFont val="Tahoma"/>
            <family val="2"/>
          </rPr>
          <t>John (London):</t>
        </r>
        <r>
          <rPr>
            <sz val="9"/>
            <color indexed="81"/>
            <rFont val="Tahoma"/>
            <family val="2"/>
          </rPr>
          <t xml:space="preserve">
Year of publication in Melnick et al
</t>
        </r>
      </text>
    </comment>
    <comment ref="I555" authorId="1" shapeId="0" xr:uid="{00000000-0006-0000-0000-0000A6020000}">
      <text>
        <r>
          <rPr>
            <b/>
            <sz val="9"/>
            <color indexed="81"/>
            <rFont val="Tahoma"/>
            <family val="2"/>
          </rPr>
          <t>John (London):</t>
        </r>
        <r>
          <rPr>
            <sz val="9"/>
            <color indexed="81"/>
            <rFont val="Tahoma"/>
            <family val="2"/>
          </rPr>
          <t xml:space="preserve">
Year of publication in El-Bassel et al
</t>
        </r>
      </text>
    </comment>
    <comment ref="I556" authorId="0" shapeId="0" xr:uid="{00000000-0006-0000-0000-0000A7020000}">
      <text>
        <r>
          <rPr>
            <b/>
            <sz val="9"/>
            <color indexed="81"/>
            <rFont val="Tahoma"/>
            <family val="2"/>
          </rPr>
          <t>John:</t>
        </r>
        <r>
          <rPr>
            <sz val="9"/>
            <color indexed="81"/>
            <rFont val="Tahoma"/>
            <family val="2"/>
          </rPr>
          <t xml:space="preserve">
This is the date published in Siegel et al.</t>
        </r>
      </text>
    </comment>
    <comment ref="I557" authorId="0" shapeId="0" xr:uid="{00000000-0006-0000-0000-0000A8020000}">
      <text>
        <r>
          <rPr>
            <b/>
            <sz val="9"/>
            <color indexed="81"/>
            <rFont val="Tahoma"/>
            <family val="2"/>
          </rPr>
          <t>John:</t>
        </r>
        <r>
          <rPr>
            <sz val="9"/>
            <color indexed="81"/>
            <rFont val="Tahoma"/>
            <family val="2"/>
          </rPr>
          <t xml:space="preserve">
This is the date published in Peralta &amp; Fleming.</t>
        </r>
      </text>
    </comment>
    <comment ref="I558" authorId="0" shapeId="0" xr:uid="{00000000-0006-0000-0000-0000A9020000}">
      <text>
        <r>
          <rPr>
            <b/>
            <sz val="9"/>
            <color indexed="81"/>
            <rFont val="Tahoma"/>
            <family val="2"/>
          </rPr>
          <t>John:</t>
        </r>
        <r>
          <rPr>
            <sz val="9"/>
            <color indexed="81"/>
            <rFont val="Tahoma"/>
            <family val="2"/>
          </rPr>
          <t xml:space="preserve">
This is the date published in Kramer et al.</t>
        </r>
      </text>
    </comment>
    <comment ref="I559" authorId="0" shapeId="0" xr:uid="{00000000-0006-0000-0000-0000AA020000}">
      <text>
        <r>
          <rPr>
            <b/>
            <sz val="9"/>
            <color indexed="81"/>
            <rFont val="Tahoma"/>
            <family val="2"/>
          </rPr>
          <t>John:</t>
        </r>
        <r>
          <rPr>
            <sz val="9"/>
            <color indexed="81"/>
            <rFont val="Tahoma"/>
            <family val="2"/>
          </rPr>
          <t xml:space="preserve">
This is the date published in Salena et al.</t>
        </r>
      </text>
    </comment>
    <comment ref="I560" authorId="1" shapeId="0" xr:uid="{00000000-0006-0000-0000-0000AB020000}">
      <text>
        <r>
          <rPr>
            <b/>
            <sz val="9"/>
            <color indexed="81"/>
            <rFont val="Tahoma"/>
            <family val="2"/>
          </rPr>
          <t>John (London):</t>
        </r>
        <r>
          <rPr>
            <sz val="9"/>
            <color indexed="81"/>
            <rFont val="Tahoma"/>
            <family val="2"/>
          </rPr>
          <t xml:space="preserve">
Year of publication in Amar &amp; Gennaro
</t>
        </r>
      </text>
    </comment>
    <comment ref="I561" authorId="0" shapeId="0" xr:uid="{00000000-0006-0000-0000-0000AC020000}">
      <text>
        <r>
          <rPr>
            <b/>
            <sz val="9"/>
            <color indexed="81"/>
            <rFont val="Tahoma"/>
            <family val="2"/>
          </rPr>
          <t>John:</t>
        </r>
        <r>
          <rPr>
            <sz val="9"/>
            <color indexed="81"/>
            <rFont val="Tahoma"/>
            <family val="2"/>
          </rPr>
          <t xml:space="preserve">
This is the date published in Newman et al.</t>
        </r>
      </text>
    </comment>
    <comment ref="I562" authorId="0" shapeId="0" xr:uid="{00000000-0006-0000-0000-0000AD020000}">
      <text>
        <r>
          <rPr>
            <b/>
            <sz val="9"/>
            <color indexed="81"/>
            <rFont val="Tahoma"/>
            <family val="2"/>
          </rPr>
          <t>John:</t>
        </r>
        <r>
          <rPr>
            <sz val="9"/>
            <color indexed="81"/>
            <rFont val="Tahoma"/>
            <family val="2"/>
          </rPr>
          <t xml:space="preserve">
This is the date published in Hicks et al.</t>
        </r>
      </text>
    </comment>
    <comment ref="I563" authorId="0" shapeId="0" xr:uid="{00000000-0006-0000-0000-0000AE020000}">
      <text>
        <r>
          <rPr>
            <b/>
            <sz val="9"/>
            <color indexed="81"/>
            <rFont val="Tahoma"/>
            <family val="2"/>
          </rPr>
          <t>John:</t>
        </r>
        <r>
          <rPr>
            <sz val="9"/>
            <color indexed="81"/>
            <rFont val="Tahoma"/>
            <family val="2"/>
          </rPr>
          <t xml:space="preserve">
This is the date published in Biroscak et al.</t>
        </r>
      </text>
    </comment>
    <comment ref="I564" authorId="0" shapeId="0" xr:uid="{00000000-0006-0000-0000-0000AF020000}">
      <text>
        <r>
          <rPr>
            <b/>
            <sz val="9"/>
            <color indexed="81"/>
            <rFont val="Tahoma"/>
            <family val="2"/>
          </rPr>
          <t>John:</t>
        </r>
        <r>
          <rPr>
            <sz val="9"/>
            <color indexed="81"/>
            <rFont val="Tahoma"/>
            <family val="2"/>
          </rPr>
          <t xml:space="preserve">
This is the date published in Yuan et al.
</t>
        </r>
      </text>
    </comment>
    <comment ref="Y578" authorId="0" shapeId="0" xr:uid="{00000000-0006-0000-0000-0000B0020000}">
      <text>
        <r>
          <rPr>
            <b/>
            <sz val="9"/>
            <color indexed="81"/>
            <rFont val="Tahoma"/>
            <family val="2"/>
          </rPr>
          <t>John:</t>
        </r>
        <r>
          <rPr>
            <sz val="9"/>
            <color indexed="81"/>
            <rFont val="Tahoma"/>
            <family val="2"/>
          </rPr>
          <t xml:space="preserve">
Also includes 'verbal abuse': shouting, etc.</t>
        </r>
      </text>
    </comment>
    <comment ref="AF578" authorId="0" shapeId="0" xr:uid="{00000000-0006-0000-0000-0000B1020000}">
      <text>
        <r>
          <rPr>
            <b/>
            <sz val="9"/>
            <color indexed="81"/>
            <rFont val="Tahoma"/>
            <family val="2"/>
          </rPr>
          <t>John:</t>
        </r>
        <r>
          <rPr>
            <sz val="9"/>
            <color indexed="81"/>
            <rFont val="Tahoma"/>
            <family val="2"/>
          </rPr>
          <t xml:space="preserve">
24% in the last 3 months.</t>
        </r>
      </text>
    </comment>
    <comment ref="AT578" authorId="0" shapeId="0" xr:uid="{00000000-0006-0000-0000-0000B2020000}">
      <text>
        <r>
          <rPr>
            <b/>
            <sz val="9"/>
            <color indexed="81"/>
            <rFont val="Tahoma"/>
            <family val="2"/>
          </rPr>
          <t>John:</t>
        </r>
        <r>
          <rPr>
            <sz val="9"/>
            <color indexed="81"/>
            <rFont val="Tahoma"/>
            <family val="2"/>
          </rPr>
          <t xml:space="preserve">
8% in the last 3 months.</t>
        </r>
      </text>
    </comment>
    <comment ref="BI578" authorId="0" shapeId="0" xr:uid="{00000000-0006-0000-0000-0000B3020000}">
      <text>
        <r>
          <rPr>
            <b/>
            <sz val="9"/>
            <color indexed="81"/>
            <rFont val="Tahoma"/>
            <family val="2"/>
          </rPr>
          <t>John:</t>
        </r>
        <r>
          <rPr>
            <sz val="9"/>
            <color indexed="81"/>
            <rFont val="Tahoma"/>
            <family val="2"/>
          </rPr>
          <t xml:space="preserve">
slapping, hitting, pushing, strangling,
holding down, or kicking</t>
        </r>
      </text>
    </comment>
    <comment ref="BJ578" authorId="0" shapeId="0" xr:uid="{00000000-0006-0000-0000-0000B4020000}">
      <text>
        <r>
          <rPr>
            <b/>
            <sz val="9"/>
            <color indexed="81"/>
            <rFont val="Tahoma"/>
            <family val="2"/>
          </rPr>
          <t xml:space="preserve">John:
</t>
        </r>
        <r>
          <rPr>
            <sz val="9"/>
            <color indexed="81"/>
            <rFont val="Tahoma"/>
            <family val="2"/>
          </rPr>
          <t>Same as lifetime rate.</t>
        </r>
        <r>
          <rPr>
            <b/>
            <sz val="9"/>
            <color indexed="81"/>
            <rFont val="Tahoma"/>
            <family val="2"/>
          </rPr>
          <t xml:space="preserve">
</t>
        </r>
        <r>
          <rPr>
            <sz val="9"/>
            <color indexed="81"/>
            <rFont val="Tahoma"/>
            <family val="2"/>
          </rPr>
          <t>65% in the last 3 months.</t>
        </r>
      </text>
    </comment>
    <comment ref="BN578" authorId="0" shapeId="0" xr:uid="{00000000-0006-0000-0000-0000B5020000}">
      <text>
        <r>
          <rPr>
            <b/>
            <sz val="9"/>
            <color indexed="81"/>
            <rFont val="Tahoma"/>
            <family val="2"/>
          </rPr>
          <t>John:</t>
        </r>
        <r>
          <rPr>
            <sz val="9"/>
            <color indexed="81"/>
            <rFont val="Tahoma"/>
            <family val="2"/>
          </rPr>
          <t xml:space="preserve">
Same as lifetime rate.
45% in the last 3 months.</t>
        </r>
      </text>
    </comment>
    <comment ref="BI579" authorId="0" shapeId="0" xr:uid="{00000000-0006-0000-0000-0000B6020000}">
      <text>
        <r>
          <rPr>
            <b/>
            <sz val="9"/>
            <color indexed="81"/>
            <rFont val="Tahoma"/>
            <family val="2"/>
          </rPr>
          <t>John:</t>
        </r>
        <r>
          <rPr>
            <sz val="9"/>
            <color indexed="81"/>
            <rFont val="Tahoma"/>
            <family val="2"/>
          </rPr>
          <t xml:space="preserve">
Mitra (2006) reports prevalence of 46% based on previous research.  Mitra used 46% to choose the number of GBV-victims and non-GBV-victims in the sample.</t>
        </r>
      </text>
    </comment>
    <comment ref="I583" authorId="0" shapeId="0" xr:uid="{00000000-0006-0000-0000-0000B7020000}">
      <text>
        <r>
          <rPr>
            <b/>
            <sz val="9"/>
            <color indexed="81"/>
            <rFont val="Tahoma"/>
            <family val="2"/>
          </rPr>
          <t>John:</t>
        </r>
        <r>
          <rPr>
            <sz val="9"/>
            <color indexed="81"/>
            <rFont val="Tahoma"/>
            <family val="2"/>
          </rPr>
          <t xml:space="preserve">
Date of fieldwork isn't reported. 2009 chosen by John Simister, based on publication by journal in 2013.</t>
        </r>
      </text>
    </comment>
    <comment ref="X583" authorId="0" shapeId="0" xr:uid="{00000000-0006-0000-0000-0000B8020000}">
      <text>
        <r>
          <rPr>
            <b/>
            <sz val="9"/>
            <color indexed="81"/>
            <rFont val="Tahoma"/>
            <family val="2"/>
          </rPr>
          <t>John:</t>
        </r>
        <r>
          <rPr>
            <sz val="9"/>
            <color indexed="81"/>
            <rFont val="Tahoma"/>
            <family val="2"/>
          </rPr>
          <t xml:space="preserve">
All 50 respondents illiterate.</t>
        </r>
      </text>
    </comment>
    <comment ref="BR584" authorId="0" shapeId="0" xr:uid="{00000000-0006-0000-0000-0000B9020000}">
      <text>
        <r>
          <rPr>
            <b/>
            <sz val="9"/>
            <color indexed="81"/>
            <rFont val="Tahoma"/>
            <family val="2"/>
          </rPr>
          <t>John:</t>
        </r>
        <r>
          <rPr>
            <sz val="9"/>
            <color indexed="81"/>
            <rFont val="Tahoma"/>
            <family val="2"/>
          </rPr>
          <t xml:space="preserve">
This is in the last 3 months, not last 12 months.</t>
        </r>
      </text>
    </comment>
    <comment ref="J587" authorId="0" shapeId="0" xr:uid="{00000000-0006-0000-0000-0000BA020000}">
      <text>
        <r>
          <rPr>
            <b/>
            <sz val="9"/>
            <color indexed="81"/>
            <rFont val="Tahoma"/>
            <family val="2"/>
          </rPr>
          <t>John:</t>
        </r>
        <r>
          <rPr>
            <sz val="9"/>
            <color indexed="81"/>
            <rFont val="Tahoma"/>
            <family val="2"/>
          </rPr>
          <t xml:space="preserve">
Dates of baseline fieldwork aren't clear in journal article.</t>
        </r>
      </text>
    </comment>
    <comment ref="J588" authorId="0" shapeId="0" xr:uid="{00000000-0006-0000-0000-0000BB020000}">
      <text>
        <r>
          <rPr>
            <b/>
            <sz val="9"/>
            <color indexed="81"/>
            <rFont val="Tahoma"/>
            <family val="2"/>
          </rPr>
          <t>John:</t>
        </r>
        <r>
          <rPr>
            <sz val="9"/>
            <color indexed="81"/>
            <rFont val="Tahoma"/>
            <family val="2"/>
          </rPr>
          <t xml:space="preserve">
Dates of endline fieldwork aren't clear in journal article.</t>
        </r>
      </text>
    </comment>
    <comment ref="I589" authorId="0" shapeId="0" xr:uid="{00000000-0006-0000-0000-0000BC020000}">
      <text>
        <r>
          <rPr>
            <b/>
            <sz val="9"/>
            <color indexed="81"/>
            <rFont val="Tahoma"/>
            <family val="2"/>
          </rPr>
          <t>John:</t>
        </r>
        <r>
          <rPr>
            <sz val="9"/>
            <color indexed="81"/>
            <rFont val="Tahoma"/>
            <family val="2"/>
          </rPr>
          <t xml:space="preserve">
Date of survey isn't given. I estimate the date as a few years before the journal article was received (2016).</t>
        </r>
      </text>
    </comment>
    <comment ref="X589" authorId="0" shapeId="0" xr:uid="{00000000-0006-0000-0000-0000BD020000}">
      <text>
        <r>
          <rPr>
            <b/>
            <sz val="9"/>
            <color indexed="81"/>
            <rFont val="Tahoma"/>
            <family val="2"/>
          </rPr>
          <t>John:</t>
        </r>
        <r>
          <rPr>
            <sz val="9"/>
            <color indexed="81"/>
            <rFont val="Tahoma"/>
            <family val="2"/>
          </rPr>
          <t xml:space="preserve">
Education level not reported.</t>
        </r>
      </text>
    </comment>
    <comment ref="H591" authorId="0" shapeId="0" xr:uid="{00000000-0006-0000-0000-0000BE020000}">
      <text>
        <r>
          <rPr>
            <b/>
            <sz val="9"/>
            <color indexed="81"/>
            <rFont val="Tahoma"/>
            <family val="2"/>
          </rPr>
          <t>John:</t>
        </r>
        <r>
          <rPr>
            <sz val="9"/>
            <color indexed="81"/>
            <rFont val="Tahoma"/>
            <family val="2"/>
          </rPr>
          <t xml:space="preserve">
47% of sample are rural.</t>
        </r>
      </text>
    </comment>
    <comment ref="M591" authorId="0" shapeId="0" xr:uid="{00000000-0006-0000-0000-0000BF020000}">
      <text>
        <r>
          <rPr>
            <b/>
            <sz val="9"/>
            <color indexed="81"/>
            <rFont val="Tahoma"/>
            <family val="2"/>
          </rPr>
          <t>John:</t>
        </r>
        <r>
          <rPr>
            <sz val="9"/>
            <color indexed="81"/>
            <rFont val="Tahoma"/>
            <family val="2"/>
          </rPr>
          <t xml:space="preserve">
78% are currently married</t>
        </r>
      </text>
    </comment>
    <comment ref="X591" authorId="0" shapeId="0" xr:uid="{00000000-0006-0000-0000-0000C0020000}">
      <text>
        <r>
          <rPr>
            <b/>
            <sz val="9"/>
            <color indexed="81"/>
            <rFont val="Tahoma"/>
            <family val="2"/>
          </rPr>
          <t>John:</t>
        </r>
        <r>
          <rPr>
            <sz val="9"/>
            <color indexed="81"/>
            <rFont val="Tahoma"/>
            <family val="2"/>
          </rPr>
          <t xml:space="preserve">
iliterate;
primary school;
middle school;
high school;
intermediate;
graduate/postgraduate
(also 'other')</t>
        </r>
      </text>
    </comment>
    <comment ref="Y591" authorId="0" shapeId="0" xr:uid="{00000000-0006-0000-0000-0000C1020000}">
      <text>
        <r>
          <rPr>
            <b/>
            <sz val="9"/>
            <color indexed="81"/>
            <rFont val="Tahoma"/>
            <family val="2"/>
          </rPr>
          <t>John:</t>
        </r>
        <r>
          <rPr>
            <sz val="9"/>
            <color indexed="81"/>
            <rFont val="Tahoma"/>
            <family val="2"/>
          </rPr>
          <t xml:space="preserve">
Insulting in the presence of children and relatives (page 175).</t>
        </r>
      </text>
    </comment>
    <comment ref="AA591" authorId="0" shapeId="0" xr:uid="{00000000-0006-0000-0000-0000C2020000}">
      <text>
        <r>
          <rPr>
            <b/>
            <sz val="9"/>
            <color indexed="81"/>
            <rFont val="Tahoma"/>
            <family val="2"/>
          </rPr>
          <t>John:</t>
        </r>
        <r>
          <rPr>
            <sz val="9"/>
            <color indexed="81"/>
            <rFont val="Tahoma"/>
            <family val="2"/>
          </rPr>
          <t xml:space="preserve">
Mental harassment</t>
        </r>
      </text>
    </comment>
    <comment ref="AC591" authorId="0" shapeId="0" xr:uid="{00000000-0006-0000-0000-0000C3020000}">
      <text>
        <r>
          <rPr>
            <b/>
            <sz val="9"/>
            <color indexed="81"/>
            <rFont val="Tahoma"/>
            <family val="2"/>
          </rPr>
          <t>John:</t>
        </r>
        <r>
          <rPr>
            <sz val="9"/>
            <color indexed="81"/>
            <rFont val="Tahoma"/>
            <family val="2"/>
          </rPr>
          <t xml:space="preserve">
using insulting and ugly language</t>
        </r>
      </text>
    </comment>
    <comment ref="AE591" authorId="0" shapeId="0" xr:uid="{00000000-0006-0000-0000-0000C4020000}">
      <text>
        <r>
          <rPr>
            <b/>
            <sz val="9"/>
            <color indexed="81"/>
            <rFont val="Tahoma"/>
            <family val="2"/>
          </rPr>
          <t>John:</t>
        </r>
        <r>
          <rPr>
            <sz val="9"/>
            <color indexed="81"/>
            <rFont val="Tahoma"/>
            <family val="2"/>
          </rPr>
          <t xml:space="preserve">
Giving verbal threats to use physical force.</t>
        </r>
      </text>
    </comment>
    <comment ref="AQ591" authorId="0" shapeId="0" xr:uid="{00000000-0006-0000-0000-0000C5020000}">
      <text>
        <r>
          <rPr>
            <b/>
            <sz val="9"/>
            <color indexed="81"/>
            <rFont val="Tahoma"/>
            <family val="2"/>
          </rPr>
          <t>John:</t>
        </r>
        <r>
          <rPr>
            <sz val="9"/>
            <color indexed="81"/>
            <rFont val="Tahoma"/>
            <family val="2"/>
          </rPr>
          <t xml:space="preserve">
Also 'throwing objects': 39.67% (page 174).</t>
        </r>
      </text>
    </comment>
    <comment ref="BI591" authorId="0" shapeId="0" xr:uid="{00000000-0006-0000-0000-0000C6020000}">
      <text>
        <r>
          <rPr>
            <b/>
            <sz val="9"/>
            <color indexed="81"/>
            <rFont val="Tahoma"/>
            <family val="2"/>
          </rPr>
          <t>John:</t>
        </r>
        <r>
          <rPr>
            <sz val="9"/>
            <color indexed="81"/>
            <rFont val="Tahoma"/>
            <family val="2"/>
          </rPr>
          <t xml:space="preserve">
Called 'Beating' in the questionnaire.  It is the only form of physical violence included, except for 'torturing'.</t>
        </r>
      </text>
    </comment>
    <comment ref="I595" authorId="0" shapeId="0" xr:uid="{00000000-0006-0000-0000-0000C7020000}">
      <text>
        <r>
          <rPr>
            <b/>
            <sz val="9"/>
            <color indexed="81"/>
            <rFont val="Tahoma"/>
            <family val="2"/>
          </rPr>
          <t>John:</t>
        </r>
        <r>
          <rPr>
            <sz val="9"/>
            <color indexed="81"/>
            <rFont val="Tahoma"/>
            <family val="2"/>
          </rPr>
          <t xml:space="preserve">
Date of survey isn't given. I estimate the date as a few years before the journal article was published (2013).</t>
        </r>
      </text>
    </comment>
    <comment ref="U596" authorId="0" shapeId="0" xr:uid="{00000000-0006-0000-0000-0000C8020000}">
      <text>
        <r>
          <rPr>
            <b/>
            <sz val="9"/>
            <color indexed="81"/>
            <rFont val="Tahoma"/>
            <family val="2"/>
          </rPr>
          <t>John:</t>
        </r>
        <r>
          <rPr>
            <sz val="9"/>
            <color indexed="81"/>
            <rFont val="Tahoma"/>
            <family val="2"/>
          </rPr>
          <t xml:space="preserve">
250 respondents in Delhi, but only 30 of them were ever-partnered; so only 30 answered IPV questions.</t>
        </r>
      </text>
    </comment>
    <comment ref="AV596" authorId="0" shapeId="0" xr:uid="{00000000-0006-0000-0000-0000C9020000}">
      <text>
        <r>
          <rPr>
            <b/>
            <sz val="9"/>
            <color indexed="81"/>
            <rFont val="Tahoma"/>
            <family val="2"/>
          </rPr>
          <t>John:</t>
        </r>
        <r>
          <rPr>
            <sz val="9"/>
            <color indexed="81"/>
            <rFont val="Tahoma"/>
            <family val="2"/>
          </rPr>
          <t xml:space="preserve">
less than 1% kicked, dragged, or beaten up.  I assume 0.5%.</t>
        </r>
      </text>
    </comment>
    <comment ref="X597" authorId="0" shapeId="0" xr:uid="{00000000-0006-0000-0000-0000CA020000}">
      <text>
        <r>
          <rPr>
            <b/>
            <sz val="9"/>
            <color indexed="81"/>
            <rFont val="Tahoma"/>
            <family val="2"/>
          </rPr>
          <t>John:</t>
        </r>
        <r>
          <rPr>
            <sz val="9"/>
            <color indexed="81"/>
            <rFont val="Tahoma"/>
            <family val="2"/>
          </rPr>
          <t xml:space="preserve">
62% less than 10 years;
38% 10 years or more.</t>
        </r>
      </text>
    </comment>
    <comment ref="R598" authorId="0" shapeId="0" xr:uid="{00000000-0006-0000-0000-0000CB020000}">
      <text>
        <r>
          <rPr>
            <b/>
            <sz val="9"/>
            <color indexed="81"/>
            <rFont val="Tahoma"/>
            <family val="2"/>
          </rPr>
          <t>John:</t>
        </r>
        <r>
          <rPr>
            <sz val="9"/>
            <color indexed="81"/>
            <rFont val="Tahoma"/>
            <family val="2"/>
          </rPr>
          <t xml:space="preserve">
80% of the interviewees were age 20-40.
</t>
        </r>
      </text>
    </comment>
    <comment ref="X598" authorId="0" shapeId="0" xr:uid="{00000000-0006-0000-0000-0000CC020000}">
      <text>
        <r>
          <rPr>
            <b/>
            <sz val="9"/>
            <color indexed="81"/>
            <rFont val="Tahoma"/>
            <family val="2"/>
          </rPr>
          <t>John:</t>
        </r>
        <r>
          <rPr>
            <sz val="9"/>
            <color indexed="81"/>
            <rFont val="Tahoma"/>
            <family val="2"/>
          </rPr>
          <t xml:space="preserve">
Education level not reported.</t>
        </r>
      </text>
    </comment>
    <comment ref="AM598" authorId="0" shapeId="0" xr:uid="{00000000-0006-0000-0000-0000CD020000}">
      <text>
        <r>
          <rPr>
            <b/>
            <sz val="9"/>
            <color indexed="81"/>
            <rFont val="Tahoma"/>
            <family val="2"/>
          </rPr>
          <t>John:</t>
        </r>
        <r>
          <rPr>
            <sz val="9"/>
            <color indexed="81"/>
            <rFont val="Tahoma"/>
            <family val="2"/>
          </rPr>
          <t xml:space="preserve">
Not clear: assume 42% is a fraction of GBV prevalence, rather 42% being the % of women who were slapped.</t>
        </r>
      </text>
    </comment>
    <comment ref="AS598" authorId="0" shapeId="0" xr:uid="{00000000-0006-0000-0000-0000CE020000}">
      <text>
        <r>
          <rPr>
            <b/>
            <sz val="9"/>
            <color indexed="81"/>
            <rFont val="Tahoma"/>
            <family val="2"/>
          </rPr>
          <t>John:</t>
        </r>
        <r>
          <rPr>
            <sz val="9"/>
            <color indexed="81"/>
            <rFont val="Tahoma"/>
            <family val="2"/>
          </rPr>
          <t xml:space="preserve">
Not clear: assume 31% is a fraction of GBV prevalence, rather 31% being the % of women who were punched.</t>
        </r>
      </text>
    </comment>
    <comment ref="AU598" authorId="0" shapeId="0" xr:uid="{00000000-0006-0000-0000-0000CF020000}">
      <text>
        <r>
          <rPr>
            <b/>
            <sz val="9"/>
            <color indexed="81"/>
            <rFont val="Tahoma"/>
            <family val="2"/>
          </rPr>
          <t>John:</t>
        </r>
        <r>
          <rPr>
            <sz val="9"/>
            <color indexed="81"/>
            <rFont val="Tahoma"/>
            <family val="2"/>
          </rPr>
          <t xml:space="preserve">
Not clear: assume 16% is a fraction of GBV prevalence, rather 16% being the % of women who were kicked.</t>
        </r>
      </text>
    </comment>
    <comment ref="BI598" authorId="0" shapeId="0" xr:uid="{00000000-0006-0000-0000-0000D0020000}">
      <text>
        <r>
          <rPr>
            <b/>
            <sz val="9"/>
            <color indexed="81"/>
            <rFont val="Tahoma"/>
            <family val="2"/>
          </rPr>
          <t>John:</t>
        </r>
        <r>
          <rPr>
            <sz val="9"/>
            <color indexed="81"/>
            <rFont val="Tahoma"/>
            <family val="2"/>
          </rPr>
          <t xml:space="preserve">
57% "are physically harassed frequently";
could this meant the last 12 months?</t>
        </r>
      </text>
    </comment>
    <comment ref="BM598" authorId="0" shapeId="0" xr:uid="{00000000-0006-0000-0000-0000D1020000}">
      <text>
        <r>
          <rPr>
            <b/>
            <sz val="9"/>
            <color indexed="81"/>
            <rFont val="Tahoma"/>
            <family val="2"/>
          </rPr>
          <t>John:</t>
        </r>
        <r>
          <rPr>
            <sz val="9"/>
            <color indexed="81"/>
            <rFont val="Tahoma"/>
            <family val="2"/>
          </rPr>
          <t xml:space="preserve">
slapped, punched or kicked</t>
        </r>
      </text>
    </comment>
    <comment ref="I599" authorId="0" shapeId="0" xr:uid="{00000000-0006-0000-0000-0000D2020000}">
      <text>
        <r>
          <rPr>
            <b/>
            <sz val="9"/>
            <color indexed="81"/>
            <rFont val="Tahoma"/>
            <family val="2"/>
          </rPr>
          <t>John:</t>
        </r>
        <r>
          <rPr>
            <sz val="9"/>
            <color indexed="81"/>
            <rFont val="Tahoma"/>
            <family val="2"/>
          </rPr>
          <t xml:space="preserve">
Fieldwork dates aren't made clear, but page 9 states interviewers were trained in 2013 (report published in February 2015).</t>
        </r>
      </text>
    </comment>
    <comment ref="M599" authorId="0" shapeId="0" xr:uid="{00000000-0006-0000-0000-0000D3020000}">
      <text>
        <r>
          <rPr>
            <b/>
            <sz val="9"/>
            <color indexed="81"/>
            <rFont val="Tahoma"/>
            <family val="2"/>
          </rPr>
          <t>John:</t>
        </r>
        <r>
          <rPr>
            <sz val="9"/>
            <color indexed="81"/>
            <rFont val="Tahoma"/>
            <family val="2"/>
          </rPr>
          <t xml:space="preserve">
9% of respondents single; 74% married;
others widowed or divorced.</t>
        </r>
      </text>
    </comment>
    <comment ref="AQ599" authorId="0" shapeId="0" xr:uid="{00000000-0006-0000-0000-0000D4020000}">
      <text>
        <r>
          <rPr>
            <b/>
            <sz val="9"/>
            <color indexed="81"/>
            <rFont val="Tahoma"/>
            <family val="2"/>
          </rPr>
          <t>John:</t>
        </r>
        <r>
          <rPr>
            <sz val="9"/>
            <color indexed="81"/>
            <rFont val="Tahoma"/>
            <family val="2"/>
          </rPr>
          <t xml:space="preserve">
Also 'shoving': 38.4%</t>
        </r>
      </text>
    </comment>
    <comment ref="BI599" authorId="0" shapeId="0" xr:uid="{00000000-0006-0000-0000-0000D5020000}">
      <text>
        <r>
          <rPr>
            <b/>
            <sz val="9"/>
            <color indexed="81"/>
            <rFont val="Tahoma"/>
            <family val="2"/>
          </rPr>
          <t>John:</t>
        </r>
        <r>
          <rPr>
            <sz val="9"/>
            <color indexed="81"/>
            <rFont val="Tahoma"/>
            <family val="2"/>
          </rPr>
          <t xml:space="preserve">
Beating</t>
        </r>
      </text>
    </comment>
    <comment ref="BK599" authorId="0" shapeId="0" xr:uid="{00000000-0006-0000-0000-0000D6020000}">
      <text>
        <r>
          <rPr>
            <b/>
            <sz val="9"/>
            <color indexed="81"/>
            <rFont val="Tahoma"/>
            <family val="2"/>
          </rPr>
          <t>John:</t>
        </r>
        <r>
          <rPr>
            <sz val="9"/>
            <color indexed="81"/>
            <rFont val="Tahoma"/>
            <family val="2"/>
          </rPr>
          <t xml:space="preserve">
'not providing food, clothes, medicines, etc.'
Other data are reported, e.g. forbidding her to take up employment (10.5%).</t>
        </r>
      </text>
    </comment>
    <comment ref="BM599" authorId="0" shapeId="0" xr:uid="{00000000-0006-0000-0000-0000D7020000}">
      <text>
        <r>
          <rPr>
            <b/>
            <sz val="9"/>
            <color indexed="81"/>
            <rFont val="Tahoma"/>
            <family val="2"/>
          </rPr>
          <t>John:</t>
        </r>
        <r>
          <rPr>
            <sz val="9"/>
            <color indexed="81"/>
            <rFont val="Tahoma"/>
            <family val="2"/>
          </rPr>
          <t xml:space="preserve">
Forced sexual intercourse</t>
        </r>
      </text>
    </comment>
    <comment ref="BO599" authorId="0" shapeId="0" xr:uid="{00000000-0006-0000-0000-0000D8020000}">
      <text>
        <r>
          <rPr>
            <b/>
            <sz val="9"/>
            <color indexed="81"/>
            <rFont val="Tahoma"/>
            <family val="2"/>
          </rPr>
          <t>John:</t>
        </r>
        <r>
          <rPr>
            <sz val="9"/>
            <color indexed="81"/>
            <rFont val="Tahoma"/>
            <family val="2"/>
          </rPr>
          <t xml:space="preserve">
Other forms of sexual abuse</t>
        </r>
      </text>
    </comment>
    <comment ref="R600" authorId="0" shapeId="0" xr:uid="{00000000-0006-0000-0000-0000D9020000}">
      <text>
        <r>
          <rPr>
            <b/>
            <sz val="9"/>
            <color indexed="81"/>
            <rFont val="Tahoma"/>
            <family val="2"/>
          </rPr>
          <t>John:</t>
        </r>
        <r>
          <rPr>
            <sz val="9"/>
            <color indexed="81"/>
            <rFont val="Tahoma"/>
            <family val="2"/>
          </rPr>
          <t xml:space="preserve">
80% of the interviewees were age 20-40.
</t>
        </r>
      </text>
    </comment>
    <comment ref="X600" authorId="0" shapeId="0" xr:uid="{00000000-0006-0000-0000-0000DA020000}">
      <text>
        <r>
          <rPr>
            <b/>
            <sz val="9"/>
            <color indexed="81"/>
            <rFont val="Tahoma"/>
            <family val="2"/>
          </rPr>
          <t>John:</t>
        </r>
        <r>
          <rPr>
            <sz val="9"/>
            <color indexed="81"/>
            <rFont val="Tahoma"/>
            <family val="2"/>
          </rPr>
          <t xml:space="preserve">
Education level not reported.</t>
        </r>
      </text>
    </comment>
    <comment ref="K601" authorId="0" shapeId="0" xr:uid="{00000000-0006-0000-0000-0000DB020000}">
      <text>
        <r>
          <rPr>
            <b/>
            <sz val="9"/>
            <color indexed="81"/>
            <rFont val="Tahoma"/>
            <family val="2"/>
          </rPr>
          <t>John:</t>
        </r>
        <r>
          <rPr>
            <sz val="9"/>
            <color indexed="81"/>
            <rFont val="Tahoma"/>
            <family val="2"/>
          </rPr>
          <t xml:space="preserve">
Article published 2016, but copyright 2014.</t>
        </r>
      </text>
    </comment>
    <comment ref="U601" authorId="0" shapeId="0" xr:uid="{00000000-0006-0000-0000-0000DC020000}">
      <text>
        <r>
          <rPr>
            <b/>
            <sz val="9"/>
            <color indexed="81"/>
            <rFont val="Tahoma"/>
            <family val="2"/>
          </rPr>
          <t>John:</t>
        </r>
        <r>
          <rPr>
            <sz val="9"/>
            <color indexed="81"/>
            <rFont val="Tahoma"/>
            <family val="2"/>
          </rPr>
          <t xml:space="preserve">
This row has data on 100 HIV negative women (ignoring data on 99 HIV positive women)</t>
        </r>
      </text>
    </comment>
    <comment ref="AQ601" authorId="0" shapeId="0" xr:uid="{00000000-0006-0000-0000-0000DD020000}">
      <text>
        <r>
          <rPr>
            <b/>
            <sz val="9"/>
            <color indexed="81"/>
            <rFont val="Tahoma"/>
            <family val="2"/>
          </rPr>
          <t>John:</t>
        </r>
        <r>
          <rPr>
            <sz val="9"/>
            <color indexed="81"/>
            <rFont val="Tahoma"/>
            <family val="2"/>
          </rPr>
          <t xml:space="preserve">
29% of women said husband ever did 'throw something' at them.
25% of women said husband ever did 'push or shake' them.
Could add 29+25, but they may overlap; I subtract (29%*25%) because of probability theory:
P(A or B) = P(A) + P(B) - P(A and B)</t>
        </r>
      </text>
    </comment>
    <comment ref="AR601" authorId="0" shapeId="0" xr:uid="{00000000-0006-0000-0000-0000DE020000}">
      <text>
        <r>
          <rPr>
            <b/>
            <sz val="9"/>
            <color indexed="81"/>
            <rFont val="Tahoma"/>
            <family val="2"/>
          </rPr>
          <t>John:</t>
        </r>
        <r>
          <rPr>
            <sz val="9"/>
            <color indexed="81"/>
            <rFont val="Tahoma"/>
            <family val="2"/>
          </rPr>
          <t xml:space="preserve">
9% of women reported 'push or shake';
5% of women reported 'throw something at you'.
No need to subtract P(A and B) because 9%*5% is small.</t>
        </r>
      </text>
    </comment>
    <comment ref="CE601" authorId="0" shapeId="0" xr:uid="{00000000-0006-0000-0000-0000DF020000}">
      <text>
        <r>
          <rPr>
            <b/>
            <sz val="9"/>
            <color indexed="81"/>
            <rFont val="Tahoma"/>
            <family val="2"/>
          </rPr>
          <t>John:</t>
        </r>
        <r>
          <rPr>
            <sz val="9"/>
            <color indexed="81"/>
            <rFont val="Tahoma"/>
            <family val="2"/>
          </rPr>
          <t xml:space="preserve">
79.4% agree/strongly agree that
"there are situations when a man is justified in slapping their wife in the face".</t>
        </r>
      </text>
    </comment>
    <comment ref="I602" authorId="0" shapeId="0" xr:uid="{00000000-0006-0000-0000-0000E0020000}">
      <text>
        <r>
          <rPr>
            <b/>
            <sz val="9"/>
            <color indexed="81"/>
            <rFont val="Tahoma"/>
            <family val="2"/>
          </rPr>
          <t>John:</t>
        </r>
        <r>
          <rPr>
            <sz val="9"/>
            <color indexed="81"/>
            <rFont val="Tahoma"/>
            <family val="2"/>
          </rPr>
          <t xml:space="preserve">
Date of survey isn't given. I estimate the date as a few years before the journal article was published (2014).</t>
        </r>
      </text>
    </comment>
    <comment ref="X602" authorId="0" shapeId="0" xr:uid="{00000000-0006-0000-0000-0000E1020000}">
      <text>
        <r>
          <rPr>
            <b/>
            <sz val="9"/>
            <color indexed="81"/>
            <rFont val="Tahoma"/>
            <family val="2"/>
          </rPr>
          <t>John:</t>
        </r>
        <r>
          <rPr>
            <sz val="9"/>
            <color indexed="81"/>
            <rFont val="Tahoma"/>
            <family val="2"/>
          </rPr>
          <t xml:space="preserve">
Education level not reported.</t>
        </r>
      </text>
    </comment>
    <comment ref="Y602" authorId="0" shapeId="0" xr:uid="{00000000-0006-0000-0000-0000E2020000}">
      <text>
        <r>
          <rPr>
            <b/>
            <sz val="9"/>
            <color indexed="81"/>
            <rFont val="Tahoma"/>
            <family val="2"/>
          </rPr>
          <t>John:</t>
        </r>
        <r>
          <rPr>
            <sz val="9"/>
            <color indexed="81"/>
            <rFont val="Tahoma"/>
            <family val="2"/>
          </rPr>
          <t xml:space="preserve">
Demeaning.</t>
        </r>
      </text>
    </comment>
    <comment ref="AK602" authorId="0" shapeId="0" xr:uid="{00000000-0006-0000-0000-0000E3020000}">
      <text>
        <r>
          <rPr>
            <b/>
            <sz val="9"/>
            <color indexed="81"/>
            <rFont val="Tahoma"/>
            <family val="2"/>
          </rPr>
          <t>John:</t>
        </r>
        <r>
          <rPr>
            <sz val="9"/>
            <color indexed="81"/>
            <rFont val="Tahoma"/>
            <family val="2"/>
          </rPr>
          <t xml:space="preserve">
This is 'weapon injury'.</t>
        </r>
      </text>
    </comment>
    <comment ref="AW602" authorId="0" shapeId="0" xr:uid="{00000000-0006-0000-0000-0000E4020000}">
      <text>
        <r>
          <rPr>
            <b/>
            <sz val="9"/>
            <color indexed="81"/>
            <rFont val="Tahoma"/>
            <family val="2"/>
          </rPr>
          <t>John:</t>
        </r>
        <r>
          <rPr>
            <sz val="9"/>
            <color indexed="81"/>
            <rFont val="Tahoma"/>
            <family val="2"/>
          </rPr>
          <t xml:space="preserve">
This is choking + burning (they may overlap). 
Burning prevalence much lower:
1.7% (urban) and
4.1% (rural).</t>
        </r>
      </text>
    </comment>
    <comment ref="H603" authorId="0" shapeId="0" xr:uid="{00000000-0006-0000-0000-0000E5020000}">
      <text>
        <r>
          <rPr>
            <b/>
            <sz val="9"/>
            <color indexed="81"/>
            <rFont val="Tahoma"/>
            <family val="2"/>
          </rPr>
          <t>John:</t>
        </r>
        <r>
          <rPr>
            <sz val="9"/>
            <color indexed="81"/>
            <rFont val="Tahoma"/>
            <family val="2"/>
          </rPr>
          <t xml:space="preserve">
30 rural women;
30 urban women.</t>
        </r>
      </text>
    </comment>
    <comment ref="I603" authorId="0" shapeId="0" xr:uid="{00000000-0006-0000-0000-0000E6020000}">
      <text>
        <r>
          <rPr>
            <b/>
            <sz val="9"/>
            <color indexed="81"/>
            <rFont val="Tahoma"/>
            <family val="2"/>
          </rPr>
          <t>John:</t>
        </r>
        <r>
          <rPr>
            <sz val="9"/>
            <color indexed="81"/>
            <rFont val="Tahoma"/>
            <family val="2"/>
          </rPr>
          <t xml:space="preserve">
Date of survey isn't given. I estimate the date as a few years before the journal article was received (2014).</t>
        </r>
      </text>
    </comment>
    <comment ref="I604" authorId="0" shapeId="0" xr:uid="{00000000-0006-0000-0000-0000E7020000}">
      <text>
        <r>
          <rPr>
            <b/>
            <sz val="9"/>
            <color indexed="81"/>
            <rFont val="Tahoma"/>
            <family val="2"/>
          </rPr>
          <t>John:</t>
        </r>
        <r>
          <rPr>
            <sz val="9"/>
            <color indexed="81"/>
            <rFont val="Tahoma"/>
            <family val="2"/>
          </rPr>
          <t xml:space="preserve">
Date of fieldwork isn't stated.  John Simister assumes it is a few years before the first publication (2001).</t>
        </r>
      </text>
    </comment>
    <comment ref="U604" authorId="0" shapeId="0" xr:uid="{00000000-0006-0000-0000-0000E8020000}">
      <text>
        <r>
          <rPr>
            <b/>
            <sz val="9"/>
            <color indexed="81"/>
            <rFont val="Tahoma"/>
            <family val="2"/>
          </rPr>
          <t>John:</t>
        </r>
        <r>
          <rPr>
            <sz val="9"/>
            <color indexed="81"/>
            <rFont val="Tahoma"/>
            <family val="2"/>
          </rPr>
          <t xml:space="preserve">
This paper describes violence between spouses. This row assumes violence is against women rather than men.</t>
        </r>
      </text>
    </comment>
    <comment ref="Y604" authorId="0" shapeId="0" xr:uid="{00000000-0006-0000-0000-0000E9020000}">
      <text>
        <r>
          <rPr>
            <b/>
            <sz val="9"/>
            <color indexed="81"/>
            <rFont val="Tahoma"/>
            <family val="2"/>
          </rPr>
          <t>John:</t>
        </r>
        <r>
          <rPr>
            <sz val="9"/>
            <color indexed="81"/>
            <rFont val="Tahoma"/>
            <family val="2"/>
          </rPr>
          <t xml:space="preserve">
'social violence',
in public places.</t>
        </r>
      </text>
    </comment>
    <comment ref="AA604" authorId="0" shapeId="0" xr:uid="{00000000-0006-0000-0000-0000EA020000}">
      <text>
        <r>
          <rPr>
            <b/>
            <sz val="9"/>
            <color indexed="81"/>
            <rFont val="Tahoma"/>
            <family val="2"/>
          </rPr>
          <t>John:</t>
        </r>
        <r>
          <rPr>
            <sz val="9"/>
            <color indexed="81"/>
            <rFont val="Tahoma"/>
            <family val="2"/>
          </rPr>
          <t xml:space="preserve">
use of abusive and filthy language. Page 357 also reports oher forms of emotional abuse, such as 'deprived of appreciation'.</t>
        </r>
      </text>
    </comment>
    <comment ref="AE604" authorId="0" shapeId="0" xr:uid="{00000000-0006-0000-0000-0000EB020000}">
      <text>
        <r>
          <rPr>
            <b/>
            <sz val="9"/>
            <color indexed="81"/>
            <rFont val="Tahoma"/>
            <family val="2"/>
          </rPr>
          <t>John:</t>
        </r>
        <r>
          <rPr>
            <sz val="9"/>
            <color indexed="81"/>
            <rFont val="Tahoma"/>
            <family val="2"/>
          </rPr>
          <t xml:space="preserve">
verbal threats</t>
        </r>
      </text>
    </comment>
    <comment ref="AQ604" authorId="0" shapeId="0" xr:uid="{00000000-0006-0000-0000-0000EC020000}">
      <text>
        <r>
          <rPr>
            <b/>
            <sz val="9"/>
            <color indexed="81"/>
            <rFont val="Tahoma"/>
            <family val="2"/>
          </rPr>
          <t>John:</t>
        </r>
        <r>
          <rPr>
            <sz val="9"/>
            <color indexed="81"/>
            <rFont val="Tahoma"/>
            <family val="2"/>
          </rPr>
          <t xml:space="preserve">
Pushing:      11.1+8.1+0.5 =19.7%.
Throwing objects:  4 + 5.6 = 9.6%.
These may overlap, so use formula
P(A) + P(B) - P(A+B).</t>
        </r>
      </text>
    </comment>
    <comment ref="BA604" authorId="0" shapeId="0" xr:uid="{00000000-0006-0000-0000-0000ED020000}">
      <text>
        <r>
          <rPr>
            <b/>
            <sz val="9"/>
            <color indexed="81"/>
            <rFont val="Tahoma"/>
            <family val="2"/>
          </rPr>
          <t>John:</t>
        </r>
        <r>
          <rPr>
            <sz val="9"/>
            <color indexed="81"/>
            <rFont val="Tahoma"/>
            <family val="2"/>
          </rPr>
          <t xml:space="preserve">
Hit with hard objects.</t>
        </r>
      </text>
    </comment>
    <comment ref="BC604" authorId="0" shapeId="0" xr:uid="{00000000-0006-0000-0000-0000EE020000}">
      <text>
        <r>
          <rPr>
            <b/>
            <sz val="9"/>
            <color indexed="81"/>
            <rFont val="Tahoma"/>
            <family val="2"/>
          </rPr>
          <t>John:</t>
        </r>
        <r>
          <rPr>
            <sz val="9"/>
            <color indexed="81"/>
            <rFont val="Tahoma"/>
            <family val="2"/>
          </rPr>
          <t xml:space="preserve">
Other data are reported, e.g.:
punish with cigarette butts: 10.5 %
severe shaking:                    9.6 %</t>
        </r>
      </text>
    </comment>
    <comment ref="BK604" authorId="0" shapeId="0" xr:uid="{00000000-0006-0000-0000-0000EF020000}">
      <text>
        <r>
          <rPr>
            <b/>
            <sz val="9"/>
            <color indexed="81"/>
            <rFont val="Tahoma"/>
            <family val="2"/>
          </rPr>
          <t>John:</t>
        </r>
        <r>
          <rPr>
            <sz val="9"/>
            <color indexed="81"/>
            <rFont val="Tahoma"/>
            <family val="2"/>
          </rPr>
          <t xml:space="preserve">
deprive of food</t>
        </r>
      </text>
    </comment>
    <comment ref="BO604" authorId="0" shapeId="0" xr:uid="{00000000-0006-0000-0000-0000F0020000}">
      <text>
        <r>
          <rPr>
            <b/>
            <sz val="9"/>
            <color indexed="81"/>
            <rFont val="Tahoma"/>
            <family val="2"/>
          </rPr>
          <t>John:</t>
        </r>
        <r>
          <rPr>
            <sz val="9"/>
            <color indexed="81"/>
            <rFont val="Tahoma"/>
            <family val="2"/>
          </rPr>
          <t xml:space="preserve">
Forced sex.</t>
        </r>
      </text>
    </comment>
    <comment ref="M605" authorId="0" shapeId="0" xr:uid="{00000000-0006-0000-0000-0000F1020000}">
      <text>
        <r>
          <rPr>
            <b/>
            <sz val="9"/>
            <color indexed="81"/>
            <rFont val="Tahoma"/>
            <family val="2"/>
          </rPr>
          <t>John:</t>
        </r>
        <r>
          <rPr>
            <sz val="9"/>
            <color indexed="81"/>
            <rFont val="Tahoma"/>
            <family val="2"/>
          </rPr>
          <t xml:space="preserve">
92% currently married.</t>
        </r>
      </text>
    </comment>
    <comment ref="AM605" authorId="0" shapeId="0" xr:uid="{00000000-0006-0000-0000-0000F2020000}">
      <text>
        <r>
          <rPr>
            <b/>
            <sz val="9"/>
            <color indexed="81"/>
            <rFont val="Tahoma"/>
            <family val="2"/>
          </rPr>
          <t>John:</t>
        </r>
        <r>
          <rPr>
            <sz val="9"/>
            <color indexed="81"/>
            <rFont val="Tahoma"/>
            <family val="2"/>
          </rPr>
          <t xml:space="preserve">
Slapped you or thrown something at you that could hurt you.
Use DHS2006 to split into slap and push/throw something.</t>
        </r>
      </text>
    </comment>
    <comment ref="AN605" authorId="0" shapeId="0" xr:uid="{00000000-0006-0000-0000-0000F3020000}">
      <text>
        <r>
          <rPr>
            <b/>
            <sz val="9"/>
            <color indexed="81"/>
            <rFont val="Tahoma"/>
            <family val="2"/>
          </rPr>
          <t>John:</t>
        </r>
        <r>
          <rPr>
            <sz val="9"/>
            <color indexed="81"/>
            <rFont val="Tahoma"/>
            <family val="2"/>
          </rPr>
          <t xml:space="preserve">
Slapped you or thrown something at you that could hurt you.
Use DHS2006 to split into slap and push/throw something.</t>
        </r>
      </text>
    </comment>
    <comment ref="AO605" authorId="0" shapeId="0" xr:uid="{00000000-0006-0000-0000-0000F4020000}">
      <text>
        <r>
          <rPr>
            <b/>
            <sz val="9"/>
            <color indexed="81"/>
            <rFont val="Tahoma"/>
            <family val="2"/>
          </rPr>
          <t>John:</t>
        </r>
        <r>
          <rPr>
            <sz val="9"/>
            <color indexed="81"/>
            <rFont val="Tahoma"/>
            <family val="2"/>
          </rPr>
          <t xml:space="preserve">
Pushed you or shoved you or pulled your hair.
Use DHS2006 data to split into hair and push.</t>
        </r>
      </text>
    </comment>
    <comment ref="AQ605" authorId="0" shapeId="0" xr:uid="{00000000-0006-0000-0000-0000F5020000}">
      <text>
        <r>
          <rPr>
            <b/>
            <sz val="9"/>
            <color indexed="81"/>
            <rFont val="Tahoma"/>
            <family val="2"/>
          </rPr>
          <t>John:</t>
        </r>
        <r>
          <rPr>
            <sz val="9"/>
            <color indexed="81"/>
            <rFont val="Tahoma"/>
            <family val="2"/>
          </rPr>
          <t xml:space="preserve">
Slapped you or thrown something at you that could hurt you.
Use DHS2006 to split into slap and push/throw something.
Also, add a fraction from the hair-pull column, again using DHS2006.</t>
        </r>
      </text>
    </comment>
    <comment ref="AR605" authorId="0" shapeId="0" xr:uid="{00000000-0006-0000-0000-0000F6020000}">
      <text>
        <r>
          <rPr>
            <b/>
            <sz val="9"/>
            <color indexed="81"/>
            <rFont val="Tahoma"/>
            <family val="2"/>
          </rPr>
          <t>John:</t>
        </r>
        <r>
          <rPr>
            <sz val="9"/>
            <color indexed="81"/>
            <rFont val="Tahoma"/>
            <family val="2"/>
          </rPr>
          <t xml:space="preserve">
Slapped you or thrown something at you that could hurt you.
Use DHS2006 to split into slap and push/throw something.</t>
        </r>
      </text>
    </comment>
    <comment ref="AS605" authorId="0" shapeId="0" xr:uid="{00000000-0006-0000-0000-0000F7020000}">
      <text>
        <r>
          <rPr>
            <b/>
            <sz val="9"/>
            <color indexed="81"/>
            <rFont val="Tahoma"/>
            <family val="2"/>
          </rPr>
          <t>John:</t>
        </r>
        <r>
          <rPr>
            <sz val="9"/>
            <color indexed="81"/>
            <rFont val="Tahoma"/>
            <family val="2"/>
          </rPr>
          <t xml:space="preserve">
Hit you with his fist or something else that could hurt you</t>
        </r>
      </text>
    </comment>
    <comment ref="S606" authorId="0" shapeId="0" xr:uid="{00000000-0006-0000-0000-0000F8020000}">
      <text>
        <r>
          <rPr>
            <b/>
            <sz val="9"/>
            <color indexed="81"/>
            <rFont val="Tahoma"/>
            <family val="2"/>
          </rPr>
          <t>John:</t>
        </r>
        <r>
          <rPr>
            <sz val="9"/>
            <color indexed="81"/>
            <rFont val="Tahoma"/>
            <family val="2"/>
          </rPr>
          <t xml:space="preserve">
75.3% of women married at 18 years old or younger.</t>
        </r>
      </text>
    </comment>
    <comment ref="AK606" authorId="0" shapeId="0" xr:uid="{00000000-0006-0000-0000-0000F9020000}">
      <text>
        <r>
          <rPr>
            <b/>
            <sz val="9"/>
            <color indexed="81"/>
            <rFont val="Tahoma"/>
            <family val="2"/>
          </rPr>
          <t>John:</t>
        </r>
        <r>
          <rPr>
            <sz val="9"/>
            <color indexed="81"/>
            <rFont val="Tahoma"/>
            <family val="2"/>
          </rPr>
          <t xml:space="preserve">
The article by Madhivanan et al states:
"Each IPPV item had 4 responses: 0 (never or 0 times); 1 (rarely or 1-2 times a year); 2 (sometimes or less than once a month); 3 (frequently or at least once a month). Responses were collapsed into 2 categories with “0” describing not experiencing violence and “1” experiencing violence".
Could interpret this as 'ever experienced' violence; but the article describes this as 'last 12 months'.</t>
        </r>
      </text>
    </comment>
    <comment ref="AM606" authorId="0" shapeId="0" xr:uid="{00000000-0006-0000-0000-0000FA020000}">
      <text>
        <r>
          <rPr>
            <b/>
            <sz val="9"/>
            <color indexed="81"/>
            <rFont val="Tahoma"/>
            <family val="2"/>
          </rPr>
          <t>John:</t>
        </r>
        <r>
          <rPr>
            <sz val="9"/>
            <color indexed="81"/>
            <rFont val="Tahoma"/>
            <family val="2"/>
          </rPr>
          <t xml:space="preserve">
The article by Madhivanan et al states:
"Each IPPV item had 4 responses: 0 (never or 0 times); 1 (rarely or 1-2 times a year); 2 (sometimes or less than once a month); 3 (frequently or at least once a month). Responses were collapsed into 2 categories with “0” describing not experiencing violence and “1” experiencing violence".
Could interpret this as 'ever experienced' violence; but the article describes this as 'last 12 months'.
</t>
        </r>
      </text>
    </comment>
    <comment ref="AO606" authorId="0" shapeId="0" xr:uid="{00000000-0006-0000-0000-0000FB020000}">
      <text>
        <r>
          <rPr>
            <b/>
            <sz val="9"/>
            <color indexed="81"/>
            <rFont val="Tahoma"/>
            <family val="2"/>
          </rPr>
          <t>John:</t>
        </r>
        <r>
          <rPr>
            <sz val="9"/>
            <color indexed="81"/>
            <rFont val="Tahoma"/>
            <family val="2"/>
          </rPr>
          <t xml:space="preserve">
The article by Madhivanan et al states:
"Each IPPV item had 4 responses: 0 (never or 0 times); 1 (rarely or 1-2 times a year); 2 (sometimes or less than once a month); 3 (frequently or at least once a month). Responses were collapsed into 2 categories with “0” describing not experiencing violence and “1” experiencing violence".
Could interpret this as 'ever experienced' violence; but the article describes this as 'last 12 months'.
</t>
        </r>
      </text>
    </comment>
    <comment ref="AQ606" authorId="0" shapeId="0" xr:uid="{00000000-0006-0000-0000-0000FC020000}">
      <text>
        <r>
          <rPr>
            <b/>
            <sz val="9"/>
            <color indexed="81"/>
            <rFont val="Tahoma"/>
            <family val="2"/>
          </rPr>
          <t>John:</t>
        </r>
        <r>
          <rPr>
            <sz val="9"/>
            <color indexed="81"/>
            <rFont val="Tahoma"/>
            <family val="2"/>
          </rPr>
          <t xml:space="preserve">
The article by Madhivanan et al states: "Each IPPV item had 4 responses: 0 (never or 0 times); 1 (rarely or 1-2 times a year); 2 (sometimes or less than once a month); 3 (frequently or at least once a month). Responses were collapsed into 2 categories with “0” describing not experiencing violence and “1” experiencing violence".
Could interpret it as 'ever experienced' violence; but article describes it as 'last 12 months'.
14.6% pushed or shoved; 6.9% threw something (these two may overlap).</t>
        </r>
      </text>
    </comment>
    <comment ref="AW606" authorId="0" shapeId="0" xr:uid="{00000000-0006-0000-0000-0000FD020000}">
      <text>
        <r>
          <rPr>
            <sz val="9"/>
            <color indexed="81"/>
            <rFont val="Tahoma"/>
            <family val="2"/>
          </rPr>
          <t xml:space="preserve">John:
0.8% 'Burned with something hot'.
10.4% 'Smothered, choked, or attempted or actually strangled you'.
</t>
        </r>
      </text>
    </comment>
    <comment ref="AY606" authorId="0" shapeId="0" xr:uid="{00000000-0006-0000-0000-0000FE020000}">
      <text>
        <r>
          <rPr>
            <b/>
            <sz val="9"/>
            <color indexed="81"/>
            <rFont val="Tahoma"/>
            <family val="2"/>
          </rPr>
          <t>John:</t>
        </r>
        <r>
          <rPr>
            <sz val="9"/>
            <color indexed="81"/>
            <rFont val="Tahoma"/>
            <family val="2"/>
          </rPr>
          <t xml:space="preserve">
The article by Madhivanan et al states:
"Each IPPV item had 4 responses: 0 (never or 0 times); 1 (rarely or 1-2 times a year); 2 (sometimes or less than once a month); 3 (frequently or at least once a month). Responses were collapsed into 2 categories with “0” describing not experiencing violence and “1” experiencing violence".
Could interpret it as 'ever experienced' violence; but article describes it as 'last 12 months'.</t>
        </r>
      </text>
    </comment>
    <comment ref="BC606" authorId="0" shapeId="0" xr:uid="{00000000-0006-0000-0000-0000FF020000}">
      <text>
        <r>
          <rPr>
            <b/>
            <sz val="9"/>
            <color indexed="81"/>
            <rFont val="Tahoma"/>
            <family val="2"/>
          </rPr>
          <t>John:</t>
        </r>
        <r>
          <rPr>
            <sz val="9"/>
            <color indexed="81"/>
            <rFont val="Tahoma"/>
            <family val="2"/>
          </rPr>
          <t xml:space="preserve">
The article by Madhivanan et al states:
"Each IPPV item had 4 responses: 0 (never or 0 times); 1 (rarely or 1-2 times a year); 2 (sometimes or less than once a month); 3 (frequently or at least once a month). Responses were collapsed into 2 categories with “0” describing not experiencing violence and “1” experiencing violence".
Could interpret this as 'ever experienced' violence; but the article describes this as 'last 12 months'.</t>
        </r>
      </text>
    </comment>
    <comment ref="BE606" authorId="0" shapeId="0" xr:uid="{00000000-0006-0000-0000-000000030000}">
      <text>
        <r>
          <rPr>
            <b/>
            <sz val="9"/>
            <color indexed="81"/>
            <rFont val="Tahoma"/>
            <family val="2"/>
          </rPr>
          <t xml:space="preserve">John:
</t>
        </r>
        <r>
          <rPr>
            <sz val="9"/>
            <color indexed="81"/>
            <rFont val="Tahoma"/>
            <family val="2"/>
          </rPr>
          <t>13.6% 'Slammed you against something hard'.</t>
        </r>
        <r>
          <rPr>
            <sz val="9"/>
            <color indexed="81"/>
            <rFont val="Tahoma"/>
            <family val="2"/>
          </rPr>
          <t xml:space="preserve">
</t>
        </r>
      </text>
    </comment>
    <comment ref="BI606" authorId="0" shapeId="0" xr:uid="{00000000-0006-0000-0000-000001030000}">
      <text>
        <r>
          <rPr>
            <b/>
            <sz val="9"/>
            <color indexed="81"/>
            <rFont val="Tahoma"/>
            <family val="2"/>
          </rPr>
          <t>John:</t>
        </r>
        <r>
          <rPr>
            <sz val="9"/>
            <color indexed="81"/>
            <rFont val="Tahoma"/>
            <family val="2"/>
          </rPr>
          <t xml:space="preserve">
The article by Madhivanan et al states:
"Each IPPV item had 4 responses: 0 (never or 0 times); 1 (rarely or 1-2 times a year); 2 (sometimes or less than once a month); 3 (frequently or at least once a month). Responses were collapsed into 2 categories with “0” describing not experiencing violence and “1” experiencing violence".
Could interpret this as 'ever experienced' violence; but the article describes this as 'last 12 months'.</t>
        </r>
      </text>
    </comment>
    <comment ref="BO606" authorId="0" shapeId="0" xr:uid="{00000000-0006-0000-0000-000002030000}">
      <text>
        <r>
          <rPr>
            <b/>
            <sz val="9"/>
            <color indexed="81"/>
            <rFont val="Tahoma"/>
            <family val="2"/>
          </rPr>
          <t>John:</t>
        </r>
        <r>
          <rPr>
            <sz val="9"/>
            <color indexed="81"/>
            <rFont val="Tahoma"/>
            <family val="2"/>
          </rPr>
          <t xml:space="preserve">
* Forced to have sex when she did not want to because she was afraid what he might do if she refused
* Forced to have sex when she was not willing
* Physically forced to do something sexual that was degrading or humiliating
* etc.</t>
        </r>
      </text>
    </comment>
    <comment ref="S607" authorId="0" shapeId="0" xr:uid="{00000000-0006-0000-0000-000003030000}">
      <text>
        <r>
          <rPr>
            <b/>
            <sz val="9"/>
            <color indexed="81"/>
            <rFont val="Tahoma"/>
            <family val="2"/>
          </rPr>
          <t>John:</t>
        </r>
        <r>
          <rPr>
            <sz val="9"/>
            <color indexed="81"/>
            <rFont val="Tahoma"/>
            <family val="2"/>
          </rPr>
          <t xml:space="preserve">
75.3% of women married at 18 years old or younger.</t>
        </r>
      </text>
    </comment>
    <comment ref="BF607" authorId="0" shapeId="0" xr:uid="{00000000-0006-0000-0000-000004030000}">
      <text>
        <r>
          <rPr>
            <b/>
            <sz val="9"/>
            <color indexed="81"/>
            <rFont val="Tahoma"/>
            <family val="2"/>
          </rPr>
          <t>John:</t>
        </r>
        <r>
          <rPr>
            <sz val="9"/>
            <color indexed="81"/>
            <rFont val="Tahoma"/>
            <family val="2"/>
          </rPr>
          <t xml:space="preserve">
2% 'Slammed you against something hard'.
Also, 3.5% 'Hit you'.</t>
        </r>
      </text>
    </comment>
    <comment ref="AK608" authorId="0" shapeId="0" xr:uid="{00000000-0006-0000-0000-000005030000}">
      <text>
        <r>
          <rPr>
            <b/>
            <sz val="9"/>
            <color indexed="81"/>
            <rFont val="Tahoma"/>
            <family val="2"/>
          </rPr>
          <t>John:</t>
        </r>
        <r>
          <rPr>
            <sz val="9"/>
            <color indexed="81"/>
            <rFont val="Tahoma"/>
            <family val="2"/>
          </rPr>
          <t xml:space="preserve">
used knife, gun, or other object (bat, bleach/acid)
</t>
        </r>
      </text>
    </comment>
    <comment ref="AM608" authorId="0" shapeId="0" xr:uid="{00000000-0006-0000-0000-000006030000}">
      <text>
        <r>
          <rPr>
            <b/>
            <sz val="9"/>
            <color indexed="81"/>
            <rFont val="Tahoma"/>
            <family val="2"/>
          </rPr>
          <t>John:</t>
        </r>
        <r>
          <rPr>
            <sz val="9"/>
            <color indexed="81"/>
            <rFont val="Tahoma"/>
            <family val="2"/>
          </rPr>
          <t xml:space="preserve">
19.2 hit, slapped, or punched.
Use DHS2006 to split into Slap and Punch.</t>
        </r>
      </text>
    </comment>
    <comment ref="AQ608" authorId="0" shapeId="0" xr:uid="{00000000-0006-0000-0000-000007030000}">
      <text>
        <r>
          <rPr>
            <b/>
            <sz val="9"/>
            <color indexed="81"/>
            <rFont val="Tahoma"/>
            <family val="2"/>
          </rPr>
          <t>John:</t>
        </r>
        <r>
          <rPr>
            <sz val="9"/>
            <color indexed="81"/>
            <rFont val="Tahoma"/>
            <family val="2"/>
          </rPr>
          <t xml:space="preserve">
Pushed, grabbed, or shoved</t>
        </r>
      </text>
    </comment>
    <comment ref="AS608" authorId="0" shapeId="0" xr:uid="{00000000-0006-0000-0000-000008030000}">
      <text>
        <r>
          <rPr>
            <b/>
            <sz val="9"/>
            <color indexed="81"/>
            <rFont val="Tahoma"/>
            <family val="2"/>
          </rPr>
          <t>John:</t>
        </r>
        <r>
          <rPr>
            <sz val="9"/>
            <color indexed="81"/>
            <rFont val="Tahoma"/>
            <family val="2"/>
          </rPr>
          <t xml:space="preserve">
19.2 hit, slapped, or punched.
Use DHS2006 to split into Slap and Punch.</t>
        </r>
      </text>
    </comment>
    <comment ref="BK608" authorId="0" shapeId="0" xr:uid="{00000000-0006-0000-0000-000009030000}">
      <text>
        <r>
          <rPr>
            <b/>
            <sz val="9"/>
            <color indexed="81"/>
            <rFont val="Tahoma"/>
            <family val="2"/>
          </rPr>
          <t>John:</t>
        </r>
        <r>
          <rPr>
            <sz val="9"/>
            <color indexed="81"/>
            <rFont val="Tahoma"/>
            <family val="2"/>
          </rPr>
          <t xml:space="preserve">
Isolated, restricted, or controlled you; did not
give you enough food, clothing, medical care, etc.</t>
        </r>
      </text>
    </comment>
    <comment ref="X609" authorId="0" shapeId="0" xr:uid="{00000000-0006-0000-0000-00000A030000}">
      <text>
        <r>
          <rPr>
            <b/>
            <sz val="9"/>
            <color indexed="81"/>
            <rFont val="Tahoma"/>
            <family val="2"/>
          </rPr>
          <t>John:</t>
        </r>
        <r>
          <rPr>
            <sz val="9"/>
            <color indexed="81"/>
            <rFont val="Tahoma"/>
            <family val="2"/>
          </rPr>
          <t xml:space="preserve">
Education level not reported.</t>
        </r>
      </text>
    </comment>
    <comment ref="BM609" authorId="0" shapeId="0" xr:uid="{00000000-0006-0000-0000-00000B030000}">
      <text>
        <r>
          <rPr>
            <b/>
            <sz val="9"/>
            <color indexed="81"/>
            <rFont val="Tahoma"/>
            <family val="2"/>
          </rPr>
          <t>John:</t>
        </r>
        <r>
          <rPr>
            <sz val="9"/>
            <color indexed="81"/>
            <rFont val="Tahoma"/>
            <family val="2"/>
          </rPr>
          <t xml:space="preserve">
'sexual violence' is either or both of:
* Physically forced her to have sexual intercourse against her will;
* Forced to do something sexual she found degrading or humiliating.</t>
        </r>
      </text>
    </comment>
    <comment ref="BV610" authorId="0" shapeId="0" xr:uid="{00000000-0006-0000-0000-00000C030000}">
      <text>
        <r>
          <rPr>
            <b/>
            <sz val="9"/>
            <color indexed="81"/>
            <rFont val="Tahoma"/>
            <family val="2"/>
          </rPr>
          <t>John:</t>
        </r>
        <r>
          <rPr>
            <sz val="9"/>
            <color indexed="81"/>
            <rFont val="Tahoma"/>
            <family val="2"/>
          </rPr>
          <t xml:space="preserve">
Husband was perpetrator among 84.5% of respondents.</t>
        </r>
      </text>
    </comment>
    <comment ref="BJ611" authorId="0" shapeId="0" xr:uid="{00000000-0006-0000-0000-00000D030000}">
      <text>
        <r>
          <rPr>
            <b/>
            <sz val="9"/>
            <color indexed="81"/>
            <rFont val="Tahoma"/>
            <family val="2"/>
          </rPr>
          <t>John:</t>
        </r>
        <r>
          <rPr>
            <sz val="9"/>
            <color indexed="81"/>
            <rFont val="Tahoma"/>
            <family val="2"/>
          </rPr>
          <t xml:space="preserve">
hit, slapped, kicked or otherwise physically hurt by the husband</t>
        </r>
      </text>
    </comment>
    <comment ref="BL611" authorId="0" shapeId="0" xr:uid="{00000000-0006-0000-0000-00000E030000}">
      <text>
        <r>
          <rPr>
            <b/>
            <sz val="9"/>
            <color indexed="81"/>
            <rFont val="Tahoma"/>
            <family val="2"/>
          </rPr>
          <t>John:</t>
        </r>
        <r>
          <rPr>
            <sz val="9"/>
            <color indexed="81"/>
            <rFont val="Tahoma"/>
            <family val="2"/>
          </rPr>
          <t xml:space="preserve">
Not defined in the article.</t>
        </r>
      </text>
    </comment>
    <comment ref="X612" authorId="0" shapeId="0" xr:uid="{00000000-0006-0000-0000-00000F030000}">
      <text>
        <r>
          <rPr>
            <b/>
            <sz val="9"/>
            <color indexed="81"/>
            <rFont val="Tahoma"/>
            <family val="2"/>
          </rPr>
          <t>John:</t>
        </r>
        <r>
          <rPr>
            <sz val="9"/>
            <color indexed="81"/>
            <rFont val="Tahoma"/>
            <family val="2"/>
          </rPr>
          <t xml:space="preserve">
Education level not reported.</t>
        </r>
      </text>
    </comment>
    <comment ref="N613" authorId="0" shapeId="0" xr:uid="{00000000-0006-0000-0000-000010030000}">
      <text>
        <r>
          <rPr>
            <b/>
            <sz val="9"/>
            <color indexed="81"/>
            <rFont val="Tahoma"/>
            <family val="2"/>
          </rPr>
          <t>John:</t>
        </r>
        <r>
          <rPr>
            <sz val="9"/>
            <color indexed="81"/>
            <rFont val="Tahoma"/>
            <family val="2"/>
          </rPr>
          <t xml:space="preserve">
Based on DHS India survey 2005-6, e.g. definition of 'severe' violence.</t>
        </r>
      </text>
    </comment>
    <comment ref="X613" authorId="0" shapeId="0" xr:uid="{00000000-0006-0000-0000-000011030000}">
      <text>
        <r>
          <rPr>
            <b/>
            <sz val="9"/>
            <color indexed="81"/>
            <rFont val="Tahoma"/>
            <family val="2"/>
          </rPr>
          <t>John:</t>
        </r>
        <r>
          <rPr>
            <sz val="9"/>
            <color indexed="81"/>
            <rFont val="Tahoma"/>
            <family val="2"/>
          </rPr>
          <t xml:space="preserve">
Education level not reported.</t>
        </r>
      </text>
    </comment>
    <comment ref="BJ613" authorId="0" shapeId="0" xr:uid="{00000000-0006-0000-0000-000012030000}">
      <text>
        <r>
          <rPr>
            <b/>
            <sz val="9"/>
            <color indexed="81"/>
            <rFont val="Tahoma"/>
            <family val="2"/>
          </rPr>
          <t>John:</t>
        </r>
        <r>
          <rPr>
            <sz val="9"/>
            <color indexed="81"/>
            <rFont val="Tahoma"/>
            <family val="2"/>
          </rPr>
          <t xml:space="preserve">
1010 'less severe violence';
  355 'severe physical violence'.
These are as defined in DHS.</t>
        </r>
      </text>
    </comment>
    <comment ref="BP613" authorId="0" shapeId="0" xr:uid="{00000000-0006-0000-0000-000013030000}">
      <text>
        <r>
          <rPr>
            <b/>
            <sz val="9"/>
            <color indexed="81"/>
            <rFont val="Tahoma"/>
            <family val="2"/>
          </rPr>
          <t>John:</t>
        </r>
        <r>
          <rPr>
            <sz val="9"/>
            <color indexed="81"/>
            <rFont val="Tahoma"/>
            <family val="2"/>
          </rPr>
          <t xml:space="preserve">
"sexual violence":
minimum is =100*183/9050 but there are others who experienced mixed violence, some of whom experienced sexual violence.</t>
        </r>
      </text>
    </comment>
    <comment ref="BV613" authorId="0" shapeId="0" xr:uid="{00000000-0006-0000-0000-000014030000}">
      <text>
        <r>
          <rPr>
            <b/>
            <sz val="9"/>
            <color indexed="81"/>
            <rFont val="Tahoma"/>
            <family val="2"/>
          </rPr>
          <t>John:</t>
        </r>
        <r>
          <rPr>
            <sz val="9"/>
            <color indexed="81"/>
            <rFont val="Tahoma"/>
            <family val="2"/>
          </rPr>
          <t xml:space="preserve">
Not clear, in this journal article.</t>
        </r>
      </text>
    </comment>
    <comment ref="M615" authorId="0" shapeId="0" xr:uid="{00000000-0006-0000-0000-000015030000}">
      <text>
        <r>
          <rPr>
            <b/>
            <sz val="9"/>
            <color indexed="81"/>
            <rFont val="Tahoma"/>
            <family val="2"/>
          </rPr>
          <t>John:</t>
        </r>
        <r>
          <rPr>
            <sz val="9"/>
            <color indexed="81"/>
            <rFont val="Tahoma"/>
            <family val="2"/>
          </rPr>
          <t xml:space="preserve">
91.9% currently married.</t>
        </r>
      </text>
    </comment>
    <comment ref="AM615" authorId="0" shapeId="0" xr:uid="{00000000-0006-0000-0000-000016030000}">
      <text>
        <r>
          <rPr>
            <b/>
            <sz val="9"/>
            <color indexed="81"/>
            <rFont val="Tahoma"/>
            <family val="2"/>
          </rPr>
          <t>John:</t>
        </r>
        <r>
          <rPr>
            <sz val="9"/>
            <color indexed="81"/>
            <rFont val="Tahoma"/>
            <family val="2"/>
          </rPr>
          <t xml:space="preserve">
Table 4 suggests a lower figure: hit/slap/punch (with &amp; without injury) add to 101+29 = 130/519 = 25%.</t>
        </r>
      </text>
    </comment>
    <comment ref="AQ615" authorId="0" shapeId="0" xr:uid="{00000000-0006-0000-0000-000017030000}">
      <text>
        <r>
          <rPr>
            <b/>
            <sz val="9"/>
            <color indexed="81"/>
            <rFont val="Tahoma"/>
            <family val="2"/>
          </rPr>
          <t>John:</t>
        </r>
        <r>
          <rPr>
            <sz val="9"/>
            <color indexed="81"/>
            <rFont val="Tahoma"/>
            <family val="2"/>
          </rPr>
          <t xml:space="preserve">
26.9% pushing/shoving causing no injury
14.2% pushing/shoving causing injury</t>
        </r>
      </text>
    </comment>
    <comment ref="AU615" authorId="0" shapeId="0" xr:uid="{00000000-0006-0000-0000-000018030000}">
      <text>
        <r>
          <rPr>
            <b/>
            <sz val="9"/>
            <color indexed="81"/>
            <rFont val="Tahoma"/>
            <family val="2"/>
          </rPr>
          <t>John:</t>
        </r>
        <r>
          <rPr>
            <sz val="9"/>
            <color indexed="81"/>
            <rFont val="Tahoma"/>
            <family val="2"/>
          </rPr>
          <t xml:space="preserve">
kicked or dragged or beat her up.
Assume half are kicked/dragged, the other half beaten.</t>
        </r>
      </text>
    </comment>
    <comment ref="BC615" authorId="0" shapeId="0" xr:uid="{00000000-0006-0000-0000-000019030000}">
      <text>
        <r>
          <rPr>
            <b/>
            <sz val="9"/>
            <color indexed="81"/>
            <rFont val="Tahoma"/>
            <family val="2"/>
          </rPr>
          <t>John:</t>
        </r>
        <r>
          <rPr>
            <sz val="9"/>
            <color indexed="81"/>
            <rFont val="Tahoma"/>
            <family val="2"/>
          </rPr>
          <t xml:space="preserve">
kicked or dragged or beat her up.
Assume half are kicked/dragged, the other half beaten.</t>
        </r>
      </text>
    </comment>
    <comment ref="AU616" authorId="0" shapeId="0" xr:uid="{00000000-0006-0000-0000-00001A030000}">
      <text>
        <r>
          <rPr>
            <b/>
            <sz val="9"/>
            <color indexed="81"/>
            <rFont val="Tahoma"/>
            <family val="2"/>
          </rPr>
          <t>John:</t>
        </r>
        <r>
          <rPr>
            <sz val="9"/>
            <color indexed="81"/>
            <rFont val="Tahoma"/>
            <family val="2"/>
          </rPr>
          <t xml:space="preserve">
kicked.</t>
        </r>
      </text>
    </comment>
    <comment ref="BA616" authorId="0" shapeId="0" xr:uid="{00000000-0006-0000-0000-00001B030000}">
      <text>
        <r>
          <rPr>
            <b/>
            <sz val="9"/>
            <color indexed="81"/>
            <rFont val="Tahoma"/>
            <family val="2"/>
          </rPr>
          <t>John:</t>
        </r>
        <r>
          <rPr>
            <sz val="9"/>
            <color indexed="81"/>
            <rFont val="Tahoma"/>
            <family val="2"/>
          </rPr>
          <t xml:space="preserve">
hit with stick, footwear, or belt.</t>
        </r>
      </text>
    </comment>
    <comment ref="S617" authorId="0" shapeId="0" xr:uid="{00000000-0006-0000-0000-00001C030000}">
      <text>
        <r>
          <rPr>
            <b/>
            <sz val="9"/>
            <color indexed="81"/>
            <rFont val="Tahoma"/>
            <family val="2"/>
          </rPr>
          <t>John:</t>
        </r>
        <r>
          <rPr>
            <sz val="9"/>
            <color indexed="81"/>
            <rFont val="Tahoma"/>
            <family val="2"/>
          </rPr>
          <t xml:space="preserve">
34% married under 18;
66% married at 18 or older.</t>
        </r>
      </text>
    </comment>
    <comment ref="U617" authorId="0" shapeId="0" xr:uid="{00000000-0006-0000-0000-00001D030000}">
      <text>
        <r>
          <rPr>
            <b/>
            <sz val="9"/>
            <color indexed="81"/>
            <rFont val="Tahoma"/>
            <family val="2"/>
          </rPr>
          <t>John:</t>
        </r>
        <r>
          <rPr>
            <sz val="9"/>
            <color indexed="81"/>
            <rFont val="Tahoma"/>
            <family val="2"/>
          </rPr>
          <t xml:space="preserve">
Part of a larger survey (1049 women).
This subsample is limited to women who completed a questionnaire about having sex with husband.</t>
        </r>
      </text>
    </comment>
    <comment ref="V617" authorId="0" shapeId="0" xr:uid="{00000000-0006-0000-0000-00001E030000}">
      <text>
        <r>
          <rPr>
            <b/>
            <sz val="9"/>
            <color indexed="81"/>
            <rFont val="Tahoma"/>
            <family val="2"/>
          </rPr>
          <t>John:</t>
        </r>
        <r>
          <rPr>
            <sz val="9"/>
            <color indexed="81"/>
            <rFont val="Tahoma"/>
            <family val="2"/>
          </rPr>
          <t xml:space="preserve">
In a clinic, yes; but not women seeking healthcare for themselves.</t>
        </r>
      </text>
    </comment>
    <comment ref="X617" authorId="0" shapeId="0" xr:uid="{00000000-0006-0000-0000-00001F030000}">
      <text>
        <r>
          <rPr>
            <b/>
            <sz val="9"/>
            <color indexed="81"/>
            <rFont val="Tahoma"/>
            <family val="2"/>
          </rPr>
          <t>John:</t>
        </r>
        <r>
          <rPr>
            <sz val="9"/>
            <color indexed="81"/>
            <rFont val="Tahoma"/>
            <family val="2"/>
          </rPr>
          <t xml:space="preserve">
15.7% of women had no formal education.</t>
        </r>
      </text>
    </comment>
    <comment ref="BU617" authorId="0" shapeId="0" xr:uid="{00000000-0006-0000-0000-000020030000}">
      <text>
        <r>
          <rPr>
            <b/>
            <sz val="9"/>
            <color indexed="81"/>
            <rFont val="Tahoma"/>
            <family val="2"/>
          </rPr>
          <t>John:</t>
        </r>
        <r>
          <rPr>
            <sz val="9"/>
            <color indexed="81"/>
            <rFont val="Tahoma"/>
            <family val="2"/>
          </rPr>
          <t xml:space="preserve">
Postpartum: 6 months or less.</t>
        </r>
      </text>
    </comment>
    <comment ref="BI618" authorId="0" shapeId="0" xr:uid="{00000000-0006-0000-0000-000021030000}">
      <text>
        <r>
          <rPr>
            <b/>
            <sz val="9"/>
            <color indexed="81"/>
            <rFont val="Tahoma"/>
            <family val="2"/>
          </rPr>
          <t>John:</t>
        </r>
        <r>
          <rPr>
            <sz val="9"/>
            <color indexed="81"/>
            <rFont val="Tahoma"/>
            <family val="2"/>
          </rPr>
          <t xml:space="preserve">
9.7 only physical violence; 
9.7 physical/psychological/sexual violence.
The true figure for physical violence is between 9.7 and 9.7+9.7</t>
        </r>
      </text>
    </comment>
    <comment ref="J619" authorId="0" shapeId="0" xr:uid="{00000000-0006-0000-0000-000022030000}">
      <text>
        <r>
          <rPr>
            <b/>
            <sz val="9"/>
            <color indexed="81"/>
            <rFont val="Tahoma"/>
            <family val="2"/>
          </rPr>
          <t>John:</t>
        </r>
        <r>
          <rPr>
            <sz val="9"/>
            <color indexed="81"/>
            <rFont val="Tahoma"/>
            <family val="2"/>
          </rPr>
          <t xml:space="preserve">
The year(s) when interviewing took place isn't made clear.</t>
        </r>
      </text>
    </comment>
    <comment ref="M619" authorId="0" shapeId="0" xr:uid="{00000000-0006-0000-0000-000023030000}">
      <text>
        <r>
          <rPr>
            <b/>
            <sz val="9"/>
            <color indexed="81"/>
            <rFont val="Tahoma"/>
            <family val="2"/>
          </rPr>
          <t>John:</t>
        </r>
        <r>
          <rPr>
            <sz val="9"/>
            <color indexed="81"/>
            <rFont val="Tahoma"/>
            <family val="2"/>
          </rPr>
          <t xml:space="preserve">
The 'last 12 months' prevalence rates are during pregancy.</t>
        </r>
      </text>
    </comment>
    <comment ref="AZ619" authorId="0" shapeId="0" xr:uid="{00000000-0006-0000-0000-000024030000}">
      <text>
        <r>
          <rPr>
            <b/>
            <sz val="9"/>
            <color indexed="81"/>
            <rFont val="Tahoma"/>
            <family val="2"/>
          </rPr>
          <t>John:</t>
        </r>
        <r>
          <rPr>
            <sz val="9"/>
            <color indexed="81"/>
            <rFont val="Tahoma"/>
            <family val="2"/>
          </rPr>
          <t xml:space="preserve">
zero reported; but this is a very small sample, so it seems unreliable to me.</t>
        </r>
      </text>
    </comment>
    <comment ref="BA619" authorId="0" shapeId="0" xr:uid="{00000000-0006-0000-0000-000025030000}">
      <text>
        <r>
          <rPr>
            <b/>
            <sz val="9"/>
            <color indexed="81"/>
            <rFont val="Tahoma"/>
            <family val="2"/>
          </rPr>
          <t>John:</t>
        </r>
        <r>
          <rPr>
            <sz val="9"/>
            <color indexed="81"/>
            <rFont val="Tahoma"/>
            <family val="2"/>
          </rPr>
          <t xml:space="preserve">
Hit with instrument used as a weapon</t>
        </r>
      </text>
    </comment>
    <comment ref="BB619" authorId="0" shapeId="0" xr:uid="{00000000-0006-0000-0000-000026030000}">
      <text>
        <r>
          <rPr>
            <b/>
            <sz val="9"/>
            <color indexed="81"/>
            <rFont val="Tahoma"/>
            <family val="2"/>
          </rPr>
          <t>John:</t>
        </r>
        <r>
          <rPr>
            <sz val="9"/>
            <color indexed="81"/>
            <rFont val="Tahoma"/>
            <family val="2"/>
          </rPr>
          <t xml:space="preserve">
zero reported; but this is a very small sample, so it seems unreliable to me.</t>
        </r>
      </text>
    </comment>
    <comment ref="BI619" authorId="0" shapeId="0" xr:uid="{00000000-0006-0000-0000-000027030000}">
      <text>
        <r>
          <rPr>
            <b/>
            <sz val="9"/>
            <color indexed="81"/>
            <rFont val="Tahoma"/>
            <family val="2"/>
          </rPr>
          <t>John:</t>
        </r>
        <r>
          <rPr>
            <sz val="9"/>
            <color indexed="81"/>
            <rFont val="Tahoma"/>
            <family val="2"/>
          </rPr>
          <t xml:space="preserve">
38.8% reported.  But page 144 states "Nearly all the perpetrators of violence were spouses", so this figure is slightly higher than the true figure.</t>
        </r>
      </text>
    </comment>
    <comment ref="BW619" authorId="0" shapeId="0" xr:uid="{00000000-0006-0000-0000-000028030000}">
      <text>
        <r>
          <rPr>
            <b/>
            <sz val="9"/>
            <color indexed="81"/>
            <rFont val="Tahoma"/>
            <family val="2"/>
          </rPr>
          <t>John:</t>
        </r>
        <r>
          <rPr>
            <sz val="9"/>
            <color indexed="81"/>
            <rFont val="Tahoma"/>
            <family val="2"/>
          </rPr>
          <t xml:space="preserve">
Page 144 states "Nearly all the perpetrators of violence were spouses".  I use 100%, but it should be slightly less than 100.</t>
        </r>
      </text>
    </comment>
    <comment ref="X621" authorId="0" shapeId="0" xr:uid="{00000000-0006-0000-0000-000029030000}">
      <text>
        <r>
          <rPr>
            <b/>
            <sz val="9"/>
            <color indexed="81"/>
            <rFont val="Tahoma"/>
            <family val="2"/>
          </rPr>
          <t>John:</t>
        </r>
        <r>
          <rPr>
            <sz val="9"/>
            <color indexed="81"/>
            <rFont val="Tahoma"/>
            <family val="2"/>
          </rPr>
          <t xml:space="preserve">
Male respondent's education:
  9.3% primary school
48.1% secondary school
42.6% tertiary education
From Table 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 Simister</author>
    <author>John (London)</author>
    <author>John</author>
  </authors>
  <commentList>
    <comment ref="Z203" authorId="0" shapeId="0" xr:uid="{00000000-0006-0000-0100-000001000000}">
      <text>
        <r>
          <rPr>
            <b/>
            <sz val="8"/>
            <color indexed="81"/>
            <rFont val="Tahoma"/>
            <family val="2"/>
          </rPr>
          <t>John Simister:</t>
        </r>
        <r>
          <rPr>
            <sz val="8"/>
            <color indexed="81"/>
            <rFont val="Tahoma"/>
            <family val="2"/>
          </rPr>
          <t xml:space="preserve">
This column includes data from one of the four columns to the left;  it may be 'all women', or 'currently married;  physical, or physical/sexual assault.
</t>
        </r>
      </text>
    </comment>
    <comment ref="AH203" authorId="0" shapeId="0" xr:uid="{00000000-0006-0000-0100-000002000000}">
      <text>
        <r>
          <rPr>
            <b/>
            <sz val="8"/>
            <color indexed="81"/>
            <rFont val="Tahoma"/>
            <family val="2"/>
          </rPr>
          <t>John Simister:</t>
        </r>
        <r>
          <rPr>
            <sz val="8"/>
            <color indexed="81"/>
            <rFont val="Tahoma"/>
            <family val="2"/>
          </rPr>
          <t xml:space="preserve">
This column includes data from one of the four columns to the left;  it may be 'all women', or 'currently married;  physical, or physical/sexual assault.
</t>
        </r>
      </text>
    </comment>
    <comment ref="I223" authorId="1" shapeId="0" xr:uid="{00000000-0006-0000-0100-000003000000}">
      <text>
        <r>
          <rPr>
            <b/>
            <sz val="9"/>
            <color indexed="81"/>
            <rFont val="Tahoma"/>
            <family val="2"/>
          </rPr>
          <t>John (London):</t>
        </r>
        <r>
          <rPr>
            <sz val="9"/>
            <color indexed="81"/>
            <rFont val="Tahoma"/>
            <family val="2"/>
          </rPr>
          <t xml:space="preserve">
This is the date in Dal grande et al.
</t>
        </r>
      </text>
    </comment>
    <comment ref="I224" authorId="1" shapeId="0" xr:uid="{00000000-0006-0000-0100-000004000000}">
      <text>
        <r>
          <rPr>
            <b/>
            <sz val="9"/>
            <color indexed="81"/>
            <rFont val="Tahoma"/>
            <family val="2"/>
          </rPr>
          <t>John (London):</t>
        </r>
        <r>
          <rPr>
            <sz val="9"/>
            <color indexed="81"/>
            <rFont val="Tahoma"/>
            <family val="2"/>
          </rPr>
          <t xml:space="preserve">
This is the date in Mazza et al.
</t>
        </r>
      </text>
    </comment>
    <comment ref="I225" authorId="1" shapeId="0" xr:uid="{00000000-0006-0000-0100-000005000000}">
      <text>
        <r>
          <rPr>
            <b/>
            <sz val="9"/>
            <color indexed="81"/>
            <rFont val="Tahoma"/>
            <family val="2"/>
          </rPr>
          <t>John (London):</t>
        </r>
        <r>
          <rPr>
            <sz val="9"/>
            <color indexed="81"/>
            <rFont val="Tahoma"/>
            <family val="2"/>
          </rPr>
          <t xml:space="preserve">
This is the date in Hegarty &amp; Bush
</t>
        </r>
      </text>
    </comment>
    <comment ref="I226" authorId="1" shapeId="0" xr:uid="{00000000-0006-0000-0100-000006000000}">
      <text>
        <r>
          <rPr>
            <b/>
            <sz val="9"/>
            <color indexed="81"/>
            <rFont val="Tahoma"/>
            <family val="2"/>
          </rPr>
          <t>John (London):</t>
        </r>
        <r>
          <rPr>
            <sz val="9"/>
            <color indexed="81"/>
            <rFont val="Tahoma"/>
            <family val="2"/>
          </rPr>
          <t xml:space="preserve">
This is the date in Grande et al
</t>
        </r>
      </text>
    </comment>
    <comment ref="AH227" authorId="0" shapeId="0" xr:uid="{00000000-0006-0000-0100-000007000000}">
      <text>
        <r>
          <rPr>
            <b/>
            <sz val="8"/>
            <color indexed="81"/>
            <rFont val="Tahoma"/>
            <family val="2"/>
          </rPr>
          <t>John Simister:</t>
        </r>
        <r>
          <rPr>
            <sz val="8"/>
            <color indexed="81"/>
            <rFont val="Tahoma"/>
            <family val="2"/>
          </rPr>
          <t xml:space="preserve">
Shown as 3% in source k, but as 10% in source l &amp; n.  Maybe source k confused the two Australian surveys?  Shown as 4% in source af.</t>
        </r>
      </text>
    </comment>
    <comment ref="I228" authorId="2" shapeId="0" xr:uid="{00000000-0006-0000-0100-000008000000}">
      <text>
        <r>
          <rPr>
            <b/>
            <sz val="9"/>
            <color indexed="81"/>
            <rFont val="Tahoma"/>
            <family val="2"/>
          </rPr>
          <t>John:</t>
        </r>
        <r>
          <rPr>
            <sz val="9"/>
            <color indexed="81"/>
            <rFont val="Tahoma"/>
            <family val="2"/>
          </rPr>
          <t xml:space="preserve">
This is the date published in Schei et al.</t>
        </r>
      </text>
    </comment>
    <comment ref="I235" authorId="2" shapeId="0" xr:uid="{00000000-0006-0000-0100-000009000000}">
      <text>
        <r>
          <rPr>
            <b/>
            <sz val="9"/>
            <color indexed="81"/>
            <rFont val="Tahoma"/>
            <family val="2"/>
          </rPr>
          <t>John:</t>
        </r>
        <r>
          <rPr>
            <sz val="9"/>
            <color indexed="81"/>
            <rFont val="Tahoma"/>
            <family val="2"/>
          </rPr>
          <t xml:space="preserve">
This is the date published in Salam et al.</t>
        </r>
      </text>
    </comment>
    <comment ref="I239" authorId="2" shapeId="0" xr:uid="{00000000-0006-0000-0100-00000A000000}">
      <text>
        <r>
          <rPr>
            <b/>
            <sz val="9"/>
            <color indexed="81"/>
            <rFont val="Tahoma"/>
            <family val="2"/>
          </rPr>
          <t>John:</t>
        </r>
        <r>
          <rPr>
            <sz val="9"/>
            <color indexed="81"/>
            <rFont val="Tahoma"/>
            <family val="2"/>
          </rPr>
          <t xml:space="preserve">
This is the year of publication in Rosenberg et al.</t>
        </r>
      </text>
    </comment>
    <comment ref="I240" authorId="1" shapeId="0" xr:uid="{00000000-0006-0000-0100-00000B000000}">
      <text>
        <r>
          <rPr>
            <b/>
            <sz val="9"/>
            <color indexed="81"/>
            <rFont val="Tahoma"/>
            <family val="2"/>
          </rPr>
          <t>John (London):</t>
        </r>
        <r>
          <rPr>
            <sz val="9"/>
            <color indexed="81"/>
            <rFont val="Tahoma"/>
            <family val="2"/>
          </rPr>
          <t xml:space="preserve">
This is the year of publication by Bruynnooghe and others
</t>
        </r>
      </text>
    </comment>
    <comment ref="I244" authorId="2" shapeId="0" xr:uid="{00000000-0006-0000-0100-00000C000000}">
      <text>
        <r>
          <rPr>
            <b/>
            <sz val="9"/>
            <color indexed="81"/>
            <rFont val="Tahoma"/>
            <family val="2"/>
          </rPr>
          <t>John:</t>
        </r>
        <r>
          <rPr>
            <sz val="9"/>
            <color indexed="81"/>
            <rFont val="Tahoma"/>
            <family val="2"/>
          </rPr>
          <t xml:space="preserve">
This is year of publication in Peele et al</t>
        </r>
      </text>
    </comment>
    <comment ref="I246" authorId="1" shapeId="0" xr:uid="{00000000-0006-0000-0100-00000D000000}">
      <text>
        <r>
          <rPr>
            <b/>
            <sz val="9"/>
            <color indexed="81"/>
            <rFont val="Tahoma"/>
            <family val="2"/>
          </rPr>
          <t>John (London):</t>
        </r>
        <r>
          <rPr>
            <sz val="9"/>
            <color indexed="81"/>
            <rFont val="Tahoma"/>
            <family val="2"/>
          </rPr>
          <t xml:space="preserve">
This is the date the journal article was published.</t>
        </r>
      </text>
    </comment>
    <comment ref="N247" authorId="2" shapeId="0" xr:uid="{00000000-0006-0000-0100-00000E000000}">
      <text>
        <r>
          <rPr>
            <b/>
            <sz val="9"/>
            <color indexed="81"/>
            <rFont val="Tahoma"/>
            <family val="2"/>
          </rPr>
          <t>John:</t>
        </r>
        <r>
          <rPr>
            <sz val="9"/>
            <color indexed="81"/>
            <rFont val="Tahoma"/>
            <family val="2"/>
          </rPr>
          <t xml:space="preserve">
Only interviewed women with chikdren age under 18.</t>
        </r>
      </text>
    </comment>
    <comment ref="I250" authorId="2" shapeId="0" xr:uid="{00000000-0006-0000-0100-00000F000000}">
      <text>
        <r>
          <rPr>
            <b/>
            <sz val="9"/>
            <color indexed="81"/>
            <rFont val="Tahoma"/>
            <family val="2"/>
          </rPr>
          <t>John:</t>
        </r>
        <r>
          <rPr>
            <sz val="9"/>
            <color indexed="81"/>
            <rFont val="Tahoma"/>
            <family val="2"/>
          </rPr>
          <t xml:space="preserve">
This is the date of the research report on the website.</t>
        </r>
      </text>
    </comment>
    <comment ref="I252" authorId="2" shapeId="0" xr:uid="{00000000-0006-0000-0100-000010000000}">
      <text>
        <r>
          <rPr>
            <b/>
            <sz val="9"/>
            <color indexed="81"/>
            <rFont val="Tahoma"/>
            <family val="2"/>
          </rPr>
          <t>John:</t>
        </r>
        <r>
          <rPr>
            <sz val="9"/>
            <color indexed="81"/>
            <rFont val="Tahoma"/>
            <family val="2"/>
          </rPr>
          <t xml:space="preserve">
This is the date of publication by ITEKA.</t>
        </r>
      </text>
    </comment>
    <comment ref="I258" authorId="2" shapeId="0" xr:uid="{00000000-0006-0000-0100-000011000000}">
      <text>
        <r>
          <rPr>
            <b/>
            <sz val="9"/>
            <color indexed="81"/>
            <rFont val="Tahoma"/>
            <family val="2"/>
          </rPr>
          <t>John:</t>
        </r>
        <r>
          <rPr>
            <sz val="9"/>
            <color indexed="81"/>
            <rFont val="Tahoma"/>
            <family val="2"/>
          </rPr>
          <t xml:space="preserve">
This is the date published in Rinfret-Raynor et al.</t>
        </r>
      </text>
    </comment>
    <comment ref="I268" authorId="2" shapeId="0" xr:uid="{00000000-0006-0000-0100-000012000000}">
      <text>
        <r>
          <rPr>
            <b/>
            <sz val="9"/>
            <color indexed="81"/>
            <rFont val="Tahoma"/>
            <family val="2"/>
          </rPr>
          <t>John:</t>
        </r>
        <r>
          <rPr>
            <sz val="9"/>
            <color indexed="81"/>
            <rFont val="Tahoma"/>
            <family val="2"/>
          </rPr>
          <t xml:space="preserve">
This is the date published in Parish et al.
</t>
        </r>
      </text>
    </comment>
    <comment ref="I269" authorId="2" shapeId="0" xr:uid="{00000000-0006-0000-0100-000013000000}">
      <text>
        <r>
          <rPr>
            <b/>
            <sz val="9"/>
            <color indexed="81"/>
            <rFont val="Tahoma"/>
            <family val="2"/>
          </rPr>
          <t>John:</t>
        </r>
        <r>
          <rPr>
            <sz val="9"/>
            <color indexed="81"/>
            <rFont val="Tahoma"/>
            <family val="2"/>
          </rPr>
          <t xml:space="preserve">
This is the date published in Xu et al.
</t>
        </r>
      </text>
    </comment>
    <comment ref="I277" authorId="1" shapeId="0" xr:uid="{00000000-0006-0000-0100-000014000000}">
      <text>
        <r>
          <rPr>
            <b/>
            <sz val="9"/>
            <color indexed="81"/>
            <rFont val="Tahoma"/>
            <family val="2"/>
          </rPr>
          <t>John (London):</t>
        </r>
        <r>
          <rPr>
            <sz val="9"/>
            <color indexed="81"/>
            <rFont val="Tahoma"/>
            <family val="2"/>
          </rPr>
          <t xml:space="preserve">
Date not reported in website; 1990 is date of publication by Chacon and others.
</t>
        </r>
      </text>
    </comment>
    <comment ref="J278" authorId="2" shapeId="0" xr:uid="{00000000-0006-0000-0100-000015000000}">
      <text>
        <r>
          <rPr>
            <b/>
            <sz val="9"/>
            <color indexed="81"/>
            <rFont val="Tahoma"/>
            <family val="2"/>
          </rPr>
          <t>John:</t>
        </r>
        <r>
          <rPr>
            <sz val="9"/>
            <color indexed="81"/>
            <rFont val="Tahoma"/>
            <family val="2"/>
          </rPr>
          <t xml:space="preserve">
This is the sample size for Costa Rica 1990:  I don't have the sample size for the 1994 survey, so use an unweighted average of these 3 surveys.</t>
        </r>
      </text>
    </comment>
    <comment ref="J279" authorId="2" shapeId="0" xr:uid="{00000000-0006-0000-0100-000016000000}">
      <text>
        <r>
          <rPr>
            <b/>
            <sz val="9"/>
            <color indexed="81"/>
            <rFont val="Tahoma"/>
            <family val="2"/>
          </rPr>
          <t>John:</t>
        </r>
        <r>
          <rPr>
            <sz val="9"/>
            <color indexed="81"/>
            <rFont val="Tahoma"/>
            <family val="2"/>
          </rPr>
          <t xml:space="preserve">
This is the sample size for Costa Rica 1990:  I don't have the sample size for 2003, so use an unweighted average of these 3 surveys.</t>
        </r>
      </text>
    </comment>
    <comment ref="Q286" authorId="1" shapeId="0" xr:uid="{00000000-0006-0000-0100-000017000000}">
      <text>
        <r>
          <rPr>
            <b/>
            <sz val="9"/>
            <color indexed="81"/>
            <rFont val="Tahoma"/>
            <family val="2"/>
          </rPr>
          <t>John (London):</t>
        </r>
        <r>
          <rPr>
            <sz val="9"/>
            <color indexed="81"/>
            <rFont val="Tahoma"/>
            <family val="2"/>
          </rPr>
          <t xml:space="preserve">
prevalence rate for last 12 months is from VAW
</t>
        </r>
      </text>
    </comment>
    <comment ref="J291" authorId="2" shapeId="0" xr:uid="{00000000-0006-0000-0100-000018000000}">
      <text>
        <r>
          <rPr>
            <b/>
            <sz val="9"/>
            <color indexed="81"/>
            <rFont val="Tahoma"/>
            <family val="2"/>
          </rPr>
          <t>John:</t>
        </r>
        <r>
          <rPr>
            <sz val="9"/>
            <color indexed="81"/>
            <rFont val="Tahoma"/>
            <family val="2"/>
          </rPr>
          <t xml:space="preserve">
I don't know the sample size for the 2004 survey, so I use the 1992 survey sample size, i.e. an unweighted average.</t>
        </r>
      </text>
    </comment>
    <comment ref="I293" authorId="2" shapeId="0" xr:uid="{00000000-0006-0000-0100-000019000000}">
      <text>
        <r>
          <rPr>
            <b/>
            <sz val="9"/>
            <color indexed="81"/>
            <rFont val="Tahoma"/>
            <family val="2"/>
          </rPr>
          <t>John:</t>
        </r>
        <r>
          <rPr>
            <sz val="9"/>
            <color indexed="81"/>
            <rFont val="Tahoma"/>
            <family val="2"/>
          </rPr>
          <t xml:space="preserve">
This is the date published in Diop-Sidibe et al.</t>
        </r>
      </text>
    </comment>
    <comment ref="Q294" authorId="1" shapeId="0" xr:uid="{00000000-0006-0000-0100-00001A000000}">
      <text>
        <r>
          <rPr>
            <b/>
            <sz val="9"/>
            <color indexed="81"/>
            <rFont val="Tahoma"/>
            <family val="2"/>
          </rPr>
          <t>John (London):</t>
        </r>
        <r>
          <rPr>
            <sz val="9"/>
            <color indexed="81"/>
            <rFont val="Tahoma"/>
            <family val="2"/>
          </rPr>
          <t xml:space="preserve">
prevalence rate for last 12 months is from VAW
</t>
        </r>
      </text>
    </comment>
    <comment ref="AD301" authorId="0" shapeId="0" xr:uid="{00000000-0006-0000-0100-00001B000000}">
      <text>
        <r>
          <rPr>
            <b/>
            <sz val="8"/>
            <color indexed="81"/>
            <rFont val="Tahoma"/>
            <family val="2"/>
          </rPr>
          <t>John Simister:</t>
        </r>
        <r>
          <rPr>
            <sz val="8"/>
            <color indexed="81"/>
            <rFont val="Tahoma"/>
            <family val="2"/>
          </rPr>
          <t xml:space="preserve">
10% in the last 3 months</t>
        </r>
      </text>
    </comment>
    <comment ref="AH301" authorId="0" shapeId="0" xr:uid="{00000000-0006-0000-0100-00001C000000}">
      <text>
        <r>
          <rPr>
            <b/>
            <sz val="8"/>
            <color indexed="81"/>
            <rFont val="Tahoma"/>
            <family val="2"/>
          </rPr>
          <t>John Simister:</t>
        </r>
        <r>
          <rPr>
            <sz val="8"/>
            <color indexed="81"/>
            <rFont val="Tahoma"/>
            <family val="2"/>
          </rPr>
          <t xml:space="preserve">
10% in the last 3 months</t>
        </r>
      </text>
    </comment>
    <comment ref="I303" authorId="2" shapeId="0" xr:uid="{00000000-0006-0000-0100-00001D000000}">
      <text>
        <r>
          <rPr>
            <b/>
            <sz val="9"/>
            <color indexed="81"/>
            <rFont val="Tahoma"/>
            <family val="2"/>
          </rPr>
          <t>John:</t>
        </r>
        <r>
          <rPr>
            <sz val="9"/>
            <color indexed="81"/>
            <rFont val="Tahoma"/>
            <family val="2"/>
          </rPr>
          <t xml:space="preserve">
This is the year of publication in Dibaba.</t>
        </r>
      </text>
    </comment>
    <comment ref="Q306" authorId="1" shapeId="0" xr:uid="{00000000-0006-0000-0100-00001E000000}">
      <text>
        <r>
          <rPr>
            <b/>
            <sz val="9"/>
            <color indexed="81"/>
            <rFont val="Tahoma"/>
            <family val="2"/>
          </rPr>
          <t>John (London):</t>
        </r>
        <r>
          <rPr>
            <sz val="9"/>
            <color indexed="81"/>
            <rFont val="Tahoma"/>
            <family val="2"/>
          </rPr>
          <t xml:space="preserve">
prevalence rate for last 12 months is from VAW
</t>
        </r>
      </text>
    </comment>
    <comment ref="I320" authorId="2" shapeId="0" xr:uid="{00000000-0006-0000-0100-00001F000000}">
      <text>
        <r>
          <rPr>
            <b/>
            <sz val="9"/>
            <color indexed="81"/>
            <rFont val="Tahoma"/>
            <family val="2"/>
          </rPr>
          <t>John:</t>
        </r>
        <r>
          <rPr>
            <sz val="9"/>
            <color indexed="81"/>
            <rFont val="Tahoma"/>
            <family val="2"/>
          </rPr>
          <t xml:space="preserve">
This is the date published in Csoboth et al.</t>
        </r>
      </text>
    </comment>
    <comment ref="AD323" authorId="0" shapeId="0" xr:uid="{00000000-0006-0000-0100-000020000000}">
      <text>
        <r>
          <rPr>
            <b/>
            <sz val="8"/>
            <color indexed="81"/>
            <rFont val="Tahoma"/>
            <family val="2"/>
          </rPr>
          <t>John Simister:</t>
        </r>
        <r>
          <rPr>
            <sz val="8"/>
            <color indexed="81"/>
            <rFont val="Tahoma"/>
            <family val="2"/>
          </rPr>
          <t xml:space="preserve">
14% is 'severe abuse', according to source b.</t>
        </r>
      </text>
    </comment>
    <comment ref="AH323" authorId="0" shapeId="0" xr:uid="{00000000-0006-0000-0100-000021000000}">
      <text>
        <r>
          <rPr>
            <b/>
            <sz val="8"/>
            <color indexed="81"/>
            <rFont val="Tahoma"/>
            <family val="2"/>
          </rPr>
          <t>John Simister:</t>
        </r>
        <r>
          <rPr>
            <sz val="8"/>
            <color indexed="81"/>
            <rFont val="Tahoma"/>
            <family val="2"/>
          </rPr>
          <t xml:space="preserve">
14% is 'severe abuse', according to source b.</t>
        </r>
      </text>
    </comment>
    <comment ref="I324" authorId="2" shapeId="0" xr:uid="{00000000-0006-0000-0100-000022000000}">
      <text>
        <r>
          <rPr>
            <b/>
            <sz val="9"/>
            <color indexed="81"/>
            <rFont val="Tahoma"/>
            <family val="2"/>
          </rPr>
          <t>John:</t>
        </r>
        <r>
          <rPr>
            <sz val="9"/>
            <color indexed="81"/>
            <rFont val="Tahoma"/>
            <family val="2"/>
          </rPr>
          <t xml:space="preserve">
This is the date published in Jain et al.</t>
        </r>
      </text>
    </comment>
    <comment ref="I328" authorId="2" shapeId="0" xr:uid="{00000000-0006-0000-0100-000023000000}">
      <text>
        <r>
          <rPr>
            <b/>
            <sz val="9"/>
            <color indexed="81"/>
            <rFont val="Tahoma"/>
            <family val="2"/>
          </rPr>
          <t>John:</t>
        </r>
        <r>
          <rPr>
            <sz val="9"/>
            <color indexed="81"/>
            <rFont val="Tahoma"/>
            <family val="2"/>
          </rPr>
          <t xml:space="preserve">
This is the date published in Krishnan et al.</t>
        </r>
      </text>
    </comment>
    <comment ref="Q334" authorId="1" shapeId="0" xr:uid="{00000000-0006-0000-0100-000024000000}">
      <text>
        <r>
          <rPr>
            <b/>
            <sz val="9"/>
            <color indexed="81"/>
            <rFont val="Tahoma"/>
            <family val="2"/>
          </rPr>
          <t>John (London):</t>
        </r>
        <r>
          <rPr>
            <sz val="9"/>
            <color indexed="81"/>
            <rFont val="Tahoma"/>
            <family val="2"/>
          </rPr>
          <t xml:space="preserve">
prevalence rate for last 12 months is from VAW</t>
        </r>
      </text>
    </comment>
    <comment ref="I339" authorId="1" shapeId="0" xr:uid="{00000000-0006-0000-0100-000025000000}">
      <text>
        <r>
          <rPr>
            <b/>
            <sz val="9"/>
            <color indexed="81"/>
            <rFont val="Tahoma"/>
            <family val="2"/>
          </rPr>
          <t>John (London):</t>
        </r>
        <r>
          <rPr>
            <sz val="9"/>
            <color indexed="81"/>
            <rFont val="Tahoma"/>
            <family val="2"/>
          </rPr>
          <t xml:space="preserve">
This is the date published by Mousavi et al.</t>
        </r>
      </text>
    </comment>
    <comment ref="I340" authorId="2" shapeId="0" xr:uid="{00000000-0006-0000-0100-000026000000}">
      <text>
        <r>
          <rPr>
            <b/>
            <sz val="9"/>
            <color indexed="81"/>
            <rFont val="Tahoma"/>
            <family val="2"/>
          </rPr>
          <t>John:</t>
        </r>
        <r>
          <rPr>
            <sz val="9"/>
            <color indexed="81"/>
            <rFont val="Tahoma"/>
            <family val="2"/>
          </rPr>
          <t xml:space="preserve">
This is the year of publication in Ghazizadeh.</t>
        </r>
      </text>
    </comment>
    <comment ref="I341" authorId="2" shapeId="0" xr:uid="{00000000-0006-0000-0100-000027000000}">
      <text>
        <r>
          <rPr>
            <b/>
            <sz val="9"/>
            <color indexed="81"/>
            <rFont val="Tahoma"/>
            <family val="2"/>
          </rPr>
          <t>John:</t>
        </r>
        <r>
          <rPr>
            <sz val="9"/>
            <color indexed="81"/>
            <rFont val="Tahoma"/>
            <family val="2"/>
          </rPr>
          <t xml:space="preserve">
This is the year of publication in Faramarzi et al.</t>
        </r>
      </text>
    </comment>
    <comment ref="I349" authorId="1" shapeId="0" xr:uid="{00000000-0006-0000-0100-000028000000}">
      <text>
        <r>
          <rPr>
            <b/>
            <sz val="9"/>
            <color indexed="81"/>
            <rFont val="Tahoma"/>
            <family val="2"/>
          </rPr>
          <t>John (London):</t>
        </r>
        <r>
          <rPr>
            <sz val="9"/>
            <color indexed="81"/>
            <rFont val="Tahoma"/>
            <family val="2"/>
          </rPr>
          <t xml:space="preserve">
2004 is the date published in Eisikovits et al
</t>
        </r>
      </text>
    </comment>
    <comment ref="I352" authorId="2" shapeId="0" xr:uid="{00000000-0006-0000-0100-000029000000}">
      <text>
        <r>
          <rPr>
            <b/>
            <sz val="9"/>
            <color indexed="81"/>
            <rFont val="Tahoma"/>
            <family val="2"/>
          </rPr>
          <t>John:</t>
        </r>
        <r>
          <rPr>
            <sz val="9"/>
            <color indexed="81"/>
            <rFont val="Tahoma"/>
            <family val="2"/>
          </rPr>
          <t xml:space="preserve">
This is the date published in Romito et al.</t>
        </r>
      </text>
    </comment>
    <comment ref="I353" authorId="2" shapeId="0" xr:uid="{00000000-0006-0000-0100-00002A000000}">
      <text>
        <r>
          <rPr>
            <b/>
            <sz val="9"/>
            <color indexed="81"/>
            <rFont val="Tahoma"/>
            <family val="2"/>
          </rPr>
          <t>John:</t>
        </r>
        <r>
          <rPr>
            <sz val="9"/>
            <color indexed="81"/>
            <rFont val="Tahoma"/>
            <family val="2"/>
          </rPr>
          <t xml:space="preserve">
This is the date published in Romito et al.</t>
        </r>
      </text>
    </comment>
    <comment ref="I356" authorId="2" shapeId="0" xr:uid="{00000000-0006-0000-0100-00002B000000}">
      <text>
        <r>
          <rPr>
            <b/>
            <sz val="9"/>
            <color indexed="81"/>
            <rFont val="Tahoma"/>
            <family val="2"/>
          </rPr>
          <t>John:</t>
        </r>
        <r>
          <rPr>
            <sz val="9"/>
            <color indexed="81"/>
            <rFont val="Tahoma"/>
            <family val="2"/>
          </rPr>
          <t xml:space="preserve">
This is the date published in Yoshihama et al.</t>
        </r>
      </text>
    </comment>
    <comment ref="I357" authorId="1" shapeId="0" xr:uid="{00000000-0006-0000-0100-00002C000000}">
      <text>
        <r>
          <rPr>
            <b/>
            <sz val="9"/>
            <color indexed="81"/>
            <rFont val="Tahoma"/>
            <family val="2"/>
          </rPr>
          <t>John (London):</t>
        </r>
        <r>
          <rPr>
            <sz val="9"/>
            <color indexed="81"/>
            <rFont val="Tahoma"/>
            <family val="2"/>
          </rPr>
          <t xml:space="preserve">
This is the date published in Kwaha &amp; Barazi.</t>
        </r>
      </text>
    </comment>
    <comment ref="Q358" authorId="1" shapeId="0" xr:uid="{00000000-0006-0000-0100-00002D000000}">
      <text>
        <r>
          <rPr>
            <b/>
            <sz val="9"/>
            <color indexed="81"/>
            <rFont val="Tahoma"/>
            <family val="2"/>
          </rPr>
          <t>John (London):</t>
        </r>
        <r>
          <rPr>
            <sz val="9"/>
            <color indexed="81"/>
            <rFont val="Tahoma"/>
            <family val="2"/>
          </rPr>
          <t xml:space="preserve">
prevalence rate for last 12 months is from VAW
</t>
        </r>
      </text>
    </comment>
    <comment ref="I363" authorId="2" shapeId="0" xr:uid="{00000000-0006-0000-0100-00002E000000}">
      <text>
        <r>
          <rPr>
            <b/>
            <sz val="9"/>
            <color indexed="81"/>
            <rFont val="Tahoma"/>
            <family val="2"/>
          </rPr>
          <t>John:</t>
        </r>
        <r>
          <rPr>
            <sz val="9"/>
            <color indexed="81"/>
            <rFont val="Tahoma"/>
            <family val="2"/>
          </rPr>
          <t xml:space="preserve">
This is the year of publication in Rosenberg et al.</t>
        </r>
      </text>
    </comment>
    <comment ref="I369" authorId="0" shapeId="0" xr:uid="{00000000-0006-0000-0100-00002F000000}">
      <text>
        <r>
          <rPr>
            <b/>
            <sz val="8"/>
            <color indexed="81"/>
            <rFont val="Tahoma"/>
            <family val="2"/>
          </rPr>
          <t>John Simister:</t>
        </r>
        <r>
          <rPr>
            <sz val="8"/>
            <color indexed="81"/>
            <rFont val="Tahoma"/>
            <family val="2"/>
          </rPr>
          <t xml:space="preserve">
No survey date reported; 1988 is the date of the Shim (1988) report, cited in Kim &amp; Cho.</t>
        </r>
      </text>
    </comment>
    <comment ref="I374" authorId="1" shapeId="0" xr:uid="{00000000-0006-0000-0100-000030000000}">
      <text>
        <r>
          <rPr>
            <b/>
            <sz val="9"/>
            <color indexed="81"/>
            <rFont val="Tahoma"/>
            <family val="2"/>
          </rPr>
          <t>John (London):</t>
        </r>
        <r>
          <rPr>
            <sz val="9"/>
            <color indexed="81"/>
            <rFont val="Tahoma"/>
            <family val="2"/>
          </rPr>
          <t xml:space="preserve">
2004 is the date published in Khawaja &amp; Tewtel-Salem.</t>
        </r>
      </text>
    </comment>
    <comment ref="I379" authorId="2" shapeId="0" xr:uid="{00000000-0006-0000-0100-000031000000}">
      <text>
        <r>
          <rPr>
            <b/>
            <sz val="9"/>
            <color indexed="81"/>
            <rFont val="Tahoma"/>
            <family val="2"/>
          </rPr>
          <t>John:</t>
        </r>
        <r>
          <rPr>
            <sz val="9"/>
            <color indexed="81"/>
            <rFont val="Tahoma"/>
            <family val="2"/>
          </rPr>
          <t xml:space="preserve">
This is year of publication in ESE 2000</t>
        </r>
      </text>
    </comment>
    <comment ref="Q387" authorId="1" shapeId="0" xr:uid="{00000000-0006-0000-0100-000032000000}">
      <text>
        <r>
          <rPr>
            <b/>
            <sz val="9"/>
            <color indexed="81"/>
            <rFont val="Tahoma"/>
            <family val="2"/>
          </rPr>
          <t>John (London):</t>
        </r>
        <r>
          <rPr>
            <sz val="9"/>
            <color indexed="81"/>
            <rFont val="Tahoma"/>
            <family val="2"/>
          </rPr>
          <t xml:space="preserve">
prevalence rate for last 12 months is from VAW
</t>
        </r>
      </text>
    </comment>
    <comment ref="I391" authorId="2" shapeId="0" xr:uid="{00000000-0006-0000-0100-000033000000}">
      <text>
        <r>
          <rPr>
            <b/>
            <sz val="9"/>
            <color indexed="81"/>
            <rFont val="Tahoma"/>
            <family val="2"/>
          </rPr>
          <t>John:</t>
        </r>
        <r>
          <rPr>
            <sz val="9"/>
            <color indexed="81"/>
            <rFont val="Tahoma"/>
            <family val="2"/>
          </rPr>
          <t xml:space="preserve">
This is the date published in Tollestrup et al.</t>
        </r>
      </text>
    </comment>
    <comment ref="I392" authorId="2" shapeId="0" xr:uid="{00000000-0006-0000-0100-000034000000}">
      <text>
        <r>
          <rPr>
            <b/>
            <sz val="9"/>
            <color indexed="81"/>
            <rFont val="Tahoma"/>
            <family val="2"/>
          </rPr>
          <t>John:</t>
        </r>
        <r>
          <rPr>
            <sz val="9"/>
            <color indexed="81"/>
            <rFont val="Tahoma"/>
            <family val="2"/>
          </rPr>
          <t xml:space="preserve">
This is the date published in Az-Olavarrieta et al.</t>
        </r>
      </text>
    </comment>
    <comment ref="I395" authorId="2" shapeId="0" xr:uid="{00000000-0006-0000-0100-000035000000}">
      <text>
        <r>
          <rPr>
            <b/>
            <sz val="9"/>
            <color indexed="81"/>
            <rFont val="Tahoma"/>
            <family val="2"/>
          </rPr>
          <t>John:</t>
        </r>
        <r>
          <rPr>
            <sz val="9"/>
            <color indexed="81"/>
            <rFont val="Tahoma"/>
            <family val="2"/>
          </rPr>
          <t xml:space="preserve">
This is the date published by River-Rivera et al.</t>
        </r>
      </text>
    </comment>
    <comment ref="J402" authorId="2" shapeId="0" xr:uid="{00000000-0006-0000-0100-000036000000}">
      <text>
        <r>
          <rPr>
            <b/>
            <sz val="9"/>
            <color indexed="81"/>
            <rFont val="Tahoma"/>
            <family val="2"/>
          </rPr>
          <t>John:</t>
        </r>
        <r>
          <rPr>
            <sz val="9"/>
            <color indexed="81"/>
            <rFont val="Tahoma"/>
            <family val="2"/>
          </rPr>
          <t xml:space="preserve">
This is the sample size for Mozambique 2002:  I don't have the sample size for 2004, so use an unweighted average of these 2 surveys.</t>
        </r>
      </text>
    </comment>
    <comment ref="I403" authorId="2" shapeId="0" xr:uid="{00000000-0006-0000-0100-000037000000}">
      <text>
        <r>
          <rPr>
            <b/>
            <sz val="9"/>
            <color indexed="81"/>
            <rFont val="Tahoma"/>
            <family val="2"/>
          </rPr>
          <t>John:</t>
        </r>
        <r>
          <rPr>
            <sz val="9"/>
            <color indexed="81"/>
            <rFont val="Tahoma"/>
            <family val="2"/>
          </rPr>
          <t xml:space="preserve">
This is the date published in Kyu &amp; Kana.</t>
        </r>
      </text>
    </comment>
    <comment ref="I412" authorId="1" shapeId="0" xr:uid="{00000000-0006-0000-0100-000038000000}">
      <text>
        <r>
          <rPr>
            <b/>
            <sz val="9"/>
            <color indexed="81"/>
            <rFont val="Tahoma"/>
            <family val="2"/>
          </rPr>
          <t>John (London):</t>
        </r>
        <r>
          <rPr>
            <sz val="9"/>
            <color indexed="81"/>
            <rFont val="Tahoma"/>
            <family val="2"/>
          </rPr>
          <t xml:space="preserve">
This is the date published in Koziol-McLain et al
</t>
        </r>
      </text>
    </comment>
    <comment ref="I421" authorId="1" shapeId="0" xr:uid="{00000000-0006-0000-0100-000039000000}">
      <text>
        <r>
          <rPr>
            <b/>
            <sz val="9"/>
            <color indexed="81"/>
            <rFont val="Tahoma"/>
            <family val="2"/>
          </rPr>
          <t>John (London):</t>
        </r>
        <r>
          <rPr>
            <sz val="9"/>
            <color indexed="81"/>
            <rFont val="Tahoma"/>
            <family val="2"/>
          </rPr>
          <t xml:space="preserve">
This is the date in Llika et al</t>
        </r>
      </text>
    </comment>
    <comment ref="I423" authorId="1" shapeId="0" xr:uid="{00000000-0006-0000-0100-00003A000000}">
      <text>
        <r>
          <rPr>
            <b/>
            <sz val="9"/>
            <color indexed="81"/>
            <rFont val="Tahoma"/>
            <family val="2"/>
          </rPr>
          <t>John (London):</t>
        </r>
        <r>
          <rPr>
            <sz val="9"/>
            <color indexed="81"/>
            <rFont val="Tahoma"/>
            <family val="2"/>
          </rPr>
          <t xml:space="preserve">
2005 is the date published by Fawole et al.
</t>
        </r>
      </text>
    </comment>
    <comment ref="I429" authorId="2" shapeId="0" xr:uid="{00000000-0006-0000-0100-00003B000000}">
      <text>
        <r>
          <rPr>
            <b/>
            <sz val="9"/>
            <color indexed="81"/>
            <rFont val="Tahoma"/>
            <family val="2"/>
          </rPr>
          <t>John:</t>
        </r>
        <r>
          <rPr>
            <sz val="9"/>
            <color indexed="81"/>
            <rFont val="Tahoma"/>
            <family val="2"/>
          </rPr>
          <t xml:space="preserve">
This is the date published in Shaikh et al.
</t>
        </r>
      </text>
    </comment>
    <comment ref="I430" authorId="1" shapeId="0" xr:uid="{00000000-0006-0000-0100-00003C000000}">
      <text>
        <r>
          <rPr>
            <b/>
            <sz val="9"/>
            <color indexed="81"/>
            <rFont val="Tahoma"/>
            <family val="2"/>
          </rPr>
          <t>John (London):</t>
        </r>
        <r>
          <rPr>
            <sz val="9"/>
            <color indexed="81"/>
            <rFont val="Tahoma"/>
            <family val="2"/>
          </rPr>
          <t xml:space="preserve">
This is the year of publication in Fikree &amp; Bhatti.
</t>
        </r>
      </text>
    </comment>
    <comment ref="I444" authorId="2" shapeId="0" xr:uid="{00000000-0006-0000-0100-00003D000000}">
      <text>
        <r>
          <rPr>
            <b/>
            <sz val="9"/>
            <color indexed="81"/>
            <rFont val="Tahoma"/>
            <family val="2"/>
          </rPr>
          <t>John:</t>
        </r>
        <r>
          <rPr>
            <sz val="9"/>
            <color indexed="81"/>
            <rFont val="Tahoma"/>
            <family val="2"/>
          </rPr>
          <t xml:space="preserve">
This is the date published by Serquina-Ramiro et al.</t>
        </r>
      </text>
    </comment>
    <comment ref="Z453" authorId="2" shapeId="0" xr:uid="{00000000-0006-0000-0100-00003E000000}">
      <text>
        <r>
          <rPr>
            <b/>
            <sz val="9"/>
            <color indexed="81"/>
            <rFont val="Tahoma"/>
            <family val="2"/>
          </rPr>
          <t>John:</t>
        </r>
        <r>
          <rPr>
            <sz val="9"/>
            <color indexed="81"/>
            <rFont val="Tahoma"/>
            <family val="2"/>
          </rPr>
          <t xml:space="preserve">
17.8% for any GBV (verbal, physical, sexual)</t>
        </r>
      </text>
    </comment>
    <comment ref="Y454" authorId="2" shapeId="0" xr:uid="{00000000-0006-0000-0100-00003F000000}">
      <text>
        <r>
          <rPr>
            <b/>
            <sz val="9"/>
            <color indexed="81"/>
            <rFont val="Tahoma"/>
            <family val="2"/>
          </rPr>
          <t>John:</t>
        </r>
        <r>
          <rPr>
            <sz val="9"/>
            <color indexed="81"/>
            <rFont val="Tahoma"/>
            <family val="2"/>
          </rPr>
          <t xml:space="preserve">
This seems to be a mistake in source au:  only 3.1% experienced sexual IPV, and 15.1%+3.1% can't equal 28.5%.
</t>
        </r>
      </text>
    </comment>
    <comment ref="X457" authorId="2" shapeId="0" xr:uid="{00000000-0006-0000-0100-000040000000}">
      <text>
        <r>
          <rPr>
            <b/>
            <sz val="9"/>
            <color indexed="81"/>
            <rFont val="Tahoma"/>
            <family val="2"/>
          </rPr>
          <t>John:</t>
        </r>
        <r>
          <rPr>
            <sz val="9"/>
            <color indexed="81"/>
            <rFont val="Tahoma"/>
            <family val="2"/>
          </rPr>
          <t xml:space="preserve">
This is 'slapped, beaten, or physical brutalities'; on page 30, other types of GBV are mentioned - so the true prevalence rate may be more than 26%.
</t>
        </r>
      </text>
    </comment>
    <comment ref="I476" authorId="1" shapeId="0" xr:uid="{00000000-0006-0000-0100-000041000000}">
      <text>
        <r>
          <rPr>
            <b/>
            <sz val="9"/>
            <color indexed="81"/>
            <rFont val="Tahoma"/>
            <family val="2"/>
          </rPr>
          <t>John (London):</t>
        </r>
        <r>
          <rPr>
            <sz val="9"/>
            <color indexed="81"/>
            <rFont val="Tahoma"/>
            <family val="2"/>
          </rPr>
          <t xml:space="preserve">
This is the date in Jewkes et al.</t>
        </r>
      </text>
    </comment>
    <comment ref="I479" authorId="2" shapeId="0" xr:uid="{00000000-0006-0000-0100-000042000000}">
      <text>
        <r>
          <rPr>
            <b/>
            <sz val="9"/>
            <color indexed="81"/>
            <rFont val="Tahoma"/>
            <family val="2"/>
          </rPr>
          <t>John:</t>
        </r>
        <r>
          <rPr>
            <sz val="9"/>
            <color indexed="81"/>
            <rFont val="Tahoma"/>
            <family val="2"/>
          </rPr>
          <t xml:space="preserve">
This is the date published in Medina et al.</t>
        </r>
      </text>
    </comment>
    <comment ref="I480" authorId="2" shapeId="0" xr:uid="{00000000-0006-0000-0100-000043000000}">
      <text>
        <r>
          <rPr>
            <b/>
            <sz val="9"/>
            <color indexed="81"/>
            <rFont val="Tahoma"/>
            <family val="2"/>
          </rPr>
          <t>John:</t>
        </r>
        <r>
          <rPr>
            <sz val="9"/>
            <color indexed="81"/>
            <rFont val="Tahoma"/>
            <family val="2"/>
          </rPr>
          <t xml:space="preserve">
This is the date published by Ruiz-Perez et al.</t>
        </r>
      </text>
    </comment>
    <comment ref="J481" authorId="2" shapeId="0" xr:uid="{00000000-0006-0000-0100-000044000000}">
      <text>
        <r>
          <rPr>
            <b/>
            <sz val="9"/>
            <color indexed="81"/>
            <rFont val="Tahoma"/>
            <family val="2"/>
          </rPr>
          <t>John:</t>
        </r>
        <r>
          <rPr>
            <sz val="9"/>
            <color indexed="81"/>
            <rFont val="Tahoma"/>
            <family val="2"/>
          </rPr>
          <t xml:space="preserve">
This is all women;  I ignore GBV prevalence among immigrant women, but I don't know how many of these women are immigrants</t>
        </r>
      </text>
    </comment>
    <comment ref="I482" authorId="2" shapeId="0" xr:uid="{00000000-0006-0000-0100-000045000000}">
      <text>
        <r>
          <rPr>
            <b/>
            <sz val="9"/>
            <color indexed="81"/>
            <rFont val="Tahoma"/>
            <family val="2"/>
          </rPr>
          <t>John:</t>
        </r>
        <r>
          <rPr>
            <sz val="9"/>
            <color indexed="81"/>
            <rFont val="Tahoma"/>
            <family val="2"/>
          </rPr>
          <t xml:space="preserve">
This the year of publication.  I don't know the year of the survey.
</t>
        </r>
      </text>
    </comment>
    <comment ref="I483" authorId="2" shapeId="0" xr:uid="{00000000-0006-0000-0100-000046000000}">
      <text>
        <r>
          <rPr>
            <b/>
            <sz val="9"/>
            <color indexed="81"/>
            <rFont val="Tahoma"/>
            <family val="2"/>
          </rPr>
          <t>John:</t>
        </r>
        <r>
          <rPr>
            <sz val="9"/>
            <color indexed="81"/>
            <rFont val="Tahoma"/>
            <family val="2"/>
          </rPr>
          <t xml:space="preserve">
This the year of publication.  I don't know the year of the survey.
</t>
        </r>
      </text>
    </comment>
    <comment ref="I484" authorId="2" shapeId="0" xr:uid="{00000000-0006-0000-0100-000047000000}">
      <text>
        <r>
          <rPr>
            <b/>
            <sz val="9"/>
            <color indexed="81"/>
            <rFont val="Tahoma"/>
            <family val="2"/>
          </rPr>
          <t>John:</t>
        </r>
        <r>
          <rPr>
            <sz val="9"/>
            <color indexed="81"/>
            <rFont val="Tahoma"/>
            <family val="2"/>
          </rPr>
          <t xml:space="preserve">
This the year of publication.  I don't know the year of the survey.
</t>
        </r>
      </text>
    </comment>
    <comment ref="AD484" authorId="2" shapeId="0" xr:uid="{00000000-0006-0000-0100-000048000000}">
      <text>
        <r>
          <rPr>
            <b/>
            <sz val="9"/>
            <color indexed="81"/>
            <rFont val="Tahoma"/>
            <family val="2"/>
          </rPr>
          <t>John:</t>
        </r>
        <r>
          <rPr>
            <sz val="9"/>
            <color indexed="81"/>
            <rFont val="Tahoma"/>
            <family val="2"/>
          </rPr>
          <t xml:space="preserve">
"current abuse" - this may mean the last 12 months, but I don't know.</t>
        </r>
      </text>
    </comment>
    <comment ref="AH484" authorId="2" shapeId="0" xr:uid="{00000000-0006-0000-0100-000049000000}">
      <text>
        <r>
          <rPr>
            <b/>
            <sz val="9"/>
            <color indexed="81"/>
            <rFont val="Tahoma"/>
            <family val="2"/>
          </rPr>
          <t>John:</t>
        </r>
        <r>
          <rPr>
            <sz val="9"/>
            <color indexed="81"/>
            <rFont val="Tahoma"/>
            <family val="2"/>
          </rPr>
          <t xml:space="preserve">
"current abuse" - this may mean the last 12 months, but I don't know.</t>
        </r>
      </text>
    </comment>
    <comment ref="I488" authorId="1" shapeId="0" xr:uid="{00000000-0006-0000-0100-00004A000000}">
      <text>
        <r>
          <rPr>
            <b/>
            <sz val="9"/>
            <color indexed="81"/>
            <rFont val="Tahoma"/>
            <family val="2"/>
          </rPr>
          <t>John (London):</t>
        </r>
        <r>
          <rPr>
            <sz val="9"/>
            <color indexed="81"/>
            <rFont val="Tahoma"/>
            <family val="2"/>
          </rPr>
          <t xml:space="preserve">
This is the date published in Swahnberg et al
</t>
        </r>
      </text>
    </comment>
    <comment ref="I489" authorId="1" shapeId="0" xr:uid="{00000000-0006-0000-0100-00004B000000}">
      <text>
        <r>
          <rPr>
            <b/>
            <sz val="9"/>
            <color indexed="81"/>
            <rFont val="Tahoma"/>
            <family val="2"/>
          </rPr>
          <t>John (London):</t>
        </r>
        <r>
          <rPr>
            <sz val="9"/>
            <color indexed="81"/>
            <rFont val="Tahoma"/>
            <family val="2"/>
          </rPr>
          <t xml:space="preserve">
This is the date published in Hedin et al.
</t>
        </r>
      </text>
    </comment>
    <comment ref="I490" authorId="1" shapeId="0" xr:uid="{00000000-0006-0000-0100-00004C000000}">
      <text>
        <r>
          <rPr>
            <b/>
            <sz val="9"/>
            <color indexed="81"/>
            <rFont val="Tahoma"/>
            <family val="2"/>
          </rPr>
          <t>John (London):</t>
        </r>
        <r>
          <rPr>
            <sz val="9"/>
            <color indexed="81"/>
            <rFont val="Tahoma"/>
            <family val="2"/>
          </rPr>
          <t xml:space="preserve">
This is the date published in Swahnberg et al
</t>
        </r>
      </text>
    </comment>
    <comment ref="I493" authorId="1" shapeId="0" xr:uid="{00000000-0006-0000-0100-00004D000000}">
      <text>
        <r>
          <rPr>
            <b/>
            <sz val="9"/>
            <color indexed="81"/>
            <rFont val="Tahoma"/>
            <family val="2"/>
          </rPr>
          <t>John (London):</t>
        </r>
        <r>
          <rPr>
            <sz val="9"/>
            <color indexed="81"/>
            <rFont val="Tahoma"/>
            <family val="2"/>
          </rPr>
          <t xml:space="preserve">
2003 is the date published in Maziak &amp; Asfar.</t>
        </r>
      </text>
    </comment>
    <comment ref="I495" authorId="2" shapeId="0" xr:uid="{00000000-0006-0000-0100-00004E000000}">
      <text>
        <r>
          <rPr>
            <b/>
            <sz val="9"/>
            <color indexed="81"/>
            <rFont val="Tahoma"/>
            <family val="2"/>
          </rPr>
          <t>This is the date published by WHO</t>
        </r>
      </text>
    </comment>
    <comment ref="J495" authorId="2" shapeId="0" xr:uid="{00000000-0006-0000-0100-00004F000000}">
      <text>
        <r>
          <rPr>
            <b/>
            <sz val="9"/>
            <color indexed="81"/>
            <rFont val="Tahoma"/>
            <family val="2"/>
          </rPr>
          <t>John:</t>
        </r>
        <r>
          <rPr>
            <sz val="9"/>
            <color indexed="81"/>
            <rFont val="Tahoma"/>
            <family val="2"/>
          </rPr>
          <t xml:space="preserve">
I don't know this sample size, so use the sample size from the 2005 survey to give an unweighted average.</t>
        </r>
      </text>
    </comment>
    <comment ref="I497" authorId="1" shapeId="0" xr:uid="{00000000-0006-0000-0100-000050000000}">
      <text>
        <r>
          <rPr>
            <b/>
            <sz val="9"/>
            <color indexed="81"/>
            <rFont val="Tahoma"/>
            <family val="2"/>
          </rPr>
          <t>John (London):</t>
        </r>
        <r>
          <rPr>
            <sz val="9"/>
            <color indexed="81"/>
            <rFont val="Tahoma"/>
            <family val="2"/>
          </rPr>
          <t xml:space="preserve">
1990 is the year of publication in Sheikh-Hashim &amp; Gabba
</t>
        </r>
      </text>
    </comment>
    <comment ref="I500" authorId="2" shapeId="0" xr:uid="{00000000-0006-0000-0100-000051000000}">
      <text>
        <r>
          <rPr>
            <b/>
            <sz val="9"/>
            <color indexed="81"/>
            <rFont val="Tahoma"/>
            <family val="2"/>
          </rPr>
          <t>John:</t>
        </r>
        <r>
          <rPr>
            <sz val="9"/>
            <color indexed="81"/>
            <rFont val="Tahoma"/>
            <family val="2"/>
          </rPr>
          <t xml:space="preserve">
This is the date published in McCloskey et al.</t>
        </r>
      </text>
    </comment>
    <comment ref="I506" authorId="2" shapeId="0" xr:uid="{00000000-0006-0000-0100-000052000000}">
      <text>
        <r>
          <rPr>
            <b/>
            <sz val="9"/>
            <color indexed="81"/>
            <rFont val="Tahoma"/>
            <family val="2"/>
          </rPr>
          <t>John:</t>
        </r>
        <r>
          <rPr>
            <sz val="9"/>
            <color indexed="81"/>
            <rFont val="Tahoma"/>
            <family val="2"/>
          </rPr>
          <t xml:space="preserve">
This is the year of publication in Nagassar et al.</t>
        </r>
      </text>
    </comment>
    <comment ref="I509" authorId="1" shapeId="0" xr:uid="{00000000-0006-0000-0100-000053000000}">
      <text>
        <r>
          <rPr>
            <b/>
            <sz val="9"/>
            <color indexed="81"/>
            <rFont val="Tahoma"/>
            <family val="2"/>
          </rPr>
          <t>John (London):</t>
        </r>
        <r>
          <rPr>
            <sz val="9"/>
            <color indexed="81"/>
            <rFont val="Tahoma"/>
            <family val="2"/>
          </rPr>
          <t xml:space="preserve">
This is the date published in Sahin &amp; Sahin.</t>
        </r>
      </text>
    </comment>
    <comment ref="I510" authorId="1" shapeId="0" xr:uid="{00000000-0006-0000-0100-000054000000}">
      <text>
        <r>
          <rPr>
            <b/>
            <sz val="9"/>
            <color indexed="81"/>
            <rFont val="Tahoma"/>
            <family val="2"/>
          </rPr>
          <t>John (London):</t>
        </r>
        <r>
          <rPr>
            <sz val="9"/>
            <color indexed="81"/>
            <rFont val="Tahoma"/>
            <family val="2"/>
          </rPr>
          <t xml:space="preserve">
This is the date published in Apler et al.</t>
        </r>
      </text>
    </comment>
    <comment ref="I511" authorId="1" shapeId="0" xr:uid="{00000000-0006-0000-0100-000055000000}">
      <text>
        <r>
          <rPr>
            <b/>
            <sz val="9"/>
            <color indexed="81"/>
            <rFont val="Tahoma"/>
            <family val="2"/>
          </rPr>
          <t>John (London):</t>
        </r>
        <r>
          <rPr>
            <sz val="9"/>
            <color indexed="81"/>
            <rFont val="Tahoma"/>
            <family val="2"/>
          </rPr>
          <t xml:space="preserve">
This is the date published in Mayda &amp; Akkus.</t>
        </r>
      </text>
    </comment>
    <comment ref="I512" authorId="1" shapeId="0" xr:uid="{00000000-0006-0000-0100-000056000000}">
      <text>
        <r>
          <rPr>
            <b/>
            <sz val="9"/>
            <color indexed="81"/>
            <rFont val="Tahoma"/>
            <family val="2"/>
          </rPr>
          <t>John (London):</t>
        </r>
        <r>
          <rPr>
            <sz val="9"/>
            <color indexed="81"/>
            <rFont val="Tahoma"/>
            <family val="2"/>
          </rPr>
          <t xml:space="preserve">
This is the date published in Ergin et al.</t>
        </r>
      </text>
    </comment>
    <comment ref="I513" authorId="1" shapeId="0" xr:uid="{00000000-0006-0000-0100-000057000000}">
      <text>
        <r>
          <rPr>
            <b/>
            <sz val="9"/>
            <color indexed="81"/>
            <rFont val="Tahoma"/>
            <family val="2"/>
          </rPr>
          <t>John (London):</t>
        </r>
        <r>
          <rPr>
            <sz val="9"/>
            <color indexed="81"/>
            <rFont val="Tahoma"/>
            <family val="2"/>
          </rPr>
          <t xml:space="preserve">
This is the date published in Kocacik et al.</t>
        </r>
      </text>
    </comment>
    <comment ref="I515" authorId="1" shapeId="0" xr:uid="{00000000-0006-0000-0100-000058000000}">
      <text>
        <r>
          <rPr>
            <b/>
            <sz val="9"/>
            <color indexed="81"/>
            <rFont val="Tahoma"/>
            <family val="2"/>
          </rPr>
          <t>John (London):</t>
        </r>
        <r>
          <rPr>
            <sz val="9"/>
            <color indexed="81"/>
            <rFont val="Tahoma"/>
            <family val="2"/>
          </rPr>
          <t xml:space="preserve">
1991 is the year of publication in Wakabi &amp; Mwesigye.</t>
        </r>
      </text>
    </comment>
    <comment ref="I520" authorId="2" shapeId="0" xr:uid="{00000000-0006-0000-0100-000059000000}">
      <text>
        <r>
          <rPr>
            <b/>
            <sz val="9"/>
            <color indexed="81"/>
            <rFont val="Tahoma"/>
            <family val="2"/>
          </rPr>
          <t>John:</t>
        </r>
        <r>
          <rPr>
            <sz val="9"/>
            <color indexed="81"/>
            <rFont val="Tahoma"/>
            <family val="2"/>
          </rPr>
          <t xml:space="preserve">
This is the date pubished by KIIS</t>
        </r>
      </text>
    </comment>
    <comment ref="Q521" authorId="1" shapeId="0" xr:uid="{00000000-0006-0000-0100-00005A000000}">
      <text>
        <r>
          <rPr>
            <b/>
            <sz val="9"/>
            <color indexed="81"/>
            <rFont val="Tahoma"/>
            <family val="2"/>
          </rPr>
          <t>John (London):</t>
        </r>
        <r>
          <rPr>
            <sz val="9"/>
            <color indexed="81"/>
            <rFont val="Tahoma"/>
            <family val="2"/>
          </rPr>
          <t xml:space="preserve">
prevalence rate for last 12 months is from VAW
</t>
        </r>
      </text>
    </comment>
    <comment ref="I524" authorId="2" shapeId="0" xr:uid="{00000000-0006-0000-0100-00005B000000}">
      <text>
        <r>
          <rPr>
            <b/>
            <sz val="9"/>
            <color indexed="81"/>
            <rFont val="Tahoma"/>
            <family val="2"/>
          </rPr>
          <t>John:</t>
        </r>
        <r>
          <rPr>
            <sz val="9"/>
            <color indexed="81"/>
            <rFont val="Tahoma"/>
            <family val="2"/>
          </rPr>
          <t xml:space="preserve">
This is the date published in John et al.</t>
        </r>
      </text>
    </comment>
    <comment ref="I527" authorId="1" shapeId="0" xr:uid="{00000000-0006-0000-0100-00005C000000}">
      <text>
        <r>
          <rPr>
            <b/>
            <sz val="9"/>
            <color indexed="81"/>
            <rFont val="Tahoma"/>
            <family val="2"/>
          </rPr>
          <t>John (London):</t>
        </r>
        <r>
          <rPr>
            <sz val="9"/>
            <color indexed="81"/>
            <rFont val="Tahoma"/>
            <family val="2"/>
          </rPr>
          <t xml:space="preserve">
1986 is the year of publication in Straus &amp; Gellas.</t>
        </r>
      </text>
    </comment>
    <comment ref="I530" authorId="2" shapeId="0" xr:uid="{00000000-0006-0000-0100-00005D000000}">
      <text>
        <r>
          <rPr>
            <b/>
            <sz val="9"/>
            <color indexed="81"/>
            <rFont val="Tahoma"/>
            <family val="2"/>
          </rPr>
          <t>John:</t>
        </r>
        <r>
          <rPr>
            <sz val="9"/>
            <color indexed="81"/>
            <rFont val="Tahoma"/>
            <family val="2"/>
          </rPr>
          <t xml:space="preserve">
This is the date published in Koziol-McLain et al.</t>
        </r>
      </text>
    </comment>
    <comment ref="I531" authorId="2" shapeId="0" xr:uid="{00000000-0006-0000-0100-00005E000000}">
      <text>
        <r>
          <rPr>
            <b/>
            <sz val="9"/>
            <color indexed="81"/>
            <rFont val="Tahoma"/>
            <family val="2"/>
          </rPr>
          <t>John:</t>
        </r>
        <r>
          <rPr>
            <sz val="9"/>
            <color indexed="81"/>
            <rFont val="Tahoma"/>
            <family val="2"/>
          </rPr>
          <t xml:space="preserve">
This is the date published in Jones et al.</t>
        </r>
      </text>
    </comment>
    <comment ref="I532" authorId="2" shapeId="0" xr:uid="{00000000-0006-0000-0100-00005F000000}">
      <text>
        <r>
          <rPr>
            <b/>
            <sz val="9"/>
            <color indexed="81"/>
            <rFont val="Tahoma"/>
            <family val="2"/>
          </rPr>
          <t>John:</t>
        </r>
        <r>
          <rPr>
            <sz val="9"/>
            <color indexed="81"/>
            <rFont val="Tahoma"/>
            <family val="2"/>
          </rPr>
          <t xml:space="preserve">
This is the date published in CDC.</t>
        </r>
      </text>
    </comment>
    <comment ref="I533" authorId="1" shapeId="0" xr:uid="{00000000-0006-0000-0100-000060000000}">
      <text>
        <r>
          <rPr>
            <b/>
            <sz val="9"/>
            <color indexed="81"/>
            <rFont val="Tahoma"/>
            <family val="2"/>
          </rPr>
          <t>John (London):</t>
        </r>
        <r>
          <rPr>
            <sz val="9"/>
            <color indexed="81"/>
            <rFont val="Tahoma"/>
            <family val="2"/>
          </rPr>
          <t xml:space="preserve">
This is the date published by Harwell &amp; Spence</t>
        </r>
      </text>
    </comment>
    <comment ref="I534" authorId="1" shapeId="0" xr:uid="{00000000-0006-0000-0100-000061000000}">
      <text>
        <r>
          <rPr>
            <b/>
            <sz val="9"/>
            <color indexed="81"/>
            <rFont val="Tahoma"/>
            <family val="2"/>
          </rPr>
          <t>John (London):</t>
        </r>
        <r>
          <rPr>
            <sz val="9"/>
            <color indexed="81"/>
            <rFont val="Tahoma"/>
            <family val="2"/>
          </rPr>
          <t xml:space="preserve">
This is the date published by Coker et al.
</t>
        </r>
      </text>
    </comment>
    <comment ref="I535" authorId="1" shapeId="0" xr:uid="{00000000-0006-0000-0100-000062000000}">
      <text>
        <r>
          <rPr>
            <b/>
            <sz val="9"/>
            <color indexed="81"/>
            <rFont val="Tahoma"/>
            <family val="2"/>
          </rPr>
          <t>John (London):</t>
        </r>
        <r>
          <rPr>
            <sz val="9"/>
            <color indexed="81"/>
            <rFont val="Tahoma"/>
            <family val="2"/>
          </rPr>
          <t xml:space="preserve">
Year of publication in Augenbraum et al.
</t>
        </r>
      </text>
    </comment>
    <comment ref="I536" authorId="1" shapeId="0" xr:uid="{00000000-0006-0000-0100-000063000000}">
      <text>
        <r>
          <rPr>
            <b/>
            <sz val="9"/>
            <color indexed="81"/>
            <rFont val="Tahoma"/>
            <family val="2"/>
          </rPr>
          <t>John (London):</t>
        </r>
        <r>
          <rPr>
            <sz val="9"/>
            <color indexed="81"/>
            <rFont val="Tahoma"/>
            <family val="2"/>
          </rPr>
          <t xml:space="preserve">
Year of publication in Plichta &amp; Falik
</t>
        </r>
      </text>
    </comment>
    <comment ref="I537" authorId="1" shapeId="0" xr:uid="{00000000-0006-0000-0100-000064000000}">
      <text>
        <r>
          <rPr>
            <b/>
            <sz val="9"/>
            <color indexed="81"/>
            <rFont val="Tahoma"/>
            <family val="2"/>
          </rPr>
          <t>John (London):</t>
        </r>
        <r>
          <rPr>
            <sz val="9"/>
            <color indexed="81"/>
            <rFont val="Tahoma"/>
            <family val="2"/>
          </rPr>
          <t xml:space="preserve">
Year of publication in Lown et al.
</t>
        </r>
      </text>
    </comment>
    <comment ref="I538" authorId="1" shapeId="0" xr:uid="{00000000-0006-0000-0100-000065000000}">
      <text>
        <r>
          <rPr>
            <b/>
            <sz val="9"/>
            <color indexed="81"/>
            <rFont val="Tahoma"/>
            <family val="2"/>
          </rPr>
          <t>John (London):</t>
        </r>
        <r>
          <rPr>
            <sz val="9"/>
            <color indexed="81"/>
            <rFont val="Tahoma"/>
            <family val="2"/>
          </rPr>
          <t xml:space="preserve">
Year of publication in Bauer et al.
</t>
        </r>
      </text>
    </comment>
    <comment ref="I539" authorId="2" shapeId="0" xr:uid="{00000000-0006-0000-0100-000066000000}">
      <text>
        <r>
          <rPr>
            <b/>
            <sz val="9"/>
            <color indexed="81"/>
            <rFont val="Tahoma"/>
            <family val="2"/>
          </rPr>
          <t>John:</t>
        </r>
        <r>
          <rPr>
            <sz val="9"/>
            <color indexed="81"/>
            <rFont val="Tahoma"/>
            <family val="2"/>
          </rPr>
          <t xml:space="preserve">
This is the date published in Lown &amp; Vega.</t>
        </r>
      </text>
    </comment>
    <comment ref="I540" authorId="1" shapeId="0" xr:uid="{00000000-0006-0000-0100-000067000000}">
      <text>
        <r>
          <rPr>
            <b/>
            <sz val="9"/>
            <color indexed="81"/>
            <rFont val="Tahoma"/>
            <family val="2"/>
          </rPr>
          <t>John (London):</t>
        </r>
        <r>
          <rPr>
            <sz val="9"/>
            <color indexed="81"/>
            <rFont val="Tahoma"/>
            <family val="2"/>
          </rPr>
          <t xml:space="preserve">
Year of publication in Weinbaum et al
</t>
        </r>
      </text>
    </comment>
    <comment ref="I541" authorId="1" shapeId="0" xr:uid="{00000000-0006-0000-0100-000068000000}">
      <text>
        <r>
          <rPr>
            <b/>
            <sz val="9"/>
            <color indexed="81"/>
            <rFont val="Tahoma"/>
            <family val="2"/>
          </rPr>
          <t>John (London):</t>
        </r>
        <r>
          <rPr>
            <sz val="9"/>
            <color indexed="81"/>
            <rFont val="Tahoma"/>
            <family val="2"/>
          </rPr>
          <t xml:space="preserve">
Year of publication in Coker et al
</t>
        </r>
      </text>
    </comment>
    <comment ref="I542" authorId="1" shapeId="0" xr:uid="{00000000-0006-0000-0100-000069000000}">
      <text>
        <r>
          <rPr>
            <b/>
            <sz val="9"/>
            <color indexed="81"/>
            <rFont val="Tahoma"/>
            <family val="2"/>
          </rPr>
          <t>John (London):</t>
        </r>
        <r>
          <rPr>
            <sz val="9"/>
            <color indexed="81"/>
            <rFont val="Tahoma"/>
            <family val="2"/>
          </rPr>
          <t xml:space="preserve">
Year of publication in CDC
</t>
        </r>
      </text>
    </comment>
    <comment ref="I544" authorId="1" shapeId="0" xr:uid="{00000000-0006-0000-0100-00006A000000}">
      <text>
        <r>
          <rPr>
            <b/>
            <sz val="9"/>
            <color indexed="81"/>
            <rFont val="Tahoma"/>
            <family val="2"/>
          </rPr>
          <t>John (London):</t>
        </r>
        <r>
          <rPr>
            <sz val="9"/>
            <color indexed="81"/>
            <rFont val="Tahoma"/>
            <family val="2"/>
          </rPr>
          <t xml:space="preserve">
Year of publication in Murty et al
</t>
        </r>
      </text>
    </comment>
    <comment ref="I545" authorId="1" shapeId="0" xr:uid="{00000000-0006-0000-0100-00006B000000}">
      <text>
        <r>
          <rPr>
            <b/>
            <sz val="9"/>
            <color indexed="81"/>
            <rFont val="Tahoma"/>
            <family val="2"/>
          </rPr>
          <t>John (London):</t>
        </r>
        <r>
          <rPr>
            <sz val="9"/>
            <color indexed="81"/>
            <rFont val="Tahoma"/>
            <family val="2"/>
          </rPr>
          <t xml:space="preserve">
Year of publication in Bensley et al
</t>
        </r>
      </text>
    </comment>
    <comment ref="I546" authorId="1" shapeId="0" xr:uid="{00000000-0006-0000-0100-00006C000000}">
      <text>
        <r>
          <rPr>
            <b/>
            <sz val="9"/>
            <color indexed="81"/>
            <rFont val="Tahoma"/>
            <family val="2"/>
          </rPr>
          <t>John (London):</t>
        </r>
        <r>
          <rPr>
            <sz val="9"/>
            <color indexed="81"/>
            <rFont val="Tahoma"/>
            <family val="2"/>
          </rPr>
          <t xml:space="preserve">
Year of publication in Evans-Campbell et al
</t>
        </r>
      </text>
    </comment>
    <comment ref="I547" authorId="1" shapeId="0" xr:uid="{00000000-0006-0000-0100-00006D000000}">
      <text>
        <r>
          <rPr>
            <b/>
            <sz val="9"/>
            <color indexed="81"/>
            <rFont val="Tahoma"/>
            <family val="2"/>
          </rPr>
          <t>John (London):</t>
        </r>
        <r>
          <rPr>
            <sz val="9"/>
            <color indexed="81"/>
            <rFont val="Tahoma"/>
            <family val="2"/>
          </rPr>
          <t xml:space="preserve">
Year of publication in Seedat et al
</t>
        </r>
      </text>
    </comment>
    <comment ref="I555" authorId="1" shapeId="0" xr:uid="{00000000-0006-0000-0100-00006E000000}">
      <text>
        <r>
          <rPr>
            <b/>
            <sz val="9"/>
            <color indexed="81"/>
            <rFont val="Tahoma"/>
            <family val="2"/>
          </rPr>
          <t>John (London):</t>
        </r>
        <r>
          <rPr>
            <sz val="9"/>
            <color indexed="81"/>
            <rFont val="Tahoma"/>
            <family val="2"/>
          </rPr>
          <t xml:space="preserve">
1992 is the year of publication in Phiri.</t>
        </r>
      </text>
    </comment>
    <comment ref="I564" authorId="2" shapeId="0" xr:uid="{00000000-0006-0000-0100-00006F000000}">
      <text>
        <r>
          <rPr>
            <b/>
            <sz val="9"/>
            <color indexed="81"/>
            <rFont val="Tahoma"/>
            <family val="2"/>
          </rPr>
          <t>John:</t>
        </r>
        <r>
          <rPr>
            <sz val="9"/>
            <color indexed="81"/>
            <rFont val="Tahoma"/>
            <family val="2"/>
          </rPr>
          <t xml:space="preserve">
This is the date published in Avdibegovic et al.</t>
        </r>
      </text>
    </comment>
    <comment ref="I568" authorId="1" shapeId="0" xr:uid="{00000000-0006-0000-0100-000070000000}">
      <text>
        <r>
          <rPr>
            <b/>
            <sz val="9"/>
            <color indexed="81"/>
            <rFont val="Tahoma"/>
            <family val="2"/>
          </rPr>
          <t>John (London):</t>
        </r>
        <r>
          <rPr>
            <sz val="9"/>
            <color indexed="81"/>
            <rFont val="Tahoma"/>
            <family val="2"/>
          </rPr>
          <t xml:space="preserve">
This is the date published in Romito &amp; Gerin</t>
        </r>
      </text>
    </comment>
    <comment ref="I572" authorId="2" shapeId="0" xr:uid="{00000000-0006-0000-0100-000071000000}">
      <text>
        <r>
          <rPr>
            <b/>
            <sz val="9"/>
            <color indexed="81"/>
            <rFont val="Tahoma"/>
            <family val="2"/>
          </rPr>
          <t>John:</t>
        </r>
        <r>
          <rPr>
            <sz val="9"/>
            <color indexed="81"/>
            <rFont val="Tahoma"/>
            <family val="2"/>
          </rPr>
          <t xml:space="preserve">
This is the date published in Bengtsson-Tops.</t>
        </r>
      </text>
    </comment>
    <comment ref="I573" authorId="2" shapeId="0" xr:uid="{00000000-0006-0000-0100-000072000000}">
      <text>
        <r>
          <rPr>
            <b/>
            <sz val="9"/>
            <color indexed="81"/>
            <rFont val="Tahoma"/>
            <family val="2"/>
          </rPr>
          <t>John:</t>
        </r>
        <r>
          <rPr>
            <sz val="9"/>
            <color indexed="81"/>
            <rFont val="Tahoma"/>
            <family val="2"/>
          </rPr>
          <t xml:space="preserve">
this is the date published in Hofner et al.</t>
        </r>
      </text>
    </comment>
    <comment ref="I574" authorId="0" shapeId="0" xr:uid="{00000000-0006-0000-0100-000073000000}">
      <text>
        <r>
          <rPr>
            <b/>
            <sz val="8"/>
            <color indexed="81"/>
            <rFont val="Tahoma"/>
            <family val="2"/>
          </rPr>
          <t>John Simister:</t>
        </r>
        <r>
          <rPr>
            <sz val="8"/>
            <color indexed="81"/>
            <rFont val="Tahoma"/>
            <family val="2"/>
          </rPr>
          <t xml:space="preserve">
Publication date:  the date of study was not reported.</t>
        </r>
      </text>
    </comment>
    <comment ref="I575" authorId="2" shapeId="0" xr:uid="{00000000-0006-0000-0100-000074000000}">
      <text>
        <r>
          <rPr>
            <b/>
            <sz val="9"/>
            <color indexed="81"/>
            <rFont val="Tahoma"/>
            <family val="2"/>
          </rPr>
          <t>John:</t>
        </r>
        <r>
          <rPr>
            <sz val="9"/>
            <color indexed="81"/>
            <rFont val="Tahoma"/>
            <family val="2"/>
          </rPr>
          <t xml:space="preserve">
This is the date published in Yang et al.</t>
        </r>
      </text>
    </comment>
    <comment ref="I576" authorId="2" shapeId="0" xr:uid="{00000000-0006-0000-0100-000075000000}">
      <text>
        <r>
          <rPr>
            <b/>
            <sz val="9"/>
            <color indexed="81"/>
            <rFont val="Tahoma"/>
            <family val="2"/>
          </rPr>
          <t>John:</t>
        </r>
        <r>
          <rPr>
            <sz val="9"/>
            <color indexed="81"/>
            <rFont val="Tahoma"/>
            <family val="2"/>
          </rPr>
          <t xml:space="preserve">
This is the date published by Boyle &amp; Todd.</t>
        </r>
      </text>
    </comment>
    <comment ref="I577" authorId="2" shapeId="0" xr:uid="{00000000-0006-0000-0100-000076000000}">
      <text>
        <r>
          <rPr>
            <b/>
            <sz val="9"/>
            <color indexed="81"/>
            <rFont val="Tahoma"/>
            <family val="2"/>
          </rPr>
          <t>John:</t>
        </r>
        <r>
          <rPr>
            <sz val="9"/>
            <color indexed="81"/>
            <rFont val="Tahoma"/>
            <family val="2"/>
          </rPr>
          <t xml:space="preserve">
This is the date published by Sethi et al.</t>
        </r>
      </text>
    </comment>
    <comment ref="I578" authorId="2" shapeId="0" xr:uid="{00000000-0006-0000-0100-000077000000}">
      <text>
        <r>
          <rPr>
            <b/>
            <sz val="9"/>
            <color indexed="81"/>
            <rFont val="Tahoma"/>
            <family val="2"/>
          </rPr>
          <t>John:</t>
        </r>
        <r>
          <rPr>
            <sz val="9"/>
            <color indexed="81"/>
            <rFont val="Tahoma"/>
            <family val="2"/>
          </rPr>
          <t xml:space="preserve">
This is the date published by Keeling &amp; Birch.</t>
        </r>
      </text>
    </comment>
    <comment ref="I579" authorId="2" shapeId="0" xr:uid="{00000000-0006-0000-0100-000078000000}">
      <text>
        <r>
          <rPr>
            <b/>
            <sz val="9"/>
            <color indexed="81"/>
            <rFont val="Tahoma"/>
            <family val="2"/>
          </rPr>
          <t>John:</t>
        </r>
        <r>
          <rPr>
            <sz val="9"/>
            <color indexed="81"/>
            <rFont val="Tahoma"/>
            <family val="2"/>
          </rPr>
          <t xml:space="preserve">
This is the date in Feldhaus et al.
</t>
        </r>
      </text>
    </comment>
    <comment ref="I580" authorId="2" shapeId="0" xr:uid="{00000000-0006-0000-0100-000079000000}">
      <text>
        <r>
          <rPr>
            <b/>
            <sz val="9"/>
            <color indexed="81"/>
            <rFont val="Tahoma"/>
            <family val="2"/>
          </rPr>
          <t>John:</t>
        </r>
        <r>
          <rPr>
            <sz val="9"/>
            <color indexed="81"/>
            <rFont val="Tahoma"/>
            <family val="2"/>
          </rPr>
          <t xml:space="preserve">
This is the date published in Ernst et al.</t>
        </r>
      </text>
    </comment>
    <comment ref="I581" authorId="2" shapeId="0" xr:uid="{00000000-0006-0000-0100-00007A000000}">
      <text>
        <r>
          <rPr>
            <b/>
            <sz val="9"/>
            <color indexed="81"/>
            <rFont val="Tahoma"/>
            <family val="2"/>
          </rPr>
          <t>John:</t>
        </r>
        <r>
          <rPr>
            <sz val="9"/>
            <color indexed="81"/>
            <rFont val="Tahoma"/>
            <family val="2"/>
          </rPr>
          <t xml:space="preserve">
This is the date published in Kershner et al.</t>
        </r>
      </text>
    </comment>
    <comment ref="I582" authorId="2" shapeId="0" xr:uid="{00000000-0006-0000-0100-00007B000000}">
      <text>
        <r>
          <rPr>
            <b/>
            <sz val="9"/>
            <color indexed="81"/>
            <rFont val="Tahoma"/>
            <family val="2"/>
          </rPr>
          <t>John:</t>
        </r>
        <r>
          <rPr>
            <sz val="9"/>
            <color indexed="81"/>
            <rFont val="Tahoma"/>
            <family val="2"/>
          </rPr>
          <t xml:space="preserve">
This is the date published in Dearwater et al.</t>
        </r>
      </text>
    </comment>
    <comment ref="I583" authorId="2" shapeId="0" xr:uid="{00000000-0006-0000-0100-00007C000000}">
      <text>
        <r>
          <rPr>
            <b/>
            <sz val="9"/>
            <color indexed="81"/>
            <rFont val="Tahoma"/>
            <family val="2"/>
          </rPr>
          <t>John:</t>
        </r>
        <r>
          <rPr>
            <sz val="9"/>
            <color indexed="81"/>
            <rFont val="Tahoma"/>
            <family val="2"/>
          </rPr>
          <t xml:space="preserve">
This is the date published in Pakieser et al.</t>
        </r>
      </text>
    </comment>
    <comment ref="I584" authorId="2" shapeId="0" xr:uid="{00000000-0006-0000-0100-00007D000000}">
      <text>
        <r>
          <rPr>
            <b/>
            <sz val="9"/>
            <color indexed="81"/>
            <rFont val="Tahoma"/>
            <family val="2"/>
          </rPr>
          <t>John:</t>
        </r>
        <r>
          <rPr>
            <sz val="9"/>
            <color indexed="81"/>
            <rFont val="Tahoma"/>
            <family val="2"/>
          </rPr>
          <t xml:space="preserve">
This is the date published in Duffy et al.</t>
        </r>
      </text>
    </comment>
    <comment ref="I585" authorId="1" shapeId="0" xr:uid="{00000000-0006-0000-0100-00007E000000}">
      <text>
        <r>
          <rPr>
            <b/>
            <sz val="9"/>
            <color indexed="81"/>
            <rFont val="Tahoma"/>
            <family val="2"/>
          </rPr>
          <t>John (London):</t>
        </r>
        <r>
          <rPr>
            <sz val="9"/>
            <color indexed="81"/>
            <rFont val="Tahoma"/>
            <family val="2"/>
          </rPr>
          <t xml:space="preserve">
Year of publication in Coker et al
</t>
        </r>
      </text>
    </comment>
    <comment ref="I586" authorId="1" shapeId="0" xr:uid="{00000000-0006-0000-0100-00007F000000}">
      <text>
        <r>
          <rPr>
            <b/>
            <sz val="9"/>
            <color indexed="81"/>
            <rFont val="Tahoma"/>
            <family val="2"/>
          </rPr>
          <t>John (London):</t>
        </r>
        <r>
          <rPr>
            <sz val="9"/>
            <color indexed="81"/>
            <rFont val="Tahoma"/>
            <family val="2"/>
          </rPr>
          <t xml:space="preserve">
This is the date published by Caetano et al.</t>
        </r>
      </text>
    </comment>
    <comment ref="I587" authorId="1" shapeId="0" xr:uid="{00000000-0006-0000-0100-000080000000}">
      <text>
        <r>
          <rPr>
            <b/>
            <sz val="9"/>
            <color indexed="81"/>
            <rFont val="Tahoma"/>
            <family val="2"/>
          </rPr>
          <t>John (London):</t>
        </r>
        <r>
          <rPr>
            <sz val="9"/>
            <color indexed="81"/>
            <rFont val="Tahoma"/>
            <family val="2"/>
          </rPr>
          <t xml:space="preserve">
Year of publication in Coker et al
</t>
        </r>
      </text>
    </comment>
    <comment ref="I588" authorId="1" shapeId="0" xr:uid="{00000000-0006-0000-0100-000081000000}">
      <text>
        <r>
          <rPr>
            <b/>
            <sz val="9"/>
            <color indexed="81"/>
            <rFont val="Tahoma"/>
            <family val="2"/>
          </rPr>
          <t>John (London):</t>
        </r>
        <r>
          <rPr>
            <sz val="9"/>
            <color indexed="81"/>
            <rFont val="Tahoma"/>
            <family val="2"/>
          </rPr>
          <t xml:space="preserve">
Date published in Barnes et al.</t>
        </r>
      </text>
    </comment>
    <comment ref="I589" authorId="1" shapeId="0" xr:uid="{00000000-0006-0000-0100-000082000000}">
      <text>
        <r>
          <rPr>
            <b/>
            <sz val="9"/>
            <color indexed="81"/>
            <rFont val="Tahoma"/>
            <family val="2"/>
          </rPr>
          <t>John (London):</t>
        </r>
        <r>
          <rPr>
            <sz val="9"/>
            <color indexed="81"/>
            <rFont val="Tahoma"/>
            <family val="2"/>
          </rPr>
          <t xml:space="preserve">
Date published in Parkinson et al.</t>
        </r>
      </text>
    </comment>
    <comment ref="I590" authorId="2" shapeId="0" xr:uid="{00000000-0006-0000-0100-000083000000}">
      <text>
        <r>
          <rPr>
            <b/>
            <sz val="9"/>
            <color indexed="81"/>
            <rFont val="Tahoma"/>
            <family val="2"/>
          </rPr>
          <t>John:</t>
        </r>
        <r>
          <rPr>
            <sz val="9"/>
            <color indexed="81"/>
            <rFont val="Tahoma"/>
            <family val="2"/>
          </rPr>
          <t xml:space="preserve">
This is the date published in Zachary et al.</t>
        </r>
      </text>
    </comment>
    <comment ref="I591" authorId="1" shapeId="0" xr:uid="{00000000-0006-0000-0100-000084000000}">
      <text>
        <r>
          <rPr>
            <b/>
            <sz val="9"/>
            <color indexed="81"/>
            <rFont val="Tahoma"/>
            <family val="2"/>
          </rPr>
          <t>John (London):</t>
        </r>
        <r>
          <rPr>
            <sz val="9"/>
            <color indexed="81"/>
            <rFont val="Tahoma"/>
            <family val="2"/>
          </rPr>
          <t xml:space="preserve">
Date published in Brokaw et al.</t>
        </r>
      </text>
    </comment>
    <comment ref="I592" authorId="1" shapeId="0" xr:uid="{00000000-0006-0000-0100-000085000000}">
      <text>
        <r>
          <rPr>
            <b/>
            <sz val="9"/>
            <color indexed="81"/>
            <rFont val="Tahoma"/>
            <family val="2"/>
          </rPr>
          <t>John (London):</t>
        </r>
        <r>
          <rPr>
            <sz val="9"/>
            <color indexed="81"/>
            <rFont val="Tahoma"/>
            <family val="2"/>
          </rPr>
          <t xml:space="preserve">
Date published in Krishnan et al.</t>
        </r>
      </text>
    </comment>
    <comment ref="I593" authorId="1" shapeId="0" xr:uid="{00000000-0006-0000-0100-000086000000}">
      <text>
        <r>
          <rPr>
            <b/>
            <sz val="9"/>
            <color indexed="81"/>
            <rFont val="Tahoma"/>
            <family val="2"/>
          </rPr>
          <t>John (London):</t>
        </r>
        <r>
          <rPr>
            <sz val="9"/>
            <color indexed="81"/>
            <rFont val="Tahoma"/>
            <family val="2"/>
          </rPr>
          <t xml:space="preserve">
Date published in Raj &amp; Silverman</t>
        </r>
      </text>
    </comment>
    <comment ref="I594" authorId="1" shapeId="0" xr:uid="{00000000-0006-0000-0100-000087000000}">
      <text>
        <r>
          <rPr>
            <b/>
            <sz val="9"/>
            <color indexed="81"/>
            <rFont val="Tahoma"/>
            <family val="2"/>
          </rPr>
          <t>John (London):</t>
        </r>
        <r>
          <rPr>
            <sz val="9"/>
            <color indexed="81"/>
            <rFont val="Tahoma"/>
            <family val="2"/>
          </rPr>
          <t xml:space="preserve">
Year of publication in Coker et al
</t>
        </r>
      </text>
    </comment>
    <comment ref="I595" authorId="1" shapeId="0" xr:uid="{00000000-0006-0000-0100-000088000000}">
      <text>
        <r>
          <rPr>
            <b/>
            <sz val="9"/>
            <color indexed="81"/>
            <rFont val="Tahoma"/>
            <family val="2"/>
          </rPr>
          <t>John (London):</t>
        </r>
        <r>
          <rPr>
            <sz val="9"/>
            <color indexed="81"/>
            <rFont val="Tahoma"/>
            <family val="2"/>
          </rPr>
          <t xml:space="preserve">
Year of publication in Melnick et al
</t>
        </r>
      </text>
    </comment>
    <comment ref="I597" authorId="1" shapeId="0" xr:uid="{00000000-0006-0000-0100-000089000000}">
      <text>
        <r>
          <rPr>
            <b/>
            <sz val="9"/>
            <color indexed="81"/>
            <rFont val="Tahoma"/>
            <family val="2"/>
          </rPr>
          <t>John (London):</t>
        </r>
        <r>
          <rPr>
            <sz val="9"/>
            <color indexed="81"/>
            <rFont val="Tahoma"/>
            <family val="2"/>
          </rPr>
          <t xml:space="preserve">
Year of publication in El-Bassel et al
</t>
        </r>
      </text>
    </comment>
    <comment ref="I598" authorId="2" shapeId="0" xr:uid="{00000000-0006-0000-0100-00008A000000}">
      <text>
        <r>
          <rPr>
            <b/>
            <sz val="9"/>
            <color indexed="81"/>
            <rFont val="Tahoma"/>
            <family val="2"/>
          </rPr>
          <t>John:</t>
        </r>
        <r>
          <rPr>
            <sz val="9"/>
            <color indexed="81"/>
            <rFont val="Tahoma"/>
            <family val="2"/>
          </rPr>
          <t xml:space="preserve">
This is the date published in Siegel et al.</t>
        </r>
      </text>
    </comment>
    <comment ref="I599" authorId="2" shapeId="0" xr:uid="{00000000-0006-0000-0100-00008B000000}">
      <text>
        <r>
          <rPr>
            <b/>
            <sz val="9"/>
            <color indexed="81"/>
            <rFont val="Tahoma"/>
            <family val="2"/>
          </rPr>
          <t>John:</t>
        </r>
        <r>
          <rPr>
            <sz val="9"/>
            <color indexed="81"/>
            <rFont val="Tahoma"/>
            <family val="2"/>
          </rPr>
          <t xml:space="preserve">
This is the date published in Peralta &amp; Fleming.</t>
        </r>
      </text>
    </comment>
    <comment ref="I600" authorId="2" shapeId="0" xr:uid="{00000000-0006-0000-0100-00008C000000}">
      <text>
        <r>
          <rPr>
            <b/>
            <sz val="9"/>
            <color indexed="81"/>
            <rFont val="Tahoma"/>
            <family val="2"/>
          </rPr>
          <t>John:</t>
        </r>
        <r>
          <rPr>
            <sz val="9"/>
            <color indexed="81"/>
            <rFont val="Tahoma"/>
            <family val="2"/>
          </rPr>
          <t xml:space="preserve">
This is the date published in Kramer et al.</t>
        </r>
      </text>
    </comment>
    <comment ref="I601" authorId="2" shapeId="0" xr:uid="{00000000-0006-0000-0100-00008D000000}">
      <text>
        <r>
          <rPr>
            <b/>
            <sz val="9"/>
            <color indexed="81"/>
            <rFont val="Tahoma"/>
            <family val="2"/>
          </rPr>
          <t>John:</t>
        </r>
        <r>
          <rPr>
            <sz val="9"/>
            <color indexed="81"/>
            <rFont val="Tahoma"/>
            <family val="2"/>
          </rPr>
          <t xml:space="preserve">
This is the date published in Salena et al.</t>
        </r>
      </text>
    </comment>
    <comment ref="I602" authorId="1" shapeId="0" xr:uid="{00000000-0006-0000-0100-00008E000000}">
      <text>
        <r>
          <rPr>
            <b/>
            <sz val="9"/>
            <color indexed="81"/>
            <rFont val="Tahoma"/>
            <family val="2"/>
          </rPr>
          <t>John (London):</t>
        </r>
        <r>
          <rPr>
            <sz val="9"/>
            <color indexed="81"/>
            <rFont val="Tahoma"/>
            <family val="2"/>
          </rPr>
          <t xml:space="preserve">
Year of publication in Amar &amp; Gennaro
</t>
        </r>
      </text>
    </comment>
    <comment ref="I603" authorId="2" shapeId="0" xr:uid="{00000000-0006-0000-0100-00008F000000}">
      <text>
        <r>
          <rPr>
            <b/>
            <sz val="9"/>
            <color indexed="81"/>
            <rFont val="Tahoma"/>
            <family val="2"/>
          </rPr>
          <t>John:</t>
        </r>
        <r>
          <rPr>
            <sz val="9"/>
            <color indexed="81"/>
            <rFont val="Tahoma"/>
            <family val="2"/>
          </rPr>
          <t xml:space="preserve">
This is the date published in Newman et al.</t>
        </r>
      </text>
    </comment>
    <comment ref="I604" authorId="2" shapeId="0" xr:uid="{00000000-0006-0000-0100-000090000000}">
      <text>
        <r>
          <rPr>
            <b/>
            <sz val="9"/>
            <color indexed="81"/>
            <rFont val="Tahoma"/>
            <family val="2"/>
          </rPr>
          <t>John:</t>
        </r>
        <r>
          <rPr>
            <sz val="9"/>
            <color indexed="81"/>
            <rFont val="Tahoma"/>
            <family val="2"/>
          </rPr>
          <t xml:space="preserve">
This is the date published in Hicks et al.</t>
        </r>
      </text>
    </comment>
    <comment ref="I605" authorId="2" shapeId="0" xr:uid="{00000000-0006-0000-0100-000091000000}">
      <text>
        <r>
          <rPr>
            <b/>
            <sz val="9"/>
            <color indexed="81"/>
            <rFont val="Tahoma"/>
            <family val="2"/>
          </rPr>
          <t>John:</t>
        </r>
        <r>
          <rPr>
            <sz val="9"/>
            <color indexed="81"/>
            <rFont val="Tahoma"/>
            <family val="2"/>
          </rPr>
          <t xml:space="preserve">
This is the date published in Biroscak et al.</t>
        </r>
      </text>
    </comment>
    <comment ref="I606" authorId="2" shapeId="0" xr:uid="{00000000-0006-0000-0100-000092000000}">
      <text>
        <r>
          <rPr>
            <b/>
            <sz val="9"/>
            <color indexed="81"/>
            <rFont val="Tahoma"/>
            <family val="2"/>
          </rPr>
          <t>John:</t>
        </r>
        <r>
          <rPr>
            <sz val="9"/>
            <color indexed="81"/>
            <rFont val="Tahoma"/>
            <family val="2"/>
          </rPr>
          <t xml:space="preserve">
This is the date published in Yuan et al.
</t>
        </r>
      </text>
    </comment>
  </commentList>
</comments>
</file>

<file path=xl/sharedStrings.xml><?xml version="1.0" encoding="utf-8"?>
<sst xmlns="http://schemas.openxmlformats.org/spreadsheetml/2006/main" count="11197" uniqueCount="2765">
  <si>
    <t>country</t>
  </si>
  <si>
    <t>coverage</t>
  </si>
  <si>
    <t>Ethiopia</t>
  </si>
  <si>
    <t>Kenya</t>
  </si>
  <si>
    <t>Namibia</t>
  </si>
  <si>
    <t>Nigeria</t>
  </si>
  <si>
    <t>S. Africa</t>
  </si>
  <si>
    <t>1984-7</t>
  </si>
  <si>
    <t>Meskanena Woreda</t>
  </si>
  <si>
    <t>Kisii district</t>
  </si>
  <si>
    <t>Winhoek</t>
  </si>
  <si>
    <t>E. Cape</t>
  </si>
  <si>
    <t>Mpumalanga</t>
  </si>
  <si>
    <t>N. Province</t>
  </si>
  <si>
    <t>national</t>
  </si>
  <si>
    <t>III</t>
  </si>
  <si>
    <t>V</t>
  </si>
  <si>
    <t>I</t>
  </si>
  <si>
    <t>II</t>
  </si>
  <si>
    <t>15-49</t>
  </si>
  <si>
    <t>&gt;15</t>
  </si>
  <si>
    <t>18-49</t>
  </si>
  <si>
    <t>Tanzania</t>
  </si>
  <si>
    <t>Dar es Salaam</t>
  </si>
  <si>
    <t>Mbeya</t>
  </si>
  <si>
    <t>Uganda</t>
  </si>
  <si>
    <t>1995-6</t>
  </si>
  <si>
    <t>Lira &amp; Masaka</t>
  </si>
  <si>
    <t>20-44</t>
  </si>
  <si>
    <t>Zambia</t>
  </si>
  <si>
    <t>2001-2</t>
  </si>
  <si>
    <t>Zimbabwe</t>
  </si>
  <si>
    <t>Midlands province</t>
  </si>
  <si>
    <t>&gt;18</t>
  </si>
  <si>
    <t>Barbados</t>
  </si>
  <si>
    <t>Brazil</t>
  </si>
  <si>
    <t>Chile</t>
  </si>
  <si>
    <t>Colombia</t>
  </si>
  <si>
    <t>Dominican Republic</t>
  </si>
  <si>
    <t>El Salvador</t>
  </si>
  <si>
    <t>Guatemala</t>
  </si>
  <si>
    <t>Sao Paulo</t>
  </si>
  <si>
    <t>Pernambuco</t>
  </si>
  <si>
    <t>Santiago province</t>
  </si>
  <si>
    <t>Santiago</t>
  </si>
  <si>
    <t>Honduras</t>
  </si>
  <si>
    <t>Haiti</t>
  </si>
  <si>
    <t>VI</t>
  </si>
  <si>
    <t>20-45</t>
  </si>
  <si>
    <t>22-55</t>
  </si>
  <si>
    <t>Mexico</t>
  </si>
  <si>
    <t>Nicaragua</t>
  </si>
  <si>
    <t>Leon</t>
  </si>
  <si>
    <t>Managua</t>
  </si>
  <si>
    <t>Guadalajara</t>
  </si>
  <si>
    <t>Monterrey</t>
  </si>
  <si>
    <t>Paraguay</t>
  </si>
  <si>
    <t>Peru</t>
  </si>
  <si>
    <t>Puerto Rico</t>
  </si>
  <si>
    <t>Uruguay</t>
  </si>
  <si>
    <t>Lima</t>
  </si>
  <si>
    <t>Cusco</t>
  </si>
  <si>
    <t>Canada</t>
  </si>
  <si>
    <t>United States</t>
  </si>
  <si>
    <t>Australia</t>
  </si>
  <si>
    <t>Bangladesh</t>
  </si>
  <si>
    <t>Dhaka</t>
  </si>
  <si>
    <t>Matlab</t>
  </si>
  <si>
    <t>six regions</t>
  </si>
  <si>
    <t>&lt;50</t>
  </si>
  <si>
    <t>India</t>
  </si>
  <si>
    <t>Indonesia</t>
  </si>
  <si>
    <t>Japan</t>
  </si>
  <si>
    <t>Papua New Guinea</t>
  </si>
  <si>
    <t>1998-9</t>
  </si>
  <si>
    <t>six states</t>
  </si>
  <si>
    <t>central Java</t>
  </si>
  <si>
    <t>Yokohama</t>
  </si>
  <si>
    <t>IV</t>
  </si>
  <si>
    <t>Philippines</t>
  </si>
  <si>
    <t>Samoa</t>
  </si>
  <si>
    <t>Thailand</t>
  </si>
  <si>
    <t>Vietnam</t>
  </si>
  <si>
    <t>Azerbaijan</t>
  </si>
  <si>
    <t>Georgia</t>
  </si>
  <si>
    <t>Ha Tay province</t>
  </si>
  <si>
    <t>Nakonsawan</t>
  </si>
  <si>
    <t>Bangkok</t>
  </si>
  <si>
    <t>&gt;20</t>
  </si>
  <si>
    <t>15-60</t>
  </si>
  <si>
    <t>15-44</t>
  </si>
  <si>
    <t>Cagayan de Oro City &amp; Budiknon</t>
  </si>
  <si>
    <t>Finland</t>
  </si>
  <si>
    <t>Netherlands</t>
  </si>
  <si>
    <t>Norway</t>
  </si>
  <si>
    <t>Romania</t>
  </si>
  <si>
    <t>Sweden</t>
  </si>
  <si>
    <t>Switzerland</t>
  </si>
  <si>
    <t>Turkey</t>
  </si>
  <si>
    <t>Ukraine</t>
  </si>
  <si>
    <t>1994-6</t>
  </si>
  <si>
    <t>three provinces</t>
  </si>
  <si>
    <t>E &amp; SE Anatolia</t>
  </si>
  <si>
    <t>18-74</t>
  </si>
  <si>
    <t>20-60</t>
  </si>
  <si>
    <t>20-49</t>
  </si>
  <si>
    <t>18-64</t>
  </si>
  <si>
    <t>14-75</t>
  </si>
  <si>
    <t>UK</t>
  </si>
  <si>
    <t>Egypt</t>
  </si>
  <si>
    <t>Israel</t>
  </si>
  <si>
    <t>north London</t>
  </si>
  <si>
    <t>Arab population</t>
  </si>
  <si>
    <t>Palestinian population</t>
  </si>
  <si>
    <t>&gt;16</t>
  </si>
  <si>
    <t>19-67</t>
  </si>
  <si>
    <t>17-65</t>
  </si>
  <si>
    <t>all women</t>
  </si>
  <si>
    <t>currently married/partnered</t>
  </si>
  <si>
    <t>ever-married/partnered</t>
  </si>
  <si>
    <t>women with a pregnancy outcome</t>
  </si>
  <si>
    <t>married women: half pregnant, half not</t>
  </si>
  <si>
    <t>women who had partner in last 12 months</t>
  </si>
  <si>
    <t>popn</t>
  </si>
  <si>
    <t>Albania</t>
  </si>
  <si>
    <t>Algeria</t>
  </si>
  <si>
    <t>Angola</t>
  </si>
  <si>
    <t>Argentina</t>
  </si>
  <si>
    <t>Austria</t>
  </si>
  <si>
    <t>Belgium</t>
  </si>
  <si>
    <t>Benin</t>
  </si>
  <si>
    <t>Bolivia</t>
  </si>
  <si>
    <t>Botswana</t>
  </si>
  <si>
    <t>Bulgaria</t>
  </si>
  <si>
    <t>Burundi</t>
  </si>
  <si>
    <t xml:space="preserve">     </t>
  </si>
  <si>
    <t>Cameroon</t>
  </si>
  <si>
    <t>Central African Republic</t>
  </si>
  <si>
    <t>Chad</t>
  </si>
  <si>
    <t>China</t>
  </si>
  <si>
    <t>Congo</t>
  </si>
  <si>
    <t>Costa Rica</t>
  </si>
  <si>
    <t>Cuba</t>
  </si>
  <si>
    <t>Cyprus</t>
  </si>
  <si>
    <t>Denmark</t>
  </si>
  <si>
    <t>Ecuador</t>
  </si>
  <si>
    <t>France</t>
  </si>
  <si>
    <t>Gabon</t>
  </si>
  <si>
    <t>Gambia</t>
  </si>
  <si>
    <t>Ghana</t>
  </si>
  <si>
    <t>Greece</t>
  </si>
  <si>
    <t>Guinea</t>
  </si>
  <si>
    <t>Guyana</t>
  </si>
  <si>
    <t>Hong Kong</t>
  </si>
  <si>
    <t>Hungary</t>
  </si>
  <si>
    <t>Iceland</t>
  </si>
  <si>
    <t>Iran</t>
  </si>
  <si>
    <t>Iraq</t>
  </si>
  <si>
    <t>Ireland</t>
  </si>
  <si>
    <t>Italy</t>
  </si>
  <si>
    <t>Jamaica</t>
  </si>
  <si>
    <t>Jordan</t>
  </si>
  <si>
    <t>Kampuchea</t>
  </si>
  <si>
    <t>Kuwait</t>
  </si>
  <si>
    <t>Laos</t>
  </si>
  <si>
    <t>Lebanon</t>
  </si>
  <si>
    <t>Lesotho</t>
  </si>
  <si>
    <t>Liberia</t>
  </si>
  <si>
    <t>Libya</t>
  </si>
  <si>
    <t>Luxembourg</t>
  </si>
  <si>
    <t>Madagascar</t>
  </si>
  <si>
    <t>Malawi</t>
  </si>
  <si>
    <t>Malaysia</t>
  </si>
  <si>
    <t>Maldives</t>
  </si>
  <si>
    <t>Mali</t>
  </si>
  <si>
    <t>Malta</t>
  </si>
  <si>
    <t>Mauritania</t>
  </si>
  <si>
    <t>Mauritius</t>
  </si>
  <si>
    <t>Mongolia</t>
  </si>
  <si>
    <t>Morocco</t>
  </si>
  <si>
    <t>Mozambique</t>
  </si>
  <si>
    <t>Nepal</t>
  </si>
  <si>
    <t>New Zealand</t>
  </si>
  <si>
    <t>Niger</t>
  </si>
  <si>
    <t>Pakistan</t>
  </si>
  <si>
    <t>Panama</t>
  </si>
  <si>
    <t>Poland</t>
  </si>
  <si>
    <t>Portugal</t>
  </si>
  <si>
    <t>Rwanda</t>
  </si>
  <si>
    <t>Saudi Arabia</t>
  </si>
  <si>
    <t>Senegal</t>
  </si>
  <si>
    <t>Sierra Leone</t>
  </si>
  <si>
    <t>Singapore</t>
  </si>
  <si>
    <t>Somalia</t>
  </si>
  <si>
    <t>South Africa</t>
  </si>
  <si>
    <t>Spain</t>
  </si>
  <si>
    <t>Sri Lanka</t>
  </si>
  <si>
    <t>Sudan</t>
  </si>
  <si>
    <t>Syria</t>
  </si>
  <si>
    <t>Taiwan</t>
  </si>
  <si>
    <t>Togo</t>
  </si>
  <si>
    <t>Trinidad &amp; Tobago</t>
  </si>
  <si>
    <t>Tunisia</t>
  </si>
  <si>
    <t>United Kingdom</t>
  </si>
  <si>
    <t>Venezuela</t>
  </si>
  <si>
    <t>Yugoslavia</t>
  </si>
  <si>
    <t>AVG</t>
  </si>
  <si>
    <t>MAX</t>
  </si>
  <si>
    <t>1993-5</t>
  </si>
  <si>
    <t>Nasimagar Thana</t>
  </si>
  <si>
    <t>1993-4</t>
  </si>
  <si>
    <t>Tamil Nadu</t>
  </si>
  <si>
    <t>Uttar Pradesh</t>
  </si>
  <si>
    <t>Uttar Pradesh, 5 dist.</t>
  </si>
  <si>
    <t>Antigua</t>
  </si>
  <si>
    <t>three districts</t>
  </si>
  <si>
    <t>1991-2</t>
  </si>
  <si>
    <t>Toronto</t>
  </si>
  <si>
    <t>b</t>
  </si>
  <si>
    <t>a</t>
  </si>
  <si>
    <t>Moldova Republic</t>
  </si>
  <si>
    <t>Yugoslavia: Serbia &amp; Montenegro</t>
  </si>
  <si>
    <t>c</t>
  </si>
  <si>
    <t>d</t>
  </si>
  <si>
    <t>Seoul and Suwon</t>
  </si>
  <si>
    <t>e</t>
  </si>
  <si>
    <t>f</t>
  </si>
  <si>
    <t>&gt;14</t>
  </si>
  <si>
    <t>29-45</t>
  </si>
  <si>
    <t>&gt;19</t>
  </si>
  <si>
    <t>national, except Chaco region</t>
  </si>
  <si>
    <t>17-55</t>
  </si>
  <si>
    <t>&gt;17</t>
  </si>
  <si>
    <t>15-39</t>
  </si>
  <si>
    <t>15-65</t>
  </si>
  <si>
    <t>2005-6</t>
  </si>
  <si>
    <t>g</t>
  </si>
  <si>
    <t>h</t>
  </si>
  <si>
    <t>&gt;22</t>
  </si>
  <si>
    <t>2000-1</t>
  </si>
  <si>
    <t>i</t>
  </si>
  <si>
    <t>12 months</t>
  </si>
  <si>
    <t xml:space="preserve">previous </t>
  </si>
  <si>
    <t>WHO</t>
  </si>
  <si>
    <t>DHS</t>
  </si>
  <si>
    <t>INCLEN</t>
  </si>
  <si>
    <t>k</t>
  </si>
  <si>
    <t>Santa Rosa</t>
  </si>
  <si>
    <t>CDC</t>
  </si>
  <si>
    <t>2002-3</t>
  </si>
  <si>
    <t>18-69</t>
  </si>
  <si>
    <t>20-64</t>
  </si>
  <si>
    <t>Lucknow</t>
  </si>
  <si>
    <t>Vellore</t>
  </si>
  <si>
    <t>Trivandrum</t>
  </si>
  <si>
    <t>Auckland</t>
  </si>
  <si>
    <t>North Waikato</t>
  </si>
  <si>
    <t>Paco</t>
  </si>
  <si>
    <t>IVAWS</t>
  </si>
  <si>
    <t>Germany</t>
  </si>
  <si>
    <t>16-85</t>
  </si>
  <si>
    <t>l</t>
  </si>
  <si>
    <t>Lithuania</t>
  </si>
  <si>
    <t>20-56</t>
  </si>
  <si>
    <t>Belgrade</t>
  </si>
  <si>
    <t>16-59</t>
  </si>
  <si>
    <t>El-Sheik Zayed</t>
  </si>
  <si>
    <t>1999-2000</t>
  </si>
  <si>
    <t>m</t>
  </si>
  <si>
    <t>East Timor</t>
  </si>
  <si>
    <t>o</t>
  </si>
  <si>
    <t>source</t>
  </si>
  <si>
    <t>p</t>
  </si>
  <si>
    <t>q</t>
  </si>
  <si>
    <t>page</t>
  </si>
  <si>
    <t>website</t>
  </si>
  <si>
    <t>physical</t>
  </si>
  <si>
    <t>violence</t>
  </si>
  <si>
    <t>women</t>
  </si>
  <si>
    <t>assaulted</t>
  </si>
  <si>
    <t>brookdale-en1.pionet.com/default.asp?catid={567204BF-9FEA-4A08-A307-188A304557A8}</t>
  </si>
  <si>
    <t>or sexual</t>
  </si>
  <si>
    <t>%</t>
  </si>
  <si>
    <t>by partner</t>
  </si>
  <si>
    <t xml:space="preserve"> </t>
  </si>
  <si>
    <t>CURRENTLY MARRIED</t>
  </si>
  <si>
    <t xml:space="preserve"> OR EVER-MARRIED</t>
  </si>
  <si>
    <t>(married/never-married)</t>
  </si>
  <si>
    <t xml:space="preserve">     ALL WOMEN</t>
  </si>
  <si>
    <t>VII</t>
  </si>
  <si>
    <t>men reporting their own violence against partners</t>
  </si>
  <si>
    <t>p. 94</t>
  </si>
  <si>
    <t>Soweto</t>
  </si>
  <si>
    <t>www.mrc.ac.za/gender/projects.htm#stdy</t>
  </si>
  <si>
    <t xml:space="preserve"> {type I population}</t>
  </si>
  <si>
    <t>www.pubmedcentral.nih.gov/picrender.fcgi?artid=1308495&amp;blobtype=pdf</t>
  </si>
  <si>
    <t>p. 346</t>
  </si>
  <si>
    <t>comment</t>
  </si>
  <si>
    <t>I'm unsure what % of violence is from partner.</t>
  </si>
  <si>
    <t>www.pubmedcentral.nih.gov/picrender.fcgi?tool=pmcentrez&amp;blobtype=pdf&amp;artid=1447918</t>
  </si>
  <si>
    <t>No data for 'last 12 months';  10.6% during pregnancy.</t>
  </si>
  <si>
    <t>p. 1112</t>
  </si>
  <si>
    <t>Mbale</t>
  </si>
  <si>
    <t>www.pubmedcentral.nih.gov/picrender.fcgi?tool=pmcentrez&amp;blobtype=pdf&amp;artid=1660563</t>
  </si>
  <si>
    <t>Tirana</t>
  </si>
  <si>
    <t>25-65</t>
  </si>
  <si>
    <t>www.bmj.com/cgi/reprint/331/7510/197</t>
  </si>
  <si>
    <t>www.pubmedcentral.nih.gov/picrender.fcgi?tool=pmcentrez&amp;blobtype=pdf&amp;artid=65060</t>
  </si>
  <si>
    <t>1990-1</t>
  </si>
  <si>
    <t>Alaska, Maine, Oklahoma &amp; W. Virginia</t>
  </si>
  <si>
    <t>www.cdc.gov/mmwr/preview/mmwrhtml/00025182.htm#00000386.htm</t>
  </si>
  <si>
    <t>Table 2</t>
  </si>
  <si>
    <t>2003-5</t>
  </si>
  <si>
    <t>Washington &amp; Idaho</t>
  </si>
  <si>
    <t>download.journals.elsevierhealth.com/pdfs/journals/0749-3797/PIIS0749379706000985.pdf?clusterid=thelancet&amp;mis=.pdf</t>
  </si>
  <si>
    <t>Aleppo</t>
  </si>
  <si>
    <t>download.thelancet.com/pdfs/journals/0140-6736/PIIS0140673602095351.pdf?clusterid=thelancet&amp;mis=.pdf</t>
  </si>
  <si>
    <t>p. 52</t>
  </si>
  <si>
    <t>Pelser, E. et al. 2005. Intimate Partner Violence: Results from a National Gender-Based Study in Malawi, Crime and Justice Statistical Division, National Statistical Office.</t>
  </si>
  <si>
    <t>p. 54</t>
  </si>
  <si>
    <t>Tajikistan</t>
  </si>
  <si>
    <t>Khatlon region</t>
  </si>
  <si>
    <t>17-49</t>
  </si>
  <si>
    <t>Haar, Robin N., Violence Against Women in Marriage: A General Population Study in Khatlon Oblast, Tajikistan, baseline survey conducted by the NGO Social Development Group (2005).</t>
  </si>
  <si>
    <t>Key to 'study population' column:</t>
  </si>
  <si>
    <t>Lori Heise;</t>
  </si>
  <si>
    <t>Mary Ellsberg;</t>
  </si>
  <si>
    <t>John Simister.</t>
  </si>
  <si>
    <t>ever</t>
  </si>
  <si>
    <t>r</t>
  </si>
  <si>
    <t>Prevalence of 'Intimate Partner Violence' against women:  all countries for which appropriate surveys have been carried out.</t>
  </si>
  <si>
    <t>1997-8</t>
  </si>
  <si>
    <t>www.un.org/womenwatch/daw/egm/vaw-stat-2005/docs/expert-papers/Ardayfio.pdf</t>
  </si>
  <si>
    <t>p. 8</t>
  </si>
  <si>
    <t>s</t>
  </si>
  <si>
    <t>t</t>
  </si>
  <si>
    <t>u</t>
  </si>
  <si>
    <t>v</t>
  </si>
  <si>
    <t>aje.oxfordjournals.org/cgi/reprint/160/3/230</t>
  </si>
  <si>
    <t>w</t>
  </si>
  <si>
    <t>x</t>
  </si>
  <si>
    <t>y</t>
  </si>
  <si>
    <t>z</t>
  </si>
  <si>
    <t>j</t>
  </si>
  <si>
    <t>Edo and Delta states</t>
  </si>
  <si>
    <t>22-71</t>
  </si>
  <si>
    <t>n</t>
  </si>
  <si>
    <t>Afghanistan</t>
  </si>
  <si>
    <t>Luanda</t>
  </si>
  <si>
    <t>Buenos Aires</t>
  </si>
  <si>
    <t>Czech Republic</t>
  </si>
  <si>
    <t>Tehran</t>
  </si>
  <si>
    <t>Manila</t>
  </si>
  <si>
    <t>Trinidad and Tobago</t>
  </si>
  <si>
    <t>Kampala</t>
  </si>
  <si>
    <t>USA</t>
  </si>
  <si>
    <t>Burkina Faso</t>
  </si>
  <si>
    <t>Yemen</t>
  </si>
  <si>
    <t>median</t>
  </si>
  <si>
    <t>PID</t>
  </si>
  <si>
    <t>Andaman Islands</t>
  </si>
  <si>
    <t>Andorra</t>
  </si>
  <si>
    <t>Armenia</t>
  </si>
  <si>
    <t>Bahamas</t>
  </si>
  <si>
    <t>Bahrain</t>
  </si>
  <si>
    <t>Belarus</t>
  </si>
  <si>
    <t>Belize</t>
  </si>
  <si>
    <t>Bhutan</t>
  </si>
  <si>
    <t>Bosnia and Herzegovina</t>
  </si>
  <si>
    <t>Brunei</t>
  </si>
  <si>
    <t>Cape Verde</t>
  </si>
  <si>
    <t>Cayman Isles</t>
  </si>
  <si>
    <t>Comoros</t>
  </si>
  <si>
    <t>Cote D'Ivoire</t>
  </si>
  <si>
    <t>Croatia</t>
  </si>
  <si>
    <t>Democratic Republic of the Congo</t>
  </si>
  <si>
    <t>Djibouti</t>
  </si>
  <si>
    <t>Dominica</t>
  </si>
  <si>
    <t>Equatorial Guinea</t>
  </si>
  <si>
    <t>Eritrea</t>
  </si>
  <si>
    <t>Estonia</t>
  </si>
  <si>
    <t>Falkland Islands</t>
  </si>
  <si>
    <t>Fiji</t>
  </si>
  <si>
    <t>French Guiana</t>
  </si>
  <si>
    <t>Greenland</t>
  </si>
  <si>
    <t>Grenada</t>
  </si>
  <si>
    <t>Guadeloupe</t>
  </si>
  <si>
    <t>Guinea Bissau</t>
  </si>
  <si>
    <t>Kazakhstan</t>
  </si>
  <si>
    <t>Korea DPR</t>
  </si>
  <si>
    <t>Korea Rep.</t>
  </si>
  <si>
    <t>Kyrgyzstan</t>
  </si>
  <si>
    <t>Latvia</t>
  </si>
  <si>
    <t>Liechtenstein</t>
  </si>
  <si>
    <t>Macedonia</t>
  </si>
  <si>
    <t>Martinique</t>
  </si>
  <si>
    <t>Moldova</t>
  </si>
  <si>
    <t>Myanmar</t>
  </si>
  <si>
    <t>New Caledonia</t>
  </si>
  <si>
    <t>New Hebrides</t>
  </si>
  <si>
    <t>Oman</t>
  </si>
  <si>
    <t>Qatar</t>
  </si>
  <si>
    <t>Reunion</t>
  </si>
  <si>
    <t>Russia</t>
  </si>
  <si>
    <t>SaoTome and Principe</t>
  </si>
  <si>
    <t>Serbia</t>
  </si>
  <si>
    <t>Slovakia</t>
  </si>
  <si>
    <t>Slovenia</t>
  </si>
  <si>
    <t>Solomon Islands</t>
  </si>
  <si>
    <t>South Georgia</t>
  </si>
  <si>
    <t>St. Lucia</t>
  </si>
  <si>
    <t>St. Vincent</t>
  </si>
  <si>
    <t>Suriname</t>
  </si>
  <si>
    <t>Swaziland</t>
  </si>
  <si>
    <t>Turkmenistan</t>
  </si>
  <si>
    <t>United Arab Emirates</t>
  </si>
  <si>
    <t>Uzbekistan</t>
  </si>
  <si>
    <t>Western Sahara</t>
  </si>
  <si>
    <t>maybe physical or +sexual</t>
  </si>
  <si>
    <t>This column is unclear:</t>
  </si>
  <si>
    <t>maybe wives or all women;</t>
  </si>
  <si>
    <t>XN</t>
  </si>
  <si>
    <t>N</t>
  </si>
  <si>
    <t>Please contact John Simister, if you know of more data to add to this list below.</t>
  </si>
  <si>
    <t>http://www.childinfo.org/attitudes_data.php downloaded 11 Nov 2010</t>
  </si>
  <si>
    <t>MICS</t>
  </si>
  <si>
    <t>Bosnia &amp; Herzegovina</t>
  </si>
  <si>
    <t>Congo DR</t>
  </si>
  <si>
    <t>Côte d’Ivoire</t>
  </si>
  <si>
    <t>Gambia The</t>
  </si>
  <si>
    <t>2005-06</t>
  </si>
  <si>
    <t>Guinea-Bissau</t>
  </si>
  <si>
    <t>2006-07</t>
  </si>
  <si>
    <t>NFHS</t>
  </si>
  <si>
    <t>2002-03</t>
  </si>
  <si>
    <t>Lao PDR</t>
  </si>
  <si>
    <t>2003-04</t>
  </si>
  <si>
    <t>MSWHLE</t>
  </si>
  <si>
    <t>Montenegro</t>
  </si>
  <si>
    <t>Sao Tome &amp; Principe</t>
  </si>
  <si>
    <t xml:space="preserve">Serbia </t>
  </si>
  <si>
    <t>2004-05</t>
  </si>
  <si>
    <t>2001-02</t>
  </si>
  <si>
    <t>Sources: DHS, MICS and other national surveys, 2001- 2008</t>
  </si>
  <si>
    <t>Percentage of women aged 15-49 who think that a husband is justified in hitting or beating his wife under certain circumstances</t>
  </si>
  <si>
    <t>Sometimes, the above website says "data differ from the standard definition".</t>
  </si>
  <si>
    <t>Also, not on MapViewer list of countries:</t>
  </si>
  <si>
    <r>
      <rPr>
        <b/>
        <sz val="9"/>
        <color indexed="8"/>
        <rFont val="Arial Bold"/>
      </rPr>
      <t>Report</t>
    </r>
  </si>
  <si>
    <r>
      <rPr>
        <sz val="9"/>
        <color indexed="8"/>
        <rFont val="Arial"/>
        <family val="2"/>
      </rPr>
      <t>Mean</t>
    </r>
  </si>
  <si>
    <r>
      <rPr>
        <sz val="9"/>
        <color indexed="8"/>
        <rFont val="Arial"/>
        <family val="2"/>
      </rPr>
      <t>Country where interviewed</t>
    </r>
  </si>
  <si>
    <r>
      <rPr>
        <sz val="9"/>
        <color indexed="8"/>
        <rFont val="Arial"/>
        <family val="2"/>
      </rPr>
      <t>Armenia</t>
    </r>
  </si>
  <si>
    <r>
      <rPr>
        <sz val="9"/>
        <color indexed="8"/>
        <rFont val="Arial"/>
        <family val="2"/>
      </rPr>
      <t>Azerbaijan</t>
    </r>
  </si>
  <si>
    <r>
      <rPr>
        <sz val="9"/>
        <color indexed="8"/>
        <rFont val="Arial"/>
        <family val="2"/>
      </rPr>
      <t>Bangladesh</t>
    </r>
  </si>
  <si>
    <r>
      <rPr>
        <sz val="9"/>
        <color indexed="8"/>
        <rFont val="Arial"/>
        <family val="2"/>
      </rPr>
      <t>Burkina Faso</t>
    </r>
  </si>
  <si>
    <r>
      <rPr>
        <sz val="9"/>
        <color indexed="8"/>
        <rFont val="Arial"/>
        <family val="2"/>
      </rPr>
      <t>Benin</t>
    </r>
  </si>
  <si>
    <r>
      <rPr>
        <sz val="9"/>
        <color indexed="8"/>
        <rFont val="Arial"/>
        <family val="2"/>
      </rPr>
      <t>Bolivia</t>
    </r>
  </si>
  <si>
    <r>
      <rPr>
        <sz val="9"/>
        <color indexed="8"/>
        <rFont val="Arial"/>
        <family val="2"/>
      </rPr>
      <t>Congo Dem Rep</t>
    </r>
  </si>
  <si>
    <r>
      <rPr>
        <sz val="9"/>
        <color indexed="8"/>
        <rFont val="Arial"/>
        <family val="2"/>
      </rPr>
      <t>Congo-Brazzaville</t>
    </r>
  </si>
  <si>
    <r>
      <rPr>
        <sz val="9"/>
        <color indexed="8"/>
        <rFont val="Arial"/>
        <family val="2"/>
      </rPr>
      <t>Cameroon</t>
    </r>
  </si>
  <si>
    <r>
      <rPr>
        <sz val="9"/>
        <color indexed="8"/>
        <rFont val="Arial"/>
        <family val="2"/>
      </rPr>
      <t>Dominican Republic</t>
    </r>
  </si>
  <si>
    <r>
      <rPr>
        <sz val="9"/>
        <color indexed="8"/>
        <rFont val="Arial"/>
        <family val="2"/>
      </rPr>
      <t>Egypt</t>
    </r>
  </si>
  <si>
    <r>
      <rPr>
        <sz val="9"/>
        <color indexed="8"/>
        <rFont val="Arial"/>
        <family val="2"/>
      </rPr>
      <t>Ethiopia</t>
    </r>
  </si>
  <si>
    <r>
      <rPr>
        <sz val="9"/>
        <color indexed="8"/>
        <rFont val="Arial"/>
        <family val="2"/>
      </rPr>
      <t>Ghana</t>
    </r>
  </si>
  <si>
    <r>
      <rPr>
        <sz val="9"/>
        <color indexed="8"/>
        <rFont val="Arial"/>
        <family val="2"/>
      </rPr>
      <t>Guinea</t>
    </r>
  </si>
  <si>
    <r>
      <rPr>
        <sz val="9"/>
        <color indexed="8"/>
        <rFont val="Arial"/>
        <family val="2"/>
      </rPr>
      <t>Honduras</t>
    </r>
  </si>
  <si>
    <r>
      <rPr>
        <sz val="9"/>
        <color indexed="8"/>
        <rFont val="Arial"/>
        <family val="2"/>
      </rPr>
      <t>Haiti</t>
    </r>
  </si>
  <si>
    <r>
      <rPr>
        <sz val="9"/>
        <color indexed="8"/>
        <rFont val="Arial"/>
        <family val="2"/>
      </rPr>
      <t>Indonesia</t>
    </r>
  </si>
  <si>
    <r>
      <rPr>
        <sz val="9"/>
        <color indexed="8"/>
        <rFont val="Arial"/>
        <family val="2"/>
      </rPr>
      <t>India</t>
    </r>
  </si>
  <si>
    <r>
      <rPr>
        <sz val="9"/>
        <color indexed="8"/>
        <rFont val="Arial"/>
        <family val="2"/>
      </rPr>
      <t>Jordan</t>
    </r>
  </si>
  <si>
    <r>
      <rPr>
        <sz val="9"/>
        <color indexed="8"/>
        <rFont val="Arial"/>
        <family val="2"/>
      </rPr>
      <t>Kenya</t>
    </r>
  </si>
  <si>
    <r>
      <rPr>
        <sz val="9"/>
        <color indexed="8"/>
        <rFont val="Arial"/>
        <family val="2"/>
      </rPr>
      <t>Cambodia</t>
    </r>
  </si>
  <si>
    <r>
      <rPr>
        <sz val="9"/>
        <color indexed="8"/>
        <rFont val="Arial"/>
        <family val="2"/>
      </rPr>
      <t>Liberia</t>
    </r>
  </si>
  <si>
    <r>
      <rPr>
        <sz val="9"/>
        <color indexed="8"/>
        <rFont val="Arial"/>
        <family val="2"/>
      </rPr>
      <t>Lesotho</t>
    </r>
  </si>
  <si>
    <r>
      <rPr>
        <sz val="9"/>
        <color indexed="8"/>
        <rFont val="Arial"/>
        <family val="2"/>
      </rPr>
      <t>Morocco</t>
    </r>
  </si>
  <si>
    <r>
      <rPr>
        <sz val="9"/>
        <color indexed="8"/>
        <rFont val="Arial"/>
        <family val="2"/>
      </rPr>
      <t>Moldova</t>
    </r>
  </si>
  <si>
    <r>
      <rPr>
        <sz val="9"/>
        <color indexed="8"/>
        <rFont val="Arial"/>
        <family val="2"/>
      </rPr>
      <t>Madagascar</t>
    </r>
  </si>
  <si>
    <r>
      <rPr>
        <sz val="9"/>
        <color indexed="8"/>
        <rFont val="Arial"/>
        <family val="2"/>
      </rPr>
      <t>Mali</t>
    </r>
  </si>
  <si>
    <r>
      <rPr>
        <sz val="9"/>
        <color indexed="8"/>
        <rFont val="Arial"/>
        <family val="2"/>
      </rPr>
      <t>Malawi</t>
    </r>
  </si>
  <si>
    <r>
      <rPr>
        <sz val="9"/>
        <color indexed="8"/>
        <rFont val="Arial"/>
        <family val="2"/>
      </rPr>
      <t>Mozambique</t>
    </r>
  </si>
  <si>
    <r>
      <rPr>
        <sz val="9"/>
        <color indexed="8"/>
        <rFont val="Arial"/>
        <family val="2"/>
      </rPr>
      <t>Namibia</t>
    </r>
  </si>
  <si>
    <r>
      <rPr>
        <sz val="9"/>
        <color indexed="8"/>
        <rFont val="Arial"/>
        <family val="2"/>
      </rPr>
      <t>Niger</t>
    </r>
  </si>
  <si>
    <r>
      <rPr>
        <sz val="9"/>
        <color indexed="8"/>
        <rFont val="Arial"/>
        <family val="2"/>
      </rPr>
      <t>Nigeria</t>
    </r>
  </si>
  <si>
    <r>
      <rPr>
        <sz val="9"/>
        <color indexed="8"/>
        <rFont val="Arial"/>
        <family val="2"/>
      </rPr>
      <t>Nicaragua</t>
    </r>
  </si>
  <si>
    <r>
      <rPr>
        <sz val="9"/>
        <color indexed="8"/>
        <rFont val="Arial"/>
        <family val="2"/>
      </rPr>
      <t>Nepal</t>
    </r>
  </si>
  <si>
    <r>
      <rPr>
        <sz val="9"/>
        <color indexed="8"/>
        <rFont val="Arial"/>
        <family val="2"/>
      </rPr>
      <t>Philippines</t>
    </r>
  </si>
  <si>
    <r>
      <rPr>
        <sz val="9"/>
        <color indexed="8"/>
        <rFont val="Arial"/>
        <family val="2"/>
      </rPr>
      <t>Rwanda</t>
    </r>
  </si>
  <si>
    <r>
      <rPr>
        <sz val="9"/>
        <color indexed="8"/>
        <rFont val="Arial"/>
        <family val="2"/>
      </rPr>
      <t>Sierra Leone</t>
    </r>
  </si>
  <si>
    <r>
      <rPr>
        <sz val="9"/>
        <color indexed="8"/>
        <rFont val="Arial"/>
        <family val="2"/>
      </rPr>
      <t>Senegal</t>
    </r>
  </si>
  <si>
    <r>
      <rPr>
        <sz val="9"/>
        <color indexed="8"/>
        <rFont val="Arial"/>
        <family val="2"/>
      </rPr>
      <t>Swaziland</t>
    </r>
  </si>
  <si>
    <r>
      <rPr>
        <sz val="9"/>
        <color indexed="8"/>
        <rFont val="Arial"/>
        <family val="2"/>
      </rPr>
      <t>Chad</t>
    </r>
  </si>
  <si>
    <r>
      <rPr>
        <sz val="9"/>
        <color indexed="8"/>
        <rFont val="Arial"/>
        <family val="2"/>
      </rPr>
      <t>Turkey</t>
    </r>
  </si>
  <si>
    <r>
      <rPr>
        <sz val="9"/>
        <color indexed="8"/>
        <rFont val="Arial"/>
        <family val="2"/>
      </rPr>
      <t>Tanzania</t>
    </r>
  </si>
  <si>
    <r>
      <rPr>
        <sz val="9"/>
        <color indexed="8"/>
        <rFont val="Arial"/>
        <family val="2"/>
      </rPr>
      <t>Ukraine</t>
    </r>
  </si>
  <si>
    <r>
      <rPr>
        <sz val="9"/>
        <color indexed="8"/>
        <rFont val="Arial"/>
        <family val="2"/>
      </rPr>
      <t>Uganda</t>
    </r>
  </si>
  <si>
    <r>
      <rPr>
        <sz val="9"/>
        <color indexed="8"/>
        <rFont val="Arial"/>
        <family val="2"/>
      </rPr>
      <t>Zambia</t>
    </r>
  </si>
  <si>
    <r>
      <rPr>
        <sz val="9"/>
        <color indexed="8"/>
        <rFont val="Arial"/>
        <family val="2"/>
      </rPr>
      <t>Zimbabwe</t>
    </r>
  </si>
  <si>
    <t>Data below from 'link between temperature and GBV.sps',11Nov2010</t>
  </si>
  <si>
    <r>
      <rPr>
        <sz val="9"/>
        <color indexed="8"/>
        <rFont val="Arial"/>
        <family val="2"/>
      </rPr>
      <t>at_h_any_</t>
    </r>
  </si>
  <si>
    <t>Data below is from the above website (slightly different results to my calculations from DHS: I don't know why).</t>
  </si>
  <si>
    <t>Accept GBV (any of the reasons)</t>
  </si>
  <si>
    <t>missing in my SPSS output;   why?</t>
  </si>
  <si>
    <t>Seychelles</t>
  </si>
  <si>
    <t>Kiribati</t>
  </si>
  <si>
    <t/>
  </si>
  <si>
    <t>years</t>
  </si>
  <si>
    <t>age range</t>
  </si>
  <si>
    <t>includes psychological, physical &amp; sexual violence</t>
  </si>
  <si>
    <t>Kofale district</t>
  </si>
  <si>
    <t>Yohannes Dibaba (2008) 'Prevalence and correlates of intimate partner physical violence against women in Kofale District, Ethiopia', Tropical Doctor 38:52-54</t>
  </si>
  <si>
    <t>infertile women</t>
  </si>
  <si>
    <t>2009-10</t>
  </si>
  <si>
    <t>Kantale</t>
  </si>
  <si>
    <t>Badullla district</t>
  </si>
  <si>
    <t>Dili &amp; Alieu</t>
  </si>
  <si>
    <t>also mentions definition of GBV</t>
  </si>
  <si>
    <t>Karachi</t>
  </si>
  <si>
    <t>http://linkinghub.elsevier.com/retrieve/pii/S0020729299000351</t>
  </si>
  <si>
    <t>Fikree FF &amp; Bhatti LI (1999), 'Domestic violence and health of Pakistani women', International Journal of Gynecology &amp; Obstetrics 65 (2): 195-201.</t>
  </si>
  <si>
    <t>San José</t>
  </si>
  <si>
    <t>Edda Quiróz y Olga Barrantes. 1994. Y vivieron felices para siempre? San José, Costa Rica: Centro Nacional para el Desarrollo de la Mujer y la Familia</t>
  </si>
  <si>
    <t>30-40</t>
  </si>
  <si>
    <t>child welfare clinic</t>
  </si>
  <si>
    <t>Quito barrio</t>
  </si>
  <si>
    <t>ab</t>
  </si>
  <si>
    <t>aa</t>
  </si>
  <si>
    <t>ac</t>
  </si>
  <si>
    <t>Sacatepequez</t>
  </si>
  <si>
    <t>Trondheim</t>
  </si>
  <si>
    <t>elites oversampled in urban sample</t>
  </si>
  <si>
    <t>Port Moresby: low income</t>
  </si>
  <si>
    <t>urban:  elite</t>
  </si>
  <si>
    <t>Toft (1988)</t>
  </si>
  <si>
    <t>Sheikh-Hashim &amp; Gabba (1990)</t>
  </si>
  <si>
    <t>Sonali (1990)</t>
  </si>
  <si>
    <t>Schol &amp; Bakketaig (1989)</t>
  </si>
  <si>
    <t>Handworker (1993b)</t>
  </si>
  <si>
    <t>Handworker (1993a)</t>
  </si>
  <si>
    <t>ad</t>
  </si>
  <si>
    <t>www.state.gov/g/drl/rls/hrrpt/2005/61713.htm</t>
  </si>
  <si>
    <t>U.S. Department of State (2006), 'Argentina'</t>
  </si>
  <si>
    <t>the estimate is from Inter-American Development Bank</t>
  </si>
  <si>
    <t>20-40</t>
  </si>
  <si>
    <t>999999999 means sample size unknown</t>
  </si>
  <si>
    <t>Gaza Strip/West Bank: Palestinian population</t>
  </si>
  <si>
    <t>Palestinian refugees</t>
  </si>
  <si>
    <t>&gt;13</t>
  </si>
  <si>
    <t>15-45</t>
  </si>
  <si>
    <t>DOI: 10.1177/1077801207311860</t>
  </si>
  <si>
    <t>ae</t>
  </si>
  <si>
    <t>Giridhari Sharma Paudel (2007), 'Domestic Violence against Women in Nepal', Gender Technology and Development 2007 11: 199-233</t>
  </si>
  <si>
    <t>&gt;10</t>
  </si>
  <si>
    <t>2003-4</t>
  </si>
  <si>
    <t>polyclinic in Yerevan</t>
  </si>
  <si>
    <t>af</t>
  </si>
  <si>
    <t>ah</t>
  </si>
  <si>
    <t>Zenica</t>
  </si>
  <si>
    <t>ai</t>
  </si>
  <si>
    <t>ESE (2000), 'Domestic Violence', Association for Emancipation, Solidarity and Equality of Women (ESE): Skopje, Macedonia.</t>
  </si>
  <si>
    <t>PEC 2003</t>
  </si>
  <si>
    <t>21-65</t>
  </si>
  <si>
    <t>aj</t>
  </si>
  <si>
    <t>Montivideo &amp; Canelones</t>
  </si>
  <si>
    <t>Jeddah</t>
  </si>
  <si>
    <t>abused by a family member: may not be husband</t>
  </si>
  <si>
    <t>20-50</t>
  </si>
  <si>
    <t>ak</t>
  </si>
  <si>
    <t>16-70</t>
  </si>
  <si>
    <t>15-64</t>
  </si>
  <si>
    <t>www.ams.ac.ir/AIM/NEWPUB/07/10/3/006.pdf</t>
  </si>
  <si>
    <t>Marzieh Nojomi, Saideh Agaee &amp; Samira Eslami (2007), 'Domestic Violence Against Women Attending Gynecologic Outpatient Clinics', Archives of Iranian Medicine, 10:3 309 – 315.</t>
  </si>
  <si>
    <t>www.ncbi.nlm.nih.gov/pubmed/16761657</t>
  </si>
  <si>
    <t>Ghazizadeh A. (2005), 'Domestic violence: a cross-sectional study in an Iranian city', East Mediterranean Health Journal 11(5-6): 880-7.</t>
  </si>
  <si>
    <t>Sanandaj city</t>
  </si>
  <si>
    <t>Babol city</t>
  </si>
  <si>
    <t>www.ncbi.nlm.nih.gov/pubmed/16761656</t>
  </si>
  <si>
    <t>Faramarzi M, Esmailzadeh S, Mosavi S. (2005), 'Prevalence and determinants of intimate partner violence in Babol City, Islamic Republic of Iran', East Mediterr Health Journal, 11(5-6):870-9.</t>
  </si>
  <si>
    <t>al</t>
  </si>
  <si>
    <t>16-60</t>
  </si>
  <si>
    <t>Soul City</t>
  </si>
  <si>
    <t>Recife</t>
  </si>
  <si>
    <t>Ludermir AB, Lewis G, Valongueiro SA, de Araújo TV, Araya R. (2010), 'Violence against women by their intimate partner during pregnancy and postnatal depression: a prospective cohort study', Lancet. 11; 376 (9744):903-10.</t>
  </si>
  <si>
    <t>www.biosciencetrends.com/action/downloaddoc.php?docid=308</t>
  </si>
  <si>
    <t>Ahmed AM, Elmardi AE (2005), 'A study of domestic violence among women attending a medical centre in Sudan', East Mediterr Health Journal, 11(1-2): 164-74.</t>
  </si>
  <si>
    <t>Omdurman</t>
  </si>
  <si>
    <t>Carmen Vives-Cases, Diana Gil-González, Juncal Plazaola-Castaño, María Isabel Montero-Piñar, Isabel Ruiz-Pérez, Vicenta Escribà-Agüir, Gaby Ortiz-Barreda, Jordi Torrubiano-Domínguez and G6 para el Estudio de la Violencia de Género en España (2009), 'Violencia de género en mujeres inmigrantes y españolas: magnitud, respuestas ante el problema y políticas existentes', Gaceta Sanitaria, 23 Supplement 1, 100-106</t>
  </si>
  <si>
    <t>2006-7</t>
  </si>
  <si>
    <t>p. 488</t>
  </si>
  <si>
    <t xml:space="preserve"> 12-49</t>
  </si>
  <si>
    <t>Republique du Niger Institut National de la Statistique (2009), 'Enquete Demographic et de Sante au Niger en 2006: La documentation de l'etude', Institut National de la Statistique: ministere de l'economie et des finances.</t>
  </si>
  <si>
    <t>2008-9</t>
  </si>
  <si>
    <t>On 23 Nov 2010, data not yet available for download from DHS website</t>
  </si>
  <si>
    <t>Instituto Nacional de Estatística, Ministério da Saúde, e ICF Macro (2010), 'Inquérito Demográfico e Sanitário, São Tomé e Príncipe', IDS STP, 2008-2009. Calverton, Maryland, USA: INE.</t>
  </si>
  <si>
    <t>Chan Wing Cheong, Benny Bong &amp; Suzanne Anderson (2010), 'International Violence Against Women Survey: The Singapore Report, downloaded 18 Nov 2010</t>
  </si>
  <si>
    <t>www.ncbi.nlm.nih.gov/pubmed/20961542</t>
  </si>
  <si>
    <t>www.scielo.org.ar/pdf/medba/v64n6/v64n6a03.pdf</t>
  </si>
  <si>
    <t>Zinder, Agadez, Dosso, Maradi</t>
  </si>
  <si>
    <t xml:space="preserve"> 'Spouse ever pushed, shook, or threw something' (D105a). MICS is combined with DHS on www.childinfo.org/mics3_surveys.html#bottom</t>
  </si>
  <si>
    <t>83% of Kyrgyz women face some form of violence from husband, but this includes psychological etc.</t>
  </si>
  <si>
    <t>UNITE to end violence against women (undated), 'Crisis Centers of Kyrgyzstan', UNIFEM</t>
  </si>
  <si>
    <t>The UN Seceretary-General's database on violence against women</t>
  </si>
  <si>
    <t>Government of Qatar (2007), 'Violence against married women in Qatar: a field study'</t>
  </si>
  <si>
    <t>Syrian Commission for Family Affairs, the General Women's Federation, the Central Bureau of Statistics, &amp; UNIFEM (2005), 'Violence against women in Syria study'</t>
  </si>
  <si>
    <t xml:space="preserve">Piispa, Minna &amp; Heiskanen, Markku &amp; Kääriäinen, Juha &amp; Sirén, Reino (2006). Naisiin kohdistuva väkivalta (violence against women) 2005. Publications of the National Research Institute of Legal Policy 225 and HEUNI Publication series No. 51. Helsinki. </t>
  </si>
  <si>
    <t>18-60</t>
  </si>
  <si>
    <t>am</t>
  </si>
  <si>
    <t>p. 14</t>
  </si>
  <si>
    <t>source aa implies this is prevalence in the last 12 months.  And that 15% of adults considered wife beating acceptable.</t>
  </si>
  <si>
    <t>19-64</t>
  </si>
  <si>
    <t>downloaded</t>
  </si>
  <si>
    <t>www.ncbi.nlm.nih.gov/pubmed/20822809?tool=MedlinePlus</t>
  </si>
  <si>
    <t>www.un.org.kg/en/publications/document-database/article/86-Document%20Database/4016-crisis-centers-of-kyrgyzstan</t>
  </si>
  <si>
    <t>www.ins.ne/nada/toolkit/EDSN_2006/survey0/data/Rapports/rapport_pdf.pdf</t>
  </si>
  <si>
    <t>www.measuredhs.com/pubs/pdf/FR233/FR233.pdf</t>
  </si>
  <si>
    <t>www.carl-sl.org/home/index.php?option=com_content&amp;view=article&amp;id=436:summary-of-a-report-on-the-prevalence-of-gender-based-violence-in-northern-sierra-leone&amp;catid=5:reports&amp;Itemid=20</t>
  </si>
  <si>
    <t>www.ncss.org.sg/vwocorner/research_gateway/Family_abstract_12.pdf</t>
  </si>
  <si>
    <t>www.sciencedirect.com/science?_ob=ArticleURL&amp;_udi=B9839-4XM6SY4-3&amp;_user=8818308&amp;_coverDate=12%2F31%2F2009&amp;_alid=1549243883&amp;_rdoc=125&amp;_fmt=high&amp;_orig=search&amp;_origin=search&amp;_zone=rslt_list_item&amp;_cdi=59037&amp;_sort=r&amp;_st=13&amp;_docanchor=&amp;view=c&amp;_ct=310&amp;_acct=C000050200&amp;_version=1&amp;_urlVersion=0&amp;_userid=8818308&amp;md5=9bfc2bf702db207583333a30a8c063fc&amp;searchtype=a</t>
  </si>
  <si>
    <t>www.ncbi.nlm.nih.gov/pubmed/16532685?dopt=AbstractPlus&amp;holding=f1000,f1000m,isrctn</t>
  </si>
  <si>
    <t>webapps01.un.org/vawdatabase/uploads/Analyse%20de%20la%20situation%20de%20la%20femmes%20et%20de%20l%27enfant%20au%20Niger%20-%202008.pdf</t>
  </si>
  <si>
    <t>Antananarivo</t>
  </si>
  <si>
    <t>15-62</t>
  </si>
  <si>
    <t>www.lped.org/IMG/pdf/BIP_32.pdf</t>
  </si>
  <si>
    <t>webapps01.un.org/vawdatabase/searchDetail.action?measureId=24004</t>
  </si>
  <si>
    <t>Bodnárová, B. and Filadelfiová, J. (2009), 'Domestic violence and violence committed against women in the Slovak Republic, 2003'</t>
  </si>
  <si>
    <t>The UN Secretary-General's database on violence against women</t>
  </si>
  <si>
    <t>www.ncbi.nlm.nih.gov/pubmed/20931908</t>
  </si>
  <si>
    <t>www.unhcr.org/refworld/publisher,IRBC,,,4b20eff748,0.html</t>
  </si>
  <si>
    <t>webapps01.un.org/vawdatabase/uploads/Turkey%20-%20National%20Research%20on%20Domestic%20Violence%20Against%20Women%202008.pdf</t>
  </si>
  <si>
    <t>15-59</t>
  </si>
  <si>
    <t>WAS</t>
  </si>
  <si>
    <t>national: urban only</t>
  </si>
  <si>
    <t>13-49</t>
  </si>
  <si>
    <t>2004-5</t>
  </si>
  <si>
    <t>an</t>
  </si>
  <si>
    <t>26% ever beaten 'severely'</t>
  </si>
  <si>
    <t>northern Sierra Leone</t>
  </si>
  <si>
    <t>DHS surveys are from 'link between temperature and GBV.sps'.</t>
  </si>
  <si>
    <t>www.state.gov/g/drl/rls/hrrpt/2009/af/135937.htm</t>
  </si>
  <si>
    <t>www.usaid.gov/our_work/global_health/pop/news/responseviolence.html</t>
  </si>
  <si>
    <t>www.ettasos.com/download/12.pdf</t>
  </si>
  <si>
    <t>15-80</t>
  </si>
  <si>
    <t>15-75</t>
  </si>
  <si>
    <t>16-80</t>
  </si>
  <si>
    <t>18-85</t>
  </si>
  <si>
    <t>18-86</t>
  </si>
  <si>
    <t>17-80</t>
  </si>
  <si>
    <t>18-75</t>
  </si>
  <si>
    <t>VIII</t>
  </si>
  <si>
    <t>women and men</t>
  </si>
  <si>
    <t>Sources:</t>
  </si>
  <si>
    <t xml:space="preserve"> pp.13-5</t>
  </si>
  <si>
    <t>UN (2006), 'Ending violence against women: From words to action', Study of the Secretary-General</t>
  </si>
  <si>
    <t>ag</t>
  </si>
  <si>
    <t>www.prb.org/Articles/2001/DomesticViolenceAnOngoingThreattoWomeninLatinAmericaandtheCaribbean.aspx</t>
  </si>
  <si>
    <t>www.icrh.org/projects/developing-strategies-to-combat-violence-against-women-in-developing-countries-health-care-</t>
  </si>
  <si>
    <t>www.ncbi.nlm.nih.gov/pmc/articles/PMC2042491/?tool=pubmed</t>
  </si>
  <si>
    <t>www.oxfam.org/sites/www.oxfam.org/files/oxfam-in-her-own-words-iraqi-women-survey-08mar2009.pdf</t>
  </si>
  <si>
    <t>www.usaid.gov/locations/europe_eurasia/dem_gov/docs/domestic_violence_study_final.pdf</t>
  </si>
  <si>
    <t>www.cahrv.uni-osnabrueck.de/conference/SummaryGermanVAWstudy.pdf</t>
  </si>
  <si>
    <t>www.cahrv.uni-osnabrueck.de/reddot/D_20_Comparative_reanalysis_of_prevalence_of_violence_pub.pdf</t>
  </si>
  <si>
    <t>www.oecd.org/dataoecd/30/26/45583188.pdf</t>
  </si>
  <si>
    <t>vaw.sagepub.com/content/14/1/53.full.pdf+html</t>
  </si>
  <si>
    <t>www.bvsde.paho.org/bvsacd/cd66/1073eng.pdf</t>
  </si>
  <si>
    <t>www.un.org/womenwatch/daw/vaw/publications/English%20Study.pdf</t>
  </si>
  <si>
    <t>www-wds.worldbank.org/servlet/WDSContentServer/WDSP/IB/1999/04/28/000009265_3970716144635/Rendered/PDF/multi0page.pdf</t>
  </si>
  <si>
    <t>www.unece.org/stats/gender/publications/Multi-Country/Researching_Violence_against_Women.pdf</t>
  </si>
  <si>
    <t>Researching_Violence_against_Women.pdf</t>
  </si>
  <si>
    <t>Ending violence against women'</t>
  </si>
  <si>
    <t>table 1</t>
  </si>
  <si>
    <t>gtd.sagepub.com/content/11/2/199.full.pdf+html</t>
  </si>
  <si>
    <t>webapps01.un.org/vawdatabase/searchDetail.action?measureId=17400</t>
  </si>
  <si>
    <t>www.womenwarpeace.org/opt/docs/Domestic_PCBS_opT.pdf</t>
  </si>
  <si>
    <t>Domestic violence survey 2005'</t>
  </si>
  <si>
    <t>The Health and Welfare of Women in Israel: Findings from a National Survey'</t>
  </si>
  <si>
    <t>www.aifs.gov.au/acssa/statistics.html#internatsurvey</t>
  </si>
  <si>
    <t>Statistical Information', Australian Institute of Family Studies, Australian Government.</t>
  </si>
  <si>
    <t>Burazeri et al (2005)</t>
  </si>
  <si>
    <t>Genc Burazeri, Enver Roshi, Rachel Jewkes, Susanne Jordan, Vesna Bjegovic, Ulrich Laaser (2005), Factors associated with spousal physical violence in Albania: cross sectional study, British medical Journal 331: 197-201.</t>
  </si>
  <si>
    <t>Eisikovits et al. (2004), 'The First Israeli National Survey on Domestic Violence', Violence against women vol 10(7) pp.729-48.</t>
  </si>
  <si>
    <t>Eisikovits et al. (2004)</t>
  </si>
  <si>
    <t>Sonia Montaño &amp; Diane Alméras (eds.) (2009), 'No more! The right of women to live a life free of violence in Latin America and the Caribbean'</t>
  </si>
  <si>
    <t>Montaño &amp; Alméras (2009: p. 30)</t>
  </si>
  <si>
    <t>ENDIREH</t>
  </si>
  <si>
    <t>www.un.org/womenwatch/daw/egm/vaw_indicators_2007/papers/Invited%20Paper%20Mexico%20ENDIREH.pdf</t>
  </si>
  <si>
    <t>p. 7</t>
  </si>
  <si>
    <t>Jakarta, Surabaya, Bandung &amp; Palembang</t>
  </si>
  <si>
    <t>www.was-survey.org/id25.html</t>
  </si>
  <si>
    <t>www.was-survey.org/id30.html</t>
  </si>
  <si>
    <t>Faramarzi et al. (2005)</t>
  </si>
  <si>
    <t>Ghazizadeh (2005)</t>
  </si>
  <si>
    <t>Nojomi et al. (2007)</t>
  </si>
  <si>
    <t>www.was-survey.org/2009-cameroon.html</t>
  </si>
  <si>
    <t>www.was-survey.org/id16.html</t>
  </si>
  <si>
    <t>Simister &amp; Zaky (2009)</t>
  </si>
  <si>
    <t>Dibaba (2008)</t>
  </si>
  <si>
    <t>Simister &amp; Mehta (2010)</t>
  </si>
  <si>
    <t>GBV: last 12 months</t>
  </si>
  <si>
    <t>Binet &amp; Bénédicte (2007)</t>
  </si>
  <si>
    <t>Ahmed &amp; Elmardi (2005)</t>
  </si>
  <si>
    <t>20-59</t>
  </si>
  <si>
    <t>www.reunion.sante.gouv.fr/services/enveff.pdf</t>
  </si>
  <si>
    <t>ENVEFF</t>
  </si>
  <si>
    <t>Clotilde Binet &amp; Gastineau Bénédicte (2007), 'Etude sur la violence conjugale à Antananarivo', BULLETIN D’INFORMATION SUR LA POPULATION DE MADAGASCAR: vol 32 (November): pp.1-5.</t>
  </si>
  <si>
    <t>td.rsmjournals.com/cgi/content/abstract/38/1/52</t>
  </si>
  <si>
    <t>webapps01.un.org/vawdatabase/searchDetail.action?measureId=25432</t>
  </si>
  <si>
    <t>U.S. Department of State (2010), '2009 Human rights report: Angola', Bureau of democracy, human rights, and labor</t>
  </si>
  <si>
    <t>USAID (undated), 'Armenia: Improving Providers? Response to Violence Against Women'</t>
  </si>
  <si>
    <t>Ludermir et al. (2010)</t>
  </si>
  <si>
    <t>Pontecorvo et al. (2004)</t>
  </si>
  <si>
    <t xml:space="preserve">Pontecorvo C., Mejia R., Aleman M., Vidal A., Majdalani M.P., Fayanas R., Fernandez A. &amp; Stable E.J.P. (2004), 'Violencia domestica contra la mujer: una encuesta en consultorios de atencion primaria, Medicina (Buenos Aires) 64: 492-6.  [Detection of domestic violence against women. Survey in a primary health care clinic] [Article in Spanish]  </t>
  </si>
  <si>
    <t>www.childinfo.org/files/MICS3_CAR_FinalReport_2006_Fr.pdf</t>
  </si>
  <si>
    <t>ICASEES (2009)</t>
  </si>
  <si>
    <t>ICASEES (Institut Centrafricain des Statistiques, et des Etudes Economiques et Sociales) (2009),'Suivi de la Situation des Enfants et des Femmes -3 Résultats de l’enquête nationale à indicateurs multiples couplée avec la sérologie VIH et anémie en RCA 2006'</t>
  </si>
  <si>
    <t>Piispa et al. (2006)</t>
  </si>
  <si>
    <t>Ardayfio-Schandorf (2005)</t>
  </si>
  <si>
    <t xml:space="preserve">www.eclac.org/publicaciones/xml/4/32194/Nomore.pdf </t>
  </si>
  <si>
    <t>Paudel (2007)</t>
  </si>
  <si>
    <t>INS (2009)</t>
  </si>
  <si>
    <t>Fikree &amp; Bhatti (1999)</t>
  </si>
  <si>
    <t>Vives-Cases et al. (2009)</t>
  </si>
  <si>
    <t>Jayatilleke A.C., Poudel K.C., Yasuoka J., Jayatilleke A.U. &amp; Jimba M. (2010), 'Intimate partner violence in Sri Lanka', BioScience Trends, 4(3): 90-5.</t>
  </si>
  <si>
    <t>Jayatilleke et al. (2010)</t>
  </si>
  <si>
    <t>Dunkle et al. (2004)</t>
  </si>
  <si>
    <t>Dunkle K.L., Jewkes R.K., Brown H.C., Yoshihama M., Gray G.E., McIntyre J.A. &amp; Harlow S.D. (2004), 'Prevalence and Patterns of Gender-based Violence and Revictimization among Women Attending Antenatal Clinics in Soweto, South Africa', American Journal of Epidemiology 160 (3), 230-9.</t>
  </si>
  <si>
    <t>uaps2007.princeton.edu/download.aspx?submissionId=70609</t>
  </si>
  <si>
    <t>34.2% is from page 19: not clear if this is women respondents, or women &amp; men.</t>
  </si>
  <si>
    <t>www.rhrc.org/resources/East%20Timor_gbv_en.pdf</t>
  </si>
  <si>
    <t>The UN Seceretary-General's database on violence against women http://webapps01.un.org/vawdatabase/searchDetail.action?measureId=25432</t>
  </si>
  <si>
    <t>Kim &amp; Cho (1992: p. 280)</t>
  </si>
  <si>
    <t>website I downloaded jnl article</t>
  </si>
  <si>
    <t>global</t>
  </si>
  <si>
    <t>Below here, sources I didn't include above:</t>
  </si>
  <si>
    <t>DRC</t>
  </si>
  <si>
    <t>This sample is men &amp; women; I can't find a  sample of only women.</t>
  </si>
  <si>
    <t>date downloaded</t>
  </si>
  <si>
    <t>webapps01.un.org/vawdatabase/searchDetail.action?measureId=27929</t>
  </si>
  <si>
    <t>Esperienza Transparenza Tutela Aiuto (ETTASOS) (2006), 'La violenza e i maltrattamenti contro le donne dentro e fuori la famiglia'</t>
  </si>
  <si>
    <t>Ramírez E.G. (2007), ‘ENDIREH-2006’s achievements and limitations in determining indicators for measuring violence against women in Mexico’.</t>
  </si>
  <si>
    <t>Castro et al. (2003)</t>
  </si>
  <si>
    <t>Roberto Castro, Corinne Peek-Asa &amp; Agustin Ruiz (2003), 'Violence Against Women in Mexico: A Study of Abuse Before and During Pregnancy', American Journal of Public Health, 93 (7): 1110-6.</t>
  </si>
  <si>
    <t>Cuernavaca &amp; Cuautla</t>
  </si>
  <si>
    <t>This is a letter, not a peer-reviewed article</t>
  </si>
  <si>
    <t>Richardson et al. (2002)</t>
  </si>
  <si>
    <t>Jo Richardson, Jeremy Coid, Ann Petruckevitch,Wai Shan Chung, Stirling Moorey, Gene Feder (2002), ‘Identifying domestic violence: cross sectional study in primary care’, British Medical Journal 324 (2): 1-6.</t>
  </si>
  <si>
    <t>Karamagi et al. (2006)</t>
  </si>
  <si>
    <t>Karamagi, Charles A.S., Tumwine James K., Tylleskar, Thorkild &amp; Heggenhougen, Kristian (2006), ‘Intimate partner violence against women in eastern Uganda: implications for HIV prevention’, BMC Public Health 2006, 6: 284-95.</t>
  </si>
  <si>
    <t>Robert S. Thompson, Amy E. Bonomi, Melissa Anderson, Robert J. Reid, Jane A. Dimer, David Carrell &amp; Frederick P. Rivara (2006), ‘Intimate Partner Violence: Prevalence, Types, and Chronicity in Adult Women’, American Journal of Preventative Medicine 30 (6): 447-57.</t>
  </si>
  <si>
    <t>Thompson et al. (2006)</t>
  </si>
  <si>
    <t>ao</t>
  </si>
  <si>
    <t>Boy &amp; Kulczycki (2008)</t>
  </si>
  <si>
    <t>Angie Boy and Andrzej Kulczycki (2008), ‘What We Know About Intimate Partner Violence in the Middle East and North Africa’, Violence Against Women 14: 53-70.</t>
  </si>
  <si>
    <t>Nagassar R.P., Rawlins J.M., Sampson N.R., Zackerali J., Chankadyal K., Ramasir C. &amp; Boodram R. (2010), ‘The prevalence of domestic violence within different socio-economic classes in Central Trinidad’, West Indian Medical Journal. 59(1): 20-5.</t>
  </si>
  <si>
    <t>Nagassar et al. (2010)</t>
  </si>
  <si>
    <t>ap</t>
  </si>
  <si>
    <t>Schröttle et al. (2006)</t>
  </si>
  <si>
    <t>Schröttle et al. (2006), ‘Comparative reanalysis of prevalence of violence against women and health impact data in Europe – obstacles and possible solutions: Testing a comparative approach on selected studies’, Co-ordination Action on Human Rights Violations (CAHRV), www.cahrv.uni-osnabrueck.de/reddot/D_20_Comparative_reanalysis_of_prevalence_of_violence_pub.pdf</t>
  </si>
  <si>
    <t>Madrid region</t>
  </si>
  <si>
    <t>18-70</t>
  </si>
  <si>
    <t>Zorrilla et al. (2009)</t>
  </si>
  <si>
    <t>Belén Zorrilla, Marisa Pires, Luisa Lasheras, Consuelo Morant, Luis Seoane, Luis M. Sanchez, Iñaki Galán, Ramón Aguirre, Rosa Ramírez &amp; Maria Durbán (2009), 'Intimate partner violence: last year prevalence and association with socio-economic factors among women in Madrid, Spain', European Journal of Public Health 20(2): 169-75.</t>
  </si>
  <si>
    <t>2008-10</t>
  </si>
  <si>
    <t>webapps01.un.org/vawdatabase/searchDetail.action?measureId=40643</t>
  </si>
  <si>
    <t>also webapps01.un.org/vawdatabase/searchDetail.action?measureId=26309</t>
  </si>
  <si>
    <t>also webapps01.un.org/vawdatabase/uploads/Poland%20-%20survey%20on%20violence%20against%20women%20results%202007.pdf</t>
  </si>
  <si>
    <t>18-65</t>
  </si>
  <si>
    <t>aq</t>
  </si>
  <si>
    <t>webapps01.un.org/vawdatabase/uploads/Slovak%20Republic%20-%20Summary%20-%20Representative%20research%20on%20vaw%202008.pdf</t>
  </si>
  <si>
    <t>webapps01.un.org/vawdatabase/searchDetail.action?measureId=36083</t>
  </si>
  <si>
    <r>
      <t>Eva Lundgren, Gun Heimer, Jenny Westerstrand, Anne-Marie Kalliokoski (2002), ‘Captured queen: Men´s violence against women in "equal" Sweden - a prevalence study’, webapps01.un.org/vawdatabase/uploads/Sweden%20-%20Captured%20Queen%20-%20Mens%20violence%20against%20women.pdf downloaded 4</t>
    </r>
    <r>
      <rPr>
        <vertAlign val="superscript"/>
        <sz val="9"/>
        <rFont val="Arial"/>
        <family val="2"/>
      </rPr>
      <t>th</t>
    </r>
    <r>
      <rPr>
        <sz val="9"/>
        <rFont val="Arial"/>
        <family val="2"/>
      </rPr>
      <t xml:space="preserve"> December 2010.</t>
    </r>
  </si>
  <si>
    <t>ar</t>
  </si>
  <si>
    <t>ewlcentreonviolence.org/IMG/pdf/Unveiling_the_hidden_data.pdf</t>
  </si>
  <si>
    <t>as</t>
  </si>
  <si>
    <t>web.ebscohost.com/ehost/pdfviewer/pdfviewer?vid=2&amp;hid=8&amp;sid=4f9955db-6504-415b-832f-a2183953972b%40sessionmgr12</t>
  </si>
  <si>
    <t>unstats.un.org/unsd/demographic/products/Worldswomen/Annex%20tables%20by%20chapter%20-%20pdf/Table6Ato6E.pdf</t>
  </si>
  <si>
    <t>q and as</t>
  </si>
  <si>
    <t>England and Wales</t>
  </si>
  <si>
    <t>at</t>
  </si>
  <si>
    <t>www.alianzaintercambios.org/files/doc/1236282110_Researching%20violence.pdf</t>
  </si>
  <si>
    <t>Almosaed (2004)</t>
  </si>
  <si>
    <t>www.measuredhs.com/pubs/pdf/AIS5/AIS5.pdf</t>
  </si>
  <si>
    <t>www.justice.govt.nz/publications/publications-archived/2003/the-new-zealand-national-survey-of-crime-victims-2001-may-2003/publication</t>
  </si>
  <si>
    <t>Hakim et al. (2001)</t>
  </si>
  <si>
    <t>Haj-Yahia et al (2000)</t>
  </si>
  <si>
    <t>Alhabib, Samia,  Nur, Ula &amp; Jones, Roger (2010), 'Domestic Violence Against Women: Systematic Review of Prevalence Studies', Journal of Family Violence 25: 369-82</t>
  </si>
  <si>
    <t>CTS</t>
  </si>
  <si>
    <t>organisation (or method)</t>
  </si>
  <si>
    <t>Mousavi et al (2005)</t>
  </si>
  <si>
    <t>Khawaja &amp; Barazi (2005)</t>
  </si>
  <si>
    <t>college students</t>
  </si>
  <si>
    <t>Seedat et al (2005)</t>
  </si>
  <si>
    <t>Amar &amp; Gennaro (2005)</t>
  </si>
  <si>
    <t>Koziol-McLain et al (2004)</t>
  </si>
  <si>
    <t>American Indian</t>
  </si>
  <si>
    <t>Iowa</t>
  </si>
  <si>
    <t>Washington</t>
  </si>
  <si>
    <t>AAS</t>
  </si>
  <si>
    <t>NorAQ</t>
  </si>
  <si>
    <t>BRFSS</t>
  </si>
  <si>
    <t>New York: Latin</t>
  </si>
  <si>
    <t>primary care centre</t>
  </si>
  <si>
    <t>15-50</t>
  </si>
  <si>
    <t>Odimegwu &amp; Okemgbo (2003)</t>
  </si>
  <si>
    <t>www.krepublishers.com/02-Journals/T-Anth/Anth-05-0-000-000-2003-Web/Anth-05-4-217-303-2003-Abst-PDF/Anth-05-4-225-236-2003-135-Odimegwu-C/Anth-05-4-225-236-2003-135-Odimegwu-C-Text.pdf</t>
  </si>
  <si>
    <t>Imo: Owerri, Orsu, Oru</t>
  </si>
  <si>
    <t>Jewkes et al (2002)</t>
  </si>
  <si>
    <t>Mexico City: hospital</t>
  </si>
  <si>
    <t>Díaz-Olavarrieta et al (2002)</t>
  </si>
  <si>
    <t>Díaz-Olavarrieta C., Ellertson C., Paza F., Ponce de Leon S. &amp; Alarcon-Segovia D.(2002), 'Prevalence of battering among 1780 outpatients at an internal medicine institution in Mexico', Social Science &amp; Medicine, 55:9, 1589-602.</t>
  </si>
  <si>
    <t>South Carolina</t>
  </si>
  <si>
    <t>surgical trauma clinic</t>
  </si>
  <si>
    <t>ER/community centre</t>
  </si>
  <si>
    <t>non-random sampling</t>
  </si>
  <si>
    <t>snowball sample</t>
  </si>
  <si>
    <t>S.Asian women in Boston</t>
  </si>
  <si>
    <t>men interviewed</t>
  </si>
  <si>
    <t>I can't understand the report</t>
  </si>
  <si>
    <t>webapps01.un.org/vawdatabase/searchDetail.action?measureId=24229</t>
  </si>
  <si>
    <t>Below here: why I don't include this survey above</t>
  </si>
  <si>
    <t>infertile women aren't typical of the whole population</t>
  </si>
  <si>
    <t>ED='emergency department': untypical of population</t>
  </si>
  <si>
    <t>African American university students</t>
  </si>
  <si>
    <t>not representative of the population</t>
  </si>
  <si>
    <t>California</t>
  </si>
  <si>
    <t>Massachusetts: paediatric clinic</t>
  </si>
  <si>
    <t>Montana</t>
  </si>
  <si>
    <t>ASS</t>
  </si>
  <si>
    <t>p.267</t>
  </si>
  <si>
    <t>2004-8</t>
  </si>
  <si>
    <t>couples</t>
  </si>
  <si>
    <t>Above here: I typed % from SPSS, for DHS &amp; WAS surveys</t>
  </si>
  <si>
    <t>Right of here, GBV in last 12 months.</t>
  </si>
  <si>
    <t>GBV not clearly defined: last 12m</t>
  </si>
  <si>
    <t>Prevalence of physical GBV: ever</t>
  </si>
  <si>
    <t>physical &amp; sexual GBV: ever</t>
  </si>
  <si>
    <t>GBV not clearly defined: ever</t>
  </si>
  <si>
    <t>wives: physical/sexual last 12m</t>
  </si>
  <si>
    <t>wives: physical, last 12m</t>
  </si>
  <si>
    <t>women faced physical GBV: last 12m</t>
  </si>
  <si>
    <t>women faced physical or sexual GBV: last 12m</t>
  </si>
  <si>
    <t>GBV: ever</t>
  </si>
  <si>
    <t>This list was begun by:</t>
  </si>
  <si>
    <t>Right of here: GBV ever</t>
  </si>
  <si>
    <t>Columbia: family practice</t>
  </si>
  <si>
    <t>Emergency Department</t>
  </si>
  <si>
    <t>New Mexico: medical practice</t>
  </si>
  <si>
    <t>www.sciencedirect.com/science?_ob=MImg&amp;_imagekey=B6WPG-45FJWCW-2M-1&amp;_cdi=6990&amp;_user=9861034&amp;_pii=S0091743599905522&amp;_origin=search&amp;_coverDate=11%2F30%2F1999&amp;_sk=999709994&amp;view=c&amp;wchp=dGLbVzb-zSkzS&amp;md5=92a44fedb7cb1b3c9ecfca4f29fe891d&amp;ie=/sdarticle.pdf</t>
  </si>
  <si>
    <t>19-65</t>
  </si>
  <si>
    <t>Minnesota: community clinic</t>
  </si>
  <si>
    <t>Texas: Emergency Dept</t>
  </si>
  <si>
    <t>Bursa: primary care</t>
  </si>
  <si>
    <t>Mohsi</t>
  </si>
  <si>
    <t>family practice</t>
  </si>
  <si>
    <t>gynaecology clinic</t>
  </si>
  <si>
    <t>Fuzhou: gynaecology clinic</t>
  </si>
  <si>
    <t>North England: gynaecology clinic</t>
  </si>
  <si>
    <t>WorldSafe</t>
  </si>
  <si>
    <t>New York</t>
  </si>
  <si>
    <t>obstetric/gynaecology clinic</t>
  </si>
  <si>
    <t>east London: GP practice</t>
  </si>
  <si>
    <t>GP practice</t>
  </si>
  <si>
    <t>hospital</t>
  </si>
  <si>
    <t>California: Fresno County</t>
  </si>
  <si>
    <t>SVAW</t>
  </si>
  <si>
    <t>Health Maintenance Org</t>
  </si>
  <si>
    <t>Quebec</t>
  </si>
  <si>
    <t>south India</t>
  </si>
  <si>
    <t>Colorado</t>
  </si>
  <si>
    <t>PVS</t>
  </si>
  <si>
    <t>Kosovo: villages in Peja</t>
  </si>
  <si>
    <t>www.rhrc.org/resources/Kosovo_report__FINAL_RHRC_6-11-08.pdf</t>
  </si>
  <si>
    <t>Women’s Wellness Center (2006), 'Prevalence of Gender-Based Violence: preliminary findings from a field assessment in nine villages in the Peja Region, Kosovo'.</t>
  </si>
  <si>
    <t>Women's Wellness Center (2006)</t>
  </si>
  <si>
    <t>Bujumbura</t>
  </si>
  <si>
    <t>www.omct.org/files/2001/01/2174/burundieng2001.pdf</t>
  </si>
  <si>
    <t>Alhabib et al (2010)</t>
  </si>
  <si>
    <t>www.sciencedirect.com/science?_ob=MImg&amp;_imagekey=B6VBF-46SW158-B-1M&amp;_cdi=5925&amp;_user=8818308&amp;_pii=S0277953601002933&amp;_origin=search&amp;_coverDate=11%2F30%2F2002&amp;_sk=999449990&amp;view=c&amp;wchp=dGLbVzb-zSkzS&amp;md5=9f29c32b495005b1b8694d5d5f847f34&amp;ie=/sdarticle.pdf</t>
  </si>
  <si>
    <t>p.13</t>
  </si>
  <si>
    <t>au</t>
  </si>
  <si>
    <t>av</t>
  </si>
  <si>
    <t>Asmara</t>
  </si>
  <si>
    <t>aw</t>
  </si>
  <si>
    <t>7 regions</t>
  </si>
  <si>
    <t>ax</t>
  </si>
  <si>
    <t>as and ax</t>
  </si>
  <si>
    <t>ay</t>
  </si>
  <si>
    <t>www.genderseychelles.gov.sc/pages/programmes/SexDisaggredatedData.aspx</t>
  </si>
  <si>
    <t>asiapacific.unfpa.org/webdav/site/asiapacific/shared/Publications/2010/Case%20Studies.pdf</t>
  </si>
  <si>
    <t>olddoc.ishr.ch/hrm/tmb/treaty/cedaw/reports/cedaw_39/cedaw_39_guinea.pdf</t>
  </si>
  <si>
    <t>genderindex.org/country/eritrea</t>
  </si>
  <si>
    <t>www.ggp.up.ac.za/gender_equality/course_material/2009/bayard%202.doc</t>
  </si>
  <si>
    <t>az</t>
  </si>
  <si>
    <t>females years in education</t>
  </si>
  <si>
    <t>jan</t>
  </si>
  <si>
    <t>feb</t>
  </si>
  <si>
    <t>mar</t>
  </si>
  <si>
    <t>apr</t>
  </si>
  <si>
    <t>may</t>
  </si>
  <si>
    <t>jun</t>
  </si>
  <si>
    <t>jul</t>
  </si>
  <si>
    <t>aug</t>
  </si>
  <si>
    <t>sep</t>
  </si>
  <si>
    <t>oct</t>
  </si>
  <si>
    <t>nov</t>
  </si>
  <si>
    <t>dec</t>
  </si>
  <si>
    <t>Above column is from http://unstats.un.org/unsd/demographic/products/socind/education.htm downloaded 19 Dec 2010</t>
  </si>
  <si>
    <t>MIN</t>
  </si>
  <si>
    <t>MAX - MIN</t>
  </si>
  <si>
    <t>central region</t>
  </si>
  <si>
    <t>ba</t>
  </si>
  <si>
    <t>www.omct.org/files/2004/07/2409/eng_2003_05_eritrea.pdf</t>
  </si>
  <si>
    <t>Kigali &amp; 3 rural areas</t>
  </si>
  <si>
    <t>&gt;11</t>
  </si>
  <si>
    <t>bb</t>
  </si>
  <si>
    <t>www.unifem.org/attachments/products/baseline_survey_on_sexual_and_gender_based_violence_rwanda.pdf</t>
  </si>
  <si>
    <t>UNIFEM</t>
  </si>
  <si>
    <t>sample size</t>
  </si>
  <si>
    <t>Pn</t>
  </si>
  <si>
    <t>system</t>
  </si>
  <si>
    <t>Embu</t>
  </si>
  <si>
    <t>bc</t>
  </si>
  <si>
    <t>www.bvsde.paho.org/bvsacd/cd64/en_28530.pdf</t>
  </si>
  <si>
    <t>bd</t>
  </si>
  <si>
    <t>www.ess.ufrj.br/prevencaoviolenciasexual/download/015datasenado.pdf</t>
  </si>
  <si>
    <t>be</t>
  </si>
  <si>
    <t>p.229</t>
  </si>
  <si>
    <t>Lusaka &amp; Kafue rural</t>
  </si>
  <si>
    <t>California: Emergency Dept</t>
  </si>
  <si>
    <t>psychiatric clinic</t>
  </si>
  <si>
    <t>DVI</t>
  </si>
  <si>
    <t>native American</t>
  </si>
  <si>
    <t>Chinese American</t>
  </si>
  <si>
    <t>aboriginal tribes</t>
  </si>
  <si>
    <t>paediatric Emergency Department</t>
  </si>
  <si>
    <t>Wirral: hospital</t>
  </si>
  <si>
    <t>Wisconsin: Madison family medicine centre</t>
  </si>
  <si>
    <t>paediatric setting</t>
  </si>
  <si>
    <t>New York: Emergency Dept</t>
  </si>
  <si>
    <t>Cambridge: Emergency Dept</t>
  </si>
  <si>
    <t>New England</t>
  </si>
  <si>
    <t>Pennsylvania &amp; California: Emergency Dept.</t>
  </si>
  <si>
    <t>includes physical and sexual GBV</t>
  </si>
  <si>
    <t>New Orleans: Emergency Dept.</t>
  </si>
  <si>
    <t>ISA</t>
  </si>
  <si>
    <t>Colorado: Emergency Dept.</t>
  </si>
  <si>
    <t>southeast</t>
  </si>
  <si>
    <t>Michigan: Emergency Dept.</t>
  </si>
  <si>
    <t>metro Lima: low/mid income</t>
  </si>
  <si>
    <t>Colombo: low-income</t>
  </si>
  <si>
    <t>central Trinidad: Couva district</t>
  </si>
  <si>
    <t>right of here are experiments</t>
  </si>
  <si>
    <t>GBV unweighted</t>
  </si>
  <si>
    <t>GBV sum</t>
  </si>
  <si>
    <t>GBV count</t>
  </si>
  <si>
    <t>www.euromedgenderequality.org/image.php?id=143</t>
  </si>
  <si>
    <t>bf</t>
  </si>
  <si>
    <t>www.measuredhs.com/pubs/pdf/FR235/FR235.pdf</t>
  </si>
  <si>
    <t>Simister (2010)</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</si>
  <si>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</si>
  <si>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</si>
  <si>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</si>
  <si>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</si>
  <si>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</si>
  <si>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</si>
  <si>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</si>
  <si>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</si>
  <si>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</si>
  <si>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</si>
  <si>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</si>
  <si>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</si>
  <si>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</si>
  <si>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</si>
  <si>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</si>
  <si>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</si>
  <si>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</si>
  <si>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</si>
  <si>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</si>
  <si>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</si>
  <si>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</si>
  <si>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</si>
  <si>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</si>
  <si>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</si>
  <si>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</si>
  <si>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</si>
  <si>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</si>
  <si>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</si>
  <si>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</si>
  <si>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</si>
  <si>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</si>
  <si>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</si>
  <si>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</si>
  <si>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</si>
  <si>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</si>
  <si>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</si>
  <si>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Tollestrup et al. (1999)</t>
  </si>
  <si>
    <t>cq</t>
  </si>
  <si>
    <t>03/12/11</t>
  </si>
  <si>
    <t>Other useful sources:</t>
  </si>
  <si>
    <t xml:space="preserve"> For the block below, I assume the survey sampled</t>
  </si>
  <si>
    <t xml:space="preserve"> 'all women', rather than 'married women', if the data</t>
  </si>
  <si>
    <t xml:space="preserve"> source I used doesn't clarify which the sample is.</t>
  </si>
  <si>
    <t>last 12 months data is from source au</t>
  </si>
  <si>
    <t>last 12 months is from source au</t>
  </si>
  <si>
    <t>The above "sum if" formulas look down as far as row 546, assuming anything below that is blank (change the formula, if use more than 546 rows below).</t>
  </si>
  <si>
    <t>Copy the above lines to file 'GBV prevalence worldwide.xls', for use in MapViewer software.</t>
  </si>
  <si>
    <t>cr</t>
  </si>
  <si>
    <t>Simister J. (forthcoming), 'Gender Based Violence: causes &amp; Remedies', Nova.</t>
  </si>
  <si>
    <t>zzz  Colombia 2010 also available - not yet added.</t>
  </si>
  <si>
    <t>cs</t>
  </si>
  <si>
    <t>Asociación Probienestar de la Familia Colombiana Profamilia (2010)</t>
  </si>
  <si>
    <t>www.measuredhs.com/pubs/pdf/FR246/FR246.pdf</t>
  </si>
  <si>
    <t>p. 371</t>
  </si>
  <si>
    <t>ct</t>
  </si>
  <si>
    <t>www.measuredhs.com/pubs/pdf/FR247/FR247.pdf</t>
  </si>
  <si>
    <t>Asociación Probienestar de la Familia Colombiana Profamilia (2010), Encuesta Nacional de Demografía y Salud 2010, www.measuredhs.com/pubs/pdf/FR246/FR246.pdf downloaded 24th March 2012.</t>
  </si>
  <si>
    <t>National Statistical Office (NSO) and ICF Macro. 2011. Malawi Demographic and Health Survey 2010. Zomba, Malawi, and Calverton, Maryland, USA: NSO and ICF Macro.</t>
  </si>
  <si>
    <t>National Statistical Office (NSO) and ICF Macro (2011)</t>
  </si>
  <si>
    <t>p. 241</t>
  </si>
  <si>
    <t>cu</t>
  </si>
  <si>
    <t>www.measuredhs.com/pubs/pdf/PR11/PR11.pdf</t>
  </si>
  <si>
    <t>p. 27</t>
  </si>
  <si>
    <t>Ministry of Health &amp; Population (2011), Nepal Demographic and Health Survey 2011: Preliminary report, Government of Nepal: Kathmandu.</t>
  </si>
  <si>
    <t>Ministry of Health &amp; Population (2011)</t>
  </si>
  <si>
    <t>cv</t>
  </si>
  <si>
    <t>www.measuredhs.com/pubs/pdf/FR259/FR259.pdf</t>
  </si>
  <si>
    <t>p.246</t>
  </si>
  <si>
    <t>National Institute of Statistics of Rwanda (NISR) [Rwanda], Ministry of Health (MOH) [Rwanda], and ICF International. 2012. Rwanda Demographic and Health Survey 2010. Calverton, Maryland, USA: NISR, MOH, and ICF International.</t>
  </si>
  <si>
    <t>National Institute of Statistics of Rwanda (NISR) [Rwanda], Ministry of Health (MOH) [Rwanda], and ICF International (2012)</t>
  </si>
  <si>
    <t>cw</t>
  </si>
  <si>
    <t>www.measuredhs.com/pubs/pdf/FR243/FR243%5B24June2011%5D.pdf</t>
  </si>
  <si>
    <t>p.271</t>
  </si>
  <si>
    <t>National Bureau of Statistics (NBS) [Tanzania] and ICF Macro (2011) Tanzania Demographic and Health Survey 2010. Dar es Salaam, Tanzania: NBS and ICF Macro.</t>
  </si>
  <si>
    <t>National Bureau of Statistics (NBS) [Tanzania] and ICF Macro (2011)</t>
  </si>
  <si>
    <t>www.ncbi.nlm.nih.gov/pubmed/19191117?ordinalpos=4&amp;itool=EntrezSystem2.PEntrez.Pubmed.Pubmed_ResultsPanel.Pubmed_DefaultReportPanel.Pubmed_RVDocSum</t>
  </si>
  <si>
    <t>cx</t>
  </si>
  <si>
    <t>Modie-Moroka (2009)</t>
  </si>
  <si>
    <t>PNG</t>
  </si>
  <si>
    <t>Sao Tome</t>
  </si>
  <si>
    <t>Solomon Isl</t>
  </si>
  <si>
    <t>Trinidad/Tob</t>
  </si>
  <si>
    <t>Czech Rep.</t>
  </si>
  <si>
    <t>Bosnia/Herz</t>
  </si>
  <si>
    <t>code</t>
  </si>
  <si>
    <t>UN (2006)</t>
  </si>
  <si>
    <t>Simister (2012)</t>
  </si>
  <si>
    <t>Kim &amp; Cho (1992)</t>
  </si>
  <si>
    <t>Alhabib et al. (2010)</t>
  </si>
  <si>
    <t>Burazeri et al. (2005)</t>
  </si>
  <si>
    <t>www.ncbi.nlm.nih.gov/pmc/articles/PMC2042491</t>
  </si>
  <si>
    <t>Rosenberg (2006)</t>
  </si>
  <si>
    <t>www.ncbi.nlm.nih.gov/pubmed/19191117</t>
  </si>
  <si>
    <t>www.endvawnow.org/uploads/browser/files/vaw_prevalence_matrix_15april_2011.pdf</t>
  </si>
  <si>
    <t>www.k4health.org/pr/l11/l11tables.shtml</t>
  </si>
  <si>
    <t>www.ncbi.nlm.nih.gov/pmc/articles/PMC1308495/</t>
  </si>
  <si>
    <t>www.carl-sl.org/home/index.php?option=com_content&amp;view=article&amp;id=436</t>
  </si>
  <si>
    <t>CAR</t>
  </si>
  <si>
    <t>Dominican R.</t>
  </si>
  <si>
    <t>p. 18</t>
  </si>
  <si>
    <t>14-51</t>
  </si>
  <si>
    <t>Nijhowne, D. &amp; Oates, L. (2008), Living with violence: A national report on domestic abuse in Afghanistan, Global Rights: Partners for Justice, www.globalrights.org/site/DocServer/final_DVR_JUNE_16.pdf?docID=9803</t>
  </si>
  <si>
    <t>Nijhowne &amp; Oates (2008)</t>
  </si>
  <si>
    <t>Heise, Ellsberg &amp; Gottemoeller (1999)</t>
  </si>
  <si>
    <t>USAID (no date). Armenia: improving providers? Response to violence against women.</t>
  </si>
  <si>
    <t>Heise, L., Pitanguy, J, &amp; Germain, A. (1994). Violence against women: The hidden health burden. World Bank discussion paper 255.  World Bank: Washington, DC.</t>
  </si>
  <si>
    <t>Heise, Pitanguy &amp; Germain (1994)</t>
  </si>
  <si>
    <t>Ellsberg &amp; Heise (2005)</t>
  </si>
  <si>
    <t>Ellsberg M, and Heise L. (2005). Researching violence against women: A practical guide for researchers and activists. Washington DC, United States: World Health Organization, PATH.</t>
  </si>
  <si>
    <t>UN (2010)</t>
  </si>
  <si>
    <t>UN (2010). The World’s Women 2010: Trends and Statistics. New York: UN.</t>
  </si>
  <si>
    <t>Creel (2001)</t>
  </si>
  <si>
    <t>Creel, L. (2001). Domestic violence: An ongoing threat to women in Latin America and the Caribbean.</t>
  </si>
  <si>
    <t>UN Women (2011)</t>
  </si>
  <si>
    <t xml:space="preserve">Hynes, M. et al. (2004), A determination of the prevalence of Gender-Based Violence among conflict-affected population in East Timor, Disasters, 28 (3), 294:321. </t>
  </si>
  <si>
    <t>Leye E., Githaiga A. &amp; Temmerman M. (1999), Developing strategies to combat violence against women in developing countries: health care strategies. International Centre for Reproductive Health.</t>
  </si>
  <si>
    <t>Leye, Githaiga &amp; Temmerman (1999)</t>
  </si>
  <si>
    <t>Heise, L., Ellsberg, M. and Gottemoeller, M. (1999). Ending violence against women. Population reports, series L, No. 11. Baltimore, Johns Hopkins University School of Public Health, Population Information Program.</t>
  </si>
  <si>
    <t>Rollemberg, A. S. and Novelli, A. L. R. (2005). Violência domestica contra a mulher, Senado federal: Subsecretaria de pesquisa e opinião pública</t>
  </si>
  <si>
    <t>Rollemberg &amp; Novelli (2005)</t>
  </si>
  <si>
    <t>Rosenberg R. (2006),’Domestic violence in Europe and Eurasia’, USAID.</t>
  </si>
  <si>
    <t>Modie-Moroka, T. (2009), Intimate partner violence and sexually risky behavior in Botswana: implications for HIV prevention. Health Care for Women international 30(3):230-1.</t>
  </si>
  <si>
    <t>publication describing the survey</t>
  </si>
  <si>
    <t>USAID (no date)</t>
  </si>
  <si>
    <t>Benninger-Budel, C. and O'Hanlon, L. (2003), Violence against women: For the protection and promotion of the human rights of women.</t>
  </si>
  <si>
    <t>www.omct.org/files/2004/07/2409/vaw_reports2003_eng.pdf</t>
  </si>
  <si>
    <t>Benninger-Budel and O'Hanlon (2003)</t>
  </si>
  <si>
    <t>p.204</t>
  </si>
  <si>
    <t>Müller, U., Schröttle, M. &amp; Glammeier, S. (2004). Health, well-being and personal safety of women in Germany. A representative study of violence against women in Germany. Interdisciplinary center for women and gender studies, Bielefeld university.</t>
  </si>
  <si>
    <t>Müller, Schröttle &amp; Glammeier (2004)</t>
  </si>
  <si>
    <t>PATH (2009)</t>
  </si>
  <si>
    <t>PATH (2009). Researching violence against women: a training course for researchers and activists.  Program for Appropriate Technology in Health.</t>
  </si>
  <si>
    <t>Feller (2001)</t>
  </si>
  <si>
    <t>Feller, M. (2001). Violence against women in Burundi: Report prepared for the Committee on the Elimination of Discrimination against Women.  OMCT.</t>
  </si>
  <si>
    <t>www.cdc.gov/mmwr/preview/mmwrhtml/00025182.htm</t>
  </si>
  <si>
    <t>Hynes et al. (2004)</t>
  </si>
  <si>
    <t>UNIFEM (2008b)</t>
  </si>
  <si>
    <t>UNIFEM (2008a)</t>
  </si>
  <si>
    <t>UNIFEM (2008a).  Crisis Centers of Kyrgyzstan.  United Nations (Kyrgyzstan).</t>
  </si>
  <si>
    <t>UNIFEM (2008b). Baseline survey on sexual and gender based violence in Rwanda: An empirical analysis of cases of Gender-based violence in Rutsiro, Kayonza, Ngororero districts and the city of Kigali. UNIFEM.</t>
  </si>
  <si>
    <t>www.carl-sl.org/home/index.php?option=com_content&amp;id=436</t>
  </si>
  <si>
    <t>Jansen et al. (2009)</t>
  </si>
  <si>
    <t>Jansen H. A. F. M, Uner S., Ergocmen B. A., Turkyilmaz A. S., Yuksel I., Yavuz S. &amp; Abbasoglu A. (2009). National research on domestic violence against women in Turkey. Directorate General on the status of women.</t>
  </si>
  <si>
    <t>webapps01.un.org/vawdatabase/searchDetail.action?17400</t>
  </si>
  <si>
    <t>webapps01.un.org/vawdatabase/searchDetail.action?24004</t>
  </si>
  <si>
    <t>webapps01.un.org/vawdatabase/searchDetail.action?36083</t>
  </si>
  <si>
    <t>Ramírez, E. G. (2007).  ENDIREH-2006’s achievements and limitations in determining indicators for measuring violence against women in Mexico</t>
  </si>
  <si>
    <t>Ramírez (2007)</t>
  </si>
  <si>
    <t>webapps01.un.org/vawdatabase/searchDetail.action?27929</t>
  </si>
  <si>
    <t>Oxfam International (2009). In her own words: Iraqi women talk about their greatest concerns and challenges – a survey.</t>
  </si>
  <si>
    <t>Oxfam International (2009)</t>
  </si>
  <si>
    <t>webapps01.un.org/vawdatabase/searchDetail.action?40643</t>
  </si>
  <si>
    <t>webapps01.un.org/vawdatabase/searchDetail.action?24229</t>
  </si>
  <si>
    <t>www.fijiwomen.com/index.php?option=com_content&amp;id=123</t>
  </si>
  <si>
    <t>S. Australia</t>
  </si>
  <si>
    <t>villages</t>
  </si>
  <si>
    <t>2 rural regions</t>
  </si>
  <si>
    <t>national: villages only</t>
  </si>
  <si>
    <t>hospital: Brooklyn NY</t>
  </si>
  <si>
    <t>Ardayfio-Schandorf, E. (2005), 'Violence against women: The Ghanaian case', UN Division for the Advancement of Women.</t>
  </si>
  <si>
    <t>UN Women (2011). Violence against women prevalence data: Surveys by country.</t>
  </si>
  <si>
    <t xml:space="preserve">Odimegwu, C. &amp; Okemgbo, C. N. (2003). Gender role ideologies and prevalence of violence against women in Imo state, Nigeria. Anthropologist 5(4): 225-36. </t>
  </si>
  <si>
    <t>Almosaed, N. (2004). Violence against women: A cross-cultural perspective. Journal of Muslim Affairs, 24, 67-88.</t>
  </si>
  <si>
    <t>men and women in sample. Could check this is the correct reference</t>
  </si>
  <si>
    <t>Tollestrup K., Sklar D., Frost F.J., Olson L., Weybright J.E., Sandvig J. &amp; Larson M. (1999). Health Indicators and Intimate Partner Violence among women who are members of a managed care organization. Preventive Medicine 29, 231-440.</t>
  </si>
  <si>
    <t>http://saynotoviolence.org/sites/default/files/toolkit_v2/en/pdf/3840/VAW%20Prevalence%20Matrix%202011.pdf</t>
  </si>
  <si>
    <t>saynotoviolence.org/sites/default/files/toolkit_v2/en/pdf/3840/VAW%20Prevalence%20Matrix%202011.pdf</t>
  </si>
  <si>
    <t>CDC-RHS</t>
  </si>
  <si>
    <t>cont-inent</t>
  </si>
  <si>
    <t>A</t>
  </si>
  <si>
    <t>A=Asia</t>
  </si>
  <si>
    <t>N=N America</t>
  </si>
  <si>
    <t>E=Europe</t>
  </si>
  <si>
    <t>F=Africa</t>
  </si>
  <si>
    <t>E</t>
  </si>
  <si>
    <t>F</t>
  </si>
  <si>
    <t>L</t>
  </si>
  <si>
    <t>L=Latin America/Caribbean</t>
  </si>
  <si>
    <t>O</t>
  </si>
  <si>
    <t>A=Asia   E=Europe F=Africa  L=LatAm  N=NAmer O=Oceania</t>
  </si>
  <si>
    <t>O=Oceania/Pacific</t>
  </si>
  <si>
    <t>TOTAL</t>
  </si>
  <si>
    <t>http://link.springer.com/book/10.1007%2F978-0-387-73204-6</t>
  </si>
  <si>
    <t>cy</t>
  </si>
  <si>
    <t>Johnson H., Ollus N. &amp; Nevala S. (2008), Violence against women: an international perspective, ISBN: 978-0-387-73203-9.</t>
  </si>
  <si>
    <t>and cy</t>
  </si>
  <si>
    <t>cz</t>
  </si>
  <si>
    <t>Black M.C., Basile K.C., Breiding M.J., Smith S.G., Walters M.L., Merrick M.T., Chen J. &amp; Stevens M.R. (2011), The National Intimate Partner and Sexual Violence Survey (NISVS): 2010 Summary Report. Atlanta, GA: National Center for Injury Prevention and Control, Centers for Disease Control and Prevention.</t>
  </si>
  <si>
    <t>CDC-NISVS</t>
  </si>
  <si>
    <t>UN (2010); and Johnson &amp; Ollus &amp; Nevala (2008: p208)</t>
  </si>
  <si>
    <t>Alhabib et al. (2010); and bn</t>
  </si>
  <si>
    <t>Black et al. (2011): p.38</t>
  </si>
  <si>
    <t>geographical area covered</t>
  </si>
  <si>
    <t>Physical GBV, not including sexual violence</t>
  </si>
  <si>
    <t>Physical and/or sexual violence</t>
  </si>
  <si>
    <t>last 12 months</t>
  </si>
  <si>
    <t>http://measuredhs.com/topics/gender-Corner/upload/RHM36-Devries.pdf</t>
  </si>
  <si>
    <t>http://unstats.un.org/unsd/demographic/products/Worldswomen/Annex%20tables%20by%20chapter%20-%20pdf/Table6Ato6E.pdf</t>
  </si>
  <si>
    <t>ab &amp; a</t>
  </si>
  <si>
    <t>http://dhsprogram.com/publications/publication-FR114-DHS-Final-Reports.cfm</t>
  </si>
  <si>
    <t>http://dhsprogram.com/publications/publication-FR146-DHS-Final-Reports.cfm</t>
  </si>
  <si>
    <t>2007-8</t>
  </si>
  <si>
    <t>www.endvawnow.org/uploads/browser/files/vawprevalence_matrix_june2013.pdf</t>
  </si>
  <si>
    <t>2010-1</t>
  </si>
  <si>
    <t>http://dhsprogram.com/publications/publication-FR203-DHS-Final-Reports.cfm</t>
  </si>
  <si>
    <t>Marshall Islands</t>
  </si>
  <si>
    <t>Windhoek</t>
  </si>
  <si>
    <t>Handworker (1993a) and UN (2006)</t>
  </si>
  <si>
    <t>Mousavi et al (2005) and Alhabib et al. (2010)</t>
  </si>
  <si>
    <t>Alhabib et al. (2010) and Khawaja &amp; Barazi (2005)</t>
  </si>
  <si>
    <t>vaw.sagepub.com/content/14/1/53.full.pdf</t>
  </si>
  <si>
    <t>Simister J. (2012), 'Gender Based Violence: causes &amp; Remedies', Nova.</t>
  </si>
  <si>
    <t>RHS</t>
  </si>
  <si>
    <t>http://www.sciencedirect.com/science/article/pii/S0213911109003197</t>
  </si>
  <si>
    <t>Tuvalu</t>
  </si>
  <si>
    <t>Vanuatu</t>
  </si>
  <si>
    <t>Questionnaire defines GBV as "In the last year, have you and your partner had violent arguments where your partner beat, kicked or slapped you?" i.e. not CTS.</t>
  </si>
  <si>
    <t>Burazeri G., Roshi E., Jewkes R., Jordan S., Bjegovic V. &amp; Laaser U. (2005), Factors associated with spousal physical violence in Albania: cross sectional study, British medical Journal 331: 197-201.</t>
  </si>
  <si>
    <t>Also Handworker (1993b)</t>
  </si>
  <si>
    <t>UN (2006); and Haj-Yahia et al (2000)</t>
  </si>
  <si>
    <t>UN (2006); and Hakim et al. (2001)</t>
  </si>
  <si>
    <t>Alhabib et al. (2010); and Koziol-McLain et al (2004)</t>
  </si>
  <si>
    <t>Toft (1988); and UN (2006)</t>
  </si>
  <si>
    <t>Toft (1988); and Heise, Ellsberg &amp; Gottemoeller (1999)</t>
  </si>
  <si>
    <t>Toft (1988); and Heise, Pitanguy &amp; Germain (1994)</t>
  </si>
  <si>
    <t>UN (2006); and Schol &amp; Bakketaig (1989)</t>
  </si>
  <si>
    <t>Alhabib et al. (2010); and Jewkes et al (2002)</t>
  </si>
  <si>
    <t>Heise, Pitanguy &amp; Germain (1994); and Sheikh-Hashim &amp; Gabba (1990)</t>
  </si>
  <si>
    <t>Alhabib et al. (2010); and Seedat et al (2005)</t>
  </si>
  <si>
    <t>ZWE</t>
  </si>
  <si>
    <t>Sovereign country</t>
  </si>
  <si>
    <t>ZMB</t>
  </si>
  <si>
    <t>YEM</t>
  </si>
  <si>
    <t>SAH</t>
  </si>
  <si>
    <t>Disputed</t>
  </si>
  <si>
    <t>West Bank</t>
  </si>
  <si>
    <t>Palestine</t>
  </si>
  <si>
    <t>WEB</t>
  </si>
  <si>
    <t>Country</t>
  </si>
  <si>
    <t>Wallis and Futuna</t>
  </si>
  <si>
    <t>WLF</t>
  </si>
  <si>
    <t>Dependency</t>
  </si>
  <si>
    <t>Virgin Islands, British</t>
  </si>
  <si>
    <t>VGB</t>
  </si>
  <si>
    <t>Virgin Islands</t>
  </si>
  <si>
    <t>United States Virgin Islands</t>
  </si>
  <si>
    <t>VIR</t>
  </si>
  <si>
    <t>VNM</t>
  </si>
  <si>
    <t>VEN</t>
  </si>
  <si>
    <t>Vatican</t>
  </si>
  <si>
    <t>VAT</t>
  </si>
  <si>
    <t>VUT</t>
  </si>
  <si>
    <t>UZB</t>
  </si>
  <si>
    <t>US Naval Base Guantanamo Bay</t>
  </si>
  <si>
    <t>USG</t>
  </si>
  <si>
    <t>Lease</t>
  </si>
  <si>
    <t>URY</t>
  </si>
  <si>
    <t>United States Minor Outlying Islands</t>
  </si>
  <si>
    <t>United States of America</t>
  </si>
  <si>
    <t>UMI</t>
  </si>
  <si>
    <t>GBR</t>
  </si>
  <si>
    <t>ARE</t>
  </si>
  <si>
    <t>UKR</t>
  </si>
  <si>
    <t>UGA</t>
  </si>
  <si>
    <t>TUV</t>
  </si>
  <si>
    <t>Turks and Caicos Islands</t>
  </si>
  <si>
    <t>TCA</t>
  </si>
  <si>
    <t>TKM</t>
  </si>
  <si>
    <t>TUR</t>
  </si>
  <si>
    <t>TUN</t>
  </si>
  <si>
    <t>TTO</t>
  </si>
  <si>
    <t>Tonga</t>
  </si>
  <si>
    <t>TON</t>
  </si>
  <si>
    <t>TGO</t>
  </si>
  <si>
    <t>THA</t>
  </si>
  <si>
    <t>United Republic of Tanzania</t>
  </si>
  <si>
    <t>TZA</t>
  </si>
  <si>
    <t>TJK</t>
  </si>
  <si>
    <t>TWN</t>
  </si>
  <si>
    <t>SYR</t>
  </si>
  <si>
    <t>CHE</t>
  </si>
  <si>
    <t>SWE</t>
  </si>
  <si>
    <t>SWZ</t>
  </si>
  <si>
    <t>SUR</t>
  </si>
  <si>
    <t>SDN</t>
  </si>
  <si>
    <t>LKA</t>
  </si>
  <si>
    <t>ESP</t>
  </si>
  <si>
    <t>South Sudan</t>
  </si>
  <si>
    <t>SDS</t>
  </si>
  <si>
    <t>South Korea</t>
  </si>
  <si>
    <t>KOR</t>
  </si>
  <si>
    <t>South Georgia and South Sandwich Islands</t>
  </si>
  <si>
    <t>SGS</t>
  </si>
  <si>
    <t>ZAF</t>
  </si>
  <si>
    <t>Somaliland</t>
  </si>
  <si>
    <t>SOL</t>
  </si>
  <si>
    <t>SOM</t>
  </si>
  <si>
    <t>SLB</t>
  </si>
  <si>
    <t>SVN</t>
  </si>
  <si>
    <t>SVK</t>
  </si>
  <si>
    <t>Sint Maarten</t>
  </si>
  <si>
    <t>SXM</t>
  </si>
  <si>
    <t>SGP</t>
  </si>
  <si>
    <t>SLE</t>
  </si>
  <si>
    <t>Siachen Glacier</t>
  </si>
  <si>
    <t>Kashmir</t>
  </si>
  <si>
    <t>KAS</t>
  </si>
  <si>
    <t>Indeterminate</t>
  </si>
  <si>
    <t>SYC</t>
  </si>
  <si>
    <t>Republic of Serbia</t>
  </si>
  <si>
    <t>SRB</t>
  </si>
  <si>
    <t>SEN</t>
  </si>
  <si>
    <t>SAU</t>
  </si>
  <si>
    <t>Sao Tome and Principe</t>
  </si>
  <si>
    <t>STP</t>
  </si>
  <si>
    <t>San Marino</t>
  </si>
  <si>
    <t>SMR</t>
  </si>
  <si>
    <t>WSM</t>
  </si>
  <si>
    <t>Saint Vincent and the Grenadines</t>
  </si>
  <si>
    <t>VCT</t>
  </si>
  <si>
    <t>Saint Pierre and Miquelon</t>
  </si>
  <si>
    <t>SPM</t>
  </si>
  <si>
    <t>Saint Martin</t>
  </si>
  <si>
    <t>MAF</t>
  </si>
  <si>
    <t>Saint Lucia</t>
  </si>
  <si>
    <t>LCA</t>
  </si>
  <si>
    <t>Saint Kitts and Nevis</t>
  </si>
  <si>
    <t>KNA</t>
  </si>
  <si>
    <t>Saint Helena</t>
  </si>
  <si>
    <t>SHN</t>
  </si>
  <si>
    <t>Saint Barthelemy</t>
  </si>
  <si>
    <t>BLM</t>
  </si>
  <si>
    <t>RWA</t>
  </si>
  <si>
    <t>RUS</t>
  </si>
  <si>
    <t>ROU</t>
  </si>
  <si>
    <t>Republic of the Congo</t>
  </si>
  <si>
    <t>COG</t>
  </si>
  <si>
    <t>QAT</t>
  </si>
  <si>
    <t>PRI</t>
  </si>
  <si>
    <t>PRT</t>
  </si>
  <si>
    <t>POL</t>
  </si>
  <si>
    <t>Pitcairn Islands</t>
  </si>
  <si>
    <t>PCN</t>
  </si>
  <si>
    <t>PHL</t>
  </si>
  <si>
    <t>PER</t>
  </si>
  <si>
    <t>PRY</t>
  </si>
  <si>
    <t>PAN</t>
  </si>
  <si>
    <t>Palau</t>
  </si>
  <si>
    <t>PLW</t>
  </si>
  <si>
    <t>PAK</t>
  </si>
  <si>
    <t>OMN</t>
  </si>
  <si>
    <t>NOR</t>
  </si>
  <si>
    <t>Northern Mariana Islands</t>
  </si>
  <si>
    <t>MNP</t>
  </si>
  <si>
    <t>North Korea</t>
  </si>
  <si>
    <t>PRK</t>
  </si>
  <si>
    <t>Norfolk Island</t>
  </si>
  <si>
    <t>NFK</t>
  </si>
  <si>
    <t>Niue</t>
  </si>
  <si>
    <t>NIU</t>
  </si>
  <si>
    <t>NGA</t>
  </si>
  <si>
    <t>NER</t>
  </si>
  <si>
    <t>NIC</t>
  </si>
  <si>
    <t>NZL</t>
  </si>
  <si>
    <t>NCL</t>
  </si>
  <si>
    <t>NLD</t>
  </si>
  <si>
    <t>NPL</t>
  </si>
  <si>
    <t>Nauru</t>
  </si>
  <si>
    <t>NRU</t>
  </si>
  <si>
    <t>NAM</t>
  </si>
  <si>
    <t>MMR</t>
  </si>
  <si>
    <t>MOZ</t>
  </si>
  <si>
    <t>MAR</t>
  </si>
  <si>
    <t>Montserrat</t>
  </si>
  <si>
    <t>MSR</t>
  </si>
  <si>
    <t>MNE</t>
  </si>
  <si>
    <t>MNG</t>
  </si>
  <si>
    <t>Monaco</t>
  </si>
  <si>
    <t>MCO</t>
  </si>
  <si>
    <t>MDA</t>
  </si>
  <si>
    <t>Micronesia</t>
  </si>
  <si>
    <t>Federated States of Micronesia</t>
  </si>
  <si>
    <t>FSM</t>
  </si>
  <si>
    <t>MEX</t>
  </si>
  <si>
    <t>MUS</t>
  </si>
  <si>
    <t>MRT</t>
  </si>
  <si>
    <t>MHL</t>
  </si>
  <si>
    <t>MLT</t>
  </si>
  <si>
    <t>MLI</t>
  </si>
  <si>
    <t>MDV</t>
  </si>
  <si>
    <t>MYS</t>
  </si>
  <si>
    <t>MWI</t>
  </si>
  <si>
    <t>MDG</t>
  </si>
  <si>
    <t>MKD</t>
  </si>
  <si>
    <t>Macau</t>
  </si>
  <si>
    <t>Macau S.A.R</t>
  </si>
  <si>
    <t>MAC</t>
  </si>
  <si>
    <t>LUX</t>
  </si>
  <si>
    <t>LTU</t>
  </si>
  <si>
    <t>LIE</t>
  </si>
  <si>
    <t>LBY</t>
  </si>
  <si>
    <t>LBR</t>
  </si>
  <si>
    <t>LSO</t>
  </si>
  <si>
    <t>LBN</t>
  </si>
  <si>
    <t>LVA</t>
  </si>
  <si>
    <t>LAO</t>
  </si>
  <si>
    <t>KGZ</t>
  </si>
  <si>
    <t>KWT</t>
  </si>
  <si>
    <t>Kosovo</t>
  </si>
  <si>
    <t>KOS</t>
  </si>
  <si>
    <t>KIR</t>
  </si>
  <si>
    <t>KEN</t>
  </si>
  <si>
    <t>KAZ</t>
  </si>
  <si>
    <t>JOR</t>
  </si>
  <si>
    <t>Jersey</t>
  </si>
  <si>
    <t>JEY</t>
  </si>
  <si>
    <t>JPN</t>
  </si>
  <si>
    <t>JAM</t>
  </si>
  <si>
    <t>ITA</t>
  </si>
  <si>
    <t>ISR</t>
  </si>
  <si>
    <t>Isle of Man</t>
  </si>
  <si>
    <t>IMN</t>
  </si>
  <si>
    <t>IRL</t>
  </si>
  <si>
    <t>IRQ</t>
  </si>
  <si>
    <t>IRN</t>
  </si>
  <si>
    <t>IDN</t>
  </si>
  <si>
    <t>Indian Ocean Territories</t>
  </si>
  <si>
    <t>IOA</t>
  </si>
  <si>
    <t>IND</t>
  </si>
  <si>
    <t>ISL</t>
  </si>
  <si>
    <t>HUN</t>
  </si>
  <si>
    <t>Hong Kong S.A.R.</t>
  </si>
  <si>
    <t>HKG</t>
  </si>
  <si>
    <t>HND</t>
  </si>
  <si>
    <t>Heard Island and McDonald Islands</t>
  </si>
  <si>
    <t>HMD</t>
  </si>
  <si>
    <t>HTI</t>
  </si>
  <si>
    <t>GUY</t>
  </si>
  <si>
    <t>GNB</t>
  </si>
  <si>
    <t>GIN</t>
  </si>
  <si>
    <t>Guernsey</t>
  </si>
  <si>
    <t>GGY</t>
  </si>
  <si>
    <t>GTM</t>
  </si>
  <si>
    <t>GRD</t>
  </si>
  <si>
    <t>GRL</t>
  </si>
  <si>
    <t>GRC</t>
  </si>
  <si>
    <t>Gibraltar</t>
  </si>
  <si>
    <t>GIB</t>
  </si>
  <si>
    <t>GHA</t>
  </si>
  <si>
    <t>DEU</t>
  </si>
  <si>
    <t>GEO</t>
  </si>
  <si>
    <t>Gaza Strip</t>
  </si>
  <si>
    <t>GAZ</t>
  </si>
  <si>
    <t>GMB</t>
  </si>
  <si>
    <t>GAB</t>
  </si>
  <si>
    <t>French Southern and Antarctic Lands</t>
  </si>
  <si>
    <t>ATF</t>
  </si>
  <si>
    <t>French Polynesia</t>
  </si>
  <si>
    <t>PYF</t>
  </si>
  <si>
    <t>FRA</t>
  </si>
  <si>
    <t>FIN</t>
  </si>
  <si>
    <t>County</t>
  </si>
  <si>
    <t>FJI</t>
  </si>
  <si>
    <t>Faroe Islands</t>
  </si>
  <si>
    <t>FRO</t>
  </si>
  <si>
    <t>FLK</t>
  </si>
  <si>
    <t>ETH</t>
  </si>
  <si>
    <t>EST</t>
  </si>
  <si>
    <t>ERI</t>
  </si>
  <si>
    <t>GNQ</t>
  </si>
  <si>
    <t>SLV</t>
  </si>
  <si>
    <t>EGY</t>
  </si>
  <si>
    <t>ECU</t>
  </si>
  <si>
    <t>TLS</t>
  </si>
  <si>
    <t>DOM</t>
  </si>
  <si>
    <t>DMA</t>
  </si>
  <si>
    <t>DJI</t>
  </si>
  <si>
    <t>Dhekelia Sovereign Base Area</t>
  </si>
  <si>
    <t>ESB</t>
  </si>
  <si>
    <t>DNK</t>
  </si>
  <si>
    <t>COD</t>
  </si>
  <si>
    <t>CZE</t>
  </si>
  <si>
    <t>CYP</t>
  </si>
  <si>
    <t>Curaçao</t>
  </si>
  <si>
    <t>CUW</t>
  </si>
  <si>
    <t>CUB</t>
  </si>
  <si>
    <t>HRV</t>
  </si>
  <si>
    <t>Cote d'Ivoire</t>
  </si>
  <si>
    <t>Ivory Coast</t>
  </si>
  <si>
    <t>CIV</t>
  </si>
  <si>
    <t>CRI</t>
  </si>
  <si>
    <t>Coral Sea Islands</t>
  </si>
  <si>
    <t>CSI</t>
  </si>
  <si>
    <t>Cook Islands</t>
  </si>
  <si>
    <t>COK</t>
  </si>
  <si>
    <t>COM</t>
  </si>
  <si>
    <t>COL</t>
  </si>
  <si>
    <t>Clipperton Island</t>
  </si>
  <si>
    <t>CLP</t>
  </si>
  <si>
    <t>CHN</t>
  </si>
  <si>
    <t>CHL</t>
  </si>
  <si>
    <t>TCD</t>
  </si>
  <si>
    <t>CAF</t>
  </si>
  <si>
    <t>Cayman Islands</t>
  </si>
  <si>
    <t>CYM</t>
  </si>
  <si>
    <t>CPV</t>
  </si>
  <si>
    <t>CAN</t>
  </si>
  <si>
    <t>CMR</t>
  </si>
  <si>
    <t>Cambodia</t>
  </si>
  <si>
    <t>KHM</t>
  </si>
  <si>
    <t>BDI</t>
  </si>
  <si>
    <t>BFA</t>
  </si>
  <si>
    <t>BGR</t>
  </si>
  <si>
    <t>BRN</t>
  </si>
  <si>
    <t>British Indian Ocean Territory</t>
  </si>
  <si>
    <t>IOT</t>
  </si>
  <si>
    <t>BRA</t>
  </si>
  <si>
    <t>BWA</t>
  </si>
  <si>
    <t>BIH</t>
  </si>
  <si>
    <t>BOL</t>
  </si>
  <si>
    <t>BTN</t>
  </si>
  <si>
    <t>Bermuda</t>
  </si>
  <si>
    <t>BMU</t>
  </si>
  <si>
    <t>BEN</t>
  </si>
  <si>
    <t>BLZ</t>
  </si>
  <si>
    <t>BEL</t>
  </si>
  <si>
    <t>BLR</t>
  </si>
  <si>
    <t>BRB</t>
  </si>
  <si>
    <t>BGD</t>
  </si>
  <si>
    <t>BHR</t>
  </si>
  <si>
    <t>BHS</t>
  </si>
  <si>
    <t>AZE</t>
  </si>
  <si>
    <t>AUT</t>
  </si>
  <si>
    <t>AUS</t>
  </si>
  <si>
    <t>Ashmore and Cartier Islands</t>
  </si>
  <si>
    <t>ATC</t>
  </si>
  <si>
    <t>Aruba</t>
  </si>
  <si>
    <t>ABW</t>
  </si>
  <si>
    <t>ARM</t>
  </si>
  <si>
    <t>ARG</t>
  </si>
  <si>
    <t>Antigua and Barbuda</t>
  </si>
  <si>
    <t>ATG</t>
  </si>
  <si>
    <t>Antarctica</t>
  </si>
  <si>
    <t>ATA</t>
  </si>
  <si>
    <t>Anguilla</t>
  </si>
  <si>
    <t>AIA</t>
  </si>
  <si>
    <t>AGO</t>
  </si>
  <si>
    <t>AND</t>
  </si>
  <si>
    <t>American Samoa</t>
  </si>
  <si>
    <t>ASM</t>
  </si>
  <si>
    <t>DZA</t>
  </si>
  <si>
    <t>ALB</t>
  </si>
  <si>
    <t>Aland</t>
  </si>
  <si>
    <t>ALD</t>
  </si>
  <si>
    <t>Akrotiri Sovereign Base Area</t>
  </si>
  <si>
    <t>WSB</t>
  </si>
  <si>
    <t>AFG</t>
  </si>
  <si>
    <t>SID</t>
  </si>
  <si>
    <t>ID3</t>
  </si>
  <si>
    <t>ID4</t>
  </si>
  <si>
    <t>(with France)</t>
  </si>
  <si>
    <t>This list of countries is from MapViewer8, to display GBV prevalence</t>
  </si>
  <si>
    <t>Last updated March 2016</t>
  </si>
  <si>
    <t>2012-3</t>
  </si>
  <si>
    <t>This list was begun by Mary Ellsberg and Lori Heise, and added to by John Simister. Please contact j.g.simister@mmu.ac.uk if you know of more surveys to add to this list.</t>
  </si>
  <si>
    <t>Below here, sources I didn't include above - because they seem a biased sample (e.g. anyone seen in an 'Emergency room' is likely to be there because they are a victim)</t>
  </si>
  <si>
    <t>2015-6</t>
  </si>
  <si>
    <t>http://dhsprogram.com/pubs/pdf/OF31/India_National_FactSheet.pdf</t>
  </si>
  <si>
    <t>18-95</t>
  </si>
  <si>
    <t>www.was-survey.org/2004-kenya.html</t>
  </si>
  <si>
    <t>www.was-survey.org/2005-nigeria.html</t>
  </si>
  <si>
    <t>www.was-survey.org/2005-2006-egypt.html</t>
  </si>
  <si>
    <t>www.was-survey.org/2008-chad.html</t>
  </si>
  <si>
    <t>www.was-survey.org/2011-congo-brazzaville.html</t>
  </si>
  <si>
    <t>www.was-survey.org/2001-2002-indonesia.html</t>
  </si>
  <si>
    <t>www.was-survey.org/2007-india.html</t>
  </si>
  <si>
    <t>Data processed by John Simister: female respondents only, excluding missing data on viol_wif</t>
  </si>
  <si>
    <t>http://www.scielo.br/scielo.php?pid=S0034-89102006000200011&amp;script=sci_arttext&amp;tlng=en</t>
  </si>
  <si>
    <t>http://aje.oxfordjournals.org/content/150/417.full.pdf</t>
  </si>
  <si>
    <t>PERFORM</t>
  </si>
  <si>
    <t>15-35</t>
  </si>
  <si>
    <t>Kanpur,Kishanganj,Bellary,Guntur,Aizawal</t>
  </si>
  <si>
    <t>13-24</t>
  </si>
  <si>
    <t>http://eprints.lse.ac.uk/46132/1/Gender%20based%20violence%20and%20reproductive%20health%20in%20five%20Indian%20states%20(lsero).pdf</t>
  </si>
  <si>
    <t>14th April 2017</t>
  </si>
  <si>
    <t>Bangalore</t>
  </si>
  <si>
    <t>up to 50</t>
  </si>
  <si>
    <t>East India: Orissa, West Bengal, Jharkhand</t>
  </si>
  <si>
    <t>https://bmcpublichealth.biomedcentral.com/articles/10.1186/1471-2458-9-129</t>
  </si>
  <si>
    <t>29th April 2017</t>
  </si>
  <si>
    <t>[of women who ever experienced GBV] "41 percent and 28 percent respectively of currently married and never married women reporting experiences in the last 12 months", page 9</t>
  </si>
  <si>
    <t>This report also reports the number of women who were injured or hospitalised (due to GBV).</t>
  </si>
  <si>
    <t>https://www.icrw.org/wp-content/uploads/2016/10/Domestic-Violence-in-India-3-A-Summary-Report-of-a-Multi-Site-Household-Survey.pdf</t>
  </si>
  <si>
    <t>Has husband ever done this to you?  Threaten you or someone close, with harm</t>
  </si>
  <si>
    <t>Has husband ever done this to you?  Insulted you, or made you feel bad</t>
  </si>
  <si>
    <t>Unclear: physical and/or psychological and/or sexual</t>
  </si>
  <si>
    <t>Has husband ever done this to you?  Physically force you to have sexual intercourse</t>
  </si>
  <si>
    <t>Has husband ever done this to you?  Sex abuse, e.g. forced to touch man's private parts</t>
  </si>
  <si>
    <t>www.sciencedirect.com/science/article/pii/S0277953696002523</t>
  </si>
  <si>
    <t>Rao V. (1993)</t>
  </si>
  <si>
    <t>year</t>
  </si>
  <si>
    <t>http://ajms.alameenmedical.org/ArticlePDFs/AJMS%20V5.N2.2012%20P%20157-164.pdf</t>
  </si>
  <si>
    <t>5th May 2017</t>
  </si>
  <si>
    <t>Martin S.L. et al (1999), 'Domestic violence in northern India', American Journal of Epidemiology, 150(4): 417-26.</t>
  </si>
  <si>
    <t>Ray K. et al (2012), 'Violence against women': evidence from a cross sectional study in urban area of North Bengal, Al Ameen Journal of Medical Science 5(2):157-64.</t>
  </si>
  <si>
    <t>16-25</t>
  </si>
  <si>
    <t>Ahmad et al (2016), 'Gender-Based Violence in Rural Uttar Pradesh, India: Prevalence and Association With Reproductive Health Behaviors', Jnl of Interpersonal Violence</t>
  </si>
  <si>
    <t>http://journals.sagepub.com/doi/full/10.1177/0886260515584341</t>
  </si>
  <si>
    <t>www.tandfonline.com/doi/figure/10.1080/07399330490493368</t>
  </si>
  <si>
    <t>https://academic.oup.com/ije/article/38/2/577/655132</t>
  </si>
  <si>
    <t>https://www.guttmacher.org/journals/ipsrh/2013/12/reproduction-functional-autonomy-and-changing-experiences-intimate-partner</t>
  </si>
  <si>
    <t>19-43</t>
  </si>
  <si>
    <t>GBV in last 12 months: "intimate partner violence within the past year at both time points" (page 222).</t>
  </si>
  <si>
    <t>18 or more</t>
  </si>
  <si>
    <t>http://repub.eur.nl/pub/19188/wp429.pdf</t>
  </si>
  <si>
    <t>6th May 2017</t>
  </si>
  <si>
    <t>Srinivasan S. &amp; Bedi A.S. (2006), ‘Domestic violence and dowry: evidence from a South Indian village’, Institute of Social Studies working paper 429.</t>
  </si>
  <si>
    <t>Punjab, Rajasthan &amp; TamilNadu</t>
  </si>
  <si>
    <t>ICRW</t>
  </si>
  <si>
    <t>https://www.icrw.org/publications/domestic-violence-in-india-part-4/</t>
  </si>
  <si>
    <t>Satish Kumar C., Gupta S.D., Abraham G., Anandhi S., Jeyaranjan J., Dagar R., Abdul Rahman P.K., Duvvury N., Nayak M. &amp; Allendorf K. (2002), ‘Domestic violence in India, part 4: Men, Masculinity and Domestic Violence in India’, International Center for Research on Women.</t>
  </si>
  <si>
    <t>Goa</t>
  </si>
  <si>
    <t>www.jpgmonline.com/text.asp?2008/54/4/306/43514</t>
  </si>
  <si>
    <t>Chowdhary N. &amp; Patel V. (2008), ‘The effect of spousal violence on women's health: Findings from the Stree Arogya Shodh in Goa, India’. Journal of Postgraduate Medicine 54(4):306-12.</t>
  </si>
  <si>
    <t>18-50</t>
  </si>
  <si>
    <t>West Bengal</t>
  </si>
  <si>
    <t>Chowdhury AN, Brahma A, Banerjee S, Biswas M K. Pattern of domestic violence amongst non-fatal deliberate self-harm attempters: A study from primary care of West Bengal. Indian J Psychiatry 2009;51:96-100</t>
  </si>
  <si>
    <t>Chandra, P.S., Satyanarayana, V.A. &amp; Carey, M.P. (2009) ‘Women reporting intimate partner violence in India: Associations with PTSD and depressive symptoms’, Archive of Women’s Mental Health 12(4):203-9. doi:10.1007/s00737-009-0065-6</t>
  </si>
  <si>
    <t>South India</t>
  </si>
  <si>
    <t>http://journals.sagepub.com/doi/pdf/10.1177/088626097012003008</t>
  </si>
  <si>
    <t>www.indianjpsychiatry.org/article.asp?issn=0019-5545;year=2009;volume=51;issue=2;spage=96;epage=100;aulast=Chowdhury</t>
  </si>
  <si>
    <t>FERNANDEZ M. (1997) Domestic Violence by Extended Family Members in India, doi: 10.1177/088626097012003008 Journal of Interpersonal Violence</t>
  </si>
  <si>
    <t>15 case studies</t>
  </si>
  <si>
    <t>Bombay</t>
  </si>
  <si>
    <t>Chennai</t>
  </si>
  <si>
    <t>48 and 84</t>
  </si>
  <si>
    <t>http://link.springer.com/article/10.1023/A%3A1025443719490</t>
  </si>
  <si>
    <t>most people (84) were in focus groups - not a survey</t>
  </si>
  <si>
    <t>http://psycnet.apa.org/journals/cdp/14/3/256/</t>
  </si>
  <si>
    <t>7th May 2017</t>
  </si>
  <si>
    <t>Gupta, R.N. et al. (2008), 'Correlates of relationship, psychological, and sexual behavioral factors for HIV risk among Indian women', Cultural Diversity and Ethnic Minority Psychology, Vol 14(3):256-65.</t>
  </si>
  <si>
    <t>not representative of the population: about half of sample were HIV-positive</t>
  </si>
  <si>
    <t>216 &amp; 243</t>
  </si>
  <si>
    <t>focus groups</t>
  </si>
  <si>
    <t>http://journals.sagepub.com/doi/pdf/10.1177/1010539509343949</t>
  </si>
  <si>
    <t>rural:</t>
  </si>
  <si>
    <t>rural and urban</t>
  </si>
  <si>
    <t>qualitative</t>
  </si>
  <si>
    <t>https://bmcpublichealth.biomedcentral.com/articles/10.1186/1471-2458-7-225</t>
  </si>
  <si>
    <t>Kermode et al. (2007)</t>
  </si>
  <si>
    <t>rural Maharashtra</t>
  </si>
  <si>
    <t>Pune</t>
  </si>
  <si>
    <t>https://www.ncbi.nlm.nih.gov/pmc/articles/PMC3441662/</t>
  </si>
  <si>
    <t>Kohli et al. (2012), Caring for Caregivers of People Living with HIV in the Family: A Response to the HIV Pandemic from Two Urban Slum Communities in Pune, India</t>
  </si>
  <si>
    <t>2004-7</t>
  </si>
  <si>
    <t>Also: Mahapatro M., Gupta R.N. &amp; Gupta V. (2012) 'The risk factor of domestic violence in India'. Indian Journal of Community Medicine 37:153-7</t>
  </si>
  <si>
    <t>Mahapatro M., Gupta R.N., Gupta V. &amp; Kundu A.S. (2011) 'Domestic violence during pregnancy in India', Journal of Interpersonal Violence 26(15):2973-90.</t>
  </si>
  <si>
    <t>http://journals.sagepub.com/doi/abs/10.1177/0886260510390948</t>
  </si>
  <si>
    <t>1 hospital</t>
  </si>
  <si>
    <t>not clear</t>
  </si>
  <si>
    <t>Below here: why I don't include this survey (in the above block)</t>
  </si>
  <si>
    <t>not enough information: e.g. year of survey, ages of women, location of hospital</t>
  </si>
  <si>
    <t>https://www.ncbi.nlm.nih.gov/pmc/articles/PMC4031588/</t>
  </si>
  <si>
    <t>Nongrum et al (2014), Domestic Violence as a Risk Factor for Maternal Depression and Neonatal Outcomes: A Hospital-Based Cohort Study</t>
  </si>
  <si>
    <t>Go V.F., Sethulakshmi C.J., Bentley M.E., Sivaram S., Srikrishnan A.K., Solomon S. &amp; Celentano D.D. (2003), ‘When HIV-prevention messages and gender norms clash: The impact of domestic violence on women's HIV risk in slums of Chennai, India’, AIDS and Behavior 7(3):263-72. doi:10.1023/A:1025443719490</t>
  </si>
  <si>
    <t>Samata</t>
  </si>
  <si>
    <t>8th May 2017</t>
  </si>
  <si>
    <t>http://journals.sagepub.com/doi/pdf/10.1177/0886260510385125</t>
  </si>
  <si>
    <t>18-26</t>
  </si>
  <si>
    <t>19-27</t>
  </si>
  <si>
    <t>Rathod S.D., Minnis A.M., Subbiah K. &amp; Krishnan S. (2011), ‘ACASI and face-to-face interviews yield inconsistent estimates of domestic violence among women in India: the Samata Health Study 2005-2009’, Journal of Interpersonal Violence 26(12):2437-56.</t>
  </si>
  <si>
    <t>9th May 2017</t>
  </si>
  <si>
    <t>1998-2000</t>
  </si>
  <si>
    <t>http://journals.sagepub.com/doi/pdf/10.1177/156482650602700204</t>
  </si>
  <si>
    <t>Sethuraman, K., Lansdown R. &amp; Sullivan K. (2006), ‘Women’s empowerment and domestic violence: The role of sociocultural determinants in maternal and child undernutrition in tribal and rural communities in South India’, Food and Nutrition Bulletin, 27(2):128-43.</t>
  </si>
  <si>
    <t>Bourey C., Stephenson R. &amp; Hindin M.J. (2013), ‘Reproduction, Functional autonomy and changing experiences of Intimate Partner Violence within marriage in Rural India’, International Perspectives on Sexual and Reproductive Health, 39(4):215-26, doi: 10.1363/3921513</t>
  </si>
  <si>
    <t>not random: sex workers surveyed</t>
  </si>
  <si>
    <t>http://ajph.aphapublications.org/doi/10.2105/AJPH.2008.149930</t>
  </si>
  <si>
    <t>Andhra Pradesh</t>
  </si>
  <si>
    <t>http://europepmc.org/articles/PMC3164576</t>
  </si>
  <si>
    <t>Shroff M.R., Griffiths P.L., Suchindran C., Nagalla B., Vazir S. &amp; Bentley M.E. (2011), ‘Does maternal autonomy influence feeding practices and infant growth in rural India?’, Social Science &amp; Medicine 73(3):447-55. doi:10.1016/j.socscimed.2011.05.040</t>
  </si>
  <si>
    <t>150 &amp; 150</t>
  </si>
  <si>
    <t>http://search.proquest.com.ezproxy.mmu.ac.uk/docview/1319815301/fulltextPDF/38ECA482539D4ABEPQ/1?accountid=12507</t>
  </si>
  <si>
    <t>11th May 2017</t>
  </si>
  <si>
    <t>not random: alcoholic husbands at a clinic (and matched sample - but I can't see GBV prevalence)</t>
  </si>
  <si>
    <t>There's also info in Koenig et al. (2010): https://academic.oup.com/ije/article-pdf/39/3/825/1758334/dyq066.pdf and Shidhaye &amp; Patel (2010) https://academic.oup.com/ije/article-pdf/39/6/1510/2224030/dyq179.pdf and http://journals.sagepub.com/doi/pdf/10.1177/0886260512459379</t>
  </si>
  <si>
    <t>http://archive.nmji.in/archives/Volume-26/Issue-3/Original-Article-Domestic-violence.pdf</t>
  </si>
  <si>
    <t>Varghese S., Prasad J.H. &amp; Jacob K.S. (2013), Domestic violence as a risk factor for infant and child mortality: a community-based case-control study from southern India', The national medical journal of India 26(3):142-6</t>
  </si>
  <si>
    <t>Mumbai</t>
  </si>
  <si>
    <t>asked about attitudes to GBV, not experience of GBV</t>
  </si>
  <si>
    <t>15-35+</t>
  </si>
  <si>
    <t>Visaria L. (2000), ‘Violence against women: a field study’, Economic &amp; Political Weekly, 35(20):1742-51.</t>
  </si>
  <si>
    <t>www.jad-journal.com/article/S0165-0327(06)00427-7/abstract</t>
  </si>
  <si>
    <t>Varma D., Chandra P.S., Thomas T. &amp; Carey M.P. (2007), ‘Intimate partner violence and sexual coercion among pregnant women in India: Relationship with depression and post-traumatic stress disorder’, Journal of Affective Disorders 102:227-35.</t>
  </si>
  <si>
    <t>Karnataka</t>
  </si>
  <si>
    <t xml:space="preserve">Krishnan S. (2005), ‘Gender, Caste, and Economic Inequalities and Marital Violence in Rural South India’, Health Care for Women International, 26(1):87-99. </t>
  </si>
  <si>
    <t>Maharashtra</t>
  </si>
  <si>
    <t>age min</t>
  </si>
  <si>
    <t>age max</t>
  </si>
  <si>
    <t>int_year</t>
  </si>
  <si>
    <t>continent</t>
  </si>
  <si>
    <t>interview_place</t>
  </si>
  <si>
    <t>INTyears</t>
  </si>
  <si>
    <t>data_age_range</t>
  </si>
  <si>
    <t>data_ageMin</t>
  </si>
  <si>
    <t>Gujarat</t>
  </si>
  <si>
    <t>urban or rural</t>
  </si>
  <si>
    <t>survey</t>
  </si>
  <si>
    <t>data_n</t>
  </si>
  <si>
    <t>data_type</t>
  </si>
  <si>
    <t>data_ageMax</t>
  </si>
  <si>
    <t>Bihar, Jharkhand, Maharashtra, TamilNadu</t>
  </si>
  <si>
    <t>violHumi</t>
  </si>
  <si>
    <t>violThre</t>
  </si>
  <si>
    <t>viorThre</t>
  </si>
  <si>
    <t>viorhumi</t>
  </si>
  <si>
    <t>violinsu</t>
  </si>
  <si>
    <t>vioRinsu</t>
  </si>
  <si>
    <t>violPush</t>
  </si>
  <si>
    <t>viorPush</t>
  </si>
  <si>
    <t>violPunc</t>
  </si>
  <si>
    <t>viorPunc</t>
  </si>
  <si>
    <t>violKick</t>
  </si>
  <si>
    <t>viorKick</t>
  </si>
  <si>
    <t>violBurn</t>
  </si>
  <si>
    <t>viorBurn</t>
  </si>
  <si>
    <t>violRape</t>
  </si>
  <si>
    <t>viorRape</t>
  </si>
  <si>
    <t>viol_sex</t>
  </si>
  <si>
    <t>vior_sex</t>
  </si>
  <si>
    <t>violPhysSex</t>
  </si>
  <si>
    <t>viorPhysSex</t>
  </si>
  <si>
    <t>violPhysPsySex</t>
  </si>
  <si>
    <t>viorPhysPsySex</t>
  </si>
  <si>
    <t>liveUrbn</t>
  </si>
  <si>
    <t>2=urban 6=rural</t>
  </si>
  <si>
    <t>age mean</t>
  </si>
  <si>
    <t>data_ageMean</t>
  </si>
  <si>
    <t>13th May 2017</t>
  </si>
  <si>
    <t>1992_Kar</t>
  </si>
  <si>
    <t>1993_TNUP</t>
  </si>
  <si>
    <t>1995_PERFORM</t>
  </si>
  <si>
    <t>1998_IndiaSAFE</t>
  </si>
  <si>
    <t>1999_Kar2</t>
  </si>
  <si>
    <t>2001_PRT</t>
  </si>
  <si>
    <t>2002_DHSfollow</t>
  </si>
  <si>
    <t>2004_eInd</t>
  </si>
  <si>
    <t>2006_AP</t>
  </si>
  <si>
    <t>2006_nat</t>
  </si>
  <si>
    <t>2006_UP</t>
  </si>
  <si>
    <t>2007_KKBGA</t>
  </si>
  <si>
    <t>2008_WB</t>
  </si>
  <si>
    <t>2009_UP</t>
  </si>
  <si>
    <t>2015_DHS</t>
  </si>
  <si>
    <t>violKnif</t>
  </si>
  <si>
    <t>viorKnif</t>
  </si>
  <si>
    <t>https://bmcpublichealth.biomedcentral.com/articles/10.1186/1471-2458-13-817</t>
  </si>
  <si>
    <t>under 20 to over 29</t>
  </si>
  <si>
    <t>15th May 2017</t>
  </si>
  <si>
    <t>Das S., Bapat U., More N.S., Alcock G., Joshi W., Pantvaidya S. &amp; Osrin D. (2013), ‘Intimate partner violence against women during and after pregnancy: a cross-sectional study in Mumbai slums’, BMC Public Health 13(1):article 817. Doi:10.1186/1471-2458-13-817</t>
  </si>
  <si>
    <t>Wagman J.A., Donta B., Julie Ritter, Naik D.D., Nair S., Saggurti N., Raj A. &amp; Silverman J.G. (2016), ‘Husband’s Alcohol Use, Intimate Partner Violence, and Family Maltreatment of Low-Income Postpartum Women in Mumbai, India’, Journal of Interpersonal Violence</t>
  </si>
  <si>
    <t>More info in Raj A., Sabarwal S., Decker M.R., Nair S., Jethva M., Krishnan S., Donta B., Saggurti N. &amp; Silverman J.G. (2011), ‘Abuse from in-Laws during pregnancy and post-partum: Qualitative and quantitative findings from low-income mothers of infants in Mumbai, India’, Maternal Child Health Journal 15(6):700-12.</t>
  </si>
  <si>
    <t>http://journals.sagepub.com/doi/full/10.1177/0886260515624235</t>
  </si>
  <si>
    <t>slum</t>
  </si>
  <si>
    <t>educYwif</t>
  </si>
  <si>
    <t>2004_Chen</t>
  </si>
  <si>
    <t>16-44</t>
  </si>
  <si>
    <t>Solomon S., Subbaraman R., Solomon S.S., Srikrishnan A.K., Johnson S.C., Vasudevan C.K., Anand S., Ganesh A.K. &amp; Celentano D.D. (2009), ‘Domestic violence and forced sex among the urban poor in south India: implications for HIV prevention’, Violence Against Women, 15(7):753-73.</t>
  </si>
  <si>
    <t>http://journals.sagepub.com/doi/abs/10.1177/1077801209334602</t>
  </si>
  <si>
    <t>17th May 2017</t>
  </si>
  <si>
    <t>Rocca C.H., Rathod S., Falle T., Pande R.P. &amp; Krishnan S. (2009), ‘Challenging assumptions about women's empowerment: social and economic resources and domestic violence among young married women in urban South India’. International Journal of Epidemiology 38(2):577-85.</t>
  </si>
  <si>
    <t>vior_Nmonths</t>
  </si>
  <si>
    <t>number of months</t>
  </si>
  <si>
    <t>is vior data based on 12 months, or less?</t>
  </si>
  <si>
    <t>2012_WAS</t>
  </si>
  <si>
    <t>2007_WAS</t>
  </si>
  <si>
    <t>2002_WAS</t>
  </si>
  <si>
    <t>20-85</t>
  </si>
  <si>
    <t>Rajasthan</t>
  </si>
  <si>
    <t>Punjab</t>
  </si>
  <si>
    <t>survey_group</t>
  </si>
  <si>
    <t>survey name</t>
  </si>
  <si>
    <t>MRDVPMIH</t>
  </si>
  <si>
    <t>CTS questions (or similar)?</t>
  </si>
  <si>
    <t>CTS_questions</t>
  </si>
  <si>
    <t>A=Asia E=Europe F=Africa L=LatAm N=NAmer O=Oceania</t>
  </si>
  <si>
    <t>mean=22; StdDev=3.35</t>
  </si>
  <si>
    <t>1997-9</t>
  </si>
  <si>
    <t>1990 survey</t>
  </si>
  <si>
    <t>Five villages (prosperous area). Interviews followed by questionnaire. Sample of women with child under 3 years old.</t>
  </si>
  <si>
    <t>see Mahajan A. 1990. “Instigators of wife battering.” In Sushama Sood, ed., Violence against Women. Jaipur: Arihant Publishers.</t>
  </si>
  <si>
    <t>https://www.guttmacher.org/journals/ipsrh/2006/12/domestic-violence-and-symptoms-gynecologic-morbidity-among-women-north-india</t>
  </si>
  <si>
    <t>22nd May 2017</t>
  </si>
  <si>
    <t>Stephenson R., Koenig M.A. &amp; Ahmed S. (2006), ‘Domestic violence and symptoms of gynecologic morbidity among women in North India’, International Family Planning Perspectives, 32(4):201-8.</t>
  </si>
  <si>
    <t>There's more info at https://www.measureevaluation.org/resources/publications/ja-00-15/at_download/document</t>
  </si>
  <si>
    <t>24th May 2017</t>
  </si>
  <si>
    <t>Delhi</t>
  </si>
  <si>
    <t>1999_Del</t>
  </si>
  <si>
    <t>Muthal-Rathore A., Tripathi R. &amp; Arora R. (2002), 'Domestic violence against pregnant women interviewed at a hospital in New Delhi', International Journal of Gynecology &amp; Obstetrics 76(1):83-5.</t>
  </si>
  <si>
    <t>Key to CTS column:</t>
  </si>
  <si>
    <t>Chandigarh</t>
  </si>
  <si>
    <t>Sampled if: "prior evidence of alcohol use, injection drug use, community-based sex work, or activity of men who have sex with men in the community"</t>
  </si>
  <si>
    <t>2006_Mys</t>
  </si>
  <si>
    <t>Mysore</t>
  </si>
  <si>
    <t>http://journals.sagepub.com/doi/full/10.1177/1010539511426474</t>
  </si>
  <si>
    <t>Madhivanan P., Krupp K. &amp; Reingold A. (2014), 'Correlates of Intimate Partner Physical Violence Among Young Reproductive Age Women in Mysore, India', Asia Pacific Journal of Public Health 26(2):169-81.</t>
  </si>
  <si>
    <t>Has husband ever done this: Slap you?</t>
  </si>
  <si>
    <t>Has husband ever done this: Punch you with fist or something that could hurt?</t>
  </si>
  <si>
    <t>Has husband ever done this: Try to choke you or burn you on purpose?</t>
  </si>
  <si>
    <t>Has husband ever done this: Threaten or attack you with a knife, gun, or other weapon?</t>
  </si>
  <si>
    <t>violHair</t>
  </si>
  <si>
    <t>viorHair</t>
  </si>
  <si>
    <t>violSlap</t>
  </si>
  <si>
    <t>viorSlap</t>
  </si>
  <si>
    <t>There's also info in Bloch &amp; Rao</t>
  </si>
  <si>
    <t>1999_DHSfollow</t>
  </si>
  <si>
    <t>There's also info in Sabarwal et al (2014): http://journals.sagepub.com/doi/full/10.1177/0886260513505144 and Ahmad et al</t>
  </si>
  <si>
    <t>2006_Vel</t>
  </si>
  <si>
    <t>25th May 2017</t>
  </si>
  <si>
    <t>Bhattacharyya M., Bedi A.S. &amp; Chhachhi A. (2011), ‘Marital violence and women’s employment and property status: evidence from north Indian villages’, World Development 39(9):1676-89.</t>
  </si>
  <si>
    <t>mean=28.27 SD=5.26</t>
  </si>
  <si>
    <t>2006_WB</t>
  </si>
  <si>
    <t>10+</t>
  </si>
  <si>
    <t>DHS Bolivia 03</t>
  </si>
  <si>
    <t>DHS Bolivia 08</t>
  </si>
  <si>
    <t>DHS Zambia2001</t>
  </si>
  <si>
    <t>DHSphilipine08</t>
  </si>
  <si>
    <t>DHSsafrica1998</t>
  </si>
  <si>
    <t>DHS Azerbaij06</t>
  </si>
  <si>
    <t>DHS Cambodia00</t>
  </si>
  <si>
    <t>DHS Cambodia05</t>
  </si>
  <si>
    <t>DHS Cameroon04</t>
  </si>
  <si>
    <t>DHS Colombia00</t>
  </si>
  <si>
    <t>DHS Colombia05</t>
  </si>
  <si>
    <t>DHS Colombia10</t>
  </si>
  <si>
    <t>DHS Colombia90</t>
  </si>
  <si>
    <t>DHS CongoDR 07</t>
  </si>
  <si>
    <t>DHS Egypt 1995</t>
  </si>
  <si>
    <t>DHS Egypt 2005</t>
  </si>
  <si>
    <t>DHS Ghana 2008</t>
  </si>
  <si>
    <t>DHS Haiti 2000</t>
  </si>
  <si>
    <t>DHS Haiti 2005</t>
  </si>
  <si>
    <t>DHS Honduras05</t>
  </si>
  <si>
    <t>DHS Jordan2007</t>
  </si>
  <si>
    <t>DHS Kenya 2003</t>
  </si>
  <si>
    <t>DHS Kenya 2008</t>
  </si>
  <si>
    <t>DHS Liberia 07</t>
  </si>
  <si>
    <t>DHS Malawi2004</t>
  </si>
  <si>
    <t>DHS Malawi2010</t>
  </si>
  <si>
    <t>DHS Mali 2006</t>
  </si>
  <si>
    <t>DHS Mali 2012</t>
  </si>
  <si>
    <t>DHS Moldova 05</t>
  </si>
  <si>
    <t>DHS Nepal 2011</t>
  </si>
  <si>
    <t>DHS Nigeria 08</t>
  </si>
  <si>
    <t>DHS Nigeria 13</t>
  </si>
  <si>
    <t>DHS Peru 2000</t>
  </si>
  <si>
    <t>DHS Peru2004-8</t>
  </si>
  <si>
    <t>DHS Rwanda2005</t>
  </si>
  <si>
    <t>DHS Rwanda2010</t>
  </si>
  <si>
    <t>DHS Sao Tome08</t>
  </si>
  <si>
    <t>DHS Tanzania10</t>
  </si>
  <si>
    <t>DHS Timor 2009</t>
  </si>
  <si>
    <t>DHS Uganda2006</t>
  </si>
  <si>
    <t>DHS Uganda2011</t>
  </si>
  <si>
    <t>DHS Ukraine 07</t>
  </si>
  <si>
    <t>DHS Zambia2007</t>
  </si>
  <si>
    <t>DHS Zimbabwe05</t>
  </si>
  <si>
    <t>DHS Zimbabwe10</t>
  </si>
  <si>
    <t>DHSbangladsh07</t>
  </si>
  <si>
    <t>DHSburkinaFa10</t>
  </si>
  <si>
    <t>DHScoteDIvoi11</t>
  </si>
  <si>
    <t>DHSdominican02</t>
  </si>
  <si>
    <t>DHSdominican07</t>
  </si>
  <si>
    <t>DHSdominican99</t>
  </si>
  <si>
    <t>DHSnicaragua97</t>
  </si>
  <si>
    <t>DHSsierraLeo13</t>
  </si>
  <si>
    <t>DHSbangladsh04</t>
  </si>
  <si>
    <t>DHS Guinea2005</t>
  </si>
  <si>
    <t>2011-2</t>
  </si>
  <si>
    <t>2003-8</t>
  </si>
  <si>
    <t>Has husband ever done this to you?  Threaten you with a knife or other weapon</t>
  </si>
  <si>
    <t xml:space="preserve">III </t>
  </si>
  <si>
    <t xml:space="preserve">I   </t>
  </si>
  <si>
    <t>Has husband ever done this: Kick you, or drag you?</t>
  </si>
  <si>
    <t>Has husband ever done this: attack you with a knife, gun, or other weapon?</t>
  </si>
  <si>
    <t>DHS data processed by John Simister; sample-size excludes missing data on viol_wif</t>
  </si>
  <si>
    <t>DHS data processed by John Simister; men were interviewed, to ask if they'd been violent to wife.</t>
  </si>
  <si>
    <t>violBeat</t>
  </si>
  <si>
    <t>viorBeat</t>
  </si>
  <si>
    <t>Data also available at:</t>
  </si>
  <si>
    <t>violTkni</t>
  </si>
  <si>
    <t>viorTkni</t>
  </si>
  <si>
    <t>violEmot</t>
  </si>
  <si>
    <t>viorEmot</t>
  </si>
  <si>
    <t>viol_wif</t>
  </si>
  <si>
    <t>vior_wif</t>
  </si>
  <si>
    <t>Beat you up?</t>
  </si>
  <si>
    <t>Visaria L. (1999), ‘Violence against women in India: evidence from rural Gujarat’, in ‘A summary report of three studies’, https://www.icrw.org/wp-content/uploads/2016/10/Domestic-Violence-in-India-1-Summary-Report-of-Three-Studies.pdf</t>
  </si>
  <si>
    <t>Uttar Pradesh and Gujarat</t>
  </si>
  <si>
    <t>Broom A., Sibbritt D., Nayar K.R., Doron A. &amp; Nilan P. (2012), “Men’s Experiences of Family, Domestic and Honour-Related Violence in Gujarat and Uttar Pradesh, India”, Asian Social Science 8(6):3-10. dx.doi.org/10.5539/ass.v8n6p3</t>
  </si>
  <si>
    <t>3rd June 2017</t>
  </si>
  <si>
    <t>Peedicayil A., Sadowski L.S., Jeyaseelan L., Shankar V., Jain D., Suresh S. &amp; Bangdiwala S.I. (2004), ‘Spousal physical violence against women during pregnancy’, BJOG: an International Journal of Obstetrics and Gynaecology 111: 682-7.</t>
  </si>
  <si>
    <t>16-34</t>
  </si>
  <si>
    <t>Index of Spouse Abuse</t>
  </si>
  <si>
    <t>2005_Ban1</t>
  </si>
  <si>
    <t>Number of people answering GBV questions</t>
  </si>
  <si>
    <t>1=slum only; 0=not just slum</t>
  </si>
  <si>
    <t>http://ajph.aphapublications.org/doi/10.2105/AJPH.2005.066316</t>
  </si>
  <si>
    <t>15-82</t>
  </si>
  <si>
    <t>Sarkar M. (2010), ‘A study on domestic violence against adult and adolescent females in a rural area of West Bengal’, Indian Journal of Community Medicine 35(2):311-5.</t>
  </si>
  <si>
    <t>18-45</t>
  </si>
  <si>
    <t>http://europepmc.org/articles/PMC3570908</t>
  </si>
  <si>
    <t>4th June 2017</t>
  </si>
  <si>
    <t>2009_Mum2</t>
  </si>
  <si>
    <t xml:space="preserve">Shrivastava P.S. &amp; Shrivastava S.R. (2013), ‘A study of spousal domestic violence in an urban slum of Mumbai’. International Journal of Preventive Medicine 4(1):27-32. </t>
  </si>
  <si>
    <t>2004_Pun</t>
  </si>
  <si>
    <t>18-39</t>
  </si>
  <si>
    <t xml:space="preserve">Begum S., Donta B., Nair S. &amp; Prakasam C.P. (2015), ‘Socio-demographic factors associated with domestic violence in urban slums, Mumbai, Maharashtra, India’, Indian Journal of Medical Research 141(6):783-8. </t>
  </si>
  <si>
    <t>www.ijmr.org.in/temp/IndianJMedRes1416783-7521104_205331.pdf</t>
  </si>
  <si>
    <t>http://europepmc.org/abstract/MED/19189826</t>
  </si>
  <si>
    <t>Ruikar M.M. &amp; Pratinidhi A.K. (2008), ‘Physical wife abuse in an urban slum of Pune, Maharastra’, Indian Journal of Public Health 52(4):215-7.</t>
  </si>
  <si>
    <t>specific location</t>
  </si>
  <si>
    <t>interview_location</t>
  </si>
  <si>
    <t>polyclinic</t>
  </si>
  <si>
    <t>Yerevan</t>
  </si>
  <si>
    <t>Fuzhou</t>
  </si>
  <si>
    <t>Malwani</t>
  </si>
  <si>
    <t>Siliguri</t>
  </si>
  <si>
    <t>Kerala</t>
  </si>
  <si>
    <t>Bangalore: antenatal outpatients</t>
  </si>
  <si>
    <t>2008_Kol</t>
  </si>
  <si>
    <t>Kolkota</t>
  </si>
  <si>
    <t>Sinha A., Mallik S., Sanyal D., Dasgupta S., Pal D. &amp; Mukherjee A. (2012), ‘Domestic violence among ever married women of reproductive age group in a slum area of Kolkata’, Indian Journal of Public Health 56(1):31-6.</t>
  </si>
  <si>
    <t>Gwalior</t>
  </si>
  <si>
    <t>Madhya Pradesh</t>
  </si>
  <si>
    <t>2009_Gwa</t>
  </si>
  <si>
    <t>www.ccsenet.org/journal/index.php/ass/article/view/16530</t>
  </si>
  <si>
    <t>Mishra A., Patne S.K., Tiwari R., Srivastava D.K., Gour N. &amp; Bansal M. (2014), ‘A cross-sectional study to find out the prevalence of different types of domestic violence in Gwalior city and to identify the various risk and protective factors for domestic violence’, Indian Journal of Community Medicine 39(1):21-5.</t>
  </si>
  <si>
    <t>18+</t>
  </si>
  <si>
    <t>Aswar N.R., Kalpana M.K., Inamdar I.F., Borkar S. &amp; Doibale M.K. (2013), ‘Domestic violence against married women in reproductive age group: A community based study’, IOSR Journal of Dental and Medical Sciences 11(2):17-23.</t>
  </si>
  <si>
    <t>5th June 2017</t>
  </si>
  <si>
    <t>Nanded (Ambedkar Nagar)</t>
  </si>
  <si>
    <t xml:space="preserve">  no school=0; primary incomplete=3; primary complete=5; secondary incomplete=9; secondary complete=12; higher education=15</t>
  </si>
  <si>
    <t>Coast E., Leone T. &amp; Malviya A. (2012), ‘Gender-based violence and reproductive health in five Indian states’, in Nakray, Keerty, (ed.) Gender-based violence and public health: international perspectives on budgets and policies. New York: Routledge.</t>
  </si>
  <si>
    <t>Data from Koenig M.A., Stephenson R., Ahmed S., Jejeebhoy S.J. &amp; Campbell J. (2006), ‘Individual and Contextual Determinants of Domestic Violence in North India’, American Journal of Public Health 96(1):132-8.</t>
  </si>
  <si>
    <t>no school/ illiterate=0 primary=3.9 secondary=9.1 higher=15.2 years</t>
  </si>
  <si>
    <t>Ahmed S., Koenig M.A. &amp; Stephenson R. (2006), 'Effects of domestic violence on perinatal and early-childhood mortality: evidence from North India', American Journal of Public Health 96(8):1423-8.</t>
  </si>
  <si>
    <t xml:space="preserve">Pillai A., Nayak M.B., Greenfield T.K., Bond J.C., Nadkarni A. &amp; Patel V. (2013), ‘Patterns of alcohol use, their correlates, and impact in male drinkers: a population-based survey from Goa, India’. Social Psychiatry and Psychiatric Epidemiology 48:275-82. </t>
  </si>
  <si>
    <t>2005_Del</t>
  </si>
  <si>
    <t>Raj Nagar-I, near Palam</t>
  </si>
  <si>
    <t>6th June 2017</t>
  </si>
  <si>
    <t>Vachher S.A. &amp; Sharma A.K. (2010), ‘Domestic violence against women and their mental health status in a colony in Delhi’, Indian Journal of Community Medicine 35(3):403-5.</t>
  </si>
  <si>
    <t>2003_nat</t>
  </si>
  <si>
    <t xml:space="preserve">Yugantar Education Society (2003), ‘A study of nature, extent, incidence and impact of domestic violence against women in the states of Andhra Pradesh, Chattisgarh, Gujarat, Madhya Pradesh and Maharashtra’, Research study report, Planning Commission, Government of India, New Delhi. </t>
  </si>
  <si>
    <t>http://planningcommission.gov.in/reports/sereport/index.php?repts=mstudy</t>
  </si>
  <si>
    <t>18-61+</t>
  </si>
  <si>
    <t>www.who-seajph.org/temp/WHOSouth-EastAsiaJPublicHealth12133-7858782_214947.pdf</t>
  </si>
  <si>
    <t>2009_Guj</t>
  </si>
  <si>
    <t>Jamnagar</t>
  </si>
  <si>
    <t>7th June 2017</t>
  </si>
  <si>
    <t>Sudha B.Y., Bhavin V., Abha M.D., Neha P.A. &amp; Shah H. (2011), ‘A study on status of empowerment of women in Jamnagar district’, National Journal of Community Medicine 2(3):423-8.</t>
  </si>
  <si>
    <t>Gaikwad, V., Madhukumar, S., &amp; Sudeepa D (2011). ‘An epidemiological study of domestic violence against women and its association with sexually transmitted infections in Bangalore Rural. Online Journal of Health and Allied Sciences, 10(3).</t>
  </si>
  <si>
    <t>http://journaldatabase.info/articles/cross-sectional_study_physical_spousal.html</t>
  </si>
  <si>
    <t>Kamat U., Ferreira A.M.A., Motghare D.D., Kamat N. &amp; Pinto N.R. (2010). ‘A cross-sectional study of physical spousal violence against women in Goa’. Healthline, 1(1), 34-40.</t>
  </si>
  <si>
    <t>Aldona, north Goa</t>
  </si>
  <si>
    <t>Mangalwarpeth, Pune</t>
  </si>
  <si>
    <t>16-49</t>
  </si>
  <si>
    <t>2000-6</t>
  </si>
  <si>
    <t>www.ijcm.org.in/article.asp?issn=0970-0218;year=2010;volume=35;issue=3;spage=403;epage=405;aulast=Vachher</t>
  </si>
  <si>
    <t>15-25</t>
  </si>
  <si>
    <t>http://onlinelibrary.wiley.com/doi/10.1111/j.1471-0528.2004.00151.x/full</t>
  </si>
  <si>
    <t>9th June 2017</t>
  </si>
  <si>
    <t>This is the same survey as the line below (but reported in a different source).</t>
  </si>
  <si>
    <t>http://europepmc.org/articles/PMC2791993</t>
  </si>
  <si>
    <t>1998_Mum</t>
  </si>
  <si>
    <t>1999_Mum</t>
  </si>
  <si>
    <t>http://search.proquest.com.ezproxy.mmu.ac.uk/docview/232582411?pq-origsite=360link</t>
  </si>
  <si>
    <t>10th June 2017</t>
  </si>
  <si>
    <t>Verma, R.K. &amp; Collumbien M. (2003), ‘Wife beating and the link with poor sexual health and risk behavior among men in urban slums in India’, Journal of Comparative Family Studies 34(1): 61-74.</t>
  </si>
  <si>
    <t>divided into &lt;30; 30-39; 40+</t>
  </si>
  <si>
    <t>16-30</t>
  </si>
  <si>
    <t>This row: during pregnancy.</t>
  </si>
  <si>
    <t>Background info at http://jamanetwork.com/journals/jamapsychiatry/fullarticle/209474</t>
  </si>
  <si>
    <t>http://bjp.rcpsych.org/content/196/3/192.full-text.pdf+html</t>
  </si>
  <si>
    <t>2001_Ker</t>
  </si>
  <si>
    <t>Thiruvananthapuram</t>
  </si>
  <si>
    <t>Panda P.K. (2004), ‘Domestic violence against women in Kerala’, Discussion Paper, Kerala Research Programme on Local Level Development, Centre for Development Studies.</t>
  </si>
  <si>
    <t>www.cds.ac.in/krpcds/publication/downloads/86.pdf</t>
  </si>
  <si>
    <t>Has husband ever done this to you?  Humiliate you in front of other people (demeaned)</t>
  </si>
  <si>
    <t>https://reproductive-health-journal.biomedcentral.com/articles/10.1186/s12978-016-0223-z</t>
  </si>
  <si>
    <t>Silverman J.G., Balaiah D., Ritter J., Dasgupta A., Boyce S.C., Decker M.R., Naik D.D., Nair S., Saggurti N. &amp; Raj A. (2016), ‘Maternal morbidity associated with violence and maltreatment from husbands and in-laws: findings from Indian slum communities’, Reproductive Health 13(1):109.</t>
  </si>
  <si>
    <t>And Koski et al: https://www.ncbi.nlm.nih.gov/pmc/articles/PMC3131125/</t>
  </si>
  <si>
    <t>2011_TN</t>
  </si>
  <si>
    <t>Vellore &amp; Chennai</t>
  </si>
  <si>
    <t>IndiaSAFE</t>
  </si>
  <si>
    <t>https://link-springer-com.ezproxy.mmu.ac.uk/content/pdf/10.1007%2Fs00127-015-1167-2.pdf</t>
  </si>
  <si>
    <t>Rao D., Kumar S., Mohanraj R., Frey S., Manhart L.E. &amp; Kaysen D.L. (2016), ‘The impact of domestic violence and depressive symptoms on preterm birth in South India’, Social Psychiatry and Psychiatric Epidemiology 51(2): 225-32.</t>
  </si>
  <si>
    <t>Nagpur</t>
  </si>
  <si>
    <t>http://onlinelibrary.wiley.com/doi/10.1111/j.1447-0756.1999.tb01142.x/pdf</t>
  </si>
  <si>
    <t>Purwar M.B., Jeyaseelan L., Varhadpande U., Motghare V. &amp; Pimplakute S. (1999), ‘Survey of physical abuse during pregnancy GMCH, Nagpur, India, Journal of Obstetrics and Gynaecological research 25(3):165-17.</t>
  </si>
  <si>
    <t>Bangalore: National Institute of Mental Health and Neuro Sciences</t>
  </si>
  <si>
    <t xml:space="preserve">Chandra, P.S., Satyanarayana, V.A. &amp; Carey, M.P. (2009) ‘Women reporting intimate partner violence in India: Associations with PTSD and depressive symptoms’, Archive of Women’s Mental Health 12(4):203-9. </t>
  </si>
  <si>
    <t>https://link-springer-com.ezproxy.mmu.ac.uk/content/pdf/10.1007%2Fs00737-009-0065-6.pdf</t>
  </si>
  <si>
    <t>Not a random sample: mental health institution, "experiencing a non-psychotic mental disorder"</t>
  </si>
  <si>
    <t>2011_Vel</t>
  </si>
  <si>
    <t>www.iosrjournals.org/iosr-jdms/papers/Vol11-issue2/D01121723.pdf?id=7244</t>
  </si>
  <si>
    <t>www.ijpm.info/article.asp?issn=0253-7176;year=2014;volume=36;issue=2;spage=179;epage=181;aulast=Nongrum</t>
  </si>
  <si>
    <t>11th June 2017</t>
  </si>
  <si>
    <t>Nongrum R., Thomas E., Lionel J. &amp; Jacob K.S. (2014), ‘Domestic violence as a risk factor for maternal depression and neonatal outcomes: A hospital-based cohort study’, Indian Journal of Psychological Medicine 36(2):179-81.</t>
  </si>
  <si>
    <t>Page 4: "Each IPPV item had 4 responses: 0 (never or 0 times); 1 (rarely or 1-2 times a year); 2 (sometimes or less than once a month); 3 (frequently or at least once a month). Responses were collapsed into 2 categories with “0” describing not experiencing violence and “1” experiencing violence. A composite variable was developed for IPPV that aggregated all the 12 items describing IPPV in the prior 12 months." I think 12 months is misleading, so I interpret this as 'ever' experienced GBV.</t>
  </si>
  <si>
    <t>Reed E., Saggurti N., Donta B., Ritter J., Dasgupta A., Ghule M., Battala M., Nair S., Silverman J.G., Jadhav A., Palaye P. &amp; Raj A. (2016), ‘Intimate partner violence among married couples in India and contraceptive use reported by women but not husbands’, International Journal of Gynecology &amp; Obstetrics 133(1):22-5.</t>
  </si>
  <si>
    <t>18-30</t>
  </si>
  <si>
    <t>http://www.journalrmc.com/volumes/1394782527.pdf</t>
  </si>
  <si>
    <t>Rawalpindi</t>
  </si>
  <si>
    <t>http://journals.sagepub.com/doi/abs/10.1177/0886260508322186</t>
  </si>
  <si>
    <t>14th June 2017</t>
  </si>
  <si>
    <t>Pandey G.K., Dutt D. &amp; Banerjee B. (2009), ‘Partner and relationship factors in domestic violence: perspectives of women from a slum in Calcutta, India’, Journal of Interpersonal Violence 24(7):1175-91.</t>
  </si>
  <si>
    <t>2001_WB</t>
  </si>
  <si>
    <t>Baruipur Subdivisional Hospital in the district of South 24-Parganas</t>
  </si>
  <si>
    <t>Mitra S. (2006), ‘Domestic violence along with its sociocultural determinants among pregnant women attending MCH clinic of a subdivisional hospital in West Bengal’, Indian Journal of Community Medicine 31(4):267-9.</t>
  </si>
  <si>
    <t>http://medind.nic.in/iaj/t06/i4/iajt06i4p267.pdf</t>
  </si>
  <si>
    <t>Jejeebhoy, S. (1998). Associations between Wife-Beating and Fetal and Infant Death: Impressions from a Survey in Rural India. Studies in Family Planning, 29(3), 300-8.</t>
  </si>
  <si>
    <t>Also info at www.thelancet.com/pdfs/journals/lancet/PIIS0140-6736(97)90004-0.pdf</t>
  </si>
  <si>
    <t>www.jstor.org/stable/pdf/172276.pdf?refreqid=excelsior%3A57966a7559e60f2755678d827ef4dd3d</t>
  </si>
  <si>
    <t>2004_Chan</t>
  </si>
  <si>
    <t>Khosla A. et al. (2005), "Domestic violence in pregnancy in North Indian women." Indian Journal of Medical Sciences 59(5):195-9. Academic OneFile, go.galegroup.com/ps/i.do?p=AONE&amp;sw=w&amp;u=mmucal5&amp;v=2.1&amp;id=GALE%7CA133850715&amp;it=r&amp;asid=c468feb39593bfb873095ce2e3ece539.</t>
  </si>
  <si>
    <t>is domestic violence from husband and other household members?</t>
  </si>
  <si>
    <t>0=husb only; 1=hus+others</t>
  </si>
  <si>
    <t>1993-7</t>
  </si>
  <si>
    <t>www.rrh.org.au/articles/subviewnew.asp?ArticleID=304</t>
  </si>
  <si>
    <t>www.epw.in/journal/2000/20/special-articles/violence-against-women.html</t>
  </si>
  <si>
    <t>www.sciencedirect.com/science/article/pii/S0305750X11000209</t>
  </si>
  <si>
    <t>www.sciencedirect.com/science/article/pii/S0020729201005331</t>
  </si>
  <si>
    <t>http://journals.sagepub.com/doi/abs/10.1177/1077801212442628</t>
  </si>
  <si>
    <t>15th June 2017</t>
  </si>
  <si>
    <t>Krishnan S., Subbiah K,, Khanum S., Chandra P.S. &amp; Padian N.S. (2012), ‘An intergenerational women’s empowerment Intervention to mitigate domestic violence results of a pilot study in Bengaluru, India’, Violence Against Women 18(3):346-70.</t>
  </si>
  <si>
    <t>More info at: http://journals.sagepub.com/doi/suppl/10.1177/1077801212442628/suppl_file/VAW_Suneeta_Krishnan.mp3</t>
  </si>
  <si>
    <t>2008_DilMil</t>
  </si>
  <si>
    <t>2013_Guj</t>
  </si>
  <si>
    <t>http://journals.sagepub.com/doi/pdf/10.1177/0886260515603973</t>
  </si>
  <si>
    <t>Kamimura A., Ganta V., Myers K. &amp; Thomas T. (2015), ‘Intimate Partner Violence, childhood abuse, and in-law abuse among women utilizing community health services in Gujarat, India’, Journal of Interpersonal Violence online 1-19.</t>
  </si>
  <si>
    <t>urban slums</t>
  </si>
  <si>
    <t>Rajkot community health centers: 14 slums &amp; 4 villages</t>
  </si>
  <si>
    <t>18-62</t>
  </si>
  <si>
    <t>http://europepmc.org/articles/PMC4286938</t>
  </si>
  <si>
    <t>Data subset (urban non-slum, in 3 cities ) reported in: Jeyaseelan L., Sadowski L.S., Kumar S., Hassan F., Ramiro L. &amp; Vizcarra B. (2004), ‘World studies of abuse in the family environment – risk factors for physical intimate partner violence’, Injury Control and Safety Promotion, 11(2):117-24.</t>
  </si>
  <si>
    <t>www.njcmindia.org/home/download/175</t>
  </si>
  <si>
    <t>www.ijph.in/article.asp?issn=0019-557X;year=2012;volume=56;issue=1;spage=31;epage=36;aulast=Sinha</t>
  </si>
  <si>
    <t>2009_Mum3</t>
  </si>
  <si>
    <t>2009_Mum1</t>
  </si>
  <si>
    <t>www.bioline.org.br/request?ms05028</t>
  </si>
  <si>
    <t>Data processed by John Simister:   male respondents only</t>
  </si>
  <si>
    <t>Data processed by John Simister: female respondents only</t>
  </si>
  <si>
    <t>https://link.springer.com/article/10.1007/s10896-009-9253-4#</t>
  </si>
  <si>
    <t>17th June 2017</t>
  </si>
  <si>
    <t>Tichy et al (2009), The Downside of Patriarchal Benevolence: Ambivalence in Addressing Domestic Violence and Socio-Economic Considerations for Women of Tamil Nadu, India</t>
  </si>
  <si>
    <t>CTS2</t>
  </si>
  <si>
    <t>"Flyers were posted in public locations": sample may all be victims. 98% of sample said they'd been abused.</t>
  </si>
  <si>
    <t>viorKnifTkni</t>
  </si>
  <si>
    <t>violKnifTkni</t>
  </si>
  <si>
    <t>sample details</t>
  </si>
  <si>
    <t>sample_details</t>
  </si>
  <si>
    <t>woman has at least 1 child</t>
  </si>
  <si>
    <t>Interviewed when baby was 3-5 months old.</t>
  </si>
  <si>
    <t>10 months later than male sample</t>
  </si>
  <si>
    <t>currently-married men, in mid-1998</t>
  </si>
  <si>
    <t>women with a child below 2 years.</t>
  </si>
  <si>
    <t>https://papers.ssrn.com/sol3/papers.cfm?abstract_id=1447382</t>
  </si>
  <si>
    <t>Kaushambi</t>
  </si>
  <si>
    <t>Bathinda + Amritsar: rural &amp; semi-urban areas</t>
  </si>
  <si>
    <t>Thirunur village, Chengalpattu district</t>
  </si>
  <si>
    <t>rural Churu &amp; urban Bhilwara</t>
  </si>
  <si>
    <t>http://bjp.rcpsych.org/content/196/3/192</t>
  </si>
  <si>
    <t>19th June 2017</t>
  </si>
  <si>
    <t>2008_Goa2</t>
  </si>
  <si>
    <t>2008_Goa1</t>
  </si>
  <si>
    <t>women in catchment area of health centre</t>
  </si>
  <si>
    <t>2 rural districts; 2 urban districts</t>
  </si>
  <si>
    <t>former sex workers; 99% had experienced GBV.</t>
  </si>
  <si>
    <t>pregnant women, in antenatal ward</t>
  </si>
  <si>
    <t>71.5% of families in upper-middle &amp; lower middle class</t>
  </si>
  <si>
    <t>southwest Kolkata</t>
  </si>
  <si>
    <t>2005_Ban2</t>
  </si>
  <si>
    <t>pregnant women attending antenatal clinic</t>
  </si>
  <si>
    <t>http://journals.sagepub.com/doi/full/10.1177/0886260512469105</t>
  </si>
  <si>
    <t>wife yrs in education</t>
  </si>
  <si>
    <t>mothers-in-law &amp; daughters-in-law</t>
  </si>
  <si>
    <t>seeking child immunization in govt clinics</t>
  </si>
  <si>
    <t>Shivaji Nagar, Bail Bazaar, and Mohili</t>
  </si>
  <si>
    <t>Also info at:</t>
  </si>
  <si>
    <t>www.ijmr.org.in/article.asp?issn=0971-5916;year=2015;volume=141;issue=6;spage=783;epage=788;aulast=Begum</t>
  </si>
  <si>
    <t>20th June 2017</t>
  </si>
  <si>
    <t>Decker M.R., Nair S., Saggurti N., Sabri B., Jethva M., Raj A., Donta B. &amp; Silverman J.G. (2013), ‘Violence-related coping, help-seeking and health care-based intervention preferences among perinatal women in Mumbai, India’, Journal of Interpersonal Violence 28(9):1924-47.</t>
  </si>
  <si>
    <t>This sample is of MEN, chosen because they had experienced violence.</t>
  </si>
  <si>
    <t>men's experience of violence</t>
  </si>
  <si>
    <t>1999_Kar1</t>
  </si>
  <si>
    <t>Soliga tribe; &amp; rural sample</t>
  </si>
  <si>
    <t>married women living with husband for last year</t>
  </si>
  <si>
    <t>women 26-34 weeks gestation, at obstetrics outpatient department</t>
  </si>
  <si>
    <t>married women with unmet need for family planning, &amp; at least 1 child</t>
  </si>
  <si>
    <t>women using community health services</t>
  </si>
  <si>
    <t>https://www.ncbi.nlm.nih.gov/pmc/articles/PMC4878818/</t>
  </si>
  <si>
    <t>married women</t>
  </si>
  <si>
    <t>only 'control group' data reported in this row (the other 80 'cases' in [Varghese, Prasad &amp; Jacob, 2013] are all selected because they are victims).</t>
  </si>
  <si>
    <t>women with a child under 2 years.</t>
  </si>
  <si>
    <t>Patna, Delhi, Kochi, Mumbai, Chennai, Kolkota</t>
  </si>
  <si>
    <t>married men</t>
  </si>
  <si>
    <t>attending antenatal care clinics.</t>
  </si>
  <si>
    <t>women with 'current drinker' husband; "Majority of current drinkers in this population could be considered as low-risk drinkers (72 %) based on their usual quantity of consumption" (Pillai et al 2013: p.280).</t>
  </si>
  <si>
    <t>women who gave birth in the last 6 months.</t>
  </si>
  <si>
    <t>noDate_Ban2</t>
  </si>
  <si>
    <t>www.ojhas.org/issue39/2011-3-3.pdf</t>
  </si>
  <si>
    <t>www.tandfonline.com/doi/full/10.1016/S0968-8080%2806%2928261-2</t>
  </si>
  <si>
    <t>Kolathur &amp; Parvathipura villages in rural Bangalore</t>
  </si>
  <si>
    <t>2009_Kar</t>
  </si>
  <si>
    <t>Bangalore area</t>
  </si>
  <si>
    <t>Vijayawada, Patna, Delhi, Ahmadabad, Kochi, Mumbai, Bhubaneswar, Ludhiana, Chennai, Lucknow, Kolkota</t>
  </si>
  <si>
    <t>2005_Kol</t>
  </si>
  <si>
    <t>per cent of GBV victims who told police</t>
  </si>
  <si>
    <t>violTellPolice</t>
  </si>
  <si>
    <t>Fraction sought help from police (maybe abuse by other family member, not just by husband). Pink cell: I looked for data in journals, but found no data.</t>
  </si>
  <si>
    <t>2002_Goa</t>
  </si>
  <si>
    <t>2001-3</t>
  </si>
  <si>
    <t>More info at http://jamanetwork.com/journals/jamapsychiatry/fullarticle/209474</t>
  </si>
  <si>
    <t>Chandrasekaran V., Krupp K., George R.&amp; Madhivanan P. (2007), ‘Determinants of domestic violence among women attending an human immunodeficiency virus voluntary counseling and testing center in Bangalore, India’, Indian Journal of Medical Sciences 61(5):253-62.</t>
  </si>
  <si>
    <t>women visiting HIV testing clinic</t>
  </si>
  <si>
    <t>15-30</t>
  </si>
  <si>
    <t>Has husband ever done this: twist your arm /pull your hair?</t>
  </si>
  <si>
    <t>Has husband ever done this: push, shake or throw something at you?</t>
  </si>
  <si>
    <t>2008_Goa3</t>
  </si>
  <si>
    <t>16-24</t>
  </si>
  <si>
    <t>2 rural &amp; 2 urban areas</t>
  </si>
  <si>
    <t>23rd June 2017</t>
  </si>
  <si>
    <t>http://journals.sagepub.com/doi/full/10.1177/1010539511418818</t>
  </si>
  <si>
    <t>subsample of 3663 young people (56.5% not in education; 87% live with parents)</t>
  </si>
  <si>
    <t>publish_year</t>
  </si>
  <si>
    <t>year of 1st paper using data</t>
  </si>
  <si>
    <t>fieldwork</t>
  </si>
  <si>
    <r>
      <t>Eva Lundgren, Gun Heimer, Jenny Westerstrand, Anne-Marie Kalliokoski (2002), ‘Captured queen: Men´s violence against women in "equal" Sweden - a prevalence study’, webapps01.un.org/vawdatabase/uploads/Sweden%20-%20Captured%20Queen%20-%20Mens%20violence%20against%20women.pdf downloaded 4</t>
    </r>
    <r>
      <rPr>
        <vertAlign val="superscript"/>
        <sz val="8"/>
        <rFont val="Arial"/>
        <family val="2"/>
      </rPr>
      <t>th</t>
    </r>
    <r>
      <rPr>
        <sz val="8"/>
        <rFont val="Arial"/>
        <family val="2"/>
      </rPr>
      <t xml:space="preserve"> December 2010.</t>
    </r>
  </si>
  <si>
    <t>Ahuja R.C., Bangdiwala S., Bhambal S.S., Jain D., Jeyaseelan L., Kumar S., Lakshman M., Mitra M.K., Nair M.K.C., Pillai R., Pandey R.M., Peedicayal A., Sadowski L., Suresh S. &amp; Upadhyaya A.K. (2000), ‘Domestic violence in India: a summary report of a multi-site household survey’, International Center for Research on Women: Washington D.C., https://www.icrw.org/wp-content/uploads/2016/10/Domestic-Violence-in-India-3-A-Summary-Report-of-a-Multi-Site-Household-Survey.pdf</t>
  </si>
  <si>
    <t>Not a random sample: 110 GBV victims, and 130 women who aren't GBV victims, were chosen.</t>
  </si>
  <si>
    <t>2010_Bel</t>
  </si>
  <si>
    <t>Belgaum</t>
  </si>
  <si>
    <t>Chakraborty H., Patted S., Gan A., Islam F., &amp; Revankar A. (2016), ‘Determinants of Intimate Partner Violence among HIV-Positive and HIV-Negative women in India’, Journal of Interpersonal Violence 31(3):515-30.</t>
  </si>
  <si>
    <t>http://journals.sagepub.com/doi/full/10.1177/0886260514555867</t>
  </si>
  <si>
    <t>28th June 2017</t>
  </si>
  <si>
    <t>Outpatients Dept at Karnatak Lingayat Education (KLE) Society Dr Prabhakar Kore Hospital</t>
  </si>
  <si>
    <t>2011_Raj</t>
  </si>
  <si>
    <t>https://papers.ssrn.com/sol3/Delivery.cfm/SSRN_ID2553321_code2349016.pdf?abstractid=2553321&amp;mirid=1&amp;type=2</t>
  </si>
  <si>
    <t>Jose S. (2012), ‘Women’s paid work and well-being in Rajasthan’, Economic &amp; Political Weekly xlvii(45):48-55.</t>
  </si>
  <si>
    <t>villages on outskirts of Jaipur</t>
  </si>
  <si>
    <t>https://www.academia.edu/12514328/Lifetime_prevalence_and_help_seeking_behavior_in_physical_marital_violence</t>
  </si>
  <si>
    <t>Embu, São Paulo State</t>
  </si>
  <si>
    <t>data not yet fetched</t>
  </si>
  <si>
    <t>2005_Mah</t>
  </si>
  <si>
    <t>15-22</t>
  </si>
  <si>
    <t>Kapadia-Kundu N., Khale M., Upadhaye S. &amp; Chavan D. (2007), ‘Whose mistake? Gender roles and physical violence among young married women’, Economic and Political Weekly, 42(44):71-8.</t>
  </si>
  <si>
    <t>29th June 2017</t>
  </si>
  <si>
    <t>www.jstor.org/stable/40276748</t>
  </si>
  <si>
    <t>Institute of Health Management Pachod</t>
  </si>
  <si>
    <t>married age 18 or less, &amp; married under 5 years</t>
  </si>
  <si>
    <t>2009_Kas</t>
  </si>
  <si>
    <t>Kasmir</t>
  </si>
  <si>
    <t>Srinagar</t>
  </si>
  <si>
    <t>Amin P.M. (2013), ‘Domestic violence in Kashmir: a study from Sheikh Mohalla Srinagar’, IOSR Journal Of Humanities And Social Science (IOSR-JHSS) 11(3):13-7.</t>
  </si>
  <si>
    <t>www.iosrjournals.org/iosr-jhss/papers/Vol11-issue3/C01131317.pdf?id=6294</t>
  </si>
  <si>
    <t>Khathe-darwaza and Sheikh Colony</t>
  </si>
  <si>
    <t>18-30+</t>
  </si>
  <si>
    <t>This journal article focuses on violence from in-laws, not from husband.</t>
  </si>
  <si>
    <t>2015_Pud</t>
  </si>
  <si>
    <t>Ramanathapuram village</t>
  </si>
  <si>
    <t>www.jfmpc.com/text.asp?2016/5/3/672/197309</t>
  </si>
  <si>
    <t>George J., Nair D., Premkumar N.R., Saravanan N., Chinnakali P. &amp; Roy G. (2016), ‘The prevalence of domestic violence and its associated factors among married women in a rural area of Puducherry, South India’. Journal of Family Medicine and Primary Care 5(3):672-6.</t>
  </si>
  <si>
    <t>Pondicherry</t>
  </si>
  <si>
    <t>Puducherry in south India</t>
  </si>
  <si>
    <t>Thondamanatham village</t>
  </si>
  <si>
    <t>15-50+</t>
  </si>
  <si>
    <t>Vasudevan K., Umamaheswari K. &amp; Vedapriya D.R. (2013), ‘Epidemiological study of domestic violence among married women in a rural area of Pondicherry’, International Journal of Current Research 5(11):3480-2.</t>
  </si>
  <si>
    <t>http://ijcrr.com/uploads/779_pdf.pdf</t>
  </si>
  <si>
    <t>Rajini S., Kamesh C. &amp; Senthil S. (2014) ‘Prevalence of domestic violence and health seeking behavior among women in rural community of Puducherry – a cross sectional study. International Journal of Current Research and Review 6(16):20‑3.</t>
  </si>
  <si>
    <t>three villages</t>
  </si>
  <si>
    <t>18-40+</t>
  </si>
  <si>
    <t>2010_Rai</t>
  </si>
  <si>
    <t>Parikh D. &amp; Anjenaya S. (2013), ‘A cross sectional study of domestic violence in married women in Asudgaon village of Raigad district’, International Journal of Recent Trends in Science And Technology, ISSN 2277-2812 6(2):81-8.</t>
  </si>
  <si>
    <t>www.statperson.com/Journal/ScienceAndTechnology/Article/Volume6Issue2/6_2_7.pdf</t>
  </si>
  <si>
    <t>2016_Jav</t>
  </si>
  <si>
    <t>Javarnahalli, BG Nagara, Mandya</t>
  </si>
  <si>
    <t>Ramaiah R. &amp; Jayarama S. (2017), ‘Domestic violence among ever married women of reproductive age group in a rural area of Karnataka: a cross sectional study’. National Journal of Community Medicine 8(3):139-42.</t>
  </si>
  <si>
    <t>www.njcmindia.org/home/download/1000</t>
  </si>
  <si>
    <t>http://ispub.com/IJH/9/1/9670</t>
  </si>
  <si>
    <t>2005_Chan</t>
  </si>
  <si>
    <t>peri-urban</t>
  </si>
  <si>
    <t>Rural Health Training Centre</t>
  </si>
  <si>
    <t>Agarwal N., Kumar D., Swami H. &amp; Kumari R. (2008), ‘Correlates of Gender-based physical Violence in peri-urban area of Chandigarh, India’, Internet Journal of Health 9(1):1-7.</t>
  </si>
  <si>
    <t>2006_Ludh</t>
  </si>
  <si>
    <t>Ludhiana</t>
  </si>
  <si>
    <t>Chaudhary A., Girdhar S. &amp; Soni R. (2008), ‘Epidemiological correlates of domestic violence in married women in urban area of Ludhiana, Punjab, India’. Internet Journal of Health 9(1):1-5.</t>
  </si>
  <si>
    <t>http://ispub.com/IJH/9/1/12803</t>
  </si>
  <si>
    <t>Dayanand Medical College and Hospital, Ludhiana</t>
  </si>
  <si>
    <t>% of violence from husband</t>
  </si>
  <si>
    <t>husband_pct_viol</t>
  </si>
  <si>
    <t>husband_all_viol</t>
  </si>
  <si>
    <t>2013_Ban</t>
  </si>
  <si>
    <t>48 slum areas</t>
  </si>
  <si>
    <t>interviewed mothers about 6 weeks after giving birth</t>
  </si>
  <si>
    <t>https://www.sjri.res.in/sites/default/files/Mobile%20App%20to%20identify%20domestic%20voilence.pdf</t>
  </si>
  <si>
    <t>Soukhya</t>
  </si>
  <si>
    <t>2011_Udai</t>
  </si>
  <si>
    <t>Udaipur district</t>
  </si>
  <si>
    <t>http://journals.sagepub.com/doi/pdf/10.1177/1049732314524027</t>
  </si>
  <si>
    <t>1st July 2017</t>
  </si>
  <si>
    <t>Ragavan M.I., Iyengar K. &amp; Wurtz R.M. (2014), ‘Physical Intimate Partner Violence in Northern India’, Qualitative Health Research 24(4):457-73.</t>
  </si>
  <si>
    <t>75% of the participants from villages and 25% from the city of Udaipur</t>
  </si>
  <si>
    <t>2011_ICRW</t>
  </si>
  <si>
    <t>urban &amp; rural</t>
  </si>
  <si>
    <t>https://www.icrw.org/wp-content/uploads/2016/10/Masculinity-Book_Inside_final_6th-Nov.pdf</t>
  </si>
  <si>
    <t>Priya N., Abhishek G., Ravi V., Aarushi K., Nizamuddin K., Dhanashri B., Shobhana B. &amp; Sanjay K. (2014), ‘Study on Masculinity, Intimate Partner Violence and Son Preference in India’. New Delhi, International Center for Research on Women.</t>
  </si>
  <si>
    <t>Simister J. (2013), ‘Is Men's Share of Housework Reduced by "Gender Deviance Neutralization?": Evidence from Seven Countries’, Journal of Comparative Family Studies, 44 (3): 311-25.</t>
  </si>
  <si>
    <t xml:space="preserve">Babu B.V. &amp; Kar S.K. (2009), ‘Domestic violence against women in eastern India: a population-based study on prevalence and related issues’, BMC Public Health, 9:129 </t>
  </si>
  <si>
    <t>2011_Mum</t>
  </si>
  <si>
    <t>https://www.ncbi.nlm.nih.gov/pmc/articles/PMC3557546/</t>
  </si>
  <si>
    <t>4th July 2017</t>
  </si>
  <si>
    <t>http://journals.sagepub.com/doi/full/10.1177/0020764013513440</t>
  </si>
  <si>
    <t>2011_WB</t>
  </si>
  <si>
    <t>www.banglajol.info/index.php/SEAJPH/article/download/17706/12413</t>
  </si>
  <si>
    <t>Alamgunje, Burdwan district</t>
  </si>
  <si>
    <t>Bhattacharya A., Basu M., Das P., Sarkar A.P., Das P.K. &amp; Roy B. (2013), ‘Domestic violence: a hidden and deeply rooted health issue in India’, South East Asia Journal of Public Health 3(1):17-23.</t>
  </si>
  <si>
    <t>2008_Mum2</t>
  </si>
  <si>
    <t>Mody S.K., Nair S., Dasgupta A., Raj A., Donta B., Saggurti N., Naik D.D. &amp; Silverman J.G. (2014), ‘Postpartum contraception utilization among low-income women seeking immunization for infants in Mumbai, India’, Contraception, 89(6):516-20.</t>
  </si>
  <si>
    <t>www.sciencedirect.com/science/article/pii/S0010782414000092</t>
  </si>
  <si>
    <t>17-45</t>
  </si>
  <si>
    <t>Shivaji Nagar, Bail Bazaar, Mohili</t>
  </si>
  <si>
    <t>2008_Mum1</t>
  </si>
  <si>
    <t>There's also info in Patel et al. (2005): https://www.ncbi.nlm.nih.gov/pmc/articles/PMC558019/ and in Weiss et al. (2008): http://sti.bmj.com/content/84/2/133 and Patel et al (2006): http://onlinelibrary.wiley.com/doi/10.1111/j.1471-0528.2006.00874.x/full</t>
  </si>
  <si>
    <t>http://www.sciencedirect.com/science/article/pii/S0740547216000465</t>
  </si>
  <si>
    <t>not a random sample: all husbands are heavy drinkers</t>
  </si>
  <si>
    <t>2013_KeTN</t>
  </si>
  <si>
    <t>Kerala and Tamil Nadu</t>
  </si>
  <si>
    <t>coastal communities</t>
  </si>
  <si>
    <t>http://journals.sagepub.com/doi/full/10.1177/0020764015607919</t>
  </si>
  <si>
    <t>George C., Lalitha A.R.N., Antony A., Kumar A.V. &amp; Jacob K.S. (2016), ‘Antenatal depression in coastal South India: Prevalence and risk factors in the community’, International Journal of Social Psychiatry 62(2): 141-7.</t>
  </si>
  <si>
    <t>15-40</t>
  </si>
  <si>
    <t>www.ejmanager.com/mnstemps/159/159-1456734039.pdf</t>
  </si>
  <si>
    <t>Khapre M.P., Mudey A.B., Meshram R.D., Nayak S.C. &amp; Wagh V.V. (2014), ‘Domestic violence against married women in rural area of Wardha District: a community based cross sectional study’, National Journal of Community Medicine 5(4):355-8.</t>
  </si>
  <si>
    <t>2013_Mah</t>
  </si>
  <si>
    <t>women using one of 8 health centres</t>
  </si>
  <si>
    <t>Commcare</t>
  </si>
  <si>
    <t>www.academia.edu/download/37350881/Violence_ijss_aricle.pdf</t>
  </si>
  <si>
    <t>6th July 2017</t>
  </si>
  <si>
    <t>women delivering at Sassoon General Hospitals, Pune.</t>
  </si>
  <si>
    <t>Salvi P., Pardeshi G., Bhosale R. &amp; Chandanwale A. (2014), ‘Magnitude and risk factors for physical domestic violence during pregnancy’, International Journal of Scientific Study 2(9):69-73.</t>
  </si>
  <si>
    <t>Jain D., Sanon S., Sadowski L. &amp; Hunter W.  (2004), ‘Violence against women in India: evidence from rural Maharashtra, India’. Rural and Remote Health 4:304.</t>
  </si>
  <si>
    <t>women with at least 1 child less than 18 years of age</t>
  </si>
  <si>
    <t>http://europepmc.org/articles/pmc4871160</t>
  </si>
  <si>
    <t>2014_Pud</t>
  </si>
  <si>
    <t>www.ijmsph.com/?mno=182482</t>
  </si>
  <si>
    <t>visited outpatient department of urban health center</t>
  </si>
  <si>
    <t>Chinnayapuram, Vazhaikulam, Kurusukuppam, and Vaithikuppam</t>
  </si>
  <si>
    <t>18-50+</t>
  </si>
  <si>
    <t xml:space="preserve">Nair D., Majumdar A., Ramakrishnan J., Mahalakshmy T. &amp; Sahu S.K. (2015), ‘Feasibility of routine screening for domestic violence among women attending an urban health center in Puducherry, India’. International Journal of Medical Science and Public Health 4(9):1191-6 </t>
  </si>
  <si>
    <t>https://www.ncbi.nlm.nih.gov/pmc/articles/PMC3968576/</t>
  </si>
  <si>
    <t>www.ijcm.org.in/text.asp?2010/35/2/311/66881</t>
  </si>
  <si>
    <t>Dearah village of Singur block, Hooghly district</t>
  </si>
  <si>
    <t>urban &amp; rural samples</t>
  </si>
  <si>
    <t>2010_Tri</t>
  </si>
  <si>
    <t>Tripura</t>
  </si>
  <si>
    <t>Argatala</t>
  </si>
  <si>
    <t>women in hospital maternity wards</t>
  </si>
  <si>
    <t>16-26+</t>
  </si>
  <si>
    <t>Bhattacharjya H. &amp; Deb D. (2014), ‘Intimate partner violence against women during pregnancy in Tripura - a hospital based study’, International Journal of Research in Medical Sciences 2(1):84-90.</t>
  </si>
  <si>
    <t>http://msjonline.org/index.php/ijrms/article/view/2066</t>
  </si>
  <si>
    <t>https://www.researchgate.net/profile/Manoj_Gupta38/publication/282073558_EMPOWERMENT_AND_ENGAGEMENT_OF_SHG_WOMEN_AGAINST_VIOLENCE_DURING_SEX_INTIMACY_AN_INTERVENTION_STUDY_FROM_KARNATAKA_INDIA/links/560242f408aeb30ba7355c24.pdf</t>
  </si>
  <si>
    <t>2012_Kar</t>
  </si>
  <si>
    <t>2013_Kar</t>
  </si>
  <si>
    <t>Kolar District</t>
  </si>
  <si>
    <t>&lt;25</t>
  </si>
  <si>
    <t>40+</t>
  </si>
  <si>
    <t>nearly 10%</t>
  </si>
  <si>
    <t>under 5%</t>
  </si>
  <si>
    <t>Gupta M.K. &amp; Veena R. (2015), 'Empowerment and engagement of SHG women against violence during sex/intimacy: an intervention study from Karnataka, India', International Journal of Current Research and Review 7(17):59-65.</t>
  </si>
  <si>
    <t>Not a random sample: intervention study. Focus on sexual violence, not GBV in general.</t>
  </si>
  <si>
    <t>2013_WB</t>
  </si>
  <si>
    <t>2013-4</t>
  </si>
  <si>
    <t>http://ijmrps.com/Issues%20PDF/Vol.1/September-2014/1_Domestic%20violence%20against%20married%20women%20of%20reproductive%20age-%20a%20cross%20sectional%20Hospital%20based%20study.pdf</t>
  </si>
  <si>
    <t>Nandi N. &amp; Das S. (2014), ‘Domestic violence against married women of reproductive age – a cross sectional hospital based study’, Indian Journal of Medical Research and Pharmaceutical Sciences 1(4):1-4.</t>
  </si>
  <si>
    <t>attended hospital outpatient dept with any medical illness</t>
  </si>
  <si>
    <t>Kolkata</t>
  </si>
  <si>
    <t>2011_UP</t>
  </si>
  <si>
    <t>Varanasi</t>
  </si>
  <si>
    <t>19-40</t>
  </si>
  <si>
    <t>relative of hospital patient</t>
  </si>
  <si>
    <t>www.ejmanager.com/mnstemps/38/38-1405675953.pdf</t>
  </si>
  <si>
    <t>Srivastava J., Sharma I. &amp; Khanna A. (2014), ‘A study to assess the domestic violence in mental illness &amp; normal married women’, International Journal of Medical Research &amp; Health Sciences 3(3): 560-5</t>
  </si>
  <si>
    <t>2013_Bag</t>
  </si>
  <si>
    <t>not clear where survey carried out</t>
  </si>
  <si>
    <t>not explained in journal article</t>
  </si>
  <si>
    <t>http://imperialjournals.com/index.php/IJIR/article/download/2490/2392</t>
  </si>
  <si>
    <t>2011_Var</t>
  </si>
  <si>
    <t>16-40</t>
  </si>
  <si>
    <t>http://iaimjournal.com/wp-content/uploads/2015/01/2-Partner-violence-in-married-women.pdf</t>
  </si>
  <si>
    <t>Srivastava J. (2015), ‘Partner violence in married women’, International Archives of Integrated Medicine 2(1):6-14.</t>
  </si>
  <si>
    <t>2012_Pun</t>
  </si>
  <si>
    <t>attending OutPatient Department of Urban Health Training Centre</t>
  </si>
  <si>
    <t>www.mjdrdypu.org/temp/MedJDYPatilUniv74425-6630637_182506.pdf</t>
  </si>
  <si>
    <t>Fernandez K. &amp; Debnath D.J. (2014), ‘Study of intimate partner violence against women in an urban locality of Pune’, Medical Journal of Dr. D.Y. Patil University 7(4):425-8</t>
  </si>
  <si>
    <t>2013_Chan</t>
  </si>
  <si>
    <t>https://books.google.co.uk/books?hl=en&amp;lr=&amp;id=dyd1DQAAQBAJ&amp;oi=fnd&amp;pg=PA5&amp;dq=india+husband+wife+%22domestic+violence%22+2014+journal&amp;ots=pTCn6aTgyE&amp;sig=X-ZhtZlmFUwOejU4yJHXZvFAPRQ#v=onepage&amp;q=india%20husband%20wife%20%22domestic%20violence%22%202014%20journal&amp;f=false</t>
  </si>
  <si>
    <t>Kaur M., Kapoor D., Kaur J., Gautam P., Sharma S., Saini S.K. &amp; Bamania S.K. (2016), ‘Domestic violence among married females: prevalence and related factors’, International Journal of Indian Psychology 4(1):5-18.</t>
  </si>
  <si>
    <t>Daddu Majra colony</t>
  </si>
  <si>
    <t>Davangere district</t>
  </si>
  <si>
    <t>21-60</t>
  </si>
  <si>
    <t>Rashmi R., Anurupa M.S. &amp; Shubha D.B. (2014), ‘A study on domestic violence among the anganwadi workers and its mental impact on their children’, Medica Innovatica 3(1):190-9.</t>
  </si>
  <si>
    <t>7th July 2017</t>
  </si>
  <si>
    <t>www.medicainnovatica.org/2014-July%20Issue/22.pdf</t>
  </si>
  <si>
    <t>2011_Mah</t>
  </si>
  <si>
    <t>Karad</t>
  </si>
  <si>
    <t>living in urban or rural field practice area</t>
  </si>
  <si>
    <t>Raje V.V., Pratinidhi A.K., Raje V. &amp; Kakade S.V. (2014), ‘Utility of psychosocial physical economical sexual (PPES) scales to detect severity of various types of violence’, International Journal of Health Sciences &amp; Research 4(12):44-55.</t>
  </si>
  <si>
    <t>www.ijhsr.org/IJHSR_Vol.4_Issue.12_Dec2014/7.pdf</t>
  </si>
  <si>
    <t>2010_Man</t>
  </si>
  <si>
    <t>Mangalore: Kotekar Panchayat</t>
  </si>
  <si>
    <t>Aras R.Y., Veigas I. &amp; D’souza N. (2012). ‘Gender variables and reproductive behaviour of women from rural Mangalore, South Karnataka, India’, International Journal of Collaborative Research on Internal Medicine &amp; Public Health 4(3):167-79.</t>
  </si>
  <si>
    <t>http://iomcworld.com/ijcrimph/ijcrimph-v04-n03-01.htm</t>
  </si>
  <si>
    <t>2015_Guj</t>
  </si>
  <si>
    <t>Surendranagar district</t>
  </si>
  <si>
    <t>Vachhani P.V., Bhimani N.R., Purani S.K. &amp; Kartha G.P. (2017), ‘Epidemiology of domestic violence among married women: a community based cross-sectional study’, International Journal of Community Medicine and Public Health 4(4):1353-9.</t>
  </si>
  <si>
    <t>www.ijcmph.com/index.php/ijcmph/article/download/1138/1059</t>
  </si>
  <si>
    <t>www.ijrcog.org/index.php/ijrcog/article/download/2717/2455</t>
  </si>
  <si>
    <t>antenatal/postnatal patients: 100 normal pregnancy, 100 adverse outcome</t>
  </si>
  <si>
    <t xml:space="preserve">Jagtap V.R. &amp; Samant P.Y. (2017), ‘Association of adverse pregnancy outcome and domestic/intimate partner violence’, International Journal of Reproduction, Contraception, Obstetrics and Gynecology 6(6):2527-31. </t>
  </si>
  <si>
    <t>2015_Mah</t>
  </si>
  <si>
    <t>20-40+</t>
  </si>
  <si>
    <t>Jawarkar A.K., Shemar H., Wasnik V.R. &amp; Chavan M.S. (2016), ‘Domestic violence against women: a crossectional study in rural area of Amravati district of Maharashtra, India’, International Journal of Research in Medical Sciences 4(7):2713-8.</t>
  </si>
  <si>
    <t>http://msjonline.org/index.php/ijrms/article/download/993/957</t>
  </si>
  <si>
    <t>field practice area of Rural Health Training Centre</t>
  </si>
  <si>
    <t>2008_Mum3</t>
  </si>
  <si>
    <t>www.ijramr.com/sites/default/files/issues-pdf/138.pdf</t>
  </si>
  <si>
    <t>8th June 2017</t>
  </si>
  <si>
    <t>Deotale M.K, Ranganathan U., Akarte S.V. &amp; Lokare P.O. (2015), ‘Epidemiological study of socio-demographic and cultural determinants of domestic violence, among married women’, International Journal of Recent Advances in Multidisciplinary Research 2(3):301-5.</t>
  </si>
  <si>
    <t>class IV workers colony, JJH</t>
  </si>
  <si>
    <t>face-to-face interviews with women in their homes</t>
  </si>
  <si>
    <t>2014_Jod</t>
  </si>
  <si>
    <t>www.journalcra.com/sites/default/files/Download%204341.pdf</t>
  </si>
  <si>
    <t>Jodhpur city</t>
  </si>
  <si>
    <t>Pewa P., Thomas S., Dagli R., Solanki J., Arora G. &amp; Garla B. (2015), ‘Occurrence of domestic violence among women and its impact on oral health in Jodhpur City’, Journal of Contemporary Dental Practice 16(3):227-33.</t>
  </si>
  <si>
    <t>www.jaypeejournals.com/eJournals/TopicDetails.aspx?id=545&amp;AID=24</t>
  </si>
  <si>
    <t>sample in Jodhpur high court</t>
  </si>
  <si>
    <t>Not a random sample: they are GBV victims, in court.</t>
  </si>
  <si>
    <t>Has husband ever done this: hit you with a stick?</t>
  </si>
  <si>
    <t>violStick</t>
  </si>
  <si>
    <t>viorStick</t>
  </si>
  <si>
    <t>Tiswadi Taluka: Caranzalem  ward</t>
  </si>
  <si>
    <t>2013_Pun1</t>
  </si>
  <si>
    <t>2013_Pun2</t>
  </si>
  <si>
    <t>Kalokhe A.S., Stephenson R., Kelley M.E., Dunkle K.L., Paranjape A., Solas V., Karve L., del Rio C. &amp; Sahay S. (2016), ‘The Development and Validation of the Indian Family Violence and Control Scale’, PLoS ONE 11(1):1-15.</t>
  </si>
  <si>
    <t>10th July 2017</t>
  </si>
  <si>
    <t>www.plosone.org/article/fetchObject.action?uri=info%3Adoi%2F10.1371/journal.pone.0148120&amp;representation=PDF</t>
  </si>
  <si>
    <t>IFVCS</t>
  </si>
  <si>
    <t>To enroll subjects, team began walking in straight line from center of Municipality ward</t>
  </si>
  <si>
    <t>2001_Mum</t>
  </si>
  <si>
    <t>slums</t>
  </si>
  <si>
    <t>www.cehat.org/go/uploads/AarogyachaMargavar/aarogyachamargavar.pdf</t>
  </si>
  <si>
    <t>11th July 2017</t>
  </si>
  <si>
    <t>Khot A., Menon S. &amp; Dilip T.R. (2004), ‘Domestic violence: levels, correlates, causes, impact and response: a community based study of married women from Mumbai slums’, Centre for Enquiry into Health and Allied Themes: Mumbai.</t>
  </si>
  <si>
    <t>2006_Del</t>
  </si>
  <si>
    <t>www.tandfonline.com/doi/citedby/10.1080/01443610802042589?scroll=top&amp;needAccess=true</t>
  </si>
  <si>
    <t>Singh P., Rohtagi R., Soren S., Shukla M. &amp; Lindow S.W. (2009), ‘The prevalence of domestic violence in antenatal attendee's in a Delhi hospital’, Journal of Obstetrics and Gynaecology 28(3):272-5.</t>
  </si>
  <si>
    <t>Assam, Sikkim and Meghalaya</t>
  </si>
  <si>
    <t>18-35</t>
  </si>
  <si>
    <t>1577 rural,672 urban</t>
  </si>
  <si>
    <t>https://link.springer.com/article/10.1007%2Fs10597-017-0112-0</t>
  </si>
  <si>
    <t>Borah P.K., Kundu A.S. &amp; Mahanta J. (2017), ‘Dimension and socio-demographic correlates of domestic violence: a study from Northeast India’, Community Mental Health Journal 53(4):496-9.</t>
  </si>
  <si>
    <t>2013_ASM</t>
  </si>
  <si>
    <t>2003_AP</t>
  </si>
  <si>
    <t>18-40</t>
  </si>
  <si>
    <t>West Godavari</t>
  </si>
  <si>
    <t>http://medind.nic.in/jal/t06/i4/jalt06i4p184.pdf</t>
  </si>
  <si>
    <t>12th July 2017</t>
  </si>
  <si>
    <t>Dash S.K. (2006), ‘Violence against women: evidence from rural Andhra Pradesh, India’, Journal of Indian Academy of Forensic Medicine 28(4):184-6.</t>
  </si>
  <si>
    <t>2016_Bhub</t>
  </si>
  <si>
    <t>Mohapatra I. &amp; Mistry C. (2017), ‘Domestic violence among ever married women of reproductive age group in a slum area of Bhubaneswar’, Journal of Medical Science and Clinical research 5(3):19593-8.</t>
  </si>
  <si>
    <t>13th July 2017</t>
  </si>
  <si>
    <t>http://jmscr.igmpublication.org/v5-i3/199%20jmscr.pdf</t>
  </si>
  <si>
    <t>lived over 1 year in practice area of Urban Health &amp; Training Centre</t>
  </si>
  <si>
    <t>Orissa</t>
  </si>
  <si>
    <t>face-to-face interviews, in private rooms in the outpatient clinic</t>
  </si>
  <si>
    <t>Chibber K.S., Krupp K., Padian N. &amp; Madhivanan P. (2012), ‘Examining the determinants of sexual violence among young, married women in southern India’, Journal of Interpersonal Violence 27(12):2465-83.</t>
  </si>
  <si>
    <t>www.bioline.org.br/request?ms07040</t>
  </si>
  <si>
    <t>2003_Kar</t>
  </si>
  <si>
    <t>5 districts</t>
  </si>
  <si>
    <t>http://journals.sagepub.com/doi/abs/10.1177/0886260510370596</t>
  </si>
  <si>
    <t>GENACIS</t>
  </si>
  <si>
    <t>Graham K., Sharon Bernards S., Wilsnack S.C. &amp; Gmel G. (2011), ‘Alcohol may not cause partner violence but it seems to make it worse: a cross national comparison of the relationship between alcohol and severity of partner violence’, Journal of Interpersonal Violence 26(8):1502-23.</t>
  </si>
  <si>
    <t>www.binaagarwal.com/popular%20writings/Home%20and%20the%20World_spousal%20violence%20IndianExpress_7Aug03.pdf</t>
  </si>
  <si>
    <t>Argawal B. &amp; Panda P. (2003), 'Home and the world: visiting violence', Indian Express 7th August page 9.</t>
  </si>
  <si>
    <t>2010_Del</t>
  </si>
  <si>
    <t>University college of Medical Sciences and Guru Tegh Bahadur Hospital</t>
  </si>
  <si>
    <t>Srivastava S., Bhatia M.S., Jhanjee A. &amp; Kumar P. (2011), ‘A preliminary survey of domestic violence against women visiting a tertiary care outpatient department’, Delhi Psychiatry Journal 14(1):149-52.</t>
  </si>
  <si>
    <t>http://imsear.li.mahidol.ac.th/bitstream/123456789/159386/1/dpj2011v14n1p149.pdf</t>
  </si>
  <si>
    <t>2010_Vado</t>
  </si>
  <si>
    <t>2010-11</t>
  </si>
  <si>
    <t>https://www.ncbi.nlm.nih.gov/pmc/articles/PMC3830163/</t>
  </si>
  <si>
    <t>14th July 2017</t>
  </si>
  <si>
    <t>Shah S.H., Rajani K., Kataria L., Trivedi A., Patel S. &amp; Mehta K. (2012), ‘Perception and prevalence of domestic violence in the study population’, Indian Psychiatry Journal 21(2):137-43.</t>
  </si>
  <si>
    <t>2011_Pud</t>
  </si>
  <si>
    <t>2012_Mum2</t>
  </si>
  <si>
    <t>women seeking immunizations for their infants (&lt;6 months of age)</t>
  </si>
  <si>
    <t>2012_Mum1</t>
  </si>
  <si>
    <t xml:space="preserve">Silverman J.G., Balaiah D., Decker M.R., Boyce S.C., Ritter J., Naik D.D., Nair S., Saggurti N. &amp; Raj A. (2016), ‘Family violence and maltreatment of women during the perinatal period: associations with infant morbidity in Indian slum communities’, Maternal and Child Health Journal 20(1):149-57. </t>
  </si>
  <si>
    <t>https://link.springer.com/article/10.1007/s10995-015-1814-y</t>
  </si>
  <si>
    <t>https://jhu.pure.elsevier.com/en/publications/maternal-morbidity-associated-with-violence-and-maltreatment-from</t>
  </si>
  <si>
    <t>Kasturba Hospital</t>
  </si>
  <si>
    <t>&lt;20 - &gt;40</t>
  </si>
  <si>
    <t>women attending antenatal clinic</t>
  </si>
  <si>
    <t>2006_Mah</t>
  </si>
  <si>
    <t>Sevagram</t>
  </si>
  <si>
    <t>Pregnant women: patients or friends/relatives of patients</t>
  </si>
  <si>
    <t>&lt;20 - 39</t>
  </si>
  <si>
    <t>www.tandfonline.com/doi/full/10.1080/01443610701406075</t>
  </si>
  <si>
    <t>15th July 2017</t>
  </si>
  <si>
    <t>Chhabra S. (2007), ‘Physical violence during pregnancy’, Journal of Obstetrics and Gynaecology, 27(5):460-3.</t>
  </si>
  <si>
    <t>2003_TN2</t>
  </si>
  <si>
    <t>2003_TN1</t>
  </si>
  <si>
    <t>http://paa2005.princeton.edu/papers/51618</t>
  </si>
  <si>
    <t>Luke N. (2005), ‘Community Effects and Domestic Violence in South India’, Poster Session 4: Migration, Income, Employment, Neighborhoods and Residential Context, Population Association of America 2005 Annual meeting</t>
  </si>
  <si>
    <t>15-58</t>
  </si>
  <si>
    <t>2008_Goa4</t>
  </si>
  <si>
    <t>https://hqlo.biomedcentral.com/track/pdf/10.1186/1477-7525-11-9?site=hqlo.biomedcentral.com</t>
  </si>
  <si>
    <t>D’Souza M.S., Karkada S.N. &amp; Somayaji G. (2013), 'Factors associated with health-related quality of life among Indian women in mining and agriculture', Health and Quality of Life Outcomes, 11(9):1-16.</t>
  </si>
  <si>
    <t>mining(n=145)+agricultural(n=133)</t>
  </si>
  <si>
    <t>5 mining + 5 agricultural villages selected randomly. In each village, 150 households selected.</t>
  </si>
  <si>
    <t xml:space="preserve">Krishnan S., Rocca C.H., Hubbard A.E., Subbiah K., Edmeades J. &amp; Padian N.S. (2010), ‘Do Changes in Spousal Employment Status Lead to Domestic Violence? Insights from a Prospective Study in Bangalore, India’, Social Science &amp; Medicine 70(1):136-43. </t>
  </si>
  <si>
    <t>https://www.ncbi.nlm.nih.gov/pmc/articles/PMC2791993/</t>
  </si>
  <si>
    <t>12-month follow-up of Samata</t>
  </si>
  <si>
    <t>24-month follow-up of Samata</t>
  </si>
  <si>
    <t>http://onlinelibrary.wiley.com/doi/10.1002/jid.1500/pdf</t>
  </si>
  <si>
    <t>Vyas S. &amp; Watts C. (2009), ‘How does economic empowerment affect women's risk of intimate partner violence in low and middle income countries? A systematic review of published evidence’, Journal of International Development 21(5):577-602.</t>
  </si>
  <si>
    <t>https://academic.oup.com/ije/article/31/3/560/629773/Domestic-violence-across-generations-findings-from</t>
  </si>
  <si>
    <t>Martin S.L., Moracco K.E., Garro J., Tsui A.O., Kupper L.L., Chase J.L. &amp; Campbell J.C. (2002), ‘Domestic violence across generations: findings from Northern India’, International Journal of Epidemiology 31:560-72.</t>
  </si>
  <si>
    <t>2010_Pud1</t>
  </si>
  <si>
    <t>2010_Pud2</t>
  </si>
  <si>
    <t>www.iosrjournals.org/iosr-jhss/papers/Vol18-issue1/A01810105.pdf</t>
  </si>
  <si>
    <t>16th July 2017</t>
  </si>
  <si>
    <t>18-80</t>
  </si>
  <si>
    <t>Kiruthika (2013), ‘A Statistical Study on Nature and Extent of Violence against Women in Puducherry’, IOSR Journal of Humanities and Social Science 18(1):1-5.</t>
  </si>
  <si>
    <t>http://bjp.rcpsych.org/content/187/1/62</t>
  </si>
  <si>
    <t>http://journals.plos.org/plosone/article?id=10.1371/journal.pone.0153190#pone-0153190-t001</t>
  </si>
  <si>
    <t>17th July 2017</t>
  </si>
  <si>
    <t>Raj A., Ghule M., Ritter J., Battala M., Gajanan V., Nair S., Dasgupta A., Silverman J.G., Balaiah D. &amp; Saggurti N. (2016) ‘Cluster randomized controlled trial evaluation of a gender equity and family planning intervention for married men and couples in rural India’. PLoS ONE 11(5):1-20.</t>
  </si>
  <si>
    <t>20-32</t>
  </si>
  <si>
    <t>19-31</t>
  </si>
  <si>
    <t>2008_Mum4</t>
  </si>
  <si>
    <t>www.iosrjournals.org/iosr-jdms/papers/Vol8-issue4/E0841822.pdf</t>
  </si>
  <si>
    <t>attending health centre</t>
  </si>
  <si>
    <t>practice area of Department of Preventive &amp; Social Medicine</t>
  </si>
  <si>
    <t>all women were chosen as GBV victims</t>
  </si>
  <si>
    <t>4 regions</t>
  </si>
  <si>
    <t>Not a random sample: they are separated/deserted or divorced.</t>
  </si>
  <si>
    <t>http://www.indianjournals.com/ijor.aspx?target=ijor:jpafmat&amp;volume=16&amp;issue=1&amp;article=009</t>
  </si>
  <si>
    <t>Not a random sample: they are all GBV victims.</t>
  </si>
  <si>
    <t>2013_nat</t>
  </si>
  <si>
    <t>2012_CHARM</t>
  </si>
  <si>
    <t>2013_CHARM</t>
  </si>
  <si>
    <t>2014_CHARM</t>
  </si>
  <si>
    <t>Andhra Pradesh, Tamil Nadu, Odisha, Bihar, Rajasthan, Uttar Pradesh, Maharastra, Goa, Madhya Pradesh, Assam, and
Tripura</t>
  </si>
  <si>
    <t>https://www.researchgate.net/profile/Pradeep_Panda10/publication/317166393_ROLE_OF_MICRO_FINANCE_IN_REDUCTION_OF_DOMESTIC_VIOLENCE_AGAINST_WOMEN_AN_ECONOMIC_ANALYSIS/links/5927d69b0f7e9b99799ef424/ROLE-OF-MICRO-FINANCE-IN-REDUCTION-OF-DOMESTIC-VIOLENCE-AGAINST-WOMEN-AN-ECONOMIC-ANALYSIS.pdf</t>
  </si>
  <si>
    <t>2009_nat</t>
  </si>
  <si>
    <t>https://prd-idrc.azureedge.net/sites/default/files/openebooks/051-3/index.html</t>
  </si>
  <si>
    <t>Panda P.K. (2014b), ‘Role of micro finance in reduction of domestic violence against women and women empowerment: an economic analysis’, JIM QUEST Journal of Management and Technology 10(2):67-78.</t>
  </si>
  <si>
    <t>Panda P.K. (2014a), ‘Role of micro finance in reduction of domestic violence against women: an economic analysis’, Indian Journal of Economics &amp; Business 13(3):449-62.</t>
  </si>
  <si>
    <t>www.sciencedirect.com/science/article/pii/S0277953617301302</t>
  </si>
  <si>
    <t>2014_Del</t>
  </si>
  <si>
    <t>https://www.ncbi.nlm.nih.gov/pmc/articles/PMC4919933/</t>
  </si>
  <si>
    <t>18th July 2017</t>
  </si>
  <si>
    <t>dept of obstetrics &amp; gynecology in a tertiary care hospital</t>
  </si>
  <si>
    <t>Mundhra R., Singh N., Kaushik S. &amp; Mendiratta A. (2016), ‘Intimate Partner Violence: associated factors and acceptability of contraception among the women’, Indian Journal of Community Medicine 41(3):203-7.</t>
  </si>
  <si>
    <t>2013-5</t>
  </si>
  <si>
    <t>not representative sample: all partners of alcoholiv husbands.</t>
  </si>
  <si>
    <t>http://sarvasumana.in/vol3iss2/2.pdf</t>
  </si>
  <si>
    <t>2010_Mys</t>
  </si>
  <si>
    <t>http://european-science.com/eojnss_proc/article/download/3611/1333</t>
  </si>
  <si>
    <t>not a random sample: they are court cases.</t>
  </si>
  <si>
    <t>17-60</t>
  </si>
  <si>
    <t>1995_Nag</t>
  </si>
  <si>
    <t>2014_Mum2</t>
  </si>
  <si>
    <t>2014_Mum1</t>
  </si>
  <si>
    <t>2 communities in north east Mumbai</t>
  </si>
  <si>
    <t>2013_Bank</t>
  </si>
  <si>
    <t>Bankura</t>
  </si>
  <si>
    <t>12 villages</t>
  </si>
  <si>
    <t>2011_Del</t>
  </si>
  <si>
    <t>quota random sampling</t>
  </si>
  <si>
    <t>west Delhi: 12 slum clusters</t>
  </si>
  <si>
    <t>2016_TN</t>
  </si>
  <si>
    <t>21-50</t>
  </si>
  <si>
    <t>Tirunelveli: Patthamadai village</t>
  </si>
  <si>
    <t>households</t>
  </si>
  <si>
    <t>https://www.worldwidejournals.com/indian-journal-of-applied-research-%28IJAR%29/file.php?val=September_2016_1492159935__144.pdf</t>
  </si>
  <si>
    <t>22nd July 2017</t>
  </si>
  <si>
    <t>Vijayalakshmi M. &amp; Sunitha K. (2016), ‘Domestic violence among women in a rural area of Tamilnadu’, Indian Journal of Applied Research 6(9):524:5.</t>
  </si>
  <si>
    <t>2012_Har</t>
  </si>
  <si>
    <t>Hisar district</t>
  </si>
  <si>
    <t>https://www.google.co.in/url?sa=t&amp;rct=j&amp;q=&amp;esrc=s&amp;source=web&amp;cd=142&amp;ved=0ahUKEwj9o_z41JvVAhWHI8AKHZ6_CSk4jAEQFggnMAE&amp;url=http%3A%2F%2Fwww.researchpublish.com%2Fdownload.php%3Ffile%3DEXTENT%2520AND%2520CAUSES-2170.pdf%26act%3Dbook&amp;usg=AFQjCNFgmqJEYlp6Zu1pJbyScZC9GEuOhA&amp;cad=rja</t>
  </si>
  <si>
    <t>Goel R., Dahiya M. &amp; Kothari D. (2015), ‘Extent and causes of domestic violence on slum women in Hisar’, International Journal of Social Science and Humanities Research 3(3):245-8.</t>
  </si>
  <si>
    <t>2004_BiJh</t>
  </si>
  <si>
    <t>Bihar and Jharkhand</t>
  </si>
  <si>
    <t>Development Initiative on Supporting Healthy Adolescents (DISHA)</t>
  </si>
  <si>
    <t>2007_Youth</t>
  </si>
  <si>
    <t>15-24</t>
  </si>
  <si>
    <t>www.popcouncil.org/uploads/pdfs/2010PGY_YouthInIndiaReport.pdf</t>
  </si>
  <si>
    <t>IIPS and Population Council (2010), Youth in India: situation and needs 2006-2007. Mumbai: International Institute for Population Sciences.</t>
  </si>
  <si>
    <t>household survey</t>
  </si>
  <si>
    <t>This document also reports attitudes.</t>
  </si>
  <si>
    <t>23rd July 2017</t>
  </si>
  <si>
    <t xml:space="preserve">https://www.icrw.org/files/images/Child-Marriage-Fact-Sheet-Domestic-Violence.pdf </t>
  </si>
  <si>
    <t>ICRW (2006), ‘Child Marriage and domestic violence’, International Center for Research on Women: Washington, DC.</t>
  </si>
  <si>
    <t>Harayana</t>
  </si>
  <si>
    <t>2015_Man</t>
  </si>
  <si>
    <t>Manipur</t>
  </si>
  <si>
    <t>Imphal</t>
  </si>
  <si>
    <t>outpatients/inpatients at Jawaharlal Nehru Institute of Medical Sciences</t>
  </si>
  <si>
    <t xml:space="preserve">Rajkumari B., Rajkumar B.S. &amp; Keisham A. (2016), ‘Violence against women – an emerging health issue in north east India’, Annals of International Medical and Dental Research 2(6):5-11. </t>
  </si>
  <si>
    <t>aimdrjournal.com/pdf/vol2Issue6/CM2_OA_Bishwalata.pdf</t>
  </si>
  <si>
    <t>2012_Pun2</t>
  </si>
  <si>
    <t>24th July 2017</t>
  </si>
  <si>
    <t>www.industrialpsychiatry.org/text.asp?2015/24/2/172/181714</t>
  </si>
  <si>
    <t>women married for at least 1 year</t>
  </si>
  <si>
    <t>Ramadugu S., Jayaram P.V., Srivastava K., Chatterjee K. &amp; Madhusudan T. (2015), ‘Understanding intimate partner violence and its correlates’, Industrial Psychiatry Journal 24(2):172-8.</t>
  </si>
  <si>
    <t>IIPS</t>
  </si>
  <si>
    <t>follow-up to DHS 1999</t>
  </si>
  <si>
    <t>https://academic.oup.com/ije/article-lookup/doi/10.1093/ije/dyq066</t>
  </si>
  <si>
    <t>Koenig M.A., Stephenson R., Acharya R., Barrick L., Ahmed S. &amp; Hindin M. (2010), ‘Domestic violence and early childhood mortality in rural India: evidence from prospective data’, International Journal of Epidemiology 39(3):825-33.</t>
  </si>
  <si>
    <t>2013_Del</t>
  </si>
  <si>
    <t>www.jahonline.org/article/S1054-139X(14)00354-1/fulltext</t>
  </si>
  <si>
    <t>15-19</t>
  </si>
  <si>
    <t>snowball sample, in disadvantaged neighborhoods</t>
  </si>
  <si>
    <t>New Delhi</t>
  </si>
  <si>
    <t>Small sample, and snowball sampling; unreliable as an estimate of the Delhi population.</t>
  </si>
  <si>
    <t>Decker M.R., Peitzmeier S., Olumide A., Acharya R., Ojengbede O., Covarrubias L., Gao E., Cheng Y., Delany-Moretlwe S. &amp; Brahmbhatt H. (2014), ‘Prevalence and health impact of Intimate Partner Violence and Non-partner Sexual Violence among female adolescents aged 15–19 years in vulnerable urban environments: a multi-country study’, Journal of Adolescent Health 55(6):S58-67.</t>
  </si>
  <si>
    <t xml:space="preserve"> https://doi.org/10.1093/jpepsy/25.6.435 </t>
  </si>
  <si>
    <t>1997_Mah</t>
  </si>
  <si>
    <t>2015_Mum</t>
  </si>
  <si>
    <t>Shivaji Nagar</t>
  </si>
  <si>
    <t>Apnalaya</t>
  </si>
  <si>
    <t>http://apnalaya.org/publication.php#</t>
  </si>
  <si>
    <t>25th July 2017</t>
  </si>
  <si>
    <t>Economic violence</t>
  </si>
  <si>
    <t>violEcon</t>
  </si>
  <si>
    <t>viorEcon</t>
  </si>
  <si>
    <t xml:space="preserve"> 9-48</t>
  </si>
  <si>
    <t>Kumar A., Singh A., Wagh R., Chatterjee S. &amp; Ochaney S. (2017), ‘Life on the margin: charting realities’, in Kumar A. &amp; Mehta A. (editors), Apnalaya studies, Series – I</t>
  </si>
  <si>
    <t>potter families</t>
  </si>
  <si>
    <t>Halli, Ooru, &amp; Beedi villages</t>
  </si>
  <si>
    <t>stratified multistage cluster sample of households</t>
  </si>
  <si>
    <t>1998_Raj</t>
  </si>
  <si>
    <t>Chittorgarh district</t>
  </si>
  <si>
    <t>each village sampled 15-20 women; &amp; a community leader, schoolteacher, anganwadi worker, &amp; midwife</t>
  </si>
  <si>
    <t>www.cuts-international.org/Baseline_survey.doc</t>
  </si>
  <si>
    <t>Consumer Unity &amp; Trust Society (2001), “Report of the baseline survey for project on ‘Awareness generation on issues relating to violence against women’”, Centre for Human Development, Chittorgarh: Rajasthan.</t>
  </si>
  <si>
    <t>1998_Bang</t>
  </si>
  <si>
    <t>families bringing their children to Child and Adolescent Psychiatry Unit at National Institute of Mental Health and Neuro Sciences (NIMHANS) Bangalore.</t>
  </si>
  <si>
    <t>http://ijsw.tiss.edu/greenstone/cgi-bin/linux/library.cgi?e=d-01000-00---off-0ijsw--00-1----0-10-0---0---0direct-10----4-------0-1l--11-en-50---20-about---00-3-1-00-00--4--0--0-0-11-10-0utfZz-8-00&amp;cl=CL3.109.3&amp;d=HASH010f0561beb07cc950861aa4&amp;x=1</t>
  </si>
  <si>
    <t>Bhatti R.S. &amp; George T.S. (2001) ‘The Measurement of Family Violence’, Indian Journal of Social Work 62(3):347-66.</t>
  </si>
  <si>
    <t>Sethuraman K. (2008), ‘The Role of Women’s Empowerment and Domestic Violence in Child Growth and Undernutrition in a Tribal and Rural Community in South India’, UNU-Wider Research Paper No. 2008/15.  United Nations University.</t>
  </si>
  <si>
    <t>not a random sample: all received a microfinance loan</t>
  </si>
  <si>
    <t>1997_Guj</t>
  </si>
  <si>
    <t>violBang</t>
  </si>
  <si>
    <t>viorBang</t>
  </si>
  <si>
    <t>five villages</t>
  </si>
  <si>
    <t>www.sciencedomain.org/review-history/9740</t>
  </si>
  <si>
    <t>households chosen at random</t>
  </si>
  <si>
    <t>violHit</t>
  </si>
  <si>
    <t>viorHit</t>
  </si>
  <si>
    <t>married to hospital patients</t>
  </si>
  <si>
    <t>Vadodara: Dhiraj General Hospital</t>
  </si>
  <si>
    <t>3 samples: A) Hospital staff B) Spouses of non-psychiatric patients C) Spouses of psychotic patients. Only B included on this row.</t>
  </si>
  <si>
    <t>Has husband ever done this: Hit you?</t>
  </si>
  <si>
    <t>Husband justified in hitting or beating wife if…</t>
  </si>
  <si>
    <t>she goes out without telling him</t>
  </si>
  <si>
    <t>at_h_out</t>
  </si>
  <si>
    <t>at_hNegl</t>
  </si>
  <si>
    <t>she shows disrespect for her husband's family</t>
  </si>
  <si>
    <t>he suspects her of being unfaithful</t>
  </si>
  <si>
    <t>she does not cook food properly (burns food)</t>
  </si>
  <si>
    <t>at_h_dis</t>
  </si>
  <si>
    <t>at_hUnfa</t>
  </si>
  <si>
    <t>at_hBurn</t>
  </si>
  <si>
    <t>2009_MRUB</t>
  </si>
  <si>
    <t>Madhya Pradesh, Rajasthan, Uttar Pradesh, Bihar</t>
  </si>
  <si>
    <t>5 locations in each state</t>
  </si>
  <si>
    <t>&lt;20 to 50+</t>
  </si>
  <si>
    <t>wcd.nic.in/Schemes/research/solodarity.pdf</t>
  </si>
  <si>
    <t>Solidarity of the Nation Society (2009), ‘Socio-economic &amp; educational background of the victims of domestic violence in India’, sponsored by Ministry of Women &amp; Child Development, Government of India: Lucknow.</t>
  </si>
  <si>
    <t>This survey seems to be only of GBV victims.</t>
  </si>
  <si>
    <t>Banged her against something hard (e.g. wall, table)</t>
  </si>
  <si>
    <t>she neglects the house &amp; children</t>
  </si>
  <si>
    <t>17-26</t>
  </si>
  <si>
    <t>18-27</t>
  </si>
  <si>
    <t>clinic of big urban obstetric centre</t>
  </si>
  <si>
    <t>2006_Samata</t>
  </si>
  <si>
    <t>2007_Samata</t>
  </si>
  <si>
    <t>2008_Samata</t>
  </si>
  <si>
    <t>at_h_any</t>
  </si>
  <si>
    <r>
      <t xml:space="preserve">a wife </t>
    </r>
    <r>
      <rPr>
        <u/>
        <sz val="8"/>
        <rFont val="Arial"/>
        <family val="2"/>
      </rPr>
      <t>is</t>
    </r>
    <r>
      <rPr>
        <sz val="8"/>
        <rFont val="Arial"/>
        <family val="2"/>
      </rPr>
      <t xml:space="preserve"> unfaithful to her husband</t>
    </r>
  </si>
  <si>
    <t>at_hUnfaith</t>
  </si>
  <si>
    <t>at_hNsex</t>
  </si>
  <si>
    <t>she refuses to have sex with him</t>
  </si>
  <si>
    <t>Shakya H.B., Fleming P., Saggurti N., Donta B., Silverman J. &amp; Raj A. (2017), ‘Longitudinal associations of intimate partner violence attitudes and perpetration: Dyadic couples data from a randomized controlled trial in rural India’, Social Science &amp; Medicine 179:97-105.</t>
  </si>
  <si>
    <t>7th August 2017</t>
  </si>
  <si>
    <t>wave 1 (baseline): intervention &amp; control</t>
  </si>
  <si>
    <t>wave 3 (18 month follow-up): control</t>
  </si>
  <si>
    <t>wave 2 ( 9  month follow-up): control</t>
  </si>
  <si>
    <t>http://shodhganga.inflibnet.ac.in/bitstream/10603/56905/1/papita%20dutta%20ph.d.%20thesis.pdf</t>
  </si>
  <si>
    <t>Dutta P. (2014), “Study of women’s empowerment in the district of Bankura”, PhD thesis: University of Burdwan</t>
  </si>
  <si>
    <t>Assam</t>
  </si>
  <si>
    <t>18-79+</t>
  </si>
  <si>
    <t>violBite</t>
  </si>
  <si>
    <t>viorBite</t>
  </si>
  <si>
    <t>Has husband ever done this: Bite you?</t>
  </si>
  <si>
    <t>2013_Ass</t>
  </si>
  <si>
    <t>8 districts</t>
  </si>
  <si>
    <t>9th August 2017</t>
  </si>
  <si>
    <t>www.northeastnetwork.org/wp-content/uploads/2016/06/NEN-DV-Report.-UNHEARD.pdf</t>
  </si>
  <si>
    <t>Hazarika A.P. &amp; Sharma S. (2015), ‘Unheard: Domestic Violence in Rural Assam’, North East Network.</t>
  </si>
  <si>
    <t>2015_Bih</t>
  </si>
  <si>
    <t>Bihar</t>
  </si>
  <si>
    <t>10th August 2017</t>
  </si>
  <si>
    <t>www.popcouncil.org/uploads/pdfs/2017PGY_MaritalViolenceBihar.pdf</t>
  </si>
  <si>
    <t xml:space="preserve">Jejeebhoy S.J., Santhya K.G., Singh S.K., Zavier A.J.F., Pandey N., Acharya R., Saxena K., Gogoi A., Joshi M. &amp; Ojha S. (2017) ‘Feasibility of screening and referring women experiencing marital violence by engaging frontline workers: Evidence from rural Bihar’. New Delhi: Population Council. </t>
  </si>
  <si>
    <t>2014_Bih</t>
  </si>
  <si>
    <t>ANANYA</t>
  </si>
  <si>
    <t>women who gave birth in last 12 months. Midline survey, so results may be affected by intervention.</t>
  </si>
  <si>
    <t>15-30+</t>
  </si>
  <si>
    <t>Mathematica Policy Research (2014), ‘Midline findings from the evaluation of the Ananya program in Bihar’, Final report, Mathematica Policy Research: Princeton NJ.</t>
  </si>
  <si>
    <t>https://www.mathematica-mpr.com/download-media?MediaItemId={ED59F39A-738C-4DAE-81A8-914CABC611D6}</t>
  </si>
  <si>
    <t>2008_KMU</t>
  </si>
  <si>
    <t>Karnataka, Maharashtra, Uttar Pradesh</t>
  </si>
  <si>
    <t>bellbajao.org/wp-content/uploads/2011/01/Baseline_Findings_Complete_Report.pdf</t>
  </si>
  <si>
    <t>Bell Bajao (2011), ‘Baseline survey on domestic violence and HIV/AIDS’</t>
  </si>
  <si>
    <t>Dakshin Kanada, Mandya, Aurangabad, Nashik, Aligarh, Lucknow</t>
  </si>
  <si>
    <t>Bell Bajao</t>
  </si>
  <si>
    <t>2003_WB</t>
  </si>
  <si>
    <t>Panda P., Gupta J., Bulankulame I., Bhatla N., Chakraborty S. &amp; Duvvury N. (2006), ‘Property ownership &amp; inheritance rights of women for social protection – the South Asia experience’, International Center for Research on Women: Washington, DC.</t>
  </si>
  <si>
    <t>https://www.icrw.org/wp-content/uploads/2016/10/Property-Ownership-and-Inheritance-Rights-of-Women-for-Social-Protection-The-South-Asia-Experience.pdf</t>
  </si>
  <si>
    <t>District 24 Pergunnahs (N)</t>
  </si>
  <si>
    <t>19-49</t>
  </si>
  <si>
    <t>2004_Ker</t>
  </si>
  <si>
    <t>follow-up to ICRW Kerala 2001</t>
  </si>
  <si>
    <t>18-52</t>
  </si>
  <si>
    <t>2003_Ker</t>
  </si>
  <si>
    <t>17-70</t>
  </si>
  <si>
    <t>Palakkad, Kozhikode, Ernakulam</t>
  </si>
  <si>
    <t>12th August 2017</t>
  </si>
  <si>
    <t>SAKHI</t>
  </si>
  <si>
    <t>www.esocialsciences.org/Download/repecDownload.aspx?fname=Document1572011100.6015894.doc&amp;fcategory=Articles&amp;AId=4289&amp;fref=repec</t>
  </si>
  <si>
    <t>SAKHI (2004), ‘A study on gender based violence in Kerala’, submitted to department of health: Government of Kerala, SAKHI Resource Center for Women: Trivandrum.</t>
  </si>
  <si>
    <t>Not a random sample: "to assess a defined subset of women, i.e. women affected by domestic violence".</t>
  </si>
  <si>
    <t>Not a random sample: all are recipients of microfinance loans.</t>
  </si>
  <si>
    <t>Has husband ever done this to you?  Used emotional violence (sometimes called psychological violence)</t>
  </si>
  <si>
    <t>Convenience sample: not representative of population</t>
  </si>
  <si>
    <t>Not quantitative: "The study involved collecting qualitative data through Semi-structured questionnaires."</t>
  </si>
  <si>
    <t>clinic</t>
  </si>
  <si>
    <t xml:space="preserve">Brault M.A. (2015), "Married young women’s sexual and reproductive health in low-income communities in Mumbai, India". Doctoral Dissertation 756. </t>
  </si>
  <si>
    <t xml:space="preserve">http://digitalcommons.uconn.edu/dissertations/756 </t>
  </si>
  <si>
    <t>20th July 2017</t>
  </si>
  <si>
    <t>Convenience sample (i.e. not a random sample)</t>
  </si>
  <si>
    <t>Not a random sample: families with psychologically ill child</t>
  </si>
  <si>
    <t>Chose households from a list of voters</t>
  </si>
  <si>
    <t>data from a clinic? Seeking care for herself?</t>
  </si>
  <si>
    <t>"study was designed to examine the relationship of abnormal vaginal flora and acquisition of herpes simplex virus type 2 infection"</t>
  </si>
  <si>
    <t>www.tandfonline.com/doi/full/10.1080/17441690701238031?instName=Manchester+Metropolitan+University</t>
  </si>
  <si>
    <t>endline: 1 year after baseline survey</t>
  </si>
  <si>
    <t>baseline: pregnant or at least 1 child age 0-5</t>
  </si>
  <si>
    <t>2016_Bih</t>
  </si>
  <si>
    <t>0=notclinic 1=clinic 2=woman seeking care for herself</t>
  </si>
  <si>
    <t>Not a random sample: "convenience sample" - women seeking healthcare in a clinic</t>
  </si>
  <si>
    <t>Not a random sample: women seeking healthcare (not pregancy) - may include some as a result of GBV.</t>
  </si>
  <si>
    <t>2010_Images</t>
  </si>
  <si>
    <t>IMAGES</t>
  </si>
  <si>
    <t>24th August 2017</t>
  </si>
  <si>
    <t>18-59</t>
  </si>
  <si>
    <t>Delhi and Vijayawada</t>
  </si>
  <si>
    <t>Barker G., Contreras J.M., Heilman B., Singh A.K., Verma R.K. &amp; Nascimento M. (2011), ‘Evolving Men: initial results from the International Men and Gender Equality Survey (IMAGES)’. Washington, D.C.: International Center for Research on Women (ICRW) and Rio de Janeiro: Instituto Promundo.</t>
  </si>
  <si>
    <t>http://promundoglobal.org/wp-content/uploads/2014/12/Evolving-Men-Initial-Results-from-IMAGES.pdf</t>
  </si>
  <si>
    <t>data_ageMarr</t>
  </si>
  <si>
    <t>avge age married</t>
  </si>
  <si>
    <t>years married</t>
  </si>
  <si>
    <t>data_yrsMarr</t>
  </si>
  <si>
    <t>Niladri Vihar, Bhubaneswar</t>
  </si>
  <si>
    <t>homes chosen at random, from sampling frame prepared with help of urban health post</t>
  </si>
  <si>
    <t>Not a random sample: women seeking healthcare (not pregnancy) - may include some as a result of GBV.</t>
  </si>
  <si>
    <t>new female patients; are any in hospital due to GBV? "None of the females presented with DV [..] Majority expressed that DV was experienced in the past"</t>
  </si>
  <si>
    <t>&lt;20 to &gt;29</t>
  </si>
  <si>
    <t>for wife</t>
  </si>
  <si>
    <t>Not a random sample: "purposive sample" of newly-married young women</t>
  </si>
  <si>
    <t>Not a random sample: women visiting HIV testing clinic.</t>
  </si>
  <si>
    <t>women presenting to a psychiatry outpatient unit of National Institute of Mental Health and Neuro Sciences</t>
  </si>
  <si>
    <t>2004_Ban</t>
  </si>
  <si>
    <t>sampled women married for ten or fewer years</t>
  </si>
  <si>
    <t>Not a random sample: respondents living in 3 low-income neighbourhoods.</t>
  </si>
  <si>
    <t>Not a rando0m sample: class IV workers' colony.</t>
  </si>
  <si>
    <t>Pregnant women in third trimester</t>
  </si>
  <si>
    <t>The 80 cases aren't random (hhs in which child died); I don't this can be seen as representative.</t>
  </si>
  <si>
    <t>2017_WAS</t>
  </si>
  <si>
    <t>For John Simister's journal article, September 2017:</t>
  </si>
  <si>
    <t>Location of survey</t>
  </si>
  <si>
    <t>urban</t>
  </si>
  <si>
    <t>place</t>
  </si>
  <si>
    <t>organisation</t>
  </si>
  <si>
    <t>ages</t>
  </si>
  <si>
    <t>pop</t>
  </si>
  <si>
    <t>both</t>
  </si>
  <si>
    <t xml:space="preserve">Bihar and Jharkhand: </t>
  </si>
  <si>
    <t>West Bengal: Siliguri</t>
  </si>
  <si>
    <t>Mumbai: 48 slum areas</t>
  </si>
  <si>
    <t>Mumbai: urban slums</t>
  </si>
  <si>
    <t>Maharashtra: Pune</t>
  </si>
  <si>
    <t>Mumbai: Shivaji Nagar</t>
  </si>
  <si>
    <t>*</t>
  </si>
  <si>
    <t xml:space="preserve">Chandigarh: </t>
  </si>
  <si>
    <t>SNEHA</t>
  </si>
  <si>
    <t>&lt;20-30+</t>
  </si>
  <si>
    <t>CUTS</t>
  </si>
  <si>
    <t>CHARM</t>
  </si>
  <si>
    <t>IndiaSafe</t>
  </si>
  <si>
    <t>5 villages in Saoner</t>
  </si>
  <si>
    <t>Taluk in central plateau</t>
  </si>
  <si>
    <t>AP, Chattisgarh, Guj, MP, Maharashtra</t>
  </si>
  <si>
    <t>tea plantations</t>
  </si>
  <si>
    <t>northern Goa</t>
  </si>
  <si>
    <t>12 regions</t>
  </si>
  <si>
    <t>5 rural &amp; urban areas</t>
  </si>
  <si>
    <t>Asudgaon Village, Raigad</t>
  </si>
  <si>
    <t>UP, Raj, Pun, Haryana, Odisha, MadhyaP, Mah</t>
  </si>
  <si>
    <t>Sawangi Village, Wardha</t>
  </si>
  <si>
    <t>Phulwarisharif block, Patna</t>
  </si>
  <si>
    <t>Nerpinglai, Amravati district</t>
  </si>
  <si>
    <t>rural</t>
  </si>
  <si>
    <t>2006_DHS</t>
  </si>
  <si>
    <t>JGS code</t>
  </si>
  <si>
    <t>Bih,Jharkhand,Raj,Mah,AP,TN</t>
  </si>
  <si>
    <t>Location</t>
  </si>
  <si>
    <t>Martin et al. (1999)</t>
  </si>
  <si>
    <t>Visaria (2000)</t>
  </si>
  <si>
    <t>Ahuja et al. (2000)</t>
  </si>
  <si>
    <t>Panda (2004)</t>
  </si>
  <si>
    <t>Satish Kumar et al. (2002)</t>
  </si>
  <si>
    <t>SAKHI (2004)</t>
  </si>
  <si>
    <t>ICRW (2006)</t>
  </si>
  <si>
    <t>Khosla et al. (2005)</t>
  </si>
  <si>
    <t>Babu &amp; Kar (2009)</t>
  </si>
  <si>
    <t>Ruikar &amp; Pratinidhi (2008)</t>
  </si>
  <si>
    <t>Pandey et al. (2009)</t>
  </si>
  <si>
    <t>Sarkar (2010)</t>
  </si>
  <si>
    <t>Coast et al. (2012)</t>
  </si>
  <si>
    <t>Wagman et al. (2016)</t>
  </si>
  <si>
    <t>Ray et al (2012)</t>
  </si>
  <si>
    <t>Das et al. (2013)</t>
  </si>
  <si>
    <t>Aswar et al. (2013)</t>
  </si>
  <si>
    <t>Ahmad et al. (2016)</t>
  </si>
  <si>
    <t>Vasudevan et al. (2013)</t>
  </si>
  <si>
    <t>Parikh &amp; Anjenaya (2013)</t>
  </si>
  <si>
    <t>Bhattacharya et al. (2013)</t>
  </si>
  <si>
    <t>Begum et al. (2015)</t>
  </si>
  <si>
    <t>Rashmi et al. (2014)</t>
  </si>
  <si>
    <t>Khapre et al. (2014)</t>
  </si>
  <si>
    <t>Kalokhe et al. (2016)</t>
  </si>
  <si>
    <t>Mundhra et al. (2016)</t>
  </si>
  <si>
    <t>Brault (2015)</t>
  </si>
  <si>
    <t>Jawarkar et al. (2016)</t>
  </si>
  <si>
    <t>IIPS &amp; Pop Council (2010)</t>
  </si>
  <si>
    <t>Mathematica Pol Res (2014)</t>
  </si>
  <si>
    <t>Kumar et al. (2017)</t>
  </si>
  <si>
    <t>Mohapatra &amp; Mistry (2017)</t>
  </si>
  <si>
    <t>Yugantar Educ Soc (2003)</t>
  </si>
  <si>
    <t>Vijayalakshmi&amp;Sunitha(2016)</t>
  </si>
  <si>
    <t>reference</t>
  </si>
  <si>
    <t>DHS*</t>
  </si>
  <si>
    <t>SNEHA*</t>
  </si>
  <si>
    <t>Mumbai: Nanded</t>
  </si>
  <si>
    <t>Kerala: 3 locations</t>
  </si>
  <si>
    <t>Orissa: Bhubaneswar</t>
  </si>
  <si>
    <t>Maharashtra: Sawangi</t>
  </si>
  <si>
    <t>Bih,Jha,Raj,Mah,AP,TN</t>
  </si>
  <si>
    <t>WBengal: Alamgunje</t>
  </si>
  <si>
    <t>Karnataka: Davangere</t>
  </si>
  <si>
    <t>AP,Chatt,Guj,MP,Mah</t>
  </si>
  <si>
    <t>West Bengal: Dearah</t>
  </si>
  <si>
    <t>Gujarat: 5 villages</t>
  </si>
  <si>
    <t>Mah: Mangalwarpeth</t>
  </si>
  <si>
    <t>UP: 12 regions</t>
  </si>
  <si>
    <t>2 Mumbai communities</t>
  </si>
  <si>
    <t>E.India: Orissa,WB,Jha</t>
  </si>
  <si>
    <t>Mah: Nerpinglai</t>
  </si>
  <si>
    <t>Tirunelveli</t>
  </si>
  <si>
    <t>Punjab, Rajasthan, TN</t>
  </si>
  <si>
    <t>five cities</t>
  </si>
  <si>
    <t>Maharashtra:Asudgaon</t>
  </si>
  <si>
    <t>WBengal: SW Kolkata</t>
  </si>
  <si>
    <t>age of respondent (or respondent's wife, if male respondent)</t>
  </si>
  <si>
    <t>at least 1 of these situations; or any situation.</t>
  </si>
  <si>
    <t>1999 DHS</t>
  </si>
  <si>
    <t>2006 DHS</t>
  </si>
  <si>
    <t>14-24</t>
  </si>
  <si>
    <t>New Delhi, Lucknow, Bhopal, Nagpur, Chennai, Trivandrum, Vellore</t>
  </si>
  <si>
    <t>http://journals.ke-i.org/index.php/mra/article/view/1593/1695</t>
  </si>
  <si>
    <t>17th July 2018</t>
  </si>
  <si>
    <t xml:space="preserve">Simister J. (2018), 'Gender-Based Violence is a growing problem in India', Medical Research Archives 6(1).  </t>
  </si>
  <si>
    <t>Gender-Based Violence prevalence: survey data, updated 17th June 2018. Prevalence data below are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</si>
</sst>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164" formatCode="0.0"/>
    <numFmt numFmtId="165" formatCode="###0"/>
    <numFmt numFmtId="166" formatCode="####.000"/>
    <numFmt numFmtId="167" formatCode="0.0%"/>
    <numFmt numFmtId="168" formatCode="dd/mm/yy;@"/>
    <numFmt numFmtId="169" formatCode="###0.0"/>
    <numFmt numFmtId="170" formatCode="###0.00"/>
    <numFmt numFmtId="171" formatCode="###0.0000"/>
  </numFmts>
  <fonts count="59" x14ac:knownFonts="1">
    <font>
      <sz val="10"/>
      <name val="Arial"/>
    </font>
    <font>
      <sz val="11"/>
      <color theme="1"/>
      <name val="Calibri"/>
      <family val="2"/>
      <scheme val="minor"/>
    </font>
    <font>
      <sz val="11"/>
      <color theme="1"/>
      <name val="Calibri"/>
      <family val="2"/>
      <scheme val="minor"/>
    </font>
    <font>
      <sz val="10"/>
      <name val="Arial"/>
      <family val="2"/>
    </font>
    <font>
      <b/>
      <i/>
      <sz val="10"/>
      <name val="Arial"/>
      <family val="2"/>
    </font>
    <font>
      <i/>
      <sz val="10"/>
      <name val="Arial"/>
      <family val="2"/>
    </font>
    <font>
      <b/>
      <sz val="10"/>
      <name val="Arial"/>
      <family val="2"/>
    </font>
    <font>
      <sz val="10"/>
      <name val="Arial"/>
      <family val="2"/>
    </font>
    <font>
      <sz val="8"/>
      <color indexed="81"/>
      <name val="Tahoma"/>
      <family val="2"/>
    </font>
    <font>
      <b/>
      <sz val="8"/>
      <color indexed="81"/>
      <name val="Tahoma"/>
      <family val="2"/>
    </font>
    <font>
      <sz val="10"/>
      <color indexed="10"/>
      <name val="Arial"/>
      <family val="2"/>
    </font>
    <font>
      <u/>
      <sz val="10"/>
      <color indexed="12"/>
      <name val="Arial"/>
      <family val="2"/>
    </font>
    <font>
      <sz val="12"/>
      <name val="Times New Roman"/>
      <family val="1"/>
    </font>
    <font>
      <sz val="10"/>
      <name val="Arial"/>
      <family val="2"/>
    </font>
    <font>
      <sz val="9.75"/>
      <name val="Arial"/>
      <family val="2"/>
    </font>
    <font>
      <sz val="8"/>
      <name val="Arial"/>
      <family val="2"/>
    </font>
    <font>
      <i/>
      <sz val="8"/>
      <name val="Arial"/>
      <family val="2"/>
    </font>
    <font>
      <u/>
      <sz val="10"/>
      <color indexed="12"/>
      <name val="Arial"/>
      <family val="2"/>
    </font>
    <font>
      <sz val="9"/>
      <name val="Arial"/>
      <family val="2"/>
    </font>
    <font>
      <b/>
      <sz val="9"/>
      <color indexed="8"/>
      <name val="Arial Bold"/>
    </font>
    <font>
      <sz val="9"/>
      <color indexed="8"/>
      <name val="Arial"/>
      <family val="2"/>
    </font>
    <font>
      <sz val="9"/>
      <color indexed="81"/>
      <name val="Tahoma"/>
      <family val="2"/>
    </font>
    <font>
      <b/>
      <sz val="9"/>
      <color indexed="81"/>
      <name val="Tahoma"/>
      <family val="2"/>
    </font>
    <font>
      <sz val="9"/>
      <color indexed="8"/>
      <name val="Arial"/>
      <family val="2"/>
    </font>
    <font>
      <sz val="10"/>
      <color indexed="8"/>
      <name val="Arial"/>
      <family val="2"/>
    </font>
    <font>
      <vertAlign val="superscript"/>
      <sz val="9"/>
      <name val="Arial"/>
      <family val="2"/>
    </font>
    <font>
      <sz val="11"/>
      <name val="Calibri"/>
      <family val="2"/>
    </font>
    <font>
      <b/>
      <sz val="9"/>
      <name val="Arial"/>
      <family val="2"/>
    </font>
    <font>
      <b/>
      <sz val="9"/>
      <color indexed="8"/>
      <name val="Arial"/>
      <family val="2"/>
    </font>
    <font>
      <i/>
      <sz val="9"/>
      <name val="Arial"/>
      <family val="2"/>
    </font>
    <font>
      <sz val="8"/>
      <color indexed="8"/>
      <name val="Arial"/>
      <family val="2"/>
    </font>
    <font>
      <b/>
      <sz val="8"/>
      <name val="Arial"/>
      <family val="2"/>
    </font>
    <font>
      <i/>
      <sz val="10"/>
      <color indexed="8"/>
      <name val="Arial"/>
      <family val="2"/>
    </font>
    <font>
      <b/>
      <i/>
      <sz val="10"/>
      <color rgb="FFFF0000"/>
      <name val="Arial"/>
      <family val="2"/>
    </font>
    <font>
      <b/>
      <sz val="10"/>
      <color theme="4" tint="-0.249977111117893"/>
      <name val="Arial"/>
      <family val="2"/>
    </font>
    <font>
      <b/>
      <i/>
      <sz val="10"/>
      <color theme="4" tint="-0.249977111117893"/>
      <name val="Arial"/>
      <family val="2"/>
    </font>
    <font>
      <b/>
      <sz val="10"/>
      <color rgb="FFFF0000"/>
      <name val="Arial"/>
      <family val="2"/>
    </font>
    <font>
      <b/>
      <i/>
      <sz val="9.75"/>
      <color rgb="FFFF0000"/>
      <name val="Arial"/>
      <family val="2"/>
    </font>
    <font>
      <sz val="10"/>
      <color rgb="FFFF0000"/>
      <name val="Arial"/>
      <family val="2"/>
    </font>
    <font>
      <i/>
      <sz val="10"/>
      <color rgb="FFFF0000"/>
      <name val="Arial"/>
      <family val="2"/>
    </font>
    <font>
      <i/>
      <sz val="10"/>
      <color rgb="FF333333"/>
      <name val="Arial"/>
      <family val="2"/>
    </font>
    <font>
      <u/>
      <sz val="8"/>
      <color indexed="12"/>
      <name val="Arial"/>
      <family val="2"/>
    </font>
    <font>
      <b/>
      <sz val="8"/>
      <color theme="4" tint="-0.249977111117893"/>
      <name val="Arial"/>
      <family val="2"/>
    </font>
    <font>
      <sz val="9"/>
      <color rgb="FFFF0000"/>
      <name val="Arial"/>
      <family val="2"/>
    </font>
    <font>
      <b/>
      <sz val="9"/>
      <color theme="4" tint="-0.249977111117893"/>
      <name val="Arial"/>
      <family val="2"/>
    </font>
    <font>
      <sz val="8"/>
      <color rgb="FFFF0000"/>
      <name val="Arial"/>
      <family val="2"/>
    </font>
    <font>
      <i/>
      <sz val="8"/>
      <color rgb="FFFF0000"/>
      <name val="Arial"/>
      <family val="2"/>
    </font>
    <font>
      <sz val="8"/>
      <name val="Calibri"/>
      <family val="2"/>
    </font>
    <font>
      <sz val="8"/>
      <color indexed="10"/>
      <name val="Arial"/>
      <family val="2"/>
    </font>
    <font>
      <b/>
      <i/>
      <sz val="8"/>
      <name val="Arial"/>
      <family val="2"/>
    </font>
    <font>
      <i/>
      <sz val="9"/>
      <color indexed="8"/>
      <name val="Arial"/>
      <family val="2"/>
    </font>
    <font>
      <sz val="10"/>
      <name val="Arial"/>
      <family val="2"/>
    </font>
    <font>
      <sz val="8"/>
      <color rgb="FF00B050"/>
      <name val="Arial"/>
      <family val="2"/>
    </font>
    <font>
      <vertAlign val="superscript"/>
      <sz val="8"/>
      <name val="Arial"/>
      <family val="2"/>
    </font>
    <font>
      <i/>
      <sz val="8"/>
      <color indexed="8"/>
      <name val="Arial"/>
      <family val="2"/>
    </font>
    <font>
      <sz val="9"/>
      <color theme="9" tint="-0.249977111117893"/>
      <name val="Arial"/>
      <family val="2"/>
    </font>
    <font>
      <sz val="9"/>
      <color rgb="FFC00000"/>
      <name val="Arial"/>
      <family val="2"/>
    </font>
    <font>
      <i/>
      <sz val="10"/>
      <name val="Arial"/>
      <family val="2"/>
    </font>
    <font>
      <u/>
      <sz val="8"/>
      <name val="Arial"/>
      <family val="2"/>
    </font>
  </fonts>
  <fills count="12">
    <fill>
      <patternFill patternType="none"/>
    </fill>
    <fill>
      <patternFill patternType="gray125"/>
    </fill>
    <fill>
      <patternFill patternType="solid">
        <fgColor indexed="13"/>
        <bgColor indexed="64"/>
      </patternFill>
    </fill>
    <fill>
      <patternFill patternType="solid">
        <fgColor theme="5"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s>
  <borders count="37">
    <border>
      <left/>
      <right/>
      <top/>
      <bottom/>
      <diagonal/>
    </border>
    <border>
      <left/>
      <right style="thin">
        <color indexed="64"/>
      </right>
      <top/>
      <bottom/>
      <diagonal/>
    </border>
    <border>
      <left style="thin">
        <color indexed="64"/>
      </left>
      <right/>
      <top/>
      <bottom/>
      <diagonal/>
    </border>
    <border>
      <left/>
      <right/>
      <top style="thin">
        <color indexed="64"/>
      </top>
      <bottom/>
      <diagonal/>
    </border>
    <border>
      <left/>
      <right/>
      <top style="medium">
        <color indexed="64"/>
      </top>
      <bottom/>
      <diagonal/>
    </border>
    <border>
      <left style="medium">
        <color indexed="8"/>
      </left>
      <right style="medium">
        <color indexed="8"/>
      </right>
      <top/>
      <bottom/>
      <diagonal/>
    </border>
    <border>
      <left style="medium">
        <color indexed="8"/>
      </left>
      <right style="medium">
        <color indexed="8"/>
      </right>
      <top style="medium">
        <color indexed="8"/>
      </top>
      <bottom style="medium">
        <color indexed="8"/>
      </bottom>
      <diagonal/>
    </border>
    <border>
      <left/>
      <right/>
      <top/>
      <bottom style="thin">
        <color indexed="64"/>
      </bottom>
      <diagonal/>
    </border>
    <border>
      <left/>
      <right style="medium">
        <color indexed="64"/>
      </right>
      <top/>
      <bottom/>
      <diagonal/>
    </border>
    <border>
      <left style="thin">
        <color indexed="64"/>
      </left>
      <right/>
      <top style="thin">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top/>
      <bottom style="medium">
        <color indexed="64"/>
      </bottom>
      <diagonal/>
    </border>
    <border>
      <left/>
      <right style="thin">
        <color indexed="8"/>
      </right>
      <top/>
      <bottom style="medium">
        <color indexed="64"/>
      </bottom>
      <diagonal/>
    </border>
    <border>
      <left style="medium">
        <color indexed="64"/>
      </left>
      <right/>
      <top style="medium">
        <color indexed="64"/>
      </top>
      <bottom/>
      <diagonal/>
    </border>
    <border>
      <left/>
      <right style="thin">
        <color indexed="8"/>
      </right>
      <top style="thin">
        <color indexed="64"/>
      </top>
      <bottom style="medium">
        <color indexed="64"/>
      </bottom>
      <diagonal/>
    </border>
    <border>
      <left/>
      <right style="thin">
        <color indexed="64"/>
      </right>
      <top/>
      <bottom style="thin">
        <color indexed="64"/>
      </bottom>
      <diagonal/>
    </border>
  </borders>
  <cellStyleXfs count="17">
    <xf numFmtId="0" fontId="0" fillId="0" borderId="0"/>
    <xf numFmtId="0" fontId="11" fillId="0" borderId="0" applyNumberFormat="0" applyFill="0" applyBorder="0" applyAlignment="0" applyProtection="0">
      <alignment vertical="top"/>
      <protection locked="0"/>
    </xf>
    <xf numFmtId="0" fontId="7" fillId="0" borderId="0"/>
    <xf numFmtId="0" fontId="7"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0" fontId="2" fillId="0" borderId="0"/>
    <xf numFmtId="0" fontId="1" fillId="0" borderId="0"/>
    <xf numFmtId="0" fontId="51" fillId="0" borderId="0"/>
    <xf numFmtId="9" fontId="3" fillId="0" borderId="0" applyFont="0" applyFill="0" applyBorder="0" applyAlignment="0" applyProtection="0"/>
    <xf numFmtId="44" fontId="3" fillId="0" borderId="0" applyFont="0" applyFill="0" applyBorder="0" applyAlignment="0" applyProtection="0"/>
    <xf numFmtId="0" fontId="1" fillId="0" borderId="0"/>
    <xf numFmtId="0" fontId="3" fillId="0" borderId="0"/>
    <xf numFmtId="0" fontId="3" fillId="0" borderId="0"/>
    <xf numFmtId="0" fontId="3" fillId="0" borderId="0"/>
    <xf numFmtId="0" fontId="3" fillId="0" borderId="0"/>
  </cellStyleXfs>
  <cellXfs count="915">
    <xf numFmtId="0" fontId="0" fillId="0" borderId="0" xfId="0"/>
    <xf numFmtId="0" fontId="0" fillId="0" borderId="0" xfId="0" applyAlignment="1">
      <alignment horizontal="center"/>
    </xf>
    <xf numFmtId="0" fontId="0" fillId="0" borderId="0" xfId="0" applyAlignment="1">
      <alignment horizontal="left"/>
    </xf>
    <xf numFmtId="0" fontId="0" fillId="0" borderId="0" xfId="0" applyAlignment="1">
      <alignment horizontal="right"/>
    </xf>
    <xf numFmtId="0" fontId="5" fillId="0" borderId="0" xfId="0" applyFont="1"/>
    <xf numFmtId="2" fontId="0" fillId="0" borderId="0" xfId="0" applyNumberFormat="1"/>
    <xf numFmtId="0" fontId="6" fillId="0" borderId="0" xfId="0" applyFont="1"/>
    <xf numFmtId="2" fontId="6" fillId="0" borderId="0" xfId="0" applyNumberFormat="1" applyFont="1" applyAlignment="1">
      <alignment horizontal="right"/>
    </xf>
    <xf numFmtId="2" fontId="6" fillId="0" borderId="0" xfId="0" applyNumberFormat="1" applyFont="1" applyAlignment="1">
      <alignment horizontal="left"/>
    </xf>
    <xf numFmtId="2" fontId="5" fillId="0" borderId="0" xfId="0" applyNumberFormat="1" applyFont="1"/>
    <xf numFmtId="164" fontId="6" fillId="0" borderId="0" xfId="0" applyNumberFormat="1" applyFont="1"/>
    <xf numFmtId="164" fontId="0" fillId="0" borderId="0" xfId="0" applyNumberFormat="1"/>
    <xf numFmtId="164" fontId="7" fillId="0" borderId="0" xfId="0" applyNumberFormat="1" applyFont="1" applyAlignment="1">
      <alignment horizontal="right"/>
    </xf>
    <xf numFmtId="0" fontId="5" fillId="0" borderId="0" xfId="0" applyFont="1" applyAlignment="1">
      <alignment horizontal="left"/>
    </xf>
    <xf numFmtId="0" fontId="7" fillId="0" borderId="0" xfId="0" applyFont="1"/>
    <xf numFmtId="0" fontId="7" fillId="0" borderId="0" xfId="0" applyFont="1" applyAlignment="1">
      <alignment horizontal="left"/>
    </xf>
    <xf numFmtId="0" fontId="7" fillId="0" borderId="0" xfId="0" applyFont="1" applyAlignment="1">
      <alignment horizontal="right"/>
    </xf>
    <xf numFmtId="1" fontId="0" fillId="0" borderId="0" xfId="0" applyNumberFormat="1" applyAlignment="1">
      <alignment horizontal="right"/>
    </xf>
    <xf numFmtId="164" fontId="0" fillId="0" borderId="0" xfId="0" applyNumberFormat="1" applyAlignment="1">
      <alignment horizontal="center"/>
    </xf>
    <xf numFmtId="0" fontId="7"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xf>
    <xf numFmtId="0" fontId="6" fillId="0" borderId="0" xfId="0" applyFont="1" applyAlignment="1">
      <alignment horizontal="left"/>
    </xf>
    <xf numFmtId="0" fontId="0" fillId="0" borderId="0" xfId="0" applyBorder="1" applyAlignment="1">
      <alignment horizontal="center"/>
    </xf>
    <xf numFmtId="0" fontId="0" fillId="0" borderId="0" xfId="0" applyBorder="1" applyAlignment="1">
      <alignment horizontal="right"/>
    </xf>
    <xf numFmtId="0" fontId="11" fillId="0" borderId="0" xfId="1" applyAlignment="1" applyProtection="1">
      <alignment horizontal="left"/>
    </xf>
    <xf numFmtId="0" fontId="11" fillId="0" borderId="0" xfId="1" applyAlignment="1" applyProtection="1"/>
    <xf numFmtId="1" fontId="0" fillId="0" borderId="0" xfId="0" applyNumberFormat="1"/>
    <xf numFmtId="1" fontId="7" fillId="0" borderId="0" xfId="0" applyNumberFormat="1" applyFont="1"/>
    <xf numFmtId="0" fontId="4" fillId="0" borderId="0" xfId="0" applyFont="1" applyAlignment="1">
      <alignment horizontal="center"/>
    </xf>
    <xf numFmtId="164" fontId="6" fillId="0" borderId="0" xfId="0" applyNumberFormat="1" applyFont="1" applyAlignment="1">
      <alignment horizontal="center"/>
    </xf>
    <xf numFmtId="0" fontId="0" fillId="0" borderId="1" xfId="0" applyBorder="1" applyAlignment="1">
      <alignment horizontal="right"/>
    </xf>
    <xf numFmtId="0" fontId="6" fillId="0" borderId="1" xfId="0" applyFont="1" applyBorder="1" applyAlignment="1">
      <alignment horizontal="center"/>
    </xf>
    <xf numFmtId="0" fontId="6" fillId="0" borderId="0" xfId="0" applyFont="1" applyBorder="1" applyAlignment="1">
      <alignment horizontal="right"/>
    </xf>
    <xf numFmtId="0" fontId="0" fillId="0" borderId="2" xfId="0" applyBorder="1" applyAlignment="1">
      <alignment horizontal="center"/>
    </xf>
    <xf numFmtId="0" fontId="0" fillId="0" borderId="0" xfId="0" applyBorder="1"/>
    <xf numFmtId="0" fontId="7" fillId="0" borderId="0" xfId="0" applyFont="1" applyBorder="1" applyAlignment="1">
      <alignment horizontal="center"/>
    </xf>
    <xf numFmtId="0" fontId="0" fillId="0" borderId="0" xfId="0" applyBorder="1" applyAlignment="1">
      <alignment horizontal="left"/>
    </xf>
    <xf numFmtId="1" fontId="0" fillId="0" borderId="0" xfId="0" applyNumberFormat="1" applyBorder="1"/>
    <xf numFmtId="1" fontId="0" fillId="0" borderId="0" xfId="0" applyNumberFormat="1" applyBorder="1" applyAlignment="1">
      <alignment horizontal="right"/>
    </xf>
    <xf numFmtId="1" fontId="0" fillId="0" borderId="0" xfId="0" quotePrefix="1" applyNumberFormat="1" applyBorder="1" applyAlignment="1">
      <alignment horizontal="right"/>
    </xf>
    <xf numFmtId="0" fontId="7" fillId="0" borderId="0" xfId="0" applyFont="1" applyAlignment="1">
      <alignment horizontal="center" wrapText="1"/>
    </xf>
    <xf numFmtId="1" fontId="0" fillId="0" borderId="0" xfId="0" applyNumberFormat="1" applyFill="1" applyBorder="1"/>
    <xf numFmtId="0" fontId="0" fillId="0" borderId="0" xfId="0" applyAlignment="1">
      <alignment horizontal="right" wrapText="1"/>
    </xf>
    <xf numFmtId="2" fontId="0" fillId="0" borderId="0" xfId="0" applyNumberFormat="1" applyFill="1"/>
    <xf numFmtId="0" fontId="0" fillId="0" borderId="0" xfId="0" applyFill="1"/>
    <xf numFmtId="2" fontId="7" fillId="0" borderId="0" xfId="0" applyNumberFormat="1" applyFont="1" applyAlignment="1">
      <alignment horizontal="right"/>
    </xf>
    <xf numFmtId="0" fontId="14" fillId="0" borderId="0" xfId="0" applyFont="1"/>
    <xf numFmtId="0" fontId="15" fillId="0" borderId="0" xfId="0" applyFont="1"/>
    <xf numFmtId="0" fontId="0" fillId="3" borderId="0" xfId="0" applyFill="1"/>
    <xf numFmtId="1" fontId="13" fillId="3" borderId="0" xfId="4" applyNumberFormat="1" applyFont="1" applyFill="1"/>
    <xf numFmtId="0" fontId="6" fillId="3" borderId="0" xfId="0" applyFont="1" applyFill="1" applyBorder="1" applyAlignment="1">
      <alignment horizontal="center"/>
    </xf>
    <xf numFmtId="0" fontId="0" fillId="3" borderId="0" xfId="0" applyFill="1" applyBorder="1" applyAlignment="1">
      <alignment horizontal="center"/>
    </xf>
    <xf numFmtId="0" fontId="5" fillId="3" borderId="0" xfId="0" applyFont="1" applyFill="1" applyBorder="1" applyAlignment="1">
      <alignment horizontal="center"/>
    </xf>
    <xf numFmtId="0" fontId="0" fillId="3" borderId="3" xfId="0" applyFill="1" applyBorder="1"/>
    <xf numFmtId="0" fontId="16" fillId="3" borderId="0" xfId="0" applyFont="1" applyFill="1" applyAlignment="1">
      <alignment horizontal="center"/>
    </xf>
    <xf numFmtId="0" fontId="5" fillId="3" borderId="4" xfId="0" applyFont="1" applyFill="1" applyBorder="1" applyAlignment="1">
      <alignment horizontal="left"/>
    </xf>
    <xf numFmtId="0" fontId="5" fillId="3" borderId="0" xfId="0" applyFont="1" applyFill="1" applyBorder="1" applyAlignment="1">
      <alignment horizontal="left"/>
    </xf>
    <xf numFmtId="0" fontId="17" fillId="0" borderId="0" xfId="1" applyFont="1" applyAlignment="1" applyProtection="1"/>
    <xf numFmtId="0" fontId="18" fillId="0" borderId="0" xfId="0" applyFont="1" applyAlignment="1">
      <alignment horizontal="left" vertical="top"/>
    </xf>
    <xf numFmtId="0" fontId="18" fillId="0" borderId="0" xfId="0" applyFont="1" applyAlignment="1">
      <alignment vertical="top"/>
    </xf>
    <xf numFmtId="164" fontId="18" fillId="0" borderId="0" xfId="0" applyNumberFormat="1" applyFont="1" applyAlignment="1">
      <alignment horizontal="center" vertical="top"/>
    </xf>
    <xf numFmtId="0" fontId="0" fillId="0" borderId="0" xfId="0" applyAlignment="1">
      <alignment horizontal="center" vertical="top"/>
    </xf>
    <xf numFmtId="0" fontId="7" fillId="0" borderId="0" xfId="0" applyFont="1" applyAlignment="1">
      <alignment horizontal="left" vertical="top"/>
    </xf>
    <xf numFmtId="0" fontId="15" fillId="0" borderId="0" xfId="0" applyFont="1" applyAlignment="1">
      <alignment horizontal="left" vertical="top"/>
    </xf>
    <xf numFmtId="0" fontId="15" fillId="0" borderId="0" xfId="0" applyFont="1" applyAlignment="1">
      <alignment vertical="top"/>
    </xf>
    <xf numFmtId="0" fontId="16" fillId="0" borderId="0" xfId="0" applyFont="1" applyAlignment="1">
      <alignment horizontal="left" vertical="top"/>
    </xf>
    <xf numFmtId="0" fontId="7" fillId="0" borderId="0" xfId="2"/>
    <xf numFmtId="0" fontId="20" fillId="0" borderId="5" xfId="2" applyFont="1" applyBorder="1" applyAlignment="1">
      <alignment horizontal="left" vertical="top" wrapText="1"/>
    </xf>
    <xf numFmtId="0" fontId="20" fillId="0" borderId="0" xfId="2" applyFont="1" applyBorder="1" applyAlignment="1">
      <alignment horizontal="left" vertical="top" wrapText="1"/>
    </xf>
    <xf numFmtId="0" fontId="20" fillId="4" borderId="5" xfId="2" applyFont="1" applyFill="1" applyBorder="1" applyAlignment="1">
      <alignment horizontal="left" vertical="top"/>
    </xf>
    <xf numFmtId="0" fontId="20" fillId="0" borderId="6" xfId="2" applyFont="1" applyBorder="1" applyAlignment="1">
      <alignment horizontal="left"/>
    </xf>
    <xf numFmtId="0" fontId="0" fillId="0" borderId="0" xfId="0" applyAlignment="1"/>
    <xf numFmtId="0" fontId="0" fillId="0" borderId="0" xfId="0" applyFill="1" applyAlignment="1">
      <alignment horizontal="center"/>
    </xf>
    <xf numFmtId="0" fontId="7" fillId="0" borderId="0" xfId="0" applyFont="1" applyFill="1"/>
    <xf numFmtId="0" fontId="7" fillId="0" borderId="0" xfId="0" applyFont="1" applyFill="1" applyAlignment="1">
      <alignment horizontal="center"/>
    </xf>
    <xf numFmtId="0" fontId="0" fillId="5" borderId="0" xfId="0" applyFill="1"/>
    <xf numFmtId="0" fontId="0" fillId="5" borderId="0" xfId="0" applyFill="1" applyAlignment="1">
      <alignment horizontal="center"/>
    </xf>
    <xf numFmtId="1" fontId="6" fillId="5" borderId="0" xfId="4" applyNumberFormat="1" applyFont="1" applyFill="1"/>
    <xf numFmtId="1" fontId="13" fillId="5" borderId="0" xfId="4" applyNumberFormat="1" applyFont="1" applyFill="1"/>
    <xf numFmtId="1" fontId="13" fillId="0" borderId="0" xfId="4" applyNumberFormat="1" applyFont="1" applyFill="1"/>
    <xf numFmtId="0" fontId="0" fillId="0" borderId="0" xfId="0" applyFill="1" applyAlignment="1"/>
    <xf numFmtId="0" fontId="7" fillId="0" borderId="0" xfId="0" applyFont="1" applyFill="1" applyAlignment="1">
      <alignment horizontal="left"/>
    </xf>
    <xf numFmtId="1" fontId="13" fillId="6" borderId="0" xfId="4" applyNumberFormat="1" applyFont="1" applyFill="1"/>
    <xf numFmtId="0" fontId="0" fillId="6" borderId="0" xfId="0" applyFill="1"/>
    <xf numFmtId="0" fontId="0" fillId="6" borderId="0" xfId="0" applyFill="1" applyBorder="1"/>
    <xf numFmtId="0" fontId="6" fillId="6" borderId="0" xfId="0" applyFont="1" applyFill="1" applyBorder="1" applyAlignment="1">
      <alignment horizontal="center"/>
    </xf>
    <xf numFmtId="0" fontId="0" fillId="6" borderId="0" xfId="0" applyFill="1" applyBorder="1" applyAlignment="1">
      <alignment horizontal="center"/>
    </xf>
    <xf numFmtId="0" fontId="5" fillId="6" borderId="0" xfId="0" applyFont="1" applyFill="1" applyBorder="1" applyAlignment="1">
      <alignment horizontal="center"/>
    </xf>
    <xf numFmtId="0" fontId="0" fillId="6" borderId="0" xfId="0" applyFill="1" applyAlignment="1">
      <alignment horizontal="right"/>
    </xf>
    <xf numFmtId="0" fontId="0" fillId="6" borderId="0" xfId="0" applyFill="1" applyAlignment="1"/>
    <xf numFmtId="0" fontId="5" fillId="6" borderId="4" xfId="0" applyFont="1" applyFill="1" applyBorder="1" applyAlignment="1">
      <alignment horizontal="left"/>
    </xf>
    <xf numFmtId="0" fontId="5" fillId="6" borderId="0" xfId="0" applyFont="1" applyFill="1" applyBorder="1" applyAlignment="1">
      <alignment horizontal="left"/>
    </xf>
    <xf numFmtId="0" fontId="0" fillId="6" borderId="3" xfId="0" applyFill="1" applyBorder="1"/>
    <xf numFmtId="164" fontId="7" fillId="0" borderId="0" xfId="0" applyNumberFormat="1" applyFont="1" applyAlignment="1">
      <alignment horizontal="center"/>
    </xf>
    <xf numFmtId="0" fontId="6" fillId="0" borderId="0" xfId="0" applyFont="1" applyAlignment="1">
      <alignment horizontal="center" wrapText="1"/>
    </xf>
    <xf numFmtId="0" fontId="5" fillId="0" borderId="0" xfId="0" quotePrefix="1" applyFont="1"/>
    <xf numFmtId="0" fontId="0" fillId="0" borderId="0" xfId="0" applyFill="1" applyBorder="1"/>
    <xf numFmtId="0" fontId="0" fillId="0" borderId="0" xfId="0" applyFill="1" applyBorder="1" applyAlignment="1">
      <alignment horizontal="center"/>
    </xf>
    <xf numFmtId="1" fontId="0" fillId="0" borderId="0" xfId="0" applyNumberFormat="1" applyFill="1" applyAlignment="1">
      <alignment horizontal="right"/>
    </xf>
    <xf numFmtId="1" fontId="0" fillId="0" borderId="0" xfId="0" applyNumberFormat="1" applyFill="1" applyAlignment="1">
      <alignment horizontal="center"/>
    </xf>
    <xf numFmtId="0" fontId="33" fillId="0" borderId="0" xfId="0" applyFont="1"/>
    <xf numFmtId="0" fontId="34" fillId="0" borderId="0" xfId="0" applyFont="1"/>
    <xf numFmtId="0" fontId="34" fillId="0" borderId="0" xfId="0" applyFont="1" applyAlignment="1">
      <alignment horizontal="left"/>
    </xf>
    <xf numFmtId="1" fontId="34" fillId="0" borderId="0" xfId="0" applyNumberFormat="1" applyFont="1" applyFill="1" applyAlignment="1">
      <alignment horizontal="right"/>
    </xf>
    <xf numFmtId="1" fontId="34" fillId="0" borderId="0" xfId="0" applyNumberFormat="1" applyFont="1" applyFill="1" applyAlignment="1">
      <alignment horizontal="center"/>
    </xf>
    <xf numFmtId="17" fontId="7" fillId="0" borderId="0" xfId="0" applyNumberFormat="1" applyFont="1" applyAlignment="1">
      <alignment horizontal="center"/>
    </xf>
    <xf numFmtId="0" fontId="17" fillId="0" borderId="0" xfId="1" applyFont="1" applyAlignment="1" applyProtection="1">
      <alignment horizontal="left"/>
    </xf>
    <xf numFmtId="0" fontId="7" fillId="0" borderId="0" xfId="0" applyFont="1" applyAlignment="1"/>
    <xf numFmtId="0" fontId="17" fillId="0" borderId="0" xfId="1" applyNumberFormat="1" applyFont="1" applyAlignment="1" applyProtection="1">
      <alignment horizontal="left"/>
    </xf>
    <xf numFmtId="0" fontId="0" fillId="5" borderId="0" xfId="0" applyFill="1" applyAlignment="1">
      <alignment horizontal="left"/>
    </xf>
    <xf numFmtId="0" fontId="0" fillId="0" borderId="0" xfId="0" applyFill="1" applyAlignment="1">
      <alignment horizontal="left"/>
    </xf>
    <xf numFmtId="15" fontId="7" fillId="0" borderId="0" xfId="0" applyNumberFormat="1" applyFont="1" applyAlignment="1">
      <alignment horizontal="left"/>
    </xf>
    <xf numFmtId="164" fontId="5" fillId="0" borderId="0" xfId="0" applyNumberFormat="1" applyFont="1" applyAlignment="1">
      <alignment horizontal="center"/>
    </xf>
    <xf numFmtId="0" fontId="23" fillId="0" borderId="0" xfId="0" applyFont="1" applyBorder="1" applyAlignment="1">
      <alignment horizontal="left" vertical="top" wrapText="1"/>
    </xf>
    <xf numFmtId="166" fontId="23" fillId="0" borderId="0" xfId="0" applyNumberFormat="1" applyFont="1" applyBorder="1" applyAlignment="1">
      <alignment horizontal="right" vertical="top"/>
    </xf>
    <xf numFmtId="0" fontId="0" fillId="0" borderId="0" xfId="0" applyFont="1" applyBorder="1" applyAlignment="1">
      <alignment horizontal="center" vertical="center"/>
    </xf>
    <xf numFmtId="0" fontId="11" fillId="0" borderId="7" xfId="1" applyFont="1" applyBorder="1" applyAlignment="1" applyProtection="1">
      <alignment horizontal="left"/>
    </xf>
    <xf numFmtId="0" fontId="17" fillId="0" borderId="3" xfId="1" applyFont="1" applyBorder="1" applyAlignment="1" applyProtection="1">
      <alignment horizontal="left"/>
    </xf>
    <xf numFmtId="0" fontId="17" fillId="0" borderId="7" xfId="1" applyFont="1" applyBorder="1" applyAlignment="1" applyProtection="1">
      <alignment horizontal="left"/>
    </xf>
    <xf numFmtId="1" fontId="0" fillId="6" borderId="0" xfId="0" applyNumberFormat="1" applyFill="1" applyBorder="1" applyAlignment="1">
      <alignment horizontal="right"/>
    </xf>
    <xf numFmtId="1" fontId="0" fillId="0" borderId="0" xfId="0" applyNumberFormat="1" applyFill="1" applyBorder="1" applyAlignment="1">
      <alignment horizontal="right"/>
    </xf>
    <xf numFmtId="1" fontId="0" fillId="0" borderId="0" xfId="0" applyNumberFormat="1" applyFill="1" applyBorder="1" applyAlignment="1">
      <alignment horizontal="center"/>
    </xf>
    <xf numFmtId="1" fontId="0" fillId="3" borderId="0" xfId="0" applyNumberFormat="1" applyFill="1" applyBorder="1" applyAlignment="1">
      <alignment horizontal="right"/>
    </xf>
    <xf numFmtId="0" fontId="7" fillId="0" borderId="0" xfId="0" applyFont="1" applyBorder="1" applyAlignment="1">
      <alignment horizontal="left"/>
    </xf>
    <xf numFmtId="0" fontId="0" fillId="0" borderId="1" xfId="0" applyBorder="1"/>
    <xf numFmtId="0" fontId="7" fillId="0" borderId="0" xfId="0" applyFont="1" applyBorder="1"/>
    <xf numFmtId="0" fontId="0" fillId="6" borderId="0" xfId="0" applyFill="1" applyBorder="1" applyAlignment="1"/>
    <xf numFmtId="0" fontId="0" fillId="0" borderId="0" xfId="0" applyBorder="1" applyAlignment="1"/>
    <xf numFmtId="0" fontId="11" fillId="0" borderId="7" xfId="1" applyBorder="1" applyAlignment="1" applyProtection="1">
      <alignment horizontal="left"/>
    </xf>
    <xf numFmtId="15" fontId="7" fillId="0" borderId="7" xfId="0" applyNumberFormat="1" applyFont="1" applyBorder="1" applyAlignment="1">
      <alignment horizontal="left"/>
    </xf>
    <xf numFmtId="0" fontId="11" fillId="0" borderId="0" xfId="1" applyBorder="1" applyAlignment="1" applyProtection="1">
      <alignment horizontal="left"/>
    </xf>
    <xf numFmtId="15" fontId="7" fillId="0" borderId="0" xfId="1" applyNumberFormat="1" applyFont="1" applyBorder="1" applyAlignment="1" applyProtection="1">
      <alignment horizontal="left"/>
    </xf>
    <xf numFmtId="0" fontId="0" fillId="0" borderId="0" xfId="0" applyBorder="1" applyAlignment="1">
      <alignment wrapText="1"/>
    </xf>
    <xf numFmtId="0" fontId="0" fillId="0" borderId="0" xfId="0" applyNumberFormat="1" applyBorder="1" applyAlignment="1">
      <alignment horizontal="left"/>
    </xf>
    <xf numFmtId="0" fontId="11" fillId="0" borderId="3" xfId="1" applyBorder="1" applyAlignment="1" applyProtection="1">
      <alignment horizontal="left"/>
    </xf>
    <xf numFmtId="0" fontId="17" fillId="0" borderId="0" xfId="1" applyFont="1" applyBorder="1" applyAlignment="1" applyProtection="1">
      <alignment horizontal="left"/>
    </xf>
    <xf numFmtId="0" fontId="34" fillId="0" borderId="0" xfId="0" applyFont="1" applyBorder="1"/>
    <xf numFmtId="0" fontId="34" fillId="0" borderId="0" xfId="0" applyFont="1" applyBorder="1" applyAlignment="1">
      <alignment horizontal="left"/>
    </xf>
    <xf numFmtId="0" fontId="34" fillId="0" borderId="0" xfId="0" applyFont="1" applyBorder="1" applyAlignment="1">
      <alignment horizontal="center"/>
    </xf>
    <xf numFmtId="0" fontId="34" fillId="0" borderId="0" xfId="0" applyFont="1" applyBorder="1" applyAlignment="1">
      <alignment horizontal="right"/>
    </xf>
    <xf numFmtId="1" fontId="34" fillId="6" borderId="0" xfId="0" applyNumberFormat="1" applyFont="1" applyFill="1" applyBorder="1" applyAlignment="1">
      <alignment horizontal="right"/>
    </xf>
    <xf numFmtId="1" fontId="34" fillId="0" borderId="0" xfId="0" applyNumberFormat="1" applyFont="1" applyFill="1" applyBorder="1" applyAlignment="1">
      <alignment horizontal="right"/>
    </xf>
    <xf numFmtId="1" fontId="34" fillId="0" borderId="0" xfId="0" applyNumberFormat="1" applyFont="1" applyFill="1" applyBorder="1" applyAlignment="1">
      <alignment horizontal="center"/>
    </xf>
    <xf numFmtId="1" fontId="34" fillId="3" borderId="0" xfId="0" applyNumberFormat="1" applyFont="1" applyFill="1" applyBorder="1" applyAlignment="1">
      <alignment horizontal="right"/>
    </xf>
    <xf numFmtId="1" fontId="34" fillId="0" borderId="0" xfId="0" applyNumberFormat="1" applyFont="1" applyBorder="1" applyAlignment="1">
      <alignment horizontal="right"/>
    </xf>
    <xf numFmtId="164" fontId="34" fillId="0" borderId="0" xfId="0" applyNumberFormat="1" applyFont="1" applyBorder="1" applyAlignment="1">
      <alignment horizontal="center"/>
    </xf>
    <xf numFmtId="168" fontId="0" fillId="0" borderId="0" xfId="0" applyNumberFormat="1"/>
    <xf numFmtId="166" fontId="23" fillId="0" borderId="0" xfId="0" applyNumberFormat="1" applyFont="1" applyBorder="1" applyAlignment="1">
      <alignment horizontal="center" vertical="top"/>
    </xf>
    <xf numFmtId="0" fontId="0" fillId="0" borderId="0" xfId="0" quotePrefix="1"/>
    <xf numFmtId="0" fontId="0" fillId="5" borderId="1" xfId="0" applyFill="1" applyBorder="1"/>
    <xf numFmtId="0" fontId="7" fillId="0" borderId="1" xfId="0" applyFont="1" applyBorder="1" applyAlignment="1">
      <alignment horizontal="center"/>
    </xf>
    <xf numFmtId="0" fontId="7" fillId="0" borderId="1" xfId="0" applyFont="1" applyBorder="1"/>
    <xf numFmtId="0" fontId="7" fillId="0" borderId="0" xfId="0" applyFont="1" applyBorder="1" applyAlignment="1">
      <alignment horizontal="right"/>
    </xf>
    <xf numFmtId="0" fontId="0" fillId="6" borderId="0" xfId="0" applyFill="1" applyBorder="1" applyAlignment="1">
      <alignment horizontal="right"/>
    </xf>
    <xf numFmtId="0" fontId="7" fillId="6" borderId="0" xfId="0" applyFont="1" applyFill="1" applyBorder="1" applyAlignment="1">
      <alignment horizontal="right"/>
    </xf>
    <xf numFmtId="0" fontId="7" fillId="6" borderId="0" xfId="0" applyFont="1" applyFill="1" applyBorder="1" applyAlignment="1">
      <alignment horizontal="center"/>
    </xf>
    <xf numFmtId="0" fontId="0" fillId="6" borderId="0" xfId="0" applyFill="1" applyBorder="1" applyAlignment="1">
      <alignment horizontal="left"/>
    </xf>
    <xf numFmtId="0" fontId="7" fillId="6" borderId="0" xfId="0" applyFont="1" applyFill="1" applyBorder="1"/>
    <xf numFmtId="0" fontId="34" fillId="6" borderId="0" xfId="0" applyFont="1" applyFill="1" applyBorder="1"/>
    <xf numFmtId="0" fontId="35" fillId="6" borderId="0" xfId="0" applyFont="1" applyFill="1" applyBorder="1"/>
    <xf numFmtId="1" fontId="0" fillId="0" borderId="0" xfId="0" applyNumberFormat="1" applyFill="1" applyBorder="1" applyAlignment="1"/>
    <xf numFmtId="0" fontId="4" fillId="0" borderId="0" xfId="0" applyFont="1" applyAlignment="1">
      <alignment horizontal="left"/>
    </xf>
    <xf numFmtId="0" fontId="5" fillId="0" borderId="0" xfId="0" applyFont="1" applyAlignment="1">
      <alignment wrapText="1"/>
    </xf>
    <xf numFmtId="14" fontId="0" fillId="0" borderId="0" xfId="0" applyNumberFormat="1"/>
    <xf numFmtId="0" fontId="7" fillId="0" borderId="0" xfId="0" applyFont="1" applyBorder="1" applyAlignment="1">
      <alignment wrapText="1"/>
    </xf>
    <xf numFmtId="0" fontId="0" fillId="0" borderId="0" xfId="0" applyFill="1" applyBorder="1" applyAlignment="1">
      <alignment horizontal="left"/>
    </xf>
    <xf numFmtId="0" fontId="0" fillId="0" borderId="0" xfId="0" applyFill="1" applyBorder="1" applyAlignment="1">
      <alignment horizontal="right"/>
    </xf>
    <xf numFmtId="164" fontId="0" fillId="0" borderId="0" xfId="0" applyNumberFormat="1" applyFill="1" applyBorder="1" applyAlignment="1">
      <alignment horizontal="center"/>
    </xf>
    <xf numFmtId="164" fontId="7" fillId="0" borderId="0" xfId="0" applyNumberFormat="1" applyFont="1" applyFill="1" applyBorder="1" applyAlignment="1">
      <alignment horizontal="center"/>
    </xf>
    <xf numFmtId="0" fontId="5" fillId="0" borderId="0" xfId="0" applyFont="1" applyBorder="1"/>
    <xf numFmtId="14" fontId="0" fillId="0" borderId="0" xfId="0" applyNumberFormat="1" applyAlignment="1"/>
    <xf numFmtId="168" fontId="0" fillId="0" borderId="8" xfId="0" applyNumberFormat="1" applyBorder="1"/>
    <xf numFmtId="2" fontId="11" fillId="0" borderId="0" xfId="1" applyNumberFormat="1" applyBorder="1" applyAlignment="1" applyProtection="1">
      <alignment horizontal="left"/>
    </xf>
    <xf numFmtId="0" fontId="5" fillId="0" borderId="0" xfId="0" applyFont="1" applyBorder="1" applyAlignment="1">
      <alignment horizontal="left"/>
    </xf>
    <xf numFmtId="0" fontId="11" fillId="0" borderId="0" xfId="1" applyFont="1" applyBorder="1" applyAlignment="1" applyProtection="1">
      <alignment horizontal="left"/>
    </xf>
    <xf numFmtId="0" fontId="0" fillId="0" borderId="0" xfId="0" applyFill="1" applyAlignment="1">
      <alignment horizontal="right"/>
    </xf>
    <xf numFmtId="164" fontId="7" fillId="0" borderId="0" xfId="0" applyNumberFormat="1" applyFont="1" applyFill="1" applyAlignment="1">
      <alignment horizontal="center"/>
    </xf>
    <xf numFmtId="164" fontId="0" fillId="0" borderId="0" xfId="0" applyNumberFormat="1" applyFill="1" applyAlignment="1">
      <alignment horizontal="center"/>
    </xf>
    <xf numFmtId="9" fontId="0" fillId="0" borderId="0" xfId="0" applyNumberFormat="1"/>
    <xf numFmtId="0" fontId="0" fillId="0" borderId="9" xfId="0" applyBorder="1" applyAlignment="1">
      <alignment horizontal="center"/>
    </xf>
    <xf numFmtId="2" fontId="11" fillId="0" borderId="3" xfId="1" applyNumberFormat="1" applyBorder="1" applyAlignment="1" applyProtection="1">
      <alignment horizontal="left"/>
    </xf>
    <xf numFmtId="0" fontId="7" fillId="0" borderId="2" xfId="0" applyFont="1" applyBorder="1" applyAlignment="1">
      <alignment horizontal="center"/>
    </xf>
    <xf numFmtId="0" fontId="0" fillId="0" borderId="2" xfId="0" applyFill="1" applyBorder="1" applyAlignment="1">
      <alignment horizontal="center"/>
    </xf>
    <xf numFmtId="0" fontId="0" fillId="0" borderId="2" xfId="0" applyFill="1" applyBorder="1"/>
    <xf numFmtId="164" fontId="10" fillId="0" borderId="0" xfId="0" applyNumberFormat="1" applyFont="1" applyFill="1" applyBorder="1" applyAlignment="1">
      <alignment horizontal="center"/>
    </xf>
    <xf numFmtId="0" fontId="7" fillId="0" borderId="0" xfId="0" applyFont="1" applyFill="1" applyBorder="1"/>
    <xf numFmtId="1" fontId="15" fillId="0" borderId="0" xfId="0" applyNumberFormat="1" applyFont="1" applyFill="1" applyAlignment="1">
      <alignment horizontal="center" wrapText="1"/>
    </xf>
    <xf numFmtId="1" fontId="15" fillId="0" borderId="0" xfId="0" applyNumberFormat="1" applyFont="1" applyFill="1" applyAlignment="1">
      <alignment wrapText="1"/>
    </xf>
    <xf numFmtId="1" fontId="0" fillId="0" borderId="0" xfId="0" applyNumberFormat="1" applyFill="1"/>
    <xf numFmtId="1" fontId="6" fillId="0" borderId="0" xfId="0" applyNumberFormat="1" applyFont="1" applyFill="1" applyBorder="1" applyAlignment="1">
      <alignment horizontal="left"/>
    </xf>
    <xf numFmtId="1" fontId="5" fillId="0" borderId="10" xfId="0" applyNumberFormat="1" applyFont="1" applyFill="1" applyBorder="1" applyAlignment="1">
      <alignment horizontal="left"/>
    </xf>
    <xf numFmtId="1" fontId="5" fillId="0" borderId="8" xfId="0" applyNumberFormat="1" applyFont="1" applyFill="1" applyBorder="1" applyAlignment="1">
      <alignment horizontal="left"/>
    </xf>
    <xf numFmtId="1" fontId="6" fillId="0" borderId="0" xfId="0" applyNumberFormat="1" applyFont="1" applyFill="1" applyBorder="1" applyAlignment="1">
      <alignment horizontal="center"/>
    </xf>
    <xf numFmtId="1" fontId="0" fillId="0" borderId="11" xfId="0" applyNumberFormat="1" applyFill="1" applyBorder="1" applyAlignment="1">
      <alignment horizontal="center"/>
    </xf>
    <xf numFmtId="1" fontId="6" fillId="0" borderId="12" xfId="0" applyNumberFormat="1" applyFont="1" applyFill="1" applyBorder="1" applyAlignment="1">
      <alignment horizontal="center"/>
    </xf>
    <xf numFmtId="1" fontId="0" fillId="0" borderId="12" xfId="0" applyNumberFormat="1" applyFill="1" applyBorder="1" applyAlignment="1">
      <alignment horizontal="center"/>
    </xf>
    <xf numFmtId="1" fontId="5" fillId="0" borderId="0" xfId="0" applyNumberFormat="1" applyFont="1" applyFill="1" applyBorder="1" applyAlignment="1">
      <alignment horizontal="center"/>
    </xf>
    <xf numFmtId="1" fontId="0" fillId="0" borderId="8" xfId="0" applyNumberFormat="1" applyFill="1" applyBorder="1" applyAlignment="1">
      <alignment horizontal="center"/>
    </xf>
    <xf numFmtId="1" fontId="5" fillId="0" borderId="12" xfId="0" applyNumberFormat="1" applyFont="1" applyFill="1" applyBorder="1" applyAlignment="1">
      <alignment horizontal="center"/>
    </xf>
    <xf numFmtId="1" fontId="0" fillId="0" borderId="0" xfId="0" applyNumberFormat="1" applyFill="1" applyAlignment="1"/>
    <xf numFmtId="1" fontId="7" fillId="0" borderId="0" xfId="0" applyNumberFormat="1" applyFont="1" applyFill="1" applyAlignment="1">
      <alignment horizontal="right"/>
    </xf>
    <xf numFmtId="1" fontId="7" fillId="0" borderId="0" xfId="0" applyNumberFormat="1" applyFont="1" applyFill="1" applyBorder="1" applyAlignment="1">
      <alignment horizontal="center"/>
    </xf>
    <xf numFmtId="1" fontId="0" fillId="0" borderId="0" xfId="0" applyNumberFormat="1" applyAlignment="1"/>
    <xf numFmtId="1" fontId="15" fillId="0" borderId="0" xfId="0" applyNumberFormat="1" applyFont="1" applyAlignment="1">
      <alignment wrapText="1"/>
    </xf>
    <xf numFmtId="1" fontId="6" fillId="2" borderId="13" xfId="0" applyNumberFormat="1" applyFont="1" applyFill="1" applyBorder="1" applyAlignment="1">
      <alignment horizontal="left"/>
    </xf>
    <xf numFmtId="1" fontId="0" fillId="2" borderId="14" xfId="0" applyNumberFormat="1" applyFill="1" applyBorder="1" applyAlignment="1">
      <alignment horizontal="right"/>
    </xf>
    <xf numFmtId="1" fontId="6" fillId="2" borderId="4" xfId="0" applyNumberFormat="1" applyFont="1" applyFill="1" applyBorder="1"/>
    <xf numFmtId="1" fontId="5" fillId="2" borderId="10" xfId="0" applyNumberFormat="1" applyFont="1" applyFill="1" applyBorder="1" applyAlignment="1">
      <alignment horizontal="left"/>
    </xf>
    <xf numFmtId="1" fontId="6" fillId="2" borderId="2" xfId="0" applyNumberFormat="1" applyFont="1" applyFill="1" applyBorder="1" applyAlignment="1">
      <alignment horizontal="left"/>
    </xf>
    <xf numFmtId="1" fontId="0" fillId="2" borderId="1" xfId="0" applyNumberFormat="1" applyFill="1" applyBorder="1"/>
    <xf numFmtId="1" fontId="0" fillId="2" borderId="0" xfId="0" applyNumberFormat="1" applyFill="1" applyBorder="1"/>
    <xf numFmtId="1" fontId="5" fillId="2" borderId="8" xfId="0" applyNumberFormat="1" applyFont="1" applyFill="1" applyBorder="1" applyAlignment="1">
      <alignment horizontal="left"/>
    </xf>
    <xf numFmtId="1" fontId="0" fillId="2" borderId="2" xfId="0" applyNumberFormat="1" applyFill="1" applyBorder="1"/>
    <xf numFmtId="1" fontId="0" fillId="2" borderId="1" xfId="0" applyNumberFormat="1" applyFill="1" applyBorder="1" applyAlignment="1">
      <alignment horizontal="right"/>
    </xf>
    <xf numFmtId="1" fontId="6" fillId="0" borderId="9" xfId="0" applyNumberFormat="1" applyFont="1" applyBorder="1" applyAlignment="1">
      <alignment horizontal="center"/>
    </xf>
    <xf numFmtId="1" fontId="0" fillId="0" borderId="15" xfId="0" applyNumberFormat="1" applyBorder="1"/>
    <xf numFmtId="1" fontId="0" fillId="0" borderId="11" xfId="0" applyNumberFormat="1" applyBorder="1"/>
    <xf numFmtId="1" fontId="6" fillId="0" borderId="2" xfId="0" applyNumberFormat="1" applyFont="1" applyBorder="1" applyAlignment="1">
      <alignment horizontal="center"/>
    </xf>
    <xf numFmtId="1" fontId="6" fillId="0" borderId="1" xfId="0" applyNumberFormat="1" applyFont="1" applyBorder="1" applyAlignment="1">
      <alignment horizontal="center"/>
    </xf>
    <xf numFmtId="1" fontId="6" fillId="0" borderId="12" xfId="0" applyNumberFormat="1" applyFont="1" applyBorder="1" applyAlignment="1">
      <alignment horizontal="center"/>
    </xf>
    <xf numFmtId="1" fontId="0" fillId="0" borderId="2" xfId="0" applyNumberFormat="1" applyBorder="1" applyAlignment="1">
      <alignment horizontal="center"/>
    </xf>
    <xf numFmtId="1" fontId="0" fillId="0" borderId="1" xfId="0" applyNumberFormat="1" applyBorder="1" applyAlignment="1">
      <alignment horizontal="center"/>
    </xf>
    <xf numFmtId="1" fontId="0" fillId="0" borderId="12" xfId="0" applyNumberFormat="1" applyBorder="1" applyAlignment="1">
      <alignment horizontal="center"/>
    </xf>
    <xf numFmtId="1" fontId="5" fillId="2" borderId="2" xfId="0" applyNumberFormat="1" applyFont="1" applyFill="1" applyBorder="1" applyAlignment="1">
      <alignment horizontal="center"/>
    </xf>
    <xf numFmtId="1" fontId="5" fillId="2" borderId="1" xfId="0" applyNumberFormat="1" applyFont="1" applyFill="1" applyBorder="1" applyAlignment="1">
      <alignment horizontal="center"/>
    </xf>
    <xf numFmtId="1" fontId="5" fillId="2" borderId="12" xfId="0" applyNumberFormat="1" applyFont="1" applyFill="1" applyBorder="1" applyAlignment="1">
      <alignment horizontal="center"/>
    </xf>
    <xf numFmtId="0" fontId="36" fillId="0" borderId="0" xfId="0" applyFont="1"/>
    <xf numFmtId="0" fontId="7" fillId="6" borderId="0" xfId="0" applyFont="1" applyFill="1" applyBorder="1" applyAlignment="1">
      <alignment horizontal="center" wrapText="1"/>
    </xf>
    <xf numFmtId="0" fontId="4" fillId="0" borderId="0" xfId="0" applyFont="1" applyAlignment="1"/>
    <xf numFmtId="0" fontId="0" fillId="3" borderId="0" xfId="0" applyFill="1" applyBorder="1"/>
    <xf numFmtId="1" fontId="34" fillId="0" borderId="0" xfId="0" applyNumberFormat="1" applyFont="1" applyBorder="1"/>
    <xf numFmtId="15" fontId="0" fillId="0" borderId="0" xfId="0" applyNumberFormat="1"/>
    <xf numFmtId="0" fontId="11" fillId="0" borderId="0" xfId="1" applyNumberFormat="1" applyAlignment="1" applyProtection="1"/>
    <xf numFmtId="0" fontId="4" fillId="0" borderId="2" xfId="0" applyFont="1" applyFill="1" applyBorder="1"/>
    <xf numFmtId="0" fontId="11" fillId="0" borderId="0" xfId="1" applyNumberFormat="1" applyBorder="1" applyAlignment="1" applyProtection="1">
      <alignment horizontal="left"/>
    </xf>
    <xf numFmtId="164" fontId="36" fillId="0" borderId="0" xfId="0" applyNumberFormat="1" applyFont="1"/>
    <xf numFmtId="0" fontId="7" fillId="0" borderId="0" xfId="0" applyFont="1" applyFill="1" applyBorder="1" applyAlignment="1">
      <alignment horizontal="center"/>
    </xf>
    <xf numFmtId="0" fontId="0" fillId="7" borderId="0" xfId="0" applyFill="1"/>
    <xf numFmtId="0" fontId="0" fillId="7" borderId="0" xfId="0" applyFill="1" applyBorder="1"/>
    <xf numFmtId="0" fontId="0" fillId="7" borderId="0" xfId="0" applyFill="1" applyAlignment="1"/>
    <xf numFmtId="0" fontId="34" fillId="7" borderId="0" xfId="0" applyFont="1" applyFill="1"/>
    <xf numFmtId="15" fontId="7" fillId="0" borderId="0" xfId="0" applyNumberFormat="1" applyFont="1" applyAlignment="1">
      <alignment horizontal="center"/>
    </xf>
    <xf numFmtId="0" fontId="5" fillId="0" borderId="0" xfId="0" applyFont="1" applyFill="1" applyAlignment="1">
      <alignment horizontal="center"/>
    </xf>
    <xf numFmtId="0" fontId="7" fillId="0" borderId="7" xfId="0" applyFont="1" applyFill="1" applyBorder="1" applyAlignment="1">
      <alignment horizontal="center"/>
    </xf>
    <xf numFmtId="0" fontId="7" fillId="0" borderId="2" xfId="0" applyFont="1" applyFill="1" applyBorder="1" applyAlignment="1"/>
    <xf numFmtId="0" fontId="24" fillId="0" borderId="0" xfId="0" applyFont="1" applyFill="1" applyBorder="1" applyAlignment="1">
      <alignment horizontal="left" vertical="top"/>
    </xf>
    <xf numFmtId="1" fontId="24" fillId="0" borderId="0" xfId="0" applyNumberFormat="1" applyFont="1" applyFill="1" applyBorder="1" applyAlignment="1">
      <alignment horizontal="center" vertical="top"/>
    </xf>
    <xf numFmtId="165" fontId="24" fillId="0" borderId="0" xfId="0" applyNumberFormat="1" applyFont="1" applyFill="1" applyBorder="1" applyAlignment="1">
      <alignment horizontal="right" vertical="top"/>
    </xf>
    <xf numFmtId="0" fontId="7" fillId="0" borderId="16" xfId="0" applyFont="1" applyFill="1" applyBorder="1" applyAlignment="1"/>
    <xf numFmtId="0" fontId="7" fillId="0" borderId="2" xfId="0" applyFont="1" applyFill="1" applyBorder="1"/>
    <xf numFmtId="1" fontId="24" fillId="0" borderId="7" xfId="0" applyNumberFormat="1" applyFont="1" applyFill="1" applyBorder="1" applyAlignment="1">
      <alignment horizontal="center" vertical="top"/>
    </xf>
    <xf numFmtId="165" fontId="24" fillId="0" borderId="7" xfId="0" applyNumberFormat="1" applyFont="1" applyFill="1" applyBorder="1" applyAlignment="1">
      <alignment horizontal="right" vertical="top"/>
    </xf>
    <xf numFmtId="0" fontId="7" fillId="0" borderId="0" xfId="0" applyFont="1" applyFill="1" applyBorder="1" applyAlignment="1">
      <alignment horizontal="left"/>
    </xf>
    <xf numFmtId="0" fontId="7" fillId="0" borderId="0" xfId="0" applyFont="1" applyFill="1" applyBorder="1" applyAlignment="1">
      <alignment horizontal="right"/>
    </xf>
    <xf numFmtId="2" fontId="0" fillId="0" borderId="0" xfId="0" applyNumberFormat="1" applyFill="1" applyBorder="1" applyAlignment="1">
      <alignment horizontal="center"/>
    </xf>
    <xf numFmtId="17" fontId="7" fillId="0" borderId="0" xfId="0" applyNumberFormat="1" applyFont="1" applyFill="1" applyBorder="1" applyAlignment="1">
      <alignment horizontal="center"/>
    </xf>
    <xf numFmtId="0" fontId="7" fillId="0" borderId="1" xfId="0" applyFont="1" applyFill="1" applyBorder="1" applyAlignment="1">
      <alignment horizontal="center"/>
    </xf>
    <xf numFmtId="0" fontId="7" fillId="0" borderId="0" xfId="0" applyFont="1" applyFill="1" applyAlignment="1">
      <alignment horizontal="center" wrapText="1"/>
    </xf>
    <xf numFmtId="0" fontId="7" fillId="0" borderId="0" xfId="0" applyFont="1" applyAlignment="1">
      <alignment horizontal="right" wrapText="1"/>
    </xf>
    <xf numFmtId="9" fontId="20" fillId="0" borderId="0" xfId="4" applyFont="1" applyFill="1" applyBorder="1" applyAlignment="1">
      <alignment horizontal="right" wrapText="1"/>
    </xf>
    <xf numFmtId="9" fontId="7" fillId="0" borderId="0" xfId="4" applyFont="1" applyAlignment="1">
      <alignment horizontal="right" wrapText="1"/>
    </xf>
    <xf numFmtId="0" fontId="6" fillId="0" borderId="17" xfId="0" applyFont="1" applyFill="1" applyBorder="1" applyAlignment="1">
      <alignment wrapText="1"/>
    </xf>
    <xf numFmtId="0" fontId="6" fillId="0" borderId="18" xfId="0" applyFont="1" applyFill="1" applyBorder="1" applyAlignment="1">
      <alignment horizontal="left"/>
    </xf>
    <xf numFmtId="0" fontId="6" fillId="0" borderId="18" xfId="0" applyFont="1" applyFill="1" applyBorder="1" applyAlignment="1">
      <alignment horizontal="center"/>
    </xf>
    <xf numFmtId="0" fontId="6" fillId="0" borderId="18" xfId="0" applyFont="1" applyFill="1" applyBorder="1" applyAlignment="1">
      <alignment horizontal="center" wrapText="1"/>
    </xf>
    <xf numFmtId="0" fontId="6" fillId="0" borderId="19" xfId="0" applyFont="1" applyFill="1" applyBorder="1" applyAlignment="1">
      <alignment horizontal="center"/>
    </xf>
    <xf numFmtId="1" fontId="7" fillId="0" borderId="0" xfId="0" applyNumberFormat="1" applyFont="1" applyBorder="1" applyAlignment="1">
      <alignment horizontal="right"/>
    </xf>
    <xf numFmtId="1" fontId="7" fillId="0" borderId="0" xfId="0" applyNumberFormat="1" applyFont="1" applyBorder="1"/>
    <xf numFmtId="0" fontId="7" fillId="0" borderId="0" xfId="0" applyNumberFormat="1" applyFont="1" applyBorder="1"/>
    <xf numFmtId="1" fontId="13" fillId="0" borderId="0" xfId="4" applyNumberFormat="1" applyFont="1" applyFill="1" applyBorder="1"/>
    <xf numFmtId="0" fontId="18" fillId="0" borderId="0" xfId="0" applyFont="1" applyBorder="1"/>
    <xf numFmtId="2" fontId="7" fillId="0" borderId="0" xfId="0" applyNumberFormat="1" applyFont="1" applyBorder="1" applyAlignment="1">
      <alignment horizontal="left"/>
    </xf>
    <xf numFmtId="0" fontId="7" fillId="0" borderId="0" xfId="0" applyFont="1" applyBorder="1" applyAlignment="1"/>
    <xf numFmtId="1" fontId="0" fillId="0" borderId="0" xfId="4" applyNumberFormat="1" applyFont="1" applyBorder="1"/>
    <xf numFmtId="0" fontId="7" fillId="0" borderId="0" xfId="0" quotePrefix="1" applyFont="1" applyBorder="1"/>
    <xf numFmtId="0" fontId="0" fillId="0" borderId="0" xfId="0" applyNumberFormat="1" applyBorder="1"/>
    <xf numFmtId="1" fontId="7" fillId="0" borderId="0" xfId="0" applyNumberFormat="1" applyFont="1" applyFill="1" applyBorder="1" applyAlignment="1">
      <alignment horizontal="right"/>
    </xf>
    <xf numFmtId="0" fontId="18" fillId="0" borderId="0" xfId="0" applyFont="1" applyFill="1" applyBorder="1" applyAlignment="1">
      <alignment horizontal="center"/>
    </xf>
    <xf numFmtId="168" fontId="7" fillId="0" borderId="0" xfId="0" applyNumberFormat="1" applyFont="1" applyFill="1" applyBorder="1" applyAlignment="1">
      <alignment horizontal="center"/>
    </xf>
    <xf numFmtId="0" fontId="4" fillId="0" borderId="0" xfId="0" applyFont="1" applyBorder="1"/>
    <xf numFmtId="0" fontId="0" fillId="7" borderId="0" xfId="0" applyFill="1" applyAlignment="1">
      <alignment wrapText="1"/>
    </xf>
    <xf numFmtId="1" fontId="13" fillId="8" borderId="0" xfId="4" applyNumberFormat="1" applyFont="1" applyFill="1"/>
    <xf numFmtId="0" fontId="7" fillId="8" borderId="0" xfId="0" applyFont="1" applyFill="1" applyAlignment="1">
      <alignment horizontal="right" wrapText="1"/>
    </xf>
    <xf numFmtId="0" fontId="7" fillId="8" borderId="0" xfId="0" applyFont="1" applyFill="1" applyAlignment="1">
      <alignment horizontal="center" wrapText="1"/>
    </xf>
    <xf numFmtId="1" fontId="7" fillId="8" borderId="0" xfId="0" applyNumberFormat="1" applyFont="1" applyFill="1" applyAlignment="1">
      <alignment horizontal="center" wrapText="1"/>
    </xf>
    <xf numFmtId="1" fontId="0" fillId="8" borderId="0" xfId="0" applyNumberFormat="1" applyFill="1"/>
    <xf numFmtId="1" fontId="0" fillId="5" borderId="0" xfId="0" applyNumberFormat="1" applyFill="1"/>
    <xf numFmtId="1" fontId="5" fillId="0" borderId="0" xfId="0" quotePrefix="1" applyNumberFormat="1" applyFont="1"/>
    <xf numFmtId="1" fontId="6" fillId="0" borderId="0" xfId="0" applyNumberFormat="1" applyFont="1" applyBorder="1" applyAlignment="1">
      <alignment horizontal="right"/>
    </xf>
    <xf numFmtId="1" fontId="6" fillId="0" borderId="18" xfId="0" applyNumberFormat="1" applyFont="1" applyFill="1" applyBorder="1" applyAlignment="1">
      <alignment horizontal="left"/>
    </xf>
    <xf numFmtId="1" fontId="24" fillId="0" borderId="0" xfId="0" applyNumberFormat="1" applyFont="1" applyFill="1" applyBorder="1" applyAlignment="1">
      <alignment horizontal="right" vertical="top"/>
    </xf>
    <xf numFmtId="1" fontId="24" fillId="0" borderId="7" xfId="0" applyNumberFormat="1" applyFont="1" applyFill="1" applyBorder="1" applyAlignment="1">
      <alignment horizontal="right" vertical="top"/>
    </xf>
    <xf numFmtId="1" fontId="7" fillId="0" borderId="0" xfId="0" applyNumberFormat="1" applyFont="1" applyAlignment="1">
      <alignment horizontal="right"/>
    </xf>
    <xf numFmtId="1" fontId="0" fillId="0" borderId="0" xfId="0" applyNumberFormat="1" applyFont="1" applyBorder="1" applyAlignment="1">
      <alignment horizontal="center" vertical="center"/>
    </xf>
    <xf numFmtId="1" fontId="23" fillId="0" borderId="0" xfId="0" applyNumberFormat="1" applyFont="1" applyBorder="1" applyAlignment="1">
      <alignment horizontal="right" vertical="top"/>
    </xf>
    <xf numFmtId="0" fontId="5" fillId="0" borderId="0" xfId="0" applyFont="1" applyFill="1" applyAlignment="1">
      <alignment horizontal="left"/>
    </xf>
    <xf numFmtId="164" fontId="15" fillId="0" borderId="0" xfId="0" applyNumberFormat="1" applyFont="1" applyAlignment="1">
      <alignment horizontal="left" vertical="top"/>
    </xf>
    <xf numFmtId="164" fontId="20" fillId="0" borderId="6" xfId="2" applyNumberFormat="1" applyFont="1" applyBorder="1" applyAlignment="1">
      <alignment horizontal="center" wrapText="1"/>
    </xf>
    <xf numFmtId="164" fontId="20" fillId="0" borderId="5" xfId="2" applyNumberFormat="1" applyFont="1" applyBorder="1" applyAlignment="1">
      <alignment horizontal="right" vertical="top"/>
    </xf>
    <xf numFmtId="164" fontId="20" fillId="0" borderId="0" xfId="2" applyNumberFormat="1" applyFont="1" applyBorder="1" applyAlignment="1">
      <alignment horizontal="right" vertical="top"/>
    </xf>
    <xf numFmtId="164" fontId="20" fillId="4" borderId="5" xfId="2" applyNumberFormat="1" applyFont="1" applyFill="1" applyBorder="1" applyAlignment="1">
      <alignment horizontal="right" vertical="top"/>
    </xf>
    <xf numFmtId="164" fontId="0" fillId="0" borderId="0" xfId="0" applyNumberFormat="1" applyAlignment="1">
      <alignment horizontal="center" vertical="top"/>
    </xf>
    <xf numFmtId="1" fontId="5" fillId="0" borderId="0" xfId="0" applyNumberFormat="1" applyFont="1"/>
    <xf numFmtId="0" fontId="37" fillId="5" borderId="0" xfId="0" applyFont="1" applyFill="1"/>
    <xf numFmtId="0" fontId="5" fillId="5" borderId="0" xfId="0" applyFont="1" applyFill="1"/>
    <xf numFmtId="0" fontId="7" fillId="6" borderId="0" xfId="0" applyFont="1" applyFill="1" applyAlignment="1">
      <alignment horizontal="center" wrapText="1"/>
    </xf>
    <xf numFmtId="0" fontId="38" fillId="0" borderId="0" xfId="0" applyFont="1"/>
    <xf numFmtId="14" fontId="7" fillId="0" borderId="0" xfId="0" applyNumberFormat="1" applyFont="1" applyAlignment="1">
      <alignment horizontal="left"/>
    </xf>
    <xf numFmtId="0" fontId="0" fillId="0" borderId="0" xfId="0" applyFont="1" applyFill="1" applyBorder="1"/>
    <xf numFmtId="15" fontId="7" fillId="0" borderId="0" xfId="0" applyNumberFormat="1" applyFont="1" applyBorder="1" applyAlignment="1">
      <alignment horizontal="center"/>
    </xf>
    <xf numFmtId="0" fontId="4" fillId="0" borderId="0" xfId="0" applyFont="1" applyFill="1" applyBorder="1"/>
    <xf numFmtId="0" fontId="6" fillId="0" borderId="20" xfId="0" applyFont="1" applyFill="1" applyBorder="1" applyAlignment="1">
      <alignment wrapText="1"/>
    </xf>
    <xf numFmtId="0" fontId="6" fillId="0" borderId="21" xfId="0" applyFont="1" applyFill="1" applyBorder="1"/>
    <xf numFmtId="0" fontId="6" fillId="0" borderId="21" xfId="0" applyFont="1" applyFill="1" applyBorder="1" applyAlignment="1">
      <alignment horizontal="left"/>
    </xf>
    <xf numFmtId="0" fontId="0" fillId="0" borderId="22" xfId="0" applyFill="1" applyBorder="1"/>
    <xf numFmtId="0" fontId="7" fillId="0" borderId="22" xfId="0" applyFont="1" applyFill="1" applyBorder="1" applyAlignment="1"/>
    <xf numFmtId="0" fontId="7" fillId="0" borderId="22" xfId="0" applyFont="1" applyFill="1" applyBorder="1"/>
    <xf numFmtId="0" fontId="7" fillId="0" borderId="23" xfId="0" applyFont="1" applyFill="1" applyBorder="1" applyAlignment="1"/>
    <xf numFmtId="0" fontId="7" fillId="0" borderId="24" xfId="0" applyFont="1" applyFill="1" applyBorder="1"/>
    <xf numFmtId="0" fontId="24" fillId="0" borderId="24" xfId="0" applyFont="1" applyFill="1" applyBorder="1" applyAlignment="1">
      <alignment horizontal="left" vertical="top"/>
    </xf>
    <xf numFmtId="165" fontId="24" fillId="0" borderId="24" xfId="0" applyNumberFormat="1" applyFont="1" applyFill="1" applyBorder="1" applyAlignment="1">
      <alignment horizontal="right" vertical="top"/>
    </xf>
    <xf numFmtId="1" fontId="0" fillId="0" borderId="24" xfId="0" applyNumberFormat="1" applyFill="1" applyBorder="1" applyAlignment="1">
      <alignment horizontal="right"/>
    </xf>
    <xf numFmtId="1" fontId="0" fillId="0" borderId="0" xfId="0" applyNumberFormat="1" applyAlignment="1">
      <alignment horizontal="left"/>
    </xf>
    <xf numFmtId="0" fontId="5" fillId="0" borderId="0" xfId="0" quotePrefix="1" applyFont="1" applyAlignment="1">
      <alignment horizontal="left"/>
    </xf>
    <xf numFmtId="9" fontId="6" fillId="0" borderId="25" xfId="4" applyFont="1" applyFill="1" applyBorder="1" applyAlignment="1">
      <alignment horizontal="left" wrapText="1"/>
    </xf>
    <xf numFmtId="166" fontId="23" fillId="0" borderId="0" xfId="0" applyNumberFormat="1" applyFont="1" applyBorder="1" applyAlignment="1">
      <alignment horizontal="left" vertical="top"/>
    </xf>
    <xf numFmtId="1" fontId="0" fillId="0" borderId="8" xfId="0" applyNumberFormat="1" applyFill="1" applyBorder="1" applyAlignment="1">
      <alignment horizontal="left"/>
    </xf>
    <xf numFmtId="166" fontId="11" fillId="0" borderId="0" xfId="1" applyNumberFormat="1" applyBorder="1" applyAlignment="1" applyProtection="1">
      <alignment horizontal="left" vertical="top"/>
    </xf>
    <xf numFmtId="1" fontId="34" fillId="0" borderId="0" xfId="0" applyNumberFormat="1" applyFont="1" applyBorder="1" applyAlignment="1">
      <alignment horizontal="left"/>
    </xf>
    <xf numFmtId="1" fontId="0" fillId="0" borderId="0" xfId="0" applyNumberFormat="1" applyFill="1" applyBorder="1" applyAlignment="1">
      <alignment horizontal="left"/>
    </xf>
    <xf numFmtId="0" fontId="0" fillId="0" borderId="0" xfId="0" applyFont="1" applyBorder="1" applyAlignment="1">
      <alignment horizontal="left" vertical="center"/>
    </xf>
    <xf numFmtId="166" fontId="23" fillId="0" borderId="8" xfId="0" applyNumberFormat="1" applyFont="1" applyBorder="1" applyAlignment="1">
      <alignment horizontal="left" vertical="top"/>
    </xf>
    <xf numFmtId="0" fontId="0" fillId="0" borderId="8" xfId="0" applyBorder="1" applyAlignment="1">
      <alignment horizontal="left"/>
    </xf>
    <xf numFmtId="0" fontId="11" fillId="0" borderId="8" xfId="1" applyBorder="1" applyAlignment="1" applyProtection="1">
      <alignment horizontal="left"/>
    </xf>
    <xf numFmtId="0" fontId="17" fillId="0" borderId="8" xfId="1" applyFont="1" applyBorder="1" applyAlignment="1" applyProtection="1">
      <alignment horizontal="left"/>
    </xf>
    <xf numFmtId="0" fontId="7" fillId="0" borderId="8" xfId="0" applyFont="1" applyBorder="1" applyAlignment="1">
      <alignment horizontal="left"/>
    </xf>
    <xf numFmtId="166" fontId="11" fillId="0" borderId="8" xfId="1" applyNumberFormat="1" applyBorder="1" applyAlignment="1" applyProtection="1">
      <alignment horizontal="left" vertical="top"/>
    </xf>
    <xf numFmtId="2" fontId="11" fillId="0" borderId="8" xfId="1" applyNumberFormat="1" applyBorder="1" applyAlignment="1" applyProtection="1">
      <alignment horizontal="left"/>
    </xf>
    <xf numFmtId="0" fontId="0" fillId="0" borderId="26" xfId="0" applyBorder="1" applyAlignment="1">
      <alignment horizontal="left"/>
    </xf>
    <xf numFmtId="9" fontId="6" fillId="0" borderId="18" xfId="4" applyFont="1" applyFill="1" applyBorder="1" applyAlignment="1">
      <alignment horizontal="center" wrapText="1"/>
    </xf>
    <xf numFmtId="0" fontId="39" fillId="0" borderId="0" xfId="0" applyFont="1"/>
    <xf numFmtId="0" fontId="7" fillId="0" borderId="2" xfId="0" applyFont="1" applyFill="1" applyBorder="1" applyAlignment="1">
      <alignment wrapText="1"/>
    </xf>
    <xf numFmtId="1" fontId="7" fillId="0" borderId="0" xfId="0" applyNumberFormat="1" applyFont="1" applyFill="1" applyBorder="1" applyAlignment="1">
      <alignment horizontal="left"/>
    </xf>
    <xf numFmtId="0" fontId="7" fillId="0" borderId="0" xfId="0" applyFont="1" applyFill="1" applyBorder="1" applyAlignment="1">
      <alignment horizontal="center" wrapText="1"/>
    </xf>
    <xf numFmtId="1" fontId="7" fillId="0" borderId="0" xfId="0" applyNumberFormat="1" applyFont="1" applyBorder="1" applyAlignment="1">
      <alignment horizontal="center"/>
    </xf>
    <xf numFmtId="0" fontId="7" fillId="7" borderId="0" xfId="0" applyFont="1" applyFill="1"/>
    <xf numFmtId="0" fontId="7" fillId="0" borderId="0" xfId="0" applyFont="1" applyFill="1" applyBorder="1" applyAlignment="1">
      <alignment horizontal="right" wrapText="1"/>
    </xf>
    <xf numFmtId="0" fontId="40" fillId="0" borderId="0" xfId="0" applyFont="1"/>
    <xf numFmtId="0" fontId="26" fillId="0" borderId="0" xfId="0" applyFont="1"/>
    <xf numFmtId="0" fontId="12" fillId="0" borderId="0" xfId="0" applyFont="1"/>
    <xf numFmtId="0" fontId="34" fillId="0" borderId="0" xfId="0" applyFont="1" applyAlignment="1">
      <alignment horizontal="center"/>
    </xf>
    <xf numFmtId="0" fontId="11" fillId="0" borderId="8" xfId="1" applyFont="1" applyBorder="1" applyAlignment="1" applyProtection="1">
      <alignment horizontal="left"/>
    </xf>
    <xf numFmtId="0" fontId="0" fillId="0" borderId="0" xfId="0" applyAlignment="1">
      <alignment horizontal="left" wrapText="1"/>
    </xf>
    <xf numFmtId="0" fontId="7" fillId="5" borderId="0" xfId="0" applyFont="1" applyFill="1" applyAlignment="1">
      <alignment horizontal="center"/>
    </xf>
    <xf numFmtId="168" fontId="0" fillId="0" borderId="0" xfId="0" applyNumberFormat="1" applyBorder="1" applyAlignment="1">
      <alignment horizontal="center"/>
    </xf>
    <xf numFmtId="168" fontId="0" fillId="0" borderId="0" xfId="0" applyNumberFormat="1" applyAlignment="1">
      <alignment horizontal="center"/>
    </xf>
    <xf numFmtId="0" fontId="7" fillId="0" borderId="0" xfId="1" applyFont="1" applyBorder="1" applyAlignment="1" applyProtection="1">
      <alignment horizontal="center"/>
    </xf>
    <xf numFmtId="168" fontId="7" fillId="0" borderId="0" xfId="0" applyNumberFormat="1" applyFont="1" applyBorder="1" applyAlignment="1">
      <alignment horizontal="center"/>
    </xf>
    <xf numFmtId="0" fontId="7" fillId="0" borderId="0" xfId="0" applyNumberFormat="1" applyFont="1" applyBorder="1" applyAlignment="1">
      <alignment horizontal="center"/>
    </xf>
    <xf numFmtId="15" fontId="7" fillId="0" borderId="0" xfId="1" applyNumberFormat="1" applyFont="1" applyBorder="1" applyAlignment="1" applyProtection="1">
      <alignment horizontal="center"/>
    </xf>
    <xf numFmtId="15" fontId="7" fillId="0" borderId="0" xfId="1" applyNumberFormat="1" applyFont="1" applyAlignment="1" applyProtection="1">
      <alignment horizontal="center"/>
    </xf>
    <xf numFmtId="168" fontId="0" fillId="0" borderId="15" xfId="0" applyNumberFormat="1" applyBorder="1" applyAlignment="1">
      <alignment horizontal="center"/>
    </xf>
    <xf numFmtId="168" fontId="0" fillId="0" borderId="1" xfId="0" applyNumberFormat="1" applyBorder="1" applyAlignment="1">
      <alignment horizontal="center"/>
    </xf>
    <xf numFmtId="14" fontId="7" fillId="0" borderId="0" xfId="0" quotePrefix="1" applyNumberFormat="1" applyFont="1" applyAlignment="1">
      <alignment horizontal="center"/>
    </xf>
    <xf numFmtId="14" fontId="7" fillId="0" borderId="0" xfId="0" applyNumberFormat="1" applyFont="1" applyAlignment="1">
      <alignment horizontal="center"/>
    </xf>
    <xf numFmtId="0" fontId="7" fillId="0" borderId="0" xfId="0" applyFont="1" applyFill="1" applyBorder="1" applyAlignment="1">
      <alignment wrapText="1"/>
    </xf>
    <xf numFmtId="0" fontId="0" fillId="0" borderId="0" xfId="0" applyBorder="1" applyAlignment="1">
      <alignment horizontal="left" vertical="top"/>
    </xf>
    <xf numFmtId="0" fontId="27" fillId="0" borderId="21" xfId="0" applyFont="1" applyFill="1" applyBorder="1" applyAlignment="1">
      <alignment horizontal="right" wrapText="1"/>
    </xf>
    <xf numFmtId="9" fontId="28" fillId="0" borderId="21" xfId="4" applyFont="1" applyFill="1" applyBorder="1" applyAlignment="1">
      <alignment horizontal="center" wrapText="1"/>
    </xf>
    <xf numFmtId="9" fontId="27" fillId="0" borderId="21" xfId="4" applyFont="1" applyFill="1" applyBorder="1" applyAlignment="1">
      <alignment wrapText="1"/>
    </xf>
    <xf numFmtId="0" fontId="27" fillId="0" borderId="18" xfId="0" applyFont="1" applyFill="1" applyBorder="1" applyAlignment="1">
      <alignment horizontal="center" wrapText="1"/>
    </xf>
    <xf numFmtId="0" fontId="0" fillId="0" borderId="3" xfId="0" applyBorder="1" applyAlignment="1">
      <alignment horizontal="center"/>
    </xf>
    <xf numFmtId="0" fontId="18" fillId="0" borderId="0" xfId="0" applyFont="1" applyAlignment="1">
      <alignment horizontal="left" wrapText="1"/>
    </xf>
    <xf numFmtId="0" fontId="6" fillId="0" borderId="27" xfId="0" applyFont="1" applyFill="1" applyBorder="1" applyAlignment="1">
      <alignment horizontal="center" wrapText="1"/>
    </xf>
    <xf numFmtId="0" fontId="7" fillId="0" borderId="27" xfId="0" applyFont="1" applyBorder="1" applyAlignment="1">
      <alignment horizontal="center"/>
    </xf>
    <xf numFmtId="0" fontId="7" fillId="0" borderId="7" xfId="0" applyFont="1" applyBorder="1" applyAlignment="1">
      <alignment horizontal="center"/>
    </xf>
    <xf numFmtId="2" fontId="5" fillId="4" borderId="0" xfId="0" applyNumberFormat="1" applyFont="1" applyFill="1"/>
    <xf numFmtId="1" fontId="0" fillId="4" borderId="0" xfId="0" applyNumberFormat="1" applyFill="1" applyBorder="1" applyAlignment="1">
      <alignment horizontal="right"/>
    </xf>
    <xf numFmtId="0" fontId="0" fillId="4" borderId="0" xfId="0" applyFill="1" applyBorder="1" applyAlignment="1">
      <alignment horizontal="right"/>
    </xf>
    <xf numFmtId="0" fontId="0" fillId="4" borderId="0" xfId="0" applyFill="1" applyAlignment="1">
      <alignment horizontal="center"/>
    </xf>
    <xf numFmtId="0" fontId="0" fillId="4" borderId="0" xfId="0" applyFill="1"/>
    <xf numFmtId="0" fontId="15" fillId="4" borderId="0" xfId="0" applyFont="1" applyFill="1" applyBorder="1" applyAlignment="1">
      <alignment vertical="center"/>
    </xf>
    <xf numFmtId="0" fontId="15" fillId="4" borderId="0" xfId="0" applyFont="1" applyFill="1" applyBorder="1" applyAlignment="1">
      <alignment horizontal="right" vertical="center" wrapText="1"/>
    </xf>
    <xf numFmtId="0" fontId="15" fillId="4" borderId="0" xfId="0" applyFont="1" applyFill="1" applyBorder="1" applyAlignment="1">
      <alignment horizontal="left" vertical="center" wrapText="1"/>
    </xf>
    <xf numFmtId="0" fontId="15" fillId="4" borderId="0" xfId="0" applyFont="1" applyFill="1" applyBorder="1" applyAlignment="1">
      <alignment horizontal="center" vertical="center" wrapText="1"/>
    </xf>
    <xf numFmtId="0" fontId="15" fillId="4" borderId="0" xfId="0" applyFont="1" applyFill="1" applyBorder="1" applyAlignment="1">
      <alignment horizontal="left" vertical="center"/>
    </xf>
    <xf numFmtId="0" fontId="15" fillId="4" borderId="0" xfId="0" applyFont="1" applyFill="1" applyBorder="1" applyAlignment="1">
      <alignment horizontal="center" vertical="center"/>
    </xf>
    <xf numFmtId="0" fontId="31" fillId="4" borderId="0" xfId="0" applyFont="1" applyFill="1" applyBorder="1" applyAlignment="1">
      <alignment horizontal="center" vertical="center" wrapText="1"/>
    </xf>
    <xf numFmtId="0" fontId="31" fillId="4" borderId="0" xfId="0" applyFont="1" applyFill="1" applyBorder="1" applyAlignment="1">
      <alignment horizontal="center" vertical="center"/>
    </xf>
    <xf numFmtId="0" fontId="7" fillId="0" borderId="0" xfId="0" applyFont="1" applyFill="1" applyBorder="1" applyAlignment="1"/>
    <xf numFmtId="0" fontId="7" fillId="0" borderId="0" xfId="3" applyFont="1"/>
    <xf numFmtId="0" fontId="5" fillId="0" borderId="0" xfId="0" applyFont="1" applyAlignment="1">
      <alignment horizontal="right"/>
    </xf>
    <xf numFmtId="0" fontId="5" fillId="0" borderId="0" xfId="0" applyFont="1" applyFill="1" applyBorder="1" applyAlignment="1">
      <alignment horizontal="right"/>
    </xf>
    <xf numFmtId="1" fontId="5" fillId="0" borderId="0" xfId="0" applyNumberFormat="1" applyFont="1" applyFill="1" applyBorder="1" applyAlignment="1">
      <alignment horizontal="right"/>
    </xf>
    <xf numFmtId="165" fontId="32" fillId="0" borderId="0" xfId="0" applyNumberFormat="1" applyFont="1" applyFill="1" applyBorder="1" applyAlignment="1">
      <alignment horizontal="right" vertical="top"/>
    </xf>
    <xf numFmtId="0" fontId="5" fillId="0" borderId="0" xfId="0" applyFont="1" applyAlignment="1"/>
    <xf numFmtId="0" fontId="5" fillId="0" borderId="0" xfId="0" applyFont="1" applyFill="1" applyBorder="1"/>
    <xf numFmtId="0" fontId="5" fillId="0" borderId="0" xfId="0" applyFont="1" applyFill="1" applyAlignment="1">
      <alignment horizontal="right"/>
    </xf>
    <xf numFmtId="1" fontId="5" fillId="0" borderId="0" xfId="0" applyNumberFormat="1" applyFont="1" applyFill="1" applyAlignment="1">
      <alignment horizontal="right"/>
    </xf>
    <xf numFmtId="0" fontId="5" fillId="0" borderId="0" xfId="0" applyFont="1" applyFill="1"/>
    <xf numFmtId="1" fontId="5" fillId="0" borderId="0" xfId="0" applyNumberFormat="1" applyFont="1" applyBorder="1" applyAlignment="1">
      <alignment horizontal="right"/>
    </xf>
    <xf numFmtId="0" fontId="5" fillId="0" borderId="0" xfId="0" applyFont="1" applyFill="1" applyBorder="1" applyAlignment="1">
      <alignment horizontal="right" wrapText="1"/>
    </xf>
    <xf numFmtId="0" fontId="15" fillId="0" borderId="0" xfId="0" applyFont="1" applyAlignment="1">
      <alignment horizontal="right"/>
    </xf>
    <xf numFmtId="15" fontId="15" fillId="0" borderId="0" xfId="0" applyNumberFormat="1" applyFont="1" applyBorder="1" applyAlignment="1">
      <alignment horizontal="right"/>
    </xf>
    <xf numFmtId="168" fontId="15" fillId="0" borderId="0" xfId="0" applyNumberFormat="1" applyFont="1" applyBorder="1" applyAlignment="1">
      <alignment horizontal="right"/>
    </xf>
    <xf numFmtId="0" fontId="15" fillId="0" borderId="0" xfId="0" applyFont="1" applyBorder="1" applyAlignment="1">
      <alignment horizontal="right"/>
    </xf>
    <xf numFmtId="0" fontId="15" fillId="0" borderId="0" xfId="1" applyFont="1" applyBorder="1" applyAlignment="1" applyProtection="1">
      <alignment horizontal="right"/>
    </xf>
    <xf numFmtId="0" fontId="15" fillId="0" borderId="0" xfId="0" applyNumberFormat="1" applyFont="1" applyBorder="1" applyAlignment="1">
      <alignment horizontal="right"/>
    </xf>
    <xf numFmtId="15" fontId="15" fillId="0" borderId="0" xfId="1" applyNumberFormat="1" applyFont="1" applyBorder="1" applyAlignment="1" applyProtection="1">
      <alignment horizontal="right"/>
    </xf>
    <xf numFmtId="15" fontId="15" fillId="0" borderId="0" xfId="1" applyNumberFormat="1" applyFont="1" applyAlignment="1" applyProtection="1">
      <alignment horizontal="right"/>
    </xf>
    <xf numFmtId="168" fontId="15" fillId="0" borderId="15" xfId="0" applyNumberFormat="1" applyFont="1" applyBorder="1" applyAlignment="1">
      <alignment horizontal="right"/>
    </xf>
    <xf numFmtId="168" fontId="15" fillId="0" borderId="1" xfId="0" applyNumberFormat="1" applyFont="1" applyBorder="1" applyAlignment="1">
      <alignment horizontal="right"/>
    </xf>
    <xf numFmtId="14" fontId="15" fillId="0" borderId="0" xfId="0" quotePrefix="1" applyNumberFormat="1" applyFont="1" applyAlignment="1">
      <alignment horizontal="right"/>
    </xf>
    <xf numFmtId="168" fontId="15" fillId="0" borderId="0" xfId="0" applyNumberFormat="1" applyFont="1" applyAlignment="1">
      <alignment horizontal="right"/>
    </xf>
    <xf numFmtId="14" fontId="15" fillId="0" borderId="0" xfId="0" applyNumberFormat="1" applyFont="1" applyAlignment="1">
      <alignment horizontal="right"/>
    </xf>
    <xf numFmtId="0" fontId="15" fillId="0" borderId="0" xfId="0" applyFont="1" applyFill="1" applyAlignment="1">
      <alignment horizontal="right"/>
    </xf>
    <xf numFmtId="0" fontId="15" fillId="0" borderId="0" xfId="0" applyFont="1" applyBorder="1" applyAlignment="1">
      <alignment horizontal="left"/>
    </xf>
    <xf numFmtId="0" fontId="15" fillId="0" borderId="0" xfId="0" applyFont="1" applyAlignment="1">
      <alignment horizontal="left"/>
    </xf>
    <xf numFmtId="0" fontId="41" fillId="0" borderId="0" xfId="1" applyFont="1" applyBorder="1" applyAlignment="1" applyProtection="1">
      <alignment horizontal="left"/>
    </xf>
    <xf numFmtId="1" fontId="41" fillId="0" borderId="0" xfId="1" applyNumberFormat="1" applyFont="1" applyFill="1" applyBorder="1" applyAlignment="1" applyProtection="1">
      <alignment horizontal="left"/>
    </xf>
    <xf numFmtId="166" fontId="41" fillId="0" borderId="0" xfId="1" applyNumberFormat="1" applyFont="1" applyBorder="1" applyAlignment="1" applyProtection="1">
      <alignment horizontal="left" vertical="top"/>
    </xf>
    <xf numFmtId="2" fontId="41" fillId="0" borderId="0" xfId="1" applyNumberFormat="1" applyFont="1" applyBorder="1" applyAlignment="1" applyProtection="1">
      <alignment horizontal="left"/>
    </xf>
    <xf numFmtId="164" fontId="15" fillId="0" borderId="0" xfId="0" applyNumberFormat="1" applyFont="1" applyFill="1" applyBorder="1" applyAlignment="1">
      <alignment horizontal="left"/>
    </xf>
    <xf numFmtId="0" fontId="41" fillId="0" borderId="0" xfId="1" applyFont="1" applyAlignment="1" applyProtection="1">
      <alignment horizontal="left"/>
    </xf>
    <xf numFmtId="0" fontId="41" fillId="0" borderId="0" xfId="1" applyFont="1" applyAlignment="1" applyProtection="1"/>
    <xf numFmtId="166" fontId="30" fillId="0" borderId="0" xfId="0" applyNumberFormat="1" applyFont="1" applyBorder="1" applyAlignment="1">
      <alignment horizontal="left" vertical="top"/>
    </xf>
    <xf numFmtId="0" fontId="41" fillId="0" borderId="0" xfId="1" applyNumberFormat="1" applyFont="1" applyBorder="1" applyAlignment="1" applyProtection="1">
      <alignment horizontal="left"/>
    </xf>
    <xf numFmtId="0" fontId="15" fillId="0" borderId="0" xfId="0" applyNumberFormat="1" applyFont="1" applyBorder="1" applyAlignment="1">
      <alignment horizontal="left"/>
    </xf>
    <xf numFmtId="0" fontId="42" fillId="0" borderId="0" xfId="0" applyFont="1" applyBorder="1" applyAlignment="1">
      <alignment horizontal="left"/>
    </xf>
    <xf numFmtId="0" fontId="42" fillId="0" borderId="0" xfId="0" applyFont="1" applyBorder="1"/>
    <xf numFmtId="0" fontId="15" fillId="0" borderId="0" xfId="0" applyFont="1" applyBorder="1" applyAlignment="1"/>
    <xf numFmtId="0" fontId="41" fillId="0" borderId="0" xfId="1" applyNumberFormat="1" applyFont="1" applyBorder="1" applyAlignment="1" applyProtection="1"/>
    <xf numFmtId="0" fontId="41" fillId="0" borderId="0" xfId="1" applyFont="1" applyBorder="1" applyAlignment="1" applyProtection="1"/>
    <xf numFmtId="0" fontId="15" fillId="0" borderId="0" xfId="0" applyFont="1" applyAlignment="1"/>
    <xf numFmtId="0" fontId="42" fillId="0" borderId="0" xfId="0" applyFont="1" applyAlignment="1">
      <alignment horizontal="left"/>
    </xf>
    <xf numFmtId="2" fontId="41" fillId="0" borderId="3" xfId="1" applyNumberFormat="1" applyFont="1" applyBorder="1" applyAlignment="1" applyProtection="1">
      <alignment horizontal="left"/>
    </xf>
    <xf numFmtId="0" fontId="15" fillId="0" borderId="8" xfId="0" applyFont="1" applyBorder="1" applyAlignment="1">
      <alignment horizontal="left"/>
    </xf>
    <xf numFmtId="0" fontId="15" fillId="0" borderId="0" xfId="0" applyFont="1" applyFill="1" applyAlignment="1">
      <alignment horizontal="left"/>
    </xf>
    <xf numFmtId="0" fontId="29" fillId="0" borderId="0" xfId="0" applyFont="1"/>
    <xf numFmtId="0" fontId="18" fillId="0" borderId="0" xfId="0" applyFont="1"/>
    <xf numFmtId="1" fontId="18" fillId="0" borderId="0" xfId="0" applyNumberFormat="1" applyFont="1" applyAlignment="1">
      <alignment horizontal="right"/>
    </xf>
    <xf numFmtId="1" fontId="18" fillId="0" borderId="0" xfId="0" applyNumberFormat="1" applyFont="1" applyFill="1" applyBorder="1" applyAlignment="1">
      <alignment horizontal="right"/>
    </xf>
    <xf numFmtId="0" fontId="29" fillId="0" borderId="0" xfId="0" applyFont="1" applyFill="1" applyBorder="1" applyAlignment="1">
      <alignment horizontal="right"/>
    </xf>
    <xf numFmtId="0" fontId="18" fillId="0" borderId="0" xfId="0" applyFont="1" applyBorder="1" applyAlignment="1">
      <alignment horizontal="right"/>
    </xf>
    <xf numFmtId="1" fontId="18" fillId="0" borderId="0" xfId="0" applyNumberFormat="1" applyFont="1" applyBorder="1" applyAlignment="1">
      <alignment horizontal="right"/>
    </xf>
    <xf numFmtId="0" fontId="18" fillId="0" borderId="0" xfId="0" applyFont="1" applyFill="1" applyBorder="1" applyAlignment="1">
      <alignment horizontal="right"/>
    </xf>
    <xf numFmtId="165" fontId="20" fillId="0" borderId="0" xfId="0" applyNumberFormat="1" applyFont="1" applyFill="1" applyBorder="1" applyAlignment="1">
      <alignment horizontal="right" vertical="top"/>
    </xf>
    <xf numFmtId="1" fontId="18" fillId="0" borderId="0" xfId="4" applyNumberFormat="1" applyFont="1" applyFill="1" applyBorder="1" applyAlignment="1">
      <alignment horizontal="right"/>
    </xf>
    <xf numFmtId="1" fontId="18" fillId="0" borderId="0" xfId="0" quotePrefix="1" applyNumberFormat="1" applyFont="1" applyBorder="1" applyAlignment="1">
      <alignment horizontal="right"/>
    </xf>
    <xf numFmtId="1" fontId="29" fillId="0" borderId="0" xfId="0" applyNumberFormat="1" applyFont="1" applyFill="1" applyBorder="1" applyAlignment="1">
      <alignment horizontal="right"/>
    </xf>
    <xf numFmtId="1" fontId="18" fillId="0" borderId="0" xfId="5" applyNumberFormat="1" applyFont="1" applyFill="1" applyBorder="1" applyAlignment="1">
      <alignment horizontal="right"/>
    </xf>
    <xf numFmtId="1" fontId="18" fillId="0" borderId="0" xfId="0" applyNumberFormat="1" applyFont="1"/>
    <xf numFmtId="1" fontId="43" fillId="0" borderId="0" xfId="0" applyNumberFormat="1" applyFont="1" applyFill="1" applyBorder="1" applyAlignment="1">
      <alignment horizontal="right"/>
    </xf>
    <xf numFmtId="1" fontId="18" fillId="0" borderId="0" xfId="0" applyNumberFormat="1" applyFont="1" applyBorder="1"/>
    <xf numFmtId="1" fontId="18" fillId="0" borderId="0" xfId="4" applyNumberFormat="1" applyFont="1" applyBorder="1" applyAlignment="1">
      <alignment horizontal="right"/>
    </xf>
    <xf numFmtId="0" fontId="44" fillId="0" borderId="0" xfId="0" applyFont="1" applyBorder="1" applyAlignment="1">
      <alignment horizontal="right"/>
    </xf>
    <xf numFmtId="0" fontId="18" fillId="0" borderId="0" xfId="0" applyFont="1" applyAlignment="1"/>
    <xf numFmtId="0" fontId="18" fillId="0" borderId="0" xfId="0" applyFont="1" applyBorder="1" applyAlignment="1"/>
    <xf numFmtId="0" fontId="29" fillId="0" borderId="0" xfId="0" applyFont="1" applyAlignment="1"/>
    <xf numFmtId="0" fontId="29" fillId="0" borderId="0" xfId="0" applyFont="1" applyFill="1" applyAlignment="1">
      <alignment horizontal="right"/>
    </xf>
    <xf numFmtId="0" fontId="29" fillId="0" borderId="0" xfId="0" applyFont="1" applyAlignment="1">
      <alignment horizontal="right"/>
    </xf>
    <xf numFmtId="0" fontId="18" fillId="0" borderId="0" xfId="0" applyFont="1" applyAlignment="1">
      <alignment horizontal="right"/>
    </xf>
    <xf numFmtId="1" fontId="29" fillId="0" borderId="0" xfId="0" applyNumberFormat="1" applyFont="1" applyFill="1" applyAlignment="1">
      <alignment horizontal="right"/>
    </xf>
    <xf numFmtId="1" fontId="18" fillId="0" borderId="0" xfId="0" applyNumberFormat="1" applyFont="1" applyFill="1" applyAlignment="1">
      <alignment horizontal="right"/>
    </xf>
    <xf numFmtId="0" fontId="29" fillId="0" borderId="0" xfId="0" quotePrefix="1" applyFont="1"/>
    <xf numFmtId="0" fontId="29" fillId="0" borderId="0" xfId="0" applyFont="1" applyFill="1"/>
    <xf numFmtId="0" fontId="18" fillId="0" borderId="0" xfId="0" applyFont="1" applyFill="1"/>
    <xf numFmtId="165" fontId="43" fillId="0" borderId="0" xfId="0" applyNumberFormat="1" applyFont="1" applyFill="1" applyBorder="1" applyAlignment="1">
      <alignment horizontal="right" vertical="top"/>
    </xf>
    <xf numFmtId="0" fontId="15" fillId="0" borderId="0" xfId="0" applyFont="1" applyFill="1" applyBorder="1" applyAlignment="1">
      <alignment horizontal="left"/>
    </xf>
    <xf numFmtId="0" fontId="15" fillId="0" borderId="0" xfId="0" applyFont="1" applyAlignment="1">
      <alignment vertical="center"/>
    </xf>
    <xf numFmtId="0" fontId="18" fillId="0" borderId="0" xfId="0" applyFont="1" applyFill="1" applyBorder="1" applyAlignment="1">
      <alignment horizontal="right" wrapText="1"/>
    </xf>
    <xf numFmtId="0" fontId="18" fillId="0" borderId="0" xfId="0" applyFont="1" applyFill="1" applyBorder="1"/>
    <xf numFmtId="0" fontId="43" fillId="0" borderId="0" xfId="0" applyFont="1" applyFill="1" applyBorder="1" applyAlignment="1">
      <alignment horizontal="left"/>
    </xf>
    <xf numFmtId="164" fontId="18" fillId="0" borderId="0" xfId="0" applyNumberFormat="1" applyFont="1" applyFill="1" applyBorder="1" applyAlignment="1">
      <alignment horizontal="right"/>
    </xf>
    <xf numFmtId="165" fontId="43" fillId="0" borderId="0" xfId="0" applyNumberFormat="1" applyFont="1" applyFill="1" applyBorder="1" applyAlignment="1">
      <alignment horizontal="left" vertical="top"/>
    </xf>
    <xf numFmtId="1" fontId="30" fillId="0" borderId="0" xfId="0" applyNumberFormat="1" applyFont="1" applyFill="1" applyBorder="1" applyAlignment="1">
      <alignment horizontal="center" vertical="top"/>
    </xf>
    <xf numFmtId="1" fontId="43" fillId="0" borderId="0" xfId="0" applyNumberFormat="1" applyFont="1" applyBorder="1"/>
    <xf numFmtId="0" fontId="3" fillId="0" borderId="0" xfId="0" applyFont="1" applyFill="1" applyBorder="1"/>
    <xf numFmtId="0" fontId="3" fillId="0" borderId="0" xfId="0" applyFont="1" applyFill="1" applyBorder="1" applyAlignment="1">
      <alignment horizontal="center"/>
    </xf>
    <xf numFmtId="0" fontId="24" fillId="0" borderId="0" xfId="0" applyFont="1" applyFill="1" applyBorder="1" applyAlignment="1">
      <alignment horizontal="center" vertical="top"/>
    </xf>
    <xf numFmtId="0" fontId="3" fillId="0" borderId="0" xfId="0" applyFont="1" applyFill="1" applyBorder="1" applyAlignment="1">
      <alignment horizontal="left"/>
    </xf>
    <xf numFmtId="0" fontId="15" fillId="4" borderId="7" xfId="0" applyFont="1" applyFill="1" applyBorder="1" applyAlignment="1">
      <alignment vertical="center"/>
    </xf>
    <xf numFmtId="0" fontId="15" fillId="4" borderId="7" xfId="0" applyFont="1" applyFill="1" applyBorder="1" applyAlignment="1">
      <alignment horizontal="center" vertical="center" wrapText="1"/>
    </xf>
    <xf numFmtId="0" fontId="15" fillId="4" borderId="7" xfId="0" applyFont="1" applyFill="1" applyBorder="1" applyAlignment="1">
      <alignment horizontal="left" vertical="center"/>
    </xf>
    <xf numFmtId="0" fontId="15" fillId="4" borderId="7" xfId="0" applyFont="1" applyFill="1" applyBorder="1" applyAlignment="1">
      <alignment horizontal="center" vertical="center"/>
    </xf>
    <xf numFmtId="0" fontId="31" fillId="4" borderId="7" xfId="0" applyFont="1" applyFill="1" applyBorder="1" applyAlignment="1">
      <alignment horizontal="center" vertical="center"/>
    </xf>
    <xf numFmtId="0" fontId="15" fillId="4" borderId="7" xfId="0" applyFont="1" applyFill="1" applyBorder="1" applyAlignment="1">
      <alignment horizontal="right" vertical="center" wrapText="1"/>
    </xf>
    <xf numFmtId="0" fontId="31" fillId="4" borderId="7" xfId="0" applyFont="1" applyFill="1" applyBorder="1" applyAlignment="1">
      <alignment horizontal="center" vertical="center" wrapText="1"/>
    </xf>
    <xf numFmtId="9" fontId="30" fillId="4" borderId="0" xfId="4" applyFont="1" applyFill="1" applyBorder="1" applyAlignment="1">
      <alignment horizontal="right" vertical="center" wrapText="1"/>
    </xf>
    <xf numFmtId="0" fontId="15" fillId="0" borderId="0" xfId="0" applyFont="1" applyAlignment="1">
      <alignment horizontal="center"/>
    </xf>
    <xf numFmtId="0" fontId="15" fillId="0" borderId="0" xfId="0" applyFont="1" applyFill="1" applyAlignment="1">
      <alignment horizontal="center" vertical="center"/>
    </xf>
    <xf numFmtId="0" fontId="15" fillId="0" borderId="0" xfId="0" applyFont="1" applyFill="1" applyBorder="1" applyAlignment="1">
      <alignment horizontal="center" wrapText="1"/>
    </xf>
    <xf numFmtId="164" fontId="15" fillId="0" borderId="0" xfId="0" applyNumberFormat="1" applyFont="1" applyFill="1" applyBorder="1" applyAlignment="1">
      <alignment horizontal="center"/>
    </xf>
    <xf numFmtId="0" fontId="15" fillId="0" borderId="0" xfId="0" applyFont="1" applyFill="1" applyBorder="1" applyAlignment="1">
      <alignment horizontal="center"/>
    </xf>
    <xf numFmtId="164" fontId="48" fillId="0" borderId="0" xfId="0" applyNumberFormat="1" applyFont="1" applyFill="1" applyBorder="1" applyAlignment="1">
      <alignment horizontal="center"/>
    </xf>
    <xf numFmtId="2" fontId="15" fillId="0" borderId="0" xfId="0" applyNumberFormat="1" applyFont="1" applyFill="1" applyBorder="1" applyAlignment="1">
      <alignment horizontal="center"/>
    </xf>
    <xf numFmtId="164" fontId="15" fillId="0" borderId="0" xfId="0" applyNumberFormat="1" applyFont="1" applyFill="1" applyAlignment="1">
      <alignment horizontal="center"/>
    </xf>
    <xf numFmtId="164" fontId="15" fillId="0" borderId="0" xfId="0" applyNumberFormat="1" applyFont="1" applyAlignment="1">
      <alignment horizontal="center"/>
    </xf>
    <xf numFmtId="0" fontId="15" fillId="0" borderId="0" xfId="0" applyFont="1" applyFill="1" applyAlignment="1">
      <alignment horizontal="center"/>
    </xf>
    <xf numFmtId="15" fontId="15" fillId="0" borderId="0" xfId="0" applyNumberFormat="1" applyFont="1" applyAlignment="1">
      <alignment horizontal="center"/>
    </xf>
    <xf numFmtId="0" fontId="16" fillId="0" borderId="0" xfId="0" applyFont="1" applyFill="1" applyAlignment="1">
      <alignment horizontal="center"/>
    </xf>
    <xf numFmtId="0" fontId="16" fillId="4" borderId="0" xfId="0" applyFont="1" applyFill="1" applyBorder="1" applyAlignment="1">
      <alignment horizontal="right" vertical="center" wrapText="1"/>
    </xf>
    <xf numFmtId="0" fontId="15" fillId="0" borderId="0" xfId="0" applyFont="1" applyFill="1" applyBorder="1" applyAlignment="1">
      <alignment horizontal="center" vertical="center"/>
    </xf>
    <xf numFmtId="0" fontId="16" fillId="0" borderId="0" xfId="0" applyFont="1" applyAlignment="1">
      <alignment horizontal="center"/>
    </xf>
    <xf numFmtId="0" fontId="29" fillId="0" borderId="0" xfId="0" applyFont="1" applyBorder="1"/>
    <xf numFmtId="0" fontId="29" fillId="0" borderId="0" xfId="0" applyFont="1" applyBorder="1" applyAlignment="1">
      <alignment horizontal="right"/>
    </xf>
    <xf numFmtId="0" fontId="29" fillId="0" borderId="0" xfId="0" applyFont="1" applyBorder="1" applyAlignment="1"/>
    <xf numFmtId="0" fontId="29" fillId="0" borderId="0" xfId="0" quotePrefix="1" applyFont="1" applyBorder="1"/>
    <xf numFmtId="0" fontId="29" fillId="0" borderId="0" xfId="0" applyFont="1" applyFill="1" applyBorder="1"/>
    <xf numFmtId="164" fontId="45" fillId="10" borderId="0" xfId="0" applyNumberFormat="1" applyFont="1" applyFill="1" applyBorder="1"/>
    <xf numFmtId="164" fontId="7" fillId="10" borderId="0" xfId="0" applyNumberFormat="1" applyFont="1" applyFill="1" applyBorder="1" applyAlignment="1">
      <alignment horizontal="center"/>
    </xf>
    <xf numFmtId="0" fontId="0" fillId="10" borderId="0" xfId="0" applyFill="1" applyBorder="1"/>
    <xf numFmtId="0" fontId="0" fillId="10" borderId="0" xfId="0" applyFill="1" applyBorder="1" applyAlignment="1">
      <alignment horizontal="center"/>
    </xf>
    <xf numFmtId="0" fontId="0" fillId="10" borderId="0" xfId="0" applyFill="1"/>
    <xf numFmtId="164" fontId="15" fillId="10" borderId="0" xfId="0" applyNumberFormat="1" applyFont="1" applyFill="1" applyBorder="1" applyAlignment="1">
      <alignment horizontal="center"/>
    </xf>
    <xf numFmtId="0" fontId="7" fillId="10" borderId="0" xfId="0" applyFont="1" applyFill="1" applyBorder="1" applyAlignment="1">
      <alignment horizontal="center"/>
    </xf>
    <xf numFmtId="0" fontId="18" fillId="10" borderId="0" xfId="0" applyFont="1" applyFill="1" applyBorder="1" applyAlignment="1">
      <alignment horizontal="right"/>
    </xf>
    <xf numFmtId="1" fontId="18" fillId="10" borderId="0" xfId="0" applyNumberFormat="1" applyFont="1" applyFill="1" applyBorder="1" applyAlignment="1">
      <alignment horizontal="right"/>
    </xf>
    <xf numFmtId="0" fontId="41" fillId="10" borderId="0" xfId="1" applyFont="1" applyFill="1" applyBorder="1" applyAlignment="1" applyProtection="1">
      <alignment horizontal="left"/>
    </xf>
    <xf numFmtId="0" fontId="15" fillId="10" borderId="0" xfId="0" applyFont="1" applyFill="1" applyBorder="1" applyAlignment="1">
      <alignment horizontal="right"/>
    </xf>
    <xf numFmtId="0" fontId="0" fillId="0" borderId="24" xfId="0" applyFill="1" applyBorder="1"/>
    <xf numFmtId="0" fontId="7" fillId="0" borderId="24" xfId="0" applyFont="1" applyFill="1" applyBorder="1" applyAlignment="1">
      <alignment horizontal="center"/>
    </xf>
    <xf numFmtId="164" fontId="15" fillId="0" borderId="24" xfId="0" applyNumberFormat="1" applyFont="1" applyFill="1" applyBorder="1" applyAlignment="1">
      <alignment horizontal="center"/>
    </xf>
    <xf numFmtId="0" fontId="3" fillId="0" borderId="24" xfId="0" applyFont="1" applyFill="1" applyBorder="1" applyAlignment="1">
      <alignment horizontal="center"/>
    </xf>
    <xf numFmtId="1" fontId="18" fillId="0" borderId="0" xfId="0" quotePrefix="1" applyNumberFormat="1" applyFont="1" applyFill="1" applyBorder="1" applyAlignment="1">
      <alignment horizontal="right"/>
    </xf>
    <xf numFmtId="1" fontId="3" fillId="0" borderId="0" xfId="0" applyNumberFormat="1" applyFont="1" applyFill="1" applyBorder="1" applyAlignment="1">
      <alignment horizontal="right"/>
    </xf>
    <xf numFmtId="0" fontId="3" fillId="0" borderId="0" xfId="0" applyFont="1" applyBorder="1" applyAlignment="1">
      <alignment horizontal="center"/>
    </xf>
    <xf numFmtId="0" fontId="49" fillId="0" borderId="0" xfId="0" applyFont="1" applyAlignment="1">
      <alignment horizontal="right"/>
    </xf>
    <xf numFmtId="0" fontId="49" fillId="0" borderId="0" xfId="0" applyFont="1" applyAlignment="1">
      <alignment horizontal="left"/>
    </xf>
    <xf numFmtId="0" fontId="16" fillId="0" borderId="0" xfId="0" applyFont="1" applyAlignment="1">
      <alignment horizontal="right"/>
    </xf>
    <xf numFmtId="9" fontId="15" fillId="4" borderId="0" xfId="4" applyFont="1" applyFill="1" applyBorder="1" applyAlignment="1">
      <alignment horizontal="right" vertical="center" wrapText="1"/>
    </xf>
    <xf numFmtId="169" fontId="20" fillId="0" borderId="0" xfId="0" applyNumberFormat="1" applyFont="1" applyFill="1" applyBorder="1" applyAlignment="1">
      <alignment horizontal="right" vertical="top"/>
    </xf>
    <xf numFmtId="0" fontId="24" fillId="0" borderId="0" xfId="0" applyFont="1" applyFill="1" applyBorder="1" applyAlignment="1">
      <alignment horizontal="left"/>
    </xf>
    <xf numFmtId="0" fontId="3" fillId="0" borderId="0" xfId="0" applyFont="1" applyBorder="1"/>
    <xf numFmtId="0" fontId="15" fillId="0" borderId="0" xfId="0" applyFont="1" applyAlignment="1">
      <alignment horizontal="left" vertical="center"/>
    </xf>
    <xf numFmtId="0" fontId="15" fillId="4" borderId="7" xfId="0" applyFont="1" applyFill="1" applyBorder="1" applyAlignment="1">
      <alignment horizontal="left" vertical="center" wrapText="1"/>
    </xf>
    <xf numFmtId="164" fontId="45" fillId="0" borderId="0" xfId="0" applyNumberFormat="1" applyFont="1" applyBorder="1" applyAlignment="1">
      <alignment horizontal="left"/>
    </xf>
    <xf numFmtId="164" fontId="46" fillId="0" borderId="0" xfId="0" applyNumberFormat="1" applyFont="1" applyBorder="1" applyAlignment="1">
      <alignment horizontal="left"/>
    </xf>
    <xf numFmtId="0" fontId="15" fillId="10" borderId="0" xfId="0" applyFont="1" applyFill="1" applyAlignment="1">
      <alignment horizontal="left"/>
    </xf>
    <xf numFmtId="164" fontId="45" fillId="0" borderId="23" xfId="0" applyNumberFormat="1" applyFont="1" applyBorder="1" applyAlignment="1">
      <alignment horizontal="left"/>
    </xf>
    <xf numFmtId="0" fontId="45" fillId="0" borderId="0" xfId="0" applyFont="1" applyAlignment="1">
      <alignment horizontal="left"/>
    </xf>
    <xf numFmtId="0" fontId="16" fillId="0" borderId="0" xfId="0" applyFont="1" applyAlignment="1">
      <alignment horizontal="left"/>
    </xf>
    <xf numFmtId="168" fontId="15" fillId="0" borderId="0" xfId="0" applyNumberFormat="1" applyFont="1" applyAlignment="1">
      <alignment horizontal="left"/>
    </xf>
    <xf numFmtId="0" fontId="16" fillId="0" borderId="0" xfId="0" applyFont="1" applyFill="1" applyBorder="1" applyAlignment="1">
      <alignment horizontal="center" vertical="center" wrapText="1"/>
    </xf>
    <xf numFmtId="0" fontId="15" fillId="10" borderId="0" xfId="0" applyFont="1" applyFill="1" applyBorder="1" applyAlignment="1">
      <alignment horizontal="center"/>
    </xf>
    <xf numFmtId="164" fontId="45" fillId="0" borderId="0" xfId="0" applyNumberFormat="1" applyFont="1" applyFill="1" applyAlignment="1">
      <alignment horizontal="center"/>
    </xf>
    <xf numFmtId="15" fontId="15" fillId="0" borderId="0" xfId="0" applyNumberFormat="1" applyFont="1" applyFill="1" applyAlignment="1">
      <alignment horizontal="center"/>
    </xf>
    <xf numFmtId="0" fontId="16" fillId="0" borderId="0" xfId="0" applyFont="1" applyFill="1" applyAlignment="1">
      <alignment horizontal="left"/>
    </xf>
    <xf numFmtId="0" fontId="46" fillId="0" borderId="0" xfId="0" applyFont="1" applyAlignment="1">
      <alignment horizontal="left"/>
    </xf>
    <xf numFmtId="1" fontId="20" fillId="0" borderId="0" xfId="0" applyNumberFormat="1" applyFont="1" applyFill="1" applyBorder="1" applyAlignment="1">
      <alignment horizontal="right" vertical="top"/>
    </xf>
    <xf numFmtId="0" fontId="3" fillId="0" borderId="0" xfId="0" applyFont="1" applyFill="1" applyBorder="1" applyAlignment="1"/>
    <xf numFmtId="1" fontId="20" fillId="0" borderId="0" xfId="6" applyNumberFormat="1" applyFont="1" applyFill="1" applyBorder="1" applyAlignment="1">
      <alignment horizontal="right" vertical="center"/>
    </xf>
    <xf numFmtId="165" fontId="50" fillId="0" borderId="0" xfId="0" applyNumberFormat="1" applyFont="1" applyFill="1" applyBorder="1" applyAlignment="1">
      <alignment horizontal="right" vertical="top"/>
    </xf>
    <xf numFmtId="164" fontId="20" fillId="0" borderId="0" xfId="6" applyNumberFormat="1" applyFont="1" applyFill="1" applyBorder="1" applyAlignment="1">
      <alignment horizontal="right" vertical="center"/>
    </xf>
    <xf numFmtId="1" fontId="20" fillId="0" borderId="0" xfId="6" applyNumberFormat="1" applyFont="1" applyFill="1" applyBorder="1" applyAlignment="1">
      <alignment horizontal="left" vertical="center" wrapText="1"/>
    </xf>
    <xf numFmtId="0" fontId="41" fillId="0" borderId="0" xfId="1" applyFont="1" applyFill="1" applyBorder="1" applyAlignment="1" applyProtection="1">
      <alignment horizontal="left"/>
    </xf>
    <xf numFmtId="168" fontId="15" fillId="0" borderId="0" xfId="0" applyNumberFormat="1" applyFont="1" applyFill="1" applyBorder="1" applyAlignment="1">
      <alignment horizontal="right"/>
    </xf>
    <xf numFmtId="164" fontId="45" fillId="0" borderId="0" xfId="0" applyNumberFormat="1" applyFont="1" applyFill="1" applyBorder="1" applyAlignment="1">
      <alignment horizontal="left"/>
    </xf>
    <xf numFmtId="1" fontId="18" fillId="0" borderId="0" xfId="0" applyNumberFormat="1" applyFont="1" applyFill="1" applyBorder="1"/>
    <xf numFmtId="15" fontId="15" fillId="0" borderId="0" xfId="0" applyNumberFormat="1" applyFont="1" applyFill="1" applyBorder="1" applyAlignment="1">
      <alignment horizontal="right"/>
    </xf>
    <xf numFmtId="1" fontId="50" fillId="0" borderId="0" xfId="6" applyNumberFormat="1" applyFont="1" applyFill="1" applyBorder="1" applyAlignment="1">
      <alignment horizontal="right" vertical="center" wrapText="1"/>
    </xf>
    <xf numFmtId="1" fontId="20" fillId="0" borderId="0" xfId="15" applyNumberFormat="1" applyFont="1" applyFill="1" applyBorder="1" applyAlignment="1">
      <alignment horizontal="right" vertical="center"/>
    </xf>
    <xf numFmtId="1" fontId="20" fillId="0" borderId="0" xfId="15" applyNumberFormat="1" applyFont="1" applyFill="1" applyBorder="1" applyAlignment="1">
      <alignment horizontal="left" vertical="center" wrapText="1"/>
    </xf>
    <xf numFmtId="1" fontId="20" fillId="0" borderId="0" xfId="13" applyNumberFormat="1" applyFont="1" applyFill="1" applyBorder="1" applyAlignment="1">
      <alignment horizontal="right" vertical="center"/>
    </xf>
    <xf numFmtId="1" fontId="20" fillId="0" borderId="0" xfId="13" applyNumberFormat="1" applyFont="1" applyFill="1" applyBorder="1" applyAlignment="1">
      <alignment horizontal="left" vertical="center" wrapText="1"/>
    </xf>
    <xf numFmtId="1" fontId="20" fillId="0" borderId="0" xfId="16" applyNumberFormat="1" applyFont="1" applyFill="1" applyBorder="1" applyAlignment="1">
      <alignment horizontal="right" vertical="center"/>
    </xf>
    <xf numFmtId="164" fontId="20" fillId="0" borderId="0" xfId="16" applyNumberFormat="1" applyFont="1" applyFill="1" applyBorder="1" applyAlignment="1">
      <alignment horizontal="right" vertical="center"/>
    </xf>
    <xf numFmtId="1" fontId="20" fillId="0" borderId="0" xfId="16" applyNumberFormat="1" applyFont="1" applyFill="1" applyBorder="1" applyAlignment="1">
      <alignment horizontal="left" vertical="center" wrapText="1"/>
    </xf>
    <xf numFmtId="164" fontId="20" fillId="0" borderId="0" xfId="6" applyNumberFormat="1" applyFont="1" applyFill="1" applyBorder="1" applyAlignment="1">
      <alignment horizontal="left" vertical="center" wrapText="1"/>
    </xf>
    <xf numFmtId="0" fontId="5" fillId="10" borderId="22" xfId="0" applyFont="1" applyFill="1" applyBorder="1" applyAlignment="1">
      <alignment horizontal="right"/>
    </xf>
    <xf numFmtId="0" fontId="0" fillId="0" borderId="0" xfId="0" applyFill="1" applyBorder="1" applyAlignment="1"/>
    <xf numFmtId="0" fontId="15" fillId="0" borderId="0" xfId="0" applyFont="1" applyBorder="1" applyAlignment="1">
      <alignment horizontal="center"/>
    </xf>
    <xf numFmtId="167" fontId="18" fillId="9" borderId="0" xfId="4" applyNumberFormat="1" applyFont="1" applyFill="1" applyBorder="1" applyAlignment="1">
      <alignment horizontal="center"/>
    </xf>
    <xf numFmtId="0" fontId="45" fillId="0" borderId="0" xfId="0" applyFont="1" applyBorder="1" applyAlignment="1">
      <alignment horizontal="left"/>
    </xf>
    <xf numFmtId="164" fontId="15" fillId="0" borderId="0" xfId="0" applyNumberFormat="1" applyFont="1" applyBorder="1" applyAlignment="1">
      <alignment horizontal="center"/>
    </xf>
    <xf numFmtId="0" fontId="5" fillId="0" borderId="0" xfId="0" applyFont="1" applyBorder="1" applyAlignment="1">
      <alignment horizontal="right"/>
    </xf>
    <xf numFmtId="1" fontId="18" fillId="0" borderId="0" xfId="0" applyNumberFormat="1" applyFont="1" applyBorder="1" applyAlignment="1"/>
    <xf numFmtId="0" fontId="43" fillId="0" borderId="0" xfId="0" applyFont="1" applyBorder="1" applyAlignment="1"/>
    <xf numFmtId="164" fontId="0" fillId="0" borderId="0" xfId="0" applyNumberFormat="1" applyBorder="1" applyAlignment="1">
      <alignment horizontal="center"/>
    </xf>
    <xf numFmtId="0" fontId="11" fillId="0" borderId="0" xfId="1" applyBorder="1" applyAlignment="1" applyProtection="1"/>
    <xf numFmtId="0" fontId="47" fillId="0" borderId="0" xfId="0" applyFont="1" applyBorder="1"/>
    <xf numFmtId="0" fontId="44" fillId="0" borderId="0" xfId="0" applyFont="1" applyBorder="1"/>
    <xf numFmtId="0" fontId="0" fillId="10" borderId="0" xfId="0" applyFill="1" applyBorder="1" applyAlignment="1">
      <alignment horizontal="right"/>
    </xf>
    <xf numFmtId="0" fontId="7" fillId="0" borderId="0" xfId="0" applyFont="1" applyFill="1" applyAlignment="1">
      <alignment horizontal="right"/>
    </xf>
    <xf numFmtId="0" fontId="0" fillId="0" borderId="0" xfId="0" applyFont="1" applyBorder="1" applyAlignment="1">
      <alignment horizontal="right" vertical="center"/>
    </xf>
    <xf numFmtId="0" fontId="3" fillId="0" borderId="0" xfId="0" applyFont="1" applyAlignment="1">
      <alignment horizontal="center"/>
    </xf>
    <xf numFmtId="17" fontId="7" fillId="0" borderId="0" xfId="0" applyNumberFormat="1" applyFont="1" applyFill="1" applyBorder="1" applyAlignment="1">
      <alignment horizontal="right"/>
    </xf>
    <xf numFmtId="17" fontId="7" fillId="0" borderId="0" xfId="0" applyNumberFormat="1" applyFont="1" applyAlignment="1">
      <alignment horizontal="right"/>
    </xf>
    <xf numFmtId="1" fontId="20" fillId="0" borderId="0" xfId="4" applyNumberFormat="1" applyFont="1" applyFill="1" applyBorder="1" applyAlignment="1">
      <alignment horizontal="right" vertical="top"/>
    </xf>
    <xf numFmtId="1" fontId="38" fillId="0" borderId="0" xfId="0" applyNumberFormat="1" applyFont="1"/>
    <xf numFmtId="0" fontId="15" fillId="0" borderId="0" xfId="0" applyFont="1" applyAlignment="1">
      <alignment horizontal="center" vertical="center"/>
    </xf>
    <xf numFmtId="0" fontId="16" fillId="0" borderId="0" xfId="0" applyFont="1" applyFill="1" applyAlignment="1">
      <alignment horizontal="center" vertical="center"/>
    </xf>
    <xf numFmtId="0" fontId="15" fillId="0" borderId="0" xfId="0" applyFont="1" applyFill="1" applyBorder="1" applyAlignment="1">
      <alignment horizontal="center" vertical="center" wrapText="1"/>
    </xf>
    <xf numFmtId="0" fontId="15" fillId="0" borderId="0" xfId="0" applyFont="1" applyAlignment="1">
      <alignment horizontal="right" vertical="center"/>
    </xf>
    <xf numFmtId="164" fontId="45" fillId="0" borderId="34" xfId="0" applyNumberFormat="1" applyFont="1" applyBorder="1" applyAlignment="1">
      <alignment horizontal="left"/>
    </xf>
    <xf numFmtId="0" fontId="0" fillId="0" borderId="4" xfId="0" applyFill="1" applyBorder="1"/>
    <xf numFmtId="0" fontId="7" fillId="0" borderId="4" xfId="0" applyFont="1" applyFill="1" applyBorder="1" applyAlignment="1">
      <alignment horizontal="center"/>
    </xf>
    <xf numFmtId="0" fontId="7" fillId="0" borderId="4" xfId="0" applyFont="1" applyFill="1" applyBorder="1"/>
    <xf numFmtId="0" fontId="3" fillId="0" borderId="4" xfId="0" applyFont="1" applyFill="1" applyBorder="1" applyAlignment="1">
      <alignment horizontal="center"/>
    </xf>
    <xf numFmtId="0" fontId="0" fillId="0" borderId="4" xfId="0" applyFill="1" applyBorder="1" applyAlignment="1">
      <alignment horizontal="left"/>
    </xf>
    <xf numFmtId="164" fontId="15" fillId="0" borderId="4" xfId="0" applyNumberFormat="1" applyFont="1" applyFill="1" applyBorder="1" applyAlignment="1">
      <alignment horizontal="center"/>
    </xf>
    <xf numFmtId="0" fontId="0" fillId="0" borderId="4" xfId="0" applyFill="1" applyBorder="1" applyAlignment="1">
      <alignment horizontal="center"/>
    </xf>
    <xf numFmtId="0" fontId="0" fillId="0" borderId="4" xfId="0" applyFill="1" applyBorder="1" applyAlignment="1">
      <alignment horizontal="right"/>
    </xf>
    <xf numFmtId="0" fontId="5" fillId="0" borderId="4" xfId="0" applyFont="1" applyFill="1" applyBorder="1" applyAlignment="1">
      <alignment horizontal="right"/>
    </xf>
    <xf numFmtId="164" fontId="45" fillId="0" borderId="22" xfId="0" applyNumberFormat="1" applyFont="1" applyBorder="1" applyAlignment="1">
      <alignment horizontal="left"/>
    </xf>
    <xf numFmtId="0" fontId="0" fillId="0" borderId="24" xfId="0" applyFill="1" applyBorder="1" applyAlignment="1">
      <alignment horizontal="left"/>
    </xf>
    <xf numFmtId="1" fontId="24" fillId="0" borderId="24" xfId="0" applyNumberFormat="1" applyFont="1" applyFill="1" applyBorder="1" applyAlignment="1">
      <alignment horizontal="center" vertical="top"/>
    </xf>
    <xf numFmtId="0" fontId="0" fillId="0" borderId="24" xfId="0" applyFill="1" applyBorder="1" applyAlignment="1">
      <alignment horizontal="center"/>
    </xf>
    <xf numFmtId="0" fontId="0" fillId="0" borderId="24" xfId="0" applyFill="1" applyBorder="1" applyAlignment="1">
      <alignment horizontal="right"/>
    </xf>
    <xf numFmtId="0" fontId="5" fillId="0" borderId="24" xfId="0" applyFont="1" applyFill="1" applyBorder="1" applyAlignment="1">
      <alignment horizontal="right"/>
    </xf>
    <xf numFmtId="164" fontId="45" fillId="0" borderId="4" xfId="0" applyNumberFormat="1" applyFont="1" applyBorder="1" applyAlignment="1">
      <alignment horizontal="left"/>
    </xf>
    <xf numFmtId="164" fontId="45" fillId="0" borderId="24" xfId="0" applyNumberFormat="1" applyFont="1" applyBorder="1" applyAlignment="1">
      <alignment horizontal="left"/>
    </xf>
    <xf numFmtId="164" fontId="7" fillId="0" borderId="4" xfId="0" applyNumberFormat="1" applyFont="1" applyFill="1" applyBorder="1" applyAlignment="1">
      <alignment horizontal="center"/>
    </xf>
    <xf numFmtId="0" fontId="0" fillId="0" borderId="4" xfId="0" applyBorder="1"/>
    <xf numFmtId="0" fontId="3" fillId="0" borderId="4" xfId="0" applyFont="1" applyFill="1" applyBorder="1" applyAlignment="1">
      <alignment horizontal="left"/>
    </xf>
    <xf numFmtId="164" fontId="7" fillId="0" borderId="24" xfId="0" applyNumberFormat="1" applyFont="1" applyFill="1" applyBorder="1" applyAlignment="1">
      <alignment horizontal="center"/>
    </xf>
    <xf numFmtId="0" fontId="3" fillId="0" borderId="24" xfId="0" applyFont="1" applyFill="1" applyBorder="1" applyAlignment="1">
      <alignment horizontal="left"/>
    </xf>
    <xf numFmtId="0" fontId="7" fillId="0" borderId="4" xfId="0" applyFont="1" applyFill="1" applyBorder="1" applyAlignment="1"/>
    <xf numFmtId="0" fontId="7" fillId="0" borderId="4" xfId="0" applyFont="1" applyBorder="1" applyAlignment="1">
      <alignment horizontal="center"/>
    </xf>
    <xf numFmtId="0" fontId="3" fillId="0" borderId="4" xfId="0" applyFont="1" applyFill="1" applyBorder="1"/>
    <xf numFmtId="0" fontId="15" fillId="0" borderId="4" xfId="0" applyFont="1" applyFill="1" applyBorder="1" applyAlignment="1">
      <alignment horizontal="center"/>
    </xf>
    <xf numFmtId="1" fontId="24" fillId="0" borderId="4" xfId="0" applyNumberFormat="1" applyFont="1" applyFill="1" applyBorder="1" applyAlignment="1">
      <alignment horizontal="center" vertical="top"/>
    </xf>
    <xf numFmtId="165" fontId="32" fillId="0" borderId="4" xfId="0" applyNumberFormat="1" applyFont="1" applyFill="1" applyBorder="1" applyAlignment="1">
      <alignment horizontal="right" vertical="top"/>
    </xf>
    <xf numFmtId="0" fontId="7" fillId="0" borderId="24" xfId="0" applyFont="1" applyFill="1" applyBorder="1" applyAlignment="1"/>
    <xf numFmtId="0" fontId="7" fillId="0" borderId="24" xfId="0" applyFont="1" applyBorder="1" applyAlignment="1">
      <alignment horizontal="center"/>
    </xf>
    <xf numFmtId="0" fontId="3" fillId="0" borderId="24" xfId="0" applyFont="1" applyFill="1" applyBorder="1"/>
    <xf numFmtId="0" fontId="15" fillId="0" borderId="24" xfId="0" applyFont="1" applyFill="1" applyBorder="1" applyAlignment="1">
      <alignment horizontal="center"/>
    </xf>
    <xf numFmtId="165" fontId="32" fillId="0" borderId="24" xfId="0" applyNumberFormat="1" applyFont="1" applyFill="1" applyBorder="1" applyAlignment="1">
      <alignment horizontal="right" vertical="top"/>
    </xf>
    <xf numFmtId="1" fontId="0" fillId="0" borderId="4" xfId="0" applyNumberFormat="1" applyFill="1" applyBorder="1" applyAlignment="1">
      <alignment horizontal="right"/>
    </xf>
    <xf numFmtId="0" fontId="16" fillId="0" borderId="0" xfId="0" applyFont="1"/>
    <xf numFmtId="9" fontId="15" fillId="4" borderId="25" xfId="4" applyFont="1" applyFill="1" applyBorder="1" applyAlignment="1">
      <alignment horizontal="right" vertical="center" wrapText="1"/>
    </xf>
    <xf numFmtId="9" fontId="30" fillId="4" borderId="20" xfId="4" applyFont="1" applyFill="1" applyBorder="1" applyAlignment="1">
      <alignment horizontal="right" vertical="center" wrapText="1"/>
    </xf>
    <xf numFmtId="9" fontId="30" fillId="4" borderId="21" xfId="4" applyFont="1" applyFill="1" applyBorder="1" applyAlignment="1">
      <alignment horizontal="right" vertical="center" wrapText="1"/>
    </xf>
    <xf numFmtId="9" fontId="15" fillId="4" borderId="7" xfId="4" applyFont="1" applyFill="1" applyBorder="1" applyAlignment="1">
      <alignment horizontal="center" vertical="center" wrapText="1"/>
    </xf>
    <xf numFmtId="0" fontId="15" fillId="0" borderId="0" xfId="0" applyFont="1" applyAlignment="1">
      <alignment horizontal="center" vertical="center" wrapText="1"/>
    </xf>
    <xf numFmtId="165" fontId="18" fillId="0" borderId="0" xfId="0" applyNumberFormat="1" applyFont="1" applyFill="1" applyBorder="1" applyAlignment="1">
      <alignment horizontal="right" vertical="top"/>
    </xf>
    <xf numFmtId="170" fontId="20" fillId="0" borderId="0" xfId="0" applyNumberFormat="1" applyFont="1" applyFill="1" applyBorder="1" applyAlignment="1">
      <alignment horizontal="right" vertical="top"/>
    </xf>
    <xf numFmtId="0" fontId="15" fillId="0" borderId="0" xfId="0" applyFont="1" applyFill="1" applyBorder="1" applyAlignment="1">
      <alignment horizontal="right"/>
    </xf>
    <xf numFmtId="1" fontId="43" fillId="0" borderId="0" xfId="4" applyNumberFormat="1" applyFont="1" applyFill="1" applyBorder="1" applyAlignment="1">
      <alignment horizontal="right"/>
    </xf>
    <xf numFmtId="0" fontId="43" fillId="0" borderId="0" xfId="0" applyFont="1" applyFill="1" applyBorder="1" applyAlignment="1">
      <alignment horizontal="right"/>
    </xf>
    <xf numFmtId="0" fontId="47" fillId="0" borderId="0" xfId="0" applyFont="1"/>
    <xf numFmtId="0" fontId="24" fillId="0" borderId="4" xfId="0" applyFont="1" applyFill="1" applyBorder="1" applyAlignment="1">
      <alignment horizontal="center" vertical="top"/>
    </xf>
    <xf numFmtId="1" fontId="24" fillId="0" borderId="4" xfId="0" applyNumberFormat="1" applyFont="1" applyFill="1" applyBorder="1" applyAlignment="1">
      <alignment horizontal="right" vertical="top"/>
    </xf>
    <xf numFmtId="0" fontId="24" fillId="0" borderId="24" xfId="0" applyFont="1" applyFill="1" applyBorder="1" applyAlignment="1">
      <alignment horizontal="center" vertical="top"/>
    </xf>
    <xf numFmtId="1" fontId="24" fillId="0" borderId="24" xfId="0" applyNumberFormat="1" applyFont="1" applyFill="1" applyBorder="1" applyAlignment="1">
      <alignment horizontal="right" vertical="top"/>
    </xf>
    <xf numFmtId="0" fontId="46" fillId="0" borderId="0" xfId="0" applyFont="1" applyBorder="1"/>
    <xf numFmtId="0" fontId="15" fillId="0" borderId="0" xfId="0" applyFont="1" applyFill="1" applyBorder="1"/>
    <xf numFmtId="0" fontId="15" fillId="0" borderId="0" xfId="0" applyFont="1" applyBorder="1"/>
    <xf numFmtId="168" fontId="15" fillId="0" borderId="0" xfId="0" applyNumberFormat="1" applyFont="1"/>
    <xf numFmtId="0" fontId="15" fillId="0" borderId="0" xfId="0" applyFont="1" applyFill="1"/>
    <xf numFmtId="164" fontId="45" fillId="0" borderId="0" xfId="0" applyNumberFormat="1" applyFont="1" applyBorder="1"/>
    <xf numFmtId="164" fontId="45" fillId="0" borderId="0" xfId="0" applyNumberFormat="1" applyFont="1" applyFill="1" applyBorder="1"/>
    <xf numFmtId="0" fontId="16" fillId="0" borderId="0" xfId="0" applyFont="1" applyAlignment="1"/>
    <xf numFmtId="0" fontId="45" fillId="0" borderId="0" xfId="0" applyFont="1"/>
    <xf numFmtId="0" fontId="38" fillId="0" borderId="0" xfId="0" applyFont="1" applyBorder="1"/>
    <xf numFmtId="0" fontId="43" fillId="0" borderId="0" xfId="0" applyFont="1" applyBorder="1" applyAlignment="1">
      <alignment horizontal="right"/>
    </xf>
    <xf numFmtId="0" fontId="7" fillId="0" borderId="4" xfId="0" applyFont="1" applyBorder="1" applyAlignment="1">
      <alignment horizontal="left"/>
    </xf>
    <xf numFmtId="1" fontId="5" fillId="0" borderId="4" xfId="0" applyNumberFormat="1" applyFont="1" applyFill="1" applyBorder="1" applyAlignment="1">
      <alignment horizontal="right"/>
    </xf>
    <xf numFmtId="0" fontId="7" fillId="0" borderId="24" xfId="0" applyFont="1" applyBorder="1" applyAlignment="1">
      <alignment horizontal="left"/>
    </xf>
    <xf numFmtId="1" fontId="5" fillId="0" borderId="24" xfId="0" applyNumberFormat="1" applyFont="1" applyFill="1" applyBorder="1" applyAlignment="1">
      <alignment horizontal="right"/>
    </xf>
    <xf numFmtId="164" fontId="43" fillId="0" borderId="0" xfId="0" applyNumberFormat="1" applyFont="1" applyFill="1" applyBorder="1" applyAlignment="1">
      <alignment horizontal="right"/>
    </xf>
    <xf numFmtId="1" fontId="43" fillId="0" borderId="0" xfId="0" applyNumberFormat="1" applyFont="1" applyBorder="1" applyAlignment="1">
      <alignment horizontal="right"/>
    </xf>
    <xf numFmtId="169" fontId="43" fillId="0" borderId="0" xfId="0" applyNumberFormat="1" applyFont="1" applyFill="1" applyBorder="1" applyAlignment="1">
      <alignment horizontal="right" vertical="top"/>
    </xf>
    <xf numFmtId="164" fontId="52" fillId="0" borderId="0" xfId="0" applyNumberFormat="1" applyFont="1" applyBorder="1"/>
    <xf numFmtId="0" fontId="30" fillId="0" borderId="0" xfId="0" applyFont="1" applyFill="1" applyBorder="1" applyAlignment="1">
      <alignment horizontal="left" vertical="top"/>
    </xf>
    <xf numFmtId="1" fontId="44" fillId="0" borderId="0" xfId="0" applyNumberFormat="1" applyFont="1" applyBorder="1"/>
    <xf numFmtId="0" fontId="5" fillId="10" borderId="0" xfId="0" applyFont="1" applyFill="1" applyBorder="1" applyAlignment="1">
      <alignment horizontal="right"/>
    </xf>
    <xf numFmtId="170" fontId="43" fillId="0" borderId="0" xfId="0" applyNumberFormat="1" applyFont="1" applyFill="1" applyBorder="1" applyAlignment="1">
      <alignment horizontal="right" vertical="top"/>
    </xf>
    <xf numFmtId="0" fontId="3" fillId="10" borderId="0" xfId="0" applyFont="1" applyFill="1" applyBorder="1" applyAlignment="1">
      <alignment horizontal="center"/>
    </xf>
    <xf numFmtId="0" fontId="3" fillId="10" borderId="0" xfId="0" applyFont="1" applyFill="1" applyBorder="1"/>
    <xf numFmtId="0" fontId="0" fillId="10" borderId="0" xfId="0" applyFill="1" applyBorder="1" applyAlignment="1">
      <alignment horizontal="left"/>
    </xf>
    <xf numFmtId="0" fontId="43" fillId="10" borderId="0" xfId="0" applyFont="1" applyFill="1" applyBorder="1" applyAlignment="1">
      <alignment horizontal="left"/>
    </xf>
    <xf numFmtId="0" fontId="18" fillId="10" borderId="0" xfId="0" applyFont="1" applyFill="1" applyBorder="1"/>
    <xf numFmtId="165" fontId="20" fillId="10" borderId="0" xfId="0" applyNumberFormat="1" applyFont="1" applyFill="1" applyBorder="1" applyAlignment="1">
      <alignment horizontal="right" vertical="top"/>
    </xf>
    <xf numFmtId="1" fontId="18" fillId="10" borderId="0" xfId="0" applyNumberFormat="1" applyFont="1" applyFill="1" applyBorder="1"/>
    <xf numFmtId="1" fontId="43" fillId="0" borderId="0" xfId="0" applyNumberFormat="1" applyFont="1" applyBorder="1" applyAlignment="1"/>
    <xf numFmtId="164" fontId="15" fillId="0" borderId="0" xfId="0" applyNumberFormat="1" applyFont="1" applyFill="1" applyBorder="1" applyAlignment="1">
      <alignment horizontal="right"/>
    </xf>
    <xf numFmtId="0" fontId="15" fillId="0" borderId="0" xfId="0" applyFont="1" applyBorder="1" applyAlignment="1">
      <alignment horizontal="left" wrapText="1"/>
    </xf>
    <xf numFmtId="0" fontId="15" fillId="0" borderId="0" xfId="0" applyNumberFormat="1" applyFont="1" applyBorder="1"/>
    <xf numFmtId="0" fontId="47" fillId="0" borderId="0" xfId="0" applyFont="1" applyAlignment="1">
      <alignment vertical="center"/>
    </xf>
    <xf numFmtId="0" fontId="47" fillId="0" borderId="0" xfId="0" applyFont="1" applyFill="1"/>
    <xf numFmtId="0" fontId="15" fillId="0" borderId="0" xfId="0" applyFont="1" applyBorder="1" applyAlignment="1">
      <alignment wrapText="1"/>
    </xf>
    <xf numFmtId="0" fontId="15" fillId="0" borderId="0" xfId="0" applyFont="1" applyFill="1" applyBorder="1" applyAlignment="1">
      <alignment wrapText="1"/>
    </xf>
    <xf numFmtId="2" fontId="15" fillId="0" borderId="0" xfId="0" applyNumberFormat="1" applyFont="1" applyBorder="1" applyAlignment="1">
      <alignment horizontal="left"/>
    </xf>
    <xf numFmtId="0" fontId="15" fillId="0" borderId="0" xfId="0" quotePrefix="1" applyFont="1" applyBorder="1"/>
    <xf numFmtId="0" fontId="15" fillId="10" borderId="0" xfId="0" applyFont="1" applyFill="1" applyBorder="1" applyAlignment="1">
      <alignment horizontal="left"/>
    </xf>
    <xf numFmtId="0" fontId="47" fillId="10" borderId="0" xfId="0" applyFont="1" applyFill="1"/>
    <xf numFmtId="0" fontId="42" fillId="0" borderId="0" xfId="0" applyFont="1"/>
    <xf numFmtId="0" fontId="15" fillId="0" borderId="0" xfId="0" quotePrefix="1" applyFont="1"/>
    <xf numFmtId="14" fontId="15" fillId="0" borderId="0" xfId="0" applyNumberFormat="1" applyFont="1" applyAlignment="1">
      <alignment horizontal="left"/>
    </xf>
    <xf numFmtId="0" fontId="41" fillId="0" borderId="0" xfId="1" applyFont="1" applyBorder="1" applyAlignment="1" applyProtection="1">
      <alignment horizontal="center"/>
    </xf>
    <xf numFmtId="0" fontId="16" fillId="0" borderId="0" xfId="0" applyFont="1" applyBorder="1" applyAlignment="1">
      <alignment horizontal="center"/>
    </xf>
    <xf numFmtId="0" fontId="49" fillId="0" borderId="0" xfId="0" applyFont="1" applyBorder="1" applyAlignment="1">
      <alignment horizontal="center"/>
    </xf>
    <xf numFmtId="0" fontId="16" fillId="0" borderId="0" xfId="0" applyFont="1" applyFill="1" applyBorder="1" applyAlignment="1">
      <alignment horizontal="center"/>
    </xf>
    <xf numFmtId="0" fontId="16" fillId="0" borderId="0" xfId="0" applyFont="1" applyBorder="1" applyAlignment="1">
      <alignment horizontal="left" wrapText="1"/>
    </xf>
    <xf numFmtId="0" fontId="31" fillId="10" borderId="0" xfId="0" applyFont="1" applyFill="1" applyBorder="1" applyAlignment="1">
      <alignment horizontal="center"/>
    </xf>
    <xf numFmtId="0" fontId="15" fillId="0" borderId="0" xfId="0" quotePrefix="1" applyFont="1" applyAlignment="1">
      <alignment horizontal="center"/>
    </xf>
    <xf numFmtId="0" fontId="15" fillId="0" borderId="1" xfId="0" applyFont="1" applyBorder="1" applyAlignment="1">
      <alignment horizontal="center"/>
    </xf>
    <xf numFmtId="0" fontId="15" fillId="0" borderId="0" xfId="0" applyFont="1" applyFill="1" applyBorder="1" applyAlignment="1"/>
    <xf numFmtId="0" fontId="16" fillId="0" borderId="0" xfId="0" applyFont="1" applyBorder="1"/>
    <xf numFmtId="0" fontId="15" fillId="10" borderId="0" xfId="0" applyFont="1" applyFill="1"/>
    <xf numFmtId="0" fontId="15" fillId="10" borderId="0" xfId="0" applyFont="1" applyFill="1" applyBorder="1"/>
    <xf numFmtId="0" fontId="15" fillId="0" borderId="4" xfId="0" applyFont="1" applyFill="1" applyBorder="1"/>
    <xf numFmtId="0" fontId="15" fillId="0" borderId="24" xfId="0" applyFont="1" applyFill="1" applyBorder="1"/>
    <xf numFmtId="0" fontId="15" fillId="0" borderId="4" xfId="0" applyFont="1" applyFill="1" applyBorder="1" applyAlignment="1"/>
    <xf numFmtId="0" fontId="30" fillId="0" borderId="4" xfId="0" applyFont="1" applyFill="1" applyBorder="1" applyAlignment="1">
      <alignment horizontal="left" vertical="top"/>
    </xf>
    <xf numFmtId="0" fontId="30" fillId="0" borderId="24" xfId="0" applyFont="1" applyFill="1" applyBorder="1" applyAlignment="1">
      <alignment horizontal="left" vertical="top"/>
    </xf>
    <xf numFmtId="0" fontId="15" fillId="0" borderId="0" xfId="0" applyFont="1" applyBorder="1" applyAlignment="1">
      <alignment horizontal="center" vertical="center"/>
    </xf>
    <xf numFmtId="166" fontId="30" fillId="0" borderId="0" xfId="0" applyNumberFormat="1" applyFont="1" applyBorder="1" applyAlignment="1">
      <alignment horizontal="right" vertical="top"/>
    </xf>
    <xf numFmtId="0" fontId="16" fillId="0" borderId="0" xfId="0" applyFont="1" applyFill="1" applyBorder="1" applyAlignment="1">
      <alignment horizontal="right" wrapText="1"/>
    </xf>
    <xf numFmtId="0" fontId="16" fillId="0" borderId="0" xfId="0" applyFont="1" applyFill="1" applyBorder="1" applyAlignment="1">
      <alignment horizontal="right"/>
    </xf>
    <xf numFmtId="165" fontId="54" fillId="0" borderId="0" xfId="0" applyNumberFormat="1" applyFont="1" applyFill="1" applyBorder="1" applyAlignment="1">
      <alignment horizontal="right" vertical="top"/>
    </xf>
    <xf numFmtId="0" fontId="16" fillId="0" borderId="0" xfId="0" applyFont="1" applyFill="1" applyBorder="1"/>
    <xf numFmtId="1" fontId="16" fillId="0" borderId="0" xfId="0" applyNumberFormat="1" applyFont="1" applyFill="1" applyBorder="1" applyAlignment="1">
      <alignment horizontal="right"/>
    </xf>
    <xf numFmtId="1" fontId="54" fillId="0" borderId="0" xfId="6" applyNumberFormat="1" applyFont="1" applyFill="1" applyBorder="1" applyAlignment="1">
      <alignment horizontal="right" vertical="center" wrapText="1"/>
    </xf>
    <xf numFmtId="0" fontId="16" fillId="0" borderId="24" xfId="0" applyFont="1" applyFill="1" applyBorder="1" applyAlignment="1">
      <alignment horizontal="right"/>
    </xf>
    <xf numFmtId="0" fontId="16" fillId="0" borderId="0" xfId="0" applyFont="1" applyFill="1" applyBorder="1" applyAlignment="1">
      <alignment horizontal="left"/>
    </xf>
    <xf numFmtId="0" fontId="16" fillId="0" borderId="4" xfId="0" applyFont="1" applyFill="1" applyBorder="1" applyAlignment="1">
      <alignment horizontal="left"/>
    </xf>
    <xf numFmtId="0" fontId="16" fillId="0" borderId="24" xfId="0" applyFont="1" applyFill="1" applyBorder="1" applyAlignment="1">
      <alignment horizontal="left"/>
    </xf>
    <xf numFmtId="165" fontId="54" fillId="0" borderId="0" xfId="0" applyNumberFormat="1" applyFont="1" applyFill="1" applyBorder="1" applyAlignment="1">
      <alignment horizontal="left" vertical="top"/>
    </xf>
    <xf numFmtId="165" fontId="54" fillId="0" borderId="4" xfId="0" applyNumberFormat="1" applyFont="1" applyFill="1" applyBorder="1" applyAlignment="1">
      <alignment horizontal="right" vertical="top"/>
    </xf>
    <xf numFmtId="1" fontId="16" fillId="0" borderId="0" xfId="0" applyNumberFormat="1" applyFont="1" applyFill="1" applyBorder="1" applyAlignment="1">
      <alignment horizontal="left"/>
    </xf>
    <xf numFmtId="1" fontId="16" fillId="0" borderId="0" xfId="0" applyNumberFormat="1" applyFont="1" applyBorder="1" applyAlignment="1">
      <alignment horizontal="right"/>
    </xf>
    <xf numFmtId="0" fontId="16" fillId="0" borderId="0" xfId="0" applyFont="1" applyBorder="1" applyAlignment="1">
      <alignment horizontal="left"/>
    </xf>
    <xf numFmtId="165" fontId="54" fillId="0" borderId="4" xfId="0" applyNumberFormat="1" applyFont="1" applyFill="1" applyBorder="1" applyAlignment="1">
      <alignment horizontal="left" vertical="top"/>
    </xf>
    <xf numFmtId="165" fontId="54" fillId="0" borderId="24" xfId="0" applyNumberFormat="1" applyFont="1" applyFill="1" applyBorder="1" applyAlignment="1">
      <alignment horizontal="left" vertical="top"/>
    </xf>
    <xf numFmtId="1" fontId="16" fillId="0" borderId="0" xfId="0" applyNumberFormat="1" applyFont="1" applyFill="1" applyBorder="1" applyAlignment="1">
      <alignment horizontal="center"/>
    </xf>
    <xf numFmtId="0" fontId="16" fillId="10" borderId="0" xfId="0" applyFont="1" applyFill="1" applyBorder="1" applyAlignment="1">
      <alignment horizontal="right"/>
    </xf>
    <xf numFmtId="0" fontId="16" fillId="0" borderId="0" xfId="0" applyFont="1" applyFill="1" applyAlignment="1">
      <alignment horizontal="right"/>
    </xf>
    <xf numFmtId="1" fontId="16" fillId="0" borderId="0" xfId="0" applyNumberFormat="1" applyFont="1" applyFill="1" applyAlignment="1">
      <alignment horizontal="right"/>
    </xf>
    <xf numFmtId="0" fontId="16" fillId="0" borderId="0" xfId="0" quotePrefix="1" applyFont="1"/>
    <xf numFmtId="0" fontId="16" fillId="0" borderId="0" xfId="0" applyFont="1" applyFill="1"/>
    <xf numFmtId="0" fontId="15" fillId="0" borderId="4" xfId="0" applyFont="1" applyBorder="1"/>
    <xf numFmtId="0" fontId="15" fillId="0" borderId="24" xfId="0" applyFont="1" applyBorder="1"/>
    <xf numFmtId="164" fontId="46" fillId="10" borderId="0" xfId="0" applyNumberFormat="1" applyFont="1" applyFill="1" applyBorder="1" applyAlignment="1">
      <alignment horizontal="left"/>
    </xf>
    <xf numFmtId="167" fontId="18" fillId="0" borderId="0" xfId="4" applyNumberFormat="1" applyFont="1" applyFill="1" applyBorder="1" applyAlignment="1">
      <alignment horizontal="center"/>
    </xf>
    <xf numFmtId="1" fontId="38" fillId="0" borderId="0" xfId="0" applyNumberFormat="1" applyFont="1" applyBorder="1"/>
    <xf numFmtId="1" fontId="24" fillId="0" borderId="0" xfId="0" applyNumberFormat="1" applyFont="1" applyFill="1" applyBorder="1" applyAlignment="1">
      <alignment horizontal="left" vertical="top"/>
    </xf>
    <xf numFmtId="1" fontId="43" fillId="0" borderId="0" xfId="0" applyNumberFormat="1" applyFont="1"/>
    <xf numFmtId="0" fontId="0" fillId="0" borderId="0" xfId="0" applyFont="1" applyFill="1" applyBorder="1" applyAlignment="1">
      <alignment horizontal="left"/>
    </xf>
    <xf numFmtId="0" fontId="3" fillId="0" borderId="0" xfId="0" applyFont="1" applyBorder="1" applyAlignment="1">
      <alignment horizontal="left"/>
    </xf>
    <xf numFmtId="1" fontId="55" fillId="0" borderId="0" xfId="0" applyNumberFormat="1" applyFont="1"/>
    <xf numFmtId="164" fontId="18" fillId="0" borderId="0" xfId="0" applyNumberFormat="1" applyFont="1"/>
    <xf numFmtId="0" fontId="43" fillId="0" borderId="0" xfId="0" applyFont="1"/>
    <xf numFmtId="0" fontId="11" fillId="0" borderId="0" xfId="1" applyAlignment="1" applyProtection="1">
      <alignment horizontal="center"/>
    </xf>
    <xf numFmtId="0" fontId="41" fillId="0" borderId="0" xfId="1" applyFont="1" applyFill="1" applyBorder="1" applyAlignment="1" applyProtection="1"/>
    <xf numFmtId="165" fontId="56" fillId="0" borderId="0" xfId="0" applyNumberFormat="1" applyFont="1" applyFill="1" applyBorder="1" applyAlignment="1">
      <alignment horizontal="right" vertical="top"/>
    </xf>
    <xf numFmtId="1" fontId="16" fillId="0" borderId="24" xfId="0" applyNumberFormat="1" applyFont="1" applyFill="1" applyBorder="1" applyAlignment="1">
      <alignment horizontal="left"/>
    </xf>
    <xf numFmtId="0" fontId="3" fillId="0" borderId="0" xfId="0" applyFont="1" applyAlignment="1">
      <alignment horizontal="left"/>
    </xf>
    <xf numFmtId="0" fontId="49" fillId="0" borderId="0" xfId="0" applyFont="1" applyAlignment="1">
      <alignment horizontal="center"/>
    </xf>
    <xf numFmtId="164" fontId="15" fillId="0" borderId="0" xfId="0" applyNumberFormat="1" applyFont="1" applyBorder="1"/>
    <xf numFmtId="167" fontId="15" fillId="0" borderId="0" xfId="0" applyNumberFormat="1" applyFont="1" applyAlignment="1">
      <alignment horizontal="right"/>
    </xf>
    <xf numFmtId="167" fontId="15" fillId="9" borderId="0" xfId="0" applyNumberFormat="1" applyFont="1" applyFill="1" applyBorder="1" applyAlignment="1">
      <alignment horizontal="center" vertical="center" wrapText="1"/>
    </xf>
    <xf numFmtId="167" fontId="15" fillId="4" borderId="7" xfId="4" applyNumberFormat="1" applyFont="1" applyFill="1" applyBorder="1" applyAlignment="1">
      <alignment horizontal="center" vertical="center" wrapText="1"/>
    </xf>
    <xf numFmtId="167" fontId="15" fillId="4" borderId="0" xfId="4" applyNumberFormat="1" applyFont="1" applyFill="1" applyBorder="1" applyAlignment="1">
      <alignment horizontal="center" vertical="center" wrapText="1"/>
    </xf>
    <xf numFmtId="167" fontId="18" fillId="0" borderId="0" xfId="0" applyNumberFormat="1" applyFont="1" applyBorder="1" applyAlignment="1">
      <alignment horizontal="right"/>
    </xf>
    <xf numFmtId="167" fontId="18" fillId="0" borderId="0" xfId="0" applyNumberFormat="1" applyFont="1" applyFill="1" applyBorder="1" applyAlignment="1">
      <alignment horizontal="right"/>
    </xf>
    <xf numFmtId="167" fontId="0" fillId="0" borderId="0" xfId="0" applyNumberFormat="1" applyFill="1" applyBorder="1"/>
    <xf numFmtId="167" fontId="20" fillId="0" borderId="0" xfId="16" applyNumberFormat="1" applyFont="1" applyFill="1" applyBorder="1" applyAlignment="1">
      <alignment horizontal="right" vertical="center"/>
    </xf>
    <xf numFmtId="167" fontId="20" fillId="0" borderId="0" xfId="16" applyNumberFormat="1" applyFont="1" applyFill="1" applyBorder="1" applyAlignment="1">
      <alignment horizontal="left" vertical="center" wrapText="1"/>
    </xf>
    <xf numFmtId="167" fontId="18" fillId="0" borderId="0" xfId="0" applyNumberFormat="1" applyFont="1" applyBorder="1"/>
    <xf numFmtId="167" fontId="44" fillId="0" borderId="0" xfId="0" applyNumberFormat="1" applyFont="1" applyBorder="1" applyAlignment="1">
      <alignment horizontal="right"/>
    </xf>
    <xf numFmtId="167" fontId="20" fillId="0" borderId="0" xfId="15" applyNumberFormat="1" applyFont="1" applyFill="1" applyBorder="1" applyAlignment="1">
      <alignment horizontal="right" vertical="center"/>
    </xf>
    <xf numFmtId="167" fontId="20" fillId="0" borderId="0" xfId="15" applyNumberFormat="1" applyFont="1" applyFill="1" applyBorder="1" applyAlignment="1">
      <alignment horizontal="left" vertical="center" wrapText="1"/>
    </xf>
    <xf numFmtId="167" fontId="18" fillId="0" borderId="0" xfId="0" applyNumberFormat="1" applyFont="1" applyBorder="1" applyAlignment="1"/>
    <xf numFmtId="167" fontId="18" fillId="0" borderId="0" xfId="0" applyNumberFormat="1" applyFont="1" applyAlignment="1">
      <alignment horizontal="right"/>
    </xf>
    <xf numFmtId="167" fontId="18" fillId="10" borderId="0" xfId="0" applyNumberFormat="1" applyFont="1" applyFill="1" applyAlignment="1">
      <alignment horizontal="right"/>
    </xf>
    <xf numFmtId="167" fontId="18" fillId="10" borderId="0" xfId="0" applyNumberFormat="1" applyFont="1" applyFill="1" applyBorder="1" applyAlignment="1">
      <alignment horizontal="right"/>
    </xf>
    <xf numFmtId="167" fontId="18" fillId="0" borderId="0" xfId="0" applyNumberFormat="1" applyFont="1" applyFill="1" applyAlignment="1">
      <alignment horizontal="right"/>
    </xf>
    <xf numFmtId="0" fontId="47" fillId="0" borderId="0" xfId="0" applyFont="1" applyAlignment="1">
      <alignment wrapText="1"/>
    </xf>
    <xf numFmtId="1" fontId="29" fillId="0" borderId="0" xfId="0" applyNumberFormat="1" applyFont="1" applyFill="1" applyBorder="1" applyAlignment="1">
      <alignment horizontal="left"/>
    </xf>
    <xf numFmtId="0" fontId="5" fillId="10" borderId="0" xfId="0" applyFont="1" applyFill="1"/>
    <xf numFmtId="0" fontId="15" fillId="0" borderId="0" xfId="0" applyFont="1" applyFill="1" applyBorder="1" applyAlignment="1">
      <alignment horizontal="center" vertical="top" wrapText="1"/>
    </xf>
    <xf numFmtId="0" fontId="16" fillId="0" borderId="0" xfId="0" applyFont="1" applyFill="1" applyBorder="1" applyAlignment="1">
      <alignment horizontal="center" vertical="top" wrapText="1"/>
    </xf>
    <xf numFmtId="1" fontId="3" fillId="0" borderId="0" xfId="0" applyNumberFormat="1" applyFont="1"/>
    <xf numFmtId="0" fontId="49" fillId="0" borderId="0" xfId="0" applyFont="1" applyFill="1" applyBorder="1" applyAlignment="1">
      <alignment horizontal="center"/>
    </xf>
    <xf numFmtId="0" fontId="16" fillId="0" borderId="3" xfId="0" applyFont="1" applyFill="1" applyBorder="1" applyAlignment="1">
      <alignment horizontal="left"/>
    </xf>
    <xf numFmtId="0" fontId="16" fillId="0" borderId="7" xfId="0" applyFont="1" applyFill="1" applyBorder="1" applyAlignment="1">
      <alignment horizontal="left"/>
    </xf>
    <xf numFmtId="0" fontId="57" fillId="0" borderId="0" xfId="0" applyFont="1"/>
    <xf numFmtId="167" fontId="15" fillId="0" borderId="0" xfId="0" applyNumberFormat="1" applyFont="1" applyFill="1" applyAlignment="1">
      <alignment horizontal="right"/>
    </xf>
    <xf numFmtId="167" fontId="15" fillId="0" borderId="7" xfId="4" applyNumberFormat="1" applyFont="1" applyFill="1" applyBorder="1" applyAlignment="1">
      <alignment horizontal="center" vertical="center" wrapText="1"/>
    </xf>
    <xf numFmtId="167" fontId="15" fillId="0" borderId="0" xfId="4" applyNumberFormat="1" applyFont="1" applyFill="1" applyBorder="1" applyAlignment="1">
      <alignment horizontal="center" vertical="center" wrapText="1"/>
    </xf>
    <xf numFmtId="167" fontId="16" fillId="0" borderId="0" xfId="0" applyNumberFormat="1" applyFont="1" applyFill="1" applyBorder="1" applyAlignment="1">
      <alignment horizontal="left" vertical="center"/>
    </xf>
    <xf numFmtId="0" fontId="15" fillId="0" borderId="0" xfId="0" applyFont="1" applyAlignment="1">
      <alignment vertical="top" wrapText="1"/>
    </xf>
    <xf numFmtId="167" fontId="15" fillId="0" borderId="0" xfId="0" applyNumberFormat="1" applyFont="1" applyFill="1" applyBorder="1" applyAlignment="1">
      <alignment horizontal="center" vertical="top" wrapText="1"/>
    </xf>
    <xf numFmtId="164" fontId="18" fillId="0" borderId="0" xfId="0" applyNumberFormat="1" applyFont="1" applyBorder="1"/>
    <xf numFmtId="1" fontId="24" fillId="0" borderId="0" xfId="0" applyNumberFormat="1" applyFont="1" applyFill="1" applyBorder="1" applyAlignment="1">
      <alignment horizontal="center"/>
    </xf>
    <xf numFmtId="0" fontId="0" fillId="0" borderId="4" xfId="0" applyBorder="1" applyAlignment="1">
      <alignment horizontal="left"/>
    </xf>
    <xf numFmtId="1" fontId="16" fillId="0" borderId="4" xfId="0" applyNumberFormat="1" applyFont="1" applyFill="1" applyBorder="1" applyAlignment="1">
      <alignment horizontal="left"/>
    </xf>
    <xf numFmtId="0" fontId="0" fillId="0" borderId="24" xfId="0" applyBorder="1" applyAlignment="1">
      <alignment horizontal="left"/>
    </xf>
    <xf numFmtId="1" fontId="24" fillId="0" borderId="24" xfId="0" applyNumberFormat="1" applyFont="1" applyFill="1" applyBorder="1" applyAlignment="1">
      <alignment horizontal="center"/>
    </xf>
    <xf numFmtId="0" fontId="16" fillId="4" borderId="0" xfId="0" applyFont="1" applyFill="1" applyBorder="1" applyAlignment="1">
      <alignment horizontal="center" vertical="center" wrapText="1"/>
    </xf>
    <xf numFmtId="0" fontId="16" fillId="0" borderId="0" xfId="0" applyFont="1" applyFill="1" applyBorder="1" applyAlignment="1">
      <alignment horizontal="center" wrapText="1"/>
    </xf>
    <xf numFmtId="165" fontId="54" fillId="0" borderId="0" xfId="0" applyNumberFormat="1" applyFont="1" applyFill="1" applyBorder="1" applyAlignment="1">
      <alignment horizontal="center" vertical="top"/>
    </xf>
    <xf numFmtId="1" fontId="54" fillId="0" borderId="0" xfId="6" applyNumberFormat="1" applyFont="1" applyFill="1" applyBorder="1" applyAlignment="1">
      <alignment horizontal="center" vertical="center" wrapText="1"/>
    </xf>
    <xf numFmtId="0" fontId="16" fillId="0" borderId="4" xfId="0" applyFont="1" applyFill="1" applyBorder="1" applyAlignment="1">
      <alignment horizontal="center"/>
    </xf>
    <xf numFmtId="0" fontId="16" fillId="0" borderId="24" xfId="0" applyFont="1" applyFill="1" applyBorder="1" applyAlignment="1">
      <alignment horizontal="center"/>
    </xf>
    <xf numFmtId="165" fontId="54" fillId="0" borderId="4" xfId="0" applyNumberFormat="1" applyFont="1" applyFill="1" applyBorder="1" applyAlignment="1">
      <alignment horizontal="center" vertical="top"/>
    </xf>
    <xf numFmtId="1" fontId="16" fillId="0" borderId="4" xfId="0" applyNumberFormat="1" applyFont="1" applyFill="1" applyBorder="1" applyAlignment="1">
      <alignment horizontal="center"/>
    </xf>
    <xf numFmtId="1" fontId="16" fillId="0" borderId="24" xfId="0" applyNumberFormat="1" applyFont="1" applyFill="1" applyBorder="1" applyAlignment="1">
      <alignment horizontal="center"/>
    </xf>
    <xf numFmtId="1" fontId="16" fillId="0" borderId="0" xfId="0" applyNumberFormat="1" applyFont="1" applyBorder="1" applyAlignment="1">
      <alignment horizontal="center"/>
    </xf>
    <xf numFmtId="165" fontId="54" fillId="0" borderId="24" xfId="0" applyNumberFormat="1" applyFont="1" applyFill="1" applyBorder="1" applyAlignment="1">
      <alignment horizontal="center" vertical="top"/>
    </xf>
    <xf numFmtId="0" fontId="16" fillId="10" borderId="0" xfId="0" applyFont="1" applyFill="1" applyBorder="1" applyAlignment="1">
      <alignment horizontal="center"/>
    </xf>
    <xf numFmtId="1" fontId="16" fillId="0" borderId="0" xfId="0" applyNumberFormat="1" applyFont="1" applyFill="1" applyAlignment="1">
      <alignment horizontal="center"/>
    </xf>
    <xf numFmtId="0" fontId="16" fillId="0" borderId="0" xfId="0" quotePrefix="1" applyFont="1" applyAlignment="1">
      <alignment horizontal="center"/>
    </xf>
    <xf numFmtId="165" fontId="54" fillId="0" borderId="24" xfId="0" applyNumberFormat="1" applyFont="1" applyFill="1" applyBorder="1" applyAlignment="1">
      <alignment horizontal="right" vertical="top"/>
    </xf>
    <xf numFmtId="0" fontId="49" fillId="0" borderId="0" xfId="0" applyFont="1" applyFill="1" applyBorder="1" applyAlignment="1">
      <alignment horizontal="left" vertical="center"/>
    </xf>
    <xf numFmtId="0" fontId="15" fillId="11" borderId="0" xfId="0" applyFont="1" applyFill="1" applyBorder="1" applyAlignment="1">
      <alignment horizontal="right" vertical="top" wrapText="1"/>
    </xf>
    <xf numFmtId="164" fontId="0" fillId="0" borderId="0" xfId="0" applyNumberFormat="1" applyFill="1" applyBorder="1" applyAlignment="1">
      <alignment horizontal="right"/>
    </xf>
    <xf numFmtId="0" fontId="24" fillId="0" borderId="0" xfId="0" applyFont="1" applyFill="1" applyBorder="1" applyAlignment="1">
      <alignment horizontal="right" vertical="top"/>
    </xf>
    <xf numFmtId="0" fontId="3" fillId="0" borderId="0" xfId="0" applyFont="1" applyFill="1" applyBorder="1" applyAlignment="1">
      <alignment horizontal="right"/>
    </xf>
    <xf numFmtId="1" fontId="0" fillId="10" borderId="0" xfId="0" applyNumberFormat="1" applyFill="1" applyBorder="1" applyAlignment="1">
      <alignment horizontal="right"/>
    </xf>
    <xf numFmtId="0" fontId="11" fillId="0" borderId="0" xfId="1" applyBorder="1" applyAlignment="1" applyProtection="1">
      <alignment wrapText="1"/>
    </xf>
    <xf numFmtId="0" fontId="15" fillId="4" borderId="7" xfId="0" applyFont="1" applyFill="1" applyBorder="1" applyAlignment="1">
      <alignment horizontal="left"/>
    </xf>
    <xf numFmtId="0" fontId="15" fillId="4" borderId="0" xfId="0" applyFont="1" applyFill="1" applyBorder="1" applyAlignment="1">
      <alignment horizontal="left"/>
    </xf>
    <xf numFmtId="0" fontId="24" fillId="0" borderId="4" xfId="0" applyFont="1" applyFill="1" applyBorder="1" applyAlignment="1">
      <alignment horizontal="left"/>
    </xf>
    <xf numFmtId="0" fontId="24" fillId="0" borderId="24" xfId="0" applyFont="1" applyFill="1" applyBorder="1" applyAlignment="1">
      <alignment horizontal="left"/>
    </xf>
    <xf numFmtId="0" fontId="4" fillId="10" borderId="0" xfId="0" applyFont="1" applyFill="1" applyBorder="1" applyAlignment="1"/>
    <xf numFmtId="0" fontId="23" fillId="0" borderId="0" xfId="0" applyFont="1" applyBorder="1" applyAlignment="1">
      <alignment horizontal="left" wrapText="1"/>
    </xf>
    <xf numFmtId="0" fontId="15" fillId="4" borderId="7" xfId="0" applyFont="1" applyFill="1" applyBorder="1" applyAlignment="1">
      <alignment horizontal="center" wrapText="1"/>
    </xf>
    <xf numFmtId="0" fontId="0" fillId="0" borderId="4" xfId="0" applyFill="1" applyBorder="1" applyAlignment="1"/>
    <xf numFmtId="0" fontId="0" fillId="0" borderId="24" xfId="0" applyFill="1" applyBorder="1" applyAlignment="1"/>
    <xf numFmtId="0" fontId="0" fillId="0" borderId="4" xfId="0" applyBorder="1" applyAlignment="1"/>
    <xf numFmtId="0" fontId="0" fillId="0" borderId="24" xfId="0" applyBorder="1" applyAlignment="1"/>
    <xf numFmtId="0" fontId="3" fillId="0" borderId="4" xfId="0" applyFont="1" applyFill="1" applyBorder="1" applyAlignment="1"/>
    <xf numFmtId="0" fontId="3" fillId="0" borderId="24" xfId="0" applyFont="1" applyFill="1" applyBorder="1" applyAlignment="1"/>
    <xf numFmtId="0" fontId="0" fillId="0" borderId="0" xfId="0" applyFont="1" applyFill="1" applyBorder="1" applyAlignment="1"/>
    <xf numFmtId="0" fontId="0" fillId="10" borderId="0" xfId="0" applyFill="1" applyAlignment="1"/>
    <xf numFmtId="0" fontId="7" fillId="0" borderId="0" xfId="0" applyFont="1" applyFill="1" applyAlignment="1"/>
    <xf numFmtId="0" fontId="0" fillId="10" borderId="0" xfId="0" applyFill="1" applyBorder="1" applyAlignment="1"/>
    <xf numFmtId="0" fontId="0" fillId="0" borderId="0" xfId="0" applyFont="1" applyBorder="1" applyAlignment="1">
      <alignment horizontal="center"/>
    </xf>
    <xf numFmtId="166" fontId="23" fillId="0" borderId="0" xfId="0" applyNumberFormat="1" applyFont="1" applyBorder="1" applyAlignment="1">
      <alignment horizontal="right"/>
    </xf>
    <xf numFmtId="0" fontId="15" fillId="0" borderId="0" xfId="0" applyFont="1" applyAlignment="1">
      <alignment wrapText="1"/>
    </xf>
    <xf numFmtId="0" fontId="15" fillId="4" borderId="0" xfId="0" applyFont="1" applyFill="1" applyBorder="1" applyAlignment="1">
      <alignment horizontal="center" wrapText="1"/>
    </xf>
    <xf numFmtId="0" fontId="0" fillId="0" borderId="4" xfId="0" applyFont="1" applyFill="1" applyBorder="1" applyAlignment="1"/>
    <xf numFmtId="0" fontId="0" fillId="0" borderId="24" xfId="0" applyFont="1" applyFill="1" applyBorder="1" applyAlignment="1"/>
    <xf numFmtId="0" fontId="41" fillId="0" borderId="7" xfId="1" applyFont="1" applyBorder="1" applyAlignment="1" applyProtection="1">
      <alignment horizontal="left"/>
    </xf>
    <xf numFmtId="0" fontId="0" fillId="0" borderId="0" xfId="0" applyFont="1" applyFill="1" applyBorder="1" applyAlignment="1">
      <alignment horizontal="center"/>
    </xf>
    <xf numFmtId="0" fontId="16" fillId="0" borderId="0" xfId="0" applyFont="1" applyFill="1" applyBorder="1" applyAlignment="1">
      <alignment horizontal="right" vertical="center" wrapText="1"/>
    </xf>
    <xf numFmtId="1" fontId="0" fillId="0" borderId="7" xfId="0" applyNumberFormat="1" applyFill="1" applyBorder="1" applyAlignment="1">
      <alignment horizontal="right"/>
    </xf>
    <xf numFmtId="0" fontId="16" fillId="0" borderId="7" xfId="0" applyFont="1" applyFill="1" applyBorder="1" applyAlignment="1">
      <alignment horizontal="center"/>
    </xf>
    <xf numFmtId="0" fontId="49" fillId="0" borderId="0" xfId="0" applyFont="1" applyFill="1" applyBorder="1" applyAlignment="1">
      <alignment horizontal="left"/>
    </xf>
    <xf numFmtId="171" fontId="20" fillId="0" borderId="0" xfId="0" applyNumberFormat="1" applyFont="1" applyFill="1" applyBorder="1" applyAlignment="1">
      <alignment horizontal="right" vertical="top"/>
    </xf>
    <xf numFmtId="0" fontId="3" fillId="0" borderId="0" xfId="0" applyFont="1" applyBorder="1" applyAlignment="1">
      <alignment horizontal="right"/>
    </xf>
    <xf numFmtId="164" fontId="15" fillId="0" borderId="0" xfId="0" applyNumberFormat="1" applyFont="1" applyBorder="1" applyAlignment="1">
      <alignment horizontal="right"/>
    </xf>
    <xf numFmtId="0" fontId="42" fillId="0" borderId="0" xfId="0" applyFont="1" applyBorder="1" applyAlignment="1">
      <alignment horizontal="right"/>
    </xf>
    <xf numFmtId="0" fontId="15" fillId="10" borderId="0" xfId="0" applyFont="1" applyFill="1" applyAlignment="1">
      <alignment horizontal="right"/>
    </xf>
    <xf numFmtId="0" fontId="15" fillId="0" borderId="0" xfId="0" applyFont="1" applyFill="1" applyBorder="1" applyAlignment="1">
      <alignment horizontal="right" vertical="center"/>
    </xf>
    <xf numFmtId="0" fontId="3" fillId="0" borderId="0" xfId="0" applyFont="1"/>
    <xf numFmtId="9" fontId="18" fillId="0" borderId="0" xfId="0" applyNumberFormat="1" applyFont="1" applyFill="1" applyBorder="1" applyAlignment="1">
      <alignment horizontal="right"/>
    </xf>
    <xf numFmtId="9" fontId="0" fillId="0" borderId="0" xfId="0" applyNumberFormat="1" applyFill="1" applyBorder="1"/>
    <xf numFmtId="9" fontId="20" fillId="0" borderId="0" xfId="16" applyNumberFormat="1" applyFont="1" applyFill="1" applyBorder="1" applyAlignment="1">
      <alignment horizontal="right" vertical="center"/>
    </xf>
    <xf numFmtId="9" fontId="20" fillId="0" borderId="0" xfId="16" applyNumberFormat="1" applyFont="1" applyFill="1" applyBorder="1" applyAlignment="1">
      <alignment horizontal="left" vertical="center" wrapText="1"/>
    </xf>
    <xf numFmtId="9" fontId="18" fillId="0" borderId="0" xfId="4" applyNumberFormat="1" applyFont="1" applyFill="1" applyBorder="1" applyAlignment="1">
      <alignment horizontal="center"/>
    </xf>
    <xf numFmtId="9" fontId="0" fillId="0" borderId="0" xfId="0" applyNumberFormat="1" applyBorder="1"/>
    <xf numFmtId="9" fontId="18" fillId="0" borderId="0" xfId="0" applyNumberFormat="1" applyFont="1" applyFill="1" applyBorder="1"/>
    <xf numFmtId="9" fontId="44" fillId="0" borderId="0" xfId="0" applyNumberFormat="1" applyFont="1" applyFill="1" applyBorder="1" applyAlignment="1">
      <alignment horizontal="right"/>
    </xf>
    <xf numFmtId="9" fontId="20" fillId="0" borderId="0" xfId="15" applyNumberFormat="1" applyFont="1" applyFill="1" applyBorder="1" applyAlignment="1">
      <alignment horizontal="right" vertical="center"/>
    </xf>
    <xf numFmtId="9" fontId="20" fillId="0" borderId="0" xfId="15" applyNumberFormat="1" applyFont="1" applyFill="1" applyBorder="1" applyAlignment="1">
      <alignment horizontal="left" vertical="center" wrapText="1"/>
    </xf>
    <xf numFmtId="9" fontId="18" fillId="0" borderId="0" xfId="0" applyNumberFormat="1" applyFont="1" applyFill="1" applyBorder="1" applyAlignment="1"/>
    <xf numFmtId="9" fontId="18" fillId="0" borderId="0" xfId="0" applyNumberFormat="1" applyFont="1" applyFill="1" applyAlignment="1">
      <alignment horizontal="right"/>
    </xf>
    <xf numFmtId="164" fontId="45" fillId="0" borderId="9" xfId="0" applyNumberFormat="1" applyFont="1" applyBorder="1" applyAlignment="1">
      <alignment horizontal="left"/>
    </xf>
    <xf numFmtId="0" fontId="7" fillId="0" borderId="3" xfId="0" applyFont="1" applyFill="1" applyBorder="1" applyAlignment="1"/>
    <xf numFmtId="0" fontId="7" fillId="0" borderId="3" xfId="0" applyFont="1" applyBorder="1" applyAlignment="1">
      <alignment horizontal="center"/>
    </xf>
    <xf numFmtId="0" fontId="15" fillId="0" borderId="3" xfId="0" applyFont="1" applyFill="1" applyBorder="1"/>
    <xf numFmtId="0" fontId="30" fillId="0" borderId="3" xfId="0" applyFont="1" applyFill="1" applyBorder="1" applyAlignment="1">
      <alignment horizontal="left" vertical="top"/>
    </xf>
    <xf numFmtId="0" fontId="0" fillId="0" borderId="3" xfId="0" applyFill="1" applyBorder="1" applyAlignment="1">
      <alignment horizontal="center"/>
    </xf>
    <xf numFmtId="0" fontId="0" fillId="0" borderId="3" xfId="0" applyFill="1" applyBorder="1"/>
    <xf numFmtId="0" fontId="24" fillId="0" borderId="3" xfId="0" applyFont="1" applyFill="1" applyBorder="1" applyAlignment="1">
      <alignment horizontal="left"/>
    </xf>
    <xf numFmtId="0" fontId="0" fillId="0" borderId="3" xfId="0" applyFill="1" applyBorder="1" applyAlignment="1"/>
    <xf numFmtId="0" fontId="15" fillId="0" borderId="3" xfId="0" applyFont="1" applyFill="1" applyBorder="1" applyAlignment="1">
      <alignment horizontal="center"/>
    </xf>
    <xf numFmtId="1" fontId="24" fillId="0" borderId="3" xfId="0" applyNumberFormat="1" applyFont="1" applyFill="1" applyBorder="1" applyAlignment="1">
      <alignment horizontal="center" vertical="top"/>
    </xf>
    <xf numFmtId="0" fontId="3" fillId="0" borderId="3" xfId="0" applyFont="1" applyFill="1" applyBorder="1" applyAlignment="1">
      <alignment horizontal="center"/>
    </xf>
    <xf numFmtId="0" fontId="0" fillId="0" borderId="3" xfId="0" applyFill="1" applyBorder="1" applyAlignment="1">
      <alignment horizontal="right"/>
    </xf>
    <xf numFmtId="0" fontId="0" fillId="0" borderId="3" xfId="0" applyBorder="1"/>
    <xf numFmtId="0" fontId="5" fillId="0" borderId="3" xfId="0" applyFont="1" applyBorder="1"/>
    <xf numFmtId="0" fontId="16" fillId="0" borderId="3" xfId="0" applyFont="1" applyBorder="1" applyAlignment="1">
      <alignment horizontal="center"/>
    </xf>
    <xf numFmtId="0" fontId="16" fillId="0" borderId="3" xfId="0" applyFont="1" applyBorder="1"/>
    <xf numFmtId="1" fontId="0" fillId="0" borderId="15" xfId="0" applyNumberFormat="1" applyFill="1" applyBorder="1" applyAlignment="1">
      <alignment horizontal="right"/>
    </xf>
    <xf numFmtId="164" fontId="45" fillId="0" borderId="16" xfId="0" applyNumberFormat="1" applyFont="1" applyBorder="1" applyAlignment="1">
      <alignment horizontal="left"/>
    </xf>
    <xf numFmtId="0" fontId="7" fillId="0" borderId="7" xfId="0" applyFont="1" applyFill="1" applyBorder="1" applyAlignment="1"/>
    <xf numFmtId="0" fontId="15" fillId="0" borderId="7" xfId="0" applyFont="1" applyFill="1" applyBorder="1"/>
    <xf numFmtId="0" fontId="30" fillId="0" borderId="7" xfId="0" applyFont="1" applyFill="1" applyBorder="1" applyAlignment="1">
      <alignment horizontal="left" vertical="top"/>
    </xf>
    <xf numFmtId="0" fontId="0" fillId="0" borderId="7" xfId="0" applyFill="1" applyBorder="1" applyAlignment="1">
      <alignment horizontal="center"/>
    </xf>
    <xf numFmtId="0" fontId="0" fillId="0" borderId="7" xfId="0" applyFill="1" applyBorder="1"/>
    <xf numFmtId="0" fontId="24" fillId="0" borderId="7" xfId="0" applyFont="1" applyFill="1" applyBorder="1" applyAlignment="1">
      <alignment horizontal="left"/>
    </xf>
    <xf numFmtId="0" fontId="0" fillId="0" borderId="7" xfId="0" applyFill="1" applyBorder="1" applyAlignment="1"/>
    <xf numFmtId="0" fontId="15" fillId="0" borderId="7" xfId="0" applyFont="1" applyFill="1" applyBorder="1" applyAlignment="1">
      <alignment horizontal="center"/>
    </xf>
    <xf numFmtId="0" fontId="3" fillId="0" borderId="7" xfId="0" applyFont="1" applyFill="1" applyBorder="1" applyAlignment="1">
      <alignment horizontal="center"/>
    </xf>
    <xf numFmtId="0" fontId="0" fillId="0" borderId="7" xfId="0" applyFill="1" applyBorder="1" applyAlignment="1">
      <alignment horizontal="right"/>
    </xf>
    <xf numFmtId="0" fontId="0" fillId="0" borderId="7" xfId="0" applyBorder="1"/>
    <xf numFmtId="0" fontId="5" fillId="0" borderId="7" xfId="0" applyFont="1" applyBorder="1"/>
    <xf numFmtId="0" fontId="16" fillId="0" borderId="7" xfId="0" applyFont="1" applyBorder="1" applyAlignment="1">
      <alignment horizontal="center"/>
    </xf>
    <xf numFmtId="0" fontId="16" fillId="0" borderId="7" xfId="0" applyFont="1" applyBorder="1"/>
    <xf numFmtId="1" fontId="0" fillId="0" borderId="36" xfId="0" applyNumberFormat="1" applyFill="1" applyBorder="1" applyAlignment="1">
      <alignment horizontal="right"/>
    </xf>
    <xf numFmtId="0" fontId="15" fillId="0" borderId="0" xfId="0" applyFont="1" applyFill="1" applyBorder="1" applyAlignment="1">
      <alignment horizontal="center" vertical="center" wrapText="1"/>
    </xf>
    <xf numFmtId="0" fontId="30" fillId="0" borderId="31" xfId="6" applyFont="1" applyBorder="1" applyAlignment="1">
      <alignment horizontal="center" vertical="top" wrapText="1"/>
    </xf>
    <xf numFmtId="0" fontId="30" fillId="0" borderId="30" xfId="6" applyFont="1" applyBorder="1" applyAlignment="1">
      <alignment horizontal="center" vertical="top" wrapText="1"/>
    </xf>
    <xf numFmtId="0" fontId="15" fillId="11" borderId="0" xfId="0" applyFont="1" applyFill="1" applyBorder="1" applyAlignment="1">
      <alignment horizontal="right" wrapText="1"/>
    </xf>
    <xf numFmtId="0" fontId="15" fillId="11" borderId="1" xfId="0" applyFont="1" applyFill="1" applyBorder="1" applyAlignment="1">
      <alignment horizontal="right" wrapText="1"/>
    </xf>
    <xf numFmtId="0" fontId="15" fillId="0" borderId="29" xfId="0" applyFont="1" applyFill="1" applyBorder="1" applyAlignment="1">
      <alignment horizontal="center" vertical="top" wrapText="1"/>
    </xf>
    <xf numFmtId="0" fontId="15" fillId="0" borderId="28" xfId="0" applyFont="1" applyFill="1" applyBorder="1" applyAlignment="1">
      <alignment horizontal="center" vertical="top" wrapText="1"/>
    </xf>
    <xf numFmtId="0" fontId="15" fillId="0" borderId="35" xfId="0" applyFont="1" applyFill="1" applyBorder="1" applyAlignment="1">
      <alignment horizontal="center" vertical="top" wrapText="1"/>
    </xf>
    <xf numFmtId="0" fontId="30" fillId="0" borderId="32" xfId="6" applyFont="1" applyBorder="1" applyAlignment="1">
      <alignment horizontal="center" vertical="top" wrapText="1"/>
    </xf>
    <xf numFmtId="0" fontId="30" fillId="0" borderId="33" xfId="6" applyFont="1" applyBorder="1" applyAlignment="1">
      <alignment horizontal="center" vertical="top" wrapText="1"/>
    </xf>
    <xf numFmtId="0" fontId="15" fillId="0" borderId="28" xfId="0" applyFont="1" applyFill="1" applyBorder="1" applyAlignment="1">
      <alignment horizontal="center" vertical="center" wrapText="1"/>
    </xf>
    <xf numFmtId="0" fontId="5" fillId="0" borderId="0" xfId="0" applyFont="1" applyFill="1" applyAlignment="1">
      <alignment horizontal="center" vertical="center" wrapText="1"/>
    </xf>
    <xf numFmtId="0" fontId="15" fillId="0" borderId="28" xfId="0" applyFont="1" applyBorder="1" applyAlignment="1">
      <alignment horizontal="center" vertical="center" wrapText="1"/>
    </xf>
    <xf numFmtId="0" fontId="19" fillId="0" borderId="0" xfId="2" applyFont="1" applyBorder="1" applyAlignment="1">
      <alignment horizontal="center" vertical="center" wrapText="1"/>
    </xf>
    <xf numFmtId="0" fontId="19" fillId="0" borderId="0" xfId="2" applyFont="1" applyBorder="1" applyAlignment="1">
      <alignment horizontal="center" vertical="center"/>
    </xf>
    <xf numFmtId="0" fontId="20" fillId="0" borderId="0" xfId="2" applyFont="1" applyBorder="1" applyAlignment="1">
      <alignment horizontal="left"/>
    </xf>
    <xf numFmtId="0" fontId="4" fillId="0" borderId="0" xfId="0" applyFont="1" applyFill="1" applyAlignment="1">
      <alignment vertical="top"/>
    </xf>
    <xf numFmtId="0" fontId="4" fillId="0" borderId="0" xfId="0" applyFont="1" applyAlignment="1">
      <alignment horizontal="left" vertical="top"/>
    </xf>
    <xf numFmtId="0" fontId="15" fillId="0" borderId="0" xfId="0" applyFont="1" applyAlignment="1">
      <alignment vertical="center" wrapText="1"/>
    </xf>
  </cellXfs>
  <cellStyles count="17">
    <cellStyle name="Currency" xfId="5" builtinId="4"/>
    <cellStyle name="Currency 2" xfId="11" xr:uid="{00000000-0005-0000-0000-000001000000}"/>
    <cellStyle name="Hyperlink" xfId="1" builtinId="8"/>
    <cellStyle name="Normal" xfId="0" builtinId="0"/>
    <cellStyle name="Normal 2" xfId="7" xr:uid="{00000000-0005-0000-0000-000004000000}"/>
    <cellStyle name="Normal 2 2" xfId="12" xr:uid="{00000000-0005-0000-0000-000005000000}"/>
    <cellStyle name="Normal 3" xfId="9" xr:uid="{00000000-0005-0000-0000-000006000000}"/>
    <cellStyle name="Normal 3 2" xfId="14" xr:uid="{00000000-0005-0000-0000-000007000000}"/>
    <cellStyle name="Normal 4" xfId="8" xr:uid="{00000000-0005-0000-0000-000008000000}"/>
    <cellStyle name="Normal_attitude to GBV" xfId="2" xr:uid="{00000000-0005-0000-0000-000009000000}"/>
    <cellStyle name="Normal_Sheet1" xfId="3" xr:uid="{00000000-0005-0000-0000-00000A000000}"/>
    <cellStyle name="Normal_Sheet1_1" xfId="6" xr:uid="{00000000-0005-0000-0000-00000B000000}"/>
    <cellStyle name="Normal_Sheet2" xfId="13" xr:uid="{00000000-0005-0000-0000-00000C000000}"/>
    <cellStyle name="Normal_Sheet3" xfId="15" xr:uid="{00000000-0005-0000-0000-00000D000000}"/>
    <cellStyle name="Normal_Sheet4" xfId="16" xr:uid="{00000000-0005-0000-0000-00000E000000}"/>
    <cellStyle name="Percent" xfId="4" builtinId="5"/>
    <cellStyle name="Percent 2" xfId="10" xr:uid="{00000000-0005-0000-0000-000010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un.org/womenwatch/daw/egm/vaw_indicators_2007/papers/Invited%20Paper%20Mexico%20ENDIREH.pdf" TargetMode="External"/><Relationship Id="rId299" Type="http://schemas.openxmlformats.org/officeDocument/2006/relationships/hyperlink" Target="https://www.ncbi.nlm.nih.gov/pmc/articles/PMC3830163/" TargetMode="External"/><Relationship Id="rId303" Type="http://schemas.openxmlformats.org/officeDocument/2006/relationships/hyperlink" Target="http://paa2005.princeton.edu/papers/51618" TargetMode="External"/><Relationship Id="rId21" Type="http://schemas.openxmlformats.org/officeDocument/2006/relationships/hyperlink" Target="http://www.ncss.org.sg/vwocorner/research_gateway/Family_abstract_12.pdf" TargetMode="External"/><Relationship Id="rId42" Type="http://schemas.openxmlformats.org/officeDocument/2006/relationships/hyperlink" Target="http://www.pubmedcentral.nih.gov/picrender.fcgi?artid=1308495&amp;blobtype=pdf" TargetMode="External"/><Relationship Id="rId63" Type="http://schemas.openxmlformats.org/officeDocument/2006/relationships/hyperlink" Target="www.sciencedirect.com/science?_ob=MImg&amp;_imagekey=B6VBF-46SW158-B-1M&amp;_cdi=5925&amp;_user=8818308&amp;_pii=S0277953601002933&amp;_origin=search&amp;_coverDate=11%2F30%2F2002&amp;_sk=999449990&amp;view=c&amp;wchp=dGLbVzb-zSkzS&amp;md5=9f29c32b495005b1b8694d5d5f847f34&amp;ie=/sdarticle.pdf" TargetMode="External"/><Relationship Id="rId84" Type="http://schemas.openxmlformats.org/officeDocument/2006/relationships/hyperlink" Target="http://www.usaid.gov/locations/europe_eurasia/dem_gov/docs/domestic_violence_study_final.pdf" TargetMode="External"/><Relationship Id="rId138" Type="http://schemas.openxmlformats.org/officeDocument/2006/relationships/hyperlink" Target="http://www.unece.org/stats/gender/publications/Multi-Country/Researching_Violence_against_Women.pdf" TargetMode="External"/><Relationship Id="rId159" Type="http://schemas.openxmlformats.org/officeDocument/2006/relationships/hyperlink" Target="http://www.endvawnow.org/uploads/browser/files/vawprevalence_matrix_june2013.pdf" TargetMode="External"/><Relationship Id="rId324" Type="http://schemas.openxmlformats.org/officeDocument/2006/relationships/hyperlink" Target="http://www.sciencedirect.com/science/article/pii/S0277953617301302" TargetMode="External"/><Relationship Id="rId170" Type="http://schemas.openxmlformats.org/officeDocument/2006/relationships/hyperlink" Target="http://www.endvawnow.org/uploads/browser/files/vawprevalence_matrix_june2013.pdf" TargetMode="External"/><Relationship Id="rId191" Type="http://schemas.openxmlformats.org/officeDocument/2006/relationships/hyperlink" Target="http://eprints.lse.ac.uk/46132/1/Gender%20based%20violence%20and%20reproductive%20health%20in%20five%20Indian%20states%20(lsero).pdf" TargetMode="External"/><Relationship Id="rId205" Type="http://schemas.openxmlformats.org/officeDocument/2006/relationships/hyperlink" Target="http://journals.sagepub.com/doi/pdf/10.1177/0886260510385125" TargetMode="External"/><Relationship Id="rId226" Type="http://schemas.openxmlformats.org/officeDocument/2006/relationships/hyperlink" Target="http://dhsprogram.com/publications/publication-FR114-DHS-Final-Reports.cfm" TargetMode="External"/><Relationship Id="rId247" Type="http://schemas.openxmlformats.org/officeDocument/2006/relationships/hyperlink" Target="http://www.ijcm.org.in/text.asp?2010/35/2/311/66881" TargetMode="External"/><Relationship Id="rId107" Type="http://schemas.openxmlformats.org/officeDocument/2006/relationships/hyperlink" Target="http://www.unhcr.org/refworld/publisher,IRBC,,,4b20eff748,0.html" TargetMode="External"/><Relationship Id="rId268" Type="http://schemas.openxmlformats.org/officeDocument/2006/relationships/hyperlink" Target="http://www.sciencedirect.com/science/article/pii/S0010782414000092" TargetMode="External"/><Relationship Id="rId289" Type="http://schemas.openxmlformats.org/officeDocument/2006/relationships/hyperlink" Target="http://www.jaypeejournals.com/eJournals/TopicDetails.aspx?id=545&amp;AID=24" TargetMode="External"/><Relationship Id="rId11" Type="http://schemas.openxmlformats.org/officeDocument/2006/relationships/hyperlink" Target="http://www.ncbi.nlm.nih.gov/pubmed/16761656" TargetMode="External"/><Relationship Id="rId32" Type="http://schemas.openxmlformats.org/officeDocument/2006/relationships/hyperlink" Target="http://www.was-survey.org/id30.html" TargetMode="External"/><Relationship Id="rId53" Type="http://schemas.openxmlformats.org/officeDocument/2006/relationships/hyperlink" Target="http://aje.oxfordjournals.org/cgi/reprint/160/3/230" TargetMode="External"/><Relationship Id="rId74" Type="http://schemas.openxmlformats.org/officeDocument/2006/relationships/hyperlink" Target="http://www.ncbi.nlm.nih.gov/pmc/articles/PMC2042491" TargetMode="External"/><Relationship Id="rId128" Type="http://schemas.openxmlformats.org/officeDocument/2006/relationships/hyperlink" Target="http://www.euromedgenderequality.org/image.php?id=143" TargetMode="External"/><Relationship Id="rId149" Type="http://schemas.openxmlformats.org/officeDocument/2006/relationships/hyperlink" Target="http://www.endvawnow.org/uploads/browser/files/vawprevalence_matrix_june2013.pdf" TargetMode="External"/><Relationship Id="rId314" Type="http://schemas.openxmlformats.org/officeDocument/2006/relationships/hyperlink" Target="http://www.popcouncil.org/uploads/pdfs/2010PGY_YouthInIndiaReport.pdf" TargetMode="External"/><Relationship Id="rId335" Type="http://schemas.openxmlformats.org/officeDocument/2006/relationships/hyperlink" Target="http://www.popcouncil.org/uploads/pdfs/2017PGY_MaritalViolenceBihar.pdf" TargetMode="External"/><Relationship Id="rId5" Type="http://schemas.openxmlformats.org/officeDocument/2006/relationships/hyperlink" Target="download.journals.elsevierhealth.com/pdfs/journals/0749-3797/PIIS0749379706000985.pdf?clusterid=thelancet&amp;mis=.pdf" TargetMode="External"/><Relationship Id="rId95" Type="http://schemas.openxmlformats.org/officeDocument/2006/relationships/hyperlink" Target="http://www.oecd.org/dataoecd/30/26/45583188.pdf" TargetMode="External"/><Relationship Id="rId160" Type="http://schemas.openxmlformats.org/officeDocument/2006/relationships/hyperlink" Target="http://www.endvawnow.org/uploads/browser/files/vawprevalence_matrix_june2013.pdf" TargetMode="External"/><Relationship Id="rId181" Type="http://schemas.openxmlformats.org/officeDocument/2006/relationships/hyperlink" Target="http://linkinghub.elsevier.com/retrieve/pii/S0020729299000351" TargetMode="External"/><Relationship Id="rId216" Type="http://schemas.openxmlformats.org/officeDocument/2006/relationships/hyperlink" Target="https://bmcpublichealth.biomedcentral.com/articles/10.1186/1471-2458-9-129" TargetMode="External"/><Relationship Id="rId237" Type="http://schemas.openxmlformats.org/officeDocument/2006/relationships/hyperlink" Target="http://www.ijpm.info/article.asp?issn=0253-7176;year=2014;volume=36;issue=2;spage=179;epage=181;aulast=Nongrum" TargetMode="External"/><Relationship Id="rId258" Type="http://schemas.openxmlformats.org/officeDocument/2006/relationships/hyperlink" Target="http://www.iosrjournals.org/iosr-jhss/papers/Vol11-issue3/C01131317.pdf?id=6294" TargetMode="External"/><Relationship Id="rId279" Type="http://schemas.openxmlformats.org/officeDocument/2006/relationships/hyperlink" Target="http://imperialjournals.com/index.php/IJIR/article/download/2490/2392" TargetMode="External"/><Relationship Id="rId22" Type="http://schemas.openxmlformats.org/officeDocument/2006/relationships/hyperlink" Target="http://www.ncbi.nlm.nih.gov/pubmed/20931908" TargetMode="External"/><Relationship Id="rId43" Type="http://schemas.openxmlformats.org/officeDocument/2006/relationships/hyperlink" Target="http://www.unece.org/stats/gender/publications/Multi-Country/Researching_Violence_against_Women.pdf" TargetMode="External"/><Relationship Id="rId64" Type="http://schemas.openxmlformats.org/officeDocument/2006/relationships/hyperlink" Target="http://www.genderseychelles.gov.sc/pages/programmes/SexDisaggredatedData.aspx" TargetMode="External"/><Relationship Id="rId118" Type="http://schemas.openxmlformats.org/officeDocument/2006/relationships/hyperlink" Target="http://www.icrh.org/projects/developing-strategies-to-combat-violence-against-women-in-developing-countries-health-care-" TargetMode="External"/><Relationship Id="rId139" Type="http://schemas.openxmlformats.org/officeDocument/2006/relationships/hyperlink" Target="http://www.unece.org/stats/gender/publications/Multi-Country/Researching_Violence_against_Women.pdf" TargetMode="External"/><Relationship Id="rId290" Type="http://schemas.openxmlformats.org/officeDocument/2006/relationships/hyperlink" Target="http://www.plosone.org/article/fetchObject.action?uri=info%3Adoi%2F10.1371/journal.pone.0148120&amp;representation=PDF" TargetMode="External"/><Relationship Id="rId304" Type="http://schemas.openxmlformats.org/officeDocument/2006/relationships/hyperlink" Target="https://hqlo.biomedcentral.com/track/pdf/10.1186/1477-7525-11-9?site=hqlo.biomedcentral.com" TargetMode="External"/><Relationship Id="rId325" Type="http://schemas.openxmlformats.org/officeDocument/2006/relationships/hyperlink" Target="http://shodhganga.inflibnet.ac.in/bitstream/10603/56905/1/papita%20dutta%20ph.d.%20thesis.pdf" TargetMode="External"/><Relationship Id="rId85" Type="http://schemas.openxmlformats.org/officeDocument/2006/relationships/hyperlink" Target="http://www.ncbi.nlm.nih.gov/pmc/articles/PMC2042491" TargetMode="External"/><Relationship Id="rId150" Type="http://schemas.openxmlformats.org/officeDocument/2006/relationships/hyperlink" Target="http://www.endvawnow.org/uploads/browser/files/vawprevalence_matrix_june2013.pdf" TargetMode="External"/><Relationship Id="rId171" Type="http://schemas.openxmlformats.org/officeDocument/2006/relationships/hyperlink" Target="http://www.endvawnow.org/uploads/browser/files/vawprevalence_matrix_june2013.pdf" TargetMode="External"/><Relationship Id="rId192" Type="http://schemas.openxmlformats.org/officeDocument/2006/relationships/hyperlink" Target="http://aje.oxfordjournals.org/content/150/417.full.pdf" TargetMode="External"/><Relationship Id="rId206" Type="http://schemas.openxmlformats.org/officeDocument/2006/relationships/hyperlink" Target="http://journals.sagepub.com/doi/pdf/10.1177/156482650602700204" TargetMode="External"/><Relationship Id="rId227" Type="http://schemas.openxmlformats.org/officeDocument/2006/relationships/hyperlink" Target="http://www.ijmr.org.in/temp/IndianJMedRes1416783-7521104_205331.pdf" TargetMode="External"/><Relationship Id="rId248" Type="http://schemas.openxmlformats.org/officeDocument/2006/relationships/hyperlink" Target="http://www.sciencedirect.com/science/article/pii/S0020729201005331" TargetMode="External"/><Relationship Id="rId269" Type="http://schemas.openxmlformats.org/officeDocument/2006/relationships/hyperlink" Target="http://www.sciencedirect.com/science/article/pii/S0740547216000465" TargetMode="External"/><Relationship Id="rId12" Type="http://schemas.openxmlformats.org/officeDocument/2006/relationships/hyperlink" Target="http://www.ncbi.nlm.nih.gov/pubmed/16532685?dopt=AbstractPlus&amp;holding=f1000,f1000m,isrctn" TargetMode="External"/><Relationship Id="rId33" Type="http://schemas.openxmlformats.org/officeDocument/2006/relationships/hyperlink" Target="http://www.prb.org/Articles/2001/DomesticViolenceAnOngoingThreattoWomeninLatinAmericaandtheCaribbean.aspx" TargetMode="External"/><Relationship Id="rId108" Type="http://schemas.openxmlformats.org/officeDocument/2006/relationships/hyperlink" Target="http://www.ggp.up.ac.za/gender_equality/course_material/2009/bayard%202.doc" TargetMode="External"/><Relationship Id="rId129" Type="http://schemas.openxmlformats.org/officeDocument/2006/relationships/hyperlink" Target="http://www.state.gov/g/drl/rls/hrrpt/2009/af/135937.htm" TargetMode="External"/><Relationship Id="rId280" Type="http://schemas.openxmlformats.org/officeDocument/2006/relationships/hyperlink" Target="http://www.mjdrdypu.org/temp/MedJDYPatilUniv74425-6630637_182506.pdf" TargetMode="External"/><Relationship Id="rId315" Type="http://schemas.openxmlformats.org/officeDocument/2006/relationships/hyperlink" Target="http://www.popcouncil.org/uploads/pdfs/2010PGY_YouthInIndiaReport.pdf" TargetMode="External"/><Relationship Id="rId336" Type="http://schemas.openxmlformats.org/officeDocument/2006/relationships/hyperlink" Target="http://promundoglobal.org/wp-content/uploads/2014/12/Evolving-Men-Initial-Results-from-IMAGES.pdf" TargetMode="External"/><Relationship Id="rId54" Type="http://schemas.openxmlformats.org/officeDocument/2006/relationships/hyperlink" Target="http://webapps01.un.org/vawdatabase/searchDetail.action?measureId=17400" TargetMode="External"/><Relationship Id="rId75" Type="http://schemas.openxmlformats.org/officeDocument/2006/relationships/hyperlink" Target="http://www.ncbi.nlm.nih.gov/pmc/articles/PMC2042491" TargetMode="External"/><Relationship Id="rId96" Type="http://schemas.openxmlformats.org/officeDocument/2006/relationships/hyperlink" Target="http://www.measuredhs.com/pubs/pdf/FR235/FR235.pdf" TargetMode="External"/><Relationship Id="rId140" Type="http://schemas.openxmlformats.org/officeDocument/2006/relationships/hyperlink" Target="http://www.endvawnow.org/uploads/browser/files/vaw_prevalence_matrix_15april_2011.pdf" TargetMode="External"/><Relationship Id="rId161" Type="http://schemas.openxmlformats.org/officeDocument/2006/relationships/hyperlink" Target="http://www.endvawnow.org/uploads/browser/files/vawprevalence_matrix_june2013.pdf" TargetMode="External"/><Relationship Id="rId182" Type="http://schemas.openxmlformats.org/officeDocument/2006/relationships/hyperlink" Target="http://www.was-survey.org/2004-kenya.html" TargetMode="External"/><Relationship Id="rId217" Type="http://schemas.openxmlformats.org/officeDocument/2006/relationships/hyperlink" Target="http://www.jpgmonline.com/text.asp?2008/54/4/306/43514" TargetMode="External"/><Relationship Id="rId6" Type="http://schemas.openxmlformats.org/officeDocument/2006/relationships/hyperlink" Target="http://download.thelancet.com/pdfs/journals/0140-6736/PIIS0140673602095351.pdf?clusterid=thelancet&amp;mis=.pdf" TargetMode="External"/><Relationship Id="rId238" Type="http://schemas.openxmlformats.org/officeDocument/2006/relationships/hyperlink" Target="http://onlinelibrary.wiley.com/doi/10.1111/j.1447-0756.1999.tb01142.x/pdf" TargetMode="External"/><Relationship Id="rId259" Type="http://schemas.openxmlformats.org/officeDocument/2006/relationships/hyperlink" Target="http://www.jfmpc.com/text.asp?2016/5/3/672/197309" TargetMode="External"/><Relationship Id="rId23" Type="http://schemas.openxmlformats.org/officeDocument/2006/relationships/hyperlink" Target="http://www.unhcr.org/refworld/publisher,IRBC,,,4b20eff748,0.html" TargetMode="External"/><Relationship Id="rId119" Type="http://schemas.openxmlformats.org/officeDocument/2006/relationships/hyperlink" Target="http://www.measuredhs.com/pubs/pdf/FR247/FR247.pdf" TargetMode="External"/><Relationship Id="rId270" Type="http://schemas.openxmlformats.org/officeDocument/2006/relationships/hyperlink" Target="http://www.ejmanager.com/mnstemps/159/159-1456734039.pdf" TargetMode="External"/><Relationship Id="rId291" Type="http://schemas.openxmlformats.org/officeDocument/2006/relationships/hyperlink" Target="http://www.cehat.org/go/uploads/AarogyachaMargavar/aarogyachamargavar.pdf" TargetMode="External"/><Relationship Id="rId305" Type="http://schemas.openxmlformats.org/officeDocument/2006/relationships/hyperlink" Target="https://www.ncbi.nlm.nih.gov/pmc/articles/PMC2791993/" TargetMode="External"/><Relationship Id="rId326" Type="http://schemas.openxmlformats.org/officeDocument/2006/relationships/hyperlink" Target="http://www.northeastnetwork.org/wp-content/uploads/2016/06/NEN-DV-Report.-UNHEARD.pdf" TargetMode="External"/><Relationship Id="rId44" Type="http://schemas.openxmlformats.org/officeDocument/2006/relationships/hyperlink" Target="http://www.infoforhealth.org/pr/l11/l11tables.shtml" TargetMode="External"/><Relationship Id="rId65" Type="http://schemas.openxmlformats.org/officeDocument/2006/relationships/hyperlink" Target="http://www.ggp.up.ac.za/gender_equality/course_material/2009/bayard%202.doc" TargetMode="External"/><Relationship Id="rId86" Type="http://schemas.openxmlformats.org/officeDocument/2006/relationships/hyperlink" Target="http://www.bvsde.paho.org/bvsacd/cd64/en_28530.pdf" TargetMode="External"/><Relationship Id="rId130" Type="http://schemas.openxmlformats.org/officeDocument/2006/relationships/hyperlink" Target="http://www.ncbi.nlm.nih.gov/pubmed/19191117" TargetMode="External"/><Relationship Id="rId151" Type="http://schemas.openxmlformats.org/officeDocument/2006/relationships/hyperlink" Target="http://www.endvawnow.org/uploads/browser/files/vawprevalence_matrix_june2013.pdf" TargetMode="External"/><Relationship Id="rId172" Type="http://schemas.openxmlformats.org/officeDocument/2006/relationships/hyperlink" Target="http://www.endvawnow.org/uploads/browser/files/vawprevalence_matrix_june2013.pdf" TargetMode="External"/><Relationship Id="rId193" Type="http://schemas.openxmlformats.org/officeDocument/2006/relationships/hyperlink" Target="http://journals.sagepub.com/doi/abs/10.1177/0886260510390948" TargetMode="External"/><Relationship Id="rId207" Type="http://schemas.openxmlformats.org/officeDocument/2006/relationships/hyperlink" Target="http://ajph.aphapublications.org/doi/10.2105/AJPH.2008.149930" TargetMode="External"/><Relationship Id="rId228" Type="http://schemas.openxmlformats.org/officeDocument/2006/relationships/hyperlink" Target="https://www.ncbi.nlm.nih.gov/pmc/articles/PMC3968576/" TargetMode="External"/><Relationship Id="rId249" Type="http://schemas.openxmlformats.org/officeDocument/2006/relationships/hyperlink" Target="http://journaldatabase.info/articles/cross-sectional_study_physical_spousal.html" TargetMode="External"/><Relationship Id="rId13" Type="http://schemas.openxmlformats.org/officeDocument/2006/relationships/hyperlink" Target="http://www.biosciencetrends.com/action/downloaddoc.php?docid=308" TargetMode="External"/><Relationship Id="rId109" Type="http://schemas.openxmlformats.org/officeDocument/2006/relationships/hyperlink" Target="http://www.measuredhs.com/pubs/pdf/FR243/FR243%5B24June2011%5D.pdf" TargetMode="External"/><Relationship Id="rId260" Type="http://schemas.openxmlformats.org/officeDocument/2006/relationships/hyperlink" Target="http://ijcrr.com/uploads/779_pdf.pdf" TargetMode="External"/><Relationship Id="rId281" Type="http://schemas.openxmlformats.org/officeDocument/2006/relationships/hyperlink" Target="http://www.medicainnovatica.org/2014-July%20Issue/22.pdf" TargetMode="External"/><Relationship Id="rId316" Type="http://schemas.openxmlformats.org/officeDocument/2006/relationships/hyperlink" Target="https://www.icrw.org/files/images/Child-Marriage-Fact-Sheet-Domestic-Violence.pdf" TargetMode="External"/><Relationship Id="rId337" Type="http://schemas.openxmlformats.org/officeDocument/2006/relationships/hyperlink" Target="http://promundoglobal.org/wp-content/uploads/2014/12/Evolving-Men-Initial-Results-from-IMAGES.pdf" TargetMode="External"/><Relationship Id="rId34" Type="http://schemas.openxmlformats.org/officeDocument/2006/relationships/hyperlink" Target="http://www.icrh.org/projects/developing-strategies-to-combat-violence-against-women-in-developing-countries-health-care-" TargetMode="External"/><Relationship Id="rId55" Type="http://schemas.openxmlformats.org/officeDocument/2006/relationships/hyperlink" Target="http://www.mrc.ac.za/gender/projects.htm" TargetMode="External"/><Relationship Id="rId76" Type="http://schemas.openxmlformats.org/officeDocument/2006/relationships/hyperlink" Target="http://www.ncbi.nlm.nih.gov/pmc/articles/PMC2042491" TargetMode="External"/><Relationship Id="rId97" Type="http://schemas.openxmlformats.org/officeDocument/2006/relationships/hyperlink" Target="http://www.cahrv.uni-osnabrueck.de/conference/SummaryGermanVAWstudy.pdf" TargetMode="External"/><Relationship Id="rId120" Type="http://schemas.openxmlformats.org/officeDocument/2006/relationships/hyperlink" Target="http://www.ncbi.nlm.nih.gov/pmc/articles/PMC1308495/" TargetMode="External"/><Relationship Id="rId141" Type="http://schemas.openxmlformats.org/officeDocument/2006/relationships/hyperlink" Target="http://www.endvawnow.org/uploads/browser/files/vaw_prevalence_matrix_15april_2011.pdf" TargetMode="External"/><Relationship Id="rId7" Type="http://schemas.openxmlformats.org/officeDocument/2006/relationships/hyperlink" Target="http://www.un.org/womenwatch/daw/egm/vaw-stat-2005/docs/expert-papers/Ardayfio.pdf" TargetMode="External"/><Relationship Id="rId162" Type="http://schemas.openxmlformats.org/officeDocument/2006/relationships/hyperlink" Target="http://www.endvawnow.org/uploads/browser/files/vaw_prevalence_matrix_15april_2011.pdf" TargetMode="External"/><Relationship Id="rId183" Type="http://schemas.openxmlformats.org/officeDocument/2006/relationships/hyperlink" Target="http://www.was-survey.org/2005-nigeria.html" TargetMode="External"/><Relationship Id="rId218" Type="http://schemas.openxmlformats.org/officeDocument/2006/relationships/hyperlink" Target="https://www.icrw.org/publications/domestic-violence-in-india-part-4/" TargetMode="External"/><Relationship Id="rId239" Type="http://schemas.openxmlformats.org/officeDocument/2006/relationships/hyperlink" Target="http://journals.sagepub.com/doi/full/10.1177/1010539511426474" TargetMode="External"/><Relationship Id="rId250" Type="http://schemas.openxmlformats.org/officeDocument/2006/relationships/hyperlink" Target="http://www.njcmindia.org/home/download/175" TargetMode="External"/><Relationship Id="rId271" Type="http://schemas.openxmlformats.org/officeDocument/2006/relationships/hyperlink" Target="https://www.sjri.res.in/sites/default/files/Mobile%20App%20to%20identify%20domestic%20voilence.pdf" TargetMode="External"/><Relationship Id="rId292" Type="http://schemas.openxmlformats.org/officeDocument/2006/relationships/hyperlink" Target="http://www.tandfonline.com/doi/citedby/10.1080/01443610802042589?scroll=top&amp;needAccess=true" TargetMode="External"/><Relationship Id="rId306" Type="http://schemas.openxmlformats.org/officeDocument/2006/relationships/hyperlink" Target="http://onlinelibrary.wiley.com/doi/10.1002/jid.1500/pdf" TargetMode="External"/><Relationship Id="rId24" Type="http://schemas.openxmlformats.org/officeDocument/2006/relationships/hyperlink" Target="http://www.un.org/womenwatch/daw/egm/vaw_indicators_2007/papers/Invited%20Paper%20Mexico%20ENDIREH.pdf" TargetMode="External"/><Relationship Id="rId45" Type="http://schemas.openxmlformats.org/officeDocument/2006/relationships/hyperlink" Target="http://www.womenwarpeace.org/opt/docs/Domestic_PCBS_opT.pdf" TargetMode="External"/><Relationship Id="rId66" Type="http://schemas.openxmlformats.org/officeDocument/2006/relationships/hyperlink" Target="http://www.omct.org/files/2004/07/2409/eng_2003_05_eritrea.pdf" TargetMode="External"/><Relationship Id="rId87" Type="http://schemas.openxmlformats.org/officeDocument/2006/relationships/hyperlink" Target="http://www.ess.ufrj.br/prevencaoviolenciasexual/download/015datasenado.pdf" TargetMode="External"/><Relationship Id="rId110" Type="http://schemas.openxmlformats.org/officeDocument/2006/relationships/hyperlink" Target="http://www.ncss.org.sg/vwocorner/research_gateway/Family_abstract_12.pdf" TargetMode="External"/><Relationship Id="rId131" Type="http://schemas.openxmlformats.org/officeDocument/2006/relationships/hyperlink" Target="http://www.unece.org/stats/gender/publications/Multi-Country/Researching_Violence_against_Women.pdf" TargetMode="External"/><Relationship Id="rId327" Type="http://schemas.openxmlformats.org/officeDocument/2006/relationships/hyperlink" Target="http://www.popcouncil.org/uploads/pdfs/2017PGY_MaritalViolenceBihar.pdf" TargetMode="External"/><Relationship Id="rId152" Type="http://schemas.openxmlformats.org/officeDocument/2006/relationships/hyperlink" Target="http://www.endvawnow.org/uploads/browser/files/vawprevalence_matrix_june2013.pdf" TargetMode="External"/><Relationship Id="rId173" Type="http://schemas.openxmlformats.org/officeDocument/2006/relationships/hyperlink" Target="http://www.endvawnow.org/uploads/browser/files/vawprevalence_matrix_june2013.pdf" TargetMode="External"/><Relationship Id="rId194" Type="http://schemas.openxmlformats.org/officeDocument/2006/relationships/hyperlink" Target="http://www.sciencedirect.com/science/article/pii/S0277953696002523" TargetMode="External"/><Relationship Id="rId208" Type="http://schemas.openxmlformats.org/officeDocument/2006/relationships/hyperlink" Target="http://europepmc.org/articles/PMC3164576" TargetMode="External"/><Relationship Id="rId229" Type="http://schemas.openxmlformats.org/officeDocument/2006/relationships/hyperlink" Target="http://www.ccsenet.org/journal/index.php/ass/article/view/16530" TargetMode="External"/><Relationship Id="rId240" Type="http://schemas.openxmlformats.org/officeDocument/2006/relationships/hyperlink" Target="http://www.jstor.org/stable/pdf/172276.pdf?refreqid=excelsior%3A57966a7559e60f2755678d827ef4dd3d" TargetMode="External"/><Relationship Id="rId261" Type="http://schemas.openxmlformats.org/officeDocument/2006/relationships/hyperlink" Target="http://www.statperson.com/Journal/ScienceAndTechnology/Article/Volume6Issue2/6_2_7.pdf" TargetMode="External"/><Relationship Id="rId14" Type="http://schemas.openxmlformats.org/officeDocument/2006/relationships/hyperlink" Target="http://www.biosciencetrends.com/action/downloaddoc.php?docid=308" TargetMode="External"/><Relationship Id="rId35" Type="http://schemas.openxmlformats.org/officeDocument/2006/relationships/hyperlink" Target="http://www.oxfam.org/sites/www.oxfam.org/files/oxfam-in-her-own-words-iraqi-women-survey-08mar2009.pdf" TargetMode="External"/><Relationship Id="rId56" Type="http://schemas.openxmlformats.org/officeDocument/2006/relationships/hyperlink" Target="http://www.mrc.ac.za/gender/projects.htm" TargetMode="External"/><Relationship Id="rId77" Type="http://schemas.openxmlformats.org/officeDocument/2006/relationships/hyperlink" Target="http://www.ncbi.nlm.nih.gov/pmc/articles/PMC2042491" TargetMode="External"/><Relationship Id="rId100" Type="http://schemas.openxmlformats.org/officeDocument/2006/relationships/hyperlink" Target="brookdale-en1.pionet.com/default.asp?catid=%7b567204BF-9FEA-4A08-A307-188A304557A8%7d" TargetMode="External"/><Relationship Id="rId282" Type="http://schemas.openxmlformats.org/officeDocument/2006/relationships/hyperlink" Target="http://www.ijhsr.org/IJHSR_Vol.4_Issue.12_Dec2014/7.pdf" TargetMode="External"/><Relationship Id="rId317" Type="http://schemas.openxmlformats.org/officeDocument/2006/relationships/hyperlink" Target="https://www.google.co.in/url?sa=t&amp;rct=j&amp;q=&amp;esrc=s&amp;source=web&amp;cd=54&amp;ved=0ahUKEwjD_7_Vop7VAhXnAcAKHTQtAaw4MhAWCDgwAw&amp;url=http%3A%2F%2Faimdrjournal.com%2Fpdf%2Fvol2Issue6%2FCM2_OA_Bishwalata.pdf&amp;usg=AFQjCNE_XeyyCGS-o5tok5ZnBP1qZRUqVQ&amp;cad=rja" TargetMode="External"/><Relationship Id="rId338" Type="http://schemas.openxmlformats.org/officeDocument/2006/relationships/hyperlink" Target="http://www.rrh.org.au/articles/subviewnew.asp?ArticleID=304" TargetMode="External"/><Relationship Id="rId8" Type="http://schemas.openxmlformats.org/officeDocument/2006/relationships/hyperlink" Target="http://www.ams.ac.ir/AIM/NEWPUB/07/10/3/006.pdf" TargetMode="External"/><Relationship Id="rId98" Type="http://schemas.openxmlformats.org/officeDocument/2006/relationships/hyperlink" Target="http://www.cahrv.uni-osnabrueck.de/conference/SummaryGermanVAWstudy.pdf" TargetMode="External"/><Relationship Id="rId121" Type="http://schemas.openxmlformats.org/officeDocument/2006/relationships/hyperlink" Target="http://www.k4health.org/pr/l11/l11tables.shtml" TargetMode="External"/><Relationship Id="rId142" Type="http://schemas.openxmlformats.org/officeDocument/2006/relationships/hyperlink" Target="http://www.endvawnow.org/uploads/browser/files/vaw_prevalence_matrix_15april_2011.pdf" TargetMode="External"/><Relationship Id="rId163" Type="http://schemas.openxmlformats.org/officeDocument/2006/relationships/hyperlink" Target="http://measuredhs.com/topics/gender-Corner/upload/RHM36-Devries.pdf" TargetMode="External"/><Relationship Id="rId184" Type="http://schemas.openxmlformats.org/officeDocument/2006/relationships/hyperlink" Target="http://www.was-survey.org/2005-2006-egypt.html" TargetMode="External"/><Relationship Id="rId219" Type="http://schemas.openxmlformats.org/officeDocument/2006/relationships/hyperlink" Target="https://www.icrw.org/publications/domestic-violence-in-india-part-4/" TargetMode="External"/><Relationship Id="rId230" Type="http://schemas.openxmlformats.org/officeDocument/2006/relationships/hyperlink" Target="http://planningcommission.gov.in/reports/sereport/index.php?repts=mstudy" TargetMode="External"/><Relationship Id="rId251" Type="http://schemas.openxmlformats.org/officeDocument/2006/relationships/hyperlink" Target="http://www.ijph.in/article.asp?issn=0019-557X;year=2012;volume=56;issue=1;spage=31;epage=36;aulast=Sinha" TargetMode="External"/><Relationship Id="rId25" Type="http://schemas.openxmlformats.org/officeDocument/2006/relationships/hyperlink" Target="http://www.reunion.sante.gouv.fr/services/enveff.pdf" TargetMode="External"/><Relationship Id="rId46" Type="http://schemas.openxmlformats.org/officeDocument/2006/relationships/hyperlink" Target="http://www.aifs.gov.au/acssa/statistics.html" TargetMode="External"/><Relationship Id="rId67" Type="http://schemas.openxmlformats.org/officeDocument/2006/relationships/hyperlink" Target="http://www.unifem.org/attachments/products/baseline_survey_on_sexual_and_gender_based_violence_rwanda.pdf" TargetMode="External"/><Relationship Id="rId116" Type="http://schemas.openxmlformats.org/officeDocument/2006/relationships/hyperlink" Target="http://www.measuredhs.com/pubs/pdf/PR11/PR11.pdf" TargetMode="External"/><Relationship Id="rId137" Type="http://schemas.openxmlformats.org/officeDocument/2006/relationships/hyperlink" Target="http://www.unece.org/stats/gender/publications/Multi-Country/Researching_Violence_against_Women.pdf" TargetMode="External"/><Relationship Id="rId158" Type="http://schemas.openxmlformats.org/officeDocument/2006/relationships/hyperlink" Target="http://www.endvawnow.org/uploads/browser/files/vawprevalence_matrix_june2013.pdf" TargetMode="External"/><Relationship Id="rId272" Type="http://schemas.openxmlformats.org/officeDocument/2006/relationships/hyperlink" Target="http://www.academia.edu/download/37350881/Violence_ijss_aricle.pdf" TargetMode="External"/><Relationship Id="rId293" Type="http://schemas.openxmlformats.org/officeDocument/2006/relationships/hyperlink" Target="http://onlinelibrary.wiley.com/doi/10.1111/j.1471-0528.2004.00151.x/full" TargetMode="External"/><Relationship Id="rId302" Type="http://schemas.openxmlformats.org/officeDocument/2006/relationships/hyperlink" Target="http://repub.eur.nl/pub/19188/wp429.pdf" TargetMode="External"/><Relationship Id="rId307" Type="http://schemas.openxmlformats.org/officeDocument/2006/relationships/hyperlink" Target="https://academic.oup.com/ije/article/31/3/560/629773/Domestic-violence-across-generations-findings-from" TargetMode="External"/><Relationship Id="rId323" Type="http://schemas.openxmlformats.org/officeDocument/2006/relationships/hyperlink" Target="http://www.sciencedomain.org/review-history/9740" TargetMode="External"/><Relationship Id="rId328" Type="http://schemas.openxmlformats.org/officeDocument/2006/relationships/hyperlink" Target="https://www.mathematica-mpr.com/download-media?MediaItemId=%7bED59F39A-738C-4DAE-81A8-914CABC611D6%7d" TargetMode="External"/><Relationship Id="rId20" Type="http://schemas.openxmlformats.org/officeDocument/2006/relationships/hyperlink" Target="http://www.carl-sl.org/home/index.php?option=com_content&amp;view=article&amp;id=436:summary-of-a-report-on-the-prevalence-of-gender-based-violence-in-northern-sierra-leone&amp;catid=5:reports&amp;Itemid=20" TargetMode="External"/><Relationship Id="rId41" Type="http://schemas.openxmlformats.org/officeDocument/2006/relationships/hyperlink" Target="http://www.un.org/womenwatch/daw/vaw/publications/English%20Study.pdf" TargetMode="External"/><Relationship Id="rId62" Type="http://schemas.openxmlformats.org/officeDocument/2006/relationships/hyperlink" Target="http://www.omct.org/files/2001/01/2174/burundieng2001.pdf" TargetMode="External"/><Relationship Id="rId83" Type="http://schemas.openxmlformats.org/officeDocument/2006/relationships/hyperlink" Target="http://www.oecd.org/dataoecd/30/26/45583188.pdf" TargetMode="External"/><Relationship Id="rId88" Type="http://schemas.openxmlformats.org/officeDocument/2006/relationships/hyperlink" Target="http://www.prb.org/Articles/2001/DomesticViolenceAnOngoingThreattoWomeninLatinAmericaandtheCaribbean.aspx" TargetMode="External"/><Relationship Id="rId111" Type="http://schemas.openxmlformats.org/officeDocument/2006/relationships/hyperlink" Target="http://www.genderseychelles.gov.sc/pages/programmes/SexDisaggredatedData.aspx" TargetMode="External"/><Relationship Id="rId132" Type="http://schemas.openxmlformats.org/officeDocument/2006/relationships/hyperlink" Target="http://www.unece.org/stats/gender/publications/Multi-Country/Researching_Violence_against_Women.pdf" TargetMode="External"/><Relationship Id="rId153" Type="http://schemas.openxmlformats.org/officeDocument/2006/relationships/hyperlink" Target="http://www.endvawnow.org/uploads/browser/files/vawprevalence_matrix_june2013.pdf" TargetMode="External"/><Relationship Id="rId174" Type="http://schemas.openxmlformats.org/officeDocument/2006/relationships/hyperlink" Target="http://unstats.un.org/unsd/demographic/products/Worldswomen/Annex%20tables%20by%20chapter%20-%20pdf/Table6Ato6E.pdf" TargetMode="External"/><Relationship Id="rId179" Type="http://schemas.openxmlformats.org/officeDocument/2006/relationships/hyperlink" Target="http://saynotoviolence.org/sites/default/files/toolkit_v2/en/pdf/3840/VAW%20Prevalence%20Matrix%202011.pdf" TargetMode="External"/><Relationship Id="rId195" Type="http://schemas.openxmlformats.org/officeDocument/2006/relationships/hyperlink" Target="http://www.tandfonline.com/doi/figure/10.1080/07399330490493368" TargetMode="External"/><Relationship Id="rId209" Type="http://schemas.openxmlformats.org/officeDocument/2006/relationships/hyperlink" Target="http://www.jad-journal.com/article/S0165-0327(06)00427-7/abstract" TargetMode="External"/><Relationship Id="rId190" Type="http://schemas.openxmlformats.org/officeDocument/2006/relationships/hyperlink" Target="http://www.was-survey.org/2007-india.html" TargetMode="External"/><Relationship Id="rId204" Type="http://schemas.openxmlformats.org/officeDocument/2006/relationships/hyperlink" Target="http://journals.sagepub.com/doi/pdf/10.1177/0886260510385125" TargetMode="External"/><Relationship Id="rId220" Type="http://schemas.openxmlformats.org/officeDocument/2006/relationships/hyperlink" Target="https://www.icrw.org/publications/domestic-violence-in-india-part-4/" TargetMode="External"/><Relationship Id="rId225" Type="http://schemas.openxmlformats.org/officeDocument/2006/relationships/hyperlink" Target="https://www.guttmacher.org/journals/ipsrh/2013/12/reproduction-functional-autonomy-and-changing-experiences-intimate-partner" TargetMode="External"/><Relationship Id="rId241" Type="http://schemas.openxmlformats.org/officeDocument/2006/relationships/hyperlink" Target="http://www.jstor.org/stable/pdf/172276.pdf?refreqid=excelsior%3A57966a7559e60f2755678d827ef4dd3d" TargetMode="External"/><Relationship Id="rId246" Type="http://schemas.openxmlformats.org/officeDocument/2006/relationships/hyperlink" Target="http://www.sciencedirect.com/science/article/pii/S0305750X11000209" TargetMode="External"/><Relationship Id="rId267" Type="http://schemas.openxmlformats.org/officeDocument/2006/relationships/hyperlink" Target="http://www.banglajol.info/index.php/SEAJPH/article/download/17706/12413" TargetMode="External"/><Relationship Id="rId288" Type="http://schemas.openxmlformats.org/officeDocument/2006/relationships/hyperlink" Target="http://www.journalcra.com/sites/default/files/Download%204341.pdf" TargetMode="External"/><Relationship Id="rId15" Type="http://schemas.openxmlformats.org/officeDocument/2006/relationships/hyperlink" Target="http://www.ins.ne/nada/toolkit/EDSN_2006/survey0/data/Rapports/rapport_pdf.pdf" TargetMode="External"/><Relationship Id="rId36" Type="http://schemas.openxmlformats.org/officeDocument/2006/relationships/hyperlink" Target="http://www.cahrv.uni-osnabrueck.de/conference/SummaryGermanVAWstudy.pdf" TargetMode="External"/><Relationship Id="rId57" Type="http://schemas.openxmlformats.org/officeDocument/2006/relationships/hyperlink" Target="http://www.measuredhs.com/pubs/pdf/AIS5/AIS5.pdf" TargetMode="External"/><Relationship Id="rId106" Type="http://schemas.openxmlformats.org/officeDocument/2006/relationships/hyperlink" Target="http://www.cdc.gov/mmwr/preview/mmwrhtml/00025182.htm" TargetMode="External"/><Relationship Id="rId127" Type="http://schemas.openxmlformats.org/officeDocument/2006/relationships/hyperlink" Target="http://link.springer.com/book/10.1007%2F978-0-387-73204-6" TargetMode="External"/><Relationship Id="rId262" Type="http://schemas.openxmlformats.org/officeDocument/2006/relationships/hyperlink" Target="http://www.njcmindia.org/home/download/1000" TargetMode="External"/><Relationship Id="rId283" Type="http://schemas.openxmlformats.org/officeDocument/2006/relationships/hyperlink" Target="http://iomcworld.com/ijcrimph/ijcrimph-v04-n03-01.htm" TargetMode="External"/><Relationship Id="rId313" Type="http://schemas.openxmlformats.org/officeDocument/2006/relationships/hyperlink" Target="https://www.worldwidejournals.com/indian-journal-of-applied-research-%28IJAR%29/file.php?val=September_2016_1492159935__144.pdf" TargetMode="External"/><Relationship Id="rId318" Type="http://schemas.openxmlformats.org/officeDocument/2006/relationships/hyperlink" Target="http://www.industrialpsychiatry.org/text.asp?2015/24/2/172/181714" TargetMode="External"/><Relationship Id="rId339" Type="http://schemas.openxmlformats.org/officeDocument/2006/relationships/hyperlink" Target="http://journals.ke-i.org/index.php/mra/article/view/1593/1695" TargetMode="External"/><Relationship Id="rId10" Type="http://schemas.openxmlformats.org/officeDocument/2006/relationships/hyperlink" Target="http://www.ncbi.nlm.nih.gov/pubmed/16761657" TargetMode="External"/><Relationship Id="rId31" Type="http://schemas.openxmlformats.org/officeDocument/2006/relationships/hyperlink" Target="http://www.was-survey.org/id25.html" TargetMode="External"/><Relationship Id="rId52" Type="http://schemas.openxmlformats.org/officeDocument/2006/relationships/hyperlink" Target="http://www.usaid.gov/our_work/global_health/pop/news/responseviolence.html" TargetMode="External"/><Relationship Id="rId73" Type="http://schemas.openxmlformats.org/officeDocument/2006/relationships/hyperlink" Target="http://www.ncbi.nlm.nih.gov/pmc/articles/PMC2042491" TargetMode="External"/><Relationship Id="rId78" Type="http://schemas.openxmlformats.org/officeDocument/2006/relationships/hyperlink" Target="http://www.ncbi.nlm.nih.gov/pmc/articles/PMC2042491" TargetMode="External"/><Relationship Id="rId94" Type="http://schemas.openxmlformats.org/officeDocument/2006/relationships/hyperlink" Target="http://www.oecd.org/dataoecd/30/26/45583188.pdf" TargetMode="External"/><Relationship Id="rId99" Type="http://schemas.openxmlformats.org/officeDocument/2006/relationships/hyperlink" Target="http://www.oxfam.org/sites/www.oxfam.org/files/oxfam-in-her-own-words-iraqi-women-survey-08mar2009.pdf" TargetMode="External"/><Relationship Id="rId101" Type="http://schemas.openxmlformats.org/officeDocument/2006/relationships/hyperlink" Target="http://www.womenwarpeace.org/opt/docs/Domestic_PCBS_opT.pdf" TargetMode="External"/><Relationship Id="rId122" Type="http://schemas.openxmlformats.org/officeDocument/2006/relationships/hyperlink" Target="http://www.usaid.gov/locations/europe_eurasia/dem_gov/docs/domestic_violence_study_final.pdf" TargetMode="External"/><Relationship Id="rId143" Type="http://schemas.openxmlformats.org/officeDocument/2006/relationships/hyperlink" Target="http://www.endvawnow.org/uploads/browser/files/vawprevalence_matrix_june2013.pdf" TargetMode="External"/><Relationship Id="rId148" Type="http://schemas.openxmlformats.org/officeDocument/2006/relationships/hyperlink" Target="http://www.endvawnow.org/uploads/browser/files/vawprevalence_matrix_june2013.pdf" TargetMode="External"/><Relationship Id="rId164" Type="http://schemas.openxmlformats.org/officeDocument/2006/relationships/hyperlink" Target="http://dhsprogram.com/publications/publication-FR146-DHS-Final-Reports.cfm" TargetMode="External"/><Relationship Id="rId169" Type="http://schemas.openxmlformats.org/officeDocument/2006/relationships/hyperlink" Target="http://www.endvawnow.org/uploads/browser/files/vawprevalence_matrix_june2013.pdf" TargetMode="External"/><Relationship Id="rId185" Type="http://schemas.openxmlformats.org/officeDocument/2006/relationships/hyperlink" Target="http://www.was-survey.org/2008-chad.html" TargetMode="External"/><Relationship Id="rId334" Type="http://schemas.openxmlformats.org/officeDocument/2006/relationships/hyperlink" Target="http://www.tandfonline.com/doi/full/10.1080/17441690701238031?instName=Manchester+Metropolitan+University" TargetMode="External"/><Relationship Id="rId4" Type="http://schemas.openxmlformats.org/officeDocument/2006/relationships/hyperlink" Target="http://www.pubmedcentral.nih.gov/picrender.fcgi?tool=pmcentrez&amp;blobtype=pdf&amp;artid=65060" TargetMode="External"/><Relationship Id="rId9" Type="http://schemas.openxmlformats.org/officeDocument/2006/relationships/hyperlink" Target="http://www.ncbi.nlm.nih.gov/pubmed/20961542" TargetMode="External"/><Relationship Id="rId180" Type="http://schemas.openxmlformats.org/officeDocument/2006/relationships/hyperlink" Target="http://saynotoviolence.org/sites/default/files/toolkit_v2/en/pdf/3840/VAW%20Prevalence%20Matrix%202011.pdf" TargetMode="External"/><Relationship Id="rId210" Type="http://schemas.openxmlformats.org/officeDocument/2006/relationships/hyperlink" Target="https://academic.oup.com/ije/article/38/2/577/655132" TargetMode="External"/><Relationship Id="rId215" Type="http://schemas.openxmlformats.org/officeDocument/2006/relationships/hyperlink" Target="http://journals.sagepub.com/doi/full/10.1177/0886260515584341" TargetMode="External"/><Relationship Id="rId236" Type="http://schemas.openxmlformats.org/officeDocument/2006/relationships/hyperlink" Target="http://www.iosrjournals.org/iosr-jdms/papers/Vol11-issue2/D01121723.pdf?id=7244" TargetMode="External"/><Relationship Id="rId257" Type="http://schemas.openxmlformats.org/officeDocument/2006/relationships/hyperlink" Target="http://www.jstor.org/stable/40276748" TargetMode="External"/><Relationship Id="rId278" Type="http://schemas.openxmlformats.org/officeDocument/2006/relationships/hyperlink" Target="http://www.ejmanager.com/mnstemps/38/38-1405675953.pdf" TargetMode="External"/><Relationship Id="rId26" Type="http://schemas.openxmlformats.org/officeDocument/2006/relationships/hyperlink" Target="http://www.childinfo.org/files/MICS3_CAR_FinalReport_2006_Fr.pdf" TargetMode="External"/><Relationship Id="rId231" Type="http://schemas.openxmlformats.org/officeDocument/2006/relationships/hyperlink" Target="http://www.who-seajph.org/temp/WHOSouth-EastAsiaJPublicHealth12133-7858782_214947.pdf" TargetMode="External"/><Relationship Id="rId252" Type="http://schemas.openxmlformats.org/officeDocument/2006/relationships/hyperlink" Target="http://europepmc.org/articles/PMC3570908" TargetMode="External"/><Relationship Id="rId273" Type="http://schemas.openxmlformats.org/officeDocument/2006/relationships/hyperlink" Target="http://europepmc.org/articles/pmc4871160" TargetMode="External"/><Relationship Id="rId294" Type="http://schemas.openxmlformats.org/officeDocument/2006/relationships/hyperlink" Target="http://jmscr.igmpublication.org/v5-i3/199%20jmscr.pdf" TargetMode="External"/><Relationship Id="rId308" Type="http://schemas.openxmlformats.org/officeDocument/2006/relationships/hyperlink" Target="http://www.iosrjournals.org/iosr-jhss/papers/Vol18-issue1/A01810105.pdf" TargetMode="External"/><Relationship Id="rId329" Type="http://schemas.openxmlformats.org/officeDocument/2006/relationships/hyperlink" Target="https://www.icrw.org/wp-content/uploads/2016/10/Property-Ownership-and-Inheritance-Rights-of-Women-for-Social-Protection-The-South-Asia-Experience.pdf" TargetMode="External"/><Relationship Id="rId47" Type="http://schemas.openxmlformats.org/officeDocument/2006/relationships/hyperlink" Target="http://www.pubmedcentral.nih.gov/picrender.fcgi?tool=pmcentrez&amp;blobtype=pdf&amp;artid=1660563" TargetMode="External"/><Relationship Id="rId68" Type="http://schemas.openxmlformats.org/officeDocument/2006/relationships/hyperlink" Target="http://www.bvsde.paho.org/bvsacd/cd64/en_28530.pdf" TargetMode="External"/><Relationship Id="rId89" Type="http://schemas.openxmlformats.org/officeDocument/2006/relationships/hyperlink" Target="http://www.bvsde.paho.org/bvsacd/cd66/1073eng.pdf" TargetMode="External"/><Relationship Id="rId112" Type="http://schemas.openxmlformats.org/officeDocument/2006/relationships/hyperlink" Target="http://www.measuredhs.com/pubs/pdf/FR259/FR259.pdf" TargetMode="External"/><Relationship Id="rId133" Type="http://schemas.openxmlformats.org/officeDocument/2006/relationships/hyperlink" Target="http://www.unece.org/stats/gender/publications/Multi-Country/Researching_Violence_against_Women.pdf" TargetMode="External"/><Relationship Id="rId154" Type="http://schemas.openxmlformats.org/officeDocument/2006/relationships/hyperlink" Target="http://www.endvawnow.org/uploads/browser/files/vawprevalence_matrix_june2013.pdf" TargetMode="External"/><Relationship Id="rId175" Type="http://schemas.openxmlformats.org/officeDocument/2006/relationships/hyperlink" Target="http://unstats.un.org/unsd/demographic/products/Worldswomen/Annex%20tables%20by%20chapter%20-%20pdf/Table6Ato6E.pdf" TargetMode="External"/><Relationship Id="rId340" Type="http://schemas.openxmlformats.org/officeDocument/2006/relationships/hyperlink" Target="http://journals.ke-i.org/index.php/mra/article/view/1593/1695" TargetMode="External"/><Relationship Id="rId196" Type="http://schemas.openxmlformats.org/officeDocument/2006/relationships/hyperlink" Target="https://www.icrw.org/publications/domestic-violence-in-india-part-4/" TargetMode="External"/><Relationship Id="rId200" Type="http://schemas.openxmlformats.org/officeDocument/2006/relationships/hyperlink" Target="http://journals.sagepub.com/doi/pdf/10.1177/1010539509343949" TargetMode="External"/><Relationship Id="rId16" Type="http://schemas.openxmlformats.org/officeDocument/2006/relationships/hyperlink" Target="http://webapps01.un.org/vawdatabase/searchDetail.action?measureId=27929" TargetMode="External"/><Relationship Id="rId221" Type="http://schemas.openxmlformats.org/officeDocument/2006/relationships/hyperlink" Target="http://journals.sagepub.com/doi/full/10.1177/0886260515584341" TargetMode="External"/><Relationship Id="rId242" Type="http://schemas.openxmlformats.org/officeDocument/2006/relationships/hyperlink" Target="http://www.bioline.org.br/request?ms05028" TargetMode="External"/><Relationship Id="rId263" Type="http://schemas.openxmlformats.org/officeDocument/2006/relationships/hyperlink" Target="http://ispub.com/IJH/9/1/12803" TargetMode="External"/><Relationship Id="rId284" Type="http://schemas.openxmlformats.org/officeDocument/2006/relationships/hyperlink" Target="http://www.ijcmph.com/index.php/ijcmph/article/download/1138/1059" TargetMode="External"/><Relationship Id="rId319" Type="http://schemas.openxmlformats.org/officeDocument/2006/relationships/hyperlink" Target="https://academic.oup.com/ije/article-lookup/doi/10.1093/ije/dyq066" TargetMode="External"/><Relationship Id="rId37" Type="http://schemas.openxmlformats.org/officeDocument/2006/relationships/hyperlink" Target="http://www.cahrv.uni-osnabrueck.de/reddot/D_20_Comparative_reanalysis_of_prevalence_of_violence_pub.pdf" TargetMode="External"/><Relationship Id="rId58" Type="http://schemas.openxmlformats.org/officeDocument/2006/relationships/hyperlink" Target="http://www.justice.govt.nz/publications/publications-archived/2003/the-new-zealand-national-survey-of-crime-victims-2001-may-2003/publication" TargetMode="External"/><Relationship Id="rId79" Type="http://schemas.openxmlformats.org/officeDocument/2006/relationships/hyperlink" Target="http://www.ncbi.nlm.nih.gov/pmc/articles/PMC2042491" TargetMode="External"/><Relationship Id="rId102" Type="http://schemas.openxmlformats.org/officeDocument/2006/relationships/hyperlink" Target="http://www.alianzaintercambios.org/files/doc/1236282110_Researching%20violence.pdf" TargetMode="External"/><Relationship Id="rId123" Type="http://schemas.openxmlformats.org/officeDocument/2006/relationships/hyperlink" Target="http://www.omct.org/files/2004/07/2409/vaw_reports2003_eng.pdf" TargetMode="External"/><Relationship Id="rId144" Type="http://schemas.openxmlformats.org/officeDocument/2006/relationships/hyperlink" Target="http://www.endvawnow.org/uploads/browser/files/vawprevalence_matrix_june2013.pdf" TargetMode="External"/><Relationship Id="rId330" Type="http://schemas.openxmlformats.org/officeDocument/2006/relationships/hyperlink" Target="https://www.icrw.org/wp-content/uploads/2016/10/Property-Ownership-and-Inheritance-Rights-of-Women-for-Social-Protection-The-South-Asia-Experience.pdf" TargetMode="External"/><Relationship Id="rId90" Type="http://schemas.openxmlformats.org/officeDocument/2006/relationships/hyperlink" Target="http://www.unece.org/stats/gender/publications/Multi-Country/Researching_Violence_against_Women.pdf" TargetMode="External"/><Relationship Id="rId165" Type="http://schemas.openxmlformats.org/officeDocument/2006/relationships/hyperlink" Target="http://saynotoviolence.org/sites/default/files/toolkit_v2/en/pdf/3840/VAW%20Prevalence%20Matrix%202011.pdf" TargetMode="External"/><Relationship Id="rId186" Type="http://schemas.openxmlformats.org/officeDocument/2006/relationships/hyperlink" Target="http://www.was-survey.org/2009-cameroon.html" TargetMode="External"/><Relationship Id="rId211" Type="http://schemas.openxmlformats.org/officeDocument/2006/relationships/hyperlink" Target="https://bmcpublichealth.biomedcentral.com/articles/10.1186/1471-2458-13-817" TargetMode="External"/><Relationship Id="rId232" Type="http://schemas.openxmlformats.org/officeDocument/2006/relationships/hyperlink" Target="http://europepmc.org/abstract/MED/19189826" TargetMode="External"/><Relationship Id="rId253" Type="http://schemas.openxmlformats.org/officeDocument/2006/relationships/hyperlink" Target="https://reproductive-health-journal.biomedcentral.com/articles/10.1186/s12978-016-0223-z" TargetMode="External"/><Relationship Id="rId274" Type="http://schemas.openxmlformats.org/officeDocument/2006/relationships/hyperlink" Target="http://www.ijmsph.com/?mno=182482" TargetMode="External"/><Relationship Id="rId295" Type="http://schemas.openxmlformats.org/officeDocument/2006/relationships/hyperlink" Target="http://www.bioline.org.br/request?ms07040" TargetMode="External"/><Relationship Id="rId309" Type="http://schemas.openxmlformats.org/officeDocument/2006/relationships/hyperlink" Target="http://www.iosrjournals.org/iosr-jdms/papers/Vol8-issue4/E0841822.pdf" TargetMode="External"/><Relationship Id="rId27" Type="http://schemas.openxmlformats.org/officeDocument/2006/relationships/hyperlink" Target="http://www.rhrc.org/resources/East%20Timor_gbv_en.pdf" TargetMode="External"/><Relationship Id="rId48" Type="http://schemas.openxmlformats.org/officeDocument/2006/relationships/hyperlink" Target="http://www.cdc.gov/mmwr/preview/mmwrhtml/00025182.htm" TargetMode="External"/><Relationship Id="rId69" Type="http://schemas.openxmlformats.org/officeDocument/2006/relationships/hyperlink" Target="http://www.ess.ufrj.br/prevencaoviolenciasexual/download/015datasenado.pdf" TargetMode="External"/><Relationship Id="rId113" Type="http://schemas.openxmlformats.org/officeDocument/2006/relationships/hyperlink" Target="http://www.unifem.org/attachments/products/baseline_survey_on_sexual_and_gender_based_violence_rwanda.pdf" TargetMode="External"/><Relationship Id="rId134" Type="http://schemas.openxmlformats.org/officeDocument/2006/relationships/hyperlink" Target="http://www.unece.org/stats/gender/publications/Multi-Country/Researching_Violence_against_Women.pdf" TargetMode="External"/><Relationship Id="rId320" Type="http://schemas.openxmlformats.org/officeDocument/2006/relationships/hyperlink" Target="http://www.jahonline.org/article/S1054-139X(14)00354-1/fulltext" TargetMode="External"/><Relationship Id="rId80" Type="http://schemas.openxmlformats.org/officeDocument/2006/relationships/hyperlink" Target="http://www.ncbi.nlm.nih.gov/pmc/articles/PMC2042491" TargetMode="External"/><Relationship Id="rId155" Type="http://schemas.openxmlformats.org/officeDocument/2006/relationships/hyperlink" Target="http://www.endvawnow.org/uploads/browser/files/vawprevalence_matrix_june2013.pdf" TargetMode="External"/><Relationship Id="rId176" Type="http://schemas.openxmlformats.org/officeDocument/2006/relationships/hyperlink" Target="http://saynotoviolence.org/sites/default/files/toolkit_v2/en/pdf/3840/VAW%20Prevalence%20Matrix%202011.pdf" TargetMode="External"/><Relationship Id="rId197" Type="http://schemas.openxmlformats.org/officeDocument/2006/relationships/hyperlink" Target="http://journals.sagepub.com/doi/pdf/10.1177/088626097012003008" TargetMode="External"/><Relationship Id="rId341" Type="http://schemas.openxmlformats.org/officeDocument/2006/relationships/printerSettings" Target="../printerSettings/printerSettings1.bin"/><Relationship Id="rId201" Type="http://schemas.openxmlformats.org/officeDocument/2006/relationships/hyperlink" Target="https://bmcpublichealth.biomedcentral.com/articles/10.1186/1471-2458-7-225" TargetMode="External"/><Relationship Id="rId222" Type="http://schemas.openxmlformats.org/officeDocument/2006/relationships/hyperlink" Target="http://www.was-survey.org/2007-india.html" TargetMode="External"/><Relationship Id="rId243" Type="http://schemas.openxmlformats.org/officeDocument/2006/relationships/hyperlink" Target="https://www.guttmacher.org/journals/ipsrh/2006/12/domestic-violence-and-symptoms-gynecologic-morbidity-among-women-north-india" TargetMode="External"/><Relationship Id="rId264" Type="http://schemas.openxmlformats.org/officeDocument/2006/relationships/hyperlink" Target="http://journals.sagepub.com/doi/pdf/10.1177/1049732314524027" TargetMode="External"/><Relationship Id="rId285" Type="http://schemas.openxmlformats.org/officeDocument/2006/relationships/hyperlink" Target="http://www.ijrcog.org/index.php/ijrcog/article/download/2717/2455" TargetMode="External"/><Relationship Id="rId17" Type="http://schemas.openxmlformats.org/officeDocument/2006/relationships/hyperlink" Target="http://td.rsmjournals.com/cgi/content/abstract/38/1/52" TargetMode="External"/><Relationship Id="rId38" Type="http://schemas.openxmlformats.org/officeDocument/2006/relationships/hyperlink" Target="http://www.oecd.org/dataoecd/30/26/45583188.pdf" TargetMode="External"/><Relationship Id="rId59" Type="http://schemas.openxmlformats.org/officeDocument/2006/relationships/hyperlink" Target="http://www.krepublishers.com/02-Journals/T-Anth/Anth-05-0-000-000-2003-Web/Anth-05-4-217-303-2003-Abst-PDF/Anth-05-4-225-236-2003-135-Odimegwu-C/Anth-05-4-225-236-2003-135-Odimegwu-C-Text.pdf" TargetMode="External"/><Relationship Id="rId103" Type="http://schemas.openxmlformats.org/officeDocument/2006/relationships/hyperlink" Target="http://www.endvawnow.org/uploads/browser/files/vaw_prevalence_matrix_15april_2011.pdf" TargetMode="External"/><Relationship Id="rId124" Type="http://schemas.openxmlformats.org/officeDocument/2006/relationships/hyperlink" Target="http://www.omct.org/files/2001/01/2174/burundieng2001.pdf" TargetMode="External"/><Relationship Id="rId310" Type="http://schemas.openxmlformats.org/officeDocument/2006/relationships/hyperlink" Target="https://prd-idrc.azureedge.net/sites/default/files/openebooks/051-3/index.html" TargetMode="External"/><Relationship Id="rId70" Type="http://schemas.openxmlformats.org/officeDocument/2006/relationships/hyperlink" Target="http://www.euromedgenderequality.org/image.php?id=143" TargetMode="External"/><Relationship Id="rId91" Type="http://schemas.openxmlformats.org/officeDocument/2006/relationships/hyperlink" Target="http://www.measuredhs.com/pubs/pdf/AIS5/AIS5.pdf" TargetMode="External"/><Relationship Id="rId145" Type="http://schemas.openxmlformats.org/officeDocument/2006/relationships/hyperlink" Target="http://www.endvawnow.org/uploads/browser/files/vawprevalence_matrix_june2013.pdf" TargetMode="External"/><Relationship Id="rId166" Type="http://schemas.openxmlformats.org/officeDocument/2006/relationships/hyperlink" Target="http://www.endvawnow.org/uploads/browser/files/vawprevalence_matrix_june2013.pdf" TargetMode="External"/><Relationship Id="rId187" Type="http://schemas.openxmlformats.org/officeDocument/2006/relationships/hyperlink" Target="http://www.was-survey.org/2011-congo-brazzaville.html" TargetMode="External"/><Relationship Id="rId331" Type="http://schemas.openxmlformats.org/officeDocument/2006/relationships/hyperlink" Target="http://www.esocialsciences.org/Download/repecDownload.aspx?fname=Document1572011100.6015894.doc&amp;fcategory=Articles&amp;AId=4289&amp;fref=repec" TargetMode="External"/><Relationship Id="rId1" Type="http://schemas.openxmlformats.org/officeDocument/2006/relationships/hyperlink" Target="brookdale-en1.pionet.com/default.asp?catid=%7b567204BF-9FEA-4A08-A307-188A304557A8%7d" TargetMode="External"/><Relationship Id="rId212" Type="http://schemas.openxmlformats.org/officeDocument/2006/relationships/hyperlink" Target="http://journals.sagepub.com/doi/full/10.1177/0886260515624235" TargetMode="External"/><Relationship Id="rId233" Type="http://schemas.openxmlformats.org/officeDocument/2006/relationships/hyperlink" Target="http://www.ijcm.org.in/article.asp?issn=0970-0218;year=2010;volume=35;issue=3;spage=403;epage=405;aulast=Vachher" TargetMode="External"/><Relationship Id="rId254" Type="http://schemas.openxmlformats.org/officeDocument/2006/relationships/hyperlink" Target="http://www.ijmr.org.in/article.asp?issn=0971-5916;year=2015;volume=141;issue=6;spage=783;epage=788;aulast=Begum" TargetMode="External"/><Relationship Id="rId28" Type="http://schemas.openxmlformats.org/officeDocument/2006/relationships/hyperlink" Target="http://www.ettasos.com/download/12.pdf" TargetMode="External"/><Relationship Id="rId49" Type="http://schemas.openxmlformats.org/officeDocument/2006/relationships/hyperlink" Target="http://www.was-survey.org/id16.html" TargetMode="External"/><Relationship Id="rId114" Type="http://schemas.openxmlformats.org/officeDocument/2006/relationships/hyperlink" Target="http://www.reunion.sante.gouv.fr/services/enveff.pdf" TargetMode="External"/><Relationship Id="rId275" Type="http://schemas.openxmlformats.org/officeDocument/2006/relationships/hyperlink" Target="http://msjonline.org/index.php/ijrms/article/view/2066" TargetMode="External"/><Relationship Id="rId296" Type="http://schemas.openxmlformats.org/officeDocument/2006/relationships/hyperlink" Target="http://journals.sagepub.com/doi/abs/10.1177/0886260510370596" TargetMode="External"/><Relationship Id="rId300" Type="http://schemas.openxmlformats.org/officeDocument/2006/relationships/hyperlink" Target="https://link.springer.com/article/10.1007/s10995-015-1814-y" TargetMode="External"/><Relationship Id="rId60" Type="http://schemas.openxmlformats.org/officeDocument/2006/relationships/hyperlink" Target="www.sciencedirect.com/science?_ob=MImg&amp;_imagekey=B6WPG-45FJWCW-2M-1&amp;_cdi=6990&amp;_user=9861034&amp;_pii=S0091743599905522&amp;_origin=search&amp;_coverDate=11%2F30%2F1999&amp;_sk=999709994&amp;view=c&amp;wchp=dGLbVzb-zSkzS&amp;md5=92a44fedb7cb1b3c9ecfca4f29fe891d&amp;ie=/sdarticle.pdf" TargetMode="External"/><Relationship Id="rId81" Type="http://schemas.openxmlformats.org/officeDocument/2006/relationships/hyperlink" Target="http://www.state.gov/g/drl/rls/hrrpt/2005/61713.htm" TargetMode="External"/><Relationship Id="rId135" Type="http://schemas.openxmlformats.org/officeDocument/2006/relationships/hyperlink" Target="http://www.unece.org/stats/gender/publications/Multi-Country/Researching_Violence_against_Women.pdf" TargetMode="External"/><Relationship Id="rId156" Type="http://schemas.openxmlformats.org/officeDocument/2006/relationships/hyperlink" Target="http://www.endvawnow.org/uploads/browser/files/vawprevalence_matrix_june2013.pdf" TargetMode="External"/><Relationship Id="rId177" Type="http://schemas.openxmlformats.org/officeDocument/2006/relationships/hyperlink" Target="http://www.rhrc.org/resources/East%20Timor_gbv_en.pdf" TargetMode="External"/><Relationship Id="rId198" Type="http://schemas.openxmlformats.org/officeDocument/2006/relationships/hyperlink" Target="http://www.indianjpsychiatry.org/article.asp?issn=0019-5545;year=2009;volume=51;issue=2;spage=96;epage=100;aulast=Chowdhury" TargetMode="External"/><Relationship Id="rId321" Type="http://schemas.openxmlformats.org/officeDocument/2006/relationships/hyperlink" Target="http://www.cuts-international.org/Baseline_survey.doc" TargetMode="External"/><Relationship Id="rId342" Type="http://schemas.openxmlformats.org/officeDocument/2006/relationships/vmlDrawing" Target="../drawings/vmlDrawing1.vml"/><Relationship Id="rId202" Type="http://schemas.openxmlformats.org/officeDocument/2006/relationships/hyperlink" Target="https://www.ncbi.nlm.nih.gov/pmc/articles/PMC3441662/" TargetMode="External"/><Relationship Id="rId223" Type="http://schemas.openxmlformats.org/officeDocument/2006/relationships/hyperlink" Target="https://bmcpublichealth.biomedcentral.com/articles/10.1186/1471-2458-9-129" TargetMode="External"/><Relationship Id="rId244" Type="http://schemas.openxmlformats.org/officeDocument/2006/relationships/hyperlink" Target="http://ajph.aphapublications.org/doi/10.2105/AJPH.2005.066316" TargetMode="External"/><Relationship Id="rId18" Type="http://schemas.openxmlformats.org/officeDocument/2006/relationships/hyperlink" Target="http://www.ncbi.nlm.nih.gov/pubmed/20822809?tool=MedlinePlus" TargetMode="External"/><Relationship Id="rId39" Type="http://schemas.openxmlformats.org/officeDocument/2006/relationships/hyperlink" Target="http://www.state.gov/g/drl/rls/hrrpt/2005/61713.htm" TargetMode="External"/><Relationship Id="rId265" Type="http://schemas.openxmlformats.org/officeDocument/2006/relationships/hyperlink" Target="https://www.icrw.org/wp-content/uploads/2016/10/Masculinity-Book_Inside_final_6th-Nov.pdf" TargetMode="External"/><Relationship Id="rId286" Type="http://schemas.openxmlformats.org/officeDocument/2006/relationships/hyperlink" Target="http://msjonline.org/index.php/ijrms/article/download/993/957" TargetMode="External"/><Relationship Id="rId50" Type="http://schemas.openxmlformats.org/officeDocument/2006/relationships/hyperlink" Target="http://www.eclac.org/publicaciones/xml/4/32194/Nomore.pdf" TargetMode="External"/><Relationship Id="rId104" Type="http://schemas.openxmlformats.org/officeDocument/2006/relationships/hyperlink" Target="http://www.un.org.kg/en/publications/document-database/article/86-Document%20Database/4016-crisis-centers-of-kyrgyzstan" TargetMode="External"/><Relationship Id="rId125" Type="http://schemas.openxmlformats.org/officeDocument/2006/relationships/hyperlink" Target="http://www.carl-sl.org/home/index.php?option=com_content&amp;id=436" TargetMode="External"/><Relationship Id="rId146" Type="http://schemas.openxmlformats.org/officeDocument/2006/relationships/hyperlink" Target="http://www.endvawnow.org/uploads/browser/files/vawprevalence_matrix_june2013.pdf" TargetMode="External"/><Relationship Id="rId167" Type="http://schemas.openxmlformats.org/officeDocument/2006/relationships/hyperlink" Target="http://www.endvawnow.org/uploads/browser/files/vawprevalence_matrix_june2013.pdf" TargetMode="External"/><Relationship Id="rId188" Type="http://schemas.openxmlformats.org/officeDocument/2006/relationships/hyperlink" Target="http://www.was-survey.org/2001-2002-indonesia.html" TargetMode="External"/><Relationship Id="rId311" Type="http://schemas.openxmlformats.org/officeDocument/2006/relationships/hyperlink" Target="http://www.sciencedirect.com/science/article/pii/S0277953617301302" TargetMode="External"/><Relationship Id="rId332" Type="http://schemas.openxmlformats.org/officeDocument/2006/relationships/hyperlink" Target="http://digitalcommons.uconn.edu/dissertations/756" TargetMode="External"/><Relationship Id="rId71" Type="http://schemas.openxmlformats.org/officeDocument/2006/relationships/hyperlink" Target="http://www.measuredhs.com/pubs/pdf/FR235/FR235.pdf" TargetMode="External"/><Relationship Id="rId92" Type="http://schemas.openxmlformats.org/officeDocument/2006/relationships/hyperlink" Target="http://www.oecd.org/dataoecd/30/26/45583188.pdf" TargetMode="External"/><Relationship Id="rId213" Type="http://schemas.openxmlformats.org/officeDocument/2006/relationships/hyperlink" Target="http://www.epw.in/journal/2000/20/special-articles/violence-against-women.html" TargetMode="External"/><Relationship Id="rId234" Type="http://schemas.openxmlformats.org/officeDocument/2006/relationships/hyperlink" Target="https://www.icrw.org/wp-content/uploads/2016/10/Domestic-Violence-in-India-3-A-Summary-Report-of-a-Multi-Site-Household-Survey.pdf" TargetMode="External"/><Relationship Id="rId2" Type="http://schemas.openxmlformats.org/officeDocument/2006/relationships/hyperlink" Target="http://www.mrc.ac.za/gender/projects.htm" TargetMode="External"/><Relationship Id="rId29" Type="http://schemas.openxmlformats.org/officeDocument/2006/relationships/hyperlink" Target="http://www.scielo.org.ar/pdf/medba/v64n6/v64n6a03.pdf" TargetMode="External"/><Relationship Id="rId255" Type="http://schemas.openxmlformats.org/officeDocument/2006/relationships/hyperlink" Target="http://www.ojhas.org/issue39/2011-3-3.pdf" TargetMode="External"/><Relationship Id="rId276" Type="http://schemas.openxmlformats.org/officeDocument/2006/relationships/hyperlink" Target="https://www.researchgate.net/profile/Manoj_Gupta38/publication/282073558_EMPOWERMENT_AND_ENGAGEMENT_OF_SHG_WOMEN_AGAINST_VIOLENCE_DURING_SEX_INTIMACY_AN_INTERVENTION_STUDY_FROM_KARNATAKA_INDIA/links/560242f408aeb30ba7355c24.pdf" TargetMode="External"/><Relationship Id="rId297" Type="http://schemas.openxmlformats.org/officeDocument/2006/relationships/hyperlink" Target="http://www.binaagarwal.com/popular%20writings/Home%20and%20the%20World_spousal%20violence%20IndianExpress_7Aug03.pdf" TargetMode="External"/><Relationship Id="rId40" Type="http://schemas.openxmlformats.org/officeDocument/2006/relationships/hyperlink" Target="http://www.bvsde.paho.org/bvsacd/cd66/1073eng.pdf" TargetMode="External"/><Relationship Id="rId115" Type="http://schemas.openxmlformats.org/officeDocument/2006/relationships/hyperlink" Target="http://www.justice.govt.nz/publications/publications-archived/2003/the-new-zealand-national-survey-of-crime-victims-2001-may-2003/publication" TargetMode="External"/><Relationship Id="rId136" Type="http://schemas.openxmlformats.org/officeDocument/2006/relationships/hyperlink" Target="http://www.unece.org/stats/gender/publications/Multi-Country/Researching_Violence_against_Women.pdf" TargetMode="External"/><Relationship Id="rId157" Type="http://schemas.openxmlformats.org/officeDocument/2006/relationships/hyperlink" Target="http://www.lped.org/IMG/pdf/BIP_32.pdf" TargetMode="External"/><Relationship Id="rId178" Type="http://schemas.openxmlformats.org/officeDocument/2006/relationships/hyperlink" Target="http://saynotoviolence.org/sites/default/files/toolkit_v2/en/pdf/3840/VAW%20Prevalence%20Matrix%202011.pdf" TargetMode="External"/><Relationship Id="rId301" Type="http://schemas.openxmlformats.org/officeDocument/2006/relationships/hyperlink" Target="http://www.tandfonline.com/doi/full/10.1080/01443610701406075" TargetMode="External"/><Relationship Id="rId322" Type="http://schemas.openxmlformats.org/officeDocument/2006/relationships/hyperlink" Target="http://ijsw.tiss.edu/greenstone/cgi-bin/linux/library.cgi?e=d-01000-00---off-0ijsw--00-1----0-10-0---0---0direct-10----4-------0-1l--11-en-50---20-about---00-3-1-00-00--4--0--0-0-11-10-0utfZz-8-00&amp;cl=CL3.109.3&amp;d=HASH010f0561beb07cc950861aa4&amp;x=1" TargetMode="External"/><Relationship Id="rId343" Type="http://schemas.openxmlformats.org/officeDocument/2006/relationships/comments" Target="../comments1.xml"/><Relationship Id="rId61" Type="http://schemas.openxmlformats.org/officeDocument/2006/relationships/hyperlink" Target="http://www.rhrc.org/resources/Kosovo_report__FINAL_RHRC_6-11-08.pdf" TargetMode="External"/><Relationship Id="rId82" Type="http://schemas.openxmlformats.org/officeDocument/2006/relationships/hyperlink" Target="http://www.usaid.gov/our_work/global_health/pop/news/responseviolence.html" TargetMode="External"/><Relationship Id="rId199" Type="http://schemas.openxmlformats.org/officeDocument/2006/relationships/hyperlink" Target="http://psycnet.apa.org/journals/cdp/14/3/256/" TargetMode="External"/><Relationship Id="rId203" Type="http://schemas.openxmlformats.org/officeDocument/2006/relationships/hyperlink" Target="https://www.ncbi.nlm.nih.gov/pmc/articles/PMC4031588/" TargetMode="External"/><Relationship Id="rId19" Type="http://schemas.openxmlformats.org/officeDocument/2006/relationships/hyperlink" Target="http://www.un.org.kg/en/publications/document-database/article/86-Document%20Database/4016-crisis-centers-of-kyrgyzstan" TargetMode="External"/><Relationship Id="rId224" Type="http://schemas.openxmlformats.org/officeDocument/2006/relationships/hyperlink" Target="http://www.rrh.org.au/articles/subviewnew.asp?ArticleID=304" TargetMode="External"/><Relationship Id="rId245" Type="http://schemas.openxmlformats.org/officeDocument/2006/relationships/hyperlink" Target="http://www.sciencedirect.com/science/article/pii/S0305750X11000209" TargetMode="External"/><Relationship Id="rId266" Type="http://schemas.openxmlformats.org/officeDocument/2006/relationships/hyperlink" Target="https://www.ncbi.nlm.nih.gov/pmc/articles/PMC3557546/" TargetMode="External"/><Relationship Id="rId287" Type="http://schemas.openxmlformats.org/officeDocument/2006/relationships/hyperlink" Target="http://www.ijramr.com/sites/default/files/issues-pdf/138.pdf" TargetMode="External"/><Relationship Id="rId30" Type="http://schemas.openxmlformats.org/officeDocument/2006/relationships/hyperlink" Target="http://www.was-survey.org/2009-cameroon.html" TargetMode="External"/><Relationship Id="rId105" Type="http://schemas.openxmlformats.org/officeDocument/2006/relationships/hyperlink" Target="http://www.aifs.gov.au/acssa/statistics.html" TargetMode="External"/><Relationship Id="rId126" Type="http://schemas.openxmlformats.org/officeDocument/2006/relationships/hyperlink" Target="http://www.fijiwomen.com/index.php?option=com_content&amp;id=123" TargetMode="External"/><Relationship Id="rId147" Type="http://schemas.openxmlformats.org/officeDocument/2006/relationships/hyperlink" Target="http://www.endvawnow.org/uploads/browser/files/vawprevalence_matrix_june2013.pdf" TargetMode="External"/><Relationship Id="rId168" Type="http://schemas.openxmlformats.org/officeDocument/2006/relationships/hyperlink" Target="http://www.endvawnow.org/uploads/browser/files/vawprevalence_matrix_june2013.pdf" TargetMode="External"/><Relationship Id="rId312" Type="http://schemas.openxmlformats.org/officeDocument/2006/relationships/hyperlink" Target="https://www.ncbi.nlm.nih.gov/pmc/articles/PMC4919933/" TargetMode="External"/><Relationship Id="rId333" Type="http://schemas.openxmlformats.org/officeDocument/2006/relationships/hyperlink" Target="https://papers.ssrn.com/sol3/Delivery.cfm/SSRN_ID2553321_code2349016.pdf?abstractid=2553321&amp;mirid=1&amp;type=2" TargetMode="External"/><Relationship Id="rId51" Type="http://schemas.openxmlformats.org/officeDocument/2006/relationships/hyperlink" Target="http://www.state.gov/g/drl/rls/hrrpt/2009/af/135937.htm" TargetMode="External"/><Relationship Id="rId72" Type="http://schemas.openxmlformats.org/officeDocument/2006/relationships/hyperlink" Target="http://www.infoforhealth.org/pr/l11/l11tables.shtml" TargetMode="External"/><Relationship Id="rId93" Type="http://schemas.openxmlformats.org/officeDocument/2006/relationships/hyperlink" Target="http://www.oecd.org/dataoecd/30/26/45583188.pdf" TargetMode="External"/><Relationship Id="rId189" Type="http://schemas.openxmlformats.org/officeDocument/2006/relationships/hyperlink" Target="http://www.was-survey.org/2001-2002-indonesia.html" TargetMode="External"/><Relationship Id="rId3" Type="http://schemas.openxmlformats.org/officeDocument/2006/relationships/hyperlink" Target="http://www.pubmedcentral.nih.gov/picrender.fcgi?tool=pmcentrez&amp;blobtype=pdf&amp;artid=1447918" TargetMode="External"/><Relationship Id="rId214" Type="http://schemas.openxmlformats.org/officeDocument/2006/relationships/hyperlink" Target="http://ajms.alameenmedical.org/ArticlePDFs/AJMS%20V5.N2.2012%20P%20157-164.pdf" TargetMode="External"/><Relationship Id="rId235" Type="http://schemas.openxmlformats.org/officeDocument/2006/relationships/hyperlink" Target="http://www.cds.ac.in/krpcds/publication/downloads/86.pdf" TargetMode="External"/><Relationship Id="rId256" Type="http://schemas.openxmlformats.org/officeDocument/2006/relationships/hyperlink" Target="http://www.tandfonline.com/doi/full/10.1016/S0968-8080%2806%2928261-2" TargetMode="External"/><Relationship Id="rId277" Type="http://schemas.openxmlformats.org/officeDocument/2006/relationships/hyperlink" Target="https://www.researchgate.net/profile/Manoj_Gupta38/publication/282073558_EMPOWERMENT_AND_ENGAGEMENT_OF_SHG_WOMEN_AGAINST_VIOLENCE_DURING_SEX_INTIMACY_AN_INTERVENTION_STUDY_FROM_KARNATAKA_INDIA/links/560242f408aeb30ba7355c24.pdf" TargetMode="External"/><Relationship Id="rId298" Type="http://schemas.openxmlformats.org/officeDocument/2006/relationships/hyperlink" Target="http://imsear.li.mahidol.ac.th/bitstream/123456789/159386/1/dpj2011v14n1p149.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unhcr.org/refworld/publisher,IRBC,,,4b20eff748,0.html" TargetMode="External"/><Relationship Id="rId117" Type="http://schemas.openxmlformats.org/officeDocument/2006/relationships/hyperlink" Target="http://www.ettasos.com/download/12.pdf" TargetMode="External"/><Relationship Id="rId21" Type="http://schemas.openxmlformats.org/officeDocument/2006/relationships/hyperlink" Target="http://www.measuredhs.com/pubs/pdf/FR233/FR233.pdf" TargetMode="External"/><Relationship Id="rId42" Type="http://schemas.openxmlformats.org/officeDocument/2006/relationships/hyperlink" Target="http://www.cahrv.uni-osnabrueck.de/reddot/D_20_Comparative_reanalysis_of_prevalence_of_violence_pub.pdf" TargetMode="External"/><Relationship Id="rId47" Type="http://schemas.openxmlformats.org/officeDocument/2006/relationships/hyperlink" Target="http://www.pubmedcentral.nih.gov/picrender.fcgi?artid=1308495&amp;blobtype=pdf" TargetMode="External"/><Relationship Id="rId63" Type="http://schemas.openxmlformats.org/officeDocument/2006/relationships/hyperlink" Target="http://www.justice.govt.nz/publications/publications-archived/2003/the-new-zealand-national-survey-of-crime-victims-2001-may-2003/publication" TargetMode="External"/><Relationship Id="rId68" Type="http://schemas.openxmlformats.org/officeDocument/2006/relationships/hyperlink" Target="www.sciencedirect.com/science?_ob=MImg&amp;_imagekey=B6VBF-46SW158-B-1M&amp;_cdi=5925&amp;_user=8818308&amp;_pii=S0277953601002933&amp;_origin=search&amp;_coverDate=11%2F30%2F2002&amp;_sk=999449990&amp;view=c&amp;wchp=dGLbVzb-zSkzS&amp;md5=9f29c32b495005b1b8694d5d5f847f34&amp;ie=/sdarticle.pdf" TargetMode="External"/><Relationship Id="rId84" Type="http://schemas.openxmlformats.org/officeDocument/2006/relationships/hyperlink" Target="http://www.infoforhealth.org/pr/l11/l11tables.shtml" TargetMode="External"/><Relationship Id="rId89" Type="http://schemas.openxmlformats.org/officeDocument/2006/relationships/hyperlink" Target="http://www.ncbi.nlm.nih.gov/pmc/articles/PMC2042491" TargetMode="External"/><Relationship Id="rId112" Type="http://schemas.openxmlformats.org/officeDocument/2006/relationships/hyperlink" Target="http://www.un.org.kg/en/publications/document-database/article/86-Document%20Database/4016-crisis-centers-of-kyrgyzstan" TargetMode="External"/><Relationship Id="rId133" Type="http://schemas.openxmlformats.org/officeDocument/2006/relationships/hyperlink" Target="http://www.measuredhs.com/pubs/pdf/AIS5/AIS5.pdf" TargetMode="External"/><Relationship Id="rId138" Type="http://schemas.openxmlformats.org/officeDocument/2006/relationships/hyperlink" Target="http://www.measuredhs.com/pubs/pdf/FR235/FR235.pdf" TargetMode="External"/><Relationship Id="rId154" Type="http://schemas.openxmlformats.org/officeDocument/2006/relationships/hyperlink" Target="http://www.un.org.kg/en/publications/document-database/article/86-Document%20Database/4016-crisis-centers-of-kyrgyzstan" TargetMode="External"/><Relationship Id="rId159" Type="http://schemas.openxmlformats.org/officeDocument/2006/relationships/hyperlink" Target="http://www.ggp.up.ac.za/gender_equality/course_material/2009/bayard%202.doc" TargetMode="External"/><Relationship Id="rId175" Type="http://schemas.openxmlformats.org/officeDocument/2006/relationships/hyperlink" Target="http://www.measuredhs.com/pubs/pdf/FR247/FR247.pdf" TargetMode="External"/><Relationship Id="rId170" Type="http://schemas.openxmlformats.org/officeDocument/2006/relationships/hyperlink" Target="http://www.measuredhs.com/pubs/pdf/PR11/PR11.pdf" TargetMode="External"/><Relationship Id="rId16" Type="http://schemas.openxmlformats.org/officeDocument/2006/relationships/hyperlink" Target="http://webapps01.un.org/vawdatabase/searchDetail.action?measureId=27929" TargetMode="External"/><Relationship Id="rId107" Type="http://schemas.openxmlformats.org/officeDocument/2006/relationships/hyperlink" Target="http://www.was-survey.org/id30.html" TargetMode="External"/><Relationship Id="rId11" Type="http://schemas.openxmlformats.org/officeDocument/2006/relationships/hyperlink" Target="http://www.ncbi.nlm.nih.gov/pubmed/16761656" TargetMode="External"/><Relationship Id="rId32" Type="http://schemas.openxmlformats.org/officeDocument/2006/relationships/hyperlink" Target="http://www.scielo.org.ar/pdf/medba/v64n6/v64n6a03.pdf" TargetMode="External"/><Relationship Id="rId37" Type="http://schemas.openxmlformats.org/officeDocument/2006/relationships/hyperlink" Target="http://www.icrh.org/projects/developing-strategies-to-combat-violence-against-women-in-developing-countries-health-care-" TargetMode="External"/><Relationship Id="rId53" Type="http://schemas.openxmlformats.org/officeDocument/2006/relationships/hyperlink" Target="http://www.cdc.gov/mmwr/preview/mmwrhtml/00025182.htm" TargetMode="External"/><Relationship Id="rId58" Type="http://schemas.openxmlformats.org/officeDocument/2006/relationships/hyperlink" Target="http://aje.oxfordjournals.org/cgi/reprint/160/3/230" TargetMode="External"/><Relationship Id="rId74" Type="http://schemas.openxmlformats.org/officeDocument/2006/relationships/hyperlink" Target="http://www.ess.ufrj.br/prevencaoviolenciasexual/download/015datasenado.pdf" TargetMode="External"/><Relationship Id="rId79" Type="http://schemas.openxmlformats.org/officeDocument/2006/relationships/hyperlink" Target="http://www.measuredhs.com/pubs/pdf/FR247/FR247.pdf" TargetMode="External"/><Relationship Id="rId102" Type="http://schemas.openxmlformats.org/officeDocument/2006/relationships/hyperlink" Target="http://www.bvsde.paho.org/bvsacd/cd64/en_28530.pdf" TargetMode="External"/><Relationship Id="rId123" Type="http://schemas.openxmlformats.org/officeDocument/2006/relationships/hyperlink" Target="http://www.was-survey.org/id16.html" TargetMode="External"/><Relationship Id="rId128" Type="http://schemas.openxmlformats.org/officeDocument/2006/relationships/hyperlink" Target="http://www.bvsde.paho.org/bvsacd/cd66/1073eng.pdf" TargetMode="External"/><Relationship Id="rId144" Type="http://schemas.openxmlformats.org/officeDocument/2006/relationships/hyperlink" Target="http://www.cahrv.uni-osnabrueck.de/conference/SummaryGermanVAWstudy.pdf" TargetMode="External"/><Relationship Id="rId149" Type="http://schemas.openxmlformats.org/officeDocument/2006/relationships/hyperlink" Target="http://www.oxfam.org/sites/www.oxfam.org/files/oxfam-in-her-own-words-iraqi-women-survey-08mar2009.pdf" TargetMode="External"/><Relationship Id="rId5" Type="http://schemas.openxmlformats.org/officeDocument/2006/relationships/hyperlink" Target="download.journals.elsevierhealth.com/pdfs/journals/0749-3797/PIIS0749379706000985.pdf?clusterid=thelancet&amp;mis=.pdf" TargetMode="External"/><Relationship Id="rId90" Type="http://schemas.openxmlformats.org/officeDocument/2006/relationships/hyperlink" Target="http://www.ncbi.nlm.nih.gov/pmc/articles/PMC2042491" TargetMode="External"/><Relationship Id="rId95" Type="http://schemas.openxmlformats.org/officeDocument/2006/relationships/hyperlink" Target="http://www.usaid.gov/our_work/global_health/pop/news/responseviolence.html" TargetMode="External"/><Relationship Id="rId160" Type="http://schemas.openxmlformats.org/officeDocument/2006/relationships/hyperlink" Target="http://www.measuredhs.com/pubs/pdf/FR243/FR243%5B24June2011%5D.pdf" TargetMode="External"/><Relationship Id="rId165" Type="http://schemas.openxmlformats.org/officeDocument/2006/relationships/hyperlink" Target="http://www.measuredhs.com/pubs/pdf/FR259/FR259.pdf" TargetMode="External"/><Relationship Id="rId181" Type="http://schemas.openxmlformats.org/officeDocument/2006/relationships/hyperlink" Target="http://www.omct.org/files/2004/07/2409/vaw_reports2003_eng.pdf" TargetMode="External"/><Relationship Id="rId186" Type="http://schemas.openxmlformats.org/officeDocument/2006/relationships/printerSettings" Target="../printerSettings/printerSettings2.bin"/><Relationship Id="rId22" Type="http://schemas.openxmlformats.org/officeDocument/2006/relationships/hyperlink" Target="http://www.carl-sl.org/home/index.php?option=com_content&amp;view=article&amp;id=436:summary-of-a-report-on-the-prevalence-of-gender-based-violence-in-northern-sierra-leone&amp;catid=5:reports&amp;Itemid=20" TargetMode="External"/><Relationship Id="rId27" Type="http://schemas.openxmlformats.org/officeDocument/2006/relationships/hyperlink" Target="http://www.un.org/womenwatch/daw/egm/vaw_indicators_2007/papers/Invited%20Paper%20Mexico%20ENDIREH.pdf" TargetMode="External"/><Relationship Id="rId43" Type="http://schemas.openxmlformats.org/officeDocument/2006/relationships/hyperlink" Target="http://www.oecd.org/dataoecd/30/26/45583188.pdf" TargetMode="External"/><Relationship Id="rId48" Type="http://schemas.openxmlformats.org/officeDocument/2006/relationships/hyperlink" Target="http://www.unece.org/stats/gender/publications/Multi-Country/Researching_Violence_against_Women.pdf" TargetMode="External"/><Relationship Id="rId64" Type="http://schemas.openxmlformats.org/officeDocument/2006/relationships/hyperlink" Target="http://www.krepublishers.com/02-Journals/T-Anth/Anth-05-0-000-000-2003-Web/Anth-05-4-217-303-2003-Abst-PDF/Anth-05-4-225-236-2003-135-Odimegwu-C/Anth-05-4-225-236-2003-135-Odimegwu-C-Text.pdf" TargetMode="External"/><Relationship Id="rId69" Type="http://schemas.openxmlformats.org/officeDocument/2006/relationships/hyperlink" Target="http://www.genderseychelles.gov.sc/pages/programmes/SexDisaggredatedData.aspx" TargetMode="External"/><Relationship Id="rId113" Type="http://schemas.openxmlformats.org/officeDocument/2006/relationships/hyperlink" Target="http://www.ncss.org.sg/vwocorner/research_gateway/Family_abstract_12.pdf" TargetMode="External"/><Relationship Id="rId118" Type="http://schemas.openxmlformats.org/officeDocument/2006/relationships/hyperlink" Target="http://www.pubmedcentral.nih.gov/picrender.fcgi?artid=1308495&amp;blobtype=pdf" TargetMode="External"/><Relationship Id="rId134" Type="http://schemas.openxmlformats.org/officeDocument/2006/relationships/hyperlink" Target="http://www.oecd.org/dataoecd/30/26/45583188.pdf" TargetMode="External"/><Relationship Id="rId139" Type="http://schemas.openxmlformats.org/officeDocument/2006/relationships/hyperlink" Target="http://www.measuredhs.com/pubs/pdf/FR235/FR235.pdf" TargetMode="External"/><Relationship Id="rId80" Type="http://schemas.openxmlformats.org/officeDocument/2006/relationships/hyperlink" Target="http://www.measuredhs.com/pubs/pdf/PR11/PR11.pdf" TargetMode="External"/><Relationship Id="rId85" Type="http://schemas.openxmlformats.org/officeDocument/2006/relationships/hyperlink" Target="http://www.ncbi.nlm.nih.gov/pmc/articles/PMC2042491" TargetMode="External"/><Relationship Id="rId150" Type="http://schemas.openxmlformats.org/officeDocument/2006/relationships/hyperlink" Target="brookdale-en1.pionet.com/default.asp?catid=%7b567204BF-9FEA-4A08-A307-188A304557A8%7d" TargetMode="External"/><Relationship Id="rId155" Type="http://schemas.openxmlformats.org/officeDocument/2006/relationships/hyperlink" Target="http://www.aifs.gov.au/acssa/statistics.html" TargetMode="External"/><Relationship Id="rId171" Type="http://schemas.openxmlformats.org/officeDocument/2006/relationships/hyperlink" Target="http://www.measuredhs.com/pubs/pdf/PR11/PR11.pdf" TargetMode="External"/><Relationship Id="rId176" Type="http://schemas.openxmlformats.org/officeDocument/2006/relationships/hyperlink" Target="http://www.ncbi.nlm.nih.gov/pmc/articles/PMC1308495/" TargetMode="External"/><Relationship Id="rId12" Type="http://schemas.openxmlformats.org/officeDocument/2006/relationships/hyperlink" Target="http://www.ncbi.nlm.nih.gov/pubmed/16532685?dopt=AbstractPlus&amp;holding=f1000,f1000m,isrctn" TargetMode="External"/><Relationship Id="rId17" Type="http://schemas.openxmlformats.org/officeDocument/2006/relationships/hyperlink" Target="http://td.rsmjournals.com/cgi/content/abstract/38/1/52" TargetMode="External"/><Relationship Id="rId33" Type="http://schemas.openxmlformats.org/officeDocument/2006/relationships/hyperlink" Target="http://www.was-survey.org/2009-cameroon.html" TargetMode="External"/><Relationship Id="rId38" Type="http://schemas.openxmlformats.org/officeDocument/2006/relationships/hyperlink" Target="http://www.ncbi.nlm.nih.gov/pmc/articles/PMC2042491/?tool=pubmed" TargetMode="External"/><Relationship Id="rId59" Type="http://schemas.openxmlformats.org/officeDocument/2006/relationships/hyperlink" Target="http://webapps01.un.org/vawdatabase/searchDetail.action?measureId=17400" TargetMode="External"/><Relationship Id="rId103" Type="http://schemas.openxmlformats.org/officeDocument/2006/relationships/hyperlink" Target="http://www.ess.ufrj.br/prevencaoviolenciasexual/download/015datasenado.pdf" TargetMode="External"/><Relationship Id="rId108" Type="http://schemas.openxmlformats.org/officeDocument/2006/relationships/hyperlink" Target="http://www.was-survey.org/id16.html" TargetMode="External"/><Relationship Id="rId124" Type="http://schemas.openxmlformats.org/officeDocument/2006/relationships/hyperlink" Target="http://webapps01.un.org/vawdatabase/searchDetail.action?measureId=27929" TargetMode="External"/><Relationship Id="rId129" Type="http://schemas.openxmlformats.org/officeDocument/2006/relationships/hyperlink" Target="http://www.bvsde.paho.org/bvsacd/cd66/1073eng.pdf" TargetMode="External"/><Relationship Id="rId54" Type="http://schemas.openxmlformats.org/officeDocument/2006/relationships/hyperlink" Target="http://www.was-survey.org/id16.html" TargetMode="External"/><Relationship Id="rId70" Type="http://schemas.openxmlformats.org/officeDocument/2006/relationships/hyperlink" Target="http://www.ggp.up.ac.za/gender_equality/course_material/2009/bayard%202.doc" TargetMode="External"/><Relationship Id="rId75" Type="http://schemas.openxmlformats.org/officeDocument/2006/relationships/hyperlink" Target="http://www.euromedgenderequality.org/image.php?id=143" TargetMode="External"/><Relationship Id="rId91" Type="http://schemas.openxmlformats.org/officeDocument/2006/relationships/hyperlink" Target="http://www.ncbi.nlm.nih.gov/pmc/articles/PMC2042491" TargetMode="External"/><Relationship Id="rId96" Type="http://schemas.openxmlformats.org/officeDocument/2006/relationships/hyperlink" Target="http://www.usaid.gov/our_work/global_health/pop/news/responseviolence.html" TargetMode="External"/><Relationship Id="rId140" Type="http://schemas.openxmlformats.org/officeDocument/2006/relationships/hyperlink" Target="http://www.genderseychelles.gov.sc/pages/programmes/SexDisaggredatedData.aspx" TargetMode="External"/><Relationship Id="rId145" Type="http://schemas.openxmlformats.org/officeDocument/2006/relationships/hyperlink" Target="http://www.cahrv.uni-osnabrueck.de/reddot/D_20_Comparative_reanalysis_of_prevalence_of_violence_pub.pdf" TargetMode="External"/><Relationship Id="rId161" Type="http://schemas.openxmlformats.org/officeDocument/2006/relationships/hyperlink" Target="http://www.measuredhs.com/pubs/pdf/FR243/FR243%5B24June2011%5D.pdf" TargetMode="External"/><Relationship Id="rId166" Type="http://schemas.openxmlformats.org/officeDocument/2006/relationships/hyperlink" Target="http://www.unifem.org/attachments/products/baseline_survey_on_sexual_and_gender_based_violence_rwanda.pdf" TargetMode="External"/><Relationship Id="rId182" Type="http://schemas.openxmlformats.org/officeDocument/2006/relationships/hyperlink" Target="http://www.omct.org/files/2001/01/2174/burundieng2001.pdf" TargetMode="External"/><Relationship Id="rId187" Type="http://schemas.openxmlformats.org/officeDocument/2006/relationships/vmlDrawing" Target="../drawings/vmlDrawing2.vml"/><Relationship Id="rId1" Type="http://schemas.openxmlformats.org/officeDocument/2006/relationships/hyperlink" Target="brookdale-en1.pionet.com/default.asp?catid=%7b567204BF-9FEA-4A08-A307-188A304557A8%7d" TargetMode="External"/><Relationship Id="rId6" Type="http://schemas.openxmlformats.org/officeDocument/2006/relationships/hyperlink" Target="http://download.thelancet.com/pdfs/journals/0140-6736/PIIS0140673602095351.pdf?clusterid=thelancet&amp;mis=.pdf" TargetMode="External"/><Relationship Id="rId23" Type="http://schemas.openxmlformats.org/officeDocument/2006/relationships/hyperlink" Target="http://www.ncss.org.sg/vwocorner/research_gateway/Family_abstract_12.pdf" TargetMode="External"/><Relationship Id="rId28" Type="http://schemas.openxmlformats.org/officeDocument/2006/relationships/hyperlink" Target="http://www.reunion.sante.gouv.fr/services/enveff.pdf" TargetMode="External"/><Relationship Id="rId49" Type="http://schemas.openxmlformats.org/officeDocument/2006/relationships/hyperlink" Target="http://www.infoforhealth.org/pr/l11/l11tables.shtml" TargetMode="External"/><Relationship Id="rId114" Type="http://schemas.openxmlformats.org/officeDocument/2006/relationships/hyperlink" Target="http://www.un.org/womenwatch/daw/egm/vaw_indicators_2007/papers/Invited%20Paper%20Mexico%20ENDIREH.pdf" TargetMode="External"/><Relationship Id="rId119" Type="http://schemas.openxmlformats.org/officeDocument/2006/relationships/hyperlink" Target="http://www.aifs.gov.au/acssa/statistics.html" TargetMode="External"/><Relationship Id="rId44" Type="http://schemas.openxmlformats.org/officeDocument/2006/relationships/hyperlink" Target="http://www.state.gov/g/drl/rls/hrrpt/2005/61713.htm" TargetMode="External"/><Relationship Id="rId60" Type="http://schemas.openxmlformats.org/officeDocument/2006/relationships/hyperlink" Target="http://www.mrc.ac.za/gender/projects.htm" TargetMode="External"/><Relationship Id="rId65" Type="http://schemas.openxmlformats.org/officeDocument/2006/relationships/hyperlink" Target="www.sciencedirect.com/science?_ob=MImg&amp;_imagekey=B6WPG-45FJWCW-2M-1&amp;_cdi=6990&amp;_user=9861034&amp;_pii=S0091743599905522&amp;_origin=search&amp;_coverDate=11%2F30%2F1999&amp;_sk=999709994&amp;view=c&amp;wchp=dGLbVzb-zSkzS&amp;md5=92a44fedb7cb1b3c9ecfca4f29fe891d&amp;ie=/sdarticle.pdf" TargetMode="External"/><Relationship Id="rId81" Type="http://schemas.openxmlformats.org/officeDocument/2006/relationships/hyperlink" Target="http://www.measuredhs.com/pubs/pdf/FR259/FR259.pdf" TargetMode="External"/><Relationship Id="rId86" Type="http://schemas.openxmlformats.org/officeDocument/2006/relationships/hyperlink" Target="http://www.ncbi.nlm.nih.gov/pmc/articles/PMC2042491" TargetMode="External"/><Relationship Id="rId130" Type="http://schemas.openxmlformats.org/officeDocument/2006/relationships/hyperlink" Target="http://www.unece.org/stats/gender/publications/Multi-Country/Researching_Violence_against_Women.pdf" TargetMode="External"/><Relationship Id="rId135" Type="http://schemas.openxmlformats.org/officeDocument/2006/relationships/hyperlink" Target="http://www.oecd.org/dataoecd/30/26/45583188.pdf" TargetMode="External"/><Relationship Id="rId151" Type="http://schemas.openxmlformats.org/officeDocument/2006/relationships/hyperlink" Target="http://www.womenwarpeace.org/opt/docs/Domestic_PCBS_opT.pdf" TargetMode="External"/><Relationship Id="rId156" Type="http://schemas.openxmlformats.org/officeDocument/2006/relationships/hyperlink" Target="http://www.cdc.gov/mmwr/preview/mmwrhtml/00025182.htm" TargetMode="External"/><Relationship Id="rId177" Type="http://schemas.openxmlformats.org/officeDocument/2006/relationships/hyperlink" Target="http://www.carl-sl.org/home/index.php?option=com_content&amp;view=article&amp;id=436" TargetMode="External"/><Relationship Id="rId172" Type="http://schemas.openxmlformats.org/officeDocument/2006/relationships/hyperlink" Target="http://www.un.org/womenwatch/daw/egm/vaw_indicators_2007/papers/Invited%20Paper%20Mexico%20ENDIREH.pdf" TargetMode="External"/><Relationship Id="rId13" Type="http://schemas.openxmlformats.org/officeDocument/2006/relationships/hyperlink" Target="http://www.biosciencetrends.com/action/downloaddoc.php?docid=308" TargetMode="External"/><Relationship Id="rId18" Type="http://schemas.openxmlformats.org/officeDocument/2006/relationships/hyperlink" Target="http://www.ncbi.nlm.nih.gov/pubmed/20822809?tool=MedlinePlus" TargetMode="External"/><Relationship Id="rId39" Type="http://schemas.openxmlformats.org/officeDocument/2006/relationships/hyperlink" Target="http://www.oxfam.org/sites/www.oxfam.org/files/oxfam-in-her-own-words-iraqi-women-survey-08mar2009.pdf" TargetMode="External"/><Relationship Id="rId109" Type="http://schemas.openxmlformats.org/officeDocument/2006/relationships/hyperlink" Target="brookdale-en1.pionet.com/default.asp?catid=%7b567204BF-9FEA-4A08-A307-188A304557A8%7d" TargetMode="External"/><Relationship Id="rId34" Type="http://schemas.openxmlformats.org/officeDocument/2006/relationships/hyperlink" Target="http://www.was-survey.org/id25.html" TargetMode="External"/><Relationship Id="rId50" Type="http://schemas.openxmlformats.org/officeDocument/2006/relationships/hyperlink" Target="http://www.womenwarpeace.org/opt/docs/Domestic_PCBS_opT.pdf" TargetMode="External"/><Relationship Id="rId55" Type="http://schemas.openxmlformats.org/officeDocument/2006/relationships/hyperlink" Target="http://www.eclac.org/publicaciones/xml/4/32194/Nomore.pdf" TargetMode="External"/><Relationship Id="rId76" Type="http://schemas.openxmlformats.org/officeDocument/2006/relationships/hyperlink" Target="http://www.measuredhs.com/pubs/pdf/FR235/FR235.pdf" TargetMode="External"/><Relationship Id="rId97" Type="http://schemas.openxmlformats.org/officeDocument/2006/relationships/hyperlink" Target="http://www.oecd.org/dataoecd/30/26/45583188.pdf" TargetMode="External"/><Relationship Id="rId104" Type="http://schemas.openxmlformats.org/officeDocument/2006/relationships/hyperlink" Target="http://www.ess.ufrj.br/prevencaoviolenciasexual/download/015datasenado.pdf" TargetMode="External"/><Relationship Id="rId120" Type="http://schemas.openxmlformats.org/officeDocument/2006/relationships/hyperlink" Target="http://www.cdc.gov/mmwr/preview/mmwrhtml/00025182.htm" TargetMode="External"/><Relationship Id="rId125" Type="http://schemas.openxmlformats.org/officeDocument/2006/relationships/hyperlink" Target="http://www.prb.org/Articles/2001/DomesticViolenceAnOngoingThreattoWomeninLatinAmericaandtheCaribbean.aspx" TargetMode="External"/><Relationship Id="rId141" Type="http://schemas.openxmlformats.org/officeDocument/2006/relationships/hyperlink" Target="http://www.ggp.up.ac.za/gender_equality/course_material/2009/bayard%202.doc" TargetMode="External"/><Relationship Id="rId146" Type="http://schemas.openxmlformats.org/officeDocument/2006/relationships/hyperlink" Target="http://www.cahrv.uni-osnabrueck.de/conference/SummaryGermanVAWstudy.pdf" TargetMode="External"/><Relationship Id="rId167" Type="http://schemas.openxmlformats.org/officeDocument/2006/relationships/hyperlink" Target="http://www.reunion.sante.gouv.fr/services/enveff.pdf" TargetMode="External"/><Relationship Id="rId188" Type="http://schemas.openxmlformats.org/officeDocument/2006/relationships/comments" Target="../comments2.xml"/><Relationship Id="rId7" Type="http://schemas.openxmlformats.org/officeDocument/2006/relationships/hyperlink" Target="http://www.un.org/womenwatch/daw/egm/vaw-stat-2005/docs/expert-papers/Ardayfio.pdf" TargetMode="External"/><Relationship Id="rId71" Type="http://schemas.openxmlformats.org/officeDocument/2006/relationships/hyperlink" Target="http://www.omct.org/files/2004/07/2409/eng_2003_05_eritrea.pdf" TargetMode="External"/><Relationship Id="rId92" Type="http://schemas.openxmlformats.org/officeDocument/2006/relationships/hyperlink" Target="http://www.ncbi.nlm.nih.gov/pmc/articles/PMC2042491" TargetMode="External"/><Relationship Id="rId162" Type="http://schemas.openxmlformats.org/officeDocument/2006/relationships/hyperlink" Target="http://www.ncss.org.sg/vwocorner/research_gateway/Family_abstract_12.pdf" TargetMode="External"/><Relationship Id="rId183" Type="http://schemas.openxmlformats.org/officeDocument/2006/relationships/hyperlink" Target="http://www.omct.org/files/2001/01/2174/burundieng2001.pdf" TargetMode="External"/><Relationship Id="rId2" Type="http://schemas.openxmlformats.org/officeDocument/2006/relationships/hyperlink" Target="http://www.mrc.ac.za/gender/projects.htm" TargetMode="External"/><Relationship Id="rId29" Type="http://schemas.openxmlformats.org/officeDocument/2006/relationships/hyperlink" Target="http://www.childinfo.org/files/MICS3_CAR_FinalReport_2006_Fr.pdf" TargetMode="External"/><Relationship Id="rId24" Type="http://schemas.openxmlformats.org/officeDocument/2006/relationships/hyperlink" Target="http://www.lped.org/IMG/pdf/BIP_32.pdf" TargetMode="External"/><Relationship Id="rId40" Type="http://schemas.openxmlformats.org/officeDocument/2006/relationships/hyperlink" Target="http://www.usaid.gov/locations/europe_eurasia/dem_gov/docs/domestic_violence_study_final.pdf" TargetMode="External"/><Relationship Id="rId45" Type="http://schemas.openxmlformats.org/officeDocument/2006/relationships/hyperlink" Target="http://www.bvsde.paho.org/bvsacd/cd66/1073eng.pdf" TargetMode="External"/><Relationship Id="rId66" Type="http://schemas.openxmlformats.org/officeDocument/2006/relationships/hyperlink" Target="http://www.rhrc.org/resources/Kosovo_report__FINAL_RHRC_6-11-08.pdf" TargetMode="External"/><Relationship Id="rId87" Type="http://schemas.openxmlformats.org/officeDocument/2006/relationships/hyperlink" Target="http://www.ncbi.nlm.nih.gov/pmc/articles/PMC2042491" TargetMode="External"/><Relationship Id="rId110" Type="http://schemas.openxmlformats.org/officeDocument/2006/relationships/hyperlink" Target="http://www.was-survey.org/id25.html" TargetMode="External"/><Relationship Id="rId115" Type="http://schemas.openxmlformats.org/officeDocument/2006/relationships/hyperlink" Target="http://www.reunion.sante.gouv.fr/services/enveff.pdf" TargetMode="External"/><Relationship Id="rId131" Type="http://schemas.openxmlformats.org/officeDocument/2006/relationships/hyperlink" Target="http://www.oxfam.org/sites/www.oxfam.org/files/oxfam-in-her-own-words-iraqi-women-survey-08mar2009.pdf" TargetMode="External"/><Relationship Id="rId136" Type="http://schemas.openxmlformats.org/officeDocument/2006/relationships/hyperlink" Target="http://www.oecd.org/dataoecd/30/26/45583188.pdf" TargetMode="External"/><Relationship Id="rId157" Type="http://schemas.openxmlformats.org/officeDocument/2006/relationships/hyperlink" Target="http://www.unhcr.org/refworld/publisher,IRBC,,,4b20eff748,0.html" TargetMode="External"/><Relationship Id="rId178" Type="http://schemas.openxmlformats.org/officeDocument/2006/relationships/hyperlink" Target="http://www.k4health.org/pr/l11/l11tables.shtml" TargetMode="External"/><Relationship Id="rId61" Type="http://schemas.openxmlformats.org/officeDocument/2006/relationships/hyperlink" Target="http://www.mrc.ac.za/gender/projects.htm" TargetMode="External"/><Relationship Id="rId82" Type="http://schemas.openxmlformats.org/officeDocument/2006/relationships/hyperlink" Target="http://www.measuredhs.com/pubs/pdf/FR243/FR243%5B24June2011%5D.pdf" TargetMode="External"/><Relationship Id="rId152" Type="http://schemas.openxmlformats.org/officeDocument/2006/relationships/hyperlink" Target="http://www.alianzaintercambios.org/files/doc/1236282110_Researching%20violence.pdf" TargetMode="External"/><Relationship Id="rId173" Type="http://schemas.openxmlformats.org/officeDocument/2006/relationships/hyperlink" Target="http://www.icrh.org/projects/developing-strategies-to-combat-violence-against-women-in-developing-countries-health-care-" TargetMode="External"/><Relationship Id="rId19" Type="http://schemas.openxmlformats.org/officeDocument/2006/relationships/hyperlink" Target="http://webapps01.un.org/vawdatabase/searchDetail.action?measureId=25432" TargetMode="External"/><Relationship Id="rId14" Type="http://schemas.openxmlformats.org/officeDocument/2006/relationships/hyperlink" Target="http://www.biosciencetrends.com/action/downloaddoc.php?docid=308" TargetMode="External"/><Relationship Id="rId30" Type="http://schemas.openxmlformats.org/officeDocument/2006/relationships/hyperlink" Target="http://www.rhrc.org/resources/East%20Timor_gbv_en.pdf" TargetMode="External"/><Relationship Id="rId35" Type="http://schemas.openxmlformats.org/officeDocument/2006/relationships/hyperlink" Target="http://www.was-survey.org/id30.html" TargetMode="External"/><Relationship Id="rId56" Type="http://schemas.openxmlformats.org/officeDocument/2006/relationships/hyperlink" Target="http://www.state.gov/g/drl/rls/hrrpt/2009/af/135937.htm" TargetMode="External"/><Relationship Id="rId77" Type="http://schemas.openxmlformats.org/officeDocument/2006/relationships/hyperlink" Target="http://www.measuredhs.com/pubs/pdf/FR246/FR246.pdf" TargetMode="External"/><Relationship Id="rId100" Type="http://schemas.openxmlformats.org/officeDocument/2006/relationships/hyperlink" Target="http://www.ncbi.nlm.nih.gov/pmc/articles/PMC2042491" TargetMode="External"/><Relationship Id="rId105" Type="http://schemas.openxmlformats.org/officeDocument/2006/relationships/hyperlink" Target="http://www.was-survey.org/2009-cameroon.html" TargetMode="External"/><Relationship Id="rId126" Type="http://schemas.openxmlformats.org/officeDocument/2006/relationships/hyperlink" Target="http://www.prb.org/Articles/2001/DomesticViolenceAnOngoingThreattoWomeninLatinAmericaandtheCaribbean.aspx" TargetMode="External"/><Relationship Id="rId147" Type="http://schemas.openxmlformats.org/officeDocument/2006/relationships/hyperlink" Target="http://www.was-survey.org/id25.html" TargetMode="External"/><Relationship Id="rId168" Type="http://schemas.openxmlformats.org/officeDocument/2006/relationships/hyperlink" Target="http://www.was-survey.org/id30.html" TargetMode="External"/><Relationship Id="rId8" Type="http://schemas.openxmlformats.org/officeDocument/2006/relationships/hyperlink" Target="http://www.ams.ac.ir/AIM/NEWPUB/07/10/3/006.pdf" TargetMode="External"/><Relationship Id="rId51" Type="http://schemas.openxmlformats.org/officeDocument/2006/relationships/hyperlink" Target="http://www.aifs.gov.au/acssa/statistics.html" TargetMode="External"/><Relationship Id="rId72" Type="http://schemas.openxmlformats.org/officeDocument/2006/relationships/hyperlink" Target="http://www.unifem.org/attachments/products/baseline_survey_on_sexual_and_gender_based_violence_rwanda.pdf" TargetMode="External"/><Relationship Id="rId93" Type="http://schemas.openxmlformats.org/officeDocument/2006/relationships/hyperlink" Target="http://www.state.gov/g/drl/rls/hrrpt/2005/61713.htm" TargetMode="External"/><Relationship Id="rId98" Type="http://schemas.openxmlformats.org/officeDocument/2006/relationships/hyperlink" Target="http://www.oecd.org/dataoecd/30/26/45583188.pdf" TargetMode="External"/><Relationship Id="rId121" Type="http://schemas.openxmlformats.org/officeDocument/2006/relationships/hyperlink" Target="http://webapps01.un.org/vawdatabase/searchDetail.action?measureId=17400" TargetMode="External"/><Relationship Id="rId142" Type="http://schemas.openxmlformats.org/officeDocument/2006/relationships/hyperlink" Target="http://www.omct.org/files/2004/07/2409/eng_2003_05_eritrea.pdf" TargetMode="External"/><Relationship Id="rId163" Type="http://schemas.openxmlformats.org/officeDocument/2006/relationships/hyperlink" Target="http://www.genderseychelles.gov.sc/pages/programmes/SexDisaggredatedData.aspx" TargetMode="External"/><Relationship Id="rId184" Type="http://schemas.openxmlformats.org/officeDocument/2006/relationships/hyperlink" Target="http://www.carl-sl.org/home/index.php?option=com_content&amp;id=436" TargetMode="External"/><Relationship Id="rId3" Type="http://schemas.openxmlformats.org/officeDocument/2006/relationships/hyperlink" Target="http://www.pubmedcentral.nih.gov/picrender.fcgi?tool=pmcentrez&amp;blobtype=pdf&amp;artid=1447918" TargetMode="External"/><Relationship Id="rId25" Type="http://schemas.openxmlformats.org/officeDocument/2006/relationships/hyperlink" Target="http://www.ncbi.nlm.nih.gov/pubmed/20931908" TargetMode="External"/><Relationship Id="rId46" Type="http://schemas.openxmlformats.org/officeDocument/2006/relationships/hyperlink" Target="http://www.un.org/womenwatch/daw/vaw/publications/English%20Study.pdf" TargetMode="External"/><Relationship Id="rId67" Type="http://schemas.openxmlformats.org/officeDocument/2006/relationships/hyperlink" Target="http://www.omct.org/files/2001/01/2174/burundieng2001.pdf" TargetMode="External"/><Relationship Id="rId116" Type="http://schemas.openxmlformats.org/officeDocument/2006/relationships/hyperlink" Target="http://www.rhrc.org/resources/East%20Timor_gbv_en.pdf" TargetMode="External"/><Relationship Id="rId137" Type="http://schemas.openxmlformats.org/officeDocument/2006/relationships/hyperlink" Target="http://www.oecd.org/dataoecd/30/26/45583188.pdf" TargetMode="External"/><Relationship Id="rId158" Type="http://schemas.openxmlformats.org/officeDocument/2006/relationships/hyperlink" Target="http://www.unhcr.org/refworld/publisher,IRBC,,,4b20eff748,0.html" TargetMode="External"/><Relationship Id="rId20" Type="http://schemas.openxmlformats.org/officeDocument/2006/relationships/hyperlink" Target="http://www.un.org.kg/en/publications/document-database/article/86-Document%20Database/4016-crisis-centers-of-kyrgyzstan" TargetMode="External"/><Relationship Id="rId41" Type="http://schemas.openxmlformats.org/officeDocument/2006/relationships/hyperlink" Target="http://www.cahrv.uni-osnabrueck.de/conference/SummaryGermanVAWstudy.pdf" TargetMode="External"/><Relationship Id="rId62" Type="http://schemas.openxmlformats.org/officeDocument/2006/relationships/hyperlink" Target="http://www.measuredhs.com/pubs/pdf/AIS5/AIS5.pdf" TargetMode="External"/><Relationship Id="rId83" Type="http://schemas.openxmlformats.org/officeDocument/2006/relationships/hyperlink" Target="http://www.ncbi.nlm.nih.gov/pubmed/19191117?ordinalpos=4&amp;itool=EntrezSystem2.PEntrez.Pubmed.Pubmed_ResultsPanel.Pubmed_DefaultReportPanel.Pubmed_RVDocSum" TargetMode="External"/><Relationship Id="rId88" Type="http://schemas.openxmlformats.org/officeDocument/2006/relationships/hyperlink" Target="http://www.ncbi.nlm.nih.gov/pmc/articles/PMC2042491" TargetMode="External"/><Relationship Id="rId111" Type="http://schemas.openxmlformats.org/officeDocument/2006/relationships/hyperlink" Target="http://www.womenwarpeace.org/opt/docs/Domestic_PCBS_opT.pdf" TargetMode="External"/><Relationship Id="rId132" Type="http://schemas.openxmlformats.org/officeDocument/2006/relationships/hyperlink" Target="http://www.measuredhs.com/pubs/pdf/AIS5/AIS5.pdf" TargetMode="External"/><Relationship Id="rId153" Type="http://schemas.openxmlformats.org/officeDocument/2006/relationships/hyperlink" Target="http://www.endvawnow.org/uploads/browser/files/vaw_prevalence_matrix_15april_2011.pdf" TargetMode="External"/><Relationship Id="rId174" Type="http://schemas.openxmlformats.org/officeDocument/2006/relationships/hyperlink" Target="http://www.measuredhs.com/pubs/pdf/FR247/FR247.pdf" TargetMode="External"/><Relationship Id="rId179" Type="http://schemas.openxmlformats.org/officeDocument/2006/relationships/hyperlink" Target="http://www.endvawnow.org/uploads/browser/files/vaw_prevalence_matrix_15april_2011.pdf" TargetMode="External"/><Relationship Id="rId15" Type="http://schemas.openxmlformats.org/officeDocument/2006/relationships/hyperlink" Target="http://www.ins.ne/nada/toolkit/EDSN_2006/survey0/data/Rapports/rapport_pdf.pdf" TargetMode="External"/><Relationship Id="rId36" Type="http://schemas.openxmlformats.org/officeDocument/2006/relationships/hyperlink" Target="http://www.prb.org/Articles/2001/DomesticViolenceAnOngoingThreattoWomeninLatinAmericaandtheCaribbean.aspx" TargetMode="External"/><Relationship Id="rId57" Type="http://schemas.openxmlformats.org/officeDocument/2006/relationships/hyperlink" Target="http://www.usaid.gov/our_work/global_health/pop/news/responseviolence.html" TargetMode="External"/><Relationship Id="rId106" Type="http://schemas.openxmlformats.org/officeDocument/2006/relationships/hyperlink" Target="http://www.was-survey.org/2009-cameroon.html" TargetMode="External"/><Relationship Id="rId127" Type="http://schemas.openxmlformats.org/officeDocument/2006/relationships/hyperlink" Target="http://www.measuredhs.com/pubs/pdf/FR246/FR246.pdf" TargetMode="External"/><Relationship Id="rId10" Type="http://schemas.openxmlformats.org/officeDocument/2006/relationships/hyperlink" Target="http://www.ncbi.nlm.nih.gov/pubmed/16761657" TargetMode="External"/><Relationship Id="rId31" Type="http://schemas.openxmlformats.org/officeDocument/2006/relationships/hyperlink" Target="http://www.ettasos.com/download/12.pdf" TargetMode="External"/><Relationship Id="rId52" Type="http://schemas.openxmlformats.org/officeDocument/2006/relationships/hyperlink" Target="http://www.pubmedcentral.nih.gov/picrender.fcgi?tool=pmcentrez&amp;blobtype=pdf&amp;artid=1660563" TargetMode="External"/><Relationship Id="rId73" Type="http://schemas.openxmlformats.org/officeDocument/2006/relationships/hyperlink" Target="http://www.bvsde.paho.org/bvsacd/cd64/en_28530.pdf" TargetMode="External"/><Relationship Id="rId78" Type="http://schemas.openxmlformats.org/officeDocument/2006/relationships/hyperlink" Target="http://www.measuredhs.com/pubs/pdf/FR247/FR247.pdf" TargetMode="External"/><Relationship Id="rId94" Type="http://schemas.openxmlformats.org/officeDocument/2006/relationships/hyperlink" Target="http://www.state.gov/g/drl/rls/hrrpt/2005/61713.htm" TargetMode="External"/><Relationship Id="rId99" Type="http://schemas.openxmlformats.org/officeDocument/2006/relationships/hyperlink" Target="http://www.usaid.gov/locations/europe_eurasia/dem_gov/docs/domestic_violence_study_final.pdf" TargetMode="External"/><Relationship Id="rId101" Type="http://schemas.openxmlformats.org/officeDocument/2006/relationships/hyperlink" Target="http://www.bvsde.paho.org/bvsacd/cd64/en_28530.pdf" TargetMode="External"/><Relationship Id="rId122" Type="http://schemas.openxmlformats.org/officeDocument/2006/relationships/hyperlink" Target="http://www.justice.govt.nz/publications/publications-archived/2003/the-new-zealand-national-survey-of-crime-victims-2001-may-2003/publication" TargetMode="External"/><Relationship Id="rId143" Type="http://schemas.openxmlformats.org/officeDocument/2006/relationships/hyperlink" Target="http://www.unifem.org/attachments/products/baseline_survey_on_sexual_and_gender_based_violence_rwanda.pdf" TargetMode="External"/><Relationship Id="rId148" Type="http://schemas.openxmlformats.org/officeDocument/2006/relationships/hyperlink" Target="http://www.was-survey.org/id25.html" TargetMode="External"/><Relationship Id="rId164" Type="http://schemas.openxmlformats.org/officeDocument/2006/relationships/hyperlink" Target="http://www.measuredhs.com/pubs/pdf/FR259/FR259.pdf" TargetMode="External"/><Relationship Id="rId169" Type="http://schemas.openxmlformats.org/officeDocument/2006/relationships/hyperlink" Target="http://www.justice.govt.nz/publications/publications-archived/2003/the-new-zealand-national-survey-of-crime-victims-2001-may-2003/publication" TargetMode="External"/><Relationship Id="rId185" Type="http://schemas.openxmlformats.org/officeDocument/2006/relationships/hyperlink" Target="http://www.fijiwomen.com/index.php?option=com_content&amp;id=123" TargetMode="External"/><Relationship Id="rId4" Type="http://schemas.openxmlformats.org/officeDocument/2006/relationships/hyperlink" Target="http://www.pubmedcentral.nih.gov/picrender.fcgi?tool=pmcentrez&amp;blobtype=pdf&amp;artid=65060" TargetMode="External"/><Relationship Id="rId9" Type="http://schemas.openxmlformats.org/officeDocument/2006/relationships/hyperlink" Target="http://www.ncbi.nlm.nih.gov/pubmed/20961542" TargetMode="External"/><Relationship Id="rId180" Type="http://schemas.openxmlformats.org/officeDocument/2006/relationships/hyperlink" Target="http://www.usaid.gov/locations/europe_eurasia/dem_gov/docs/domestic_violence_study_final.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hyperlink" Target="http://www.childinfo.org/attitudes_data.php%20downloaded%2011%20Nov%202010"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V4652"/>
  <sheetViews>
    <sheetView tabSelected="1" workbookViewId="0">
      <pane xSplit="21" ySplit="4" topLeftCell="V5" activePane="bottomRight" state="frozen"/>
      <selection pane="topRight" activeCell="V1" sqref="V1"/>
      <selection pane="bottomLeft" activeCell="A5" sqref="A5"/>
      <selection pane="bottomRight" activeCell="W5" sqref="W5"/>
    </sheetView>
  </sheetViews>
  <sheetFormatPr defaultRowHeight="12.75" x14ac:dyDescent="0.2"/>
  <cols>
    <col min="1" max="1" width="1.28515625" style="48" customWidth="1"/>
    <col min="2" max="2" width="9" style="418" customWidth="1"/>
    <col min="3" max="3" width="9.5703125" customWidth="1"/>
    <col min="4" max="4" width="1.85546875" style="1" customWidth="1"/>
    <col min="5" max="6" width="10.42578125" style="48" customWidth="1"/>
    <col min="7" max="7" width="6.7109375" style="1" customWidth="1"/>
    <col min="8" max="8" width="6.42578125" customWidth="1"/>
    <col min="9" max="9" width="6.85546875" style="2" customWidth="1"/>
    <col min="10" max="10" width="5" style="72" customWidth="1"/>
    <col min="11" max="11" width="5.140625" style="72" customWidth="1"/>
    <col min="12" max="12" width="6.7109375" style="490" customWidth="1"/>
    <col min="13" max="13" width="3.5703125" style="1" customWidth="1"/>
    <col min="14" max="14" width="4.7109375" style="499" customWidth="1"/>
    <col min="15" max="15" width="6" style="1" customWidth="1"/>
    <col min="16" max="16" width="4.5703125" style="1" customWidth="1"/>
    <col min="17" max="17" width="4.140625" style="1" customWidth="1"/>
    <col min="18" max="19" width="4.42578125" style="3" customWidth="1"/>
    <col min="20" max="20" width="5" style="3" customWidth="1"/>
    <col min="21" max="21" width="6.85546875" style="4" customWidth="1"/>
    <col min="22" max="22" width="9" style="4" customWidth="1"/>
    <col min="23" max="23" width="25.42578125" style="630" customWidth="1"/>
    <col min="24" max="24" width="11.28515625" style="24" customWidth="1"/>
    <col min="25" max="25" width="6.42578125" style="505" customWidth="1"/>
    <col min="26" max="26" width="6.42578125" style="439" customWidth="1"/>
    <col min="27" max="30" width="6" style="439" customWidth="1"/>
    <col min="31" max="38" width="6.42578125" style="439" customWidth="1"/>
    <col min="39" max="42" width="6" style="439" customWidth="1"/>
    <col min="43" max="50" width="6.42578125" style="439" customWidth="1"/>
    <col min="51" max="52" width="5.7109375" style="439" customWidth="1"/>
    <col min="53" max="54" width="6.42578125" style="439" customWidth="1"/>
    <col min="55" max="56" width="5.7109375" style="439" customWidth="1"/>
    <col min="57" max="58" width="5.85546875" style="440" customWidth="1"/>
    <col min="59" max="60" width="6.42578125" style="439" customWidth="1"/>
    <col min="61" max="64" width="5.85546875" style="440" customWidth="1"/>
    <col min="65" max="66" width="7.28515625" style="440" customWidth="1"/>
    <col min="67" max="72" width="6.42578125" style="440" customWidth="1"/>
    <col min="73" max="73" width="8.7109375" style="440" customWidth="1"/>
    <col min="74" max="74" width="10" style="440" customWidth="1"/>
    <col min="75" max="75" width="10.5703125" style="440" customWidth="1"/>
    <col min="76" max="76" width="19.140625" style="766" customWidth="1"/>
    <col min="77" max="84" width="9" style="769" customWidth="1"/>
    <col min="85" max="85" width="4.5703125" style="1" customWidth="1"/>
    <col min="86" max="86" width="72.5703125" style="418" customWidth="1"/>
    <col min="87" max="87" width="11.140625" style="403" customWidth="1"/>
    <col min="88" max="88" width="2.28515625" style="1" customWidth="1"/>
    <col min="89" max="89" width="55.140625" style="48" customWidth="1"/>
    <col min="90" max="90" width="88.140625" style="490" customWidth="1"/>
    <col min="91" max="91" width="60.85546875" style="48" customWidth="1"/>
    <col min="92" max="92" width="61.42578125" customWidth="1"/>
    <col min="93" max="93" width="61.140625" customWidth="1"/>
    <col min="94" max="94" width="61.7109375" customWidth="1"/>
    <col min="95" max="95" width="61.85546875" customWidth="1"/>
    <col min="96" max="96" width="12.140625" style="403" customWidth="1"/>
    <col min="97" max="97" width="31.5703125" style="48" customWidth="1"/>
    <col min="98" max="98" width="5.140625" customWidth="1"/>
    <col min="99" max="99" width="6.28515625" style="1" customWidth="1"/>
    <col min="100" max="100" width="4.28515625" style="1" customWidth="1"/>
    <col min="101" max="101" width="11" style="1" customWidth="1"/>
    <col min="102" max="102" width="9.140625" style="1"/>
    <col min="103" max="103" width="6.5703125" customWidth="1"/>
    <col min="104" max="104" width="6.7109375" customWidth="1"/>
    <col min="105" max="105" width="60.5703125" style="48" customWidth="1"/>
  </cols>
  <sheetData>
    <row r="1" spans="1:105" s="48" customFormat="1" ht="23.25" customHeight="1" thickBot="1" x14ac:dyDescent="0.25">
      <c r="A1" s="912" t="s">
        <v>2764</v>
      </c>
      <c r="B1" s="438"/>
      <c r="D1" s="490"/>
      <c r="G1" s="490"/>
      <c r="I1" s="418"/>
      <c r="J1" s="434"/>
      <c r="K1" s="434"/>
      <c r="L1" s="549"/>
      <c r="M1" s="490"/>
      <c r="N1" s="899" t="s">
        <v>1898</v>
      </c>
      <c r="O1" s="899"/>
      <c r="P1" s="899"/>
      <c r="Q1" s="899"/>
      <c r="R1" s="899"/>
      <c r="S1" s="899"/>
      <c r="T1" s="899"/>
      <c r="U1" s="899"/>
      <c r="V1" s="899"/>
      <c r="W1" s="899"/>
      <c r="X1" s="900"/>
      <c r="Y1" s="807"/>
      <c r="Z1" s="913" t="s">
        <v>1520</v>
      </c>
      <c r="AA1" s="630"/>
      <c r="AB1" s="630"/>
      <c r="AC1" s="630"/>
      <c r="AD1" s="630"/>
      <c r="AE1" s="630"/>
      <c r="AF1" s="630"/>
      <c r="AG1" s="630"/>
      <c r="AH1" s="630"/>
      <c r="AI1" s="630"/>
      <c r="AK1" s="630"/>
      <c r="AL1" s="630"/>
      <c r="AM1" s="630"/>
      <c r="AN1" s="630"/>
      <c r="AO1" s="630"/>
      <c r="AP1" s="630"/>
      <c r="AQ1" s="630"/>
      <c r="AR1" s="630"/>
      <c r="AS1" s="630"/>
      <c r="AT1" s="630"/>
      <c r="AU1" s="630"/>
      <c r="AV1" s="630"/>
      <c r="AW1" s="630"/>
      <c r="AX1" s="630"/>
      <c r="AY1" s="542"/>
      <c r="AZ1" s="542"/>
      <c r="BA1" s="630"/>
      <c r="BB1" s="630"/>
      <c r="BC1" s="542"/>
      <c r="BD1" s="542"/>
      <c r="BG1" s="630"/>
      <c r="BH1" s="630"/>
      <c r="BX1" s="752"/>
      <c r="BY1" s="783" t="s">
        <v>2533</v>
      </c>
      <c r="BZ1" s="780"/>
      <c r="CA1" s="780"/>
      <c r="CB1" s="780"/>
      <c r="CC1" s="780"/>
      <c r="CD1" s="780"/>
      <c r="CE1" s="780"/>
      <c r="CF1" s="780"/>
      <c r="CG1" s="490"/>
      <c r="CH1" s="418"/>
      <c r="CI1" s="403"/>
      <c r="CJ1" s="490"/>
      <c r="CL1" s="490"/>
      <c r="CM1" s="630" t="s">
        <v>1845</v>
      </c>
      <c r="CR1" s="403"/>
      <c r="CU1" s="490"/>
      <c r="CV1" s="490"/>
      <c r="CW1" s="490"/>
      <c r="CX1" s="490"/>
    </row>
    <row r="2" spans="1:105" s="470" customFormat="1" ht="48" customHeight="1" thickTop="1" thickBot="1" x14ac:dyDescent="0.25">
      <c r="B2" s="535"/>
      <c r="C2" s="591"/>
      <c r="D2" s="503" t="s">
        <v>1741</v>
      </c>
      <c r="G2" s="635" t="s">
        <v>1862</v>
      </c>
      <c r="H2" s="914" t="s">
        <v>1691</v>
      </c>
      <c r="I2" s="418" t="s">
        <v>2093</v>
      </c>
      <c r="J2" s="434"/>
      <c r="K2" s="833" t="s">
        <v>2092</v>
      </c>
      <c r="L2" s="491"/>
      <c r="M2" s="592"/>
      <c r="N2" s="773" t="s">
        <v>1739</v>
      </c>
      <c r="O2" s="907" t="s">
        <v>2755</v>
      </c>
      <c r="P2" s="907"/>
      <c r="Q2" s="907"/>
      <c r="R2" s="907"/>
      <c r="S2" s="839" t="s">
        <v>2641</v>
      </c>
      <c r="T2" s="839" t="s">
        <v>2642</v>
      </c>
      <c r="U2" s="774" t="s">
        <v>1861</v>
      </c>
      <c r="V2" s="774" t="s">
        <v>2624</v>
      </c>
      <c r="W2" s="544" t="s">
        <v>2016</v>
      </c>
      <c r="X2" s="808" t="s">
        <v>1901</v>
      </c>
      <c r="Y2" s="901" t="s">
        <v>1944</v>
      </c>
      <c r="Z2" s="902"/>
      <c r="AA2" s="897" t="s">
        <v>2614</v>
      </c>
      <c r="AB2" s="898"/>
      <c r="AC2" s="902" t="s">
        <v>1550</v>
      </c>
      <c r="AD2" s="902"/>
      <c r="AE2" s="902" t="s">
        <v>1549</v>
      </c>
      <c r="AF2" s="903"/>
      <c r="AG2" s="904" t="s">
        <v>1836</v>
      </c>
      <c r="AH2" s="905"/>
      <c r="AI2" s="902" t="s">
        <v>1765</v>
      </c>
      <c r="AJ2" s="902"/>
      <c r="AK2" s="902" t="s">
        <v>1840</v>
      </c>
      <c r="AL2" s="902"/>
      <c r="AM2" s="906" t="s">
        <v>1762</v>
      </c>
      <c r="AN2" s="906"/>
      <c r="AO2" s="902" t="s">
        <v>2083</v>
      </c>
      <c r="AP2" s="902"/>
      <c r="AQ2" s="902" t="s">
        <v>2084</v>
      </c>
      <c r="AR2" s="902"/>
      <c r="AS2" s="902" t="s">
        <v>1763</v>
      </c>
      <c r="AT2" s="902"/>
      <c r="AU2" s="902" t="s">
        <v>1839</v>
      </c>
      <c r="AV2" s="902"/>
      <c r="AW2" s="902" t="s">
        <v>1764</v>
      </c>
      <c r="AX2" s="902"/>
      <c r="AY2" s="906" t="s">
        <v>2532</v>
      </c>
      <c r="AZ2" s="906"/>
      <c r="BA2" s="902" t="s">
        <v>2304</v>
      </c>
      <c r="BB2" s="902"/>
      <c r="BC2" s="906" t="s">
        <v>1852</v>
      </c>
      <c r="BD2" s="906"/>
      <c r="BE2" s="906" t="s">
        <v>2550</v>
      </c>
      <c r="BF2" s="906"/>
      <c r="BG2" s="902" t="s">
        <v>2574</v>
      </c>
      <c r="BH2" s="902"/>
      <c r="BI2" s="906" t="s">
        <v>1149</v>
      </c>
      <c r="BJ2" s="906"/>
      <c r="BK2" s="906" t="s">
        <v>2502</v>
      </c>
      <c r="BL2" s="906"/>
      <c r="BM2" s="902" t="s">
        <v>1552</v>
      </c>
      <c r="BN2" s="902"/>
      <c r="BO2" s="902" t="s">
        <v>1553</v>
      </c>
      <c r="BP2" s="902"/>
      <c r="BQ2" s="908" t="s">
        <v>1150</v>
      </c>
      <c r="BR2" s="908"/>
      <c r="BS2" s="906" t="s">
        <v>1551</v>
      </c>
      <c r="BT2" s="906"/>
      <c r="BU2" s="593" t="s">
        <v>1729</v>
      </c>
      <c r="BV2" s="896" t="s">
        <v>1982</v>
      </c>
      <c r="BW2" s="896"/>
      <c r="BX2" s="753" t="s">
        <v>2076</v>
      </c>
      <c r="BY2" s="784" t="s">
        <v>2537</v>
      </c>
      <c r="BZ2" s="785" t="s">
        <v>2538</v>
      </c>
      <c r="CA2" s="785" t="s">
        <v>2551</v>
      </c>
      <c r="CB2" s="785" t="s">
        <v>2562</v>
      </c>
      <c r="CC2" s="785" t="s">
        <v>2539</v>
      </c>
      <c r="CD2" s="785" t="s">
        <v>2534</v>
      </c>
      <c r="CE2" s="785" t="s">
        <v>2756</v>
      </c>
      <c r="CF2" s="785" t="s">
        <v>2559</v>
      </c>
      <c r="CG2" s="591"/>
      <c r="CH2" s="433"/>
      <c r="CI2" s="594"/>
      <c r="CJ2" s="591"/>
      <c r="CL2" s="591"/>
      <c r="CR2" s="594"/>
      <c r="CU2" s="591"/>
      <c r="CV2" s="591"/>
      <c r="CW2" s="591"/>
      <c r="CX2" s="591"/>
    </row>
    <row r="3" spans="1:105" s="482" customFormat="1" ht="22.5" customHeight="1" x14ac:dyDescent="0.2">
      <c r="B3" s="536" t="s">
        <v>1737</v>
      </c>
      <c r="C3" s="483" t="s">
        <v>0</v>
      </c>
      <c r="D3" s="384"/>
      <c r="E3" s="483" t="s">
        <v>1148</v>
      </c>
      <c r="F3" s="483" t="s">
        <v>1877</v>
      </c>
      <c r="G3" s="483" t="s">
        <v>1719</v>
      </c>
      <c r="H3" s="484" t="s">
        <v>1662</v>
      </c>
      <c r="I3" s="814" t="s">
        <v>504</v>
      </c>
      <c r="J3" s="820" t="s">
        <v>1556</v>
      </c>
      <c r="K3" s="834" t="s">
        <v>1556</v>
      </c>
      <c r="L3" s="385" t="s">
        <v>784</v>
      </c>
      <c r="M3" s="387" t="s">
        <v>123</v>
      </c>
      <c r="N3" s="385"/>
      <c r="O3" s="483" t="s">
        <v>505</v>
      </c>
      <c r="P3" s="483" t="s">
        <v>1653</v>
      </c>
      <c r="Q3" s="483" t="s">
        <v>1654</v>
      </c>
      <c r="R3" s="385" t="s">
        <v>1692</v>
      </c>
      <c r="S3" s="385" t="s">
        <v>2649</v>
      </c>
      <c r="T3" s="385"/>
      <c r="U3" s="502" t="s">
        <v>914</v>
      </c>
      <c r="V3" s="792" t="s">
        <v>2630</v>
      </c>
      <c r="W3" s="502"/>
      <c r="X3" s="383" t="s">
        <v>2041</v>
      </c>
      <c r="Y3" s="489" t="s">
        <v>328</v>
      </c>
      <c r="Z3" s="631" t="s">
        <v>1151</v>
      </c>
      <c r="AA3" s="632" t="s">
        <v>328</v>
      </c>
      <c r="AB3" s="631" t="s">
        <v>1151</v>
      </c>
      <c r="AC3" s="632" t="s">
        <v>328</v>
      </c>
      <c r="AD3" s="631" t="s">
        <v>1151</v>
      </c>
      <c r="AE3" s="632" t="s">
        <v>328</v>
      </c>
      <c r="AF3" s="631" t="s">
        <v>1151</v>
      </c>
      <c r="AG3" s="632" t="s">
        <v>328</v>
      </c>
      <c r="AH3" s="631" t="s">
        <v>1151</v>
      </c>
      <c r="AI3" s="633" t="s">
        <v>328</v>
      </c>
      <c r="AJ3" s="631" t="s">
        <v>1151</v>
      </c>
      <c r="AK3" s="633" t="s">
        <v>328</v>
      </c>
      <c r="AL3" s="631" t="s">
        <v>1151</v>
      </c>
      <c r="AM3" s="632" t="s">
        <v>328</v>
      </c>
      <c r="AN3" s="631" t="s">
        <v>1151</v>
      </c>
      <c r="AO3" s="632" t="s">
        <v>328</v>
      </c>
      <c r="AP3" s="631" t="s">
        <v>1151</v>
      </c>
      <c r="AQ3" s="632" t="s">
        <v>328</v>
      </c>
      <c r="AR3" s="631" t="s">
        <v>1151</v>
      </c>
      <c r="AS3" s="632" t="s">
        <v>328</v>
      </c>
      <c r="AT3" s="631" t="s">
        <v>1151</v>
      </c>
      <c r="AU3" s="633" t="s">
        <v>328</v>
      </c>
      <c r="AV3" s="631" t="s">
        <v>1151</v>
      </c>
      <c r="AW3" s="633" t="s">
        <v>328</v>
      </c>
      <c r="AX3" s="631" t="s">
        <v>1151</v>
      </c>
      <c r="AY3" s="633" t="s">
        <v>328</v>
      </c>
      <c r="AZ3" s="631" t="s">
        <v>1151</v>
      </c>
      <c r="BA3" s="632" t="s">
        <v>328</v>
      </c>
      <c r="BB3" s="631" t="s">
        <v>1151</v>
      </c>
      <c r="BC3" s="633" t="s">
        <v>328</v>
      </c>
      <c r="BD3" s="631" t="s">
        <v>1151</v>
      </c>
      <c r="BE3" s="632" t="s">
        <v>328</v>
      </c>
      <c r="BF3" s="631" t="s">
        <v>1151</v>
      </c>
      <c r="BG3" s="633" t="s">
        <v>328</v>
      </c>
      <c r="BH3" s="631" t="s">
        <v>1151</v>
      </c>
      <c r="BI3" s="632" t="s">
        <v>328</v>
      </c>
      <c r="BJ3" s="631" t="s">
        <v>1151</v>
      </c>
      <c r="BK3" s="632" t="s">
        <v>328</v>
      </c>
      <c r="BL3" s="631" t="s">
        <v>1151</v>
      </c>
      <c r="BM3" s="632" t="s">
        <v>328</v>
      </c>
      <c r="BN3" s="631" t="s">
        <v>1151</v>
      </c>
      <c r="BO3" s="632" t="s">
        <v>328</v>
      </c>
      <c r="BP3" s="631" t="s">
        <v>1151</v>
      </c>
      <c r="BQ3" s="633" t="s">
        <v>328</v>
      </c>
      <c r="BR3" s="631" t="s">
        <v>1151</v>
      </c>
      <c r="BS3" s="633" t="s">
        <v>328</v>
      </c>
      <c r="BT3" s="631" t="s">
        <v>1151</v>
      </c>
      <c r="BU3" s="634" t="s">
        <v>1728</v>
      </c>
      <c r="BV3" s="634" t="s">
        <v>1983</v>
      </c>
      <c r="BW3" s="634" t="s">
        <v>2155</v>
      </c>
      <c r="BX3" s="754" t="s">
        <v>2074</v>
      </c>
      <c r="BY3" s="781"/>
      <c r="BZ3" s="781"/>
      <c r="CA3" s="781"/>
      <c r="CB3" s="781"/>
      <c r="CC3" s="781"/>
      <c r="CD3" s="781"/>
      <c r="CE3" s="781"/>
      <c r="CF3" s="781"/>
      <c r="CG3" s="485" t="s">
        <v>271</v>
      </c>
      <c r="CH3" s="486" t="s">
        <v>275</v>
      </c>
      <c r="CI3" s="487" t="s">
        <v>733</v>
      </c>
      <c r="CJ3" s="484" t="s">
        <v>274</v>
      </c>
      <c r="CK3" s="488" t="s">
        <v>1078</v>
      </c>
      <c r="CL3" s="486" t="s">
        <v>297</v>
      </c>
      <c r="CM3" s="482" t="s">
        <v>2045</v>
      </c>
      <c r="CN3" s="482" t="s">
        <v>2045</v>
      </c>
      <c r="CR3" s="594"/>
      <c r="CS3" s="700" t="s">
        <v>2660</v>
      </c>
      <c r="CT3" s="35"/>
      <c r="CU3" s="23"/>
      <c r="CV3" s="23"/>
      <c r="CW3" s="23"/>
      <c r="CX3" s="23"/>
      <c r="CY3" s="35"/>
      <c r="CZ3" s="35"/>
      <c r="DA3" s="648"/>
    </row>
    <row r="4" spans="1:105" ht="19.5" customHeight="1" x14ac:dyDescent="0.2">
      <c r="A4" s="382"/>
      <c r="B4" s="386" t="s">
        <v>1663</v>
      </c>
      <c r="C4" s="385" t="s">
        <v>0</v>
      </c>
      <c r="D4" s="384" t="s">
        <v>1656</v>
      </c>
      <c r="E4" s="385" t="s">
        <v>1657</v>
      </c>
      <c r="F4" s="385" t="s">
        <v>1878</v>
      </c>
      <c r="G4" s="385" t="s">
        <v>1719</v>
      </c>
      <c r="H4" s="385" t="s">
        <v>1690</v>
      </c>
      <c r="I4" s="815" t="s">
        <v>1658</v>
      </c>
      <c r="J4" s="815" t="s">
        <v>1655</v>
      </c>
      <c r="K4" s="815" t="s">
        <v>2091</v>
      </c>
      <c r="L4" s="385" t="s">
        <v>1736</v>
      </c>
      <c r="M4" s="385" t="s">
        <v>1665</v>
      </c>
      <c r="N4" s="385" t="s">
        <v>1740</v>
      </c>
      <c r="O4" s="385" t="s">
        <v>1659</v>
      </c>
      <c r="P4" s="385" t="s">
        <v>1660</v>
      </c>
      <c r="Q4" s="385" t="s">
        <v>1666</v>
      </c>
      <c r="R4" s="383" t="s">
        <v>1693</v>
      </c>
      <c r="S4" s="383" t="s">
        <v>2640</v>
      </c>
      <c r="T4" s="383" t="s">
        <v>2643</v>
      </c>
      <c r="U4" s="502" t="s">
        <v>1664</v>
      </c>
      <c r="V4" s="792" t="s">
        <v>2617</v>
      </c>
      <c r="W4" s="792" t="s">
        <v>2017</v>
      </c>
      <c r="X4" s="383" t="s">
        <v>1720</v>
      </c>
      <c r="Y4" s="489" t="s">
        <v>1668</v>
      </c>
      <c r="Z4" s="531" t="s">
        <v>1671</v>
      </c>
      <c r="AA4" s="531" t="s">
        <v>1848</v>
      </c>
      <c r="AB4" s="531" t="s">
        <v>1849</v>
      </c>
      <c r="AC4" s="489" t="s">
        <v>1672</v>
      </c>
      <c r="AD4" s="531" t="s">
        <v>1673</v>
      </c>
      <c r="AE4" s="489" t="s">
        <v>1669</v>
      </c>
      <c r="AF4" s="531" t="s">
        <v>1670</v>
      </c>
      <c r="AG4" s="531" t="s">
        <v>1846</v>
      </c>
      <c r="AH4" s="531" t="s">
        <v>1847</v>
      </c>
      <c r="AI4" s="489" t="s">
        <v>2015</v>
      </c>
      <c r="AJ4" s="531" t="s">
        <v>2014</v>
      </c>
      <c r="AK4" s="531" t="s">
        <v>1710</v>
      </c>
      <c r="AL4" s="531" t="s">
        <v>1711</v>
      </c>
      <c r="AM4" s="489" t="s">
        <v>1768</v>
      </c>
      <c r="AN4" s="489" t="s">
        <v>1769</v>
      </c>
      <c r="AO4" s="489" t="s">
        <v>1766</v>
      </c>
      <c r="AP4" s="489" t="s">
        <v>1767</v>
      </c>
      <c r="AQ4" s="489" t="s">
        <v>1674</v>
      </c>
      <c r="AR4" s="531" t="s">
        <v>1675</v>
      </c>
      <c r="AS4" s="489" t="s">
        <v>1676</v>
      </c>
      <c r="AT4" s="531" t="s">
        <v>1677</v>
      </c>
      <c r="AU4" s="489" t="s">
        <v>1678</v>
      </c>
      <c r="AV4" s="531" t="s">
        <v>1679</v>
      </c>
      <c r="AW4" s="489" t="s">
        <v>1680</v>
      </c>
      <c r="AX4" s="531" t="s">
        <v>1681</v>
      </c>
      <c r="AY4" s="531" t="s">
        <v>2527</v>
      </c>
      <c r="AZ4" s="531" t="s">
        <v>2528</v>
      </c>
      <c r="BA4" s="531" t="s">
        <v>2305</v>
      </c>
      <c r="BB4" s="531" t="s">
        <v>2306</v>
      </c>
      <c r="BC4" s="531" t="s">
        <v>1843</v>
      </c>
      <c r="BD4" s="531" t="s">
        <v>1844</v>
      </c>
      <c r="BE4" s="531" t="s">
        <v>2522</v>
      </c>
      <c r="BF4" s="531" t="s">
        <v>2523</v>
      </c>
      <c r="BG4" s="531" t="s">
        <v>2572</v>
      </c>
      <c r="BH4" s="531" t="s">
        <v>2573</v>
      </c>
      <c r="BI4" s="489" t="s">
        <v>1850</v>
      </c>
      <c r="BJ4" s="531" t="s">
        <v>1851</v>
      </c>
      <c r="BK4" s="531" t="s">
        <v>2503</v>
      </c>
      <c r="BL4" s="531" t="s">
        <v>2504</v>
      </c>
      <c r="BM4" s="489" t="s">
        <v>1682</v>
      </c>
      <c r="BN4" s="531" t="s">
        <v>1683</v>
      </c>
      <c r="BO4" s="489" t="s">
        <v>1684</v>
      </c>
      <c r="BP4" s="531" t="s">
        <v>1685</v>
      </c>
      <c r="BQ4" s="489" t="s">
        <v>1686</v>
      </c>
      <c r="BR4" s="489" t="s">
        <v>1687</v>
      </c>
      <c r="BS4" s="489" t="s">
        <v>1688</v>
      </c>
      <c r="BT4" s="489" t="s">
        <v>1689</v>
      </c>
      <c r="BU4" s="489" t="s">
        <v>1727</v>
      </c>
      <c r="BV4" s="489" t="s">
        <v>2157</v>
      </c>
      <c r="BW4" s="489" t="s">
        <v>2156</v>
      </c>
      <c r="BX4" s="755" t="s">
        <v>2075</v>
      </c>
      <c r="BY4" s="782" t="s">
        <v>2540</v>
      </c>
      <c r="BZ4" s="782" t="s">
        <v>2541</v>
      </c>
      <c r="CA4" s="782" t="s">
        <v>2536</v>
      </c>
      <c r="CB4" s="782" t="s">
        <v>2561</v>
      </c>
      <c r="CC4" s="782" t="s">
        <v>2542</v>
      </c>
      <c r="CD4" s="782" t="s">
        <v>2535</v>
      </c>
      <c r="CE4" s="782" t="s">
        <v>2558</v>
      </c>
      <c r="CF4" s="782" t="s">
        <v>2560</v>
      </c>
      <c r="CG4" s="387"/>
      <c r="CH4" s="389"/>
      <c r="CI4" s="383"/>
      <c r="CJ4" s="386"/>
      <c r="CK4" s="388"/>
      <c r="CL4" s="389"/>
      <c r="CM4" s="382"/>
      <c r="CN4" s="382"/>
      <c r="CO4" s="382"/>
      <c r="CP4" s="382"/>
      <c r="CQ4" s="382"/>
      <c r="CR4" s="848" t="s">
        <v>1663</v>
      </c>
      <c r="CS4" s="648" t="s">
        <v>2661</v>
      </c>
      <c r="CT4" s="844" t="s">
        <v>1556</v>
      </c>
      <c r="CU4" s="527" t="s">
        <v>2663</v>
      </c>
      <c r="CV4" s="527" t="s">
        <v>2666</v>
      </c>
      <c r="CW4" s="479" t="s">
        <v>2664</v>
      </c>
      <c r="CX4" s="479" t="s">
        <v>783</v>
      </c>
      <c r="CY4" s="479" t="s">
        <v>2665</v>
      </c>
      <c r="CZ4" s="479" t="s">
        <v>346</v>
      </c>
      <c r="DA4" s="494" t="s">
        <v>271</v>
      </c>
    </row>
    <row r="5" spans="1:105" s="126" customFormat="1" ht="12" customHeight="1" x14ac:dyDescent="0.2">
      <c r="A5" s="646"/>
      <c r="B5" s="538"/>
      <c r="C5" s="366" t="s">
        <v>347</v>
      </c>
      <c r="D5" s="237" t="s">
        <v>1125</v>
      </c>
      <c r="E5" s="647" t="s">
        <v>14</v>
      </c>
      <c r="F5" s="647"/>
      <c r="G5" s="98"/>
      <c r="H5" s="97"/>
      <c r="I5" s="253">
        <v>2006</v>
      </c>
      <c r="J5" s="571"/>
      <c r="K5" s="571"/>
      <c r="L5" s="492"/>
      <c r="M5" s="237" t="s">
        <v>17</v>
      </c>
      <c r="N5" s="492"/>
      <c r="O5" s="247"/>
      <c r="P5" s="247"/>
      <c r="Q5" s="237"/>
      <c r="R5" s="254"/>
      <c r="S5" s="254"/>
      <c r="T5" s="254"/>
      <c r="U5" s="402">
        <v>4700</v>
      </c>
      <c r="V5" s="793"/>
      <c r="W5" s="710"/>
      <c r="X5" s="167"/>
      <c r="Y5" s="471"/>
      <c r="Z5" s="471"/>
      <c r="AA5" s="471"/>
      <c r="AB5" s="471"/>
      <c r="AC5" s="471"/>
      <c r="AD5" s="471"/>
      <c r="AE5" s="471"/>
      <c r="AF5" s="471"/>
      <c r="AG5" s="471"/>
      <c r="AH5" s="471"/>
      <c r="AI5" s="471"/>
      <c r="AJ5" s="471"/>
      <c r="AK5" s="471"/>
      <c r="AL5" s="471"/>
      <c r="AM5" s="471"/>
      <c r="AN5" s="471"/>
      <c r="AO5" s="471"/>
      <c r="AP5" s="471"/>
      <c r="AQ5" s="471"/>
      <c r="AR5" s="471"/>
      <c r="AS5" s="471"/>
      <c r="AT5" s="471"/>
      <c r="AU5" s="471"/>
      <c r="AV5" s="471"/>
      <c r="AW5" s="471"/>
      <c r="AX5" s="471"/>
      <c r="AY5" s="471"/>
      <c r="AZ5" s="471"/>
      <c r="BA5" s="471"/>
      <c r="BB5" s="471"/>
      <c r="BC5" s="471"/>
      <c r="BD5" s="471"/>
      <c r="BE5" s="442"/>
      <c r="BF5" s="442"/>
      <c r="BG5" s="471"/>
      <c r="BH5" s="471"/>
      <c r="BI5" s="442">
        <v>52.4</v>
      </c>
      <c r="BJ5" s="442">
        <v>39.299999999999997</v>
      </c>
      <c r="BK5" s="442"/>
      <c r="BL5" s="442"/>
      <c r="BM5" s="442"/>
      <c r="BN5" s="442"/>
      <c r="BO5" s="442"/>
      <c r="BP5" s="442"/>
      <c r="BQ5" s="271"/>
      <c r="BR5" s="271"/>
      <c r="BS5" s="271"/>
      <c r="BT5" s="271"/>
      <c r="BU5" s="271"/>
      <c r="BV5" s="454"/>
      <c r="BW5" s="454"/>
      <c r="BX5" s="756"/>
      <c r="BY5" s="850"/>
      <c r="BZ5" s="850"/>
      <c r="CA5" s="850"/>
      <c r="CB5" s="850"/>
      <c r="CC5" s="850"/>
      <c r="CD5" s="850"/>
      <c r="CE5" s="850"/>
      <c r="CF5" s="850"/>
      <c r="CG5" s="237"/>
      <c r="CH5" s="419"/>
      <c r="CI5" s="404">
        <v>40994</v>
      </c>
      <c r="CJ5" s="36"/>
      <c r="CK5" s="678" t="s">
        <v>1057</v>
      </c>
      <c r="CL5" s="572"/>
      <c r="CM5" s="648"/>
      <c r="CN5" s="35"/>
      <c r="CO5" s="35"/>
      <c r="CP5" s="35"/>
      <c r="CQ5" s="35"/>
      <c r="CR5" s="406"/>
      <c r="CS5" s="648"/>
      <c r="CU5" s="36"/>
      <c r="CV5" s="36"/>
      <c r="CW5" s="36"/>
      <c r="CX5" s="36"/>
      <c r="DA5" s="648"/>
    </row>
    <row r="6" spans="1:105" s="35" customFormat="1" ht="12" customHeight="1" x14ac:dyDescent="0.2">
      <c r="A6" s="651"/>
      <c r="B6" s="537"/>
      <c r="C6" s="97" t="s">
        <v>124</v>
      </c>
      <c r="D6" s="237" t="s">
        <v>1130</v>
      </c>
      <c r="E6" s="647" t="s">
        <v>14</v>
      </c>
      <c r="F6" s="647"/>
      <c r="G6" s="98"/>
      <c r="H6" s="97"/>
      <c r="I6" s="166">
        <v>2002</v>
      </c>
      <c r="J6" s="571"/>
      <c r="K6" s="571"/>
      <c r="L6" s="493" t="s">
        <v>248</v>
      </c>
      <c r="M6" s="98" t="s">
        <v>15</v>
      </c>
      <c r="N6" s="493"/>
      <c r="O6" s="98" t="s">
        <v>90</v>
      </c>
      <c r="P6" s="98"/>
      <c r="Q6" s="98"/>
      <c r="R6" s="167"/>
      <c r="S6" s="167"/>
      <c r="T6" s="167"/>
      <c r="U6" s="393">
        <v>4049</v>
      </c>
      <c r="V6" s="694"/>
      <c r="W6" s="711"/>
      <c r="X6" s="167"/>
      <c r="Y6" s="446"/>
      <c r="Z6" s="446"/>
      <c r="AA6" s="446"/>
      <c r="AB6" s="446"/>
      <c r="AC6" s="446"/>
      <c r="AD6" s="446"/>
      <c r="AE6" s="446"/>
      <c r="AF6" s="446"/>
      <c r="AG6" s="446"/>
      <c r="AH6" s="446"/>
      <c r="AI6" s="446"/>
      <c r="AJ6" s="446"/>
      <c r="AK6" s="446"/>
      <c r="AL6" s="446"/>
      <c r="AM6" s="446"/>
      <c r="AN6" s="446"/>
      <c r="AO6" s="446"/>
      <c r="AP6" s="446"/>
      <c r="AQ6" s="446"/>
      <c r="AR6" s="446"/>
      <c r="AS6" s="446"/>
      <c r="AT6" s="446"/>
      <c r="AU6" s="446"/>
      <c r="AV6" s="446"/>
      <c r="AW6" s="446"/>
      <c r="AX6" s="446"/>
      <c r="AY6" s="446"/>
      <c r="AZ6" s="446"/>
      <c r="BA6" s="446"/>
      <c r="BB6" s="446"/>
      <c r="BC6" s="446"/>
      <c r="BD6" s="446"/>
      <c r="BE6" s="442"/>
      <c r="BF6" s="442"/>
      <c r="BG6" s="446"/>
      <c r="BH6" s="446"/>
      <c r="BI6" s="442">
        <v>8.1999999999999993</v>
      </c>
      <c r="BJ6" s="442">
        <v>4.5</v>
      </c>
      <c r="BK6" s="442"/>
      <c r="BL6" s="442"/>
      <c r="BM6" s="442"/>
      <c r="BN6" s="442"/>
      <c r="BO6" s="442"/>
      <c r="BP6" s="442"/>
      <c r="BQ6" s="444"/>
      <c r="BR6" s="444"/>
      <c r="BS6" s="442"/>
      <c r="BT6" s="445"/>
      <c r="BU6" s="445"/>
      <c r="BV6" s="445"/>
      <c r="BW6" s="445"/>
      <c r="BX6" s="756"/>
      <c r="BY6" s="850"/>
      <c r="BZ6" s="850"/>
      <c r="CA6" s="850"/>
      <c r="CB6" s="850"/>
      <c r="CC6" s="850"/>
      <c r="CD6" s="850"/>
      <c r="CE6" s="850"/>
      <c r="CF6" s="850"/>
      <c r="CG6" s="237" t="s">
        <v>523</v>
      </c>
      <c r="CH6" s="417"/>
      <c r="CI6" s="405"/>
      <c r="CJ6" s="23"/>
      <c r="CK6" s="426" t="s">
        <v>1041</v>
      </c>
      <c r="CL6" s="572"/>
      <c r="CM6" s="648"/>
      <c r="CR6" s="406"/>
      <c r="CS6" s="648"/>
      <c r="CU6" s="23"/>
      <c r="CV6" s="23"/>
      <c r="CW6" s="23"/>
      <c r="CX6" s="23"/>
      <c r="DA6" s="648"/>
    </row>
    <row r="7" spans="1:105" s="35" customFormat="1" ht="12" customHeight="1" x14ac:dyDescent="0.2">
      <c r="A7" s="651"/>
      <c r="B7" s="537"/>
      <c r="C7" s="97" t="s">
        <v>124</v>
      </c>
      <c r="D7" s="237" t="s">
        <v>1130</v>
      </c>
      <c r="E7" s="647" t="s">
        <v>304</v>
      </c>
      <c r="F7" s="647"/>
      <c r="G7" s="98"/>
      <c r="H7" s="97"/>
      <c r="I7" s="166">
        <v>2003</v>
      </c>
      <c r="J7" s="571"/>
      <c r="K7" s="571"/>
      <c r="L7" s="493"/>
      <c r="M7" s="98" t="s">
        <v>18</v>
      </c>
      <c r="N7" s="493"/>
      <c r="O7" s="247"/>
      <c r="P7" s="247"/>
      <c r="Q7" s="98"/>
      <c r="R7" s="167"/>
      <c r="S7" s="167"/>
      <c r="T7" s="167"/>
      <c r="U7" s="393">
        <v>1039</v>
      </c>
      <c r="V7" s="694"/>
      <c r="W7" s="711"/>
      <c r="X7" s="167"/>
      <c r="Y7" s="446"/>
      <c r="Z7" s="446"/>
      <c r="AA7" s="446"/>
      <c r="AB7" s="446"/>
      <c r="AC7" s="446"/>
      <c r="AD7" s="446"/>
      <c r="AE7" s="446"/>
      <c r="AF7" s="446"/>
      <c r="AG7" s="446"/>
      <c r="AH7" s="446"/>
      <c r="AI7" s="446"/>
      <c r="AJ7" s="446"/>
      <c r="AK7" s="446"/>
      <c r="AL7" s="446"/>
      <c r="AM7" s="446"/>
      <c r="AN7" s="446"/>
      <c r="AO7" s="446"/>
      <c r="AP7" s="446"/>
      <c r="AQ7" s="446"/>
      <c r="AR7" s="446"/>
      <c r="AS7" s="446"/>
      <c r="AT7" s="446"/>
      <c r="AU7" s="446"/>
      <c r="AV7" s="446"/>
      <c r="AW7" s="446"/>
      <c r="AX7" s="446"/>
      <c r="AY7" s="446"/>
      <c r="AZ7" s="446"/>
      <c r="BA7" s="446"/>
      <c r="BB7" s="446"/>
      <c r="BC7" s="446"/>
      <c r="BD7" s="446"/>
      <c r="BE7" s="445"/>
      <c r="BF7" s="445"/>
      <c r="BG7" s="446"/>
      <c r="BH7" s="446"/>
      <c r="BI7" s="445"/>
      <c r="BJ7" s="445">
        <v>37</v>
      </c>
      <c r="BK7" s="445"/>
      <c r="BL7" s="445"/>
      <c r="BM7" s="445"/>
      <c r="BN7" s="445"/>
      <c r="BO7" s="445"/>
      <c r="BP7" s="445"/>
      <c r="BQ7" s="444"/>
      <c r="BR7" s="444"/>
      <c r="BS7" s="442"/>
      <c r="BT7" s="445"/>
      <c r="BU7" s="445"/>
      <c r="BV7" s="445"/>
      <c r="BW7" s="445"/>
      <c r="BX7" s="756"/>
      <c r="BY7" s="850"/>
      <c r="BZ7" s="850"/>
      <c r="CA7" s="850"/>
      <c r="CB7" s="850"/>
      <c r="CC7" s="850"/>
      <c r="CD7" s="850"/>
      <c r="CE7" s="850"/>
      <c r="CF7" s="850"/>
      <c r="CG7" s="98" t="s">
        <v>953</v>
      </c>
      <c r="CH7" s="417" t="s">
        <v>306</v>
      </c>
      <c r="CI7" s="405"/>
      <c r="CJ7" s="23"/>
      <c r="CK7" s="648" t="s">
        <v>1173</v>
      </c>
      <c r="CL7" s="572"/>
      <c r="CM7" s="648"/>
      <c r="CR7" s="406"/>
      <c r="CS7" s="648"/>
      <c r="CU7" s="23"/>
      <c r="CV7" s="23"/>
      <c r="CW7" s="23"/>
      <c r="CX7" s="23"/>
      <c r="DA7" s="648"/>
    </row>
    <row r="8" spans="1:105" s="35" customFormat="1" ht="12" customHeight="1" x14ac:dyDescent="0.2">
      <c r="A8" s="651"/>
      <c r="B8" s="537"/>
      <c r="C8" s="97" t="s">
        <v>124</v>
      </c>
      <c r="D8" s="237" t="s">
        <v>1130</v>
      </c>
      <c r="E8" s="647" t="s">
        <v>14</v>
      </c>
      <c r="F8" s="647"/>
      <c r="G8" s="98"/>
      <c r="H8" s="97"/>
      <c r="I8" s="166" t="s">
        <v>1157</v>
      </c>
      <c r="J8" s="571"/>
      <c r="K8" s="571"/>
      <c r="L8" s="493"/>
      <c r="M8" s="247" t="s">
        <v>15</v>
      </c>
      <c r="N8" s="493"/>
      <c r="O8" s="247"/>
      <c r="P8" s="247"/>
      <c r="Q8" s="98"/>
      <c r="R8" s="167"/>
      <c r="S8" s="167"/>
      <c r="T8" s="167"/>
      <c r="U8" s="170"/>
      <c r="V8" s="692"/>
      <c r="W8" s="700"/>
      <c r="X8" s="167"/>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445"/>
      <c r="BF8" s="445"/>
      <c r="BG8" s="271"/>
      <c r="BH8" s="271"/>
      <c r="BI8" s="445">
        <v>31.2</v>
      </c>
      <c r="BJ8" s="445">
        <v>23.8</v>
      </c>
      <c r="BK8" s="445"/>
      <c r="BL8" s="445"/>
      <c r="BM8" s="445"/>
      <c r="BN8" s="445"/>
      <c r="BO8" s="445"/>
      <c r="BP8" s="445"/>
      <c r="BQ8" s="444"/>
      <c r="BR8" s="444"/>
      <c r="BS8" s="446"/>
      <c r="BT8" s="446"/>
      <c r="BU8" s="446"/>
      <c r="BV8" s="442"/>
      <c r="BW8" s="442"/>
      <c r="BX8" s="756"/>
      <c r="BY8" s="850"/>
      <c r="BZ8" s="850"/>
      <c r="CA8" s="850"/>
      <c r="CB8" s="850"/>
      <c r="CC8" s="850"/>
      <c r="CD8" s="850"/>
      <c r="CE8" s="850"/>
      <c r="CF8" s="850"/>
      <c r="CG8" s="98"/>
      <c r="CH8" s="419" t="s">
        <v>1158</v>
      </c>
      <c r="CI8" s="404">
        <v>42452</v>
      </c>
      <c r="CJ8" s="23"/>
      <c r="CK8" s="648"/>
      <c r="CL8" s="572"/>
      <c r="CM8" s="648"/>
      <c r="CR8" s="406"/>
      <c r="CS8" s="648"/>
      <c r="CU8" s="23"/>
      <c r="CV8" s="23"/>
      <c r="CW8" s="23"/>
      <c r="CX8" s="23"/>
      <c r="DA8" s="648"/>
    </row>
    <row r="9" spans="1:105" s="35" customFormat="1" ht="12" customHeight="1" x14ac:dyDescent="0.2">
      <c r="A9" s="651"/>
      <c r="B9" s="537"/>
      <c r="C9" s="97" t="s">
        <v>125</v>
      </c>
      <c r="D9" s="237" t="s">
        <v>1131</v>
      </c>
      <c r="E9" s="647" t="s">
        <v>14</v>
      </c>
      <c r="F9" s="647"/>
      <c r="G9" s="98"/>
      <c r="H9" s="97"/>
      <c r="I9" s="166">
        <v>2006</v>
      </c>
      <c r="J9" s="571"/>
      <c r="K9" s="571"/>
      <c r="L9" s="493"/>
      <c r="M9" s="98" t="s">
        <v>17</v>
      </c>
      <c r="N9" s="493"/>
      <c r="O9" s="247"/>
      <c r="P9" s="247"/>
      <c r="Q9" s="98"/>
      <c r="R9" s="167"/>
      <c r="S9" s="167"/>
      <c r="T9" s="167"/>
      <c r="U9" s="393">
        <v>2043</v>
      </c>
      <c r="V9" s="694"/>
      <c r="W9" s="711"/>
      <c r="X9" s="167"/>
      <c r="Y9" s="446"/>
      <c r="Z9" s="446"/>
      <c r="AA9" s="446"/>
      <c r="AB9" s="446"/>
      <c r="AC9" s="446"/>
      <c r="AD9" s="446"/>
      <c r="AE9" s="446"/>
      <c r="AF9" s="446"/>
      <c r="AG9" s="446"/>
      <c r="AH9" s="446"/>
      <c r="AI9" s="446"/>
      <c r="AJ9" s="446"/>
      <c r="AK9" s="446"/>
      <c r="AL9" s="446"/>
      <c r="AM9" s="446"/>
      <c r="AN9" s="446"/>
      <c r="AO9" s="446"/>
      <c r="AP9" s="446"/>
      <c r="AQ9" s="446"/>
      <c r="AR9" s="446"/>
      <c r="AS9" s="446"/>
      <c r="AT9" s="446"/>
      <c r="AU9" s="446"/>
      <c r="AV9" s="446"/>
      <c r="AW9" s="446"/>
      <c r="AX9" s="446"/>
      <c r="AY9" s="446"/>
      <c r="AZ9" s="446"/>
      <c r="BA9" s="446"/>
      <c r="BB9" s="446"/>
      <c r="BC9" s="446"/>
      <c r="BD9" s="446"/>
      <c r="BE9" s="442"/>
      <c r="BF9" s="442"/>
      <c r="BG9" s="446"/>
      <c r="BH9" s="446"/>
      <c r="BI9" s="442">
        <v>16</v>
      </c>
      <c r="BJ9" s="442">
        <v>10</v>
      </c>
      <c r="BK9" s="442"/>
      <c r="BL9" s="442"/>
      <c r="BM9" s="442"/>
      <c r="BN9" s="442"/>
      <c r="BO9" s="442"/>
      <c r="BP9" s="442"/>
      <c r="BQ9" s="444"/>
      <c r="BR9" s="445"/>
      <c r="BS9" s="442"/>
      <c r="BT9" s="445"/>
      <c r="BU9" s="445"/>
      <c r="BV9" s="445"/>
      <c r="BW9" s="445"/>
      <c r="BX9" s="756"/>
      <c r="BY9" s="850"/>
      <c r="BZ9" s="850"/>
      <c r="CA9" s="850"/>
      <c r="CB9" s="850"/>
      <c r="CC9" s="850"/>
      <c r="CD9" s="850"/>
      <c r="CE9" s="850"/>
      <c r="CF9" s="850"/>
      <c r="CG9" s="237" t="s">
        <v>222</v>
      </c>
      <c r="CH9" s="420" t="s">
        <v>952</v>
      </c>
      <c r="CI9" s="405"/>
      <c r="CJ9" s="23"/>
      <c r="CK9" s="648"/>
      <c r="CL9" s="572"/>
      <c r="CM9" s="648"/>
      <c r="CR9" s="406"/>
      <c r="CS9" s="648"/>
      <c r="CU9" s="23"/>
      <c r="CV9" s="23"/>
      <c r="CW9" s="23"/>
      <c r="CX9" s="23"/>
      <c r="DA9" s="648"/>
    </row>
    <row r="10" spans="1:105" s="35" customFormat="1" ht="12" customHeight="1" x14ac:dyDescent="0.2">
      <c r="A10" s="651"/>
      <c r="B10" s="537"/>
      <c r="C10" s="97" t="s">
        <v>126</v>
      </c>
      <c r="D10" s="237" t="s">
        <v>1131</v>
      </c>
      <c r="E10" s="647" t="s">
        <v>348</v>
      </c>
      <c r="F10" s="647"/>
      <c r="G10" s="98"/>
      <c r="H10" s="97"/>
      <c r="I10" s="166">
        <v>2007</v>
      </c>
      <c r="J10" s="571"/>
      <c r="K10" s="571"/>
      <c r="L10" s="493"/>
      <c r="M10" s="98"/>
      <c r="N10" s="493"/>
      <c r="O10" s="247"/>
      <c r="P10" s="247"/>
      <c r="Q10" s="98"/>
      <c r="R10" s="167"/>
      <c r="S10" s="167"/>
      <c r="T10" s="167"/>
      <c r="U10" s="393">
        <v>999999999</v>
      </c>
      <c r="V10" s="694"/>
      <c r="W10" s="711"/>
      <c r="X10" s="167"/>
      <c r="Y10" s="446"/>
      <c r="Z10" s="446"/>
      <c r="AA10" s="446"/>
      <c r="AB10" s="446"/>
      <c r="AC10" s="446"/>
      <c r="AD10" s="446"/>
      <c r="AE10" s="446"/>
      <c r="AF10" s="446"/>
      <c r="AG10" s="446"/>
      <c r="AH10" s="446"/>
      <c r="AI10" s="446"/>
      <c r="AJ10" s="446"/>
      <c r="AK10" s="446"/>
      <c r="AL10" s="446"/>
      <c r="AM10" s="446"/>
      <c r="AN10" s="446"/>
      <c r="AO10" s="446"/>
      <c r="AP10" s="446"/>
      <c r="AQ10" s="446"/>
      <c r="AR10" s="446"/>
      <c r="AS10" s="446"/>
      <c r="AT10" s="446"/>
      <c r="AU10" s="446"/>
      <c r="AV10" s="446"/>
      <c r="AW10" s="446"/>
      <c r="AX10" s="446"/>
      <c r="AY10" s="446"/>
      <c r="AZ10" s="446"/>
      <c r="BA10" s="446"/>
      <c r="BB10" s="446"/>
      <c r="BC10" s="446"/>
      <c r="BD10" s="446"/>
      <c r="BE10" s="445"/>
      <c r="BF10" s="445"/>
      <c r="BG10" s="446"/>
      <c r="BH10" s="446"/>
      <c r="BI10" s="442">
        <v>78</v>
      </c>
      <c r="BJ10" s="445"/>
      <c r="BK10" s="445"/>
      <c r="BL10" s="445"/>
      <c r="BM10" s="445"/>
      <c r="BN10" s="445"/>
      <c r="BO10" s="445"/>
      <c r="BP10" s="445"/>
      <c r="BQ10" s="444"/>
      <c r="BR10" s="444"/>
      <c r="BS10" s="446"/>
      <c r="BT10" s="446"/>
      <c r="BU10" s="446"/>
      <c r="BV10" s="442"/>
      <c r="BW10" s="442"/>
      <c r="BX10" s="756"/>
      <c r="BY10" s="850"/>
      <c r="BZ10" s="850"/>
      <c r="CA10" s="850"/>
      <c r="CB10" s="850"/>
      <c r="CC10" s="850"/>
      <c r="CD10" s="850"/>
      <c r="CE10" s="850"/>
      <c r="CF10" s="850"/>
      <c r="CG10" s="237" t="s">
        <v>223</v>
      </c>
      <c r="CH10" s="421" t="s">
        <v>636</v>
      </c>
      <c r="CI10" s="405"/>
      <c r="CJ10" s="23"/>
      <c r="CK10" s="648"/>
      <c r="CL10" s="572"/>
      <c r="CM10" s="431"/>
      <c r="CN10" s="128"/>
      <c r="CO10" s="128"/>
      <c r="CP10" s="128"/>
      <c r="CQ10" s="128"/>
      <c r="CR10" s="406"/>
      <c r="CS10" s="431"/>
      <c r="CU10" s="23"/>
      <c r="CV10" s="23"/>
      <c r="CW10" s="23"/>
      <c r="CX10" s="23"/>
      <c r="DA10" s="648"/>
    </row>
    <row r="11" spans="1:105" s="35" customFormat="1" ht="12" customHeight="1" x14ac:dyDescent="0.2">
      <c r="A11" s="651"/>
      <c r="B11" s="537"/>
      <c r="C11" s="126" t="s">
        <v>1496</v>
      </c>
      <c r="D11" s="237" t="s">
        <v>1132</v>
      </c>
      <c r="E11" s="647" t="s">
        <v>14</v>
      </c>
      <c r="F11" s="647"/>
      <c r="G11" s="237"/>
      <c r="H11" s="186"/>
      <c r="I11" s="253">
        <v>1990</v>
      </c>
      <c r="J11" s="390"/>
      <c r="K11" s="390"/>
      <c r="L11" s="493"/>
      <c r="M11" s="237" t="s">
        <v>17</v>
      </c>
      <c r="N11" s="493"/>
      <c r="O11" s="247"/>
      <c r="P11" s="247"/>
      <c r="Q11" s="237"/>
      <c r="R11" s="254"/>
      <c r="S11" s="254"/>
      <c r="T11" s="254"/>
      <c r="U11" s="393">
        <v>97</v>
      </c>
      <c r="V11" s="694"/>
      <c r="W11" s="711"/>
      <c r="X11" s="254"/>
      <c r="Y11" s="446"/>
      <c r="Z11" s="446"/>
      <c r="AA11" s="446"/>
      <c r="AB11" s="446"/>
      <c r="AC11" s="446"/>
      <c r="AD11" s="446"/>
      <c r="AE11" s="446"/>
      <c r="AF11" s="446"/>
      <c r="AG11" s="446"/>
      <c r="AH11" s="446"/>
      <c r="AI11" s="446"/>
      <c r="AJ11" s="446"/>
      <c r="AK11" s="446"/>
      <c r="AL11" s="446"/>
      <c r="AM11" s="446"/>
      <c r="AN11" s="446"/>
      <c r="AO11" s="446"/>
      <c r="AP11" s="446"/>
      <c r="AQ11" s="446"/>
      <c r="AR11" s="446"/>
      <c r="AS11" s="446"/>
      <c r="AT11" s="446"/>
      <c r="AU11" s="446"/>
      <c r="AV11" s="446"/>
      <c r="AW11" s="446"/>
      <c r="AX11" s="446"/>
      <c r="AY11" s="446"/>
      <c r="AZ11" s="446"/>
      <c r="BA11" s="446"/>
      <c r="BB11" s="446"/>
      <c r="BC11" s="446"/>
      <c r="BD11" s="446"/>
      <c r="BE11" s="442"/>
      <c r="BF11" s="442"/>
      <c r="BG11" s="446"/>
      <c r="BH11" s="446"/>
      <c r="BI11" s="442">
        <v>30</v>
      </c>
      <c r="BJ11" s="442"/>
      <c r="BK11" s="442"/>
      <c r="BL11" s="442"/>
      <c r="BM11" s="442"/>
      <c r="BN11" s="442"/>
      <c r="BO11" s="442"/>
      <c r="BP11" s="442"/>
      <c r="BQ11" s="444"/>
      <c r="BR11" s="445"/>
      <c r="BS11" s="442"/>
      <c r="BT11" s="445"/>
      <c r="BU11" s="445"/>
      <c r="BV11" s="445"/>
      <c r="BW11" s="445"/>
      <c r="BX11" s="756"/>
      <c r="BY11" s="850"/>
      <c r="BZ11" s="850"/>
      <c r="CA11" s="850"/>
      <c r="CB11" s="850"/>
      <c r="CC11" s="850"/>
      <c r="CD11" s="850"/>
      <c r="CE11" s="850"/>
      <c r="CF11" s="850"/>
      <c r="CG11" s="98" t="s">
        <v>218</v>
      </c>
      <c r="CH11" s="419" t="s">
        <v>1050</v>
      </c>
      <c r="CI11" s="404">
        <v>40994</v>
      </c>
      <c r="CJ11" s="23"/>
      <c r="CK11" s="648" t="s">
        <v>1073</v>
      </c>
      <c r="CL11" s="572" t="s">
        <v>1174</v>
      </c>
      <c r="CM11" s="648"/>
      <c r="CR11" s="406"/>
      <c r="CS11" s="648"/>
      <c r="CU11" s="23"/>
      <c r="CV11" s="23"/>
      <c r="CW11" s="23"/>
      <c r="CX11" s="23"/>
      <c r="DA11" s="648"/>
    </row>
    <row r="12" spans="1:105" s="35" customFormat="1" ht="12" customHeight="1" x14ac:dyDescent="0.2">
      <c r="A12" s="651"/>
      <c r="B12" s="537"/>
      <c r="C12" s="97" t="s">
        <v>127</v>
      </c>
      <c r="D12" s="237" t="s">
        <v>1132</v>
      </c>
      <c r="E12" s="647" t="s">
        <v>349</v>
      </c>
      <c r="F12" s="647"/>
      <c r="G12" s="237"/>
      <c r="H12" s="186"/>
      <c r="I12" s="253">
        <v>2002</v>
      </c>
      <c r="J12" s="390"/>
      <c r="K12" s="390"/>
      <c r="L12" s="493"/>
      <c r="M12" s="237"/>
      <c r="N12" s="493"/>
      <c r="O12" s="247"/>
      <c r="P12" s="247"/>
      <c r="Q12" s="237"/>
      <c r="R12" s="254"/>
      <c r="S12" s="254"/>
      <c r="T12" s="254"/>
      <c r="U12" s="393">
        <v>270</v>
      </c>
      <c r="V12" s="694"/>
      <c r="W12" s="711"/>
      <c r="X12" s="254"/>
      <c r="Y12" s="446"/>
      <c r="Z12" s="446"/>
      <c r="AA12" s="446"/>
      <c r="AB12" s="446"/>
      <c r="AC12" s="446"/>
      <c r="AD12" s="446"/>
      <c r="AE12" s="446"/>
      <c r="AF12" s="446"/>
      <c r="AG12" s="446"/>
      <c r="AH12" s="446"/>
      <c r="AI12" s="446"/>
      <c r="AJ12" s="446"/>
      <c r="AK12" s="446"/>
      <c r="AL12" s="446"/>
      <c r="AM12" s="446"/>
      <c r="AN12" s="446"/>
      <c r="AO12" s="446"/>
      <c r="AP12" s="446"/>
      <c r="AQ12" s="446"/>
      <c r="AR12" s="446"/>
      <c r="AS12" s="446"/>
      <c r="AT12" s="446"/>
      <c r="AU12" s="446"/>
      <c r="AV12" s="446"/>
      <c r="AW12" s="446"/>
      <c r="AX12" s="446"/>
      <c r="AY12" s="446"/>
      <c r="AZ12" s="446"/>
      <c r="BA12" s="446"/>
      <c r="BB12" s="446"/>
      <c r="BC12" s="446"/>
      <c r="BD12" s="446"/>
      <c r="BE12" s="445"/>
      <c r="BF12" s="445"/>
      <c r="BG12" s="446"/>
      <c r="BH12" s="446"/>
      <c r="BI12" s="442">
        <f>100*53/270</f>
        <v>19.62962962962963</v>
      </c>
      <c r="BJ12" s="445"/>
      <c r="BK12" s="445"/>
      <c r="BL12" s="445"/>
      <c r="BM12" s="445"/>
      <c r="BN12" s="445"/>
      <c r="BO12" s="445"/>
      <c r="BP12" s="445"/>
      <c r="BQ12" s="444"/>
      <c r="BR12" s="444"/>
      <c r="BS12" s="446"/>
      <c r="BT12" s="446"/>
      <c r="BU12" s="446"/>
      <c r="BV12" s="442"/>
      <c r="BW12" s="442"/>
      <c r="BX12" s="756"/>
      <c r="BY12" s="850"/>
      <c r="BZ12" s="850"/>
      <c r="CA12" s="850"/>
      <c r="CB12" s="850"/>
      <c r="CC12" s="850"/>
      <c r="CD12" s="850"/>
      <c r="CE12" s="850"/>
      <c r="CF12" s="850"/>
      <c r="CG12" s="237" t="s">
        <v>956</v>
      </c>
      <c r="CH12" s="419" t="s">
        <v>594</v>
      </c>
      <c r="CI12" s="405"/>
      <c r="CJ12" s="23"/>
      <c r="CK12" s="648" t="s">
        <v>708</v>
      </c>
      <c r="CL12" s="572" t="s">
        <v>506</v>
      </c>
      <c r="CM12" s="648"/>
      <c r="CR12" s="406"/>
      <c r="CS12" s="648"/>
      <c r="CU12" s="23"/>
      <c r="CV12" s="23"/>
      <c r="CW12" s="23"/>
      <c r="CX12" s="23"/>
      <c r="DA12" s="648"/>
    </row>
    <row r="13" spans="1:105" s="35" customFormat="1" ht="12" customHeight="1" x14ac:dyDescent="0.2">
      <c r="A13" s="651"/>
      <c r="B13" s="537"/>
      <c r="C13" s="97" t="s">
        <v>127</v>
      </c>
      <c r="D13" s="237" t="s">
        <v>1132</v>
      </c>
      <c r="E13" s="647" t="s">
        <v>14</v>
      </c>
      <c r="F13" s="647"/>
      <c r="G13" s="98"/>
      <c r="H13" s="97"/>
      <c r="I13" s="253">
        <v>2004</v>
      </c>
      <c r="J13" s="571"/>
      <c r="K13" s="571"/>
      <c r="L13" s="493"/>
      <c r="M13" s="237" t="s">
        <v>17</v>
      </c>
      <c r="N13" s="493"/>
      <c r="O13" s="247"/>
      <c r="P13" s="247"/>
      <c r="Q13" s="237"/>
      <c r="R13" s="254"/>
      <c r="S13" s="254"/>
      <c r="T13" s="254"/>
      <c r="U13" s="393">
        <v>999999999</v>
      </c>
      <c r="V13" s="694"/>
      <c r="W13" s="711"/>
      <c r="X13" s="167"/>
      <c r="Y13" s="446"/>
      <c r="Z13" s="446"/>
      <c r="AA13" s="446"/>
      <c r="AB13" s="446"/>
      <c r="AC13" s="446"/>
      <c r="AD13" s="446"/>
      <c r="AE13" s="446"/>
      <c r="AF13" s="446"/>
      <c r="AG13" s="446"/>
      <c r="AH13" s="446"/>
      <c r="AI13" s="446"/>
      <c r="AJ13" s="446"/>
      <c r="AK13" s="446"/>
      <c r="AL13" s="446"/>
      <c r="AM13" s="446"/>
      <c r="AN13" s="446"/>
      <c r="AO13" s="446"/>
      <c r="AP13" s="446"/>
      <c r="AQ13" s="446"/>
      <c r="AR13" s="446"/>
      <c r="AS13" s="446"/>
      <c r="AT13" s="446"/>
      <c r="AU13" s="446"/>
      <c r="AV13" s="446"/>
      <c r="AW13" s="446"/>
      <c r="AX13" s="446"/>
      <c r="AY13" s="446"/>
      <c r="AZ13" s="446"/>
      <c r="BA13" s="446"/>
      <c r="BB13" s="446"/>
      <c r="BC13" s="446"/>
      <c r="BD13" s="446"/>
      <c r="BE13" s="271"/>
      <c r="BF13" s="271"/>
      <c r="BG13" s="446"/>
      <c r="BH13" s="446"/>
      <c r="BI13" s="271"/>
      <c r="BJ13" s="271"/>
      <c r="BK13" s="271"/>
      <c r="BL13" s="271"/>
      <c r="BM13" s="271"/>
      <c r="BN13" s="271"/>
      <c r="BO13" s="271"/>
      <c r="BP13" s="271"/>
      <c r="BQ13" s="271"/>
      <c r="BR13" s="271"/>
      <c r="BS13" s="271"/>
      <c r="BT13" s="271"/>
      <c r="BU13" s="271"/>
      <c r="BV13" s="454"/>
      <c r="BW13" s="454"/>
      <c r="BX13" s="756"/>
      <c r="BY13" s="850"/>
      <c r="BZ13" s="850"/>
      <c r="CA13" s="850"/>
      <c r="CB13" s="850"/>
      <c r="CC13" s="850"/>
      <c r="CD13" s="850"/>
      <c r="CE13" s="850"/>
      <c r="CF13" s="850"/>
      <c r="CG13" s="98" t="s">
        <v>537</v>
      </c>
      <c r="CH13" s="419" t="s">
        <v>538</v>
      </c>
      <c r="CI13" s="405"/>
      <c r="CJ13" s="23"/>
      <c r="CK13" s="648" t="s">
        <v>539</v>
      </c>
      <c r="CL13" s="572" t="s">
        <v>540</v>
      </c>
      <c r="CM13" s="648"/>
      <c r="CR13" s="406"/>
      <c r="CS13" s="648"/>
      <c r="CU13" s="23"/>
      <c r="CV13" s="23"/>
      <c r="CW13" s="23"/>
      <c r="CX13" s="23"/>
      <c r="DA13" s="648"/>
    </row>
    <row r="14" spans="1:105" s="35" customFormat="1" ht="12" customHeight="1" x14ac:dyDescent="0.2">
      <c r="A14" s="651"/>
      <c r="B14" s="537"/>
      <c r="C14" s="97" t="s">
        <v>362</v>
      </c>
      <c r="D14" s="237" t="s">
        <v>1125</v>
      </c>
      <c r="E14" s="647" t="s">
        <v>1880</v>
      </c>
      <c r="F14" s="647" t="s">
        <v>1879</v>
      </c>
      <c r="G14" s="98"/>
      <c r="H14" s="97"/>
      <c r="I14" s="253" t="s">
        <v>551</v>
      </c>
      <c r="J14" s="571"/>
      <c r="K14" s="571"/>
      <c r="L14" s="493"/>
      <c r="M14" s="237" t="s">
        <v>17</v>
      </c>
      <c r="N14" s="493"/>
      <c r="O14" s="247"/>
      <c r="P14" s="247"/>
      <c r="Q14" s="237"/>
      <c r="R14" s="254"/>
      <c r="S14" s="254"/>
      <c r="T14" s="254"/>
      <c r="U14" s="393">
        <v>1457</v>
      </c>
      <c r="V14" s="694"/>
      <c r="W14" s="711"/>
      <c r="X14" s="167"/>
      <c r="Y14" s="446"/>
      <c r="Z14" s="446"/>
      <c r="AA14" s="446"/>
      <c r="AB14" s="446"/>
      <c r="AC14" s="446"/>
      <c r="AD14" s="446"/>
      <c r="AE14" s="446"/>
      <c r="AF14" s="446"/>
      <c r="AG14" s="446"/>
      <c r="AH14" s="446"/>
      <c r="AI14" s="446"/>
      <c r="AJ14" s="446"/>
      <c r="AK14" s="446"/>
      <c r="AL14" s="446"/>
      <c r="AM14" s="446"/>
      <c r="AN14" s="446"/>
      <c r="AO14" s="446"/>
      <c r="AP14" s="446"/>
      <c r="AQ14" s="446"/>
      <c r="AR14" s="446"/>
      <c r="AS14" s="446"/>
      <c r="AT14" s="446"/>
      <c r="AU14" s="446"/>
      <c r="AV14" s="446"/>
      <c r="AW14" s="446"/>
      <c r="AX14" s="446"/>
      <c r="AY14" s="446"/>
      <c r="AZ14" s="446"/>
      <c r="BA14" s="446"/>
      <c r="BB14" s="446"/>
      <c r="BC14" s="446"/>
      <c r="BD14" s="446"/>
      <c r="BE14" s="442"/>
      <c r="BF14" s="442"/>
      <c r="BG14" s="446"/>
      <c r="BH14" s="446"/>
      <c r="BI14" s="442"/>
      <c r="BJ14" s="442"/>
      <c r="BK14" s="442"/>
      <c r="BL14" s="442"/>
      <c r="BM14" s="442"/>
      <c r="BN14" s="442"/>
      <c r="BO14" s="442"/>
      <c r="BP14" s="442"/>
      <c r="BQ14" s="444"/>
      <c r="BR14" s="445"/>
      <c r="BS14" s="442">
        <v>30</v>
      </c>
      <c r="BT14" s="445"/>
      <c r="BU14" s="445"/>
      <c r="BV14" s="445"/>
      <c r="BW14" s="445"/>
      <c r="BX14" s="756"/>
      <c r="BY14" s="850"/>
      <c r="BZ14" s="850"/>
      <c r="CA14" s="850"/>
      <c r="CB14" s="850"/>
      <c r="CC14" s="850"/>
      <c r="CD14" s="850"/>
      <c r="CE14" s="850"/>
      <c r="CF14" s="850"/>
      <c r="CG14" s="237" t="s">
        <v>225</v>
      </c>
      <c r="CH14" s="419" t="s">
        <v>637</v>
      </c>
      <c r="CI14" s="404">
        <v>40994</v>
      </c>
      <c r="CJ14" s="23"/>
      <c r="CK14" s="648" t="s">
        <v>1060</v>
      </c>
      <c r="CL14" s="572"/>
      <c r="CM14" s="648"/>
      <c r="CR14" s="406"/>
      <c r="CS14" s="648"/>
      <c r="CU14" s="23"/>
      <c r="CV14" s="23"/>
      <c r="CW14" s="23"/>
      <c r="CX14" s="23"/>
      <c r="DA14" s="648"/>
    </row>
    <row r="15" spans="1:105" s="35" customFormat="1" ht="12" customHeight="1" x14ac:dyDescent="0.2">
      <c r="A15" s="651"/>
      <c r="B15" s="537"/>
      <c r="C15" s="97" t="s">
        <v>362</v>
      </c>
      <c r="D15" s="237" t="s">
        <v>1125</v>
      </c>
      <c r="E15" s="647" t="s">
        <v>14</v>
      </c>
      <c r="F15" s="647"/>
      <c r="G15" s="98"/>
      <c r="H15" s="97"/>
      <c r="I15" s="253" t="s">
        <v>589</v>
      </c>
      <c r="J15" s="571"/>
      <c r="K15" s="571"/>
      <c r="L15" s="493"/>
      <c r="M15" s="237"/>
      <c r="N15" s="493"/>
      <c r="O15" s="247"/>
      <c r="P15" s="247"/>
      <c r="Q15" s="237"/>
      <c r="R15" s="254"/>
      <c r="S15" s="254"/>
      <c r="T15" s="254"/>
      <c r="U15" s="393">
        <v>999999999</v>
      </c>
      <c r="V15" s="694"/>
      <c r="W15" s="711"/>
      <c r="X15" s="167"/>
      <c r="Y15" s="446"/>
      <c r="Z15" s="446"/>
      <c r="AA15" s="446"/>
      <c r="AB15" s="446"/>
      <c r="AC15" s="446"/>
      <c r="AD15" s="446"/>
      <c r="AE15" s="446"/>
      <c r="AF15" s="446"/>
      <c r="AG15" s="446"/>
      <c r="AH15" s="446"/>
      <c r="AI15" s="446"/>
      <c r="AJ15" s="446"/>
      <c r="AK15" s="446"/>
      <c r="AL15" s="446"/>
      <c r="AM15" s="446"/>
      <c r="AN15" s="446"/>
      <c r="AO15" s="446"/>
      <c r="AP15" s="446"/>
      <c r="AQ15" s="446"/>
      <c r="AR15" s="446"/>
      <c r="AS15" s="446"/>
      <c r="AT15" s="446"/>
      <c r="AU15" s="446"/>
      <c r="AV15" s="446"/>
      <c r="AW15" s="446"/>
      <c r="AX15" s="446"/>
      <c r="AY15" s="446"/>
      <c r="AZ15" s="446"/>
      <c r="BA15" s="446"/>
      <c r="BB15" s="446"/>
      <c r="BC15" s="446"/>
      <c r="BD15" s="446"/>
      <c r="BE15" s="442"/>
      <c r="BF15" s="442"/>
      <c r="BG15" s="446"/>
      <c r="BH15" s="446"/>
      <c r="BI15" s="442">
        <v>8.9</v>
      </c>
      <c r="BJ15" s="442"/>
      <c r="BK15" s="442"/>
      <c r="BL15" s="442"/>
      <c r="BM15" s="442"/>
      <c r="BN15" s="442"/>
      <c r="BO15" s="442"/>
      <c r="BP15" s="442"/>
      <c r="BQ15" s="442">
        <v>9.5</v>
      </c>
      <c r="BR15" s="445"/>
      <c r="BS15" s="446"/>
      <c r="BT15" s="446"/>
      <c r="BU15" s="446"/>
      <c r="BV15" s="442"/>
      <c r="BW15" s="442"/>
      <c r="BX15" s="757"/>
      <c r="BY15" s="850"/>
      <c r="BZ15" s="850"/>
      <c r="CA15" s="850"/>
      <c r="CB15" s="850"/>
      <c r="CC15" s="850"/>
      <c r="CD15" s="850"/>
      <c r="CE15" s="850"/>
      <c r="CF15" s="850"/>
      <c r="CG15" s="237"/>
      <c r="CH15" s="419" t="s">
        <v>1122</v>
      </c>
      <c r="CI15" s="404"/>
      <c r="CJ15" s="23"/>
      <c r="CK15" s="648"/>
      <c r="CL15" s="572"/>
      <c r="CM15" s="431"/>
      <c r="CN15" s="128"/>
      <c r="CO15" s="128"/>
      <c r="CP15" s="128"/>
      <c r="CQ15" s="128"/>
      <c r="CR15" s="406"/>
      <c r="CS15" s="431"/>
      <c r="CU15" s="23"/>
      <c r="CV15" s="23"/>
      <c r="CW15" s="23"/>
      <c r="CX15" s="23"/>
      <c r="DA15" s="648"/>
    </row>
    <row r="16" spans="1:105" s="35" customFormat="1" ht="12" customHeight="1" x14ac:dyDescent="0.2">
      <c r="A16" s="651"/>
      <c r="B16" s="537"/>
      <c r="C16" s="97" t="s">
        <v>64</v>
      </c>
      <c r="D16" s="237" t="s">
        <v>1134</v>
      </c>
      <c r="E16" s="647" t="s">
        <v>14</v>
      </c>
      <c r="F16" s="647"/>
      <c r="G16" s="98"/>
      <c r="H16" s="97"/>
      <c r="I16" s="166">
        <v>1996</v>
      </c>
      <c r="J16" s="571"/>
      <c r="K16" s="571"/>
      <c r="L16" s="493"/>
      <c r="M16" s="98" t="s">
        <v>17</v>
      </c>
      <c r="N16" s="493"/>
      <c r="O16" s="247"/>
      <c r="P16" s="247"/>
      <c r="Q16" s="98"/>
      <c r="R16" s="167"/>
      <c r="S16" s="167"/>
      <c r="T16" s="167"/>
      <c r="U16" s="393">
        <v>6300</v>
      </c>
      <c r="V16" s="694"/>
      <c r="W16" s="711"/>
      <c r="X16" s="167"/>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5"/>
      <c r="BF16" s="445"/>
      <c r="BG16" s="446"/>
      <c r="BH16" s="446"/>
      <c r="BI16" s="442">
        <v>8</v>
      </c>
      <c r="BJ16" s="445">
        <v>3</v>
      </c>
      <c r="BK16" s="445"/>
      <c r="BL16" s="445"/>
      <c r="BM16" s="445"/>
      <c r="BN16" s="445"/>
      <c r="BO16" s="445"/>
      <c r="BP16" s="445"/>
      <c r="BQ16" s="444"/>
      <c r="BR16" s="445"/>
      <c r="BS16" s="442"/>
      <c r="BT16" s="445"/>
      <c r="BU16" s="445"/>
      <c r="BV16" s="445"/>
      <c r="BW16" s="445"/>
      <c r="BX16" s="756"/>
      <c r="BY16" s="850"/>
      <c r="BZ16" s="850"/>
      <c r="CA16" s="850"/>
      <c r="CB16" s="850"/>
      <c r="CC16" s="850"/>
      <c r="CD16" s="850"/>
      <c r="CE16" s="850"/>
      <c r="CF16" s="850"/>
      <c r="CG16" s="98" t="s">
        <v>523</v>
      </c>
      <c r="CH16" s="417"/>
      <c r="CI16" s="405"/>
      <c r="CJ16" s="23"/>
      <c r="CK16" s="426" t="s">
        <v>1041</v>
      </c>
      <c r="CL16" s="572"/>
      <c r="CM16" s="648"/>
      <c r="CR16" s="406"/>
      <c r="CS16" s="648"/>
      <c r="CU16" s="23"/>
      <c r="CV16" s="23"/>
      <c r="CW16" s="23"/>
      <c r="CX16" s="23"/>
      <c r="DA16" s="648"/>
    </row>
    <row r="17" spans="1:105" s="35" customFormat="1" ht="12" customHeight="1" x14ac:dyDescent="0.2">
      <c r="A17" s="651"/>
      <c r="B17" s="537"/>
      <c r="C17" s="97" t="s">
        <v>64</v>
      </c>
      <c r="D17" s="169" t="s">
        <v>1134</v>
      </c>
      <c r="E17" s="647"/>
      <c r="F17" s="647"/>
      <c r="G17" s="98"/>
      <c r="H17" s="97"/>
      <c r="I17" s="166">
        <v>2001</v>
      </c>
      <c r="J17" s="571"/>
      <c r="K17" s="571"/>
      <c r="L17" s="493"/>
      <c r="M17" s="98"/>
      <c r="N17" s="493"/>
      <c r="O17" s="247"/>
      <c r="P17" s="247"/>
      <c r="Q17" s="98"/>
      <c r="R17" s="167"/>
      <c r="S17" s="167"/>
      <c r="T17" s="167"/>
      <c r="U17" s="393">
        <v>395</v>
      </c>
      <c r="V17" s="694"/>
      <c r="W17" s="711"/>
      <c r="X17" s="167"/>
      <c r="Y17" s="446"/>
      <c r="Z17" s="446"/>
      <c r="AA17" s="446"/>
      <c r="AB17" s="446"/>
      <c r="AC17" s="446"/>
      <c r="AD17" s="446"/>
      <c r="AE17" s="446"/>
      <c r="AF17" s="446"/>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2"/>
      <c r="BF17" s="442"/>
      <c r="BG17" s="446"/>
      <c r="BH17" s="446"/>
      <c r="BI17" s="442"/>
      <c r="BJ17" s="442"/>
      <c r="BK17" s="442"/>
      <c r="BL17" s="442"/>
      <c r="BM17" s="442"/>
      <c r="BN17" s="442"/>
      <c r="BO17" s="442"/>
      <c r="BP17" s="442"/>
      <c r="BQ17" s="442"/>
      <c r="BR17" s="442"/>
      <c r="BS17" s="442">
        <v>28.5</v>
      </c>
      <c r="BT17" s="446"/>
      <c r="BU17" s="446"/>
      <c r="BV17" s="442"/>
      <c r="BW17" s="442"/>
      <c r="BX17" s="756"/>
      <c r="BY17" s="850"/>
      <c r="BZ17" s="850"/>
      <c r="CA17" s="850"/>
      <c r="CB17" s="850"/>
      <c r="CC17" s="850"/>
      <c r="CD17" s="850"/>
      <c r="CE17" s="850"/>
      <c r="CF17" s="850"/>
      <c r="CG17" s="169" t="s">
        <v>957</v>
      </c>
      <c r="CH17" s="417"/>
      <c r="CI17" s="405"/>
      <c r="CJ17" s="23"/>
      <c r="CK17" s="648" t="s">
        <v>782</v>
      </c>
      <c r="CL17" s="572"/>
      <c r="CM17" s="648"/>
      <c r="CR17" s="406"/>
      <c r="CS17" s="648"/>
      <c r="CU17" s="23"/>
      <c r="CV17" s="23"/>
      <c r="CW17" s="23"/>
      <c r="CX17" s="23"/>
      <c r="DA17" s="648"/>
    </row>
    <row r="18" spans="1:105" s="97" customFormat="1" ht="12" customHeight="1" x14ac:dyDescent="0.2">
      <c r="A18" s="651"/>
      <c r="B18" s="537"/>
      <c r="C18" s="97" t="s">
        <v>64</v>
      </c>
      <c r="D18" s="169" t="s">
        <v>1134</v>
      </c>
      <c r="E18" s="647"/>
      <c r="F18" s="647"/>
      <c r="G18" s="98"/>
      <c r="I18" s="166">
        <v>2002</v>
      </c>
      <c r="J18" s="571"/>
      <c r="K18" s="571"/>
      <c r="L18" s="493" t="s">
        <v>794</v>
      </c>
      <c r="M18" s="98"/>
      <c r="N18" s="493"/>
      <c r="O18" s="98"/>
      <c r="P18" s="98"/>
      <c r="Q18" s="98"/>
      <c r="R18" s="167"/>
      <c r="S18" s="167"/>
      <c r="T18" s="167"/>
      <c r="U18" s="393">
        <v>2338</v>
      </c>
      <c r="V18" s="694"/>
      <c r="W18" s="711"/>
      <c r="X18" s="167"/>
      <c r="Y18" s="446"/>
      <c r="Z18" s="446"/>
      <c r="AA18" s="446"/>
      <c r="AB18" s="446"/>
      <c r="AC18" s="446"/>
      <c r="AD18" s="446"/>
      <c r="AE18" s="446"/>
      <c r="AF18" s="446"/>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2"/>
      <c r="BF18" s="442"/>
      <c r="BG18" s="446"/>
      <c r="BH18" s="446"/>
      <c r="BI18" s="442"/>
      <c r="BJ18" s="442"/>
      <c r="BK18" s="442"/>
      <c r="BL18" s="442"/>
      <c r="BM18" s="442"/>
      <c r="BN18" s="442"/>
      <c r="BO18" s="442"/>
      <c r="BP18" s="442"/>
      <c r="BQ18" s="442"/>
      <c r="BR18" s="442"/>
      <c r="BS18" s="442">
        <v>23.3</v>
      </c>
      <c r="BT18" s="446"/>
      <c r="BU18" s="446"/>
      <c r="BV18" s="442"/>
      <c r="BW18" s="442"/>
      <c r="BX18" s="756"/>
      <c r="BY18" s="850"/>
      <c r="BZ18" s="850"/>
      <c r="CA18" s="850"/>
      <c r="CB18" s="850"/>
      <c r="CC18" s="850"/>
      <c r="CD18" s="850"/>
      <c r="CE18" s="850"/>
      <c r="CF18" s="850"/>
      <c r="CG18" s="169" t="s">
        <v>957</v>
      </c>
      <c r="CH18" s="417"/>
      <c r="CI18" s="405"/>
      <c r="CJ18" s="23"/>
      <c r="CK18" s="648" t="s">
        <v>782</v>
      </c>
      <c r="CL18" s="572"/>
      <c r="CM18" s="648"/>
      <c r="CN18" s="35"/>
      <c r="CO18" s="35"/>
      <c r="CP18" s="35"/>
      <c r="CQ18" s="35"/>
      <c r="CR18" s="406"/>
      <c r="CS18" s="648"/>
      <c r="CU18" s="98"/>
      <c r="CV18" s="98"/>
      <c r="CW18" s="98"/>
      <c r="CX18" s="98"/>
      <c r="DA18" s="647"/>
    </row>
    <row r="19" spans="1:105" s="97" customFormat="1" ht="12" customHeight="1" x14ac:dyDescent="0.2">
      <c r="A19" s="651"/>
      <c r="B19" s="537"/>
      <c r="C19" s="97" t="s">
        <v>64</v>
      </c>
      <c r="D19" s="169" t="s">
        <v>1134</v>
      </c>
      <c r="E19" s="647" t="s">
        <v>1110</v>
      </c>
      <c r="F19" s="647"/>
      <c r="G19" s="98"/>
      <c r="I19" s="166">
        <v>2003</v>
      </c>
      <c r="J19" s="571"/>
      <c r="K19" s="571"/>
      <c r="L19" s="493"/>
      <c r="M19" s="98"/>
      <c r="N19" s="493"/>
      <c r="O19" s="247"/>
      <c r="P19" s="247"/>
      <c r="Q19" s="98"/>
      <c r="R19" s="167"/>
      <c r="S19" s="167"/>
      <c r="T19" s="167"/>
      <c r="U19" s="393">
        <v>2884</v>
      </c>
      <c r="V19" s="694"/>
      <c r="W19" s="711"/>
      <c r="X19" s="167"/>
      <c r="Y19" s="446"/>
      <c r="Z19" s="446"/>
      <c r="AA19" s="446"/>
      <c r="AB19" s="446"/>
      <c r="AC19" s="446"/>
      <c r="AD19" s="446"/>
      <c r="AE19" s="446"/>
      <c r="AF19" s="446"/>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2"/>
      <c r="BF19" s="442"/>
      <c r="BG19" s="446"/>
      <c r="BH19" s="446"/>
      <c r="BI19" s="442"/>
      <c r="BJ19" s="442"/>
      <c r="BK19" s="442"/>
      <c r="BL19" s="442"/>
      <c r="BM19" s="442"/>
      <c r="BN19" s="442"/>
      <c r="BO19" s="442"/>
      <c r="BP19" s="442"/>
      <c r="BQ19" s="442"/>
      <c r="BR19" s="442"/>
      <c r="BS19" s="442">
        <v>16</v>
      </c>
      <c r="BT19" s="446"/>
      <c r="BU19" s="446"/>
      <c r="BV19" s="442"/>
      <c r="BW19" s="442"/>
      <c r="BX19" s="756"/>
      <c r="BY19" s="850"/>
      <c r="BZ19" s="850"/>
      <c r="CA19" s="850"/>
      <c r="CB19" s="850"/>
      <c r="CC19" s="850"/>
      <c r="CD19" s="850"/>
      <c r="CE19" s="850"/>
      <c r="CF19" s="850"/>
      <c r="CG19" s="169" t="s">
        <v>957</v>
      </c>
      <c r="CH19" s="417"/>
      <c r="CI19" s="405"/>
      <c r="CJ19" s="23"/>
      <c r="CK19" s="648" t="s">
        <v>782</v>
      </c>
      <c r="CL19" s="572"/>
      <c r="CM19" s="648"/>
      <c r="CN19" s="35"/>
      <c r="CO19" s="35"/>
      <c r="CP19" s="35"/>
      <c r="CQ19" s="35"/>
      <c r="CR19" s="406"/>
      <c r="CS19" s="648"/>
      <c r="CU19" s="98"/>
      <c r="CV19" s="98"/>
      <c r="CW19" s="98"/>
      <c r="CX19" s="98"/>
      <c r="DA19" s="647"/>
    </row>
    <row r="20" spans="1:105" s="97" customFormat="1" ht="12" customHeight="1" x14ac:dyDescent="0.2">
      <c r="A20" s="651"/>
      <c r="B20" s="537"/>
      <c r="C20" s="97" t="s">
        <v>64</v>
      </c>
      <c r="D20" s="169" t="s">
        <v>1134</v>
      </c>
      <c r="E20" s="647"/>
      <c r="F20" s="647"/>
      <c r="G20" s="98"/>
      <c r="I20" s="166">
        <v>2003</v>
      </c>
      <c r="J20" s="571"/>
      <c r="K20" s="571"/>
      <c r="L20" s="493"/>
      <c r="M20" s="98"/>
      <c r="N20" s="493"/>
      <c r="O20" s="247"/>
      <c r="P20" s="247"/>
      <c r="Q20" s="98"/>
      <c r="R20" s="167"/>
      <c r="S20" s="167"/>
      <c r="T20" s="167"/>
      <c r="U20" s="393">
        <v>6004</v>
      </c>
      <c r="V20" s="694"/>
      <c r="W20" s="711"/>
      <c r="X20" s="167"/>
      <c r="Y20" s="446"/>
      <c r="Z20" s="446"/>
      <c r="AA20" s="446"/>
      <c r="AB20" s="446"/>
      <c r="AC20" s="446"/>
      <c r="AD20" s="446"/>
      <c r="AE20" s="446"/>
      <c r="AF20" s="446"/>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2"/>
      <c r="BF20" s="442"/>
      <c r="BG20" s="446"/>
      <c r="BH20" s="446"/>
      <c r="BI20" s="442"/>
      <c r="BJ20" s="442"/>
      <c r="BK20" s="442"/>
      <c r="BL20" s="442"/>
      <c r="BM20" s="442"/>
      <c r="BN20" s="442"/>
      <c r="BO20" s="442"/>
      <c r="BP20" s="442"/>
      <c r="BQ20" s="442"/>
      <c r="BR20" s="442"/>
      <c r="BS20" s="442">
        <v>16</v>
      </c>
      <c r="BT20" s="446"/>
      <c r="BU20" s="446"/>
      <c r="BV20" s="442"/>
      <c r="BW20" s="442"/>
      <c r="BX20" s="756"/>
      <c r="BY20" s="850"/>
      <c r="BZ20" s="850"/>
      <c r="CA20" s="850"/>
      <c r="CB20" s="850"/>
      <c r="CC20" s="850"/>
      <c r="CD20" s="850"/>
      <c r="CE20" s="850"/>
      <c r="CF20" s="850"/>
      <c r="CG20" s="169" t="s">
        <v>957</v>
      </c>
      <c r="CH20" s="417"/>
      <c r="CI20" s="405"/>
      <c r="CJ20" s="23"/>
      <c r="CK20" s="648" t="s">
        <v>782</v>
      </c>
      <c r="CL20" s="572"/>
      <c r="CM20" s="648"/>
      <c r="CN20" s="35"/>
      <c r="CO20" s="35"/>
      <c r="CP20" s="35"/>
      <c r="CQ20" s="35"/>
      <c r="CR20" s="406"/>
      <c r="CS20" s="648"/>
      <c r="CU20" s="98"/>
      <c r="CV20" s="98"/>
      <c r="CW20" s="98"/>
      <c r="CX20" s="98"/>
      <c r="DA20" s="647"/>
    </row>
    <row r="21" spans="1:105" s="97" customFormat="1" ht="12" customHeight="1" x14ac:dyDescent="0.2">
      <c r="A21" s="651"/>
      <c r="B21" s="537"/>
      <c r="C21" s="97" t="s">
        <v>64</v>
      </c>
      <c r="D21" s="169" t="s">
        <v>1134</v>
      </c>
      <c r="E21" s="647"/>
      <c r="F21" s="647"/>
      <c r="G21" s="98"/>
      <c r="I21" s="166">
        <v>2006</v>
      </c>
      <c r="J21" s="571"/>
      <c r="K21" s="571"/>
      <c r="L21" s="493"/>
      <c r="M21" s="98"/>
      <c r="N21" s="493"/>
      <c r="O21" s="247"/>
      <c r="P21" s="247"/>
      <c r="Q21" s="98"/>
      <c r="R21" s="167"/>
      <c r="S21" s="167"/>
      <c r="T21" s="167"/>
      <c r="U21" s="393">
        <v>356</v>
      </c>
      <c r="V21" s="694"/>
      <c r="W21" s="711"/>
      <c r="X21" s="167"/>
      <c r="Y21" s="446"/>
      <c r="Z21" s="446"/>
      <c r="AA21" s="446"/>
      <c r="AB21" s="446"/>
      <c r="AC21" s="446"/>
      <c r="AD21" s="446"/>
      <c r="AE21" s="446"/>
      <c r="AF21" s="446"/>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2"/>
      <c r="BF21" s="442"/>
      <c r="BG21" s="446"/>
      <c r="BH21" s="446"/>
      <c r="BI21" s="442"/>
      <c r="BJ21" s="442"/>
      <c r="BK21" s="442"/>
      <c r="BL21" s="442"/>
      <c r="BM21" s="442"/>
      <c r="BN21" s="442"/>
      <c r="BO21" s="442"/>
      <c r="BP21" s="442"/>
      <c r="BQ21" s="442">
        <v>27</v>
      </c>
      <c r="BR21" s="442"/>
      <c r="BS21" s="442"/>
      <c r="BT21" s="446"/>
      <c r="BU21" s="446"/>
      <c r="BV21" s="442"/>
      <c r="BW21" s="442"/>
      <c r="BX21" s="756"/>
      <c r="BY21" s="850"/>
      <c r="BZ21" s="850"/>
      <c r="CA21" s="850"/>
      <c r="CB21" s="850"/>
      <c r="CC21" s="850"/>
      <c r="CD21" s="850"/>
      <c r="CE21" s="850"/>
      <c r="CF21" s="850"/>
      <c r="CG21" s="169" t="s">
        <v>957</v>
      </c>
      <c r="CH21" s="417"/>
      <c r="CI21" s="405"/>
      <c r="CJ21" s="23"/>
      <c r="CK21" s="648" t="s">
        <v>782</v>
      </c>
      <c r="CL21" s="572"/>
      <c r="CM21" s="431"/>
      <c r="CN21" s="128"/>
      <c r="CO21" s="128"/>
      <c r="CP21" s="128"/>
      <c r="CQ21" s="128"/>
      <c r="CR21" s="406"/>
      <c r="CS21" s="431"/>
      <c r="CU21" s="98"/>
      <c r="CV21" s="98"/>
      <c r="CW21" s="98"/>
      <c r="CX21" s="98"/>
      <c r="DA21" s="647"/>
    </row>
    <row r="22" spans="1:105" s="97" customFormat="1" ht="12" customHeight="1" x14ac:dyDescent="0.2">
      <c r="A22" s="651"/>
      <c r="B22" s="537"/>
      <c r="C22" s="97" t="s">
        <v>64</v>
      </c>
      <c r="D22" s="237" t="s">
        <v>1134</v>
      </c>
      <c r="E22" s="647" t="s">
        <v>14</v>
      </c>
      <c r="F22" s="647"/>
      <c r="G22" s="98"/>
      <c r="I22" s="166" t="s">
        <v>249</v>
      </c>
      <c r="J22" s="571"/>
      <c r="K22" s="571"/>
      <c r="L22" s="493" t="s">
        <v>258</v>
      </c>
      <c r="M22" s="98" t="s">
        <v>15</v>
      </c>
      <c r="N22" s="494" t="s">
        <v>783</v>
      </c>
      <c r="O22" s="247"/>
      <c r="P22" s="247"/>
      <c r="Q22" s="98"/>
      <c r="R22" s="167"/>
      <c r="S22" s="167"/>
      <c r="T22" s="167"/>
      <c r="U22" s="393">
        <v>6438</v>
      </c>
      <c r="V22" s="694"/>
      <c r="W22" s="711"/>
      <c r="X22" s="167"/>
      <c r="Y22" s="446"/>
      <c r="Z22" s="446"/>
      <c r="AA22" s="446"/>
      <c r="AB22" s="446"/>
      <c r="AC22" s="446"/>
      <c r="AD22" s="446"/>
      <c r="AE22" s="446"/>
      <c r="AF22" s="446"/>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5"/>
      <c r="BF22" s="445"/>
      <c r="BG22" s="446"/>
      <c r="BH22" s="446"/>
      <c r="BI22" s="445">
        <v>25</v>
      </c>
      <c r="BJ22" s="445">
        <v>4</v>
      </c>
      <c r="BK22" s="445"/>
      <c r="BL22" s="445"/>
      <c r="BM22" s="445"/>
      <c r="BN22" s="445"/>
      <c r="BO22" s="445"/>
      <c r="BP22" s="445"/>
      <c r="BQ22" s="442">
        <v>27</v>
      </c>
      <c r="BR22" s="445">
        <v>4</v>
      </c>
      <c r="BS22" s="442"/>
      <c r="BT22" s="271"/>
      <c r="BU22" s="271"/>
      <c r="BV22" s="454"/>
      <c r="BW22" s="454"/>
      <c r="BX22" s="756"/>
      <c r="BY22" s="850"/>
      <c r="BZ22" s="850"/>
      <c r="CA22" s="850"/>
      <c r="CB22" s="850"/>
      <c r="CC22" s="850"/>
      <c r="CD22" s="850"/>
      <c r="CE22" s="850"/>
      <c r="CF22" s="850"/>
      <c r="CG22" s="36" t="s">
        <v>1003</v>
      </c>
      <c r="CH22" s="422" t="s">
        <v>664</v>
      </c>
      <c r="CI22" s="405"/>
      <c r="CJ22" s="23"/>
      <c r="CK22" s="420" t="s">
        <v>659</v>
      </c>
      <c r="CL22" s="572"/>
      <c r="CM22" s="648"/>
      <c r="CN22" s="35"/>
      <c r="CO22" s="35"/>
      <c r="CP22" s="35"/>
      <c r="CQ22" s="35"/>
      <c r="CR22" s="406"/>
      <c r="CS22" s="648"/>
      <c r="CU22" s="98"/>
      <c r="CV22" s="98"/>
      <c r="CW22" s="98"/>
      <c r="CX22" s="98"/>
      <c r="DA22" s="647"/>
    </row>
    <row r="23" spans="1:105" s="97" customFormat="1" ht="12" customHeight="1" x14ac:dyDescent="0.2">
      <c r="A23" s="652"/>
      <c r="B23" s="469" t="s">
        <v>1784</v>
      </c>
      <c r="C23" s="551" t="s">
        <v>83</v>
      </c>
      <c r="D23" s="98" t="s">
        <v>1125</v>
      </c>
      <c r="E23" s="647" t="s">
        <v>14</v>
      </c>
      <c r="F23" s="647"/>
      <c r="G23" s="237"/>
      <c r="H23" s="186"/>
      <c r="I23" s="166">
        <v>2006</v>
      </c>
      <c r="J23" s="571">
        <v>2006</v>
      </c>
      <c r="K23" s="571"/>
      <c r="L23" s="494" t="s">
        <v>244</v>
      </c>
      <c r="M23" s="247" t="s">
        <v>1837</v>
      </c>
      <c r="N23" s="494" t="s">
        <v>783</v>
      </c>
      <c r="O23" s="247" t="s">
        <v>19</v>
      </c>
      <c r="P23" s="98">
        <v>15</v>
      </c>
      <c r="Q23" s="247">
        <v>49</v>
      </c>
      <c r="R23" s="552">
        <v>32.145257196790922</v>
      </c>
      <c r="S23" s="552"/>
      <c r="T23" s="552"/>
      <c r="U23" s="553">
        <v>4299</v>
      </c>
      <c r="V23" s="794"/>
      <c r="W23" s="712"/>
      <c r="X23" s="552">
        <v>10.642701936702892</v>
      </c>
      <c r="Y23" s="552">
        <v>7.0481507327285255</v>
      </c>
      <c r="Z23" s="552">
        <v>5.9316120027913479</v>
      </c>
      <c r="AA23" s="555"/>
      <c r="AB23" s="555"/>
      <c r="AC23" s="552">
        <v>3.9311467783205494</v>
      </c>
      <c r="AD23" s="552">
        <v>3.3263549662712215</v>
      </c>
      <c r="AE23" s="552">
        <v>1.9543973941368087</v>
      </c>
      <c r="AF23" s="552">
        <v>1.5123313168915791</v>
      </c>
      <c r="AG23" s="554">
        <v>0.46522447080716473</v>
      </c>
      <c r="AH23" s="554">
        <v>0.27913468248429885</v>
      </c>
      <c r="AI23" s="555"/>
      <c r="AJ23" s="555"/>
      <c r="AK23" s="555"/>
      <c r="AL23" s="555"/>
      <c r="AM23" s="552">
        <v>12.142358688066993</v>
      </c>
      <c r="AN23" s="552">
        <v>8.6066527099325327</v>
      </c>
      <c r="AO23" s="552">
        <v>5.8864588180549147</v>
      </c>
      <c r="AP23" s="552">
        <v>4.6765937645416651</v>
      </c>
      <c r="AQ23" s="552">
        <v>9.9092812281926328</v>
      </c>
      <c r="AR23" s="552">
        <v>7.4203303093742692</v>
      </c>
      <c r="AS23" s="552">
        <v>4.0707141195626866</v>
      </c>
      <c r="AT23" s="552">
        <v>3.1170039544080015</v>
      </c>
      <c r="AU23" s="552">
        <v>3.0479292694276325</v>
      </c>
      <c r="AV23" s="552">
        <v>2.1405304792926976</v>
      </c>
      <c r="AW23" s="552">
        <v>0.74453234062354778</v>
      </c>
      <c r="AX23" s="552">
        <v>0.6049325267566309</v>
      </c>
      <c r="AY23" s="555"/>
      <c r="AZ23" s="555"/>
      <c r="BA23" s="552"/>
      <c r="BB23" s="552"/>
      <c r="BC23" s="555"/>
      <c r="BD23" s="555"/>
      <c r="BE23" s="552"/>
      <c r="BF23" s="552"/>
      <c r="BG23" s="552"/>
      <c r="BH23" s="552"/>
      <c r="BI23" s="552">
        <v>14.445219818562425</v>
      </c>
      <c r="BJ23" s="552">
        <v>10.56059548732266</v>
      </c>
      <c r="BK23" s="552"/>
      <c r="BL23" s="552"/>
      <c r="BM23" s="552">
        <v>2.7215631542219105</v>
      </c>
      <c r="BN23" s="552">
        <v>2.2795999069551054</v>
      </c>
      <c r="BO23" s="552">
        <v>0.86066527099325496</v>
      </c>
      <c r="BP23" s="552">
        <v>0.69783670621074678</v>
      </c>
      <c r="BQ23" s="552"/>
      <c r="BR23" s="42"/>
      <c r="BS23" s="42"/>
      <c r="BT23" s="42"/>
      <c r="BU23" s="42">
        <v>12</v>
      </c>
      <c r="BV23" s="42"/>
      <c r="BW23" s="42"/>
      <c r="BX23" s="757"/>
      <c r="BY23" s="850"/>
      <c r="BZ23" s="850"/>
      <c r="CA23" s="850"/>
      <c r="CB23" s="850"/>
      <c r="CC23" s="850"/>
      <c r="CD23" s="850"/>
      <c r="CE23" s="850"/>
      <c r="CF23" s="850"/>
      <c r="CG23" s="237" t="s">
        <v>1003</v>
      </c>
      <c r="CH23" s="556" t="s">
        <v>1153</v>
      </c>
      <c r="CI23" s="557"/>
      <c r="CJ23" s="98"/>
      <c r="CK23" s="469" t="s">
        <v>1042</v>
      </c>
      <c r="CL23" s="469" t="s">
        <v>1841</v>
      </c>
      <c r="CM23" s="647"/>
      <c r="CR23" s="638"/>
      <c r="CS23" s="647"/>
      <c r="CU23" s="98"/>
      <c r="CV23" s="98"/>
      <c r="CW23" s="98"/>
      <c r="CX23" s="98"/>
      <c r="DA23" s="647"/>
    </row>
    <row r="24" spans="1:105" s="97" customFormat="1" ht="12" customHeight="1" x14ac:dyDescent="0.2">
      <c r="A24" s="651"/>
      <c r="B24" s="537"/>
      <c r="C24" s="97" t="s">
        <v>83</v>
      </c>
      <c r="D24" s="237" t="s">
        <v>1125</v>
      </c>
      <c r="E24" s="647" t="s">
        <v>14</v>
      </c>
      <c r="F24" s="647"/>
      <c r="G24" s="98"/>
      <c r="I24" s="166">
        <v>2001</v>
      </c>
      <c r="J24" s="571"/>
      <c r="K24" s="571"/>
      <c r="L24" s="493" t="s">
        <v>248</v>
      </c>
      <c r="M24" s="98" t="s">
        <v>15</v>
      </c>
      <c r="N24" s="493"/>
      <c r="O24" s="98" t="s">
        <v>90</v>
      </c>
      <c r="P24" s="98"/>
      <c r="Q24" s="98"/>
      <c r="R24" s="167"/>
      <c r="S24" s="167"/>
      <c r="T24" s="167"/>
      <c r="U24" s="393">
        <v>5533</v>
      </c>
      <c r="V24" s="694"/>
      <c r="W24" s="711"/>
      <c r="X24" s="167"/>
      <c r="Y24" s="446"/>
      <c r="Z24" s="446"/>
      <c r="AA24" s="446"/>
      <c r="AB24" s="446"/>
      <c r="AC24" s="446"/>
      <c r="AD24" s="446"/>
      <c r="AE24" s="446"/>
      <c r="AF24" s="446"/>
      <c r="AG24" s="446"/>
      <c r="AH24" s="446"/>
      <c r="AI24" s="446"/>
      <c r="AJ24" s="446"/>
      <c r="AK24" s="446"/>
      <c r="AL24" s="446"/>
      <c r="AM24" s="446"/>
      <c r="AN24" s="446"/>
      <c r="AO24" s="446"/>
      <c r="AP24" s="446"/>
      <c r="AQ24" s="446"/>
      <c r="AR24" s="446"/>
      <c r="AS24" s="446"/>
      <c r="AT24" s="446"/>
      <c r="AU24" s="446"/>
      <c r="AV24" s="446"/>
      <c r="AW24" s="446"/>
      <c r="AX24" s="446"/>
      <c r="AY24" s="446"/>
      <c r="AZ24" s="446"/>
      <c r="BA24" s="446"/>
      <c r="BB24" s="446"/>
      <c r="BC24" s="446"/>
      <c r="BD24" s="446"/>
      <c r="BE24" s="445"/>
      <c r="BF24" s="445"/>
      <c r="BG24" s="446"/>
      <c r="BH24" s="446"/>
      <c r="BI24" s="442">
        <v>20</v>
      </c>
      <c r="BJ24" s="445">
        <v>8</v>
      </c>
      <c r="BK24" s="445"/>
      <c r="BL24" s="445"/>
      <c r="BM24" s="445"/>
      <c r="BN24" s="445"/>
      <c r="BO24" s="445"/>
      <c r="BP24" s="445"/>
      <c r="BQ24" s="444"/>
      <c r="BR24" s="444"/>
      <c r="BS24" s="442"/>
      <c r="BT24" s="445"/>
      <c r="BU24" s="445"/>
      <c r="BV24" s="445"/>
      <c r="BW24" s="445"/>
      <c r="BX24" s="756"/>
      <c r="BY24" s="850"/>
      <c r="BZ24" s="850"/>
      <c r="CA24" s="850"/>
      <c r="CB24" s="850"/>
      <c r="CC24" s="850"/>
      <c r="CD24" s="850"/>
      <c r="CE24" s="850"/>
      <c r="CF24" s="850"/>
      <c r="CG24" s="98" t="s">
        <v>523</v>
      </c>
      <c r="CH24" s="417"/>
      <c r="CI24" s="405"/>
      <c r="CJ24" s="23"/>
      <c r="CK24" s="426" t="s">
        <v>1041</v>
      </c>
      <c r="CL24" s="572"/>
      <c r="CM24" s="648"/>
      <c r="CN24" s="35"/>
      <c r="CO24" s="35"/>
      <c r="CP24" s="35"/>
      <c r="CQ24" s="35"/>
      <c r="CR24" s="406"/>
      <c r="CS24" s="648"/>
      <c r="CU24" s="98"/>
      <c r="CV24" s="98"/>
      <c r="CW24" s="98"/>
      <c r="CX24" s="98"/>
      <c r="DA24" s="647"/>
    </row>
    <row r="25" spans="1:105" s="97" customFormat="1" ht="12" customHeight="1" x14ac:dyDescent="0.2">
      <c r="A25" s="652"/>
      <c r="B25" s="469" t="s">
        <v>1832</v>
      </c>
      <c r="C25" s="390" t="s">
        <v>65</v>
      </c>
      <c r="D25" s="479" t="s">
        <v>1125</v>
      </c>
      <c r="E25" s="647" t="s">
        <v>14</v>
      </c>
      <c r="F25" s="647"/>
      <c r="G25" s="237"/>
      <c r="H25" s="186"/>
      <c r="I25" s="166">
        <v>2004</v>
      </c>
      <c r="J25" s="571">
        <v>2004</v>
      </c>
      <c r="K25" s="571"/>
      <c r="L25" s="494" t="s">
        <v>244</v>
      </c>
      <c r="M25" s="247" t="s">
        <v>289</v>
      </c>
      <c r="N25" s="494" t="s">
        <v>783</v>
      </c>
      <c r="O25" s="247" t="s">
        <v>19</v>
      </c>
      <c r="P25" s="98">
        <v>15</v>
      </c>
      <c r="Q25" s="247">
        <v>49</v>
      </c>
      <c r="R25" s="552">
        <v>29.496167391754796</v>
      </c>
      <c r="S25" s="552"/>
      <c r="T25" s="552"/>
      <c r="U25" s="553">
        <v>3132</v>
      </c>
      <c r="V25" s="794"/>
      <c r="W25" s="712"/>
      <c r="X25" s="552">
        <v>3.6392016023206146</v>
      </c>
      <c r="Y25" s="555"/>
      <c r="Z25" s="555"/>
      <c r="AA25" s="555"/>
      <c r="AB25" s="555"/>
      <c r="AC25" s="555"/>
      <c r="AD25" s="555"/>
      <c r="AE25" s="555"/>
      <c r="AF25" s="555"/>
      <c r="AG25" s="555"/>
      <c r="AH25" s="555"/>
      <c r="AI25" s="555"/>
      <c r="AJ25" s="555"/>
      <c r="AK25" s="555"/>
      <c r="AL25" s="555"/>
      <c r="AM25" s="552">
        <v>62.707535121328142</v>
      </c>
      <c r="AN25" s="552">
        <v>38.170669391926332</v>
      </c>
      <c r="AO25" s="555"/>
      <c r="AP25" s="555"/>
      <c r="AQ25" s="552">
        <v>41.807729160012691</v>
      </c>
      <c r="AR25" s="552">
        <v>34.099616858237567</v>
      </c>
      <c r="AS25" s="552">
        <v>15.084691594758699</v>
      </c>
      <c r="AT25" s="552">
        <v>37.2340425531915</v>
      </c>
      <c r="AU25" s="552">
        <v>11.625678696901934</v>
      </c>
      <c r="AV25" s="552">
        <v>40.616246498599409</v>
      </c>
      <c r="AW25" s="552">
        <v>2.0447284345047931</v>
      </c>
      <c r="AX25" s="552">
        <v>47.619047619047635</v>
      </c>
      <c r="AY25" s="555"/>
      <c r="AZ25" s="555"/>
      <c r="BA25" s="552"/>
      <c r="BB25" s="552"/>
      <c r="BC25" s="555"/>
      <c r="BD25" s="555"/>
      <c r="BE25" s="555"/>
      <c r="BF25" s="555"/>
      <c r="BG25" s="552"/>
      <c r="BH25" s="552"/>
      <c r="BI25" s="555"/>
      <c r="BJ25" s="555"/>
      <c r="BK25" s="555"/>
      <c r="BL25" s="555"/>
      <c r="BM25" s="552">
        <v>26.285531778984353</v>
      </c>
      <c r="BN25" s="552">
        <v>64.520048602673256</v>
      </c>
      <c r="BO25" s="555"/>
      <c r="BP25" s="555"/>
      <c r="BQ25" s="552"/>
      <c r="BR25" s="42"/>
      <c r="BS25" s="42"/>
      <c r="BT25" s="42"/>
      <c r="BU25" s="42">
        <v>12</v>
      </c>
      <c r="BV25" s="42"/>
      <c r="BW25" s="42"/>
      <c r="BX25" s="758"/>
      <c r="BY25" s="851"/>
      <c r="BZ25" s="851"/>
      <c r="CA25" s="851"/>
      <c r="CB25" s="851"/>
      <c r="CC25" s="851"/>
      <c r="CD25" s="851"/>
      <c r="CE25" s="851"/>
      <c r="CF25" s="851"/>
      <c r="CH25" s="647"/>
      <c r="CK25" s="647"/>
      <c r="CL25" s="469" t="s">
        <v>1842</v>
      </c>
      <c r="CM25" s="647"/>
      <c r="CR25" s="638"/>
      <c r="CS25" s="647"/>
      <c r="CU25" s="98"/>
      <c r="CV25" s="98"/>
      <c r="CW25" s="98"/>
      <c r="CX25" s="98"/>
      <c r="DA25" s="647"/>
    </row>
    <row r="26" spans="1:105" s="97" customFormat="1" ht="12" customHeight="1" x14ac:dyDescent="0.2">
      <c r="A26" s="652"/>
      <c r="B26" s="469" t="s">
        <v>1824</v>
      </c>
      <c r="C26" s="390" t="s">
        <v>65</v>
      </c>
      <c r="D26" s="479" t="s">
        <v>1125</v>
      </c>
      <c r="E26" s="647" t="s">
        <v>14</v>
      </c>
      <c r="F26" s="647"/>
      <c r="G26" s="237"/>
      <c r="H26" s="186"/>
      <c r="I26" s="166">
        <v>2007</v>
      </c>
      <c r="J26" s="571">
        <v>2007</v>
      </c>
      <c r="K26" s="571"/>
      <c r="L26" s="494" t="s">
        <v>244</v>
      </c>
      <c r="M26" s="247" t="s">
        <v>1837</v>
      </c>
      <c r="N26" s="494" t="s">
        <v>783</v>
      </c>
      <c r="O26" s="247" t="s">
        <v>19</v>
      </c>
      <c r="P26" s="98">
        <v>15</v>
      </c>
      <c r="Q26" s="247">
        <v>49</v>
      </c>
      <c r="R26" s="566">
        <v>30.61831575118223</v>
      </c>
      <c r="S26" s="566"/>
      <c r="T26" s="566"/>
      <c r="U26" s="553">
        <v>4467</v>
      </c>
      <c r="V26" s="794"/>
      <c r="W26" s="712"/>
      <c r="X26" s="566">
        <v>4.5239657371970194</v>
      </c>
      <c r="Y26" s="568"/>
      <c r="Z26" s="568"/>
      <c r="AA26" s="568"/>
      <c r="AB26" s="568"/>
      <c r="AC26" s="568"/>
      <c r="AD26" s="568"/>
      <c r="AE26" s="568"/>
      <c r="AF26" s="568"/>
      <c r="AG26" s="566">
        <v>1.4784946236559153</v>
      </c>
      <c r="AH26" s="566">
        <v>0.82885304659498293</v>
      </c>
      <c r="AI26" s="568"/>
      <c r="AJ26" s="568"/>
      <c r="AK26" s="568"/>
      <c r="AL26" s="568"/>
      <c r="AM26" s="566">
        <v>45.556301768524726</v>
      </c>
      <c r="AN26" s="566">
        <v>19.744795164539855</v>
      </c>
      <c r="AO26" s="566">
        <v>15.546594982078886</v>
      </c>
      <c r="AP26" s="566">
        <v>7.952508960573474</v>
      </c>
      <c r="AQ26" s="566">
        <v>29.885829415715236</v>
      </c>
      <c r="AR26" s="566">
        <v>13.163196776359927</v>
      </c>
      <c r="AS26" s="566">
        <v>16.726377071204638</v>
      </c>
      <c r="AT26" s="566">
        <v>8.1280788177339591</v>
      </c>
      <c r="AU26" s="566">
        <v>15.603313185583142</v>
      </c>
      <c r="AV26" s="566">
        <v>7.4098947839713478</v>
      </c>
      <c r="AW26" s="566">
        <v>5.6189836579359707</v>
      </c>
      <c r="AX26" s="566">
        <v>3.4698903066935292</v>
      </c>
      <c r="AY26" s="568"/>
      <c r="AZ26" s="568"/>
      <c r="BA26" s="566"/>
      <c r="BB26" s="566"/>
      <c r="BC26" s="568"/>
      <c r="BD26" s="568"/>
      <c r="BE26" s="566"/>
      <c r="BF26" s="566"/>
      <c r="BG26" s="566"/>
      <c r="BH26" s="566"/>
      <c r="BI26" s="566">
        <v>48.220282068502279</v>
      </c>
      <c r="BJ26" s="566">
        <v>21.58047906872628</v>
      </c>
      <c r="BK26" s="566"/>
      <c r="BL26" s="566"/>
      <c r="BM26" s="566">
        <v>16.879337362883405</v>
      </c>
      <c r="BN26" s="566">
        <v>10.835012312513978</v>
      </c>
      <c r="BO26" s="568"/>
      <c r="BP26" s="568"/>
      <c r="BQ26" s="566"/>
      <c r="BR26" s="566"/>
      <c r="BS26" s="566"/>
      <c r="BT26" s="566"/>
      <c r="BU26" s="566">
        <v>12</v>
      </c>
      <c r="BV26" s="566"/>
      <c r="BW26" s="566"/>
      <c r="BX26" s="759">
        <v>0.24721878862793534</v>
      </c>
      <c r="BY26" s="852"/>
      <c r="BZ26" s="852"/>
      <c r="CA26" s="852"/>
      <c r="CB26" s="852"/>
      <c r="CC26" s="852"/>
      <c r="CD26" s="852"/>
      <c r="CE26" s="852"/>
      <c r="CF26" s="852"/>
      <c r="CH26" s="647"/>
      <c r="CK26" s="647"/>
      <c r="CL26" s="469" t="s">
        <v>1841</v>
      </c>
      <c r="CM26" s="556" t="s">
        <v>1049</v>
      </c>
      <c r="CR26" s="638"/>
      <c r="CS26" s="647"/>
      <c r="CU26" s="98"/>
      <c r="CV26" s="98"/>
      <c r="CW26" s="98"/>
      <c r="CX26" s="98"/>
      <c r="DA26" s="647"/>
    </row>
    <row r="27" spans="1:105" s="97" customFormat="1" ht="12" customHeight="1" x14ac:dyDescent="0.2">
      <c r="A27" s="652"/>
      <c r="B27" s="469" t="s">
        <v>1824</v>
      </c>
      <c r="C27" s="390" t="s">
        <v>65</v>
      </c>
      <c r="D27" s="479" t="s">
        <v>1125</v>
      </c>
      <c r="E27" s="647" t="s">
        <v>14</v>
      </c>
      <c r="F27" s="647"/>
      <c r="G27" s="237"/>
      <c r="H27" s="186"/>
      <c r="I27" s="166">
        <v>2007</v>
      </c>
      <c r="J27" s="571">
        <v>2007</v>
      </c>
      <c r="K27" s="571"/>
      <c r="L27" s="494" t="s">
        <v>244</v>
      </c>
      <c r="M27" s="247" t="s">
        <v>289</v>
      </c>
      <c r="N27" s="494" t="s">
        <v>783</v>
      </c>
      <c r="O27" s="247" t="s">
        <v>19</v>
      </c>
      <c r="P27" s="98">
        <v>15</v>
      </c>
      <c r="Q27" s="247">
        <v>49</v>
      </c>
      <c r="R27" s="566">
        <v>28.40598768886402</v>
      </c>
      <c r="S27" s="566"/>
      <c r="T27" s="566"/>
      <c r="U27" s="553">
        <v>3371</v>
      </c>
      <c r="V27" s="794"/>
      <c r="W27" s="712"/>
      <c r="X27" s="566">
        <v>4.6063829787234054</v>
      </c>
      <c r="Y27" s="568"/>
      <c r="Z27" s="568"/>
      <c r="AA27" s="568"/>
      <c r="AB27" s="568"/>
      <c r="AC27" s="568"/>
      <c r="AD27" s="568"/>
      <c r="AE27" s="568"/>
      <c r="AF27" s="568"/>
      <c r="AG27" s="567">
        <v>0.32631266686443211</v>
      </c>
      <c r="AH27" s="567">
        <v>8.8994363690299783E-2</v>
      </c>
      <c r="AI27" s="568"/>
      <c r="AJ27" s="568"/>
      <c r="AK27" s="568"/>
      <c r="AL27" s="568"/>
      <c r="AM27" s="566">
        <v>52.091367546722005</v>
      </c>
      <c r="AN27" s="566">
        <v>13.438148917235218</v>
      </c>
      <c r="AO27" s="566">
        <v>6.528189910979239</v>
      </c>
      <c r="AP27" s="566">
        <v>1.5133531157270022</v>
      </c>
      <c r="AQ27" s="566">
        <v>27.91456541085736</v>
      </c>
      <c r="AR27" s="566">
        <v>6.4372589735983432</v>
      </c>
      <c r="AS27" s="566">
        <v>9.1664194601008404</v>
      </c>
      <c r="AT27" s="566">
        <v>2.7588252743992876</v>
      </c>
      <c r="AU27" s="566">
        <v>5.3099970335211948</v>
      </c>
      <c r="AV27" s="566">
        <v>1.5425689706318595</v>
      </c>
      <c r="AW27" s="566">
        <v>0.71195490952239704</v>
      </c>
      <c r="AX27" s="567">
        <v>0.20765351527736609</v>
      </c>
      <c r="AY27" s="568"/>
      <c r="AZ27" s="568"/>
      <c r="BA27" s="566"/>
      <c r="BB27" s="566"/>
      <c r="BC27" s="568"/>
      <c r="BD27" s="568"/>
      <c r="BE27" s="568"/>
      <c r="BF27" s="568"/>
      <c r="BG27" s="566"/>
      <c r="BH27" s="566"/>
      <c r="BI27" s="568"/>
      <c r="BJ27" s="568"/>
      <c r="BK27" s="568"/>
      <c r="BL27" s="568"/>
      <c r="BM27" s="566">
        <v>8.0688223079204899</v>
      </c>
      <c r="BN27" s="566">
        <v>3.5894393355087542</v>
      </c>
      <c r="BO27" s="568"/>
      <c r="BP27" s="568"/>
      <c r="BQ27" s="566"/>
      <c r="BR27" s="566"/>
      <c r="BS27" s="566"/>
      <c r="BT27" s="566"/>
      <c r="BU27" s="566">
        <v>12</v>
      </c>
      <c r="BV27" s="566"/>
      <c r="BW27" s="566"/>
      <c r="BX27" s="760"/>
      <c r="BY27" s="853"/>
      <c r="BZ27" s="853"/>
      <c r="CA27" s="853"/>
      <c r="CB27" s="853"/>
      <c r="CC27" s="853"/>
      <c r="CD27" s="853"/>
      <c r="CE27" s="853"/>
      <c r="CF27" s="853"/>
      <c r="CH27" s="647"/>
      <c r="CK27" s="647"/>
      <c r="CL27" s="469" t="s">
        <v>1842</v>
      </c>
      <c r="CM27" s="647"/>
      <c r="CR27" s="638"/>
      <c r="CS27" s="647"/>
      <c r="CU27" s="98"/>
      <c r="CV27" s="98"/>
      <c r="CW27" s="98"/>
      <c r="CX27" s="98"/>
      <c r="DA27" s="647"/>
    </row>
    <row r="28" spans="1:105" s="97" customFormat="1" ht="12" customHeight="1" x14ac:dyDescent="0.2">
      <c r="A28" s="651"/>
      <c r="B28" s="537"/>
      <c r="C28" s="97" t="s">
        <v>65</v>
      </c>
      <c r="D28" s="169" t="s">
        <v>1125</v>
      </c>
      <c r="E28" s="647" t="s">
        <v>1111</v>
      </c>
      <c r="F28" s="647"/>
      <c r="G28" s="98"/>
      <c r="I28" s="166">
        <v>1992</v>
      </c>
      <c r="J28" s="571"/>
      <c r="K28" s="571"/>
      <c r="L28" s="493"/>
      <c r="M28" s="98" t="s">
        <v>18</v>
      </c>
      <c r="N28" s="493"/>
      <c r="O28" s="247"/>
      <c r="P28" s="247"/>
      <c r="Q28" s="98"/>
      <c r="R28" s="167"/>
      <c r="S28" s="167"/>
      <c r="T28" s="167"/>
      <c r="U28" s="393">
        <v>1225</v>
      </c>
      <c r="V28" s="694"/>
      <c r="W28" s="711"/>
      <c r="X28" s="167"/>
      <c r="Y28" s="446"/>
      <c r="Z28" s="446"/>
      <c r="AA28" s="446"/>
      <c r="AB28" s="446"/>
      <c r="AC28" s="446"/>
      <c r="AD28" s="446"/>
      <c r="AE28" s="446"/>
      <c r="AF28" s="446"/>
      <c r="AG28" s="446"/>
      <c r="AH28" s="446"/>
      <c r="AI28" s="446"/>
      <c r="AJ28" s="446"/>
      <c r="AK28" s="446"/>
      <c r="AL28" s="446"/>
      <c r="AM28" s="446"/>
      <c r="AN28" s="446"/>
      <c r="AO28" s="446"/>
      <c r="AP28" s="446"/>
      <c r="AQ28" s="446"/>
      <c r="AR28" s="446"/>
      <c r="AS28" s="446"/>
      <c r="AT28" s="446"/>
      <c r="AU28" s="446"/>
      <c r="AV28" s="446"/>
      <c r="AW28" s="446"/>
      <c r="AX28" s="446"/>
      <c r="AY28" s="446"/>
      <c r="AZ28" s="446"/>
      <c r="BA28" s="446"/>
      <c r="BB28" s="446"/>
      <c r="BC28" s="446"/>
      <c r="BD28" s="446"/>
      <c r="BE28" s="445"/>
      <c r="BF28" s="445"/>
      <c r="BG28" s="446"/>
      <c r="BH28" s="446"/>
      <c r="BI28" s="445">
        <v>47</v>
      </c>
      <c r="BJ28" s="445">
        <v>19</v>
      </c>
      <c r="BK28" s="445"/>
      <c r="BL28" s="445"/>
      <c r="BM28" s="445"/>
      <c r="BN28" s="445"/>
      <c r="BO28" s="445"/>
      <c r="BP28" s="445"/>
      <c r="BQ28" s="444"/>
      <c r="BR28" s="444"/>
      <c r="BS28" s="442"/>
      <c r="BT28" s="445"/>
      <c r="BU28" s="445"/>
      <c r="BV28" s="445"/>
      <c r="BW28" s="445"/>
      <c r="BX28" s="756"/>
      <c r="BY28" s="850"/>
      <c r="BZ28" s="850"/>
      <c r="CA28" s="850"/>
      <c r="CB28" s="850"/>
      <c r="CC28" s="850"/>
      <c r="CD28" s="850"/>
      <c r="CE28" s="850"/>
      <c r="CF28" s="850"/>
      <c r="CG28" s="169" t="s">
        <v>523</v>
      </c>
      <c r="CH28" s="417"/>
      <c r="CI28" s="406"/>
      <c r="CJ28" s="23"/>
      <c r="CK28" s="426" t="s">
        <v>1041</v>
      </c>
      <c r="CL28" s="572"/>
      <c r="CM28" s="648"/>
      <c r="CN28" s="35"/>
      <c r="CO28" s="35"/>
      <c r="CP28" s="35"/>
      <c r="CQ28" s="35"/>
      <c r="CR28" s="406"/>
      <c r="CS28" s="648"/>
      <c r="CU28" s="98"/>
      <c r="CV28" s="98"/>
      <c r="CW28" s="98"/>
      <c r="CX28" s="98"/>
      <c r="DA28" s="647"/>
    </row>
    <row r="29" spans="1:105" s="97" customFormat="1" ht="12" customHeight="1" x14ac:dyDescent="0.2">
      <c r="A29" s="651"/>
      <c r="B29" s="537"/>
      <c r="C29" s="97" t="s">
        <v>65</v>
      </c>
      <c r="D29" s="169" t="s">
        <v>1125</v>
      </c>
      <c r="E29" s="647" t="s">
        <v>1112</v>
      </c>
      <c r="F29" s="647"/>
      <c r="G29" s="98"/>
      <c r="I29" s="166">
        <v>1993</v>
      </c>
      <c r="J29" s="571"/>
      <c r="K29" s="571"/>
      <c r="L29" s="493"/>
      <c r="M29" s="98" t="s">
        <v>18</v>
      </c>
      <c r="N29" s="493"/>
      <c r="O29" s="247"/>
      <c r="P29" s="247"/>
      <c r="Q29" s="98"/>
      <c r="R29" s="167"/>
      <c r="S29" s="167"/>
      <c r="T29" s="167"/>
      <c r="U29" s="393">
        <v>10368</v>
      </c>
      <c r="V29" s="694"/>
      <c r="W29" s="711"/>
      <c r="X29" s="167"/>
      <c r="Y29" s="446"/>
      <c r="Z29" s="446"/>
      <c r="AA29" s="446"/>
      <c r="AB29" s="446"/>
      <c r="AC29" s="446"/>
      <c r="AD29" s="446"/>
      <c r="AE29" s="446"/>
      <c r="AF29" s="446"/>
      <c r="AG29" s="446"/>
      <c r="AH29" s="446"/>
      <c r="AI29" s="446"/>
      <c r="AJ29" s="446"/>
      <c r="AK29" s="446"/>
      <c r="AL29" s="446"/>
      <c r="AM29" s="446"/>
      <c r="AN29" s="446"/>
      <c r="AO29" s="446"/>
      <c r="AP29" s="446"/>
      <c r="AQ29" s="446"/>
      <c r="AR29" s="446"/>
      <c r="AS29" s="446"/>
      <c r="AT29" s="446"/>
      <c r="AU29" s="446"/>
      <c r="AV29" s="446"/>
      <c r="AW29" s="446"/>
      <c r="AX29" s="446"/>
      <c r="AY29" s="446"/>
      <c r="AZ29" s="446"/>
      <c r="BA29" s="446"/>
      <c r="BB29" s="446"/>
      <c r="BC29" s="446"/>
      <c r="BD29" s="446"/>
      <c r="BE29" s="445"/>
      <c r="BF29" s="445"/>
      <c r="BG29" s="446"/>
      <c r="BH29" s="446"/>
      <c r="BI29" s="442">
        <v>42</v>
      </c>
      <c r="BJ29" s="445"/>
      <c r="BK29" s="445"/>
      <c r="BL29" s="445"/>
      <c r="BM29" s="445"/>
      <c r="BN29" s="445"/>
      <c r="BO29" s="445"/>
      <c r="BP29" s="445"/>
      <c r="BQ29" s="444"/>
      <c r="BR29" s="444"/>
      <c r="BS29" s="442"/>
      <c r="BT29" s="445"/>
      <c r="BU29" s="445"/>
      <c r="BV29" s="445"/>
      <c r="BW29" s="445"/>
      <c r="BX29" s="756"/>
      <c r="BY29" s="850"/>
      <c r="BZ29" s="850"/>
      <c r="CA29" s="850"/>
      <c r="CB29" s="850"/>
      <c r="CC29" s="850"/>
      <c r="CD29" s="850"/>
      <c r="CE29" s="850"/>
      <c r="CF29" s="850"/>
      <c r="CG29" s="169" t="s">
        <v>523</v>
      </c>
      <c r="CH29" s="417"/>
      <c r="CI29" s="406"/>
      <c r="CJ29" s="23"/>
      <c r="CK29" s="426" t="s">
        <v>1041</v>
      </c>
      <c r="CL29" s="572"/>
      <c r="CM29" s="648"/>
      <c r="CN29" s="35"/>
      <c r="CO29" s="35"/>
      <c r="CP29" s="35"/>
      <c r="CQ29" s="35"/>
      <c r="CR29" s="406"/>
      <c r="CS29" s="648"/>
      <c r="CU29" s="98"/>
      <c r="CV29" s="98"/>
      <c r="CW29" s="98"/>
      <c r="CX29" s="98"/>
      <c r="DA29" s="647"/>
    </row>
    <row r="30" spans="1:105" s="97" customFormat="1" ht="12" customHeight="1" x14ac:dyDescent="0.2">
      <c r="A30" s="651"/>
      <c r="B30" s="537"/>
      <c r="C30" s="390" t="s">
        <v>65</v>
      </c>
      <c r="D30" s="36" t="s">
        <v>1125</v>
      </c>
      <c r="E30" s="647"/>
      <c r="F30" s="647"/>
      <c r="G30" s="237"/>
      <c r="H30" s="186"/>
      <c r="I30" s="533">
        <v>2001</v>
      </c>
      <c r="J30" s="390"/>
      <c r="K30" s="390"/>
      <c r="L30" s="494"/>
      <c r="M30" s="247"/>
      <c r="N30" s="494"/>
      <c r="O30" s="247"/>
      <c r="P30" s="247"/>
      <c r="Q30" s="247"/>
      <c r="R30" s="291"/>
      <c r="S30" s="291"/>
      <c r="T30" s="291"/>
      <c r="U30" s="395"/>
      <c r="V30" s="794"/>
      <c r="W30" s="712"/>
      <c r="X30" s="254"/>
      <c r="Y30" s="447"/>
      <c r="Z30" s="447"/>
      <c r="AA30" s="447"/>
      <c r="AB30" s="447"/>
      <c r="AC30" s="447"/>
      <c r="AD30" s="447"/>
      <c r="AE30" s="447"/>
      <c r="AF30" s="447"/>
      <c r="AG30" s="447"/>
      <c r="AH30" s="447"/>
      <c r="AI30" s="447"/>
      <c r="AJ30" s="447"/>
      <c r="AK30" s="447"/>
      <c r="AL30" s="447"/>
      <c r="AM30" s="447"/>
      <c r="AN30" s="447"/>
      <c r="AO30" s="447"/>
      <c r="AP30" s="447"/>
      <c r="AQ30" s="447"/>
      <c r="AR30" s="447"/>
      <c r="AS30" s="447"/>
      <c r="AT30" s="447"/>
      <c r="AU30" s="447"/>
      <c r="AV30" s="447"/>
      <c r="AW30" s="447"/>
      <c r="AX30" s="447"/>
      <c r="AY30" s="447"/>
      <c r="AZ30" s="447"/>
      <c r="BA30" s="447"/>
      <c r="BB30" s="447"/>
      <c r="BC30" s="447"/>
      <c r="BD30" s="447"/>
      <c r="BE30" s="442"/>
      <c r="BF30" s="442"/>
      <c r="BG30" s="447"/>
      <c r="BH30" s="447"/>
      <c r="BI30" s="442">
        <f>(40+42)/2</f>
        <v>41</v>
      </c>
      <c r="BJ30" s="442">
        <f>(19+16)/2</f>
        <v>17.5</v>
      </c>
      <c r="BK30" s="442"/>
      <c r="BL30" s="442"/>
      <c r="BM30" s="442"/>
      <c r="BN30" s="442"/>
      <c r="BO30" s="442"/>
      <c r="BP30" s="442"/>
      <c r="BQ30" s="444"/>
      <c r="BR30" s="444"/>
      <c r="BS30" s="447"/>
      <c r="BT30" s="447"/>
      <c r="BU30" s="447"/>
      <c r="BV30" s="550"/>
      <c r="BW30" s="550"/>
      <c r="BX30" s="757"/>
      <c r="BY30" s="850"/>
      <c r="BZ30" s="850"/>
      <c r="CA30" s="850"/>
      <c r="CB30" s="850"/>
      <c r="CC30" s="850"/>
      <c r="CD30" s="850"/>
      <c r="CE30" s="850"/>
      <c r="CF30" s="850"/>
      <c r="CG30" s="36"/>
      <c r="CH30" s="419" t="s">
        <v>1153</v>
      </c>
      <c r="CI30" s="406"/>
      <c r="CJ30" s="23"/>
      <c r="CK30" s="431"/>
      <c r="CL30" s="572"/>
      <c r="CM30" s="648"/>
      <c r="CN30" s="35"/>
      <c r="CO30" s="35"/>
      <c r="CP30" s="35"/>
      <c r="CQ30" s="35"/>
      <c r="CR30" s="406"/>
      <c r="CS30" s="648"/>
      <c r="CU30" s="98"/>
      <c r="CV30" s="98"/>
      <c r="CW30" s="98"/>
      <c r="CX30" s="98"/>
      <c r="DA30" s="647"/>
    </row>
    <row r="31" spans="1:105" s="97" customFormat="1" ht="12" customHeight="1" x14ac:dyDescent="0.2">
      <c r="A31" s="651"/>
      <c r="B31" s="537"/>
      <c r="C31" s="97" t="s">
        <v>65</v>
      </c>
      <c r="D31" s="169" t="s">
        <v>1125</v>
      </c>
      <c r="E31" s="647" t="s">
        <v>66</v>
      </c>
      <c r="F31" s="647"/>
      <c r="G31" s="98"/>
      <c r="I31" s="166">
        <v>2003</v>
      </c>
      <c r="J31" s="571"/>
      <c r="K31" s="571"/>
      <c r="L31" s="493" t="s">
        <v>243</v>
      </c>
      <c r="M31" s="98" t="s">
        <v>15</v>
      </c>
      <c r="N31" s="494" t="s">
        <v>783</v>
      </c>
      <c r="O31" s="247"/>
      <c r="P31" s="247"/>
      <c r="Q31" s="98"/>
      <c r="R31" s="167"/>
      <c r="S31" s="167"/>
      <c r="T31" s="167"/>
      <c r="U31" s="393">
        <v>1373</v>
      </c>
      <c r="V31" s="694"/>
      <c r="W31" s="711"/>
      <c r="X31" s="167"/>
      <c r="Y31" s="446"/>
      <c r="Z31" s="446"/>
      <c r="AA31" s="446"/>
      <c r="AB31" s="446"/>
      <c r="AC31" s="446"/>
      <c r="AD31" s="446"/>
      <c r="AE31" s="446"/>
      <c r="AF31" s="446"/>
      <c r="AG31" s="446"/>
      <c r="AH31" s="446"/>
      <c r="AI31" s="446"/>
      <c r="AJ31" s="446"/>
      <c r="AK31" s="446"/>
      <c r="AL31" s="446"/>
      <c r="AM31" s="446"/>
      <c r="AN31" s="446"/>
      <c r="AO31" s="446"/>
      <c r="AP31" s="446"/>
      <c r="AQ31" s="446"/>
      <c r="AR31" s="446"/>
      <c r="AS31" s="446"/>
      <c r="AT31" s="446"/>
      <c r="AU31" s="446"/>
      <c r="AV31" s="446"/>
      <c r="AW31" s="446"/>
      <c r="AX31" s="446"/>
      <c r="AY31" s="446"/>
      <c r="AZ31" s="446"/>
      <c r="BA31" s="446"/>
      <c r="BB31" s="446"/>
      <c r="BC31" s="446"/>
      <c r="BD31" s="446"/>
      <c r="BE31" s="445"/>
      <c r="BF31" s="445"/>
      <c r="BG31" s="446"/>
      <c r="BH31" s="446"/>
      <c r="BI31" s="442">
        <v>40</v>
      </c>
      <c r="BJ31" s="445">
        <v>19</v>
      </c>
      <c r="BK31" s="445"/>
      <c r="BL31" s="445"/>
      <c r="BM31" s="445"/>
      <c r="BN31" s="445"/>
      <c r="BO31" s="445"/>
      <c r="BP31" s="445"/>
      <c r="BQ31" s="444"/>
      <c r="BR31" s="444"/>
      <c r="BS31" s="442"/>
      <c r="BT31" s="445"/>
      <c r="BU31" s="445"/>
      <c r="BV31" s="445"/>
      <c r="BW31" s="445"/>
      <c r="BX31" s="756"/>
      <c r="BY31" s="850"/>
      <c r="BZ31" s="850"/>
      <c r="CA31" s="850"/>
      <c r="CB31" s="850"/>
      <c r="CC31" s="850"/>
      <c r="CD31" s="850"/>
      <c r="CE31" s="850"/>
      <c r="CF31" s="850"/>
      <c r="CG31" s="169" t="s">
        <v>523</v>
      </c>
      <c r="CH31" s="417"/>
      <c r="CI31" s="406"/>
      <c r="CJ31" s="23"/>
      <c r="CK31" s="426" t="s">
        <v>1041</v>
      </c>
      <c r="CL31" s="572"/>
      <c r="CM31" s="648"/>
      <c r="CN31" s="35"/>
      <c r="CO31" s="35"/>
      <c r="CP31" s="35"/>
      <c r="CQ31" s="35"/>
      <c r="CR31" s="406"/>
      <c r="CS31" s="648"/>
      <c r="CU31" s="98"/>
      <c r="CV31" s="98"/>
      <c r="CW31" s="98"/>
      <c r="CX31" s="98"/>
      <c r="DA31" s="647"/>
    </row>
    <row r="32" spans="1:105" s="97" customFormat="1" ht="12" customHeight="1" x14ac:dyDescent="0.2">
      <c r="A32" s="651"/>
      <c r="B32" s="537"/>
      <c r="C32" s="97" t="s">
        <v>65</v>
      </c>
      <c r="D32" s="169" t="s">
        <v>1125</v>
      </c>
      <c r="E32" s="647" t="s">
        <v>67</v>
      </c>
      <c r="F32" s="647"/>
      <c r="G32" s="98"/>
      <c r="I32" s="166">
        <v>2003</v>
      </c>
      <c r="J32" s="571"/>
      <c r="K32" s="571"/>
      <c r="L32" s="493" t="s">
        <v>243</v>
      </c>
      <c r="M32" s="98" t="s">
        <v>15</v>
      </c>
      <c r="N32" s="494" t="s">
        <v>783</v>
      </c>
      <c r="O32" s="247"/>
      <c r="P32" s="247"/>
      <c r="Q32" s="98"/>
      <c r="R32" s="167"/>
      <c r="S32" s="167"/>
      <c r="T32" s="167"/>
      <c r="U32" s="393">
        <v>1329</v>
      </c>
      <c r="V32" s="694"/>
      <c r="W32" s="711"/>
      <c r="X32" s="167"/>
      <c r="Y32" s="446"/>
      <c r="Z32" s="446"/>
      <c r="AA32" s="446"/>
      <c r="AB32" s="446"/>
      <c r="AC32" s="446"/>
      <c r="AD32" s="446"/>
      <c r="AE32" s="446"/>
      <c r="AF32" s="446"/>
      <c r="AG32" s="446"/>
      <c r="AH32" s="446"/>
      <c r="AI32" s="446"/>
      <c r="AJ32" s="446"/>
      <c r="AK32" s="446"/>
      <c r="AL32" s="446"/>
      <c r="AM32" s="446"/>
      <c r="AN32" s="446"/>
      <c r="AO32" s="446"/>
      <c r="AP32" s="446"/>
      <c r="AQ32" s="446"/>
      <c r="AR32" s="446"/>
      <c r="AS32" s="446"/>
      <c r="AT32" s="446"/>
      <c r="AU32" s="446"/>
      <c r="AV32" s="446"/>
      <c r="AW32" s="446"/>
      <c r="AX32" s="446"/>
      <c r="AY32" s="446"/>
      <c r="AZ32" s="446"/>
      <c r="BA32" s="446"/>
      <c r="BB32" s="446"/>
      <c r="BC32" s="446"/>
      <c r="BD32" s="446"/>
      <c r="BE32" s="445"/>
      <c r="BF32" s="445"/>
      <c r="BG32" s="446"/>
      <c r="BH32" s="446"/>
      <c r="BI32" s="442">
        <v>42</v>
      </c>
      <c r="BJ32" s="445">
        <v>16</v>
      </c>
      <c r="BK32" s="445"/>
      <c r="BL32" s="445"/>
      <c r="BM32" s="445"/>
      <c r="BN32" s="445"/>
      <c r="BO32" s="445"/>
      <c r="BP32" s="445"/>
      <c r="BQ32" s="444"/>
      <c r="BR32" s="444"/>
      <c r="BS32" s="442"/>
      <c r="BT32" s="445"/>
      <c r="BU32" s="445"/>
      <c r="BV32" s="445"/>
      <c r="BW32" s="445"/>
      <c r="BX32" s="756"/>
      <c r="BY32" s="850"/>
      <c r="BZ32" s="850"/>
      <c r="CA32" s="850"/>
      <c r="CB32" s="850"/>
      <c r="CC32" s="850"/>
      <c r="CD32" s="850"/>
      <c r="CE32" s="850"/>
      <c r="CF32" s="850"/>
      <c r="CG32" s="169" t="s">
        <v>523</v>
      </c>
      <c r="CH32" s="417"/>
      <c r="CI32" s="406"/>
      <c r="CJ32" s="23"/>
      <c r="CK32" s="426" t="s">
        <v>1041</v>
      </c>
      <c r="CL32" s="572"/>
      <c r="CM32" s="648"/>
      <c r="CN32" s="35"/>
      <c r="CO32" s="35"/>
      <c r="CP32" s="35"/>
      <c r="CQ32" s="35"/>
      <c r="CR32" s="406"/>
      <c r="CS32" s="648"/>
      <c r="CU32" s="98"/>
      <c r="CV32" s="98"/>
      <c r="CW32" s="98"/>
      <c r="CX32" s="98"/>
      <c r="DA32" s="647"/>
    </row>
    <row r="33" spans="1:105" s="97" customFormat="1" ht="12" customHeight="1" x14ac:dyDescent="0.2">
      <c r="A33" s="651"/>
      <c r="B33" s="537"/>
      <c r="C33" s="97" t="s">
        <v>65</v>
      </c>
      <c r="D33" s="169" t="s">
        <v>1125</v>
      </c>
      <c r="E33" s="647"/>
      <c r="F33" s="647"/>
      <c r="G33" s="98"/>
      <c r="I33" s="166">
        <v>2006</v>
      </c>
      <c r="J33" s="571"/>
      <c r="K33" s="571"/>
      <c r="L33" s="493"/>
      <c r="M33" s="98"/>
      <c r="N33" s="493"/>
      <c r="O33" s="247"/>
      <c r="P33" s="247"/>
      <c r="Q33" s="98"/>
      <c r="R33" s="167"/>
      <c r="S33" s="167"/>
      <c r="T33" s="167"/>
      <c r="U33" s="393">
        <v>496</v>
      </c>
      <c r="V33" s="694"/>
      <c r="W33" s="711"/>
      <c r="X33" s="167"/>
      <c r="Y33" s="446"/>
      <c r="Z33" s="446"/>
      <c r="AA33" s="446"/>
      <c r="AB33" s="446"/>
      <c r="AC33" s="446"/>
      <c r="AD33" s="446"/>
      <c r="AE33" s="446"/>
      <c r="AF33" s="446"/>
      <c r="AG33" s="446"/>
      <c r="AH33" s="446"/>
      <c r="AI33" s="446"/>
      <c r="AJ33" s="446"/>
      <c r="AK33" s="446"/>
      <c r="AL33" s="446"/>
      <c r="AM33" s="446"/>
      <c r="AN33" s="446"/>
      <c r="AO33" s="446"/>
      <c r="AP33" s="446"/>
      <c r="AQ33" s="446"/>
      <c r="AR33" s="446"/>
      <c r="AS33" s="446"/>
      <c r="AT33" s="446"/>
      <c r="AU33" s="446"/>
      <c r="AV33" s="446"/>
      <c r="AW33" s="446"/>
      <c r="AX33" s="446"/>
      <c r="AY33" s="446"/>
      <c r="AZ33" s="446"/>
      <c r="BA33" s="446"/>
      <c r="BB33" s="446"/>
      <c r="BC33" s="446"/>
      <c r="BD33" s="446"/>
      <c r="BE33" s="442"/>
      <c r="BF33" s="442"/>
      <c r="BG33" s="446"/>
      <c r="BH33" s="446"/>
      <c r="BI33" s="442"/>
      <c r="BJ33" s="442"/>
      <c r="BK33" s="442"/>
      <c r="BL33" s="442"/>
      <c r="BM33" s="442"/>
      <c r="BN33" s="442"/>
      <c r="BO33" s="442"/>
      <c r="BP33" s="442"/>
      <c r="BQ33" s="442">
        <v>44.9</v>
      </c>
      <c r="BR33" s="444"/>
      <c r="BS33" s="446"/>
      <c r="BT33" s="446"/>
      <c r="BU33" s="446"/>
      <c r="BV33" s="442"/>
      <c r="BW33" s="442"/>
      <c r="BX33" s="756"/>
      <c r="BY33" s="850"/>
      <c r="BZ33" s="850"/>
      <c r="CA33" s="850"/>
      <c r="CB33" s="850"/>
      <c r="CC33" s="850"/>
      <c r="CD33" s="850"/>
      <c r="CE33" s="850"/>
      <c r="CF33" s="850"/>
      <c r="CG33" s="169" t="s">
        <v>957</v>
      </c>
      <c r="CH33" s="417"/>
      <c r="CI33" s="406"/>
      <c r="CJ33" s="23"/>
      <c r="CK33" s="417" t="s">
        <v>1044</v>
      </c>
      <c r="CL33" s="572"/>
      <c r="CM33" s="431"/>
      <c r="CN33" s="128"/>
      <c r="CO33" s="128"/>
      <c r="CP33" s="128"/>
      <c r="CQ33" s="128"/>
      <c r="CR33" s="406"/>
      <c r="CS33" s="431"/>
      <c r="CU33" s="98"/>
      <c r="CV33" s="98"/>
      <c r="CW33" s="98"/>
      <c r="CX33" s="98"/>
      <c r="DA33" s="647"/>
    </row>
    <row r="34" spans="1:105" s="97" customFormat="1" ht="12" customHeight="1" x14ac:dyDescent="0.2">
      <c r="A34" s="651"/>
      <c r="B34" s="537"/>
      <c r="C34" s="97" t="s">
        <v>65</v>
      </c>
      <c r="D34" s="237" t="s">
        <v>1125</v>
      </c>
      <c r="E34" s="647" t="s">
        <v>209</v>
      </c>
      <c r="F34" s="647"/>
      <c r="G34" s="98"/>
      <c r="I34" s="166" t="s">
        <v>208</v>
      </c>
      <c r="J34" s="571"/>
      <c r="K34" s="571"/>
      <c r="L34" s="493"/>
      <c r="M34" s="98"/>
      <c r="N34" s="493"/>
      <c r="O34" s="247"/>
      <c r="P34" s="247"/>
      <c r="Q34" s="98"/>
      <c r="R34" s="167"/>
      <c r="S34" s="167"/>
      <c r="T34" s="167"/>
      <c r="U34" s="393">
        <v>3611</v>
      </c>
      <c r="V34" s="694"/>
      <c r="W34" s="711"/>
      <c r="X34" s="167"/>
      <c r="Y34" s="446"/>
      <c r="Z34" s="446"/>
      <c r="AA34" s="446"/>
      <c r="AB34" s="446"/>
      <c r="AC34" s="446"/>
      <c r="AD34" s="446"/>
      <c r="AE34" s="446"/>
      <c r="AF34" s="446"/>
      <c r="AG34" s="446"/>
      <c r="AH34" s="446"/>
      <c r="AI34" s="446"/>
      <c r="AJ34" s="446"/>
      <c r="AK34" s="446"/>
      <c r="AL34" s="446"/>
      <c r="AM34" s="446"/>
      <c r="AN34" s="446"/>
      <c r="AO34" s="446"/>
      <c r="AP34" s="446"/>
      <c r="AQ34" s="446"/>
      <c r="AR34" s="446"/>
      <c r="AS34" s="446"/>
      <c r="AT34" s="446"/>
      <c r="AU34" s="446"/>
      <c r="AV34" s="446"/>
      <c r="AW34" s="446"/>
      <c r="AX34" s="446"/>
      <c r="AY34" s="446"/>
      <c r="AZ34" s="446"/>
      <c r="BA34" s="446"/>
      <c r="BB34" s="446"/>
      <c r="BC34" s="446"/>
      <c r="BD34" s="446"/>
      <c r="BE34" s="442"/>
      <c r="BF34" s="442"/>
      <c r="BG34" s="446"/>
      <c r="BH34" s="446"/>
      <c r="BI34" s="442"/>
      <c r="BJ34" s="442"/>
      <c r="BK34" s="442"/>
      <c r="BL34" s="442"/>
      <c r="BM34" s="442"/>
      <c r="BN34" s="442"/>
      <c r="BO34" s="442"/>
      <c r="BP34" s="442"/>
      <c r="BQ34" s="442"/>
      <c r="BR34" s="442"/>
      <c r="BS34" s="442">
        <v>32</v>
      </c>
      <c r="BT34" s="446"/>
      <c r="BU34" s="446"/>
      <c r="BV34" s="442"/>
      <c r="BW34" s="442"/>
      <c r="BX34" s="756"/>
      <c r="BY34" s="850"/>
      <c r="BZ34" s="850"/>
      <c r="CA34" s="850"/>
      <c r="CB34" s="850"/>
      <c r="CC34" s="850"/>
      <c r="CD34" s="850"/>
      <c r="CE34" s="850"/>
      <c r="CF34" s="850"/>
      <c r="CG34" s="98" t="s">
        <v>218</v>
      </c>
      <c r="CH34" s="417"/>
      <c r="CI34" s="406"/>
      <c r="CJ34" s="23"/>
      <c r="CK34" s="417" t="s">
        <v>1059</v>
      </c>
      <c r="CL34" s="572"/>
      <c r="CM34" s="431"/>
      <c r="CN34" s="128"/>
      <c r="CO34" s="128"/>
      <c r="CP34" s="128"/>
      <c r="CQ34" s="128"/>
      <c r="CR34" s="406"/>
      <c r="CS34" s="431"/>
      <c r="CU34" s="98"/>
      <c r="CV34" s="98"/>
      <c r="CW34" s="98"/>
      <c r="CX34" s="98"/>
      <c r="DA34" s="647"/>
    </row>
    <row r="35" spans="1:105" s="97" customFormat="1" ht="12" customHeight="1" x14ac:dyDescent="0.2">
      <c r="A35" s="651"/>
      <c r="B35" s="537"/>
      <c r="C35" s="97" t="s">
        <v>34</v>
      </c>
      <c r="D35" s="169" t="s">
        <v>1132</v>
      </c>
      <c r="E35" s="647" t="s">
        <v>14</v>
      </c>
      <c r="F35" s="647"/>
      <c r="G35" s="98"/>
      <c r="I35" s="166">
        <v>1990</v>
      </c>
      <c r="J35" s="571"/>
      <c r="K35" s="571"/>
      <c r="L35" s="493"/>
      <c r="M35" s="98" t="s">
        <v>17</v>
      </c>
      <c r="N35" s="493"/>
      <c r="O35" s="247"/>
      <c r="P35" s="247"/>
      <c r="Q35" s="98"/>
      <c r="R35" s="167"/>
      <c r="S35" s="167"/>
      <c r="T35" s="167"/>
      <c r="U35" s="393">
        <v>264</v>
      </c>
      <c r="V35" s="694"/>
      <c r="W35" s="711"/>
      <c r="X35" s="167"/>
      <c r="Y35" s="446"/>
      <c r="Z35" s="446"/>
      <c r="AA35" s="446"/>
      <c r="AB35" s="446"/>
      <c r="AC35" s="446"/>
      <c r="AD35" s="446"/>
      <c r="AE35" s="446"/>
      <c r="AF35" s="446"/>
      <c r="AG35" s="446"/>
      <c r="AH35" s="446"/>
      <c r="AI35" s="446"/>
      <c r="AJ35" s="446"/>
      <c r="AK35" s="446"/>
      <c r="AL35" s="446"/>
      <c r="AM35" s="446"/>
      <c r="AN35" s="446"/>
      <c r="AO35" s="446"/>
      <c r="AP35" s="446"/>
      <c r="AQ35" s="446"/>
      <c r="AR35" s="446"/>
      <c r="AS35" s="446"/>
      <c r="AT35" s="446"/>
      <c r="AU35" s="446"/>
      <c r="AV35" s="446"/>
      <c r="AW35" s="446"/>
      <c r="AX35" s="446"/>
      <c r="AY35" s="446"/>
      <c r="AZ35" s="446"/>
      <c r="BA35" s="446"/>
      <c r="BB35" s="446"/>
      <c r="BC35" s="446"/>
      <c r="BD35" s="446"/>
      <c r="BE35" s="442"/>
      <c r="BF35" s="442"/>
      <c r="BG35" s="446"/>
      <c r="BH35" s="446"/>
      <c r="BI35" s="271"/>
      <c r="BJ35" s="442"/>
      <c r="BK35" s="442"/>
      <c r="BL35" s="442"/>
      <c r="BM35" s="442"/>
      <c r="BN35" s="442"/>
      <c r="BO35" s="442"/>
      <c r="BP35" s="442"/>
      <c r="BQ35" s="442">
        <v>30</v>
      </c>
      <c r="BR35" s="271"/>
      <c r="BS35" s="271"/>
      <c r="BT35" s="271"/>
      <c r="BU35" s="271"/>
      <c r="BV35" s="454"/>
      <c r="BW35" s="454"/>
      <c r="BX35" s="756"/>
      <c r="BY35" s="850"/>
      <c r="BZ35" s="850"/>
      <c r="CA35" s="850"/>
      <c r="CB35" s="850"/>
      <c r="CC35" s="850"/>
      <c r="CD35" s="850"/>
      <c r="CE35" s="850"/>
      <c r="CF35" s="850"/>
      <c r="CG35" s="169" t="s">
        <v>523</v>
      </c>
      <c r="CH35" s="419" t="s">
        <v>1049</v>
      </c>
      <c r="CI35" s="405"/>
      <c r="CJ35" s="23"/>
      <c r="CK35" s="648" t="s">
        <v>1163</v>
      </c>
      <c r="CL35" s="572"/>
      <c r="CM35" s="648"/>
      <c r="CN35" s="35"/>
      <c r="CO35" s="35"/>
      <c r="CP35" s="35"/>
      <c r="CQ35" s="35"/>
      <c r="CR35" s="406"/>
      <c r="CS35" s="648"/>
      <c r="CU35" s="98"/>
      <c r="CV35" s="98"/>
      <c r="CW35" s="98"/>
      <c r="CX35" s="98"/>
      <c r="DA35" s="647"/>
    </row>
    <row r="36" spans="1:105" s="97" customFormat="1" ht="12" customHeight="1" x14ac:dyDescent="0.2">
      <c r="A36" s="651"/>
      <c r="B36" s="537"/>
      <c r="C36" s="97" t="s">
        <v>365</v>
      </c>
      <c r="D36" s="169" t="s">
        <v>1125</v>
      </c>
      <c r="E36" s="647"/>
      <c r="F36" s="647"/>
      <c r="G36" s="98"/>
      <c r="I36" s="166">
        <v>2006</v>
      </c>
      <c r="J36" s="571"/>
      <c r="K36" s="571"/>
      <c r="L36" s="493"/>
      <c r="M36" s="98" t="s">
        <v>17</v>
      </c>
      <c r="N36" s="493"/>
      <c r="O36" s="247"/>
      <c r="P36" s="247"/>
      <c r="Q36" s="98"/>
      <c r="R36" s="167"/>
      <c r="S36" s="167"/>
      <c r="T36" s="167"/>
      <c r="U36" s="393">
        <v>999999999</v>
      </c>
      <c r="V36" s="694"/>
      <c r="W36" s="711"/>
      <c r="X36" s="167"/>
      <c r="Y36" s="446"/>
      <c r="Z36" s="446"/>
      <c r="AA36" s="446"/>
      <c r="AB36" s="446"/>
      <c r="AC36" s="446"/>
      <c r="AD36" s="446"/>
      <c r="AE36" s="446"/>
      <c r="AF36" s="446"/>
      <c r="AG36" s="446"/>
      <c r="AH36" s="446"/>
      <c r="AI36" s="446"/>
      <c r="AJ36" s="446"/>
      <c r="AK36" s="446"/>
      <c r="AL36" s="446"/>
      <c r="AM36" s="446"/>
      <c r="AN36" s="446"/>
      <c r="AO36" s="446"/>
      <c r="AP36" s="446"/>
      <c r="AQ36" s="446"/>
      <c r="AR36" s="446"/>
      <c r="AS36" s="446"/>
      <c r="AT36" s="446"/>
      <c r="AU36" s="446"/>
      <c r="AV36" s="446"/>
      <c r="AW36" s="446"/>
      <c r="AX36" s="446"/>
      <c r="AY36" s="446"/>
      <c r="AZ36" s="446"/>
      <c r="BA36" s="446"/>
      <c r="BB36" s="446"/>
      <c r="BC36" s="446"/>
      <c r="BD36" s="446"/>
      <c r="BE36" s="442"/>
      <c r="BF36" s="442"/>
      <c r="BG36" s="446"/>
      <c r="BH36" s="446"/>
      <c r="BI36" s="442">
        <v>29.4</v>
      </c>
      <c r="BJ36" s="442"/>
      <c r="BK36" s="442"/>
      <c r="BL36" s="442"/>
      <c r="BM36" s="442"/>
      <c r="BN36" s="442"/>
      <c r="BO36" s="442"/>
      <c r="BP36" s="442"/>
      <c r="BQ36" s="444"/>
      <c r="BR36" s="271"/>
      <c r="BS36" s="271"/>
      <c r="BT36" s="271"/>
      <c r="BU36" s="271"/>
      <c r="BV36" s="454"/>
      <c r="BW36" s="454"/>
      <c r="BX36" s="756"/>
      <c r="BY36" s="850"/>
      <c r="BZ36" s="850"/>
      <c r="CA36" s="850"/>
      <c r="CB36" s="850"/>
      <c r="CC36" s="850"/>
      <c r="CD36" s="850"/>
      <c r="CE36" s="850"/>
      <c r="CF36" s="850"/>
      <c r="CG36" s="169" t="s">
        <v>958</v>
      </c>
      <c r="CH36" s="419" t="s">
        <v>656</v>
      </c>
      <c r="CI36" s="404">
        <v>40516</v>
      </c>
      <c r="CJ36" s="23">
        <v>56</v>
      </c>
      <c r="CK36" s="648" t="s">
        <v>1076</v>
      </c>
      <c r="CL36" s="572"/>
      <c r="CM36" s="648"/>
      <c r="CN36" s="35"/>
      <c r="CO36" s="35"/>
      <c r="CP36" s="35"/>
      <c r="CQ36" s="35"/>
      <c r="CR36" s="406"/>
      <c r="CS36" s="648"/>
      <c r="CU36" s="98"/>
      <c r="CV36" s="98"/>
      <c r="CW36" s="98"/>
      <c r="CX36" s="98"/>
      <c r="DA36" s="647"/>
    </row>
    <row r="37" spans="1:105" s="97" customFormat="1" ht="12" customHeight="1" x14ac:dyDescent="0.2">
      <c r="A37" s="651"/>
      <c r="B37" s="537"/>
      <c r="C37" s="97" t="s">
        <v>129</v>
      </c>
      <c r="D37" s="169" t="s">
        <v>1130</v>
      </c>
      <c r="E37" s="647" t="s">
        <v>14</v>
      </c>
      <c r="F37" s="647"/>
      <c r="G37" s="98"/>
      <c r="I37" s="166">
        <v>1989</v>
      </c>
      <c r="J37" s="571"/>
      <c r="K37" s="571"/>
      <c r="L37" s="493"/>
      <c r="M37" s="98" t="s">
        <v>17</v>
      </c>
      <c r="N37" s="493"/>
      <c r="O37" s="247"/>
      <c r="P37" s="247"/>
      <c r="Q37" s="98"/>
      <c r="R37" s="167"/>
      <c r="S37" s="167"/>
      <c r="T37" s="167"/>
      <c r="U37" s="393">
        <v>956</v>
      </c>
      <c r="V37" s="694"/>
      <c r="W37" s="711"/>
      <c r="X37" s="167"/>
      <c r="Y37" s="446"/>
      <c r="Z37" s="446"/>
      <c r="AA37" s="446"/>
      <c r="AB37" s="446"/>
      <c r="AC37" s="446"/>
      <c r="AD37" s="446"/>
      <c r="AE37" s="446"/>
      <c r="AF37" s="446"/>
      <c r="AG37" s="446"/>
      <c r="AH37" s="446"/>
      <c r="AI37" s="446"/>
      <c r="AJ37" s="446"/>
      <c r="AK37" s="446"/>
      <c r="AL37" s="446"/>
      <c r="AM37" s="446"/>
      <c r="AN37" s="446"/>
      <c r="AO37" s="446"/>
      <c r="AP37" s="446"/>
      <c r="AQ37" s="446"/>
      <c r="AR37" s="446"/>
      <c r="AS37" s="446"/>
      <c r="AT37" s="446"/>
      <c r="AU37" s="442">
        <f>3+13+25</f>
        <v>41</v>
      </c>
      <c r="AV37" s="446"/>
      <c r="AW37" s="446"/>
      <c r="AX37" s="446"/>
      <c r="AY37" s="446"/>
      <c r="AZ37" s="446"/>
      <c r="BA37" s="446"/>
      <c r="BB37" s="446"/>
      <c r="BC37" s="446">
        <f>3+13+25</f>
        <v>41</v>
      </c>
      <c r="BD37" s="446"/>
      <c r="BE37" s="446"/>
      <c r="BF37" s="446"/>
      <c r="BG37" s="446"/>
      <c r="BH37" s="446"/>
      <c r="BI37" s="271"/>
      <c r="BJ37" s="446"/>
      <c r="BK37" s="446"/>
      <c r="BL37" s="446"/>
      <c r="BM37" s="446"/>
      <c r="BN37" s="446"/>
      <c r="BO37" s="446"/>
      <c r="BP37" s="446"/>
      <c r="BQ37" s="446"/>
      <c r="BR37" s="446"/>
      <c r="BS37" s="446"/>
      <c r="BT37" s="444"/>
      <c r="BU37" s="444"/>
      <c r="BV37" s="445"/>
      <c r="BW37" s="445"/>
      <c r="BX37" s="756"/>
      <c r="BY37" s="850"/>
      <c r="BZ37" s="850"/>
      <c r="CA37" s="850"/>
      <c r="CB37" s="850"/>
      <c r="CC37" s="850"/>
      <c r="CD37" s="850"/>
      <c r="CE37" s="850"/>
      <c r="CF37" s="850"/>
      <c r="CG37" s="169" t="s">
        <v>524</v>
      </c>
      <c r="CH37" s="417" t="s">
        <v>663</v>
      </c>
      <c r="CI37" s="404">
        <v>40994</v>
      </c>
      <c r="CJ37" s="36"/>
      <c r="CK37" s="648" t="s">
        <v>1061</v>
      </c>
      <c r="CL37" s="572"/>
      <c r="CM37" s="648"/>
      <c r="CN37" s="35"/>
      <c r="CO37" s="35"/>
      <c r="CP37" s="35"/>
      <c r="CQ37" s="35"/>
      <c r="CR37" s="406"/>
      <c r="CS37" s="648"/>
      <c r="CU37" s="98"/>
      <c r="CV37" s="98"/>
      <c r="CW37" s="98"/>
      <c r="CX37" s="98"/>
      <c r="DA37" s="647"/>
    </row>
    <row r="38" spans="1:105" s="97" customFormat="1" ht="12" customHeight="1" x14ac:dyDescent="0.2">
      <c r="A38" s="651"/>
      <c r="B38" s="537"/>
      <c r="C38" s="97" t="s">
        <v>129</v>
      </c>
      <c r="D38" s="169" t="s">
        <v>1130</v>
      </c>
      <c r="E38" s="647" t="s">
        <v>14</v>
      </c>
      <c r="F38" s="647"/>
      <c r="G38" s="98"/>
      <c r="I38" s="166">
        <v>2009</v>
      </c>
      <c r="J38" s="571"/>
      <c r="K38" s="571"/>
      <c r="L38" s="493"/>
      <c r="M38" s="98"/>
      <c r="N38" s="493"/>
      <c r="O38" s="247"/>
      <c r="P38" s="247"/>
      <c r="Q38" s="98"/>
      <c r="R38" s="167"/>
      <c r="S38" s="167"/>
      <c r="T38" s="167"/>
      <c r="U38" s="393"/>
      <c r="V38" s="694"/>
      <c r="W38" s="711"/>
      <c r="X38" s="167"/>
      <c r="Y38" s="446"/>
      <c r="Z38" s="446"/>
      <c r="AA38" s="446"/>
      <c r="AB38" s="446"/>
      <c r="AC38" s="446"/>
      <c r="AD38" s="446"/>
      <c r="AE38" s="446"/>
      <c r="AF38" s="446"/>
      <c r="AG38" s="446"/>
      <c r="AH38" s="446"/>
      <c r="AI38" s="446"/>
      <c r="AJ38" s="446"/>
      <c r="AK38" s="446"/>
      <c r="AL38" s="446"/>
      <c r="AM38" s="446"/>
      <c r="AN38" s="446"/>
      <c r="AO38" s="446"/>
      <c r="AP38" s="446"/>
      <c r="AQ38" s="446"/>
      <c r="AR38" s="446"/>
      <c r="AS38" s="446"/>
      <c r="AT38" s="446"/>
      <c r="AU38" s="446"/>
      <c r="AV38" s="446"/>
      <c r="AW38" s="446"/>
      <c r="AX38" s="446"/>
      <c r="AY38" s="446"/>
      <c r="AZ38" s="446"/>
      <c r="BA38" s="446"/>
      <c r="BB38" s="446"/>
      <c r="BC38" s="446"/>
      <c r="BD38" s="446"/>
      <c r="BE38" s="442"/>
      <c r="BF38" s="442"/>
      <c r="BG38" s="446"/>
      <c r="BH38" s="446"/>
      <c r="BI38" s="442"/>
      <c r="BJ38" s="442">
        <v>1.9</v>
      </c>
      <c r="BK38" s="442"/>
      <c r="BL38" s="442"/>
      <c r="BM38" s="442"/>
      <c r="BN38" s="442"/>
      <c r="BO38" s="442"/>
      <c r="BP38" s="442"/>
      <c r="BQ38" s="444"/>
      <c r="BR38" s="444"/>
      <c r="BS38" s="446"/>
      <c r="BT38" s="446"/>
      <c r="BU38" s="446"/>
      <c r="BV38" s="442"/>
      <c r="BW38" s="442"/>
      <c r="BX38" s="756"/>
      <c r="BY38" s="850"/>
      <c r="BZ38" s="850"/>
      <c r="CA38" s="850"/>
      <c r="CB38" s="850"/>
      <c r="CC38" s="850"/>
      <c r="CD38" s="850"/>
      <c r="CE38" s="850"/>
      <c r="CF38" s="850"/>
      <c r="CG38" s="169"/>
      <c r="CH38" s="419" t="s">
        <v>1158</v>
      </c>
      <c r="CI38" s="404"/>
      <c r="CJ38" s="36"/>
      <c r="CK38" s="648"/>
      <c r="CL38" s="572"/>
      <c r="CM38" s="431"/>
      <c r="CN38" s="128"/>
      <c r="CO38" s="128"/>
      <c r="CP38" s="128"/>
      <c r="CQ38" s="128"/>
      <c r="CR38" s="406"/>
      <c r="CS38" s="431"/>
      <c r="CU38" s="98"/>
      <c r="CV38" s="98"/>
      <c r="CW38" s="98"/>
      <c r="CX38" s="98"/>
      <c r="DA38" s="647"/>
    </row>
    <row r="39" spans="1:105" s="97" customFormat="1" ht="12" customHeight="1" x14ac:dyDescent="0.2">
      <c r="A39" s="652"/>
      <c r="B39" s="469" t="s">
        <v>1779</v>
      </c>
      <c r="C39" s="390" t="s">
        <v>131</v>
      </c>
      <c r="D39" s="237" t="s">
        <v>1132</v>
      </c>
      <c r="E39" s="647" t="s">
        <v>14</v>
      </c>
      <c r="F39" s="647"/>
      <c r="G39" s="237"/>
      <c r="H39" s="186"/>
      <c r="I39" s="481" t="s">
        <v>551</v>
      </c>
      <c r="J39" s="571">
        <v>2003</v>
      </c>
      <c r="K39" s="571"/>
      <c r="L39" s="494" t="s">
        <v>244</v>
      </c>
      <c r="M39" s="247" t="s">
        <v>1838</v>
      </c>
      <c r="N39" s="494" t="s">
        <v>783</v>
      </c>
      <c r="O39" s="247" t="s">
        <v>19</v>
      </c>
      <c r="P39" s="98">
        <v>15</v>
      </c>
      <c r="Q39" s="247">
        <v>49</v>
      </c>
      <c r="R39" s="552">
        <v>30.733464955577514</v>
      </c>
      <c r="S39" s="552"/>
      <c r="T39" s="552"/>
      <c r="U39" s="553">
        <v>14658</v>
      </c>
      <c r="V39" s="794"/>
      <c r="W39" s="712"/>
      <c r="X39" s="552">
        <v>7.6385396084066945</v>
      </c>
      <c r="Y39" s="555"/>
      <c r="Z39" s="555"/>
      <c r="AA39" s="555"/>
      <c r="AB39" s="555"/>
      <c r="AC39" s="555"/>
      <c r="AD39" s="555"/>
      <c r="AE39" s="555"/>
      <c r="AF39" s="555"/>
      <c r="AG39" s="555"/>
      <c r="AH39" s="555"/>
      <c r="AI39" s="555"/>
      <c r="AJ39" s="555"/>
      <c r="AK39" s="555"/>
      <c r="AL39" s="555"/>
      <c r="AM39" s="555"/>
      <c r="AN39" s="555"/>
      <c r="AO39" s="555"/>
      <c r="AP39" s="555"/>
      <c r="AQ39" s="552">
        <v>41.502353824111381</v>
      </c>
      <c r="AR39" s="552">
        <v>41.502353824111381</v>
      </c>
      <c r="AS39" s="552">
        <v>9.3129562666302466</v>
      </c>
      <c r="AT39" s="552">
        <v>9.3129562666302466</v>
      </c>
      <c r="AU39" s="552">
        <v>35.325419566107215</v>
      </c>
      <c r="AV39" s="552">
        <v>35.325419566107215</v>
      </c>
      <c r="AW39" s="552">
        <v>7.0341816197039257</v>
      </c>
      <c r="AX39" s="552">
        <v>7.0341816197039257</v>
      </c>
      <c r="AY39" s="555"/>
      <c r="AZ39" s="555"/>
      <c r="BA39" s="552"/>
      <c r="BB39" s="552"/>
      <c r="BC39" s="555"/>
      <c r="BD39" s="555"/>
      <c r="BE39" s="552"/>
      <c r="BF39" s="552"/>
      <c r="BG39" s="552"/>
      <c r="BH39" s="552"/>
      <c r="BI39" s="552">
        <v>45.292672943102815</v>
      </c>
      <c r="BJ39" s="552">
        <v>45.292672943102815</v>
      </c>
      <c r="BK39" s="552"/>
      <c r="BL39" s="552"/>
      <c r="BM39" s="552">
        <v>13.828407617227521</v>
      </c>
      <c r="BN39" s="552">
        <v>13.828407617227521</v>
      </c>
      <c r="BO39" s="555"/>
      <c r="BP39" s="555"/>
      <c r="BQ39" s="552"/>
      <c r="BR39" s="42"/>
      <c r="BS39" s="42"/>
      <c r="BT39" s="42"/>
      <c r="BU39" s="42">
        <v>12</v>
      </c>
      <c r="BV39" s="42"/>
      <c r="BW39" s="42"/>
      <c r="BX39" s="758"/>
      <c r="BY39" s="851"/>
      <c r="BZ39" s="851"/>
      <c r="CA39" s="851"/>
      <c r="CB39" s="851"/>
      <c r="CC39" s="851"/>
      <c r="CD39" s="851"/>
      <c r="CE39" s="851"/>
      <c r="CF39" s="851"/>
      <c r="CH39" s="647"/>
      <c r="CK39" s="647"/>
      <c r="CL39" s="469" t="s">
        <v>1841</v>
      </c>
      <c r="CM39" s="647"/>
      <c r="CR39" s="638"/>
      <c r="CS39" s="647"/>
      <c r="CU39" s="98"/>
      <c r="CV39" s="98"/>
      <c r="CW39" s="98"/>
      <c r="CX39" s="98"/>
      <c r="DA39" s="647"/>
    </row>
    <row r="40" spans="1:105" s="97" customFormat="1" ht="12" customHeight="1" x14ac:dyDescent="0.2">
      <c r="A40" s="652"/>
      <c r="B40" s="469" t="s">
        <v>1780</v>
      </c>
      <c r="C40" s="390" t="s">
        <v>131</v>
      </c>
      <c r="D40" s="237" t="s">
        <v>1132</v>
      </c>
      <c r="E40" s="647" t="s">
        <v>14</v>
      </c>
      <c r="F40" s="647"/>
      <c r="G40" s="237"/>
      <c r="H40" s="186"/>
      <c r="I40" s="166">
        <v>2008</v>
      </c>
      <c r="J40" s="571">
        <v>2008</v>
      </c>
      <c r="K40" s="571"/>
      <c r="L40" s="494" t="s">
        <v>244</v>
      </c>
      <c r="M40" s="247" t="s">
        <v>1838</v>
      </c>
      <c r="N40" s="494" t="s">
        <v>783</v>
      </c>
      <c r="O40" s="247" t="s">
        <v>19</v>
      </c>
      <c r="P40" s="98">
        <v>15</v>
      </c>
      <c r="Q40" s="247">
        <v>49</v>
      </c>
      <c r="R40" s="552">
        <v>31.193398876404466</v>
      </c>
      <c r="S40" s="552"/>
      <c r="T40" s="552"/>
      <c r="U40" s="553">
        <v>12429</v>
      </c>
      <c r="V40" s="794"/>
      <c r="W40" s="712"/>
      <c r="X40" s="552">
        <v>8.44283707865171</v>
      </c>
      <c r="Y40" s="552">
        <v>22.357102660985468</v>
      </c>
      <c r="Z40" s="552">
        <v>22.357102660985468</v>
      </c>
      <c r="AA40" s="555"/>
      <c r="AB40" s="555"/>
      <c r="AC40" s="555"/>
      <c r="AD40" s="555"/>
      <c r="AE40" s="555"/>
      <c r="AF40" s="555"/>
      <c r="AG40" s="555"/>
      <c r="AH40" s="555"/>
      <c r="AI40" s="555"/>
      <c r="AJ40" s="555"/>
      <c r="AK40" s="555"/>
      <c r="AL40" s="555"/>
      <c r="AM40" s="555"/>
      <c r="AN40" s="555"/>
      <c r="AO40" s="555"/>
      <c r="AP40" s="555"/>
      <c r="AQ40" s="552">
        <v>20.605036607933105</v>
      </c>
      <c r="AR40" s="552">
        <v>20.605036607933105</v>
      </c>
      <c r="AS40" s="552">
        <v>4.2481293748491478</v>
      </c>
      <c r="AT40" s="552">
        <v>4.2481293748491478</v>
      </c>
      <c r="AU40" s="552">
        <v>16.509775524981915</v>
      </c>
      <c r="AV40" s="552">
        <v>16.509775524981915</v>
      </c>
      <c r="AW40" s="552">
        <v>2.9541978588102693</v>
      </c>
      <c r="AX40" s="552">
        <v>2.9541978588102693</v>
      </c>
      <c r="AY40" s="555"/>
      <c r="AZ40" s="555"/>
      <c r="BA40" s="552"/>
      <c r="BB40" s="552"/>
      <c r="BC40" s="555"/>
      <c r="BD40" s="555"/>
      <c r="BE40" s="552"/>
      <c r="BF40" s="552"/>
      <c r="BG40" s="552"/>
      <c r="BH40" s="552"/>
      <c r="BI40" s="552">
        <v>23.469305656126807</v>
      </c>
      <c r="BJ40" s="552">
        <v>23.469305656126807</v>
      </c>
      <c r="BK40" s="552"/>
      <c r="BL40" s="552"/>
      <c r="BM40" s="552">
        <v>6.5689905007245333</v>
      </c>
      <c r="BN40" s="552">
        <v>6.5689905007245333</v>
      </c>
      <c r="BO40" s="555"/>
      <c r="BP40" s="555"/>
      <c r="BQ40" s="552"/>
      <c r="BR40" s="42"/>
      <c r="BS40" s="42"/>
      <c r="BT40" s="42"/>
      <c r="BU40" s="42">
        <v>12</v>
      </c>
      <c r="BV40" s="42"/>
      <c r="BW40" s="42"/>
      <c r="BX40" s="758"/>
      <c r="BY40" s="851"/>
      <c r="BZ40" s="851"/>
      <c r="CA40" s="851"/>
      <c r="CB40" s="851"/>
      <c r="CC40" s="851"/>
      <c r="CD40" s="851"/>
      <c r="CE40" s="851"/>
      <c r="CF40" s="851"/>
      <c r="CH40" s="647"/>
      <c r="CK40" s="647"/>
      <c r="CL40" s="469" t="s">
        <v>1841</v>
      </c>
      <c r="CM40" s="647"/>
      <c r="CR40" s="638"/>
      <c r="CS40" s="647"/>
      <c r="CU40" s="98"/>
      <c r="CV40" s="98"/>
      <c r="CW40" s="98"/>
      <c r="CX40" s="98"/>
      <c r="DA40" s="647"/>
    </row>
    <row r="41" spans="1:105" s="97" customFormat="1" ht="12" customHeight="1" x14ac:dyDescent="0.2">
      <c r="A41" s="651"/>
      <c r="B41" s="537"/>
      <c r="C41" s="97" t="s">
        <v>131</v>
      </c>
      <c r="D41" s="237" t="s">
        <v>1132</v>
      </c>
      <c r="E41" s="647" t="s">
        <v>215</v>
      </c>
      <c r="F41" s="647"/>
      <c r="G41" s="98"/>
      <c r="I41" s="166">
        <v>1998</v>
      </c>
      <c r="J41" s="571"/>
      <c r="K41" s="571"/>
      <c r="L41" s="493"/>
      <c r="M41" s="98" t="s">
        <v>17</v>
      </c>
      <c r="N41" s="493"/>
      <c r="O41" s="247"/>
      <c r="P41" s="247"/>
      <c r="Q41" s="98"/>
      <c r="R41" s="167"/>
      <c r="S41" s="167"/>
      <c r="T41" s="167"/>
      <c r="U41" s="393">
        <v>289</v>
      </c>
      <c r="V41" s="694"/>
      <c r="W41" s="711"/>
      <c r="X41" s="167"/>
      <c r="Y41" s="446"/>
      <c r="Z41" s="446"/>
      <c r="AA41" s="446"/>
      <c r="AB41" s="446"/>
      <c r="AC41" s="446"/>
      <c r="AD41" s="446"/>
      <c r="AE41" s="446"/>
      <c r="AF41" s="446"/>
      <c r="AG41" s="446"/>
      <c r="AH41" s="446"/>
      <c r="AI41" s="446"/>
      <c r="AJ41" s="446"/>
      <c r="AK41" s="446"/>
      <c r="AL41" s="446"/>
      <c r="AM41" s="446"/>
      <c r="AN41" s="446"/>
      <c r="AO41" s="446"/>
      <c r="AP41" s="446"/>
      <c r="AQ41" s="446"/>
      <c r="AR41" s="446"/>
      <c r="AS41" s="446"/>
      <c r="AT41" s="446"/>
      <c r="AU41" s="446"/>
      <c r="AV41" s="446"/>
      <c r="AW41" s="446"/>
      <c r="AX41" s="446"/>
      <c r="AY41" s="446"/>
      <c r="AZ41" s="446"/>
      <c r="BA41" s="446"/>
      <c r="BB41" s="446"/>
      <c r="BC41" s="446"/>
      <c r="BD41" s="446"/>
      <c r="BE41" s="446"/>
      <c r="BF41" s="446"/>
      <c r="BG41" s="446"/>
      <c r="BH41" s="446"/>
      <c r="BI41" s="446"/>
      <c r="BJ41" s="446"/>
      <c r="BK41" s="446"/>
      <c r="BL41" s="446"/>
      <c r="BM41" s="446"/>
      <c r="BN41" s="446"/>
      <c r="BO41" s="446"/>
      <c r="BP41" s="446"/>
      <c r="BQ41" s="444"/>
      <c r="BR41" s="445"/>
      <c r="BS41" s="442"/>
      <c r="BT41" s="445">
        <v>17</v>
      </c>
      <c r="BU41" s="445"/>
      <c r="BV41" s="445"/>
      <c r="BW41" s="445"/>
      <c r="BX41" s="756"/>
      <c r="BY41" s="850"/>
      <c r="BZ41" s="850"/>
      <c r="CA41" s="850"/>
      <c r="CB41" s="850"/>
      <c r="CC41" s="850"/>
      <c r="CD41" s="850"/>
      <c r="CE41" s="850"/>
      <c r="CF41" s="850"/>
      <c r="CG41" s="98" t="s">
        <v>218</v>
      </c>
      <c r="CH41" s="417"/>
      <c r="CI41" s="406"/>
      <c r="CJ41" s="23"/>
      <c r="CK41" s="417" t="s">
        <v>1059</v>
      </c>
      <c r="CL41" s="572"/>
      <c r="CM41" s="648"/>
      <c r="CN41" s="35"/>
      <c r="CO41" s="35"/>
      <c r="CP41" s="35"/>
      <c r="CQ41" s="35"/>
      <c r="CR41" s="406"/>
      <c r="CS41" s="648"/>
      <c r="CU41" s="98"/>
      <c r="CV41" s="98"/>
      <c r="CW41" s="98"/>
      <c r="CX41" s="98"/>
      <c r="DA41" s="647"/>
    </row>
    <row r="42" spans="1:105" s="97" customFormat="1" ht="12" customHeight="1" x14ac:dyDescent="0.2">
      <c r="A42" s="651"/>
      <c r="B42" s="537"/>
      <c r="C42" s="97" t="s">
        <v>368</v>
      </c>
      <c r="D42" s="237" t="s">
        <v>1130</v>
      </c>
      <c r="E42" s="647" t="s">
        <v>555</v>
      </c>
      <c r="F42" s="647"/>
      <c r="G42" s="98"/>
      <c r="I42" s="166">
        <v>1999</v>
      </c>
      <c r="J42" s="571"/>
      <c r="K42" s="571"/>
      <c r="L42" s="493"/>
      <c r="M42" s="98" t="s">
        <v>17</v>
      </c>
      <c r="N42" s="494"/>
      <c r="O42" s="247"/>
      <c r="P42" s="247"/>
      <c r="Q42" s="98"/>
      <c r="R42" s="167"/>
      <c r="S42" s="167"/>
      <c r="T42" s="167"/>
      <c r="U42" s="393">
        <v>540</v>
      </c>
      <c r="V42" s="694"/>
      <c r="W42" s="711"/>
      <c r="X42" s="167"/>
      <c r="Y42" s="446"/>
      <c r="Z42" s="446"/>
      <c r="AA42" s="446"/>
      <c r="AB42" s="446"/>
      <c r="AC42" s="446"/>
      <c r="AD42" s="446"/>
      <c r="AE42" s="446"/>
      <c r="AF42" s="446"/>
      <c r="AG42" s="446"/>
      <c r="AH42" s="446"/>
      <c r="AI42" s="446"/>
      <c r="AJ42" s="446"/>
      <c r="AK42" s="446"/>
      <c r="AL42" s="446"/>
      <c r="AM42" s="446"/>
      <c r="AN42" s="446"/>
      <c r="AO42" s="446"/>
      <c r="AP42" s="446"/>
      <c r="AQ42" s="446"/>
      <c r="AR42" s="446"/>
      <c r="AS42" s="446"/>
      <c r="AT42" s="446"/>
      <c r="AU42" s="446"/>
      <c r="AV42" s="446"/>
      <c r="AW42" s="446"/>
      <c r="AX42" s="446"/>
      <c r="AY42" s="446"/>
      <c r="AZ42" s="446"/>
      <c r="BA42" s="446"/>
      <c r="BB42" s="446"/>
      <c r="BC42" s="446"/>
      <c r="BD42" s="446"/>
      <c r="BE42" s="446"/>
      <c r="BF42" s="446"/>
      <c r="BG42" s="446"/>
      <c r="BH42" s="446"/>
      <c r="BI42" s="442">
        <v>23</v>
      </c>
      <c r="BJ42" s="446"/>
      <c r="BK42" s="446"/>
      <c r="BL42" s="446"/>
      <c r="BM42" s="446"/>
      <c r="BN42" s="446"/>
      <c r="BO42" s="446"/>
      <c r="BP42" s="446"/>
      <c r="BQ42" s="444"/>
      <c r="BR42" s="445"/>
      <c r="BS42" s="442">
        <v>23</v>
      </c>
      <c r="BT42" s="271"/>
      <c r="BU42" s="271"/>
      <c r="BV42" s="454"/>
      <c r="BW42" s="454"/>
      <c r="BX42" s="756"/>
      <c r="BY42" s="850"/>
      <c r="BZ42" s="850"/>
      <c r="CA42" s="850"/>
      <c r="CB42" s="850"/>
      <c r="CC42" s="850"/>
      <c r="CD42" s="850"/>
      <c r="CE42" s="850"/>
      <c r="CF42" s="850"/>
      <c r="CG42" s="237" t="s">
        <v>556</v>
      </c>
      <c r="CH42" s="417" t="s">
        <v>1107</v>
      </c>
      <c r="CI42" s="406"/>
      <c r="CJ42" s="23"/>
      <c r="CK42" s="648"/>
      <c r="CL42" s="572"/>
      <c r="CM42" s="648"/>
      <c r="CN42" s="35"/>
      <c r="CO42" s="35"/>
      <c r="CP42" s="35"/>
      <c r="CQ42" s="35"/>
      <c r="CR42" s="406"/>
      <c r="CS42" s="648"/>
      <c r="CU42" s="98"/>
      <c r="CV42" s="98"/>
      <c r="CW42" s="98"/>
      <c r="CX42" s="98"/>
      <c r="DA42" s="647"/>
    </row>
    <row r="43" spans="1:105" s="97" customFormat="1" ht="12" customHeight="1" x14ac:dyDescent="0.2">
      <c r="A43" s="651"/>
      <c r="B43" s="537"/>
      <c r="C43" s="97" t="s">
        <v>132</v>
      </c>
      <c r="D43" s="237" t="s">
        <v>1131</v>
      </c>
      <c r="E43" s="647" t="s">
        <v>14</v>
      </c>
      <c r="F43" s="647"/>
      <c r="G43" s="237"/>
      <c r="H43" s="186"/>
      <c r="I43" s="166">
        <v>2002</v>
      </c>
      <c r="J43" s="390"/>
      <c r="K43" s="390"/>
      <c r="L43" s="493" t="s">
        <v>578</v>
      </c>
      <c r="M43" s="237" t="s">
        <v>17</v>
      </c>
      <c r="N43" s="493"/>
      <c r="O43" s="247"/>
      <c r="P43" s="247"/>
      <c r="Q43" s="237"/>
      <c r="R43" s="254"/>
      <c r="S43" s="254"/>
      <c r="T43" s="254"/>
      <c r="U43" s="393">
        <f>1371+124</f>
        <v>1495</v>
      </c>
      <c r="V43" s="694"/>
      <c r="W43" s="711"/>
      <c r="X43" s="254"/>
      <c r="Y43" s="446"/>
      <c r="Z43" s="446"/>
      <c r="AA43" s="446"/>
      <c r="AB43" s="446"/>
      <c r="AC43" s="446"/>
      <c r="AD43" s="446"/>
      <c r="AE43" s="446"/>
      <c r="AF43" s="446"/>
      <c r="AG43" s="446"/>
      <c r="AH43" s="446"/>
      <c r="AI43" s="446"/>
      <c r="AJ43" s="446"/>
      <c r="AK43" s="446"/>
      <c r="AL43" s="446"/>
      <c r="AM43" s="446"/>
      <c r="AN43" s="446"/>
      <c r="AO43" s="446"/>
      <c r="AP43" s="446"/>
      <c r="AQ43" s="446"/>
      <c r="AR43" s="446"/>
      <c r="AS43" s="446"/>
      <c r="AT43" s="446"/>
      <c r="AU43" s="446"/>
      <c r="AV43" s="446"/>
      <c r="AW43" s="446"/>
      <c r="AX43" s="446"/>
      <c r="AY43" s="446"/>
      <c r="AZ43" s="446"/>
      <c r="BA43" s="446"/>
      <c r="BB43" s="446"/>
      <c r="BC43" s="446"/>
      <c r="BD43" s="446"/>
      <c r="BE43" s="446"/>
      <c r="BF43" s="446"/>
      <c r="BG43" s="446"/>
      <c r="BH43" s="446"/>
      <c r="BI43" s="445"/>
      <c r="BJ43" s="446">
        <v>19</v>
      </c>
      <c r="BK43" s="446"/>
      <c r="BL43" s="446"/>
      <c r="BM43" s="446"/>
      <c r="BN43" s="446"/>
      <c r="BO43" s="446"/>
      <c r="BP43" s="446"/>
      <c r="BQ43" s="444"/>
      <c r="BR43" s="445"/>
      <c r="BS43" s="442"/>
      <c r="BT43" s="271"/>
      <c r="BU43" s="271"/>
      <c r="BV43" s="454"/>
      <c r="BW43" s="454"/>
      <c r="BX43" s="756"/>
      <c r="BY43" s="850"/>
      <c r="BZ43" s="850"/>
      <c r="CA43" s="850"/>
      <c r="CB43" s="850"/>
      <c r="CC43" s="850"/>
      <c r="CD43" s="850"/>
      <c r="CE43" s="850"/>
      <c r="CF43" s="850"/>
      <c r="CG43" s="237" t="s">
        <v>576</v>
      </c>
      <c r="CH43" s="421" t="s">
        <v>1046</v>
      </c>
      <c r="CI43" s="406"/>
      <c r="CJ43" s="23"/>
      <c r="CK43" s="648"/>
      <c r="CL43" s="572"/>
      <c r="CM43" s="648"/>
      <c r="CN43" s="35"/>
      <c r="CO43" s="35"/>
      <c r="CP43" s="35"/>
      <c r="CQ43" s="35"/>
      <c r="CR43" s="406"/>
      <c r="CS43" s="648"/>
      <c r="CU43" s="98"/>
      <c r="CV43" s="98"/>
      <c r="CW43" s="98"/>
      <c r="CX43" s="98"/>
      <c r="DA43" s="647"/>
    </row>
    <row r="44" spans="1:105" s="97" customFormat="1" ht="12" customHeight="1" x14ac:dyDescent="0.2">
      <c r="A44" s="651"/>
      <c r="B44" s="537"/>
      <c r="C44" s="97" t="s">
        <v>132</v>
      </c>
      <c r="D44" s="237" t="s">
        <v>1131</v>
      </c>
      <c r="E44" s="647"/>
      <c r="F44" s="647"/>
      <c r="G44" s="237"/>
      <c r="H44" s="186"/>
      <c r="I44" s="166">
        <v>2009</v>
      </c>
      <c r="J44" s="390"/>
      <c r="K44" s="390"/>
      <c r="L44" s="493"/>
      <c r="M44" s="237"/>
      <c r="N44" s="493"/>
      <c r="O44" s="247"/>
      <c r="P44" s="247"/>
      <c r="Q44" s="237"/>
      <c r="R44" s="254"/>
      <c r="S44" s="254"/>
      <c r="T44" s="254"/>
      <c r="U44" s="393">
        <v>1378</v>
      </c>
      <c r="V44" s="694"/>
      <c r="W44" s="711"/>
      <c r="X44" s="254"/>
      <c r="Y44" s="446"/>
      <c r="Z44" s="446"/>
      <c r="AA44" s="446"/>
      <c r="AB44" s="446"/>
      <c r="AC44" s="446"/>
      <c r="AD44" s="446"/>
      <c r="AE44" s="446"/>
      <c r="AF44" s="446"/>
      <c r="AG44" s="446"/>
      <c r="AH44" s="446"/>
      <c r="AI44" s="446"/>
      <c r="AJ44" s="446"/>
      <c r="AK44" s="446"/>
      <c r="AL44" s="446"/>
      <c r="AM44" s="446"/>
      <c r="AN44" s="446"/>
      <c r="AO44" s="446"/>
      <c r="AP44" s="446"/>
      <c r="AQ44" s="446"/>
      <c r="AR44" s="446"/>
      <c r="AS44" s="446"/>
      <c r="AT44" s="446"/>
      <c r="AU44" s="446"/>
      <c r="AV44" s="446"/>
      <c r="AW44" s="446"/>
      <c r="AX44" s="446"/>
      <c r="AY44" s="446"/>
      <c r="AZ44" s="446"/>
      <c r="BA44" s="446"/>
      <c r="BB44" s="446"/>
      <c r="BC44" s="446"/>
      <c r="BD44" s="446"/>
      <c r="BE44" s="445"/>
      <c r="BF44" s="445"/>
      <c r="BG44" s="446"/>
      <c r="BH44" s="446"/>
      <c r="BI44" s="442">
        <v>32</v>
      </c>
      <c r="BJ44" s="445"/>
      <c r="BK44" s="445"/>
      <c r="BL44" s="445"/>
      <c r="BM44" s="445"/>
      <c r="BN44" s="445"/>
      <c r="BO44" s="445"/>
      <c r="BP44" s="445"/>
      <c r="BQ44" s="444"/>
      <c r="BR44" s="444"/>
      <c r="BS44" s="446"/>
      <c r="BT44" s="446"/>
      <c r="BU44" s="446"/>
      <c r="BV44" s="442"/>
      <c r="BW44" s="442"/>
      <c r="BX44" s="756"/>
      <c r="BY44" s="850"/>
      <c r="BZ44" s="850"/>
      <c r="CA44" s="850"/>
      <c r="CB44" s="850"/>
      <c r="CC44" s="850"/>
      <c r="CD44" s="850"/>
      <c r="CE44" s="850"/>
      <c r="CF44" s="850"/>
      <c r="CG44" s="237" t="s">
        <v>1032</v>
      </c>
      <c r="CH44" s="420" t="s">
        <v>1048</v>
      </c>
      <c r="CI44" s="404">
        <v>40993</v>
      </c>
      <c r="CJ44" s="23"/>
      <c r="CK44" s="648" t="s">
        <v>1077</v>
      </c>
      <c r="CL44" s="572"/>
      <c r="CM44" s="431"/>
      <c r="CN44" s="128"/>
      <c r="CO44" s="128"/>
      <c r="CP44" s="128"/>
      <c r="CQ44" s="128"/>
      <c r="CR44" s="406"/>
      <c r="CS44" s="431"/>
      <c r="CU44" s="98"/>
      <c r="CV44" s="98"/>
      <c r="CW44" s="98"/>
      <c r="CX44" s="98"/>
      <c r="DA44" s="647"/>
    </row>
    <row r="45" spans="1:105" s="97" customFormat="1" ht="12" customHeight="1" x14ac:dyDescent="0.2">
      <c r="A45" s="651"/>
      <c r="B45" s="537"/>
      <c r="C45" s="97" t="s">
        <v>35</v>
      </c>
      <c r="D45" s="237" t="s">
        <v>1132</v>
      </c>
      <c r="E45" s="647" t="s">
        <v>917</v>
      </c>
      <c r="F45" s="647"/>
      <c r="G45" s="237"/>
      <c r="H45" s="186"/>
      <c r="I45" s="166">
        <v>1999</v>
      </c>
      <c r="J45" s="390"/>
      <c r="K45" s="390"/>
      <c r="L45" s="493"/>
      <c r="M45" s="237" t="s">
        <v>15</v>
      </c>
      <c r="N45" s="493"/>
      <c r="O45" s="247"/>
      <c r="P45" s="247"/>
      <c r="Q45" s="98"/>
      <c r="R45" s="167"/>
      <c r="S45" s="167"/>
      <c r="T45" s="167"/>
      <c r="U45" s="393">
        <v>86</v>
      </c>
      <c r="V45" s="694"/>
      <c r="W45" s="711"/>
      <c r="X45" s="254"/>
      <c r="Y45" s="446"/>
      <c r="Z45" s="446"/>
      <c r="AA45" s="446"/>
      <c r="AB45" s="446"/>
      <c r="AC45" s="446"/>
      <c r="AD45" s="446"/>
      <c r="AE45" s="446"/>
      <c r="AF45" s="446"/>
      <c r="AG45" s="446"/>
      <c r="AH45" s="446"/>
      <c r="AI45" s="446"/>
      <c r="AJ45" s="446"/>
      <c r="AK45" s="446"/>
      <c r="AL45" s="446"/>
      <c r="AM45" s="446"/>
      <c r="AN45" s="446"/>
      <c r="AO45" s="446"/>
      <c r="AP45" s="446"/>
      <c r="AQ45" s="446"/>
      <c r="AR45" s="446"/>
      <c r="AS45" s="446"/>
      <c r="AT45" s="446"/>
      <c r="AU45" s="446"/>
      <c r="AV45" s="446"/>
      <c r="AW45" s="446"/>
      <c r="AX45" s="446"/>
      <c r="AY45" s="446"/>
      <c r="AZ45" s="446"/>
      <c r="BA45" s="446"/>
      <c r="BB45" s="446"/>
      <c r="BC45" s="446"/>
      <c r="BD45" s="446"/>
      <c r="BE45" s="445"/>
      <c r="BF45" s="445"/>
      <c r="BG45" s="446"/>
      <c r="BH45" s="446"/>
      <c r="BI45" s="442">
        <v>33.700000000000003</v>
      </c>
      <c r="BJ45" s="445"/>
      <c r="BK45" s="445"/>
      <c r="BL45" s="445"/>
      <c r="BM45" s="445"/>
      <c r="BN45" s="445"/>
      <c r="BO45" s="445"/>
      <c r="BP45" s="445"/>
      <c r="BQ45" s="444"/>
      <c r="BR45" s="444"/>
      <c r="BS45" s="442"/>
      <c r="BT45" s="445"/>
      <c r="BU45" s="445"/>
      <c r="BV45" s="445"/>
      <c r="BW45" s="445"/>
      <c r="BX45" s="756"/>
      <c r="BY45" s="850"/>
      <c r="BZ45" s="850"/>
      <c r="CA45" s="850"/>
      <c r="CB45" s="850"/>
      <c r="CC45" s="850"/>
      <c r="CD45" s="850"/>
      <c r="CE45" s="850"/>
      <c r="CF45" s="850"/>
      <c r="CG45" s="237" t="s">
        <v>918</v>
      </c>
      <c r="CH45" s="419" t="s">
        <v>919</v>
      </c>
      <c r="CI45" s="406"/>
      <c r="CJ45" s="23"/>
      <c r="CK45" s="648" t="s">
        <v>1533</v>
      </c>
      <c r="CL45" s="572"/>
      <c r="CM45" s="648"/>
      <c r="CN45" s="35"/>
      <c r="CO45" s="35"/>
      <c r="CP45" s="35"/>
      <c r="CQ45" s="35"/>
      <c r="CR45" s="406"/>
      <c r="CS45" s="648"/>
      <c r="CU45" s="98"/>
      <c r="CV45" s="98"/>
      <c r="CW45" s="98"/>
      <c r="CX45" s="98"/>
      <c r="DA45" s="647"/>
    </row>
    <row r="46" spans="1:105" s="97" customFormat="1" ht="12" customHeight="1" x14ac:dyDescent="0.2">
      <c r="A46" s="651"/>
      <c r="B46" s="537"/>
      <c r="C46" s="97" t="s">
        <v>35</v>
      </c>
      <c r="D46" s="169" t="s">
        <v>1132</v>
      </c>
      <c r="E46" s="647" t="s">
        <v>42</v>
      </c>
      <c r="F46" s="647"/>
      <c r="G46" s="98"/>
      <c r="I46" s="166">
        <v>2001</v>
      </c>
      <c r="J46" s="571"/>
      <c r="K46" s="571"/>
      <c r="L46" s="493" t="s">
        <v>243</v>
      </c>
      <c r="M46" s="98" t="s">
        <v>15</v>
      </c>
      <c r="N46" s="494" t="s">
        <v>783</v>
      </c>
      <c r="O46" s="247"/>
      <c r="P46" s="247"/>
      <c r="Q46" s="98"/>
      <c r="R46" s="167"/>
      <c r="S46" s="167"/>
      <c r="T46" s="167"/>
      <c r="U46" s="393">
        <v>1188</v>
      </c>
      <c r="V46" s="694"/>
      <c r="W46" s="711"/>
      <c r="X46" s="167"/>
      <c r="Y46" s="446"/>
      <c r="Z46" s="446"/>
      <c r="AA46" s="446"/>
      <c r="AB46" s="446"/>
      <c r="AC46" s="446"/>
      <c r="AD46" s="446"/>
      <c r="AE46" s="446"/>
      <c r="AF46" s="446"/>
      <c r="AG46" s="446"/>
      <c r="AH46" s="446"/>
      <c r="AI46" s="446"/>
      <c r="AJ46" s="446"/>
      <c r="AK46" s="446"/>
      <c r="AL46" s="446"/>
      <c r="AM46" s="446"/>
      <c r="AN46" s="446"/>
      <c r="AO46" s="446"/>
      <c r="AP46" s="446"/>
      <c r="AQ46" s="446"/>
      <c r="AR46" s="446"/>
      <c r="AS46" s="446"/>
      <c r="AT46" s="446"/>
      <c r="AU46" s="446"/>
      <c r="AV46" s="446"/>
      <c r="AW46" s="446"/>
      <c r="AX46" s="446"/>
      <c r="AY46" s="446"/>
      <c r="AZ46" s="446"/>
      <c r="BA46" s="446"/>
      <c r="BB46" s="446"/>
      <c r="BC46" s="446"/>
      <c r="BD46" s="446"/>
      <c r="BE46" s="445"/>
      <c r="BF46" s="445"/>
      <c r="BG46" s="446"/>
      <c r="BH46" s="446"/>
      <c r="BI46" s="442">
        <v>34</v>
      </c>
      <c r="BJ46" s="445">
        <v>13</v>
      </c>
      <c r="BK46" s="445"/>
      <c r="BL46" s="445"/>
      <c r="BM46" s="445"/>
      <c r="BN46" s="445"/>
      <c r="BO46" s="445"/>
      <c r="BP46" s="445"/>
      <c r="BQ46" s="444"/>
      <c r="BR46" s="444"/>
      <c r="BS46" s="442"/>
      <c r="BT46" s="445"/>
      <c r="BU46" s="445"/>
      <c r="BV46" s="445"/>
      <c r="BW46" s="445"/>
      <c r="BX46" s="756"/>
      <c r="BY46" s="850"/>
      <c r="BZ46" s="850"/>
      <c r="CA46" s="850"/>
      <c r="CB46" s="850"/>
      <c r="CC46" s="850"/>
      <c r="CD46" s="850"/>
      <c r="CE46" s="850"/>
      <c r="CF46" s="850"/>
      <c r="CG46" s="169" t="s">
        <v>523</v>
      </c>
      <c r="CH46" s="417"/>
      <c r="CI46" s="406"/>
      <c r="CJ46" s="23"/>
      <c r="CK46" s="426" t="s">
        <v>1041</v>
      </c>
      <c r="CL46" s="572"/>
      <c r="CM46" s="648"/>
      <c r="CN46" s="35"/>
      <c r="CO46" s="35"/>
      <c r="CP46" s="35"/>
      <c r="CQ46" s="35"/>
      <c r="CR46" s="406"/>
      <c r="CS46" s="648"/>
      <c r="CU46" s="98"/>
      <c r="CV46" s="98"/>
      <c r="CW46" s="98"/>
      <c r="CX46" s="98"/>
      <c r="DA46" s="647"/>
    </row>
    <row r="47" spans="1:105" s="97" customFormat="1" ht="12" customHeight="1" x14ac:dyDescent="0.2">
      <c r="A47" s="651"/>
      <c r="B47" s="537"/>
      <c r="C47" s="97" t="s">
        <v>35</v>
      </c>
      <c r="D47" s="169" t="s">
        <v>1132</v>
      </c>
      <c r="E47" s="647" t="s">
        <v>41</v>
      </c>
      <c r="F47" s="647"/>
      <c r="G47" s="98"/>
      <c r="I47" s="166">
        <v>2001</v>
      </c>
      <c r="J47" s="571"/>
      <c r="K47" s="571"/>
      <c r="L47" s="493" t="s">
        <v>243</v>
      </c>
      <c r="M47" s="98" t="s">
        <v>15</v>
      </c>
      <c r="N47" s="494" t="s">
        <v>783</v>
      </c>
      <c r="O47" s="247"/>
      <c r="P47" s="247"/>
      <c r="Q47" s="98"/>
      <c r="R47" s="167"/>
      <c r="S47" s="167"/>
      <c r="T47" s="167"/>
      <c r="U47" s="393">
        <v>940</v>
      </c>
      <c r="V47" s="694"/>
      <c r="W47" s="711"/>
      <c r="X47" s="167"/>
      <c r="Y47" s="446"/>
      <c r="Z47" s="446"/>
      <c r="AA47" s="446"/>
      <c r="AB47" s="446"/>
      <c r="AC47" s="446"/>
      <c r="AD47" s="446"/>
      <c r="AE47" s="446"/>
      <c r="AF47" s="446"/>
      <c r="AG47" s="446"/>
      <c r="AH47" s="446"/>
      <c r="AI47" s="446"/>
      <c r="AJ47" s="446"/>
      <c r="AK47" s="446"/>
      <c r="AL47" s="446"/>
      <c r="AM47" s="446"/>
      <c r="AN47" s="446"/>
      <c r="AO47" s="446"/>
      <c r="AP47" s="446"/>
      <c r="AQ47" s="446"/>
      <c r="AR47" s="446"/>
      <c r="AS47" s="446"/>
      <c r="AT47" s="446"/>
      <c r="AU47" s="446"/>
      <c r="AV47" s="446"/>
      <c r="AW47" s="446"/>
      <c r="AX47" s="446"/>
      <c r="AY47" s="446"/>
      <c r="AZ47" s="446"/>
      <c r="BA47" s="446"/>
      <c r="BB47" s="446"/>
      <c r="BC47" s="446"/>
      <c r="BD47" s="446"/>
      <c r="BE47" s="445"/>
      <c r="BF47" s="445"/>
      <c r="BG47" s="446"/>
      <c r="BH47" s="446"/>
      <c r="BI47" s="442">
        <v>27</v>
      </c>
      <c r="BJ47" s="445">
        <v>8</v>
      </c>
      <c r="BK47" s="445"/>
      <c r="BL47" s="445"/>
      <c r="BM47" s="445"/>
      <c r="BN47" s="445"/>
      <c r="BO47" s="445"/>
      <c r="BP47" s="445"/>
      <c r="BQ47" s="444"/>
      <c r="BR47" s="444"/>
      <c r="BS47" s="442"/>
      <c r="BT47" s="445"/>
      <c r="BU47" s="445"/>
      <c r="BV47" s="445"/>
      <c r="BW47" s="445"/>
      <c r="BX47" s="756"/>
      <c r="BY47" s="850"/>
      <c r="BZ47" s="850"/>
      <c r="CA47" s="850"/>
      <c r="CB47" s="850"/>
      <c r="CC47" s="850"/>
      <c r="CD47" s="850"/>
      <c r="CE47" s="850"/>
      <c r="CF47" s="850"/>
      <c r="CG47" s="169" t="s">
        <v>523</v>
      </c>
      <c r="CH47" s="417"/>
      <c r="CI47" s="406"/>
      <c r="CJ47" s="23"/>
      <c r="CK47" s="426" t="s">
        <v>1041</v>
      </c>
      <c r="CL47" s="572"/>
      <c r="CM47" s="648"/>
      <c r="CN47" s="35"/>
      <c r="CO47" s="35"/>
      <c r="CP47" s="35"/>
      <c r="CQ47" s="35"/>
      <c r="CR47" s="406"/>
      <c r="CS47" s="648"/>
      <c r="CU47" s="98"/>
      <c r="CV47" s="98"/>
      <c r="CW47" s="98"/>
      <c r="CX47" s="98"/>
      <c r="DA47" s="647"/>
    </row>
    <row r="48" spans="1:105" s="97" customFormat="1" ht="12" customHeight="1" x14ac:dyDescent="0.2">
      <c r="A48" s="651"/>
      <c r="B48" s="537"/>
      <c r="C48" s="97" t="s">
        <v>35</v>
      </c>
      <c r="D48" s="169" t="s">
        <v>1132</v>
      </c>
      <c r="E48" s="647" t="s">
        <v>14</v>
      </c>
      <c r="F48" s="647"/>
      <c r="G48" s="98"/>
      <c r="I48" s="166">
        <v>2005</v>
      </c>
      <c r="J48" s="571"/>
      <c r="K48" s="571"/>
      <c r="L48" s="493"/>
      <c r="M48" s="98"/>
      <c r="N48" s="493"/>
      <c r="O48" s="247"/>
      <c r="P48" s="247"/>
      <c r="Q48" s="98"/>
      <c r="R48" s="167"/>
      <c r="S48" s="167"/>
      <c r="T48" s="167"/>
      <c r="U48" s="393">
        <v>815</v>
      </c>
      <c r="V48" s="694"/>
      <c r="W48" s="711"/>
      <c r="X48" s="167"/>
      <c r="Y48" s="446"/>
      <c r="Z48" s="446"/>
      <c r="AA48" s="446"/>
      <c r="AB48" s="446"/>
      <c r="AC48" s="446"/>
      <c r="AD48" s="446"/>
      <c r="AE48" s="446"/>
      <c r="AF48" s="446"/>
      <c r="AG48" s="446"/>
      <c r="AH48" s="446"/>
      <c r="AI48" s="446"/>
      <c r="AJ48" s="446"/>
      <c r="AK48" s="446"/>
      <c r="AL48" s="446"/>
      <c r="AM48" s="446"/>
      <c r="AN48" s="446"/>
      <c r="AO48" s="446"/>
      <c r="AP48" s="446"/>
      <c r="AQ48" s="446"/>
      <c r="AR48" s="446"/>
      <c r="AS48" s="446"/>
      <c r="AT48" s="446"/>
      <c r="AU48" s="446"/>
      <c r="AV48" s="446"/>
      <c r="AW48" s="446"/>
      <c r="AX48" s="446"/>
      <c r="AY48" s="446"/>
      <c r="AZ48" s="446"/>
      <c r="BA48" s="446"/>
      <c r="BB48" s="446"/>
      <c r="BC48" s="446"/>
      <c r="BD48" s="446"/>
      <c r="BE48" s="442"/>
      <c r="BF48" s="442"/>
      <c r="BG48" s="446"/>
      <c r="BH48" s="446"/>
      <c r="BI48" s="442"/>
      <c r="BJ48" s="442"/>
      <c r="BK48" s="442"/>
      <c r="BL48" s="442"/>
      <c r="BM48" s="442"/>
      <c r="BN48" s="442"/>
      <c r="BO48" s="442"/>
      <c r="BP48" s="442"/>
      <c r="BQ48" s="442"/>
      <c r="BR48" s="442"/>
      <c r="BS48" s="442">
        <f>17*0.54</f>
        <v>9.18</v>
      </c>
      <c r="BT48" s="446"/>
      <c r="BU48" s="446"/>
      <c r="BV48" s="442"/>
      <c r="BW48" s="442"/>
      <c r="BX48" s="756"/>
      <c r="BY48" s="850"/>
      <c r="BZ48" s="850"/>
      <c r="CA48" s="850"/>
      <c r="CB48" s="850"/>
      <c r="CC48" s="850"/>
      <c r="CD48" s="850"/>
      <c r="CE48" s="850"/>
      <c r="CF48" s="850"/>
      <c r="CG48" s="169" t="s">
        <v>920</v>
      </c>
      <c r="CH48" s="419" t="s">
        <v>921</v>
      </c>
      <c r="CI48" s="404">
        <v>40994</v>
      </c>
      <c r="CJ48" s="23"/>
      <c r="CK48" s="581" t="s">
        <v>1074</v>
      </c>
      <c r="CL48" s="572"/>
      <c r="CM48" s="431"/>
      <c r="CN48" s="128"/>
      <c r="CO48" s="128"/>
      <c r="CP48" s="128"/>
      <c r="CQ48" s="128"/>
      <c r="CR48" s="406"/>
      <c r="CS48" s="431"/>
      <c r="CU48" s="98"/>
      <c r="CV48" s="98"/>
      <c r="CW48" s="98"/>
      <c r="CX48" s="98"/>
      <c r="DA48" s="647"/>
    </row>
    <row r="49" spans="1:105" s="97" customFormat="1" ht="12" customHeight="1" x14ac:dyDescent="0.2">
      <c r="A49" s="651"/>
      <c r="B49" s="537"/>
      <c r="C49" s="97" t="s">
        <v>35</v>
      </c>
      <c r="D49" s="278" t="s">
        <v>1132</v>
      </c>
      <c r="E49" s="647" t="s">
        <v>579</v>
      </c>
      <c r="F49" s="647"/>
      <c r="G49" s="98"/>
      <c r="I49" s="166" t="s">
        <v>235</v>
      </c>
      <c r="J49" s="571"/>
      <c r="K49" s="571"/>
      <c r="L49" s="493"/>
      <c r="M49" s="98" t="s">
        <v>78</v>
      </c>
      <c r="N49" s="493"/>
      <c r="O49" s="247"/>
      <c r="P49" s="247"/>
      <c r="Q49" s="98"/>
      <c r="R49" s="167"/>
      <c r="S49" s="167"/>
      <c r="T49" s="167"/>
      <c r="U49" s="393">
        <v>1133</v>
      </c>
      <c r="V49" s="694"/>
      <c r="W49" s="711"/>
      <c r="X49" s="167"/>
      <c r="Y49" s="446"/>
      <c r="Z49" s="446"/>
      <c r="AA49" s="446"/>
      <c r="AB49" s="446"/>
      <c r="AC49" s="446"/>
      <c r="AD49" s="446"/>
      <c r="AE49" s="446"/>
      <c r="AF49" s="446"/>
      <c r="AG49" s="446"/>
      <c r="AH49" s="446"/>
      <c r="AI49" s="446"/>
      <c r="AJ49" s="446"/>
      <c r="AK49" s="446"/>
      <c r="AL49" s="446"/>
      <c r="AM49" s="446"/>
      <c r="AN49" s="446"/>
      <c r="AO49" s="446"/>
      <c r="AP49" s="446"/>
      <c r="AQ49" s="446"/>
      <c r="AR49" s="446"/>
      <c r="AS49" s="446"/>
      <c r="AT49" s="446"/>
      <c r="AU49" s="446"/>
      <c r="AV49" s="446"/>
      <c r="AW49" s="446"/>
      <c r="AX49" s="446"/>
      <c r="AY49" s="446"/>
      <c r="AZ49" s="446"/>
      <c r="BA49" s="446"/>
      <c r="BB49" s="446"/>
      <c r="BC49" s="446"/>
      <c r="BD49" s="446"/>
      <c r="BE49" s="444"/>
      <c r="BF49" s="444"/>
      <c r="BG49" s="446"/>
      <c r="BH49" s="446"/>
      <c r="BI49" s="446"/>
      <c r="BJ49" s="444"/>
      <c r="BK49" s="444"/>
      <c r="BL49" s="444"/>
      <c r="BM49" s="444"/>
      <c r="BN49" s="444"/>
      <c r="BO49" s="444"/>
      <c r="BP49" s="444"/>
      <c r="BQ49" s="446"/>
      <c r="BR49" s="446"/>
      <c r="BS49" s="442">
        <v>11.8</v>
      </c>
      <c r="BT49" s="271"/>
      <c r="BU49" s="271"/>
      <c r="BV49" s="454"/>
      <c r="BW49" s="454"/>
      <c r="BX49" s="756"/>
      <c r="BY49" s="850"/>
      <c r="BZ49" s="850"/>
      <c r="CA49" s="850"/>
      <c r="CB49" s="850"/>
      <c r="CC49" s="850"/>
      <c r="CD49" s="850"/>
      <c r="CE49" s="850"/>
      <c r="CF49" s="850"/>
      <c r="CG49" s="278" t="s">
        <v>959</v>
      </c>
      <c r="CH49" s="419" t="s">
        <v>609</v>
      </c>
      <c r="CI49" s="404">
        <v>40503</v>
      </c>
      <c r="CJ49" s="23"/>
      <c r="CK49" s="648" t="s">
        <v>580</v>
      </c>
      <c r="CL49" s="572"/>
      <c r="CM49" s="648"/>
      <c r="CN49" s="35"/>
      <c r="CO49" s="35"/>
      <c r="CP49" s="35"/>
      <c r="CQ49" s="35"/>
      <c r="CR49" s="406"/>
      <c r="CS49" s="648"/>
      <c r="CU49" s="98"/>
      <c r="CV49" s="98"/>
      <c r="CW49" s="98"/>
      <c r="CX49" s="98"/>
      <c r="DA49" s="647"/>
    </row>
    <row r="50" spans="1:105" s="97" customFormat="1" ht="12" customHeight="1" x14ac:dyDescent="0.2">
      <c r="A50" s="651"/>
      <c r="B50" s="537"/>
      <c r="C50" s="97" t="s">
        <v>35</v>
      </c>
      <c r="D50" s="278" t="s">
        <v>1132</v>
      </c>
      <c r="E50" s="647" t="s">
        <v>2108</v>
      </c>
      <c r="F50" s="397" t="s">
        <v>2109</v>
      </c>
      <c r="G50" s="98"/>
      <c r="I50" s="166"/>
      <c r="J50" s="571"/>
      <c r="K50" s="571"/>
      <c r="L50" s="493"/>
      <c r="M50" s="98"/>
      <c r="N50" s="493"/>
      <c r="O50" s="247" t="s">
        <v>19</v>
      </c>
      <c r="P50" s="247"/>
      <c r="Q50" s="98"/>
      <c r="R50" s="167"/>
      <c r="S50" s="167"/>
      <c r="T50" s="167"/>
      <c r="U50" s="393">
        <v>86</v>
      </c>
      <c r="V50" s="694"/>
      <c r="W50" s="711"/>
      <c r="X50" s="167"/>
      <c r="Y50" s="446"/>
      <c r="Z50" s="446"/>
      <c r="AA50" s="446"/>
      <c r="AB50" s="446"/>
      <c r="AC50" s="446"/>
      <c r="AD50" s="446"/>
      <c r="AE50" s="446"/>
      <c r="AF50" s="446"/>
      <c r="AG50" s="446"/>
      <c r="AH50" s="446"/>
      <c r="AI50" s="446"/>
      <c r="AJ50" s="446"/>
      <c r="AK50" s="446"/>
      <c r="AL50" s="446"/>
      <c r="AM50" s="446"/>
      <c r="AN50" s="446"/>
      <c r="AO50" s="446"/>
      <c r="AP50" s="446"/>
      <c r="AQ50" s="446"/>
      <c r="AR50" s="446"/>
      <c r="AS50" s="446"/>
      <c r="AT50" s="446"/>
      <c r="AU50" s="446"/>
      <c r="AV50" s="446"/>
      <c r="AW50" s="446"/>
      <c r="AX50" s="446"/>
      <c r="AY50" s="446"/>
      <c r="AZ50" s="446"/>
      <c r="BA50" s="446"/>
      <c r="BB50" s="446"/>
      <c r="BC50" s="446"/>
      <c r="BD50" s="446"/>
      <c r="BE50" s="444"/>
      <c r="BF50" s="444"/>
      <c r="BG50" s="446"/>
      <c r="BH50" s="446"/>
      <c r="BI50" s="446"/>
      <c r="BJ50" s="444"/>
      <c r="BK50" s="444"/>
      <c r="BL50" s="444"/>
      <c r="BM50" s="444"/>
      <c r="BN50" s="444"/>
      <c r="BO50" s="444"/>
      <c r="BP50" s="444"/>
      <c r="BQ50" s="446"/>
      <c r="BR50" s="446"/>
      <c r="BS50" s="442"/>
      <c r="BT50" s="271"/>
      <c r="BU50" s="271"/>
      <c r="BV50" s="454"/>
      <c r="BW50" s="454"/>
      <c r="BX50" s="756"/>
      <c r="BY50" s="850"/>
      <c r="BZ50" s="850"/>
      <c r="CA50" s="850"/>
      <c r="CB50" s="850"/>
      <c r="CC50" s="850"/>
      <c r="CD50" s="850"/>
      <c r="CE50" s="850"/>
      <c r="CF50" s="850"/>
      <c r="CG50" s="278"/>
      <c r="CH50" s="419" t="s">
        <v>2107</v>
      </c>
      <c r="CI50" s="404"/>
      <c r="CJ50" s="23"/>
      <c r="CK50" s="648"/>
      <c r="CL50" s="572"/>
      <c r="CM50" s="648"/>
      <c r="CN50" s="35"/>
      <c r="CO50" s="35"/>
      <c r="CP50" s="35"/>
      <c r="CQ50" s="35"/>
      <c r="CR50" s="406"/>
      <c r="CS50" s="648"/>
      <c r="CU50" s="98"/>
      <c r="CV50" s="98"/>
      <c r="CW50" s="98"/>
      <c r="CX50" s="98"/>
      <c r="DA50" s="647"/>
    </row>
    <row r="51" spans="1:105" s="97" customFormat="1" ht="12" customHeight="1" x14ac:dyDescent="0.2">
      <c r="A51" s="652"/>
      <c r="B51" s="469" t="s">
        <v>1825</v>
      </c>
      <c r="C51" s="390" t="s">
        <v>356</v>
      </c>
      <c r="D51" s="237" t="s">
        <v>1131</v>
      </c>
      <c r="E51" s="647" t="s">
        <v>14</v>
      </c>
      <c r="F51" s="647"/>
      <c r="G51" s="237"/>
      <c r="H51" s="186"/>
      <c r="I51" s="166">
        <v>2010</v>
      </c>
      <c r="J51" s="571">
        <v>2010</v>
      </c>
      <c r="K51" s="571"/>
      <c r="L51" s="494" t="s">
        <v>244</v>
      </c>
      <c r="M51" s="247" t="s">
        <v>1837</v>
      </c>
      <c r="N51" s="494" t="s">
        <v>783</v>
      </c>
      <c r="O51" s="247" t="s">
        <v>19</v>
      </c>
      <c r="P51" s="98">
        <v>15</v>
      </c>
      <c r="Q51" s="247">
        <v>49</v>
      </c>
      <c r="R51" s="552">
        <v>29.767617262462643</v>
      </c>
      <c r="S51" s="552"/>
      <c r="T51" s="552"/>
      <c r="U51" s="553">
        <v>10003</v>
      </c>
      <c r="V51" s="794"/>
      <c r="W51" s="712"/>
      <c r="X51" s="552">
        <v>1.6758663808503</v>
      </c>
      <c r="Y51" s="552">
        <v>7.6377086873937996</v>
      </c>
      <c r="Z51" s="552">
        <v>6.218134559632098</v>
      </c>
      <c r="AA51" s="552">
        <v>9.7570728781365599</v>
      </c>
      <c r="AB51" s="552">
        <v>9.7570728781365599</v>
      </c>
      <c r="AC51" s="555"/>
      <c r="AD51" s="555"/>
      <c r="AE51" s="552">
        <v>6.5480355893232041</v>
      </c>
      <c r="AF51" s="552">
        <v>5.0984704588623613</v>
      </c>
      <c r="AG51" s="554">
        <v>0.4099180163967201</v>
      </c>
      <c r="AH51" s="554">
        <v>0.35992801439712296</v>
      </c>
      <c r="AI51" s="555"/>
      <c r="AJ51" s="555"/>
      <c r="AK51" s="554">
        <v>0.18994301709487155</v>
      </c>
      <c r="AL51" s="554">
        <v>0.17994601619514194</v>
      </c>
      <c r="AM51" s="552">
        <v>8.7282543491301787</v>
      </c>
      <c r="AN51" s="552">
        <v>7.2285542891421857</v>
      </c>
      <c r="AO51" s="555"/>
      <c r="AP51" s="555"/>
      <c r="AQ51" s="552">
        <v>4.2287313805858151</v>
      </c>
      <c r="AR51" s="552">
        <v>3.5089473158052575</v>
      </c>
      <c r="AS51" s="552">
        <v>5.8188362327534602</v>
      </c>
      <c r="AT51" s="552">
        <v>4.7990401919616206</v>
      </c>
      <c r="AU51" s="552">
        <v>1.9394181745476409</v>
      </c>
      <c r="AV51" s="552">
        <v>1.6595021493552</v>
      </c>
      <c r="AW51" s="552">
        <v>0.52984104768569429</v>
      </c>
      <c r="AX51" s="554">
        <v>0.48985304408677366</v>
      </c>
      <c r="AY51" s="555"/>
      <c r="AZ51" s="555"/>
      <c r="BA51" s="552"/>
      <c r="BB51" s="552"/>
      <c r="BC51" s="555"/>
      <c r="BD51" s="555"/>
      <c r="BE51" s="552"/>
      <c r="BF51" s="552"/>
      <c r="BG51" s="552"/>
      <c r="BH51" s="552"/>
      <c r="BI51" s="552">
        <v>11.24662601219627</v>
      </c>
      <c r="BJ51" s="552">
        <v>9.4171748475457271</v>
      </c>
      <c r="BK51" s="552"/>
      <c r="BL51" s="552"/>
      <c r="BM51" s="552">
        <v>1.419716056788646</v>
      </c>
      <c r="BN51" s="552">
        <v>1.2697460507898353</v>
      </c>
      <c r="BO51" s="554">
        <v>0.23997600239975972</v>
      </c>
      <c r="BP51" s="554">
        <v>0.2199780021997797</v>
      </c>
      <c r="BQ51" s="552"/>
      <c r="BR51" s="42"/>
      <c r="BS51" s="42"/>
      <c r="BT51" s="42"/>
      <c r="BU51" s="42">
        <v>12</v>
      </c>
      <c r="BV51" s="42"/>
      <c r="BW51" s="42"/>
      <c r="BX51" s="758"/>
      <c r="BY51" s="851"/>
      <c r="BZ51" s="851"/>
      <c r="CA51" s="851"/>
      <c r="CB51" s="851"/>
      <c r="CC51" s="851"/>
      <c r="CD51" s="851"/>
      <c r="CE51" s="851"/>
      <c r="CF51" s="851"/>
      <c r="CH51" s="647"/>
      <c r="CK51" s="647"/>
      <c r="CL51" s="469" t="s">
        <v>1841</v>
      </c>
      <c r="CM51" s="556" t="s">
        <v>1158</v>
      </c>
      <c r="CR51" s="638"/>
      <c r="CS51" s="647"/>
      <c r="CU51" s="98"/>
      <c r="CV51" s="98"/>
      <c r="CW51" s="98"/>
      <c r="CX51" s="98"/>
      <c r="DA51" s="647"/>
    </row>
    <row r="52" spans="1:105" s="97" customFormat="1" ht="12" customHeight="1" x14ac:dyDescent="0.2">
      <c r="A52" s="651"/>
      <c r="B52" s="537"/>
      <c r="C52" s="97" t="s">
        <v>134</v>
      </c>
      <c r="D52" s="278" t="s">
        <v>1131</v>
      </c>
      <c r="E52" s="647" t="s">
        <v>871</v>
      </c>
      <c r="F52" s="647"/>
      <c r="G52" s="98"/>
      <c r="I52" s="166">
        <v>1999</v>
      </c>
      <c r="J52" s="571"/>
      <c r="K52" s="571"/>
      <c r="L52" s="493"/>
      <c r="M52" s="98" t="s">
        <v>17</v>
      </c>
      <c r="N52" s="493"/>
      <c r="O52" s="247"/>
      <c r="P52" s="247"/>
      <c r="Q52" s="98"/>
      <c r="R52" s="167"/>
      <c r="S52" s="167"/>
      <c r="T52" s="167"/>
      <c r="U52" s="393">
        <v>999999999</v>
      </c>
      <c r="V52" s="694"/>
      <c r="W52" s="711"/>
      <c r="X52" s="167"/>
      <c r="Y52" s="446"/>
      <c r="Z52" s="446"/>
      <c r="AA52" s="446"/>
      <c r="AB52" s="446"/>
      <c r="AC52" s="446"/>
      <c r="AD52" s="446"/>
      <c r="AE52" s="446"/>
      <c r="AF52" s="446"/>
      <c r="AG52" s="446"/>
      <c r="AH52" s="446"/>
      <c r="AI52" s="446"/>
      <c r="AJ52" s="446"/>
      <c r="AK52" s="446"/>
      <c r="AL52" s="446"/>
      <c r="AM52" s="446"/>
      <c r="AN52" s="446"/>
      <c r="AO52" s="446"/>
      <c r="AP52" s="446"/>
      <c r="AQ52" s="446"/>
      <c r="AR52" s="446"/>
      <c r="AS52" s="446"/>
      <c r="AT52" s="446"/>
      <c r="AU52" s="446"/>
      <c r="AV52" s="446"/>
      <c r="AW52" s="446"/>
      <c r="AX52" s="446"/>
      <c r="AY52" s="446"/>
      <c r="AZ52" s="446"/>
      <c r="BA52" s="446"/>
      <c r="BB52" s="446"/>
      <c r="BC52" s="446"/>
      <c r="BD52" s="446"/>
      <c r="BE52" s="446"/>
      <c r="BF52" s="446"/>
      <c r="BG52" s="446"/>
      <c r="BH52" s="446"/>
      <c r="BI52" s="442"/>
      <c r="BJ52" s="446"/>
      <c r="BK52" s="446"/>
      <c r="BL52" s="446"/>
      <c r="BM52" s="446"/>
      <c r="BN52" s="446"/>
      <c r="BO52" s="446"/>
      <c r="BP52" s="446"/>
      <c r="BQ52" s="444"/>
      <c r="BR52" s="445"/>
      <c r="BS52" s="442">
        <f>42*0.91</f>
        <v>38.22</v>
      </c>
      <c r="BT52" s="271"/>
      <c r="BU52" s="271"/>
      <c r="BV52" s="454"/>
      <c r="BW52" s="454"/>
      <c r="BX52" s="756"/>
      <c r="BY52" s="850"/>
      <c r="BZ52" s="850"/>
      <c r="CA52" s="850"/>
      <c r="CB52" s="850"/>
      <c r="CC52" s="850"/>
      <c r="CD52" s="850"/>
      <c r="CE52" s="850"/>
      <c r="CF52" s="850"/>
      <c r="CG52" s="278" t="s">
        <v>775</v>
      </c>
      <c r="CH52" s="419" t="s">
        <v>872</v>
      </c>
      <c r="CI52" s="404">
        <v>40994</v>
      </c>
      <c r="CJ52" s="23" t="s">
        <v>875</v>
      </c>
      <c r="CK52" s="648" t="s">
        <v>1089</v>
      </c>
      <c r="CL52" s="572"/>
      <c r="CM52" s="648"/>
      <c r="CN52" s="35"/>
      <c r="CO52" s="35"/>
      <c r="CP52" s="35"/>
      <c r="CQ52" s="35"/>
      <c r="CR52" s="406"/>
      <c r="CS52" s="648"/>
      <c r="CU52" s="98"/>
      <c r="CV52" s="98"/>
      <c r="CW52" s="98"/>
      <c r="CX52" s="98"/>
      <c r="DA52" s="647"/>
    </row>
    <row r="53" spans="1:105" s="97" customFormat="1" ht="12" customHeight="1" x14ac:dyDescent="0.2">
      <c r="A53" s="652"/>
      <c r="B53" s="469" t="s">
        <v>1787</v>
      </c>
      <c r="C53" s="390" t="s">
        <v>136</v>
      </c>
      <c r="D53" s="237" t="s">
        <v>1131</v>
      </c>
      <c r="E53" s="647" t="s">
        <v>14</v>
      </c>
      <c r="F53" s="647"/>
      <c r="G53" s="237"/>
      <c r="H53" s="186"/>
      <c r="I53" s="166">
        <v>2004</v>
      </c>
      <c r="J53" s="571">
        <v>2004</v>
      </c>
      <c r="K53" s="571"/>
      <c r="L53" s="494" t="s">
        <v>244</v>
      </c>
      <c r="M53" s="247" t="s">
        <v>1837</v>
      </c>
      <c r="N53" s="494" t="s">
        <v>783</v>
      </c>
      <c r="O53" s="247" t="s">
        <v>19</v>
      </c>
      <c r="P53" s="98">
        <v>15</v>
      </c>
      <c r="Q53" s="247">
        <v>49</v>
      </c>
      <c r="R53" s="552">
        <v>28.392510915414835</v>
      </c>
      <c r="S53" s="552"/>
      <c r="T53" s="552"/>
      <c r="U53" s="553">
        <v>2573</v>
      </c>
      <c r="V53" s="794"/>
      <c r="W53" s="712"/>
      <c r="X53" s="552">
        <v>5.5973313565604146</v>
      </c>
      <c r="Y53" s="552">
        <v>21.220365332296936</v>
      </c>
      <c r="Z53" s="552">
        <v>13.989637305699484</v>
      </c>
      <c r="AA53" s="552">
        <v>30.742324135250676</v>
      </c>
      <c r="AB53" s="552">
        <v>21.658615136876016</v>
      </c>
      <c r="AC53" s="555"/>
      <c r="AD53" s="555"/>
      <c r="AE53" s="552">
        <v>20.606531881804063</v>
      </c>
      <c r="AF53" s="552">
        <v>14.444886589733393</v>
      </c>
      <c r="AG53" s="552">
        <v>1.7113963438350872</v>
      </c>
      <c r="AH53" s="552">
        <v>0.89843749999999878</v>
      </c>
      <c r="AI53" s="555"/>
      <c r="AJ53" s="555"/>
      <c r="AK53" s="552">
        <v>0.73872472783825816</v>
      </c>
      <c r="AL53" s="552">
        <v>0.35087719298245629</v>
      </c>
      <c r="AM53" s="552">
        <v>32.996502137582588</v>
      </c>
      <c r="AN53" s="552">
        <v>18.98632341110212</v>
      </c>
      <c r="AO53" s="555"/>
      <c r="AP53" s="555"/>
      <c r="AQ53" s="552">
        <v>19.595645412130636</v>
      </c>
      <c r="AR53" s="552">
        <v>10.863509749303617</v>
      </c>
      <c r="AS53" s="552">
        <v>17.107309486780743</v>
      </c>
      <c r="AT53" s="552">
        <v>9.282030940103132</v>
      </c>
      <c r="AU53" s="552">
        <v>10.182666148464818</v>
      </c>
      <c r="AV53" s="552">
        <v>5.298536971134828</v>
      </c>
      <c r="AW53" s="552">
        <v>2.9148853478429819</v>
      </c>
      <c r="AX53" s="552">
        <v>1.5667841754798262</v>
      </c>
      <c r="AY53" s="555"/>
      <c r="AZ53" s="555"/>
      <c r="BA53" s="552"/>
      <c r="BB53" s="552"/>
      <c r="BC53" s="555"/>
      <c r="BD53" s="555"/>
      <c r="BE53" s="552"/>
      <c r="BF53" s="552"/>
      <c r="BG53" s="552"/>
      <c r="BH53" s="552"/>
      <c r="BI53" s="552">
        <v>38.631947143412376</v>
      </c>
      <c r="BJ53" s="552">
        <v>22.663551401869256</v>
      </c>
      <c r="BK53" s="552"/>
      <c r="BL53" s="552"/>
      <c r="BM53" s="552">
        <v>14.269051321928444</v>
      </c>
      <c r="BN53" s="552">
        <v>9.8814229249012104</v>
      </c>
      <c r="BO53" s="552">
        <v>3.3048211508553678</v>
      </c>
      <c r="BP53" s="552">
        <v>2.4618991793669385</v>
      </c>
      <c r="BQ53" s="552"/>
      <c r="BR53" s="42"/>
      <c r="BS53" s="42"/>
      <c r="BT53" s="42"/>
      <c r="BU53" s="42">
        <v>12</v>
      </c>
      <c r="BV53" s="42"/>
      <c r="BW53" s="42"/>
      <c r="BX53" s="758"/>
      <c r="BY53" s="851"/>
      <c r="BZ53" s="851"/>
      <c r="CA53" s="851"/>
      <c r="CB53" s="851"/>
      <c r="CC53" s="851"/>
      <c r="CD53" s="851"/>
      <c r="CE53" s="851"/>
      <c r="CF53" s="851"/>
      <c r="CH53" s="647"/>
      <c r="CK53" s="647"/>
      <c r="CL53" s="469" t="s">
        <v>1841</v>
      </c>
      <c r="CM53" s="647"/>
      <c r="CR53" s="638"/>
      <c r="CS53" s="647"/>
      <c r="CU53" s="98"/>
      <c r="CV53" s="98"/>
      <c r="CW53" s="98"/>
      <c r="CX53" s="98"/>
      <c r="DA53" s="647"/>
    </row>
    <row r="54" spans="1:105" s="97" customFormat="1" ht="12" customHeight="1" x14ac:dyDescent="0.2">
      <c r="A54" s="651"/>
      <c r="B54" s="537"/>
      <c r="C54" s="390" t="s">
        <v>136</v>
      </c>
      <c r="D54" s="237" t="s">
        <v>1131</v>
      </c>
      <c r="E54" s="647" t="s">
        <v>14</v>
      </c>
      <c r="F54" s="647"/>
      <c r="G54" s="237"/>
      <c r="H54" s="186"/>
      <c r="I54" s="533">
        <v>2009</v>
      </c>
      <c r="J54" s="390"/>
      <c r="K54" s="390"/>
      <c r="L54" s="493" t="s">
        <v>628</v>
      </c>
      <c r="M54" s="247" t="s">
        <v>18</v>
      </c>
      <c r="N54" s="493"/>
      <c r="O54" s="247"/>
      <c r="P54" s="247"/>
      <c r="Q54" s="247"/>
      <c r="R54" s="291"/>
      <c r="S54" s="291"/>
      <c r="T54" s="291"/>
      <c r="U54" s="395">
        <v>624</v>
      </c>
      <c r="V54" s="794"/>
      <c r="W54" s="712"/>
      <c r="X54" s="254"/>
      <c r="Y54" s="447"/>
      <c r="Z54" s="447"/>
      <c r="AA54" s="447"/>
      <c r="AB54" s="447"/>
      <c r="AC54" s="447"/>
      <c r="AD54" s="447"/>
      <c r="AE54" s="447"/>
      <c r="AF54" s="447"/>
      <c r="AG54" s="447"/>
      <c r="AH54" s="447"/>
      <c r="AI54" s="447"/>
      <c r="AJ54" s="447"/>
      <c r="AK54" s="447"/>
      <c r="AL54" s="447"/>
      <c r="AM54" s="447"/>
      <c r="AN54" s="447"/>
      <c r="AO54" s="447"/>
      <c r="AP54" s="447"/>
      <c r="AQ54" s="447"/>
      <c r="AR54" s="447"/>
      <c r="AS54" s="447"/>
      <c r="AT54" s="447"/>
      <c r="AU54" s="447"/>
      <c r="AV54" s="447"/>
      <c r="AW54" s="447"/>
      <c r="AX54" s="447"/>
      <c r="AY54" s="447"/>
      <c r="AZ54" s="447"/>
      <c r="BA54" s="447"/>
      <c r="BB54" s="447"/>
      <c r="BC54" s="447"/>
      <c r="BD54" s="447"/>
      <c r="BE54" s="447"/>
      <c r="BF54" s="447"/>
      <c r="BG54" s="447"/>
      <c r="BH54" s="447"/>
      <c r="BI54" s="442">
        <v>25</v>
      </c>
      <c r="BJ54" s="447"/>
      <c r="BK54" s="447"/>
      <c r="BL54" s="447"/>
      <c r="BM54" s="447"/>
      <c r="BN54" s="447"/>
      <c r="BO54" s="447"/>
      <c r="BP54" s="447"/>
      <c r="BQ54" s="447"/>
      <c r="BR54" s="447"/>
      <c r="BS54" s="447"/>
      <c r="BT54" s="447"/>
      <c r="BU54" s="447"/>
      <c r="BV54" s="550"/>
      <c r="BW54" s="550"/>
      <c r="BX54" s="756"/>
      <c r="BY54" s="850"/>
      <c r="BZ54" s="850"/>
      <c r="CA54" s="850"/>
      <c r="CB54" s="850"/>
      <c r="CC54" s="850"/>
      <c r="CD54" s="850"/>
      <c r="CE54" s="850"/>
      <c r="CF54" s="850"/>
      <c r="CG54" s="237" t="s">
        <v>246</v>
      </c>
      <c r="CH54" s="419" t="s">
        <v>690</v>
      </c>
      <c r="CI54" s="404">
        <v>40513</v>
      </c>
      <c r="CJ54" s="23"/>
      <c r="CK54" s="417" t="s">
        <v>1042</v>
      </c>
      <c r="CL54" s="417" t="s">
        <v>1532</v>
      </c>
      <c r="CM54" s="648"/>
      <c r="CN54" s="35"/>
      <c r="CO54" s="35"/>
      <c r="CP54" s="35"/>
      <c r="CQ54" s="35"/>
      <c r="CR54" s="406"/>
      <c r="CS54" s="648"/>
      <c r="CU54" s="98"/>
      <c r="CV54" s="98"/>
      <c r="CW54" s="98"/>
      <c r="CX54" s="98"/>
      <c r="DA54" s="647"/>
    </row>
    <row r="55" spans="1:105" s="97" customFormat="1" ht="12" customHeight="1" x14ac:dyDescent="0.2">
      <c r="A55" s="652"/>
      <c r="B55" s="558"/>
      <c r="C55" s="390" t="s">
        <v>136</v>
      </c>
      <c r="D55" s="237" t="s">
        <v>1131</v>
      </c>
      <c r="E55" s="647" t="s">
        <v>14</v>
      </c>
      <c r="F55" s="647"/>
      <c r="G55" s="237"/>
      <c r="H55" s="186"/>
      <c r="I55" s="533">
        <v>2011</v>
      </c>
      <c r="J55" s="390"/>
      <c r="K55" s="390"/>
      <c r="L55" s="494" t="s">
        <v>244</v>
      </c>
      <c r="M55" s="237" t="s">
        <v>17</v>
      </c>
      <c r="N55" s="494" t="s">
        <v>783</v>
      </c>
      <c r="O55" s="247" t="s">
        <v>19</v>
      </c>
      <c r="P55" s="247"/>
      <c r="Q55" s="247"/>
      <c r="R55" s="291"/>
      <c r="S55" s="291"/>
      <c r="T55" s="291"/>
      <c r="U55" s="397"/>
      <c r="V55" s="694"/>
      <c r="W55" s="713"/>
      <c r="X55" s="277"/>
      <c r="Y55" s="559"/>
      <c r="Z55" s="559"/>
      <c r="AA55" s="559"/>
      <c r="AB55" s="559"/>
      <c r="AC55" s="559"/>
      <c r="AD55" s="559"/>
      <c r="AE55" s="559"/>
      <c r="AF55" s="559"/>
      <c r="AG55" s="559"/>
      <c r="AH55" s="559"/>
      <c r="AI55" s="559"/>
      <c r="AJ55" s="559"/>
      <c r="AK55" s="559"/>
      <c r="AL55" s="559"/>
      <c r="AM55" s="559"/>
      <c r="AN55" s="559"/>
      <c r="AO55" s="559"/>
      <c r="AP55" s="559"/>
      <c r="AQ55" s="559"/>
      <c r="AR55" s="559"/>
      <c r="AS55" s="559"/>
      <c r="AT55" s="559"/>
      <c r="AU55" s="559"/>
      <c r="AV55" s="559"/>
      <c r="AW55" s="559"/>
      <c r="AX55" s="559"/>
      <c r="AY55" s="559"/>
      <c r="AZ55" s="559"/>
      <c r="BA55" s="559"/>
      <c r="BB55" s="559"/>
      <c r="BC55" s="559"/>
      <c r="BD55" s="559"/>
      <c r="BE55" s="442"/>
      <c r="BF55" s="442"/>
      <c r="BG55" s="559"/>
      <c r="BH55" s="559"/>
      <c r="BI55" s="442"/>
      <c r="BJ55" s="442"/>
      <c r="BK55" s="442"/>
      <c r="BL55" s="442"/>
      <c r="BM55" s="442"/>
      <c r="BN55" s="442"/>
      <c r="BO55" s="442"/>
      <c r="BP55" s="442"/>
      <c r="BQ55" s="442"/>
      <c r="BR55" s="442"/>
      <c r="BS55" s="550"/>
      <c r="BT55" s="550"/>
      <c r="BU55" s="550"/>
      <c r="BV55" s="550"/>
      <c r="BW55" s="550"/>
      <c r="BX55" s="757"/>
      <c r="BY55" s="850"/>
      <c r="BZ55" s="850"/>
      <c r="CA55" s="850"/>
      <c r="CB55" s="850"/>
      <c r="CC55" s="850"/>
      <c r="CD55" s="850"/>
      <c r="CE55" s="850"/>
      <c r="CF55" s="850"/>
      <c r="CG55" s="237"/>
      <c r="CH55" s="556" t="s">
        <v>1158</v>
      </c>
      <c r="CI55" s="560"/>
      <c r="CJ55" s="98"/>
      <c r="CK55" s="556"/>
      <c r="CL55" s="494"/>
      <c r="CM55" s="699"/>
      <c r="CN55" s="571"/>
      <c r="CO55" s="571"/>
      <c r="CP55" s="571"/>
      <c r="CQ55" s="571"/>
      <c r="CR55" s="638"/>
      <c r="CS55" s="699"/>
      <c r="CU55" s="98"/>
      <c r="CV55" s="98"/>
      <c r="CW55" s="98"/>
      <c r="CX55" s="98"/>
      <c r="DA55" s="647"/>
    </row>
    <row r="56" spans="1:105" s="97" customFormat="1" ht="12" customHeight="1" x14ac:dyDescent="0.2">
      <c r="A56" s="651"/>
      <c r="B56" s="537"/>
      <c r="C56" s="97" t="s">
        <v>62</v>
      </c>
      <c r="D56" s="169" t="s">
        <v>422</v>
      </c>
      <c r="E56" s="647" t="s">
        <v>14</v>
      </c>
      <c r="F56" s="647"/>
      <c r="G56" s="98"/>
      <c r="I56" s="166">
        <v>1993</v>
      </c>
      <c r="J56" s="571"/>
      <c r="K56" s="571"/>
      <c r="L56" s="493"/>
      <c r="M56" s="98" t="s">
        <v>17</v>
      </c>
      <c r="N56" s="493"/>
      <c r="O56" s="247" t="s">
        <v>19</v>
      </c>
      <c r="P56" s="247"/>
      <c r="Q56" s="237"/>
      <c r="R56" s="254"/>
      <c r="S56" s="254"/>
      <c r="T56" s="254"/>
      <c r="U56" s="393">
        <v>12300</v>
      </c>
      <c r="V56" s="694"/>
      <c r="W56" s="711"/>
      <c r="X56" s="167"/>
      <c r="Y56" s="446"/>
      <c r="Z56" s="446"/>
      <c r="AA56" s="446"/>
      <c r="AB56" s="446"/>
      <c r="AC56" s="446"/>
      <c r="AD56" s="446"/>
      <c r="AE56" s="446"/>
      <c r="AF56" s="446"/>
      <c r="AG56" s="446"/>
      <c r="AH56" s="446"/>
      <c r="AI56" s="446"/>
      <c r="AJ56" s="446"/>
      <c r="AK56" s="446"/>
      <c r="AL56" s="446"/>
      <c r="AM56" s="446"/>
      <c r="AN56" s="446"/>
      <c r="AO56" s="446"/>
      <c r="AP56" s="446"/>
      <c r="AQ56" s="446"/>
      <c r="AR56" s="446"/>
      <c r="AS56" s="446"/>
      <c r="AT56" s="446"/>
      <c r="AU56" s="446"/>
      <c r="AV56" s="446"/>
      <c r="AW56" s="446"/>
      <c r="AX56" s="446"/>
      <c r="AY56" s="446"/>
      <c r="AZ56" s="446"/>
      <c r="BA56" s="446"/>
      <c r="BB56" s="446"/>
      <c r="BC56" s="446"/>
      <c r="BD56" s="446"/>
      <c r="BE56" s="445"/>
      <c r="BF56" s="445"/>
      <c r="BG56" s="446"/>
      <c r="BH56" s="446"/>
      <c r="BI56" s="442">
        <v>29</v>
      </c>
      <c r="BJ56" s="445">
        <v>3</v>
      </c>
      <c r="BK56" s="445"/>
      <c r="BL56" s="445"/>
      <c r="BM56" s="445"/>
      <c r="BN56" s="445"/>
      <c r="BO56" s="445"/>
      <c r="BP56" s="445"/>
      <c r="BQ56" s="444"/>
      <c r="BR56" s="444"/>
      <c r="BS56" s="442"/>
      <c r="BT56" s="445"/>
      <c r="BU56" s="445"/>
      <c r="BV56" s="445"/>
      <c r="BW56" s="445"/>
      <c r="BX56" s="756"/>
      <c r="BY56" s="850"/>
      <c r="BZ56" s="850"/>
      <c r="CA56" s="850"/>
      <c r="CB56" s="850"/>
      <c r="CC56" s="850"/>
      <c r="CD56" s="850"/>
      <c r="CE56" s="850"/>
      <c r="CF56" s="850"/>
      <c r="CG56" s="169" t="s">
        <v>523</v>
      </c>
      <c r="CH56" s="417"/>
      <c r="CI56" s="406"/>
      <c r="CJ56" s="23"/>
      <c r="CK56" s="426" t="s">
        <v>1041</v>
      </c>
      <c r="CL56" s="572"/>
      <c r="CM56" s="648"/>
      <c r="CN56" s="35"/>
      <c r="CO56" s="35"/>
      <c r="CP56" s="35"/>
      <c r="CQ56" s="35"/>
      <c r="CR56" s="406"/>
      <c r="CS56" s="648"/>
      <c r="CU56" s="98"/>
      <c r="CV56" s="98"/>
      <c r="CW56" s="98"/>
      <c r="CX56" s="98"/>
      <c r="DA56" s="647"/>
    </row>
    <row r="57" spans="1:105" s="97" customFormat="1" ht="12" customHeight="1" x14ac:dyDescent="0.2">
      <c r="A57" s="651"/>
      <c r="B57" s="537"/>
      <c r="C57" s="97" t="s">
        <v>62</v>
      </c>
      <c r="D57" s="169" t="s">
        <v>422</v>
      </c>
      <c r="E57" s="647" t="s">
        <v>14</v>
      </c>
      <c r="F57" s="647"/>
      <c r="G57" s="98"/>
      <c r="I57" s="166">
        <v>1999</v>
      </c>
      <c r="J57" s="571"/>
      <c r="K57" s="571"/>
      <c r="L57" s="493"/>
      <c r="M57" s="98" t="s">
        <v>15</v>
      </c>
      <c r="N57" s="493"/>
      <c r="O57" s="247" t="s">
        <v>19</v>
      </c>
      <c r="P57" s="247"/>
      <c r="Q57" s="98"/>
      <c r="R57" s="167"/>
      <c r="S57" s="167"/>
      <c r="T57" s="167"/>
      <c r="U57" s="393">
        <v>8356</v>
      </c>
      <c r="V57" s="694"/>
      <c r="W57" s="711"/>
      <c r="X57" s="167"/>
      <c r="Y57" s="446"/>
      <c r="Z57" s="446"/>
      <c r="AA57" s="446"/>
      <c r="AB57" s="446"/>
      <c r="AC57" s="446"/>
      <c r="AD57" s="446"/>
      <c r="AE57" s="446"/>
      <c r="AF57" s="446"/>
      <c r="AG57" s="446"/>
      <c r="AH57" s="446"/>
      <c r="AI57" s="446"/>
      <c r="AJ57" s="446"/>
      <c r="AK57" s="446"/>
      <c r="AL57" s="446"/>
      <c r="AM57" s="446"/>
      <c r="AN57" s="446"/>
      <c r="AO57" s="446"/>
      <c r="AP57" s="446"/>
      <c r="AQ57" s="446"/>
      <c r="AR57" s="446"/>
      <c r="AS57" s="446"/>
      <c r="AT57" s="446"/>
      <c r="AU57" s="446"/>
      <c r="AV57" s="446"/>
      <c r="AW57" s="446"/>
      <c r="AX57" s="446"/>
      <c r="AY57" s="446"/>
      <c r="AZ57" s="446"/>
      <c r="BA57" s="446"/>
      <c r="BB57" s="446"/>
      <c r="BC57" s="446"/>
      <c r="BD57" s="446"/>
      <c r="BE57" s="445"/>
      <c r="BF57" s="445"/>
      <c r="BG57" s="446"/>
      <c r="BH57" s="446"/>
      <c r="BI57" s="442">
        <v>8</v>
      </c>
      <c r="BJ57" s="445">
        <v>3</v>
      </c>
      <c r="BK57" s="445"/>
      <c r="BL57" s="445"/>
      <c r="BM57" s="445"/>
      <c r="BN57" s="445"/>
      <c r="BO57" s="445"/>
      <c r="BP57" s="445"/>
      <c r="BQ57" s="444"/>
      <c r="BR57" s="444"/>
      <c r="BS57" s="442"/>
      <c r="BT57" s="445"/>
      <c r="BU57" s="445"/>
      <c r="BV57" s="445"/>
      <c r="BW57" s="445"/>
      <c r="BX57" s="756"/>
      <c r="BY57" s="850"/>
      <c r="BZ57" s="850"/>
      <c r="CA57" s="850"/>
      <c r="CB57" s="850"/>
      <c r="CC57" s="850"/>
      <c r="CD57" s="850"/>
      <c r="CE57" s="850"/>
      <c r="CF57" s="850"/>
      <c r="CG57" s="169" t="s">
        <v>523</v>
      </c>
      <c r="CH57" s="417"/>
      <c r="CI57" s="406"/>
      <c r="CJ57" s="23"/>
      <c r="CK57" s="426" t="s">
        <v>1041</v>
      </c>
      <c r="CL57" s="572"/>
      <c r="CM57" s="648"/>
      <c r="CN57" s="35"/>
      <c r="CO57" s="35"/>
      <c r="CP57" s="35"/>
      <c r="CQ57" s="35"/>
      <c r="CR57" s="406"/>
      <c r="CS57" s="648"/>
      <c r="CU57" s="98"/>
      <c r="CV57" s="98"/>
      <c r="CW57" s="98"/>
      <c r="CX57" s="98"/>
      <c r="DA57" s="647"/>
    </row>
    <row r="58" spans="1:105" s="97" customFormat="1" ht="12" customHeight="1" x14ac:dyDescent="0.2">
      <c r="A58" s="651"/>
      <c r="B58" s="537"/>
      <c r="C58" s="186" t="s">
        <v>62</v>
      </c>
      <c r="D58" s="237" t="s">
        <v>422</v>
      </c>
      <c r="E58" s="647" t="s">
        <v>14</v>
      </c>
      <c r="F58" s="647"/>
      <c r="G58" s="98"/>
      <c r="I58" s="166">
        <v>2004</v>
      </c>
      <c r="J58" s="571"/>
      <c r="K58" s="571"/>
      <c r="L58" s="493"/>
      <c r="M58" s="237" t="s">
        <v>18</v>
      </c>
      <c r="N58" s="493"/>
      <c r="O58" s="247" t="s">
        <v>19</v>
      </c>
      <c r="P58" s="247"/>
      <c r="Q58" s="98"/>
      <c r="R58" s="167"/>
      <c r="S58" s="167"/>
      <c r="T58" s="167"/>
      <c r="U58" s="393"/>
      <c r="V58" s="694"/>
      <c r="W58" s="711"/>
      <c r="X58" s="167"/>
      <c r="Y58" s="446"/>
      <c r="Z58" s="446"/>
      <c r="AA58" s="446"/>
      <c r="AB58" s="446"/>
      <c r="AC58" s="446"/>
      <c r="AD58" s="446"/>
      <c r="AE58" s="446"/>
      <c r="AF58" s="446"/>
      <c r="AG58" s="446"/>
      <c r="AH58" s="446"/>
      <c r="AI58" s="446"/>
      <c r="AJ58" s="446"/>
      <c r="AK58" s="446"/>
      <c r="AL58" s="446"/>
      <c r="AM58" s="446"/>
      <c r="AN58" s="446"/>
      <c r="AO58" s="446"/>
      <c r="AP58" s="446"/>
      <c r="AQ58" s="446"/>
      <c r="AR58" s="446"/>
      <c r="AS58" s="446"/>
      <c r="AT58" s="446"/>
      <c r="AU58" s="446"/>
      <c r="AV58" s="446"/>
      <c r="AW58" s="446"/>
      <c r="AX58" s="446"/>
      <c r="AY58" s="446"/>
      <c r="AZ58" s="446"/>
      <c r="BA58" s="446"/>
      <c r="BB58" s="446"/>
      <c r="BC58" s="446"/>
      <c r="BD58" s="446"/>
      <c r="BE58" s="271"/>
      <c r="BF58" s="271"/>
      <c r="BG58" s="446"/>
      <c r="BH58" s="446"/>
      <c r="BI58" s="271"/>
      <c r="BJ58" s="271"/>
      <c r="BK58" s="271"/>
      <c r="BL58" s="271"/>
      <c r="BM58" s="271"/>
      <c r="BN58" s="271"/>
      <c r="BO58" s="271"/>
      <c r="BP58" s="271"/>
      <c r="BQ58" s="442">
        <v>7</v>
      </c>
      <c r="BR58" s="445">
        <v>2</v>
      </c>
      <c r="BS58" s="271"/>
      <c r="BT58" s="271"/>
      <c r="BU58" s="271"/>
      <c r="BV58" s="454"/>
      <c r="BW58" s="454"/>
      <c r="BX58" s="756"/>
      <c r="BY58" s="850"/>
      <c r="BZ58" s="850"/>
      <c r="CA58" s="850"/>
      <c r="CB58" s="850"/>
      <c r="CC58" s="850"/>
      <c r="CD58" s="850"/>
      <c r="CE58" s="850"/>
      <c r="CF58" s="850"/>
      <c r="CG58" s="237" t="s">
        <v>770</v>
      </c>
      <c r="CH58" s="419" t="s">
        <v>1049</v>
      </c>
      <c r="CI58" s="406"/>
      <c r="CJ58" s="23"/>
      <c r="CK58" s="417" t="s">
        <v>1065</v>
      </c>
      <c r="CL58" s="572"/>
      <c r="CM58" s="648"/>
      <c r="CN58" s="35"/>
      <c r="CO58" s="35"/>
      <c r="CP58" s="35"/>
      <c r="CQ58" s="35"/>
      <c r="CR58" s="406"/>
      <c r="CS58" s="648"/>
      <c r="CU58" s="98"/>
      <c r="CV58" s="98"/>
      <c r="CW58" s="98"/>
      <c r="CX58" s="98"/>
      <c r="DA58" s="647"/>
    </row>
    <row r="59" spans="1:105" s="97" customFormat="1" ht="12" customHeight="1" x14ac:dyDescent="0.2">
      <c r="A59" s="651"/>
      <c r="B59" s="537"/>
      <c r="C59" s="186" t="s">
        <v>62</v>
      </c>
      <c r="D59" s="169" t="s">
        <v>422</v>
      </c>
      <c r="E59" s="647" t="s">
        <v>863</v>
      </c>
      <c r="F59" s="647"/>
      <c r="G59" s="98"/>
      <c r="I59" s="166">
        <v>2004</v>
      </c>
      <c r="J59" s="571"/>
      <c r="K59" s="571"/>
      <c r="L59" s="493"/>
      <c r="M59" s="98" t="s">
        <v>15</v>
      </c>
      <c r="N59" s="493"/>
      <c r="O59" s="247" t="s">
        <v>19</v>
      </c>
      <c r="P59" s="247"/>
      <c r="Q59" s="98"/>
      <c r="R59" s="167"/>
      <c r="S59" s="167"/>
      <c r="T59" s="167"/>
      <c r="U59" s="393">
        <v>2120</v>
      </c>
      <c r="V59" s="694"/>
      <c r="W59" s="711"/>
      <c r="X59" s="167"/>
      <c r="Y59" s="446"/>
      <c r="Z59" s="446"/>
      <c r="AA59" s="446"/>
      <c r="AB59" s="446"/>
      <c r="AC59" s="446"/>
      <c r="AD59" s="446"/>
      <c r="AE59" s="446"/>
      <c r="AF59" s="446"/>
      <c r="AG59" s="446"/>
      <c r="AH59" s="446"/>
      <c r="AI59" s="446"/>
      <c r="AJ59" s="446"/>
      <c r="AK59" s="446"/>
      <c r="AL59" s="446"/>
      <c r="AM59" s="446"/>
      <c r="AN59" s="446"/>
      <c r="AO59" s="446"/>
      <c r="AP59" s="446"/>
      <c r="AQ59" s="446"/>
      <c r="AR59" s="446"/>
      <c r="AS59" s="446"/>
      <c r="AT59" s="446"/>
      <c r="AU59" s="446"/>
      <c r="AV59" s="446"/>
      <c r="AW59" s="446"/>
      <c r="AX59" s="446"/>
      <c r="AY59" s="446"/>
      <c r="AZ59" s="446"/>
      <c r="BA59" s="446"/>
      <c r="BB59" s="446"/>
      <c r="BC59" s="446"/>
      <c r="BD59" s="446"/>
      <c r="BE59" s="445"/>
      <c r="BF59" s="445"/>
      <c r="BG59" s="446"/>
      <c r="BH59" s="446"/>
      <c r="BI59" s="445">
        <v>6.1</v>
      </c>
      <c r="BJ59" s="445"/>
      <c r="BK59" s="445"/>
      <c r="BL59" s="445"/>
      <c r="BM59" s="445"/>
      <c r="BN59" s="445"/>
      <c r="BO59" s="445"/>
      <c r="BP59" s="445"/>
      <c r="BQ59" s="444"/>
      <c r="BR59" s="444"/>
      <c r="BS59" s="446"/>
      <c r="BT59" s="446"/>
      <c r="BU59" s="446"/>
      <c r="BV59" s="442"/>
      <c r="BW59" s="442"/>
      <c r="BX59" s="756"/>
      <c r="BY59" s="850"/>
      <c r="BZ59" s="850"/>
      <c r="CA59" s="850"/>
      <c r="CB59" s="850"/>
      <c r="CC59" s="850"/>
      <c r="CD59" s="850"/>
      <c r="CE59" s="850"/>
      <c r="CF59" s="850"/>
      <c r="CG59" s="169" t="s">
        <v>957</v>
      </c>
      <c r="CH59" s="417"/>
      <c r="CI59" s="406"/>
      <c r="CJ59" s="23"/>
      <c r="CK59" s="417" t="s">
        <v>1044</v>
      </c>
      <c r="CL59" s="572"/>
      <c r="CM59" s="648"/>
      <c r="CN59" s="35"/>
      <c r="CO59" s="35"/>
      <c r="CP59" s="35"/>
      <c r="CQ59" s="35"/>
      <c r="CR59" s="406"/>
      <c r="CS59" s="648"/>
      <c r="CU59" s="98"/>
      <c r="CV59" s="98"/>
      <c r="CW59" s="98"/>
      <c r="CX59" s="98"/>
      <c r="DA59" s="647"/>
    </row>
    <row r="60" spans="1:105" s="97" customFormat="1" ht="12" customHeight="1" x14ac:dyDescent="0.2">
      <c r="A60" s="651"/>
      <c r="B60" s="537"/>
      <c r="C60" s="186" t="s">
        <v>62</v>
      </c>
      <c r="D60" s="237" t="s">
        <v>422</v>
      </c>
      <c r="E60" s="647" t="s">
        <v>14</v>
      </c>
      <c r="F60" s="647"/>
      <c r="G60" s="98"/>
      <c r="I60" s="166">
        <v>2009</v>
      </c>
      <c r="J60" s="571"/>
      <c r="K60" s="571"/>
      <c r="L60" s="493"/>
      <c r="M60" s="247" t="s">
        <v>15</v>
      </c>
      <c r="N60" s="493"/>
      <c r="O60" s="98" t="s">
        <v>19</v>
      </c>
      <c r="P60" s="98"/>
      <c r="Q60" s="98"/>
      <c r="R60" s="167"/>
      <c r="S60" s="167"/>
      <c r="T60" s="167"/>
      <c r="U60" s="170"/>
      <c r="V60" s="692"/>
      <c r="W60" s="700"/>
      <c r="X60" s="167"/>
      <c r="Y60" s="271"/>
      <c r="Z60" s="271"/>
      <c r="AA60" s="271"/>
      <c r="AB60" s="271"/>
      <c r="AC60" s="271"/>
      <c r="AD60" s="271"/>
      <c r="AE60" s="271"/>
      <c r="AF60" s="271"/>
      <c r="AG60" s="271"/>
      <c r="AH60" s="271"/>
      <c r="AI60" s="271"/>
      <c r="AJ60" s="271"/>
      <c r="AK60" s="271"/>
      <c r="AL60" s="271"/>
      <c r="AM60" s="271"/>
      <c r="AN60" s="271"/>
      <c r="AO60" s="271"/>
      <c r="AP60" s="271"/>
      <c r="AQ60" s="271"/>
      <c r="AR60" s="271"/>
      <c r="AS60" s="271"/>
      <c r="AT60" s="271"/>
      <c r="AU60" s="271"/>
      <c r="AV60" s="271"/>
      <c r="AW60" s="271"/>
      <c r="AX60" s="271"/>
      <c r="AY60" s="271"/>
      <c r="AZ60" s="271"/>
      <c r="BA60" s="271"/>
      <c r="BB60" s="271"/>
      <c r="BC60" s="271"/>
      <c r="BD60" s="271"/>
      <c r="BE60" s="445"/>
      <c r="BF60" s="445"/>
      <c r="BG60" s="271"/>
      <c r="BH60" s="271"/>
      <c r="BI60" s="445"/>
      <c r="BJ60" s="445"/>
      <c r="BK60" s="445"/>
      <c r="BL60" s="445"/>
      <c r="BM60" s="445"/>
      <c r="BN60" s="445"/>
      <c r="BO60" s="445"/>
      <c r="BP60" s="445"/>
      <c r="BQ60" s="445">
        <v>6.4</v>
      </c>
      <c r="BR60" s="445">
        <v>1.9</v>
      </c>
      <c r="BS60" s="446"/>
      <c r="BT60" s="446"/>
      <c r="BU60" s="446"/>
      <c r="BV60" s="442"/>
      <c r="BW60" s="442"/>
      <c r="BX60" s="756"/>
      <c r="BY60" s="850"/>
      <c r="BZ60" s="850"/>
      <c r="CA60" s="850"/>
      <c r="CB60" s="850"/>
      <c r="CC60" s="850"/>
      <c r="CD60" s="850"/>
      <c r="CE60" s="850"/>
      <c r="CF60" s="850"/>
      <c r="CG60" s="98"/>
      <c r="CH60" s="419" t="s">
        <v>1158</v>
      </c>
      <c r="CI60" s="404">
        <v>42452</v>
      </c>
      <c r="CJ60" s="23"/>
      <c r="CK60" s="648"/>
      <c r="CL60" s="572"/>
      <c r="CM60" s="648"/>
      <c r="CN60" s="35"/>
      <c r="CO60" s="35"/>
      <c r="CP60" s="35"/>
      <c r="CQ60" s="35"/>
      <c r="CR60" s="406"/>
      <c r="CS60" s="648"/>
      <c r="CU60" s="98"/>
      <c r="CV60" s="98"/>
      <c r="CW60" s="98"/>
      <c r="CX60" s="98"/>
      <c r="DA60" s="647"/>
    </row>
    <row r="61" spans="1:105" s="97" customFormat="1" ht="12" customHeight="1" x14ac:dyDescent="0.2">
      <c r="A61" s="651"/>
      <c r="B61" s="537"/>
      <c r="C61" s="97" t="s">
        <v>62</v>
      </c>
      <c r="D61" s="237" t="s">
        <v>422</v>
      </c>
      <c r="E61" s="647" t="s">
        <v>217</v>
      </c>
      <c r="F61" s="647"/>
      <c r="G61" s="98"/>
      <c r="I61" s="166" t="s">
        <v>216</v>
      </c>
      <c r="J61" s="571"/>
      <c r="K61" s="571"/>
      <c r="L61" s="493"/>
      <c r="M61" s="98" t="s">
        <v>17</v>
      </c>
      <c r="N61" s="493"/>
      <c r="O61" s="247" t="s">
        <v>19</v>
      </c>
      <c r="P61" s="247"/>
      <c r="Q61" s="98"/>
      <c r="R61" s="167"/>
      <c r="S61" s="167"/>
      <c r="T61" s="167"/>
      <c r="U61" s="393">
        <v>420</v>
      </c>
      <c r="V61" s="694"/>
      <c r="W61" s="711"/>
      <c r="X61" s="167"/>
      <c r="Y61" s="446"/>
      <c r="Z61" s="446"/>
      <c r="AA61" s="446"/>
      <c r="AB61" s="446"/>
      <c r="AC61" s="446"/>
      <c r="AD61" s="446"/>
      <c r="AE61" s="446"/>
      <c r="AF61" s="446"/>
      <c r="AG61" s="446"/>
      <c r="AH61" s="446"/>
      <c r="AI61" s="446"/>
      <c r="AJ61" s="446"/>
      <c r="AK61" s="446"/>
      <c r="AL61" s="446"/>
      <c r="AM61" s="446"/>
      <c r="AN61" s="446"/>
      <c r="AO61" s="446"/>
      <c r="AP61" s="446"/>
      <c r="AQ61" s="446"/>
      <c r="AR61" s="446"/>
      <c r="AS61" s="446"/>
      <c r="AT61" s="446"/>
      <c r="AU61" s="446"/>
      <c r="AV61" s="446"/>
      <c r="AW61" s="446"/>
      <c r="AX61" s="446"/>
      <c r="AY61" s="446"/>
      <c r="AZ61" s="446"/>
      <c r="BA61" s="446"/>
      <c r="BB61" s="446"/>
      <c r="BC61" s="446"/>
      <c r="BD61" s="446"/>
      <c r="BE61" s="446"/>
      <c r="BF61" s="446"/>
      <c r="BG61" s="446"/>
      <c r="BH61" s="446"/>
      <c r="BI61" s="446"/>
      <c r="BJ61" s="446"/>
      <c r="BK61" s="446"/>
      <c r="BL61" s="446"/>
      <c r="BM61" s="446"/>
      <c r="BN61" s="446"/>
      <c r="BO61" s="446"/>
      <c r="BP61" s="446"/>
      <c r="BQ61" s="444"/>
      <c r="BR61" s="445"/>
      <c r="BS61" s="442">
        <v>27</v>
      </c>
      <c r="BT61" s="445"/>
      <c r="BU61" s="445"/>
      <c r="BV61" s="445"/>
      <c r="BW61" s="445"/>
      <c r="BX61" s="756"/>
      <c r="BY61" s="850"/>
      <c r="BZ61" s="850"/>
      <c r="CA61" s="850"/>
      <c r="CB61" s="850"/>
      <c r="CC61" s="850"/>
      <c r="CD61" s="850"/>
      <c r="CE61" s="850"/>
      <c r="CF61" s="850"/>
      <c r="CG61" s="98" t="s">
        <v>218</v>
      </c>
      <c r="CH61" s="417"/>
      <c r="CI61" s="406"/>
      <c r="CJ61" s="23"/>
      <c r="CK61" s="417" t="s">
        <v>1059</v>
      </c>
      <c r="CL61" s="572"/>
      <c r="CM61" s="648"/>
      <c r="CN61" s="35"/>
      <c r="CO61" s="35"/>
      <c r="CP61" s="35"/>
      <c r="CQ61" s="35"/>
      <c r="CR61" s="406"/>
      <c r="CS61" s="648"/>
      <c r="CU61" s="98"/>
      <c r="CV61" s="98"/>
      <c r="CW61" s="98"/>
      <c r="CX61" s="98"/>
      <c r="DA61" s="647"/>
    </row>
    <row r="62" spans="1:105" s="97" customFormat="1" ht="12" customHeight="1" x14ac:dyDescent="0.2">
      <c r="A62" s="652"/>
      <c r="B62" s="558"/>
      <c r="C62" s="186" t="s">
        <v>370</v>
      </c>
      <c r="D62" s="237" t="s">
        <v>1131</v>
      </c>
      <c r="E62" s="647" t="s">
        <v>14</v>
      </c>
      <c r="F62" s="647"/>
      <c r="G62" s="98"/>
      <c r="I62" s="166">
        <v>2005</v>
      </c>
      <c r="J62" s="571"/>
      <c r="K62" s="571"/>
      <c r="L62" s="493" t="s">
        <v>244</v>
      </c>
      <c r="M62" s="237" t="s">
        <v>17</v>
      </c>
      <c r="N62" s="494" t="s">
        <v>783</v>
      </c>
      <c r="O62" s="98" t="s">
        <v>19</v>
      </c>
      <c r="P62" s="98"/>
      <c r="Q62" s="98"/>
      <c r="R62" s="121"/>
      <c r="S62" s="121"/>
      <c r="T62" s="121"/>
      <c r="U62" s="393">
        <v>1333</v>
      </c>
      <c r="V62" s="694"/>
      <c r="W62" s="711"/>
      <c r="X62" s="121"/>
      <c r="Y62" s="442"/>
      <c r="Z62" s="442"/>
      <c r="AA62" s="442"/>
      <c r="AB62" s="442"/>
      <c r="AC62" s="442"/>
      <c r="AD62" s="442"/>
      <c r="AE62" s="442"/>
      <c r="AF62" s="442"/>
      <c r="AG62" s="442"/>
      <c r="AH62" s="442"/>
      <c r="AI62" s="442"/>
      <c r="AJ62" s="442"/>
      <c r="AK62" s="442"/>
      <c r="AL62" s="442"/>
      <c r="AM62" s="442"/>
      <c r="AN62" s="442"/>
      <c r="AO62" s="442"/>
      <c r="AP62" s="442"/>
      <c r="AQ62" s="442"/>
      <c r="AR62" s="442"/>
      <c r="AS62" s="442"/>
      <c r="AT62" s="442"/>
      <c r="AU62" s="442"/>
      <c r="AV62" s="442"/>
      <c r="AW62" s="442"/>
      <c r="AX62" s="442"/>
      <c r="AY62" s="442"/>
      <c r="AZ62" s="442"/>
      <c r="BA62" s="442"/>
      <c r="BB62" s="442"/>
      <c r="BC62" s="442"/>
      <c r="BD62" s="442"/>
      <c r="BE62" s="442"/>
      <c r="BF62" s="442"/>
      <c r="BG62" s="442"/>
      <c r="BH62" s="442"/>
      <c r="BI62" s="442">
        <v>21.5</v>
      </c>
      <c r="BJ62" s="442">
        <v>20.3</v>
      </c>
      <c r="BK62" s="442"/>
      <c r="BL62" s="442"/>
      <c r="BM62" s="442"/>
      <c r="BN62" s="442"/>
      <c r="BO62" s="442"/>
      <c r="BP62" s="442"/>
      <c r="BQ62" s="559"/>
      <c r="BR62" s="442"/>
      <c r="BS62" s="442"/>
      <c r="BT62" s="442"/>
      <c r="BU62" s="442"/>
      <c r="BV62" s="442"/>
      <c r="BW62" s="442"/>
      <c r="BX62" s="757"/>
      <c r="BY62" s="850"/>
      <c r="BZ62" s="850"/>
      <c r="CA62" s="850"/>
      <c r="CB62" s="850"/>
      <c r="CC62" s="850"/>
      <c r="CD62" s="850"/>
      <c r="CE62" s="850"/>
      <c r="CF62" s="850"/>
      <c r="CG62" s="237"/>
      <c r="CH62" s="556" t="s">
        <v>1160</v>
      </c>
      <c r="CI62" s="560">
        <v>40994</v>
      </c>
      <c r="CJ62" s="98">
        <v>199</v>
      </c>
      <c r="CK62" s="647" t="s">
        <v>1116</v>
      </c>
      <c r="CL62" s="494"/>
      <c r="CM62" s="647"/>
      <c r="CR62" s="638"/>
      <c r="CS62" s="647"/>
      <c r="CU62" s="98"/>
      <c r="CV62" s="98"/>
      <c r="CW62" s="98"/>
      <c r="CX62" s="98"/>
      <c r="DA62" s="647"/>
    </row>
    <row r="63" spans="1:105" s="97" customFormat="1" ht="12" customHeight="1" x14ac:dyDescent="0.2">
      <c r="A63" s="651"/>
      <c r="B63" s="537"/>
      <c r="C63" s="97" t="s">
        <v>137</v>
      </c>
      <c r="D63" s="237" t="s">
        <v>1131</v>
      </c>
      <c r="E63" s="647" t="s">
        <v>14</v>
      </c>
      <c r="F63" s="647"/>
      <c r="G63" s="98"/>
      <c r="I63" s="166">
        <v>2006</v>
      </c>
      <c r="J63" s="571"/>
      <c r="K63" s="571"/>
      <c r="L63" s="493" t="s">
        <v>425</v>
      </c>
      <c r="M63" s="98" t="s">
        <v>17</v>
      </c>
      <c r="N63" s="493"/>
      <c r="O63" s="247"/>
      <c r="P63" s="247"/>
      <c r="Q63" s="98"/>
      <c r="R63" s="167"/>
      <c r="S63" s="167"/>
      <c r="T63" s="167"/>
      <c r="U63" s="393">
        <v>11316</v>
      </c>
      <c r="V63" s="694"/>
      <c r="W63" s="711"/>
      <c r="X63" s="167"/>
      <c r="Y63" s="446"/>
      <c r="Z63" s="446"/>
      <c r="AA63" s="446"/>
      <c r="AB63" s="446"/>
      <c r="AC63" s="446"/>
      <c r="AD63" s="446"/>
      <c r="AE63" s="446"/>
      <c r="AF63" s="446"/>
      <c r="AG63" s="446"/>
      <c r="AH63" s="446"/>
      <c r="AI63" s="446"/>
      <c r="AJ63" s="446"/>
      <c r="AK63" s="446"/>
      <c r="AL63" s="446"/>
      <c r="AM63" s="446"/>
      <c r="AN63" s="446"/>
      <c r="AO63" s="446"/>
      <c r="AP63" s="446"/>
      <c r="AQ63" s="446"/>
      <c r="AR63" s="446"/>
      <c r="AS63" s="446"/>
      <c r="AT63" s="446"/>
      <c r="AU63" s="446"/>
      <c r="AV63" s="446"/>
      <c r="AW63" s="446"/>
      <c r="AX63" s="446"/>
      <c r="AY63" s="446"/>
      <c r="AZ63" s="446"/>
      <c r="BA63" s="446"/>
      <c r="BB63" s="446"/>
      <c r="BC63" s="446"/>
      <c r="BD63" s="446"/>
      <c r="BE63" s="446"/>
      <c r="BF63" s="446"/>
      <c r="BG63" s="446"/>
      <c r="BH63" s="446"/>
      <c r="BI63" s="446"/>
      <c r="BJ63" s="446"/>
      <c r="BK63" s="446"/>
      <c r="BL63" s="446"/>
      <c r="BM63" s="446"/>
      <c r="BN63" s="446"/>
      <c r="BO63" s="446"/>
      <c r="BP63" s="446"/>
      <c r="BQ63" s="444"/>
      <c r="BR63" s="445"/>
      <c r="BS63" s="442">
        <v>35.299999999999997</v>
      </c>
      <c r="BT63" s="445">
        <v>28.7</v>
      </c>
      <c r="BU63" s="445"/>
      <c r="BV63" s="445"/>
      <c r="BW63" s="445"/>
      <c r="BX63" s="756"/>
      <c r="BY63" s="850"/>
      <c r="BZ63" s="850"/>
      <c r="CA63" s="850"/>
      <c r="CB63" s="850"/>
      <c r="CC63" s="850"/>
      <c r="CD63" s="850"/>
      <c r="CE63" s="850"/>
      <c r="CF63" s="850"/>
      <c r="CG63" s="237" t="s">
        <v>960</v>
      </c>
      <c r="CH63" s="419" t="s">
        <v>709</v>
      </c>
      <c r="CI63" s="404">
        <v>40515</v>
      </c>
      <c r="CJ63" s="23">
        <v>198</v>
      </c>
      <c r="CK63" s="679" t="s">
        <v>711</v>
      </c>
      <c r="CL63" s="572"/>
      <c r="CM63" s="648"/>
      <c r="CN63" s="35"/>
      <c r="CO63" s="35"/>
      <c r="CP63" s="35"/>
      <c r="CQ63" s="35"/>
      <c r="CR63" s="406"/>
      <c r="CS63" s="648"/>
      <c r="CU63" s="98"/>
      <c r="CV63" s="98"/>
      <c r="CW63" s="98"/>
      <c r="CX63" s="98"/>
      <c r="DA63" s="647"/>
    </row>
    <row r="64" spans="1:105" s="97" customFormat="1" ht="12" customHeight="1" x14ac:dyDescent="0.2">
      <c r="A64" s="651"/>
      <c r="B64" s="537"/>
      <c r="C64" s="390" t="s">
        <v>138</v>
      </c>
      <c r="D64" s="169" t="s">
        <v>1131</v>
      </c>
      <c r="E64" s="647" t="s">
        <v>14</v>
      </c>
      <c r="F64" s="647"/>
      <c r="G64" s="237"/>
      <c r="H64" s="186"/>
      <c r="I64" s="533">
        <v>2008</v>
      </c>
      <c r="J64" s="390"/>
      <c r="K64" s="390"/>
      <c r="L64" s="493" t="s">
        <v>628</v>
      </c>
      <c r="M64" s="247" t="s">
        <v>18</v>
      </c>
      <c r="N64" s="493"/>
      <c r="O64" s="247"/>
      <c r="P64" s="247"/>
      <c r="Q64" s="237"/>
      <c r="R64" s="254"/>
      <c r="S64" s="254"/>
      <c r="T64" s="254"/>
      <c r="U64" s="395">
        <v>578</v>
      </c>
      <c r="V64" s="794"/>
      <c r="W64" s="712"/>
      <c r="X64" s="254"/>
      <c r="Y64" s="447"/>
      <c r="Z64" s="447"/>
      <c r="AA64" s="447"/>
      <c r="AB64" s="447"/>
      <c r="AC64" s="447"/>
      <c r="AD64" s="447"/>
      <c r="AE64" s="447"/>
      <c r="AF64" s="447"/>
      <c r="AG64" s="447"/>
      <c r="AH64" s="447"/>
      <c r="AI64" s="447"/>
      <c r="AJ64" s="447"/>
      <c r="AK64" s="447"/>
      <c r="AL64" s="447"/>
      <c r="AM64" s="447"/>
      <c r="AN64" s="447"/>
      <c r="AO64" s="447"/>
      <c r="AP64" s="447"/>
      <c r="AQ64" s="447"/>
      <c r="AR64" s="447"/>
      <c r="AS64" s="447"/>
      <c r="AT64" s="447"/>
      <c r="AU64" s="447"/>
      <c r="AV64" s="447"/>
      <c r="AW64" s="447"/>
      <c r="AX64" s="447"/>
      <c r="AY64" s="447"/>
      <c r="AZ64" s="447"/>
      <c r="BA64" s="447"/>
      <c r="BB64" s="447"/>
      <c r="BC64" s="447"/>
      <c r="BD64" s="447"/>
      <c r="BE64" s="447"/>
      <c r="BF64" s="447"/>
      <c r="BG64" s="447"/>
      <c r="BH64" s="447"/>
      <c r="BI64" s="447">
        <v>26</v>
      </c>
      <c r="BJ64" s="447"/>
      <c r="BK64" s="447"/>
      <c r="BL64" s="447"/>
      <c r="BM64" s="447"/>
      <c r="BN64" s="447"/>
      <c r="BO64" s="447"/>
      <c r="BP64" s="447"/>
      <c r="BQ64" s="447"/>
      <c r="BR64" s="447"/>
      <c r="BS64" s="447"/>
      <c r="BT64" s="447"/>
      <c r="BU64" s="447"/>
      <c r="BV64" s="550"/>
      <c r="BW64" s="550"/>
      <c r="BX64" s="756"/>
      <c r="BY64" s="850"/>
      <c r="BZ64" s="850"/>
      <c r="CA64" s="850"/>
      <c r="CB64" s="850"/>
      <c r="CC64" s="850"/>
      <c r="CD64" s="850"/>
      <c r="CE64" s="850"/>
      <c r="CF64" s="850"/>
      <c r="CG64" s="169" t="s">
        <v>240</v>
      </c>
      <c r="CH64" s="419" t="s">
        <v>1528</v>
      </c>
      <c r="CI64" s="406"/>
      <c r="CJ64" s="23"/>
      <c r="CK64" s="648"/>
      <c r="CL64" s="417" t="s">
        <v>1532</v>
      </c>
      <c r="CM64" s="648"/>
      <c r="CN64" s="35"/>
      <c r="CO64" s="35"/>
      <c r="CP64" s="35"/>
      <c r="CQ64" s="35"/>
      <c r="CR64" s="406"/>
      <c r="CS64" s="648"/>
      <c r="CU64" s="98"/>
      <c r="CV64" s="98"/>
      <c r="CW64" s="98"/>
      <c r="CX64" s="98"/>
      <c r="DA64" s="647"/>
    </row>
    <row r="65" spans="1:105" s="97" customFormat="1" ht="12" customHeight="1" x14ac:dyDescent="0.2">
      <c r="A65" s="651"/>
      <c r="B65" s="537"/>
      <c r="C65" s="97" t="s">
        <v>36</v>
      </c>
      <c r="D65" s="169" t="s">
        <v>1132</v>
      </c>
      <c r="E65" s="647" t="s">
        <v>43</v>
      </c>
      <c r="F65" s="647"/>
      <c r="G65" s="98"/>
      <c r="I65" s="166">
        <v>1993</v>
      </c>
      <c r="J65" s="571"/>
      <c r="K65" s="571"/>
      <c r="L65" s="493"/>
      <c r="M65" s="98" t="s">
        <v>18</v>
      </c>
      <c r="N65" s="493"/>
      <c r="O65" s="247" t="s">
        <v>19</v>
      </c>
      <c r="P65" s="247"/>
      <c r="Q65" s="98"/>
      <c r="R65" s="167"/>
      <c r="S65" s="167"/>
      <c r="T65" s="167"/>
      <c r="U65" s="393">
        <v>1000</v>
      </c>
      <c r="V65" s="694"/>
      <c r="W65" s="711"/>
      <c r="X65" s="167"/>
      <c r="Y65" s="446"/>
      <c r="Z65" s="446"/>
      <c r="AA65" s="446"/>
      <c r="AB65" s="446"/>
      <c r="AC65" s="446"/>
      <c r="AD65" s="446"/>
      <c r="AE65" s="446"/>
      <c r="AF65" s="446"/>
      <c r="AG65" s="446"/>
      <c r="AH65" s="446"/>
      <c r="AI65" s="446"/>
      <c r="AJ65" s="446"/>
      <c r="AK65" s="446"/>
      <c r="AL65" s="446"/>
      <c r="AM65" s="446"/>
      <c r="AN65" s="446"/>
      <c r="AO65" s="446"/>
      <c r="AP65" s="446"/>
      <c r="AQ65" s="446"/>
      <c r="AR65" s="446"/>
      <c r="AS65" s="446"/>
      <c r="AT65" s="446"/>
      <c r="AU65" s="446"/>
      <c r="AV65" s="446"/>
      <c r="AW65" s="446"/>
      <c r="AX65" s="446"/>
      <c r="AY65" s="446"/>
      <c r="AZ65" s="446"/>
      <c r="BA65" s="446"/>
      <c r="BB65" s="446"/>
      <c r="BC65" s="446"/>
      <c r="BD65" s="446"/>
      <c r="BE65" s="445"/>
      <c r="BF65" s="445"/>
      <c r="BG65" s="446"/>
      <c r="BH65" s="446"/>
      <c r="BI65" s="445">
        <v>26</v>
      </c>
      <c r="BJ65" s="445"/>
      <c r="BK65" s="445"/>
      <c r="BL65" s="445"/>
      <c r="BM65" s="445"/>
      <c r="BN65" s="445"/>
      <c r="BO65" s="445"/>
      <c r="BP65" s="445"/>
      <c r="BQ65" s="444"/>
      <c r="BR65" s="444"/>
      <c r="BS65" s="442"/>
      <c r="BT65" s="445"/>
      <c r="BU65" s="445"/>
      <c r="BV65" s="445"/>
      <c r="BW65" s="445"/>
      <c r="BX65" s="756"/>
      <c r="BY65" s="850"/>
      <c r="BZ65" s="850"/>
      <c r="CA65" s="850"/>
      <c r="CB65" s="850"/>
      <c r="CC65" s="850"/>
      <c r="CD65" s="850"/>
      <c r="CE65" s="850"/>
      <c r="CF65" s="850"/>
      <c r="CG65" s="169" t="s">
        <v>632</v>
      </c>
      <c r="CH65" s="419" t="s">
        <v>652</v>
      </c>
      <c r="CI65" s="404">
        <v>40994</v>
      </c>
      <c r="CJ65" s="23"/>
      <c r="CK65" s="648" t="s">
        <v>1068</v>
      </c>
      <c r="CL65" s="572" t="s">
        <v>633</v>
      </c>
      <c r="CM65" s="648"/>
      <c r="CN65" s="35"/>
      <c r="CO65" s="35"/>
      <c r="CP65" s="35"/>
      <c r="CQ65" s="35"/>
      <c r="CR65" s="406"/>
      <c r="CS65" s="648"/>
      <c r="CU65" s="98"/>
      <c r="CV65" s="98"/>
      <c r="CW65" s="98"/>
      <c r="CX65" s="98"/>
      <c r="DA65" s="647"/>
    </row>
    <row r="66" spans="1:105" s="97" customFormat="1" ht="12" customHeight="1" x14ac:dyDescent="0.2">
      <c r="A66" s="651"/>
      <c r="B66" s="537"/>
      <c r="C66" s="97" t="s">
        <v>36</v>
      </c>
      <c r="D66" s="169" t="s">
        <v>1132</v>
      </c>
      <c r="E66" s="647" t="s">
        <v>44</v>
      </c>
      <c r="F66" s="647"/>
      <c r="G66" s="98"/>
      <c r="I66" s="166">
        <v>1997</v>
      </c>
      <c r="J66" s="571"/>
      <c r="K66" s="571"/>
      <c r="L66" s="493"/>
      <c r="M66" s="98" t="s">
        <v>18</v>
      </c>
      <c r="N66" s="493"/>
      <c r="O66" s="247" t="s">
        <v>19</v>
      </c>
      <c r="P66" s="247"/>
      <c r="Q66" s="98"/>
      <c r="R66" s="167"/>
      <c r="S66" s="167"/>
      <c r="T66" s="167"/>
      <c r="U66" s="393">
        <v>310</v>
      </c>
      <c r="V66" s="694"/>
      <c r="W66" s="711"/>
      <c r="X66" s="167"/>
      <c r="Y66" s="446"/>
      <c r="Z66" s="446"/>
      <c r="AA66" s="446"/>
      <c r="AB66" s="446"/>
      <c r="AC66" s="446"/>
      <c r="AD66" s="446"/>
      <c r="AE66" s="446"/>
      <c r="AF66" s="446"/>
      <c r="AG66" s="446"/>
      <c r="AH66" s="446"/>
      <c r="AI66" s="446"/>
      <c r="AJ66" s="446"/>
      <c r="AK66" s="446"/>
      <c r="AL66" s="446"/>
      <c r="AM66" s="446"/>
      <c r="AN66" s="446"/>
      <c r="AO66" s="446"/>
      <c r="AP66" s="446"/>
      <c r="AQ66" s="446"/>
      <c r="AR66" s="446"/>
      <c r="AS66" s="446"/>
      <c r="AT66" s="446"/>
      <c r="AU66" s="446"/>
      <c r="AV66" s="446"/>
      <c r="AW66" s="446"/>
      <c r="AX66" s="446"/>
      <c r="AY66" s="446"/>
      <c r="AZ66" s="446"/>
      <c r="BA66" s="446"/>
      <c r="BB66" s="446"/>
      <c r="BC66" s="446"/>
      <c r="BD66" s="446"/>
      <c r="BE66" s="445"/>
      <c r="BF66" s="445"/>
      <c r="BG66" s="446"/>
      <c r="BH66" s="446"/>
      <c r="BI66" s="445"/>
      <c r="BJ66" s="445">
        <v>23</v>
      </c>
      <c r="BK66" s="445"/>
      <c r="BL66" s="445"/>
      <c r="BM66" s="445"/>
      <c r="BN66" s="445"/>
      <c r="BO66" s="445"/>
      <c r="BP66" s="445"/>
      <c r="BQ66" s="444"/>
      <c r="BR66" s="444"/>
      <c r="BS66" s="442"/>
      <c r="BT66" s="445"/>
      <c r="BU66" s="445"/>
      <c r="BV66" s="445"/>
      <c r="BW66" s="445"/>
      <c r="BX66" s="756"/>
      <c r="BY66" s="850"/>
      <c r="BZ66" s="850"/>
      <c r="CA66" s="850"/>
      <c r="CB66" s="850"/>
      <c r="CC66" s="850"/>
      <c r="CD66" s="850"/>
      <c r="CE66" s="850"/>
      <c r="CF66" s="850"/>
      <c r="CG66" s="169" t="s">
        <v>523</v>
      </c>
      <c r="CH66" s="417"/>
      <c r="CI66" s="406"/>
      <c r="CJ66" s="23"/>
      <c r="CK66" s="426" t="s">
        <v>1041</v>
      </c>
      <c r="CL66" s="572"/>
      <c r="CM66" s="648"/>
      <c r="CN66" s="35"/>
      <c r="CO66" s="35"/>
      <c r="CP66" s="35"/>
      <c r="CQ66" s="35"/>
      <c r="CR66" s="406"/>
      <c r="CS66" s="648"/>
      <c r="CU66" s="98"/>
      <c r="CV66" s="98"/>
      <c r="CW66" s="98"/>
      <c r="CX66" s="98"/>
      <c r="DA66" s="647"/>
    </row>
    <row r="67" spans="1:105" s="97" customFormat="1" ht="12" customHeight="1" x14ac:dyDescent="0.2">
      <c r="A67" s="651"/>
      <c r="B67" s="537"/>
      <c r="C67" s="97" t="s">
        <v>36</v>
      </c>
      <c r="D67" s="169" t="s">
        <v>1132</v>
      </c>
      <c r="E67" s="647" t="s">
        <v>247</v>
      </c>
      <c r="F67" s="647"/>
      <c r="G67" s="98"/>
      <c r="I67" s="166">
        <v>2004</v>
      </c>
      <c r="J67" s="571"/>
      <c r="K67" s="571"/>
      <c r="L67" s="493" t="s">
        <v>245</v>
      </c>
      <c r="M67" s="98" t="s">
        <v>78</v>
      </c>
      <c r="N67" s="493"/>
      <c r="O67" s="247"/>
      <c r="P67" s="247"/>
      <c r="Q67" s="98"/>
      <c r="R67" s="167"/>
      <c r="S67" s="167"/>
      <c r="T67" s="167"/>
      <c r="U67" s="393">
        <v>442</v>
      </c>
      <c r="V67" s="694"/>
      <c r="W67" s="711"/>
      <c r="X67" s="167"/>
      <c r="Y67" s="446"/>
      <c r="Z67" s="446"/>
      <c r="AA67" s="446"/>
      <c r="AB67" s="446"/>
      <c r="AC67" s="446"/>
      <c r="AD67" s="446"/>
      <c r="AE67" s="446"/>
      <c r="AF67" s="446"/>
      <c r="AG67" s="446"/>
      <c r="AH67" s="446"/>
      <c r="AI67" s="446"/>
      <c r="AJ67" s="446"/>
      <c r="AK67" s="446"/>
      <c r="AL67" s="446"/>
      <c r="AM67" s="446"/>
      <c r="AN67" s="446"/>
      <c r="AO67" s="446"/>
      <c r="AP67" s="446"/>
      <c r="AQ67" s="446"/>
      <c r="AR67" s="446"/>
      <c r="AS67" s="446"/>
      <c r="AT67" s="446"/>
      <c r="AU67" s="446"/>
      <c r="AV67" s="446"/>
      <c r="AW67" s="446"/>
      <c r="AX67" s="446"/>
      <c r="AY67" s="446"/>
      <c r="AZ67" s="446"/>
      <c r="BA67" s="446"/>
      <c r="BB67" s="446"/>
      <c r="BC67" s="446"/>
      <c r="BD67" s="446"/>
      <c r="BE67" s="445"/>
      <c r="BF67" s="445"/>
      <c r="BG67" s="446"/>
      <c r="BH67" s="446"/>
      <c r="BI67" s="442">
        <v>25</v>
      </c>
      <c r="BJ67" s="445">
        <v>3.6</v>
      </c>
      <c r="BK67" s="445"/>
      <c r="BL67" s="445"/>
      <c r="BM67" s="445"/>
      <c r="BN67" s="445"/>
      <c r="BO67" s="445"/>
      <c r="BP67" s="445"/>
      <c r="BQ67" s="442"/>
      <c r="BR67" s="442"/>
      <c r="BS67" s="442"/>
      <c r="BT67" s="445"/>
      <c r="BU67" s="445"/>
      <c r="BV67" s="445"/>
      <c r="BW67" s="445"/>
      <c r="BX67" s="756"/>
      <c r="BY67" s="850"/>
      <c r="BZ67" s="850"/>
      <c r="CA67" s="850"/>
      <c r="CB67" s="850"/>
      <c r="CC67" s="850"/>
      <c r="CD67" s="850"/>
      <c r="CE67" s="850"/>
      <c r="CF67" s="850"/>
      <c r="CG67" s="169" t="s">
        <v>523</v>
      </c>
      <c r="CH67" s="417"/>
      <c r="CI67" s="406"/>
      <c r="CJ67" s="23"/>
      <c r="CK67" s="426" t="s">
        <v>1041</v>
      </c>
      <c r="CL67" s="572"/>
      <c r="CM67" s="648"/>
      <c r="CN67" s="35"/>
      <c r="CO67" s="35"/>
      <c r="CP67" s="35"/>
      <c r="CQ67" s="35"/>
      <c r="CR67" s="406"/>
      <c r="CS67" s="648"/>
      <c r="CU67" s="98"/>
      <c r="CV67" s="98"/>
      <c r="CW67" s="98"/>
      <c r="CX67" s="98"/>
      <c r="DA67" s="647"/>
    </row>
    <row r="68" spans="1:105" s="97" customFormat="1" ht="12" customHeight="1" x14ac:dyDescent="0.2">
      <c r="A68" s="651"/>
      <c r="B68" s="537"/>
      <c r="C68" s="97" t="s">
        <v>36</v>
      </c>
      <c r="D68" s="169" t="s">
        <v>1132</v>
      </c>
      <c r="E68" s="647" t="s">
        <v>14</v>
      </c>
      <c r="F68" s="647"/>
      <c r="G68" s="98"/>
      <c r="I68" s="166">
        <v>2004</v>
      </c>
      <c r="J68" s="571"/>
      <c r="K68" s="571"/>
      <c r="L68" s="493"/>
      <c r="M68" s="98"/>
      <c r="N68" s="493"/>
      <c r="O68" s="247" t="s">
        <v>19</v>
      </c>
      <c r="P68" s="247"/>
      <c r="Q68" s="98"/>
      <c r="R68" s="167"/>
      <c r="S68" s="167"/>
      <c r="T68" s="167"/>
      <c r="U68" s="393">
        <v>999999999</v>
      </c>
      <c r="V68" s="694"/>
      <c r="W68" s="711"/>
      <c r="X68" s="167"/>
      <c r="Y68" s="446"/>
      <c r="Z68" s="446"/>
      <c r="AA68" s="446"/>
      <c r="AB68" s="446"/>
      <c r="AC68" s="446"/>
      <c r="AD68" s="446"/>
      <c r="AE68" s="446"/>
      <c r="AF68" s="446"/>
      <c r="AG68" s="446"/>
      <c r="AH68" s="446"/>
      <c r="AI68" s="446"/>
      <c r="AJ68" s="446"/>
      <c r="AK68" s="446"/>
      <c r="AL68" s="446"/>
      <c r="AM68" s="446"/>
      <c r="AN68" s="446"/>
      <c r="AO68" s="446"/>
      <c r="AP68" s="446"/>
      <c r="AQ68" s="446"/>
      <c r="AR68" s="446"/>
      <c r="AS68" s="446"/>
      <c r="AT68" s="446"/>
      <c r="AU68" s="446"/>
      <c r="AV68" s="446"/>
      <c r="AW68" s="446"/>
      <c r="AX68" s="446"/>
      <c r="AY68" s="446"/>
      <c r="AZ68" s="446"/>
      <c r="BA68" s="446"/>
      <c r="BB68" s="446"/>
      <c r="BC68" s="446"/>
      <c r="BD68" s="446"/>
      <c r="BE68" s="442"/>
      <c r="BF68" s="442"/>
      <c r="BG68" s="446"/>
      <c r="BH68" s="446"/>
      <c r="BI68" s="442">
        <v>15.4</v>
      </c>
      <c r="BJ68" s="442"/>
      <c r="BK68" s="442"/>
      <c r="BL68" s="442"/>
      <c r="BM68" s="442"/>
      <c r="BN68" s="442"/>
      <c r="BO68" s="442"/>
      <c r="BP68" s="442"/>
      <c r="BQ68" s="442"/>
      <c r="BR68" s="442"/>
      <c r="BS68" s="442"/>
      <c r="BT68" s="445"/>
      <c r="BU68" s="445"/>
      <c r="BV68" s="445"/>
      <c r="BW68" s="445"/>
      <c r="BX68" s="756"/>
      <c r="BY68" s="850"/>
      <c r="BZ68" s="850"/>
      <c r="CA68" s="850"/>
      <c r="CB68" s="850"/>
      <c r="CC68" s="850"/>
      <c r="CD68" s="850"/>
      <c r="CE68" s="850"/>
      <c r="CF68" s="850"/>
      <c r="CG68" s="169"/>
      <c r="CH68" s="421" t="s">
        <v>1121</v>
      </c>
      <c r="CI68" s="406"/>
      <c r="CJ68" s="23"/>
      <c r="CK68" s="648"/>
      <c r="CL68" s="572"/>
      <c r="CM68" s="648"/>
      <c r="CN68" s="35"/>
      <c r="CO68" s="35"/>
      <c r="CP68" s="35"/>
      <c r="CQ68" s="35"/>
      <c r="CR68" s="406"/>
      <c r="CS68" s="648"/>
      <c r="CU68" s="98"/>
      <c r="CV68" s="98"/>
      <c r="CW68" s="98"/>
      <c r="CX68" s="98"/>
      <c r="DA68" s="647"/>
    </row>
    <row r="69" spans="1:105" s="97" customFormat="1" ht="12" customHeight="1" x14ac:dyDescent="0.2">
      <c r="A69" s="651"/>
      <c r="B69" s="537"/>
      <c r="C69" s="97" t="s">
        <v>139</v>
      </c>
      <c r="D69" s="169" t="s">
        <v>1125</v>
      </c>
      <c r="E69" s="647" t="s">
        <v>851</v>
      </c>
      <c r="F69" s="647"/>
      <c r="G69" s="237"/>
      <c r="H69" s="186"/>
      <c r="I69" s="166">
        <v>2004</v>
      </c>
      <c r="J69" s="390"/>
      <c r="K69" s="390"/>
      <c r="L69" s="493"/>
      <c r="M69" s="237" t="s">
        <v>17</v>
      </c>
      <c r="N69" s="493"/>
      <c r="O69" s="247" t="s">
        <v>19</v>
      </c>
      <c r="P69" s="247"/>
      <c r="Q69" s="98"/>
      <c r="R69" s="167"/>
      <c r="S69" s="167"/>
      <c r="T69" s="167"/>
      <c r="U69" s="393">
        <v>1665</v>
      </c>
      <c r="V69" s="694"/>
      <c r="W69" s="711"/>
      <c r="X69" s="254"/>
      <c r="Y69" s="446"/>
      <c r="Z69" s="446"/>
      <c r="AA69" s="446"/>
      <c r="AB69" s="446"/>
      <c r="AC69" s="446"/>
      <c r="AD69" s="446"/>
      <c r="AE69" s="446"/>
      <c r="AF69" s="446"/>
      <c r="AG69" s="446"/>
      <c r="AH69" s="446"/>
      <c r="AI69" s="446"/>
      <c r="AJ69" s="446"/>
      <c r="AK69" s="446"/>
      <c r="AL69" s="446"/>
      <c r="AM69" s="446"/>
      <c r="AN69" s="446"/>
      <c r="AO69" s="446"/>
      <c r="AP69" s="446"/>
      <c r="AQ69" s="446"/>
      <c r="AR69" s="446"/>
      <c r="AS69" s="446"/>
      <c r="AT69" s="446"/>
      <c r="AU69" s="446"/>
      <c r="AV69" s="446"/>
      <c r="AW69" s="446"/>
      <c r="AX69" s="446"/>
      <c r="AY69" s="446"/>
      <c r="AZ69" s="446"/>
      <c r="BA69" s="446"/>
      <c r="BB69" s="446"/>
      <c r="BC69" s="446"/>
      <c r="BD69" s="446"/>
      <c r="BE69" s="446"/>
      <c r="BF69" s="446"/>
      <c r="BG69" s="446"/>
      <c r="BH69" s="446"/>
      <c r="BI69" s="446"/>
      <c r="BJ69" s="446"/>
      <c r="BK69" s="446"/>
      <c r="BL69" s="446"/>
      <c r="BM69" s="446"/>
      <c r="BN69" s="446"/>
      <c r="BO69" s="446"/>
      <c r="BP69" s="446"/>
      <c r="BQ69" s="442">
        <v>34</v>
      </c>
      <c r="BR69" s="445"/>
      <c r="BS69" s="442"/>
      <c r="BT69" s="445"/>
      <c r="BU69" s="445"/>
      <c r="BV69" s="445"/>
      <c r="BW69" s="445"/>
      <c r="BX69" s="756"/>
      <c r="BY69" s="850"/>
      <c r="BZ69" s="850"/>
      <c r="CA69" s="850"/>
      <c r="CB69" s="850"/>
      <c r="CC69" s="850"/>
      <c r="CD69" s="850"/>
      <c r="CE69" s="850"/>
      <c r="CF69" s="850"/>
      <c r="CG69" s="169" t="s">
        <v>957</v>
      </c>
      <c r="CH69" s="417"/>
      <c r="CI69" s="406"/>
      <c r="CJ69" s="23"/>
      <c r="CK69" s="417" t="s">
        <v>1044</v>
      </c>
      <c r="CL69" s="572"/>
      <c r="CM69" s="648"/>
      <c r="CN69" s="35"/>
      <c r="CO69" s="35"/>
      <c r="CP69" s="35"/>
      <c r="CQ69" s="35"/>
      <c r="CR69" s="406"/>
      <c r="CS69" s="648"/>
      <c r="CU69" s="98"/>
      <c r="CV69" s="98"/>
      <c r="CW69" s="98"/>
      <c r="CX69" s="98"/>
      <c r="DA69" s="647"/>
    </row>
    <row r="70" spans="1:105" s="97" customFormat="1" ht="12" customHeight="1" x14ac:dyDescent="0.2">
      <c r="A70" s="651"/>
      <c r="B70" s="537"/>
      <c r="C70" s="97" t="s">
        <v>139</v>
      </c>
      <c r="D70" s="169" t="s">
        <v>1125</v>
      </c>
      <c r="E70" s="647" t="s">
        <v>851</v>
      </c>
      <c r="F70" s="647"/>
      <c r="G70" s="237"/>
      <c r="H70" s="186"/>
      <c r="I70" s="166">
        <v>2004</v>
      </c>
      <c r="J70" s="390"/>
      <c r="K70" s="390"/>
      <c r="L70" s="493" t="s">
        <v>243</v>
      </c>
      <c r="M70" s="237"/>
      <c r="N70" s="494" t="s">
        <v>783</v>
      </c>
      <c r="O70" s="247"/>
      <c r="P70" s="247"/>
      <c r="Q70" s="98"/>
      <c r="R70" s="167"/>
      <c r="S70" s="167"/>
      <c r="T70" s="167"/>
      <c r="U70" s="393">
        <v>600</v>
      </c>
      <c r="V70" s="694"/>
      <c r="W70" s="711"/>
      <c r="X70" s="254"/>
      <c r="Y70" s="446"/>
      <c r="Z70" s="446"/>
      <c r="AA70" s="446"/>
      <c r="AB70" s="446"/>
      <c r="AC70" s="446"/>
      <c r="AD70" s="446"/>
      <c r="AE70" s="446"/>
      <c r="AF70" s="446"/>
      <c r="AG70" s="446"/>
      <c r="AH70" s="446"/>
      <c r="AI70" s="446"/>
      <c r="AJ70" s="446"/>
      <c r="AK70" s="446"/>
      <c r="AL70" s="446"/>
      <c r="AM70" s="446"/>
      <c r="AN70" s="446"/>
      <c r="AO70" s="446"/>
      <c r="AP70" s="446"/>
      <c r="AQ70" s="446"/>
      <c r="AR70" s="446"/>
      <c r="AS70" s="446"/>
      <c r="AT70" s="446"/>
      <c r="AU70" s="446"/>
      <c r="AV70" s="446"/>
      <c r="AW70" s="446"/>
      <c r="AX70" s="446"/>
      <c r="AY70" s="446"/>
      <c r="AZ70" s="446"/>
      <c r="BA70" s="446"/>
      <c r="BB70" s="446"/>
      <c r="BC70" s="446"/>
      <c r="BD70" s="446"/>
      <c r="BE70" s="442"/>
      <c r="BF70" s="442"/>
      <c r="BG70" s="446"/>
      <c r="BH70" s="446"/>
      <c r="BI70" s="442"/>
      <c r="BJ70" s="442"/>
      <c r="BK70" s="442"/>
      <c r="BL70" s="442"/>
      <c r="BM70" s="442"/>
      <c r="BN70" s="442"/>
      <c r="BO70" s="442"/>
      <c r="BP70" s="442"/>
      <c r="BQ70" s="442"/>
      <c r="BR70" s="442"/>
      <c r="BS70" s="442">
        <v>38</v>
      </c>
      <c r="BT70" s="445">
        <v>21</v>
      </c>
      <c r="BU70" s="445"/>
      <c r="BV70" s="445"/>
      <c r="BW70" s="445"/>
      <c r="BX70" s="756"/>
      <c r="BY70" s="850"/>
      <c r="BZ70" s="850"/>
      <c r="CA70" s="850"/>
      <c r="CB70" s="850"/>
      <c r="CC70" s="850"/>
      <c r="CD70" s="850"/>
      <c r="CE70" s="850"/>
      <c r="CF70" s="850"/>
      <c r="CG70" s="169" t="s">
        <v>957</v>
      </c>
      <c r="CH70" s="417"/>
      <c r="CI70" s="406"/>
      <c r="CJ70" s="23"/>
      <c r="CK70" s="417" t="s">
        <v>1044</v>
      </c>
      <c r="CL70" s="572"/>
      <c r="CM70" s="431"/>
      <c r="CN70" s="128"/>
      <c r="CO70" s="128"/>
      <c r="CP70" s="128"/>
      <c r="CQ70" s="128"/>
      <c r="CR70" s="406"/>
      <c r="CS70" s="431"/>
      <c r="CU70" s="98"/>
      <c r="CV70" s="98"/>
      <c r="CW70" s="98"/>
      <c r="CX70" s="98"/>
      <c r="DA70" s="647"/>
    </row>
    <row r="71" spans="1:105" s="97" customFormat="1" ht="12" customHeight="1" x14ac:dyDescent="0.2">
      <c r="A71" s="651"/>
      <c r="B71" s="537"/>
      <c r="C71" s="97" t="s">
        <v>139</v>
      </c>
      <c r="D71" s="169" t="s">
        <v>1125</v>
      </c>
      <c r="E71" s="647" t="s">
        <v>1881</v>
      </c>
      <c r="F71" s="647" t="s">
        <v>851</v>
      </c>
      <c r="G71" s="237"/>
      <c r="H71" s="186"/>
      <c r="I71" s="166">
        <v>2005</v>
      </c>
      <c r="J71" s="390"/>
      <c r="K71" s="390"/>
      <c r="L71" s="493" t="s">
        <v>243</v>
      </c>
      <c r="M71" s="237" t="s">
        <v>17</v>
      </c>
      <c r="N71" s="494" t="s">
        <v>783</v>
      </c>
      <c r="O71" s="247"/>
      <c r="P71" s="247"/>
      <c r="Q71" s="98"/>
      <c r="R71" s="167"/>
      <c r="S71" s="167"/>
      <c r="T71" s="167"/>
      <c r="U71" s="393">
        <v>685</v>
      </c>
      <c r="V71" s="694"/>
      <c r="W71" s="711"/>
      <c r="X71" s="254"/>
      <c r="Y71" s="446"/>
      <c r="Z71" s="446"/>
      <c r="AA71" s="446"/>
      <c r="AB71" s="446"/>
      <c r="AC71" s="446"/>
      <c r="AD71" s="446"/>
      <c r="AE71" s="446"/>
      <c r="AF71" s="446"/>
      <c r="AG71" s="446"/>
      <c r="AH71" s="446"/>
      <c r="AI71" s="446"/>
      <c r="AJ71" s="446"/>
      <c r="AK71" s="446"/>
      <c r="AL71" s="446"/>
      <c r="AM71" s="446"/>
      <c r="AN71" s="446"/>
      <c r="AO71" s="446"/>
      <c r="AP71" s="446"/>
      <c r="AQ71" s="446"/>
      <c r="AR71" s="446"/>
      <c r="AS71" s="446"/>
      <c r="AT71" s="446"/>
      <c r="AU71" s="446"/>
      <c r="AV71" s="446"/>
      <c r="AW71" s="446"/>
      <c r="AX71" s="446"/>
      <c r="AY71" s="446"/>
      <c r="AZ71" s="446"/>
      <c r="BA71" s="446"/>
      <c r="BB71" s="446"/>
      <c r="BC71" s="446"/>
      <c r="BD71" s="446"/>
      <c r="BE71" s="446"/>
      <c r="BF71" s="446"/>
      <c r="BG71" s="446"/>
      <c r="BH71" s="446"/>
      <c r="BI71" s="446"/>
      <c r="BJ71" s="446"/>
      <c r="BK71" s="446"/>
      <c r="BL71" s="446"/>
      <c r="BM71" s="446"/>
      <c r="BN71" s="446"/>
      <c r="BO71" s="446"/>
      <c r="BP71" s="446"/>
      <c r="BQ71" s="442">
        <v>43</v>
      </c>
      <c r="BR71" s="445">
        <v>26</v>
      </c>
      <c r="BS71" s="446"/>
      <c r="BT71" s="446"/>
      <c r="BU71" s="446"/>
      <c r="BV71" s="442"/>
      <c r="BW71" s="442"/>
      <c r="BX71" s="756"/>
      <c r="BY71" s="850"/>
      <c r="BZ71" s="850"/>
      <c r="CA71" s="850"/>
      <c r="CB71" s="850"/>
      <c r="CC71" s="850"/>
      <c r="CD71" s="850"/>
      <c r="CE71" s="850"/>
      <c r="CF71" s="850"/>
      <c r="CG71" s="169" t="s">
        <v>957</v>
      </c>
      <c r="CH71" s="417"/>
      <c r="CI71" s="406"/>
      <c r="CJ71" s="23"/>
      <c r="CK71" s="417" t="s">
        <v>1044</v>
      </c>
      <c r="CL71" s="572"/>
      <c r="CM71" s="648"/>
      <c r="CN71" s="35"/>
      <c r="CO71" s="35"/>
      <c r="CP71" s="35"/>
      <c r="CQ71" s="35"/>
      <c r="CR71" s="406"/>
      <c r="CS71" s="648"/>
      <c r="CU71" s="98"/>
      <c r="CV71" s="98"/>
      <c r="CW71" s="98"/>
      <c r="CX71" s="98"/>
      <c r="DA71" s="647"/>
    </row>
    <row r="72" spans="1:105" s="97" customFormat="1" ht="12" customHeight="1" x14ac:dyDescent="0.2">
      <c r="A72" s="651"/>
      <c r="B72" s="537"/>
      <c r="C72" s="97" t="s">
        <v>139</v>
      </c>
      <c r="D72" s="169" t="s">
        <v>1125</v>
      </c>
      <c r="E72" s="647" t="s">
        <v>14</v>
      </c>
      <c r="F72" s="647"/>
      <c r="G72" s="98"/>
      <c r="I72" s="166" t="s">
        <v>267</v>
      </c>
      <c r="J72" s="571"/>
      <c r="K72" s="571"/>
      <c r="L72" s="493"/>
      <c r="M72" s="98" t="s">
        <v>18</v>
      </c>
      <c r="N72" s="493"/>
      <c r="O72" s="247" t="s">
        <v>19</v>
      </c>
      <c r="P72" s="247"/>
      <c r="Q72" s="98"/>
      <c r="R72" s="167"/>
      <c r="S72" s="167"/>
      <c r="T72" s="167"/>
      <c r="U72" s="393">
        <v>1665</v>
      </c>
      <c r="V72" s="694"/>
      <c r="W72" s="711"/>
      <c r="X72" s="167"/>
      <c r="Y72" s="446"/>
      <c r="Z72" s="446"/>
      <c r="AA72" s="446"/>
      <c r="AB72" s="446"/>
      <c r="AC72" s="446"/>
      <c r="AD72" s="446"/>
      <c r="AE72" s="446"/>
      <c r="AF72" s="446"/>
      <c r="AG72" s="446"/>
      <c r="AH72" s="446"/>
      <c r="AI72" s="446"/>
      <c r="AJ72" s="446"/>
      <c r="AK72" s="446"/>
      <c r="AL72" s="446"/>
      <c r="AM72" s="446"/>
      <c r="AN72" s="446"/>
      <c r="AO72" s="446"/>
      <c r="AP72" s="446"/>
      <c r="AQ72" s="446"/>
      <c r="AR72" s="446"/>
      <c r="AS72" s="446"/>
      <c r="AT72" s="446"/>
      <c r="AU72" s="446"/>
      <c r="AV72" s="446"/>
      <c r="AW72" s="446"/>
      <c r="AX72" s="446"/>
      <c r="AY72" s="446"/>
      <c r="AZ72" s="446"/>
      <c r="BA72" s="446"/>
      <c r="BB72" s="446"/>
      <c r="BC72" s="446"/>
      <c r="BD72" s="446"/>
      <c r="BE72" s="445"/>
      <c r="BF72" s="445"/>
      <c r="BG72" s="446"/>
      <c r="BH72" s="446"/>
      <c r="BI72" s="442">
        <v>15.4</v>
      </c>
      <c r="BJ72" s="445"/>
      <c r="BK72" s="445"/>
      <c r="BL72" s="445"/>
      <c r="BM72" s="445"/>
      <c r="BN72" s="445"/>
      <c r="BO72" s="445"/>
      <c r="BP72" s="445"/>
      <c r="BQ72" s="444"/>
      <c r="BR72" s="444"/>
      <c r="BS72" s="442"/>
      <c r="BT72" s="445"/>
      <c r="BU72" s="445"/>
      <c r="BV72" s="445"/>
      <c r="BW72" s="445"/>
      <c r="BX72" s="756"/>
      <c r="BY72" s="850"/>
      <c r="BZ72" s="850"/>
      <c r="CA72" s="850"/>
      <c r="CB72" s="850"/>
      <c r="CC72" s="850"/>
      <c r="CD72" s="850"/>
      <c r="CE72" s="850"/>
      <c r="CF72" s="850"/>
      <c r="CG72" s="169" t="s">
        <v>523</v>
      </c>
      <c r="CH72" s="417"/>
      <c r="CI72" s="406"/>
      <c r="CJ72" s="23"/>
      <c r="CK72" s="426" t="s">
        <v>1041</v>
      </c>
      <c r="CL72" s="572"/>
      <c r="CM72" s="648"/>
      <c r="CN72" s="35"/>
      <c r="CO72" s="35"/>
      <c r="CP72" s="35"/>
      <c r="CQ72" s="35"/>
      <c r="CR72" s="406"/>
      <c r="CS72" s="648"/>
      <c r="CU72" s="98"/>
      <c r="CV72" s="98"/>
      <c r="CW72" s="98"/>
      <c r="CX72" s="98"/>
      <c r="DA72" s="647"/>
    </row>
    <row r="73" spans="1:105" s="97" customFormat="1" ht="12" customHeight="1" x14ac:dyDescent="0.2">
      <c r="A73" s="652"/>
      <c r="B73" s="469" t="s">
        <v>1791</v>
      </c>
      <c r="C73" s="390" t="s">
        <v>37</v>
      </c>
      <c r="D73" s="237" t="s">
        <v>1132</v>
      </c>
      <c r="E73" s="647" t="s">
        <v>14</v>
      </c>
      <c r="F73" s="647"/>
      <c r="G73" s="237"/>
      <c r="H73" s="186"/>
      <c r="I73" s="166">
        <v>1990</v>
      </c>
      <c r="J73" s="571">
        <v>1990</v>
      </c>
      <c r="K73" s="571"/>
      <c r="L73" s="494" t="s">
        <v>244</v>
      </c>
      <c r="M73" s="247" t="s">
        <v>1837</v>
      </c>
      <c r="N73" s="494" t="s">
        <v>783</v>
      </c>
      <c r="O73" s="247" t="s">
        <v>19</v>
      </c>
      <c r="P73" s="98">
        <v>15</v>
      </c>
      <c r="Q73" s="247">
        <v>49</v>
      </c>
      <c r="R73" s="552">
        <v>28.351423281647801</v>
      </c>
      <c r="S73" s="552"/>
      <c r="T73" s="552"/>
      <c r="U73" s="553">
        <v>3756</v>
      </c>
      <c r="V73" s="794"/>
      <c r="W73" s="712"/>
      <c r="X73" s="552">
        <v>7.241019698725367</v>
      </c>
      <c r="Y73" s="555"/>
      <c r="Z73" s="555"/>
      <c r="AA73" s="555"/>
      <c r="AB73" s="555"/>
      <c r="AC73" s="552">
        <v>48.203353739685951</v>
      </c>
      <c r="AD73" s="555"/>
      <c r="AE73" s="555"/>
      <c r="AF73" s="555"/>
      <c r="AG73" s="555"/>
      <c r="AH73" s="555"/>
      <c r="AI73" s="555"/>
      <c r="AJ73" s="555"/>
      <c r="AK73" s="555"/>
      <c r="AL73" s="555"/>
      <c r="AM73" s="555"/>
      <c r="AN73" s="555"/>
      <c r="AO73" s="555"/>
      <c r="AP73" s="555"/>
      <c r="AQ73" s="555"/>
      <c r="AR73" s="555"/>
      <c r="AS73" s="555"/>
      <c r="AT73" s="555"/>
      <c r="AU73" s="555"/>
      <c r="AV73" s="555"/>
      <c r="AW73" s="555"/>
      <c r="AX73" s="555"/>
      <c r="AY73" s="555"/>
      <c r="AZ73" s="555"/>
      <c r="BA73" s="555"/>
      <c r="BB73" s="555"/>
      <c r="BC73" s="555"/>
      <c r="BD73" s="555"/>
      <c r="BE73" s="555"/>
      <c r="BF73" s="555"/>
      <c r="BG73" s="555"/>
      <c r="BH73" s="555"/>
      <c r="BI73" s="552">
        <v>29.845580404685833</v>
      </c>
      <c r="BJ73" s="555"/>
      <c r="BK73" s="555"/>
      <c r="BL73" s="555"/>
      <c r="BM73" s="552">
        <v>8.9175444969124769</v>
      </c>
      <c r="BN73" s="555"/>
      <c r="BO73" s="555"/>
      <c r="BP73" s="555"/>
      <c r="BQ73" s="552"/>
      <c r="BR73" s="42"/>
      <c r="BS73" s="42"/>
      <c r="BT73" s="42"/>
      <c r="BU73" s="42">
        <v>12</v>
      </c>
      <c r="BV73" s="42"/>
      <c r="BW73" s="42"/>
      <c r="BX73" s="758"/>
      <c r="BY73" s="851"/>
      <c r="BZ73" s="851"/>
      <c r="CA73" s="851"/>
      <c r="CB73" s="851"/>
      <c r="CC73" s="851"/>
      <c r="CD73" s="851"/>
      <c r="CE73" s="851"/>
      <c r="CF73" s="851"/>
      <c r="CH73" s="647"/>
      <c r="CK73" s="647"/>
      <c r="CL73" s="469" t="s">
        <v>1841</v>
      </c>
      <c r="CM73" s="647"/>
      <c r="CR73" s="638"/>
      <c r="CS73" s="647"/>
      <c r="CU73" s="98"/>
      <c r="CV73" s="98"/>
      <c r="CW73" s="98"/>
      <c r="CX73" s="98"/>
      <c r="DA73" s="647"/>
    </row>
    <row r="74" spans="1:105" s="97" customFormat="1" ht="12" customHeight="1" x14ac:dyDescent="0.2">
      <c r="A74" s="652"/>
      <c r="B74" s="469" t="s">
        <v>1788</v>
      </c>
      <c r="C74" s="390" t="s">
        <v>37</v>
      </c>
      <c r="D74" s="237" t="s">
        <v>1132</v>
      </c>
      <c r="E74" s="647" t="s">
        <v>14</v>
      </c>
      <c r="F74" s="647"/>
      <c r="G74" s="237"/>
      <c r="H74" s="186"/>
      <c r="I74" s="166">
        <v>2000</v>
      </c>
      <c r="J74" s="571">
        <v>2000</v>
      </c>
      <c r="K74" s="571"/>
      <c r="L74" s="494" t="s">
        <v>244</v>
      </c>
      <c r="M74" s="247" t="s">
        <v>1837</v>
      </c>
      <c r="N74" s="494" t="s">
        <v>783</v>
      </c>
      <c r="O74" s="247" t="s">
        <v>19</v>
      </c>
      <c r="P74" s="98">
        <v>15</v>
      </c>
      <c r="Q74" s="247">
        <v>49</v>
      </c>
      <c r="R74" s="552">
        <v>29.750712127751427</v>
      </c>
      <c r="S74" s="552"/>
      <c r="T74" s="552"/>
      <c r="U74" s="553">
        <v>7716</v>
      </c>
      <c r="V74" s="794"/>
      <c r="W74" s="712"/>
      <c r="X74" s="552">
        <v>7.8101855848079369</v>
      </c>
      <c r="Y74" s="552">
        <v>11.223431829963701</v>
      </c>
      <c r="Z74" s="555"/>
      <c r="AA74" s="552">
        <v>36.667537215983351</v>
      </c>
      <c r="AB74" s="555"/>
      <c r="AC74" s="552">
        <v>14.554173146708155</v>
      </c>
      <c r="AD74" s="555"/>
      <c r="AE74" s="555"/>
      <c r="AF74" s="555"/>
      <c r="AG74" s="552">
        <v>8.3095670210008112</v>
      </c>
      <c r="AH74" s="552">
        <v>8.3095670210008112</v>
      </c>
      <c r="AI74" s="555"/>
      <c r="AJ74" s="555"/>
      <c r="AK74" s="552">
        <v>3.8626053143227512</v>
      </c>
      <c r="AL74" s="552">
        <v>3.8626053143227512</v>
      </c>
      <c r="AM74" s="552">
        <v>30.667530784186603</v>
      </c>
      <c r="AN74" s="552">
        <v>30.667530784186603</v>
      </c>
      <c r="AO74" s="552">
        <v>3.5779102929738316</v>
      </c>
      <c r="AP74" s="555"/>
      <c r="AQ74" s="552">
        <v>36.430793157076003</v>
      </c>
      <c r="AR74" s="552">
        <v>36.430793157076003</v>
      </c>
      <c r="AS74" s="552">
        <v>8.7880751782242665</v>
      </c>
      <c r="AT74" s="552">
        <v>8.7880751782242665</v>
      </c>
      <c r="AU74" s="552">
        <v>12.365521710952716</v>
      </c>
      <c r="AV74" s="552">
        <v>12.365521710952716</v>
      </c>
      <c r="AW74" s="552">
        <v>4.5513485477178488</v>
      </c>
      <c r="AX74" s="552">
        <v>4.5513485477178488</v>
      </c>
      <c r="AY74" s="555"/>
      <c r="AZ74" s="555"/>
      <c r="BA74" s="552"/>
      <c r="BB74" s="552"/>
      <c r="BC74" s="555"/>
      <c r="BD74" s="555"/>
      <c r="BE74" s="552"/>
      <c r="BF74" s="552"/>
      <c r="BG74" s="552"/>
      <c r="BH74" s="552"/>
      <c r="BI74" s="552">
        <v>39.761534473820539</v>
      </c>
      <c r="BJ74" s="552">
        <v>39.683773976153276</v>
      </c>
      <c r="BK74" s="552"/>
      <c r="BL74" s="552"/>
      <c r="BM74" s="552">
        <v>11.111111111111077</v>
      </c>
      <c r="BN74" s="552">
        <v>11.111111111111077</v>
      </c>
      <c r="BO74" s="555"/>
      <c r="BP74" s="555"/>
      <c r="BQ74" s="552"/>
      <c r="BR74" s="42"/>
      <c r="BS74" s="42"/>
      <c r="BT74" s="42"/>
      <c r="BU74" s="42">
        <v>12</v>
      </c>
      <c r="BV74" s="42"/>
      <c r="BW74" s="42"/>
      <c r="BX74" s="758"/>
      <c r="BY74" s="851"/>
      <c r="BZ74" s="851"/>
      <c r="CA74" s="851"/>
      <c r="CB74" s="851"/>
      <c r="CC74" s="851"/>
      <c r="CD74" s="851"/>
      <c r="CE74" s="851"/>
      <c r="CF74" s="851"/>
      <c r="CH74" s="647"/>
      <c r="CK74" s="647"/>
      <c r="CL74" s="469" t="s">
        <v>1841</v>
      </c>
      <c r="CM74" s="556" t="s">
        <v>1155</v>
      </c>
      <c r="CR74" s="638"/>
      <c r="CS74" s="647"/>
      <c r="CU74" s="98"/>
      <c r="CV74" s="98"/>
      <c r="CW74" s="98"/>
      <c r="CX74" s="98"/>
      <c r="DA74" s="647"/>
    </row>
    <row r="75" spans="1:105" s="97" customFormat="1" ht="12" customHeight="1" x14ac:dyDescent="0.2">
      <c r="A75" s="652"/>
      <c r="B75" s="469" t="s">
        <v>1789</v>
      </c>
      <c r="C75" s="390" t="s">
        <v>37</v>
      </c>
      <c r="D75" s="237" t="s">
        <v>1132</v>
      </c>
      <c r="E75" s="647" t="s">
        <v>14</v>
      </c>
      <c r="F75" s="647"/>
      <c r="G75" s="237"/>
      <c r="H75" s="186"/>
      <c r="I75" s="481" t="s">
        <v>631</v>
      </c>
      <c r="J75" s="571">
        <v>2005</v>
      </c>
      <c r="K75" s="571"/>
      <c r="L75" s="494" t="s">
        <v>244</v>
      </c>
      <c r="M75" s="247" t="s">
        <v>1837</v>
      </c>
      <c r="N75" s="494" t="s">
        <v>783</v>
      </c>
      <c r="O75" s="247" t="s">
        <v>630</v>
      </c>
      <c r="P75" s="98">
        <v>13</v>
      </c>
      <c r="Q75" s="247">
        <v>49</v>
      </c>
      <c r="R75" s="552">
        <v>28.938128869969077</v>
      </c>
      <c r="S75" s="552"/>
      <c r="T75" s="552"/>
      <c r="U75" s="553">
        <v>25669</v>
      </c>
      <c r="V75" s="794"/>
      <c r="W75" s="712"/>
      <c r="X75" s="552">
        <v>8.1930147058823053</v>
      </c>
      <c r="Y75" s="552">
        <v>13.179321360395798</v>
      </c>
      <c r="Z75" s="555"/>
      <c r="AA75" s="552">
        <v>33.409949744828495</v>
      </c>
      <c r="AB75" s="555"/>
      <c r="AC75" s="552">
        <v>13.888347812536612</v>
      </c>
      <c r="AD75" s="555"/>
      <c r="AE75" s="555"/>
      <c r="AF75" s="555"/>
      <c r="AG75" s="552">
        <v>8.1460127001440874</v>
      </c>
      <c r="AH75" s="552">
        <v>3.9113327359850243</v>
      </c>
      <c r="AI75" s="555"/>
      <c r="AJ75" s="555"/>
      <c r="AK75" s="552">
        <v>3.8373134909813249</v>
      </c>
      <c r="AL75" s="552">
        <v>1.8154193774591878</v>
      </c>
      <c r="AM75" s="552">
        <v>29.642759749113697</v>
      </c>
      <c r="AN75" s="552">
        <v>13.448128092251308</v>
      </c>
      <c r="AO75" s="552">
        <v>2.8322100588258259</v>
      </c>
      <c r="AP75" s="555"/>
      <c r="AQ75" s="552">
        <v>33.643694729050509</v>
      </c>
      <c r="AR75" s="552">
        <v>17.312711831391958</v>
      </c>
      <c r="AS75" s="552">
        <v>9.8484553352293958</v>
      </c>
      <c r="AT75" s="552">
        <v>4.5385484436480006</v>
      </c>
      <c r="AU75" s="552">
        <v>12.614437648525492</v>
      </c>
      <c r="AV75" s="552">
        <v>5.874790603451614</v>
      </c>
      <c r="AW75" s="552">
        <v>5.2242003973664524</v>
      </c>
      <c r="AX75" s="552">
        <v>2.6491098211850734</v>
      </c>
      <c r="AY75" s="555"/>
      <c r="AZ75" s="555"/>
      <c r="BA75" s="552"/>
      <c r="BB75" s="552"/>
      <c r="BC75" s="555"/>
      <c r="BD75" s="555"/>
      <c r="BE75" s="552"/>
      <c r="BF75" s="552"/>
      <c r="BG75" s="552"/>
      <c r="BH75" s="552"/>
      <c r="BI75" s="552">
        <v>38.232887919280174</v>
      </c>
      <c r="BJ75" s="552">
        <v>19.693014920721513</v>
      </c>
      <c r="BK75" s="552"/>
      <c r="BL75" s="552"/>
      <c r="BM75" s="552">
        <v>11.317152986092136</v>
      </c>
      <c r="BN75" s="552">
        <v>6.3111145739997561</v>
      </c>
      <c r="BO75" s="555"/>
      <c r="BP75" s="555"/>
      <c r="BQ75" s="552"/>
      <c r="BR75" s="42"/>
      <c r="BS75" s="42"/>
      <c r="BT75" s="42"/>
      <c r="BU75" s="42">
        <v>12</v>
      </c>
      <c r="BV75" s="42"/>
      <c r="BW75" s="42"/>
      <c r="BX75" s="758"/>
      <c r="BY75" s="851"/>
      <c r="BZ75" s="851"/>
      <c r="CA75" s="851"/>
      <c r="CB75" s="851"/>
      <c r="CC75" s="851"/>
      <c r="CD75" s="851"/>
      <c r="CE75" s="851"/>
      <c r="CF75" s="851"/>
      <c r="CH75" s="647"/>
      <c r="CK75" s="647"/>
      <c r="CL75" s="469" t="s">
        <v>1841</v>
      </c>
      <c r="CM75" s="647"/>
      <c r="CR75" s="638"/>
      <c r="CS75" s="647"/>
      <c r="CU75" s="98"/>
      <c r="CV75" s="98"/>
      <c r="CW75" s="98"/>
      <c r="CX75" s="98"/>
      <c r="DA75" s="647"/>
    </row>
    <row r="76" spans="1:105" s="97" customFormat="1" ht="12" customHeight="1" x14ac:dyDescent="0.2">
      <c r="A76" s="652"/>
      <c r="B76" s="469" t="s">
        <v>1790</v>
      </c>
      <c r="C76" s="390" t="s">
        <v>37</v>
      </c>
      <c r="D76" s="237" t="s">
        <v>1132</v>
      </c>
      <c r="E76" s="647" t="s">
        <v>14</v>
      </c>
      <c r="F76" s="647"/>
      <c r="G76" s="237"/>
      <c r="H76" s="186"/>
      <c r="I76" s="481" t="s">
        <v>510</v>
      </c>
      <c r="J76" s="571">
        <v>2010</v>
      </c>
      <c r="K76" s="571"/>
      <c r="L76" s="494" t="s">
        <v>244</v>
      </c>
      <c r="M76" s="247" t="s">
        <v>1837</v>
      </c>
      <c r="N76" s="494" t="s">
        <v>783</v>
      </c>
      <c r="O76" s="247" t="s">
        <v>19</v>
      </c>
      <c r="P76" s="98">
        <v>15</v>
      </c>
      <c r="Q76" s="247">
        <v>49</v>
      </c>
      <c r="R76" s="552">
        <v>29.208553651837629</v>
      </c>
      <c r="S76" s="552"/>
      <c r="T76" s="552"/>
      <c r="U76" s="553">
        <v>34681</v>
      </c>
      <c r="V76" s="794"/>
      <c r="W76" s="712"/>
      <c r="X76" s="552">
        <v>8.6135161899068553</v>
      </c>
      <c r="Y76" s="552">
        <v>12.17669617369746</v>
      </c>
      <c r="Z76" s="555"/>
      <c r="AA76" s="555"/>
      <c r="AB76" s="555"/>
      <c r="AC76" s="552">
        <v>14.232576915313889</v>
      </c>
      <c r="AD76" s="555"/>
      <c r="AE76" s="555"/>
      <c r="AF76" s="555"/>
      <c r="AG76" s="552">
        <v>7.2431590784579543</v>
      </c>
      <c r="AH76" s="552">
        <v>3.7224993512298008</v>
      </c>
      <c r="AI76" s="555"/>
      <c r="AJ76" s="552"/>
      <c r="AK76" s="552">
        <v>3.2525013696260414</v>
      </c>
      <c r="AL76" s="552">
        <v>1.7098699576136822</v>
      </c>
      <c r="AM76" s="552">
        <v>26.270868775410186</v>
      </c>
      <c r="AN76" s="552">
        <v>12.958103860903739</v>
      </c>
      <c r="AO76" s="555"/>
      <c r="AP76" s="555"/>
      <c r="AQ76" s="552">
        <v>32.28857299385826</v>
      </c>
      <c r="AR76" s="552">
        <v>17.436060090539648</v>
      </c>
      <c r="AS76" s="552">
        <v>8.9962803840719872</v>
      </c>
      <c r="AT76" s="552">
        <v>4.4404717280355168</v>
      </c>
      <c r="AU76" s="552">
        <v>11.525042530492216</v>
      </c>
      <c r="AV76" s="552">
        <v>5.899483867247203</v>
      </c>
      <c r="AW76" s="552">
        <v>5.0113895216400648</v>
      </c>
      <c r="AX76" s="552">
        <v>2.6613996136212843</v>
      </c>
      <c r="AY76" s="552"/>
      <c r="AZ76" s="552"/>
      <c r="BA76" s="552"/>
      <c r="BB76" s="552"/>
      <c r="BC76" s="552"/>
      <c r="BD76" s="552"/>
      <c r="BE76" s="552"/>
      <c r="BF76" s="552"/>
      <c r="BG76" s="552"/>
      <c r="BH76" s="552"/>
      <c r="BI76" s="552">
        <v>35.777515065886014</v>
      </c>
      <c r="BJ76" s="552">
        <v>19.275684092154112</v>
      </c>
      <c r="BK76" s="552"/>
      <c r="BL76" s="552"/>
      <c r="BM76" s="552">
        <v>9.3019232432744285</v>
      </c>
      <c r="BN76" s="552">
        <v>5.3256826504426025</v>
      </c>
      <c r="BO76" s="555"/>
      <c r="BP76" s="555"/>
      <c r="BQ76" s="442">
        <v>37.4</v>
      </c>
      <c r="BR76" s="42"/>
      <c r="BS76" s="42"/>
      <c r="BT76" s="42"/>
      <c r="BU76" s="42">
        <v>12</v>
      </c>
      <c r="BV76" s="42"/>
      <c r="BW76" s="42"/>
      <c r="BX76" s="758"/>
      <c r="BY76" s="851"/>
      <c r="BZ76" s="851"/>
      <c r="CA76" s="851"/>
      <c r="CB76" s="851"/>
      <c r="CC76" s="851"/>
      <c r="CD76" s="851"/>
      <c r="CE76" s="851"/>
      <c r="CF76" s="851"/>
      <c r="CH76" s="647"/>
      <c r="CK76" s="647"/>
      <c r="CL76" s="469" t="s">
        <v>1841</v>
      </c>
      <c r="CM76" s="647"/>
      <c r="CR76" s="638"/>
      <c r="CS76" s="647"/>
      <c r="CU76" s="98"/>
      <c r="CV76" s="98"/>
      <c r="CW76" s="98"/>
      <c r="CX76" s="98"/>
      <c r="DA76" s="647"/>
    </row>
    <row r="77" spans="1:105" s="97" customFormat="1" ht="12" customHeight="1" x14ac:dyDescent="0.2">
      <c r="A77" s="651"/>
      <c r="B77" s="537"/>
      <c r="C77" s="390" t="s">
        <v>37</v>
      </c>
      <c r="D77" s="36" t="s">
        <v>1132</v>
      </c>
      <c r="E77" s="647" t="s">
        <v>14</v>
      </c>
      <c r="F77" s="647"/>
      <c r="G77" s="237"/>
      <c r="H77" s="186"/>
      <c r="I77" s="533">
        <v>1995</v>
      </c>
      <c r="J77" s="390"/>
      <c r="K77" s="390"/>
      <c r="L77" s="494"/>
      <c r="M77" s="247" t="s">
        <v>18</v>
      </c>
      <c r="N77" s="494"/>
      <c r="O77" s="98" t="s">
        <v>19</v>
      </c>
      <c r="P77" s="98"/>
      <c r="Q77" s="247"/>
      <c r="R77" s="291"/>
      <c r="S77" s="291"/>
      <c r="T77" s="291"/>
      <c r="U77" s="395">
        <v>6097</v>
      </c>
      <c r="V77" s="794"/>
      <c r="W77" s="712"/>
      <c r="X77" s="254"/>
      <c r="Y77" s="447"/>
      <c r="Z77" s="447"/>
      <c r="AA77" s="447"/>
      <c r="AB77" s="447"/>
      <c r="AC77" s="447"/>
      <c r="AD77" s="447"/>
      <c r="AE77" s="447"/>
      <c r="AF77" s="447"/>
      <c r="AG77" s="447"/>
      <c r="AH77" s="447"/>
      <c r="AI77" s="447"/>
      <c r="AJ77" s="447"/>
      <c r="AK77" s="447"/>
      <c r="AL77" s="447"/>
      <c r="AM77" s="447"/>
      <c r="AN77" s="447"/>
      <c r="AO77" s="447"/>
      <c r="AP77" s="447"/>
      <c r="AQ77" s="447"/>
      <c r="AR77" s="447"/>
      <c r="AS77" s="447"/>
      <c r="AT77" s="447"/>
      <c r="AU77" s="447"/>
      <c r="AV77" s="447"/>
      <c r="AW77" s="447"/>
      <c r="AX77" s="447"/>
      <c r="AY77" s="447"/>
      <c r="AZ77" s="447"/>
      <c r="BA77" s="447"/>
      <c r="BB77" s="447"/>
      <c r="BC77" s="447"/>
      <c r="BD77" s="447"/>
      <c r="BE77" s="442"/>
      <c r="BF77" s="442"/>
      <c r="BG77" s="447"/>
      <c r="BH77" s="447"/>
      <c r="BI77" s="442">
        <v>19</v>
      </c>
      <c r="BJ77" s="442"/>
      <c r="BK77" s="442"/>
      <c r="BL77" s="442"/>
      <c r="BM77" s="442"/>
      <c r="BN77" s="442"/>
      <c r="BO77" s="442"/>
      <c r="BP77" s="442"/>
      <c r="BQ77" s="444"/>
      <c r="BR77" s="444"/>
      <c r="BS77" s="442"/>
      <c r="BT77" s="442"/>
      <c r="BU77" s="442"/>
      <c r="BV77" s="442"/>
      <c r="BW77" s="442"/>
      <c r="BX77" s="756"/>
      <c r="BY77" s="850"/>
      <c r="BZ77" s="850"/>
      <c r="CA77" s="850"/>
      <c r="CB77" s="850"/>
      <c r="CC77" s="850"/>
      <c r="CD77" s="850"/>
      <c r="CE77" s="850"/>
      <c r="CF77" s="850"/>
      <c r="CG77" s="36" t="s">
        <v>1003</v>
      </c>
      <c r="CH77" s="422" t="s">
        <v>664</v>
      </c>
      <c r="CI77" s="406"/>
      <c r="CJ77" s="23"/>
      <c r="CK77" s="431"/>
      <c r="CL77" s="572"/>
      <c r="CM77" s="648"/>
      <c r="CN77" s="35"/>
      <c r="CO77" s="35"/>
      <c r="CP77" s="35"/>
      <c r="CQ77" s="35"/>
      <c r="CR77" s="406"/>
      <c r="CS77" s="648"/>
      <c r="CU77" s="98"/>
      <c r="CV77" s="98"/>
      <c r="CW77" s="98"/>
      <c r="CX77" s="98"/>
      <c r="DA77" s="647"/>
    </row>
    <row r="78" spans="1:105" s="97" customFormat="1" ht="12" customHeight="1" x14ac:dyDescent="0.2">
      <c r="A78" s="651"/>
      <c r="B78" s="537"/>
      <c r="C78" s="97" t="s">
        <v>141</v>
      </c>
      <c r="D78" s="169" t="s">
        <v>1132</v>
      </c>
      <c r="E78" s="647" t="s">
        <v>521</v>
      </c>
      <c r="F78" s="647"/>
      <c r="G78" s="98"/>
      <c r="I78" s="166">
        <v>1990</v>
      </c>
      <c r="J78" s="571"/>
      <c r="K78" s="571"/>
      <c r="L78" s="493"/>
      <c r="M78" s="98"/>
      <c r="N78" s="493"/>
      <c r="O78" s="98" t="s">
        <v>19</v>
      </c>
      <c r="P78" s="98"/>
      <c r="Q78" s="98"/>
      <c r="R78" s="167"/>
      <c r="S78" s="167"/>
      <c r="T78" s="167"/>
      <c r="U78" s="393">
        <v>1388</v>
      </c>
      <c r="V78" s="694"/>
      <c r="W78" s="711"/>
      <c r="X78" s="167"/>
      <c r="Y78" s="446"/>
      <c r="Z78" s="446"/>
      <c r="AA78" s="446"/>
      <c r="AB78" s="446"/>
      <c r="AC78" s="446"/>
      <c r="AD78" s="446"/>
      <c r="AE78" s="446"/>
      <c r="AF78" s="446"/>
      <c r="AG78" s="446"/>
      <c r="AH78" s="446"/>
      <c r="AI78" s="446"/>
      <c r="AJ78" s="446"/>
      <c r="AK78" s="446"/>
      <c r="AL78" s="446"/>
      <c r="AM78" s="446"/>
      <c r="AN78" s="446"/>
      <c r="AO78" s="446"/>
      <c r="AP78" s="446"/>
      <c r="AQ78" s="446"/>
      <c r="AR78" s="446"/>
      <c r="AS78" s="446"/>
      <c r="AT78" s="446"/>
      <c r="AU78" s="446"/>
      <c r="AV78" s="446"/>
      <c r="AW78" s="446"/>
      <c r="AX78" s="446"/>
      <c r="AY78" s="446"/>
      <c r="AZ78" s="446"/>
      <c r="BA78" s="446"/>
      <c r="BB78" s="446"/>
      <c r="BC78" s="446"/>
      <c r="BD78" s="446"/>
      <c r="BE78" s="442"/>
      <c r="BF78" s="442"/>
      <c r="BG78" s="446"/>
      <c r="BH78" s="446"/>
      <c r="BI78" s="442"/>
      <c r="BJ78" s="442"/>
      <c r="BK78" s="442"/>
      <c r="BL78" s="442"/>
      <c r="BM78" s="442"/>
      <c r="BN78" s="442"/>
      <c r="BO78" s="442"/>
      <c r="BP78" s="442"/>
      <c r="BQ78" s="442"/>
      <c r="BR78" s="442"/>
      <c r="BS78" s="442">
        <v>54</v>
      </c>
      <c r="BT78" s="271"/>
      <c r="BU78" s="271"/>
      <c r="BV78" s="454"/>
      <c r="BW78" s="454"/>
      <c r="BX78" s="756"/>
      <c r="BY78" s="850"/>
      <c r="BZ78" s="850"/>
      <c r="CA78" s="850"/>
      <c r="CB78" s="850"/>
      <c r="CC78" s="850"/>
      <c r="CD78" s="850"/>
      <c r="CE78" s="850"/>
      <c r="CF78" s="850"/>
      <c r="CG78" s="169" t="s">
        <v>524</v>
      </c>
      <c r="CH78" s="417"/>
      <c r="CI78" s="406"/>
      <c r="CJ78" s="23"/>
      <c r="CK78" s="417" t="s">
        <v>1062</v>
      </c>
      <c r="CL78" s="572"/>
      <c r="CM78" s="648"/>
      <c r="CN78" s="35"/>
      <c r="CO78" s="35"/>
      <c r="CP78" s="35"/>
      <c r="CQ78" s="35"/>
      <c r="CR78" s="406"/>
      <c r="CS78" s="648"/>
      <c r="CU78" s="98"/>
      <c r="CV78" s="98"/>
      <c r="CW78" s="98"/>
      <c r="CX78" s="98"/>
      <c r="DA78" s="647"/>
    </row>
    <row r="79" spans="1:105" s="97" customFormat="1" ht="12" customHeight="1" x14ac:dyDescent="0.2">
      <c r="A79" s="651"/>
      <c r="B79" s="537"/>
      <c r="C79" s="97" t="s">
        <v>141</v>
      </c>
      <c r="D79" s="169" t="s">
        <v>1132</v>
      </c>
      <c r="E79" s="647" t="s">
        <v>518</v>
      </c>
      <c r="F79" s="647"/>
      <c r="G79" s="98"/>
      <c r="I79" s="166">
        <v>1994</v>
      </c>
      <c r="J79" s="571"/>
      <c r="K79" s="571"/>
      <c r="L79" s="493"/>
      <c r="M79" s="98"/>
      <c r="N79" s="493"/>
      <c r="O79" s="98" t="s">
        <v>250</v>
      </c>
      <c r="P79" s="98"/>
      <c r="Q79" s="98"/>
      <c r="R79" s="167"/>
      <c r="S79" s="167"/>
      <c r="T79" s="167"/>
      <c r="U79" s="393"/>
      <c r="V79" s="694"/>
      <c r="W79" s="711"/>
      <c r="X79" s="167"/>
      <c r="Y79" s="446"/>
      <c r="Z79" s="446"/>
      <c r="AA79" s="446"/>
      <c r="AB79" s="446"/>
      <c r="AC79" s="446"/>
      <c r="AD79" s="446"/>
      <c r="AE79" s="446"/>
      <c r="AF79" s="446"/>
      <c r="AG79" s="446"/>
      <c r="AH79" s="446"/>
      <c r="AI79" s="446"/>
      <c r="AJ79" s="446"/>
      <c r="AK79" s="446"/>
      <c r="AL79" s="446"/>
      <c r="AM79" s="446"/>
      <c r="AN79" s="446"/>
      <c r="AO79" s="446"/>
      <c r="AP79" s="446"/>
      <c r="AQ79" s="446"/>
      <c r="AR79" s="446"/>
      <c r="AS79" s="446"/>
      <c r="AT79" s="446"/>
      <c r="AU79" s="446"/>
      <c r="AV79" s="446"/>
      <c r="AW79" s="446"/>
      <c r="AX79" s="446"/>
      <c r="AY79" s="446"/>
      <c r="AZ79" s="446"/>
      <c r="BA79" s="446"/>
      <c r="BB79" s="446"/>
      <c r="BC79" s="446"/>
      <c r="BD79" s="446"/>
      <c r="BE79" s="442"/>
      <c r="BF79" s="442"/>
      <c r="BG79" s="446"/>
      <c r="BH79" s="446"/>
      <c r="BI79" s="442"/>
      <c r="BJ79" s="442"/>
      <c r="BK79" s="442"/>
      <c r="BL79" s="442"/>
      <c r="BM79" s="442"/>
      <c r="BN79" s="442"/>
      <c r="BO79" s="442"/>
      <c r="BP79" s="442"/>
      <c r="BQ79" s="442"/>
      <c r="BR79" s="442"/>
      <c r="BS79" s="442">
        <v>10</v>
      </c>
      <c r="BT79" s="271"/>
      <c r="BU79" s="271"/>
      <c r="BV79" s="454"/>
      <c r="BW79" s="454"/>
      <c r="BX79" s="756"/>
      <c r="BY79" s="850"/>
      <c r="BZ79" s="850"/>
      <c r="CA79" s="850"/>
      <c r="CB79" s="850"/>
      <c r="CC79" s="850"/>
      <c r="CD79" s="850"/>
      <c r="CE79" s="850"/>
      <c r="CF79" s="850"/>
      <c r="CG79" s="169" t="s">
        <v>525</v>
      </c>
      <c r="CH79" s="419" t="s">
        <v>661</v>
      </c>
      <c r="CI79" s="407"/>
      <c r="CJ79" s="23"/>
      <c r="CK79" s="648" t="s">
        <v>519</v>
      </c>
      <c r="CL79" s="572"/>
      <c r="CM79" s="648"/>
      <c r="CN79" s="35"/>
      <c r="CO79" s="35"/>
      <c r="CP79" s="35"/>
      <c r="CQ79" s="35"/>
      <c r="CR79" s="406"/>
      <c r="CS79" s="648"/>
      <c r="CU79" s="98"/>
      <c r="CV79" s="98"/>
      <c r="CW79" s="98"/>
      <c r="CX79" s="98"/>
      <c r="DA79" s="647"/>
    </row>
    <row r="80" spans="1:105" s="97" customFormat="1" ht="12" customHeight="1" x14ac:dyDescent="0.2">
      <c r="A80" s="651"/>
      <c r="B80" s="537"/>
      <c r="C80" s="97" t="s">
        <v>141</v>
      </c>
      <c r="D80" s="169" t="s">
        <v>1132</v>
      </c>
      <c r="E80" s="647" t="s">
        <v>14</v>
      </c>
      <c r="F80" s="647"/>
      <c r="G80" s="98"/>
      <c r="I80" s="166">
        <v>2003</v>
      </c>
      <c r="J80" s="571"/>
      <c r="K80" s="571"/>
      <c r="L80" s="493" t="s">
        <v>258</v>
      </c>
      <c r="M80" s="98" t="s">
        <v>17</v>
      </c>
      <c r="N80" s="494" t="s">
        <v>783</v>
      </c>
      <c r="O80" s="247"/>
      <c r="P80" s="247"/>
      <c r="Q80" s="237"/>
      <c r="R80" s="254"/>
      <c r="S80" s="254"/>
      <c r="T80" s="254"/>
      <c r="U80" s="393">
        <v>874</v>
      </c>
      <c r="V80" s="694"/>
      <c r="W80" s="711"/>
      <c r="X80" s="167"/>
      <c r="Y80" s="446"/>
      <c r="Z80" s="446"/>
      <c r="AA80" s="446"/>
      <c r="AB80" s="446"/>
      <c r="AC80" s="446"/>
      <c r="AD80" s="446"/>
      <c r="AE80" s="446"/>
      <c r="AF80" s="446"/>
      <c r="AG80" s="446"/>
      <c r="AH80" s="446"/>
      <c r="AI80" s="446"/>
      <c r="AJ80" s="446"/>
      <c r="AK80" s="446"/>
      <c r="AL80" s="446"/>
      <c r="AM80" s="446"/>
      <c r="AN80" s="446"/>
      <c r="AO80" s="446"/>
      <c r="AP80" s="446"/>
      <c r="AQ80" s="446"/>
      <c r="AR80" s="446"/>
      <c r="AS80" s="446"/>
      <c r="AT80" s="446"/>
      <c r="AU80" s="446"/>
      <c r="AV80" s="446"/>
      <c r="AW80" s="446"/>
      <c r="AX80" s="446"/>
      <c r="AY80" s="446"/>
      <c r="AZ80" s="446"/>
      <c r="BA80" s="446"/>
      <c r="BB80" s="446"/>
      <c r="BC80" s="446"/>
      <c r="BD80" s="446"/>
      <c r="BE80" s="446"/>
      <c r="BF80" s="446"/>
      <c r="BG80" s="446"/>
      <c r="BH80" s="446"/>
      <c r="BI80" s="445">
        <v>33</v>
      </c>
      <c r="BJ80" s="446">
        <v>7</v>
      </c>
      <c r="BK80" s="446"/>
      <c r="BL80" s="446"/>
      <c r="BM80" s="446"/>
      <c r="BN80" s="446"/>
      <c r="BO80" s="446"/>
      <c r="BP80" s="446"/>
      <c r="BQ80" s="444"/>
      <c r="BR80" s="445"/>
      <c r="BS80" s="442"/>
      <c r="BT80" s="271"/>
      <c r="BU80" s="271"/>
      <c r="BV80" s="454"/>
      <c r="BW80" s="454"/>
      <c r="BX80" s="756"/>
      <c r="BY80" s="850"/>
      <c r="BZ80" s="850"/>
      <c r="CA80" s="850"/>
      <c r="CB80" s="850"/>
      <c r="CC80" s="850"/>
      <c r="CD80" s="850"/>
      <c r="CE80" s="850"/>
      <c r="CF80" s="850"/>
      <c r="CG80" s="169" t="s">
        <v>770</v>
      </c>
      <c r="CH80" s="423" t="s">
        <v>1141</v>
      </c>
      <c r="CI80" s="407"/>
      <c r="CJ80" s="23"/>
      <c r="CK80" s="417" t="s">
        <v>1145</v>
      </c>
      <c r="CL80" s="572"/>
      <c r="CM80" s="648"/>
      <c r="CN80" s="35"/>
      <c r="CO80" s="35"/>
      <c r="CP80" s="35"/>
      <c r="CQ80" s="35"/>
      <c r="CR80" s="406"/>
      <c r="CS80" s="648"/>
      <c r="CU80" s="98"/>
      <c r="CV80" s="98"/>
      <c r="CW80" s="98"/>
      <c r="CX80" s="98"/>
      <c r="DA80" s="647"/>
    </row>
    <row r="81" spans="1:105" x14ac:dyDescent="0.2">
      <c r="A81" s="652"/>
      <c r="B81" s="469" t="s">
        <v>1826</v>
      </c>
      <c r="C81" s="390" t="s">
        <v>373</v>
      </c>
      <c r="D81" s="237" t="s">
        <v>1131</v>
      </c>
      <c r="E81" s="647" t="s">
        <v>14</v>
      </c>
      <c r="F81" s="647"/>
      <c r="G81" s="237"/>
      <c r="H81" s="186"/>
      <c r="I81" s="481" t="s">
        <v>1834</v>
      </c>
      <c r="J81" s="571">
        <v>2012</v>
      </c>
      <c r="K81" s="571"/>
      <c r="L81" s="494" t="s">
        <v>244</v>
      </c>
      <c r="M81" s="247" t="s">
        <v>1837</v>
      </c>
      <c r="N81" s="494" t="s">
        <v>783</v>
      </c>
      <c r="O81" s="247" t="s">
        <v>19</v>
      </c>
      <c r="P81" s="98">
        <v>15</v>
      </c>
      <c r="Q81" s="247">
        <v>49</v>
      </c>
      <c r="R81" s="552">
        <v>29.395751859519997</v>
      </c>
      <c r="S81" s="552"/>
      <c r="T81" s="552"/>
      <c r="U81" s="553">
        <v>5005</v>
      </c>
      <c r="V81" s="794"/>
      <c r="W81" s="712"/>
      <c r="X81" s="552">
        <v>2.8858524602748123</v>
      </c>
      <c r="Y81" s="552">
        <v>15.804195804195803</v>
      </c>
      <c r="Z81" s="552">
        <v>13.466585907530803</v>
      </c>
      <c r="AA81" s="552">
        <v>18.04195804195804</v>
      </c>
      <c r="AB81" s="552">
        <v>18.04195804195804</v>
      </c>
      <c r="AC81" s="555"/>
      <c r="AD81" s="555"/>
      <c r="AE81" s="552">
        <v>7.49400479616307</v>
      </c>
      <c r="AF81" s="552">
        <v>6.3204508856682926</v>
      </c>
      <c r="AG81" s="554">
        <v>0.35978412952228706</v>
      </c>
      <c r="AH81" s="554">
        <v>0.22013207924754827</v>
      </c>
      <c r="AI81" s="555"/>
      <c r="AJ81" s="555"/>
      <c r="AK81" s="554">
        <v>0.23976023976023947</v>
      </c>
      <c r="AL81" s="554">
        <v>0.15993602558976436</v>
      </c>
      <c r="AM81" s="552">
        <v>19.812075169932047</v>
      </c>
      <c r="AN81" s="552">
        <v>16.84529828109207</v>
      </c>
      <c r="AO81" s="555"/>
      <c r="AP81" s="555"/>
      <c r="AQ81" s="552">
        <v>10.611510791366888</v>
      </c>
      <c r="AR81" s="552">
        <v>8.6422240128928269</v>
      </c>
      <c r="AS81" s="552">
        <v>12.969624300559527</v>
      </c>
      <c r="AT81" s="552">
        <v>10.453172205438085</v>
      </c>
      <c r="AU81" s="552">
        <v>4.5154845154845464</v>
      </c>
      <c r="AV81" s="552">
        <v>3.6086607858861215</v>
      </c>
      <c r="AW81" s="552">
        <v>1.5996800639871998</v>
      </c>
      <c r="AX81" s="552">
        <v>1.2417384338073283</v>
      </c>
      <c r="AY81" s="555"/>
      <c r="AZ81" s="555"/>
      <c r="BA81" s="552"/>
      <c r="BB81" s="552"/>
      <c r="BC81" s="555"/>
      <c r="BD81" s="555"/>
      <c r="BE81" s="552"/>
      <c r="BF81" s="552"/>
      <c r="BG81" s="552"/>
      <c r="BH81" s="552"/>
      <c r="BI81" s="552">
        <v>24.815184815184676</v>
      </c>
      <c r="BJ81" s="552">
        <v>21.00319744204641</v>
      </c>
      <c r="BK81" s="552"/>
      <c r="BL81" s="552"/>
      <c r="BM81" s="552">
        <v>4.6762589928057601</v>
      </c>
      <c r="BN81" s="552">
        <v>3.7728276138872143</v>
      </c>
      <c r="BO81" s="552">
        <v>1.5181781861765913</v>
      </c>
      <c r="BP81" s="552">
        <v>1.1211211211211223</v>
      </c>
      <c r="BQ81" s="552"/>
      <c r="BR81" s="42"/>
      <c r="BS81" s="42"/>
      <c r="BT81" s="42"/>
      <c r="BU81" s="42">
        <v>12</v>
      </c>
      <c r="BV81" s="42"/>
      <c r="BW81" s="42"/>
      <c r="BX81" s="758"/>
      <c r="BY81" s="851"/>
      <c r="BZ81" s="851"/>
      <c r="CA81" s="851"/>
      <c r="CB81" s="851"/>
      <c r="CC81" s="851"/>
      <c r="CD81" s="851"/>
      <c r="CE81" s="851"/>
      <c r="CF81" s="851"/>
      <c r="CG81" s="97"/>
      <c r="CH81" s="647"/>
      <c r="CI81" s="97"/>
      <c r="CJ81" s="97"/>
      <c r="CK81" s="647"/>
      <c r="CL81" s="469" t="s">
        <v>1841</v>
      </c>
      <c r="CM81" s="647"/>
      <c r="CN81" s="97"/>
      <c r="CO81" s="97"/>
      <c r="CP81" s="97"/>
      <c r="CQ81" s="97"/>
      <c r="CR81" s="638"/>
      <c r="CS81" s="647"/>
    </row>
    <row r="82" spans="1:105" s="97" customFormat="1" ht="12" customHeight="1" x14ac:dyDescent="0.2">
      <c r="A82" s="647"/>
      <c r="B82" s="469"/>
      <c r="C82" s="390" t="s">
        <v>373</v>
      </c>
      <c r="D82" s="169" t="s">
        <v>1131</v>
      </c>
      <c r="E82" s="647" t="s">
        <v>14</v>
      </c>
      <c r="F82" s="647"/>
      <c r="G82" s="98"/>
      <c r="I82" s="166">
        <v>2005</v>
      </c>
      <c r="J82" s="571"/>
      <c r="K82" s="571"/>
      <c r="L82" s="493" t="s">
        <v>244</v>
      </c>
      <c r="M82" s="98" t="s">
        <v>17</v>
      </c>
      <c r="N82" s="494" t="s">
        <v>783</v>
      </c>
      <c r="O82" s="98" t="s">
        <v>234</v>
      </c>
      <c r="P82" s="98">
        <v>15</v>
      </c>
      <c r="Q82" s="98"/>
      <c r="R82" s="167"/>
      <c r="S82" s="167"/>
      <c r="T82" s="167"/>
      <c r="U82" s="393">
        <v>5183</v>
      </c>
      <c r="V82" s="694"/>
      <c r="W82" s="711"/>
      <c r="X82" s="167"/>
      <c r="Y82" s="446"/>
      <c r="Z82" s="446"/>
      <c r="AA82" s="446"/>
      <c r="AB82" s="446"/>
      <c r="AC82" s="446"/>
      <c r="AD82" s="446"/>
      <c r="AE82" s="446"/>
      <c r="AF82" s="446"/>
      <c r="AG82" s="446"/>
      <c r="AH82" s="446"/>
      <c r="AI82" s="446"/>
      <c r="AJ82" s="446"/>
      <c r="AK82" s="446"/>
      <c r="AL82" s="446"/>
      <c r="AM82" s="446"/>
      <c r="AN82" s="446"/>
      <c r="AO82" s="446"/>
      <c r="AP82" s="446"/>
      <c r="AQ82" s="446"/>
      <c r="AR82" s="446"/>
      <c r="AS82" s="446"/>
      <c r="AT82" s="446"/>
      <c r="AU82" s="446"/>
      <c r="AV82" s="446"/>
      <c r="AW82" s="446"/>
      <c r="AX82" s="446"/>
      <c r="AY82" s="446"/>
      <c r="AZ82" s="446"/>
      <c r="BA82" s="446"/>
      <c r="BB82" s="446"/>
      <c r="BC82" s="446"/>
      <c r="BD82" s="446"/>
      <c r="BE82" s="445"/>
      <c r="BF82" s="445"/>
      <c r="BG82" s="446"/>
      <c r="BH82" s="446"/>
      <c r="BI82" s="446"/>
      <c r="BJ82" s="445">
        <v>12.3</v>
      </c>
      <c r="BK82" s="445"/>
      <c r="BL82" s="445"/>
      <c r="BM82" s="445"/>
      <c r="BN82" s="445"/>
      <c r="BO82" s="445"/>
      <c r="BP82" s="445"/>
      <c r="BQ82" s="444"/>
      <c r="BR82" s="445"/>
      <c r="BS82" s="271"/>
      <c r="BT82" s="271"/>
      <c r="BU82" s="271"/>
      <c r="BV82" s="454"/>
      <c r="BW82" s="454"/>
      <c r="BX82" s="756"/>
      <c r="BY82" s="850"/>
      <c r="BZ82" s="850"/>
      <c r="CA82" s="850"/>
      <c r="CB82" s="850"/>
      <c r="CC82" s="850"/>
      <c r="CD82" s="850"/>
      <c r="CE82" s="850"/>
      <c r="CF82" s="850"/>
      <c r="CG82" s="169"/>
      <c r="CH82" s="419" t="s">
        <v>778</v>
      </c>
      <c r="CI82" s="406"/>
      <c r="CJ82" s="23">
        <v>149</v>
      </c>
      <c r="CK82" s="648"/>
      <c r="CL82" s="572"/>
      <c r="CM82" s="648"/>
      <c r="CN82" s="35"/>
      <c r="CO82" s="35"/>
      <c r="CP82" s="35"/>
      <c r="CQ82" s="35"/>
      <c r="CR82" s="406"/>
      <c r="CS82" s="648"/>
      <c r="CU82" s="98"/>
      <c r="CV82" s="98"/>
      <c r="CW82" s="98"/>
      <c r="CX82" s="98"/>
      <c r="DA82" s="647"/>
    </row>
    <row r="83" spans="1:105" s="35" customFormat="1" ht="12" customHeight="1" x14ac:dyDescent="0.2">
      <c r="A83" s="651"/>
      <c r="B83" s="537"/>
      <c r="C83" s="97" t="s">
        <v>350</v>
      </c>
      <c r="D83" s="169" t="s">
        <v>1130</v>
      </c>
      <c r="E83" s="647" t="s">
        <v>14</v>
      </c>
      <c r="F83" s="647"/>
      <c r="G83" s="98"/>
      <c r="H83" s="97"/>
      <c r="I83" s="166">
        <v>2003</v>
      </c>
      <c r="J83" s="571"/>
      <c r="K83" s="571"/>
      <c r="L83" s="493" t="s">
        <v>258</v>
      </c>
      <c r="M83" s="98" t="s">
        <v>17</v>
      </c>
      <c r="N83" s="494" t="s">
        <v>783</v>
      </c>
      <c r="O83" s="247"/>
      <c r="P83" s="247"/>
      <c r="Q83" s="98"/>
      <c r="R83" s="167"/>
      <c r="S83" s="167"/>
      <c r="T83" s="167"/>
      <c r="U83" s="393">
        <v>999999999</v>
      </c>
      <c r="V83" s="694"/>
      <c r="W83" s="711"/>
      <c r="X83" s="167"/>
      <c r="Y83" s="446"/>
      <c r="Z83" s="446"/>
      <c r="AA83" s="446"/>
      <c r="AB83" s="446"/>
      <c r="AC83" s="446"/>
      <c r="AD83" s="446"/>
      <c r="AE83" s="446"/>
      <c r="AF83" s="446"/>
      <c r="AG83" s="446"/>
      <c r="AH83" s="446"/>
      <c r="AI83" s="446"/>
      <c r="AJ83" s="446"/>
      <c r="AK83" s="446"/>
      <c r="AL83" s="446"/>
      <c r="AM83" s="446"/>
      <c r="AN83" s="446"/>
      <c r="AO83" s="446"/>
      <c r="AP83" s="446"/>
      <c r="AQ83" s="446"/>
      <c r="AR83" s="446"/>
      <c r="AS83" s="446"/>
      <c r="AT83" s="446"/>
      <c r="AU83" s="446"/>
      <c r="AV83" s="446"/>
      <c r="AW83" s="446"/>
      <c r="AX83" s="446"/>
      <c r="AY83" s="446"/>
      <c r="AZ83" s="446"/>
      <c r="BA83" s="446"/>
      <c r="BB83" s="446"/>
      <c r="BC83" s="446"/>
      <c r="BD83" s="446"/>
      <c r="BE83" s="446"/>
      <c r="BF83" s="446"/>
      <c r="BG83" s="446"/>
      <c r="BH83" s="446"/>
      <c r="BI83" s="448">
        <v>35</v>
      </c>
      <c r="BJ83" s="446">
        <v>8</v>
      </c>
      <c r="BK83" s="446"/>
      <c r="BL83" s="446"/>
      <c r="BM83" s="446"/>
      <c r="BN83" s="446"/>
      <c r="BO83" s="446"/>
      <c r="BP83" s="446"/>
      <c r="BQ83" s="448">
        <v>37</v>
      </c>
      <c r="BR83" s="445">
        <v>9</v>
      </c>
      <c r="BS83" s="442"/>
      <c r="BT83" s="271"/>
      <c r="BU83" s="271"/>
      <c r="BV83" s="454"/>
      <c r="BW83" s="454"/>
      <c r="BX83" s="756"/>
      <c r="BY83" s="850"/>
      <c r="BZ83" s="850"/>
      <c r="CA83" s="850"/>
      <c r="CB83" s="850"/>
      <c r="CC83" s="850"/>
      <c r="CD83" s="850"/>
      <c r="CE83" s="850"/>
      <c r="CF83" s="850"/>
      <c r="CG83" s="169" t="s">
        <v>553</v>
      </c>
      <c r="CH83" s="419" t="s">
        <v>659</v>
      </c>
      <c r="CI83" s="406"/>
      <c r="CJ83" s="23"/>
      <c r="CK83" s="648"/>
      <c r="CL83" s="572"/>
      <c r="CM83" s="648"/>
      <c r="CR83" s="406"/>
      <c r="CS83" s="648"/>
      <c r="CU83" s="23"/>
      <c r="CV83" s="23"/>
      <c r="CW83" s="23"/>
      <c r="CX83" s="23"/>
      <c r="DA83" s="648"/>
    </row>
    <row r="84" spans="1:105" s="35" customFormat="1" x14ac:dyDescent="0.2">
      <c r="A84" s="652"/>
      <c r="B84" s="469" t="s">
        <v>1792</v>
      </c>
      <c r="C84" s="390" t="s">
        <v>375</v>
      </c>
      <c r="D84" s="237" t="s">
        <v>1131</v>
      </c>
      <c r="E84" s="647" t="s">
        <v>14</v>
      </c>
      <c r="F84" s="647"/>
      <c r="G84" s="237"/>
      <c r="H84" s="186"/>
      <c r="I84" s="166">
        <v>2007</v>
      </c>
      <c r="J84" s="571">
        <v>2007</v>
      </c>
      <c r="K84" s="571"/>
      <c r="L84" s="494" t="s">
        <v>244</v>
      </c>
      <c r="M84" s="247" t="s">
        <v>1837</v>
      </c>
      <c r="N84" s="494" t="s">
        <v>783</v>
      </c>
      <c r="O84" s="247" t="s">
        <v>19</v>
      </c>
      <c r="P84" s="98">
        <v>15</v>
      </c>
      <c r="Q84" s="247">
        <v>49</v>
      </c>
      <c r="R84" s="552">
        <v>29.247286527514277</v>
      </c>
      <c r="S84" s="552"/>
      <c r="T84" s="552"/>
      <c r="U84" s="553">
        <v>2853</v>
      </c>
      <c r="V84" s="794"/>
      <c r="W84" s="712"/>
      <c r="X84" s="552">
        <v>5.1841824283099376</v>
      </c>
      <c r="Y84" s="552">
        <v>31.394533987386144</v>
      </c>
      <c r="Z84" s="552">
        <v>29.130747126436756</v>
      </c>
      <c r="AA84" s="552">
        <v>41.836019621583716</v>
      </c>
      <c r="AB84" s="552">
        <v>41.836019621583716</v>
      </c>
      <c r="AC84" s="555"/>
      <c r="AD84" s="555"/>
      <c r="AE84" s="552">
        <v>29.292221443587927</v>
      </c>
      <c r="AF84" s="552">
        <v>27.253141831238736</v>
      </c>
      <c r="AG84" s="552">
        <v>3.4712482468443109</v>
      </c>
      <c r="AH84" s="552">
        <v>3.0292356463543477</v>
      </c>
      <c r="AI84" s="555"/>
      <c r="AJ84" s="555"/>
      <c r="AK84" s="552">
        <v>2.3149772009821121</v>
      </c>
      <c r="AL84" s="552">
        <v>2.0056298381421507</v>
      </c>
      <c r="AM84" s="552">
        <v>42.441248684672075</v>
      </c>
      <c r="AN84" s="552">
        <v>39.877078814172002</v>
      </c>
      <c r="AO84" s="555"/>
      <c r="AP84" s="555"/>
      <c r="AQ84" s="552">
        <v>30.280701754385955</v>
      </c>
      <c r="AR84" s="552">
        <v>28.191298094210726</v>
      </c>
      <c r="AS84" s="552">
        <v>19.221325850578769</v>
      </c>
      <c r="AT84" s="552">
        <v>17.048710601719236</v>
      </c>
      <c r="AU84" s="552">
        <v>14.521220624342343</v>
      </c>
      <c r="AV84" s="552">
        <v>12.838801711840256</v>
      </c>
      <c r="AW84" s="552">
        <v>7.4710627849877316</v>
      </c>
      <c r="AX84" s="552">
        <v>6.7844522968197856</v>
      </c>
      <c r="AY84" s="555"/>
      <c r="AZ84" s="555"/>
      <c r="BA84" s="552"/>
      <c r="BB84" s="552"/>
      <c r="BC84" s="555"/>
      <c r="BD84" s="555"/>
      <c r="BE84" s="552"/>
      <c r="BF84" s="552"/>
      <c r="BG84" s="552"/>
      <c r="BH84" s="552"/>
      <c r="BI84" s="552">
        <v>52.821591307395757</v>
      </c>
      <c r="BJ84" s="552">
        <v>48.718848718848669</v>
      </c>
      <c r="BK84" s="552"/>
      <c r="BL84" s="552"/>
      <c r="BM84" s="552">
        <v>26.870389884088549</v>
      </c>
      <c r="BN84" s="552">
        <v>25.098743267504432</v>
      </c>
      <c r="BO84" s="552">
        <v>13.253856942496515</v>
      </c>
      <c r="BP84" s="552">
        <v>12.442559208200796</v>
      </c>
      <c r="BQ84" s="552"/>
      <c r="BR84" s="42"/>
      <c r="BS84" s="442"/>
      <c r="BT84" s="42"/>
      <c r="BU84" s="42">
        <v>12</v>
      </c>
      <c r="BV84" s="42"/>
      <c r="BW84" s="42"/>
      <c r="BX84" s="758"/>
      <c r="BY84" s="851"/>
      <c r="BZ84" s="851"/>
      <c r="CA84" s="851"/>
      <c r="CB84" s="851"/>
      <c r="CC84" s="851"/>
      <c r="CD84" s="851"/>
      <c r="CE84" s="851"/>
      <c r="CF84" s="851"/>
      <c r="CG84" s="97"/>
      <c r="CH84" s="647"/>
      <c r="CI84" s="97"/>
      <c r="CJ84" s="97"/>
      <c r="CK84" s="647"/>
      <c r="CL84" s="469" t="s">
        <v>1841</v>
      </c>
      <c r="CM84" s="647"/>
      <c r="CN84" s="97"/>
      <c r="CO84" s="97"/>
      <c r="CP84" s="97"/>
      <c r="CQ84" s="97"/>
      <c r="CR84" s="638"/>
      <c r="CS84" s="647"/>
      <c r="CU84" s="23"/>
      <c r="CV84" s="23"/>
      <c r="CW84" s="23"/>
      <c r="CX84" s="23"/>
      <c r="DA84" s="648"/>
    </row>
    <row r="85" spans="1:105" s="35" customFormat="1" ht="12" customHeight="1" x14ac:dyDescent="0.2">
      <c r="A85" s="651"/>
      <c r="B85" s="537"/>
      <c r="C85" s="97" t="s">
        <v>144</v>
      </c>
      <c r="D85" s="169" t="s">
        <v>1130</v>
      </c>
      <c r="E85" s="647" t="s">
        <v>14</v>
      </c>
      <c r="F85" s="647"/>
      <c r="G85" s="98"/>
      <c r="H85" s="97"/>
      <c r="I85" s="166">
        <v>2003</v>
      </c>
      <c r="J85" s="571"/>
      <c r="K85" s="571"/>
      <c r="L85" s="493" t="s">
        <v>258</v>
      </c>
      <c r="M85" s="98" t="s">
        <v>17</v>
      </c>
      <c r="N85" s="494" t="s">
        <v>783</v>
      </c>
      <c r="O85" s="247"/>
      <c r="P85" s="247"/>
      <c r="Q85" s="98"/>
      <c r="R85" s="167"/>
      <c r="S85" s="167"/>
      <c r="T85" s="167"/>
      <c r="U85" s="393">
        <v>3589</v>
      </c>
      <c r="V85" s="694"/>
      <c r="W85" s="711"/>
      <c r="X85" s="167"/>
      <c r="Y85" s="446"/>
      <c r="Z85" s="446"/>
      <c r="AA85" s="446"/>
      <c r="AB85" s="446"/>
      <c r="AC85" s="446"/>
      <c r="AD85" s="446"/>
      <c r="AE85" s="446"/>
      <c r="AF85" s="446"/>
      <c r="AG85" s="446"/>
      <c r="AH85" s="446"/>
      <c r="AI85" s="446"/>
      <c r="AJ85" s="446"/>
      <c r="AK85" s="446"/>
      <c r="AL85" s="446"/>
      <c r="AM85" s="446"/>
      <c r="AN85" s="446"/>
      <c r="AO85" s="446"/>
      <c r="AP85" s="446"/>
      <c r="AQ85" s="446"/>
      <c r="AR85" s="446"/>
      <c r="AS85" s="446"/>
      <c r="AT85" s="446"/>
      <c r="AU85" s="446"/>
      <c r="AV85" s="446"/>
      <c r="AW85" s="446"/>
      <c r="AX85" s="446"/>
      <c r="AY85" s="446"/>
      <c r="AZ85" s="446"/>
      <c r="BA85" s="446"/>
      <c r="BB85" s="446"/>
      <c r="BC85" s="446"/>
      <c r="BD85" s="446"/>
      <c r="BE85" s="446"/>
      <c r="BF85" s="446"/>
      <c r="BG85" s="446"/>
      <c r="BH85" s="446"/>
      <c r="BI85" s="445">
        <v>20</v>
      </c>
      <c r="BJ85" s="446">
        <v>1</v>
      </c>
      <c r="BK85" s="446"/>
      <c r="BL85" s="446"/>
      <c r="BM85" s="446"/>
      <c r="BN85" s="446"/>
      <c r="BO85" s="446"/>
      <c r="BP85" s="446"/>
      <c r="BQ85" s="442">
        <v>22</v>
      </c>
      <c r="BR85" s="271"/>
      <c r="BS85" s="271"/>
      <c r="BT85" s="271"/>
      <c r="BU85" s="271"/>
      <c r="BV85" s="454"/>
      <c r="BW85" s="454"/>
      <c r="BX85" s="756"/>
      <c r="BY85" s="850"/>
      <c r="BZ85" s="850"/>
      <c r="CA85" s="850"/>
      <c r="CB85" s="850"/>
      <c r="CC85" s="850"/>
      <c r="CD85" s="850"/>
      <c r="CE85" s="850"/>
      <c r="CF85" s="850"/>
      <c r="CG85" s="169" t="s">
        <v>553</v>
      </c>
      <c r="CH85" s="419" t="s">
        <v>659</v>
      </c>
      <c r="CI85" s="406"/>
      <c r="CJ85" s="23"/>
      <c r="CK85" s="419" t="s">
        <v>1152</v>
      </c>
      <c r="CL85" s="572"/>
      <c r="CM85" s="648"/>
      <c r="CR85" s="406"/>
      <c r="CS85" s="648"/>
      <c r="CU85" s="23"/>
      <c r="CV85" s="23"/>
      <c r="CW85" s="23"/>
      <c r="CX85" s="23"/>
      <c r="DA85" s="648"/>
    </row>
    <row r="86" spans="1:105" s="35" customFormat="1" ht="12" customHeight="1" x14ac:dyDescent="0.2">
      <c r="A86" s="652"/>
      <c r="B86" s="469" t="s">
        <v>1829</v>
      </c>
      <c r="C86" s="390" t="s">
        <v>38</v>
      </c>
      <c r="D86" s="237" t="s">
        <v>1132</v>
      </c>
      <c r="E86" s="647" t="s">
        <v>14</v>
      </c>
      <c r="F86" s="647"/>
      <c r="G86" s="237"/>
      <c r="H86" s="186"/>
      <c r="I86" s="166">
        <v>1999</v>
      </c>
      <c r="J86" s="571">
        <v>1999</v>
      </c>
      <c r="K86" s="571"/>
      <c r="L86" s="494" t="s">
        <v>244</v>
      </c>
      <c r="M86" s="247" t="s">
        <v>1837</v>
      </c>
      <c r="N86" s="494" t="s">
        <v>783</v>
      </c>
      <c r="O86" s="247" t="s">
        <v>19</v>
      </c>
      <c r="P86" s="98">
        <v>15</v>
      </c>
      <c r="Q86" s="247">
        <v>49</v>
      </c>
      <c r="R86" s="552">
        <v>31.848379052369086</v>
      </c>
      <c r="S86" s="552"/>
      <c r="T86" s="552"/>
      <c r="U86" s="553">
        <v>743</v>
      </c>
      <c r="V86" s="794"/>
      <c r="W86" s="712"/>
      <c r="X86" s="552">
        <v>7.3881347410759162</v>
      </c>
      <c r="Y86" s="552">
        <v>18.034993270524883</v>
      </c>
      <c r="Z86" s="552">
        <v>12.347354138398924</v>
      </c>
      <c r="AA86" s="555"/>
      <c r="AB86" s="555"/>
      <c r="AC86" s="555"/>
      <c r="AD86" s="555"/>
      <c r="AE86" s="552">
        <v>10.767160161507396</v>
      </c>
      <c r="AF86" s="552">
        <v>6.8825910931174095</v>
      </c>
      <c r="AG86" s="552">
        <v>3.903095558546434</v>
      </c>
      <c r="AH86" s="552">
        <v>1.6172506738544463</v>
      </c>
      <c r="AI86" s="555"/>
      <c r="AJ86" s="555"/>
      <c r="AK86" s="552">
        <v>1.4804845222072678</v>
      </c>
      <c r="AL86" s="552">
        <v>0.53908355795148188</v>
      </c>
      <c r="AM86" s="552">
        <v>13.189771197846566</v>
      </c>
      <c r="AN86" s="552">
        <v>6.351351351351358</v>
      </c>
      <c r="AO86" s="555"/>
      <c r="AP86" s="555"/>
      <c r="AQ86" s="552">
        <v>18.573351278600271</v>
      </c>
      <c r="AR86" s="552">
        <v>10.540540540540549</v>
      </c>
      <c r="AS86" s="552">
        <v>9.8250336473754967</v>
      </c>
      <c r="AT86" s="552">
        <v>4.858299595141701</v>
      </c>
      <c r="AU86" s="552">
        <v>2.2880215343203227</v>
      </c>
      <c r="AV86" s="552">
        <v>1.4804845222072702</v>
      </c>
      <c r="AW86" s="552">
        <v>3.0955585464333768</v>
      </c>
      <c r="AX86" s="552">
        <v>1.3477088948787082</v>
      </c>
      <c r="AY86" s="555"/>
      <c r="AZ86" s="555"/>
      <c r="BA86" s="552"/>
      <c r="BB86" s="552"/>
      <c r="BC86" s="555"/>
      <c r="BD86" s="555"/>
      <c r="BE86" s="552"/>
      <c r="BF86" s="552"/>
      <c r="BG86" s="552"/>
      <c r="BH86" s="552"/>
      <c r="BI86" s="552">
        <v>22.072678331090181</v>
      </c>
      <c r="BJ86" s="552">
        <v>12.516823687752371</v>
      </c>
      <c r="BK86" s="552"/>
      <c r="BL86" s="552"/>
      <c r="BM86" s="552">
        <v>8.2099596231494036</v>
      </c>
      <c r="BN86" s="552">
        <v>4.4534412955465585</v>
      </c>
      <c r="BO86" s="552">
        <v>4.5760430686406446</v>
      </c>
      <c r="BP86" s="552">
        <v>2.8301886792452855</v>
      </c>
      <c r="BQ86" s="552"/>
      <c r="BR86" s="42"/>
      <c r="BS86" s="42"/>
      <c r="BT86" s="42"/>
      <c r="BU86" s="42">
        <v>12</v>
      </c>
      <c r="BV86" s="42"/>
      <c r="BW86" s="42"/>
      <c r="BX86" s="758"/>
      <c r="BY86" s="851"/>
      <c r="BZ86" s="851"/>
      <c r="CA86" s="851"/>
      <c r="CB86" s="851"/>
      <c r="CC86" s="851"/>
      <c r="CD86" s="851"/>
      <c r="CE86" s="851"/>
      <c r="CF86" s="851"/>
      <c r="CG86" s="97"/>
      <c r="CH86" s="647"/>
      <c r="CI86" s="97"/>
      <c r="CJ86" s="97"/>
      <c r="CK86" s="647"/>
      <c r="CL86" s="469" t="s">
        <v>1841</v>
      </c>
      <c r="CM86" s="647"/>
      <c r="CN86" s="97"/>
      <c r="CO86" s="97"/>
      <c r="CP86" s="97"/>
      <c r="CQ86" s="97"/>
      <c r="CR86" s="638"/>
      <c r="CS86" s="647"/>
      <c r="CU86" s="23"/>
      <c r="CV86" s="23"/>
      <c r="CW86" s="23"/>
      <c r="CX86" s="23"/>
      <c r="DA86" s="648"/>
    </row>
    <row r="87" spans="1:105" s="35" customFormat="1" ht="12" customHeight="1" x14ac:dyDescent="0.2">
      <c r="A87" s="652"/>
      <c r="B87" s="469" t="s">
        <v>1827</v>
      </c>
      <c r="C87" s="390" t="s">
        <v>38</v>
      </c>
      <c r="D87" s="237" t="s">
        <v>1132</v>
      </c>
      <c r="E87" s="647" t="s">
        <v>14</v>
      </c>
      <c r="F87" s="647"/>
      <c r="G87" s="237"/>
      <c r="H87" s="186"/>
      <c r="I87" s="166">
        <v>2002</v>
      </c>
      <c r="J87" s="571">
        <v>2002</v>
      </c>
      <c r="K87" s="571"/>
      <c r="L87" s="494" t="s">
        <v>244</v>
      </c>
      <c r="M87" s="247" t="s">
        <v>1837</v>
      </c>
      <c r="N87" s="494" t="s">
        <v>783</v>
      </c>
      <c r="O87" s="247" t="s">
        <v>19</v>
      </c>
      <c r="P87" s="98">
        <v>15</v>
      </c>
      <c r="Q87" s="247">
        <v>49</v>
      </c>
      <c r="R87" s="552">
        <v>29.849942407753009</v>
      </c>
      <c r="S87" s="552"/>
      <c r="T87" s="552"/>
      <c r="U87" s="553">
        <v>7427</v>
      </c>
      <c r="V87" s="794"/>
      <c r="W87" s="712"/>
      <c r="X87" s="552">
        <v>7.8486295102836641</v>
      </c>
      <c r="Y87" s="552">
        <v>13.974151857835245</v>
      </c>
      <c r="Z87" s="552">
        <v>9.2766653044544451</v>
      </c>
      <c r="AA87" s="552">
        <v>16.303177167474473</v>
      </c>
      <c r="AB87" s="555"/>
      <c r="AC87" s="555"/>
      <c r="AD87" s="555"/>
      <c r="AE87" s="552">
        <v>8.6429725363489265</v>
      </c>
      <c r="AF87" s="552">
        <v>6.1290759031254245</v>
      </c>
      <c r="AG87" s="552">
        <v>3.6233836206896521</v>
      </c>
      <c r="AH87" s="552">
        <v>2.2669005532316846</v>
      </c>
      <c r="AI87" s="555"/>
      <c r="AJ87" s="555"/>
      <c r="AK87" s="552">
        <v>2.2892539725289551</v>
      </c>
      <c r="AL87" s="552">
        <v>1.3617365511662372</v>
      </c>
      <c r="AM87" s="552">
        <v>11.289236157887624</v>
      </c>
      <c r="AN87" s="552">
        <v>6.5179175118323096</v>
      </c>
      <c r="AO87" s="555"/>
      <c r="AP87" s="555"/>
      <c r="AQ87" s="552">
        <v>14.530029625639637</v>
      </c>
      <c r="AR87" s="552">
        <v>8.1293115108886287</v>
      </c>
      <c r="AS87" s="552">
        <v>9.0994877325424497</v>
      </c>
      <c r="AT87" s="552">
        <v>5.1521298174442016</v>
      </c>
      <c r="AU87" s="552">
        <v>3.2740501212611082</v>
      </c>
      <c r="AV87" s="552">
        <v>1.9025772500337339</v>
      </c>
      <c r="AW87" s="552">
        <v>2.7485852869846403</v>
      </c>
      <c r="AX87" s="552">
        <v>1.7801753202967012</v>
      </c>
      <c r="AY87" s="555"/>
      <c r="AZ87" s="555"/>
      <c r="BA87" s="552"/>
      <c r="BB87" s="552"/>
      <c r="BC87" s="555"/>
      <c r="BD87" s="555"/>
      <c r="BE87" s="552"/>
      <c r="BF87" s="552"/>
      <c r="BG87" s="552"/>
      <c r="BH87" s="552"/>
      <c r="BI87" s="552">
        <v>17.96149185404597</v>
      </c>
      <c r="BJ87" s="552">
        <v>10.192540729769764</v>
      </c>
      <c r="BK87" s="552"/>
      <c r="BL87" s="552"/>
      <c r="BM87" s="552">
        <v>6.2904094827586281</v>
      </c>
      <c r="BN87" s="552">
        <v>4.2725797728501806</v>
      </c>
      <c r="BO87" s="552">
        <v>3.7176724137931076</v>
      </c>
      <c r="BP87" s="552">
        <v>2.5914428397894405</v>
      </c>
      <c r="BQ87" s="552"/>
      <c r="BR87" s="42"/>
      <c r="BS87" s="42"/>
      <c r="BT87" s="42"/>
      <c r="BU87" s="42">
        <v>12</v>
      </c>
      <c r="BV87" s="42"/>
      <c r="BW87" s="42"/>
      <c r="BX87" s="758"/>
      <c r="BY87" s="851"/>
      <c r="BZ87" s="851"/>
      <c r="CA87" s="851"/>
      <c r="CB87" s="851"/>
      <c r="CC87" s="851"/>
      <c r="CD87" s="851"/>
      <c r="CE87" s="851"/>
      <c r="CF87" s="851"/>
      <c r="CG87" s="97"/>
      <c r="CH87" s="647"/>
      <c r="CI87" s="97"/>
      <c r="CJ87" s="97"/>
      <c r="CK87" s="647"/>
      <c r="CL87" s="469" t="s">
        <v>1841</v>
      </c>
      <c r="CM87" s="556" t="s">
        <v>1156</v>
      </c>
      <c r="CN87" s="97"/>
      <c r="CO87" s="97"/>
      <c r="CP87" s="97"/>
      <c r="CQ87" s="97"/>
      <c r="CR87" s="638"/>
      <c r="CS87" s="647"/>
      <c r="CU87" s="23"/>
      <c r="CV87" s="23"/>
      <c r="CW87" s="23"/>
      <c r="CX87" s="23"/>
      <c r="DA87" s="648"/>
    </row>
    <row r="88" spans="1:105" s="35" customFormat="1" ht="12" customHeight="1" x14ac:dyDescent="0.2">
      <c r="A88" s="652"/>
      <c r="B88" s="469" t="s">
        <v>1828</v>
      </c>
      <c r="C88" s="390" t="s">
        <v>38</v>
      </c>
      <c r="D88" s="237" t="s">
        <v>1132</v>
      </c>
      <c r="E88" s="647" t="s">
        <v>14</v>
      </c>
      <c r="F88" s="647"/>
      <c r="G88" s="237"/>
      <c r="H88" s="186"/>
      <c r="I88" s="166">
        <v>2007</v>
      </c>
      <c r="J88" s="571">
        <v>2007</v>
      </c>
      <c r="K88" s="571"/>
      <c r="L88" s="494" t="s">
        <v>244</v>
      </c>
      <c r="M88" s="247" t="s">
        <v>1837</v>
      </c>
      <c r="N88" s="494" t="s">
        <v>783</v>
      </c>
      <c r="O88" s="247" t="s">
        <v>19</v>
      </c>
      <c r="P88" s="98">
        <v>15</v>
      </c>
      <c r="Q88" s="247">
        <v>49</v>
      </c>
      <c r="R88" s="552">
        <v>31.815400340715467</v>
      </c>
      <c r="S88" s="552"/>
      <c r="T88" s="552"/>
      <c r="U88" s="553">
        <v>8423</v>
      </c>
      <c r="V88" s="794"/>
      <c r="W88" s="712"/>
      <c r="X88" s="552">
        <v>8.1627784518876183</v>
      </c>
      <c r="Y88" s="552">
        <v>14.297589359933477</v>
      </c>
      <c r="Z88" s="552">
        <v>11.875074219213865</v>
      </c>
      <c r="AA88" s="552">
        <v>25.854700854700877</v>
      </c>
      <c r="AB88" s="552">
        <v>25.854700854700877</v>
      </c>
      <c r="AC88" s="552">
        <v>22.937960541953945</v>
      </c>
      <c r="AD88" s="552">
        <v>19.550748752079834</v>
      </c>
      <c r="AE88" s="552">
        <v>8.1710213776722078</v>
      </c>
      <c r="AF88" s="552">
        <v>6.7933491686460519</v>
      </c>
      <c r="AG88" s="552">
        <v>3.6465138377479489</v>
      </c>
      <c r="AH88" s="552">
        <v>2.7556716949756508</v>
      </c>
      <c r="AI88" s="555"/>
      <c r="AJ88" s="555"/>
      <c r="AK88" s="555"/>
      <c r="AL88" s="555"/>
      <c r="AM88" s="552">
        <v>10.560703254929919</v>
      </c>
      <c r="AN88" s="552">
        <v>7.650273224043719</v>
      </c>
      <c r="AO88" s="552">
        <v>7.9591351865050992</v>
      </c>
      <c r="AP88" s="552">
        <v>6.1772392492278474</v>
      </c>
      <c r="AQ88" s="552">
        <v>11.720698254364054</v>
      </c>
      <c r="AR88" s="552">
        <v>8.835055219095107</v>
      </c>
      <c r="AS88" s="552">
        <v>7.88692243734409</v>
      </c>
      <c r="AT88" s="552">
        <v>5.8320465613493528</v>
      </c>
      <c r="AU88" s="552">
        <v>3.2189096092172442</v>
      </c>
      <c r="AV88" s="552">
        <v>2.3755790473928036</v>
      </c>
      <c r="AW88" s="552">
        <v>2.4833650190114041</v>
      </c>
      <c r="AX88" s="552">
        <v>1.8417300380228172</v>
      </c>
      <c r="AY88" s="555"/>
      <c r="AZ88" s="555"/>
      <c r="BA88" s="552"/>
      <c r="BB88" s="552"/>
      <c r="BC88" s="555"/>
      <c r="BD88" s="555"/>
      <c r="BE88" s="552"/>
      <c r="BF88" s="552"/>
      <c r="BG88" s="552"/>
      <c r="BH88" s="552"/>
      <c r="BI88" s="552">
        <v>15.754481776089326</v>
      </c>
      <c r="BJ88" s="552">
        <v>11.848510032055078</v>
      </c>
      <c r="BK88" s="552"/>
      <c r="BL88" s="552"/>
      <c r="BM88" s="552">
        <v>4.7262795392471126</v>
      </c>
      <c r="BN88" s="552">
        <v>3.6812730079562992</v>
      </c>
      <c r="BO88" s="552">
        <v>2.9460679496317268</v>
      </c>
      <c r="BP88" s="552">
        <v>2.4114991684485654</v>
      </c>
      <c r="BQ88" s="552"/>
      <c r="BR88" s="42"/>
      <c r="BS88" s="42"/>
      <c r="BT88" s="42"/>
      <c r="BU88" s="42">
        <v>12</v>
      </c>
      <c r="BV88" s="42"/>
      <c r="BW88" s="42"/>
      <c r="BX88" s="758"/>
      <c r="BY88" s="851"/>
      <c r="BZ88" s="851"/>
      <c r="CA88" s="851"/>
      <c r="CB88" s="851"/>
      <c r="CC88" s="851"/>
      <c r="CD88" s="851"/>
      <c r="CE88" s="851"/>
      <c r="CF88" s="851"/>
      <c r="CG88" s="97"/>
      <c r="CH88" s="647"/>
      <c r="CI88" s="97"/>
      <c r="CJ88" s="97"/>
      <c r="CK88" s="647"/>
      <c r="CL88" s="469" t="s">
        <v>1841</v>
      </c>
      <c r="CM88" s="556" t="s">
        <v>1158</v>
      </c>
      <c r="CN88" s="97"/>
      <c r="CO88" s="97"/>
      <c r="CP88" s="97"/>
      <c r="CQ88" s="97"/>
      <c r="CR88" s="638"/>
      <c r="CS88" s="647"/>
      <c r="CU88" s="23"/>
      <c r="CV88" s="23"/>
      <c r="CW88" s="23"/>
      <c r="CX88" s="23"/>
      <c r="DA88" s="648"/>
    </row>
    <row r="89" spans="1:105" s="35" customFormat="1" ht="12" customHeight="1" x14ac:dyDescent="0.2">
      <c r="A89" s="652"/>
      <c r="B89" s="469" t="s">
        <v>1817</v>
      </c>
      <c r="C89" s="390" t="s">
        <v>269</v>
      </c>
      <c r="D89" s="237" t="s">
        <v>1125</v>
      </c>
      <c r="E89" s="647" t="s">
        <v>14</v>
      </c>
      <c r="F89" s="647"/>
      <c r="G89" s="237"/>
      <c r="H89" s="186"/>
      <c r="I89" s="481" t="s">
        <v>510</v>
      </c>
      <c r="J89" s="571">
        <v>2009</v>
      </c>
      <c r="K89" s="571"/>
      <c r="L89" s="494" t="s">
        <v>244</v>
      </c>
      <c r="M89" s="247" t="s">
        <v>1837</v>
      </c>
      <c r="N89" s="494" t="s">
        <v>783</v>
      </c>
      <c r="O89" s="247" t="s">
        <v>19</v>
      </c>
      <c r="P89" s="98">
        <v>15</v>
      </c>
      <c r="Q89" s="247">
        <v>49</v>
      </c>
      <c r="R89" s="552">
        <v>28.679531095379467</v>
      </c>
      <c r="S89" s="552"/>
      <c r="T89" s="552"/>
      <c r="U89" s="553">
        <v>2162</v>
      </c>
      <c r="V89" s="794"/>
      <c r="W89" s="712"/>
      <c r="X89" s="552">
        <v>6.5001903021999059</v>
      </c>
      <c r="Y89" s="552">
        <v>5.6891766882516208</v>
      </c>
      <c r="Z89" s="552">
        <v>5.226641998149872</v>
      </c>
      <c r="AA89" s="552">
        <v>7.9093432007400537</v>
      </c>
      <c r="AB89" s="552">
        <v>7.9093432007400537</v>
      </c>
      <c r="AC89" s="552">
        <v>3.4227567067530096</v>
      </c>
      <c r="AD89" s="552">
        <v>3.0064754856614302</v>
      </c>
      <c r="AE89" s="552">
        <v>2.8214616096207221</v>
      </c>
      <c r="AF89" s="552">
        <v>2.5901942645698388</v>
      </c>
      <c r="AG89" s="552">
        <v>1.1100832562442187</v>
      </c>
      <c r="AH89" s="552">
        <v>0.74005550416281241</v>
      </c>
      <c r="AI89" s="555"/>
      <c r="AJ89" s="555"/>
      <c r="AK89" s="555"/>
      <c r="AL89" s="555"/>
      <c r="AM89" s="552">
        <v>31.221091581868631</v>
      </c>
      <c r="AN89" s="552">
        <v>29.324699352451443</v>
      </c>
      <c r="AO89" s="552">
        <v>9.0656799259944609</v>
      </c>
      <c r="AP89" s="552">
        <v>8.5106382978723332</v>
      </c>
      <c r="AQ89" s="552">
        <v>15.21739130434784</v>
      </c>
      <c r="AR89" s="552">
        <v>14.431082331174837</v>
      </c>
      <c r="AS89" s="552">
        <v>6.5217391304347849</v>
      </c>
      <c r="AT89" s="552">
        <v>6.0129509713228488</v>
      </c>
      <c r="AU89" s="552">
        <v>8.2793709528214556</v>
      </c>
      <c r="AV89" s="552">
        <v>7.9555966697502303</v>
      </c>
      <c r="AW89" s="552">
        <v>1.4801110083256266</v>
      </c>
      <c r="AX89" s="552">
        <v>1.2950971322849201</v>
      </c>
      <c r="AY89" s="555"/>
      <c r="AZ89" s="555"/>
      <c r="BA89" s="552"/>
      <c r="BB89" s="552"/>
      <c r="BC89" s="555"/>
      <c r="BD89" s="555"/>
      <c r="BE89" s="552"/>
      <c r="BF89" s="552"/>
      <c r="BG89" s="552"/>
      <c r="BH89" s="552"/>
      <c r="BI89" s="552">
        <v>34.366327474560563</v>
      </c>
      <c r="BJ89" s="552">
        <v>32.377428307123019</v>
      </c>
      <c r="BK89" s="552"/>
      <c r="BL89" s="552"/>
      <c r="BM89" s="552">
        <v>1.7113783533765037</v>
      </c>
      <c r="BN89" s="552">
        <v>1.3876040703052714</v>
      </c>
      <c r="BO89" s="552">
        <v>1.1563367252543943</v>
      </c>
      <c r="BP89" s="552">
        <v>0.87881591119333935</v>
      </c>
      <c r="BQ89" s="552"/>
      <c r="BR89" s="42"/>
      <c r="BS89" s="42"/>
      <c r="BT89" s="42"/>
      <c r="BU89" s="42">
        <v>12</v>
      </c>
      <c r="BV89" s="42"/>
      <c r="BW89" s="42"/>
      <c r="BX89" s="758"/>
      <c r="BY89" s="851"/>
      <c r="BZ89" s="851"/>
      <c r="CA89" s="851"/>
      <c r="CB89" s="851"/>
      <c r="CC89" s="851"/>
      <c r="CD89" s="851"/>
      <c r="CE89" s="851"/>
      <c r="CF89" s="851"/>
      <c r="CG89" s="97"/>
      <c r="CH89" s="647"/>
      <c r="CI89" s="97"/>
      <c r="CJ89" s="97"/>
      <c r="CK89" s="647"/>
      <c r="CL89" s="469" t="s">
        <v>1841</v>
      </c>
      <c r="CM89" s="556" t="s">
        <v>954</v>
      </c>
      <c r="CN89" s="97"/>
      <c r="CO89" s="97"/>
      <c r="CP89" s="97"/>
      <c r="CQ89" s="97"/>
      <c r="CR89" s="638"/>
      <c r="CS89" s="647"/>
      <c r="CU89" s="23"/>
      <c r="CV89" s="23"/>
      <c r="CW89" s="23"/>
      <c r="CX89" s="23"/>
      <c r="DA89" s="648"/>
    </row>
    <row r="90" spans="1:105" s="35" customFormat="1" ht="12" customHeight="1" x14ac:dyDescent="0.2">
      <c r="A90" s="651"/>
      <c r="B90" s="537"/>
      <c r="C90" s="97" t="s">
        <v>269</v>
      </c>
      <c r="D90" s="237" t="s">
        <v>1125</v>
      </c>
      <c r="E90" s="647" t="s">
        <v>513</v>
      </c>
      <c r="F90" s="647"/>
      <c r="G90" s="98"/>
      <c r="H90" s="97"/>
      <c r="I90" s="166">
        <v>2002</v>
      </c>
      <c r="J90" s="571"/>
      <c r="K90" s="571"/>
      <c r="L90" s="494" t="s">
        <v>248</v>
      </c>
      <c r="M90" s="237" t="s">
        <v>17</v>
      </c>
      <c r="N90" s="494"/>
      <c r="O90" s="237" t="s">
        <v>21</v>
      </c>
      <c r="P90" s="237"/>
      <c r="Q90" s="237"/>
      <c r="R90" s="254"/>
      <c r="S90" s="254"/>
      <c r="T90" s="254"/>
      <c r="U90" s="397">
        <v>288</v>
      </c>
      <c r="V90" s="694"/>
      <c r="W90" s="713"/>
      <c r="X90" s="167"/>
      <c r="Y90" s="472"/>
      <c r="Z90" s="472"/>
      <c r="AA90" s="472"/>
      <c r="AB90" s="472"/>
      <c r="AC90" s="472"/>
      <c r="AD90" s="472"/>
      <c r="AE90" s="472"/>
      <c r="AF90" s="472"/>
      <c r="AG90" s="472"/>
      <c r="AH90" s="472"/>
      <c r="AI90" s="472"/>
      <c r="AJ90" s="472"/>
      <c r="AK90" s="472"/>
      <c r="AL90" s="472"/>
      <c r="AM90" s="472"/>
      <c r="AN90" s="472"/>
      <c r="AO90" s="472"/>
      <c r="AP90" s="472"/>
      <c r="AQ90" s="472"/>
      <c r="AR90" s="472"/>
      <c r="AS90" s="472"/>
      <c r="AT90" s="472"/>
      <c r="AU90" s="472"/>
      <c r="AV90" s="472"/>
      <c r="AW90" s="472"/>
      <c r="AX90" s="472"/>
      <c r="AY90" s="472"/>
      <c r="AZ90" s="472"/>
      <c r="BA90" s="472"/>
      <c r="BB90" s="472"/>
      <c r="BC90" s="472"/>
      <c r="BD90" s="472"/>
      <c r="BE90" s="442"/>
      <c r="BF90" s="442"/>
      <c r="BG90" s="472"/>
      <c r="BH90" s="472"/>
      <c r="BI90" s="446"/>
      <c r="BJ90" s="442">
        <v>24.8</v>
      </c>
      <c r="BK90" s="442"/>
      <c r="BL90" s="442"/>
      <c r="BM90" s="442"/>
      <c r="BN90" s="442"/>
      <c r="BO90" s="442"/>
      <c r="BP90" s="442"/>
      <c r="BQ90" s="444"/>
      <c r="BR90" s="445"/>
      <c r="BS90" s="442"/>
      <c r="BT90" s="271"/>
      <c r="BU90" s="271"/>
      <c r="BV90" s="454"/>
      <c r="BW90" s="454"/>
      <c r="BX90" s="756"/>
      <c r="BY90" s="850"/>
      <c r="BZ90" s="850"/>
      <c r="CA90" s="850"/>
      <c r="CB90" s="850"/>
      <c r="CC90" s="850"/>
      <c r="CD90" s="850"/>
      <c r="CE90" s="850"/>
      <c r="CF90" s="850"/>
      <c r="CG90" s="237" t="s">
        <v>270</v>
      </c>
      <c r="CH90" s="419" t="s">
        <v>725</v>
      </c>
      <c r="CI90" s="406"/>
      <c r="CJ90" s="23"/>
      <c r="CK90" s="417" t="s">
        <v>1070</v>
      </c>
      <c r="CL90" s="572"/>
      <c r="CM90" s="648"/>
      <c r="CR90" s="406"/>
      <c r="CS90" s="648"/>
      <c r="CU90" s="23"/>
      <c r="CV90" s="23"/>
      <c r="CW90" s="23"/>
      <c r="CX90" s="23"/>
      <c r="DA90" s="648"/>
    </row>
    <row r="91" spans="1:105" s="35" customFormat="1" ht="12" customHeight="1" x14ac:dyDescent="0.2">
      <c r="A91" s="651"/>
      <c r="B91" s="537"/>
      <c r="C91" s="97" t="s">
        <v>145</v>
      </c>
      <c r="D91" s="169" t="s">
        <v>1132</v>
      </c>
      <c r="E91" s="647" t="s">
        <v>522</v>
      </c>
      <c r="F91" s="647"/>
      <c r="G91" s="98"/>
      <c r="H91" s="97"/>
      <c r="I91" s="166">
        <v>1992</v>
      </c>
      <c r="J91" s="571"/>
      <c r="K91" s="571"/>
      <c r="L91" s="493"/>
      <c r="M91" s="98" t="s">
        <v>17</v>
      </c>
      <c r="N91" s="493"/>
      <c r="O91" s="237" t="s">
        <v>250</v>
      </c>
      <c r="P91" s="237"/>
      <c r="Q91" s="98"/>
      <c r="R91" s="167"/>
      <c r="S91" s="167"/>
      <c r="T91" s="167"/>
      <c r="U91" s="393">
        <v>200</v>
      </c>
      <c r="V91" s="694"/>
      <c r="W91" s="711"/>
      <c r="X91" s="167"/>
      <c r="Y91" s="446"/>
      <c r="Z91" s="446"/>
      <c r="AA91" s="446"/>
      <c r="AB91" s="446"/>
      <c r="AC91" s="446"/>
      <c r="AD91" s="446"/>
      <c r="AE91" s="446"/>
      <c r="AF91" s="446"/>
      <c r="AG91" s="446"/>
      <c r="AH91" s="446"/>
      <c r="AI91" s="446"/>
      <c r="AJ91" s="446"/>
      <c r="AK91" s="446"/>
      <c r="AL91" s="446"/>
      <c r="AM91" s="446"/>
      <c r="AN91" s="446"/>
      <c r="AO91" s="446"/>
      <c r="AP91" s="446"/>
      <c r="AQ91" s="446"/>
      <c r="AR91" s="446"/>
      <c r="AS91" s="446"/>
      <c r="AT91" s="446"/>
      <c r="AU91" s="446"/>
      <c r="AV91" s="446"/>
      <c r="AW91" s="446"/>
      <c r="AX91" s="446"/>
      <c r="AY91" s="446"/>
      <c r="AZ91" s="446"/>
      <c r="BA91" s="446"/>
      <c r="BB91" s="446"/>
      <c r="BC91" s="446"/>
      <c r="BD91" s="446"/>
      <c r="BE91" s="446"/>
      <c r="BF91" s="446"/>
      <c r="BG91" s="446"/>
      <c r="BH91" s="446"/>
      <c r="BI91" s="446"/>
      <c r="BJ91" s="446"/>
      <c r="BK91" s="446"/>
      <c r="BL91" s="446"/>
      <c r="BM91" s="446"/>
      <c r="BN91" s="446"/>
      <c r="BO91" s="446"/>
      <c r="BP91" s="446"/>
      <c r="BQ91" s="444"/>
      <c r="BR91" s="445"/>
      <c r="BS91" s="442">
        <v>60</v>
      </c>
      <c r="BT91" s="445"/>
      <c r="BU91" s="445"/>
      <c r="BV91" s="445"/>
      <c r="BW91" s="445"/>
      <c r="BX91" s="756"/>
      <c r="BY91" s="850"/>
      <c r="BZ91" s="850"/>
      <c r="CA91" s="850"/>
      <c r="CB91" s="850"/>
      <c r="CC91" s="850"/>
      <c r="CD91" s="850"/>
      <c r="CE91" s="850"/>
      <c r="CF91" s="850"/>
      <c r="CG91" s="169" t="s">
        <v>523</v>
      </c>
      <c r="CH91" s="417"/>
      <c r="CI91" s="406"/>
      <c r="CJ91" s="23"/>
      <c r="CK91" s="426" t="s">
        <v>1041</v>
      </c>
      <c r="CL91" s="572"/>
      <c r="CM91" s="648"/>
      <c r="CR91" s="406"/>
      <c r="CS91" s="648"/>
      <c r="CU91" s="23"/>
      <c r="CV91" s="23"/>
      <c r="CW91" s="23"/>
      <c r="CX91" s="23"/>
      <c r="DA91" s="648"/>
    </row>
    <row r="92" spans="1:105" s="35" customFormat="1" ht="12" customHeight="1" x14ac:dyDescent="0.2">
      <c r="A92" s="651"/>
      <c r="B92" s="537"/>
      <c r="C92" s="97" t="s">
        <v>145</v>
      </c>
      <c r="D92" s="169" t="s">
        <v>1132</v>
      </c>
      <c r="E92" s="647" t="s">
        <v>14</v>
      </c>
      <c r="F92" s="647"/>
      <c r="G92" s="98"/>
      <c r="H92" s="97"/>
      <c r="I92" s="166">
        <v>1995</v>
      </c>
      <c r="J92" s="571"/>
      <c r="K92" s="571"/>
      <c r="L92" s="493" t="s">
        <v>1123</v>
      </c>
      <c r="M92" s="98" t="s">
        <v>18</v>
      </c>
      <c r="N92" s="493"/>
      <c r="O92" s="98" t="s">
        <v>19</v>
      </c>
      <c r="P92" s="98"/>
      <c r="Q92" s="98"/>
      <c r="R92" s="167"/>
      <c r="S92" s="167"/>
      <c r="T92" s="167"/>
      <c r="U92" s="393">
        <v>11657</v>
      </c>
      <c r="V92" s="694"/>
      <c r="W92" s="711"/>
      <c r="X92" s="167"/>
      <c r="Y92" s="446"/>
      <c r="Z92" s="446"/>
      <c r="AA92" s="446"/>
      <c r="AB92" s="446"/>
      <c r="AC92" s="446"/>
      <c r="AD92" s="446"/>
      <c r="AE92" s="446"/>
      <c r="AF92" s="446"/>
      <c r="AG92" s="446"/>
      <c r="AH92" s="446"/>
      <c r="AI92" s="446"/>
      <c r="AJ92" s="446"/>
      <c r="AK92" s="446"/>
      <c r="AL92" s="446"/>
      <c r="AM92" s="446"/>
      <c r="AN92" s="446"/>
      <c r="AO92" s="446"/>
      <c r="AP92" s="446"/>
      <c r="AQ92" s="446"/>
      <c r="AR92" s="446"/>
      <c r="AS92" s="446"/>
      <c r="AT92" s="446"/>
      <c r="AU92" s="446"/>
      <c r="AV92" s="446"/>
      <c r="AW92" s="446"/>
      <c r="AX92" s="446"/>
      <c r="AY92" s="446"/>
      <c r="AZ92" s="446"/>
      <c r="BA92" s="446"/>
      <c r="BB92" s="446"/>
      <c r="BC92" s="446"/>
      <c r="BD92" s="446"/>
      <c r="BE92" s="445"/>
      <c r="BF92" s="445"/>
      <c r="BG92" s="446"/>
      <c r="BH92" s="446"/>
      <c r="BI92" s="445"/>
      <c r="BJ92" s="445">
        <v>12</v>
      </c>
      <c r="BK92" s="445"/>
      <c r="BL92" s="445"/>
      <c r="BM92" s="445"/>
      <c r="BN92" s="445"/>
      <c r="BO92" s="445"/>
      <c r="BP92" s="445"/>
      <c r="BQ92" s="444"/>
      <c r="BR92" s="444"/>
      <c r="BS92" s="442"/>
      <c r="BT92" s="445"/>
      <c r="BU92" s="445"/>
      <c r="BV92" s="445"/>
      <c r="BW92" s="445"/>
      <c r="BX92" s="756"/>
      <c r="BY92" s="850"/>
      <c r="BZ92" s="850"/>
      <c r="CA92" s="850"/>
      <c r="CB92" s="850"/>
      <c r="CC92" s="850"/>
      <c r="CD92" s="850"/>
      <c r="CE92" s="850"/>
      <c r="CF92" s="850"/>
      <c r="CG92" s="168" t="s">
        <v>219</v>
      </c>
      <c r="CH92" s="422" t="s">
        <v>664</v>
      </c>
      <c r="CI92" s="406"/>
      <c r="CJ92" s="23"/>
      <c r="CK92" s="426" t="s">
        <v>1041</v>
      </c>
      <c r="CL92" s="572"/>
      <c r="CM92" s="648"/>
      <c r="CR92" s="406"/>
      <c r="CS92" s="648"/>
      <c r="CU92" s="23"/>
      <c r="CV92" s="23"/>
      <c r="CW92" s="23"/>
      <c r="CX92" s="23"/>
      <c r="DA92" s="648"/>
    </row>
    <row r="93" spans="1:105" s="35" customFormat="1" ht="12" customHeight="1" x14ac:dyDescent="0.2">
      <c r="A93" s="651"/>
      <c r="B93" s="537"/>
      <c r="C93" s="97" t="s">
        <v>145</v>
      </c>
      <c r="D93" s="169" t="s">
        <v>1132</v>
      </c>
      <c r="E93" s="647"/>
      <c r="F93" s="647"/>
      <c r="G93" s="98"/>
      <c r="H93" s="97"/>
      <c r="I93" s="166">
        <v>2004</v>
      </c>
      <c r="J93" s="571"/>
      <c r="K93" s="571"/>
      <c r="L93" s="493" t="s">
        <v>1123</v>
      </c>
      <c r="M93" s="98" t="s">
        <v>15</v>
      </c>
      <c r="N93" s="493"/>
      <c r="O93" s="98"/>
      <c r="P93" s="98"/>
      <c r="Q93" s="98"/>
      <c r="R93" s="167"/>
      <c r="S93" s="167"/>
      <c r="T93" s="167"/>
      <c r="U93" s="393">
        <v>999999999</v>
      </c>
      <c r="V93" s="694"/>
      <c r="W93" s="711"/>
      <c r="X93" s="167"/>
      <c r="Y93" s="446"/>
      <c r="Z93" s="446"/>
      <c r="AA93" s="446"/>
      <c r="AB93" s="446"/>
      <c r="AC93" s="446"/>
      <c r="AD93" s="446"/>
      <c r="AE93" s="446"/>
      <c r="AF93" s="446"/>
      <c r="AG93" s="446"/>
      <c r="AH93" s="446"/>
      <c r="AI93" s="446"/>
      <c r="AJ93" s="446"/>
      <c r="AK93" s="446"/>
      <c r="AL93" s="446"/>
      <c r="AM93" s="446"/>
      <c r="AN93" s="446"/>
      <c r="AO93" s="446"/>
      <c r="AP93" s="446"/>
      <c r="AQ93" s="446"/>
      <c r="AR93" s="446"/>
      <c r="AS93" s="446"/>
      <c r="AT93" s="446"/>
      <c r="AU93" s="446"/>
      <c r="AV93" s="446"/>
      <c r="AW93" s="446"/>
      <c r="AX93" s="446"/>
      <c r="AY93" s="446"/>
      <c r="AZ93" s="446"/>
      <c r="BA93" s="446"/>
      <c r="BB93" s="446"/>
      <c r="BC93" s="446"/>
      <c r="BD93" s="446"/>
      <c r="BE93" s="445"/>
      <c r="BF93" s="445"/>
      <c r="BG93" s="446"/>
      <c r="BH93" s="446"/>
      <c r="BI93" s="444">
        <v>31</v>
      </c>
      <c r="BJ93" s="445">
        <v>10</v>
      </c>
      <c r="BK93" s="445"/>
      <c r="BL93" s="445"/>
      <c r="BM93" s="445"/>
      <c r="BN93" s="445"/>
      <c r="BO93" s="445"/>
      <c r="BP93" s="445"/>
      <c r="BQ93" s="444"/>
      <c r="BR93" s="444"/>
      <c r="BS93" s="442">
        <v>31</v>
      </c>
      <c r="BT93" s="445">
        <v>10</v>
      </c>
      <c r="BU93" s="445"/>
      <c r="BV93" s="445"/>
      <c r="BW93" s="445"/>
      <c r="BX93" s="756"/>
      <c r="BY93" s="850"/>
      <c r="BZ93" s="850"/>
      <c r="CA93" s="850"/>
      <c r="CB93" s="850"/>
      <c r="CC93" s="850"/>
      <c r="CD93" s="850"/>
      <c r="CE93" s="850"/>
      <c r="CF93" s="850"/>
      <c r="CG93" s="169" t="s">
        <v>770</v>
      </c>
      <c r="CH93" s="417" t="s">
        <v>772</v>
      </c>
      <c r="CI93" s="406"/>
      <c r="CJ93" s="23"/>
      <c r="CK93" s="417" t="s">
        <v>1065</v>
      </c>
      <c r="CL93" s="572"/>
      <c r="CM93" s="648"/>
      <c r="CR93" s="406"/>
      <c r="CS93" s="648"/>
      <c r="CU93" s="23"/>
      <c r="CV93" s="23"/>
      <c r="CW93" s="23"/>
      <c r="CX93" s="23"/>
      <c r="DA93" s="648"/>
    </row>
    <row r="94" spans="1:105" s="35" customFormat="1" ht="12" customHeight="1" x14ac:dyDescent="0.2">
      <c r="A94" s="652"/>
      <c r="B94" s="469" t="s">
        <v>1793</v>
      </c>
      <c r="C94" s="390" t="s">
        <v>109</v>
      </c>
      <c r="D94" s="237" t="s">
        <v>1131</v>
      </c>
      <c r="E94" s="647" t="s">
        <v>14</v>
      </c>
      <c r="F94" s="647"/>
      <c r="G94" s="237"/>
      <c r="H94" s="186"/>
      <c r="I94" s="481" t="s">
        <v>26</v>
      </c>
      <c r="J94" s="571">
        <v>1995</v>
      </c>
      <c r="K94" s="571"/>
      <c r="L94" s="494" t="s">
        <v>244</v>
      </c>
      <c r="M94" s="247" t="s">
        <v>1837</v>
      </c>
      <c r="N94" s="494" t="s">
        <v>783</v>
      </c>
      <c r="O94" s="247" t="s">
        <v>19</v>
      </c>
      <c r="P94" s="98">
        <v>15</v>
      </c>
      <c r="Q94" s="247">
        <v>49</v>
      </c>
      <c r="R94" s="552">
        <v>32.82143582109736</v>
      </c>
      <c r="S94" s="552"/>
      <c r="T94" s="552"/>
      <c r="U94" s="553">
        <v>14779</v>
      </c>
      <c r="V94" s="794"/>
      <c r="W94" s="712"/>
      <c r="X94" s="552">
        <v>4.663576696664161</v>
      </c>
      <c r="Y94" s="555"/>
      <c r="Z94" s="555"/>
      <c r="AA94" s="555"/>
      <c r="AB94" s="555"/>
      <c r="AC94" s="555"/>
      <c r="AD94" s="555"/>
      <c r="AE94" s="555"/>
      <c r="AF94" s="555"/>
      <c r="AG94" s="555"/>
      <c r="AH94" s="555"/>
      <c r="AI94" s="555"/>
      <c r="AJ94" s="555"/>
      <c r="AK94" s="555"/>
      <c r="AL94" s="555"/>
      <c r="AM94" s="555"/>
      <c r="AN94" s="555"/>
      <c r="AO94" s="555"/>
      <c r="AP94" s="555"/>
      <c r="AQ94" s="555"/>
      <c r="AR94" s="555"/>
      <c r="AS94" s="555"/>
      <c r="AT94" s="555"/>
      <c r="AU94" s="555"/>
      <c r="AV94" s="555"/>
      <c r="AW94" s="555"/>
      <c r="AX94" s="555"/>
      <c r="AY94" s="555"/>
      <c r="AZ94" s="555"/>
      <c r="BA94" s="555"/>
      <c r="BB94" s="555"/>
      <c r="BC94" s="555"/>
      <c r="BD94" s="555"/>
      <c r="BE94" s="552"/>
      <c r="BF94" s="552"/>
      <c r="BG94" s="555"/>
      <c r="BH94" s="555"/>
      <c r="BI94" s="552">
        <v>16.868529670478374</v>
      </c>
      <c r="BJ94" s="552">
        <v>7.6490514905149238</v>
      </c>
      <c r="BK94" s="552"/>
      <c r="BL94" s="552"/>
      <c r="BM94" s="555"/>
      <c r="BN94" s="555"/>
      <c r="BO94" s="555"/>
      <c r="BP94" s="555"/>
      <c r="BQ94" s="552"/>
      <c r="BR94" s="42"/>
      <c r="BS94" s="42"/>
      <c r="BT94" s="42"/>
      <c r="BU94" s="42">
        <v>12</v>
      </c>
      <c r="BV94" s="42"/>
      <c r="BW94" s="42"/>
      <c r="BX94" s="758"/>
      <c r="BY94" s="851"/>
      <c r="BZ94" s="851"/>
      <c r="CA94" s="851"/>
      <c r="CB94" s="851"/>
      <c r="CC94" s="851"/>
      <c r="CD94" s="851"/>
      <c r="CE94" s="851"/>
      <c r="CF94" s="851"/>
      <c r="CG94" s="97"/>
      <c r="CH94" s="647"/>
      <c r="CI94" s="97"/>
      <c r="CJ94" s="97"/>
      <c r="CK94" s="647"/>
      <c r="CL94" s="469" t="s">
        <v>1841</v>
      </c>
      <c r="CM94" s="647"/>
      <c r="CN94" s="97"/>
      <c r="CO94" s="97"/>
      <c r="CP94" s="97"/>
      <c r="CQ94" s="97"/>
      <c r="CR94" s="638"/>
      <c r="CS94" s="647"/>
      <c r="CU94" s="23"/>
      <c r="CV94" s="23"/>
      <c r="CW94" s="23"/>
      <c r="CX94" s="23"/>
      <c r="DA94" s="648"/>
    </row>
    <row r="95" spans="1:105" s="35" customFormat="1" ht="12" customHeight="1" x14ac:dyDescent="0.2">
      <c r="A95" s="652"/>
      <c r="B95" s="469" t="s">
        <v>1794</v>
      </c>
      <c r="C95" s="390" t="s">
        <v>109</v>
      </c>
      <c r="D95" s="237" t="s">
        <v>1131</v>
      </c>
      <c r="E95" s="647" t="s">
        <v>14</v>
      </c>
      <c r="F95" s="647"/>
      <c r="G95" s="237"/>
      <c r="H95" s="186"/>
      <c r="I95" s="166">
        <v>2005</v>
      </c>
      <c r="J95" s="571">
        <v>2005</v>
      </c>
      <c r="K95" s="571"/>
      <c r="L95" s="494" t="s">
        <v>244</v>
      </c>
      <c r="M95" s="247" t="s">
        <v>1837</v>
      </c>
      <c r="N95" s="494" t="s">
        <v>783</v>
      </c>
      <c r="O95" s="247" t="s">
        <v>19</v>
      </c>
      <c r="P95" s="98">
        <v>15</v>
      </c>
      <c r="Q95" s="247">
        <v>49</v>
      </c>
      <c r="R95" s="552">
        <v>33.052223477456977</v>
      </c>
      <c r="S95" s="552"/>
      <c r="T95" s="552"/>
      <c r="U95" s="553">
        <v>5612</v>
      </c>
      <c r="V95" s="794"/>
      <c r="W95" s="712"/>
      <c r="X95" s="552">
        <v>6.3510348723742478</v>
      </c>
      <c r="Y95" s="552">
        <v>16.595365418894882</v>
      </c>
      <c r="Z95" s="552">
        <v>9.1267000715819613</v>
      </c>
      <c r="AA95" s="552">
        <v>16.978776529338404</v>
      </c>
      <c r="AB95" s="552">
        <v>9.4231458258688665</v>
      </c>
      <c r="AC95" s="555"/>
      <c r="AD95" s="555"/>
      <c r="AE95" s="552">
        <v>5.6438649758885466</v>
      </c>
      <c r="AF95" s="552">
        <v>2.9706513958482388</v>
      </c>
      <c r="AG95" s="552">
        <v>0.74879657692993173</v>
      </c>
      <c r="AH95" s="554">
        <v>0.30313837375178443</v>
      </c>
      <c r="AI95" s="555"/>
      <c r="AJ95" s="555"/>
      <c r="AK95" s="552">
        <v>0.46362339514978562</v>
      </c>
      <c r="AL95" s="552">
        <v>0.16051364365971157</v>
      </c>
      <c r="AM95" s="552">
        <v>25.22281639928697</v>
      </c>
      <c r="AN95" s="552">
        <v>12.506690454950936</v>
      </c>
      <c r="AO95" s="555"/>
      <c r="AP95" s="555"/>
      <c r="AQ95" s="552">
        <v>23.396293656450407</v>
      </c>
      <c r="AR95" s="552">
        <v>12.141201640221087</v>
      </c>
      <c r="AS95" s="552">
        <v>11.406166458741749</v>
      </c>
      <c r="AT95" s="552">
        <v>5.9589652096342656</v>
      </c>
      <c r="AU95" s="552">
        <v>5.1853171774768416</v>
      </c>
      <c r="AV95" s="552">
        <v>2.7094474153297678</v>
      </c>
      <c r="AW95" s="552">
        <v>1.015861700231689</v>
      </c>
      <c r="AX95" s="552">
        <v>0.44579172610556372</v>
      </c>
      <c r="AY95" s="555"/>
      <c r="AZ95" s="555"/>
      <c r="BA95" s="552"/>
      <c r="BB95" s="552"/>
      <c r="BC95" s="555"/>
      <c r="BD95" s="555"/>
      <c r="BE95" s="552"/>
      <c r="BF95" s="552"/>
      <c r="BG95" s="552"/>
      <c r="BH95" s="552"/>
      <c r="BI95" s="552">
        <v>30.220955096222287</v>
      </c>
      <c r="BJ95" s="552">
        <v>15.630012475494613</v>
      </c>
      <c r="BK95" s="552"/>
      <c r="BL95" s="552"/>
      <c r="BM95" s="552">
        <v>5.6317946890037405</v>
      </c>
      <c r="BN95" s="552">
        <v>3.2620320855614957</v>
      </c>
      <c r="BO95" s="555"/>
      <c r="BP95" s="555"/>
      <c r="BQ95" s="552"/>
      <c r="BR95" s="42"/>
      <c r="BS95" s="42"/>
      <c r="BT95" s="42"/>
      <c r="BU95" s="42">
        <v>12</v>
      </c>
      <c r="BV95" s="42"/>
      <c r="BW95" s="42"/>
      <c r="BX95" s="758"/>
      <c r="BY95" s="851"/>
      <c r="BZ95" s="851"/>
      <c r="CA95" s="851"/>
      <c r="CB95" s="851"/>
      <c r="CC95" s="851"/>
      <c r="CD95" s="851"/>
      <c r="CE95" s="851"/>
      <c r="CF95" s="851"/>
      <c r="CG95" s="97"/>
      <c r="CH95" s="647"/>
      <c r="CI95" s="97"/>
      <c r="CJ95" s="97"/>
      <c r="CK95" s="647"/>
      <c r="CL95" s="469" t="s">
        <v>1841</v>
      </c>
      <c r="CM95" s="556" t="s">
        <v>1121</v>
      </c>
      <c r="CN95" s="97"/>
      <c r="CO95" s="97"/>
      <c r="CP95" s="97"/>
      <c r="CQ95" s="97"/>
      <c r="CR95" s="638"/>
      <c r="CS95" s="647"/>
      <c r="CU95" s="23"/>
      <c r="CV95" s="23"/>
      <c r="CW95" s="23"/>
      <c r="CX95" s="23"/>
      <c r="DA95" s="648"/>
    </row>
    <row r="96" spans="1:105" s="35" customFormat="1" ht="12" customHeight="1" x14ac:dyDescent="0.2">
      <c r="A96" s="651"/>
      <c r="B96" s="537"/>
      <c r="C96" s="97" t="s">
        <v>109</v>
      </c>
      <c r="D96" s="169" t="s">
        <v>1131</v>
      </c>
      <c r="E96" s="647" t="s">
        <v>266</v>
      </c>
      <c r="F96" s="647"/>
      <c r="G96" s="98"/>
      <c r="H96" s="97"/>
      <c r="I96" s="166">
        <v>2004</v>
      </c>
      <c r="J96" s="571"/>
      <c r="K96" s="571"/>
      <c r="L96" s="493" t="s">
        <v>245</v>
      </c>
      <c r="M96" s="98" t="s">
        <v>78</v>
      </c>
      <c r="N96" s="493"/>
      <c r="O96" s="247"/>
      <c r="P96" s="247"/>
      <c r="Q96" s="98"/>
      <c r="R96" s="167"/>
      <c r="S96" s="167"/>
      <c r="T96" s="167"/>
      <c r="U96" s="393">
        <v>631</v>
      </c>
      <c r="V96" s="694"/>
      <c r="W96" s="711"/>
      <c r="X96" s="167"/>
      <c r="Y96" s="446"/>
      <c r="Z96" s="446"/>
      <c r="AA96" s="446"/>
      <c r="AB96" s="446"/>
      <c r="AC96" s="446"/>
      <c r="AD96" s="446"/>
      <c r="AE96" s="446"/>
      <c r="AF96" s="446"/>
      <c r="AG96" s="446"/>
      <c r="AH96" s="446"/>
      <c r="AI96" s="446"/>
      <c r="AJ96" s="446"/>
      <c r="AK96" s="446"/>
      <c r="AL96" s="446"/>
      <c r="AM96" s="446"/>
      <c r="AN96" s="446"/>
      <c r="AO96" s="446"/>
      <c r="AP96" s="446"/>
      <c r="AQ96" s="446"/>
      <c r="AR96" s="446"/>
      <c r="AS96" s="446"/>
      <c r="AT96" s="446"/>
      <c r="AU96" s="446"/>
      <c r="AV96" s="446"/>
      <c r="AW96" s="446"/>
      <c r="AX96" s="446"/>
      <c r="AY96" s="446"/>
      <c r="AZ96" s="446"/>
      <c r="BA96" s="446"/>
      <c r="BB96" s="446"/>
      <c r="BC96" s="446"/>
      <c r="BD96" s="446"/>
      <c r="BE96" s="445"/>
      <c r="BF96" s="445"/>
      <c r="BG96" s="446"/>
      <c r="BH96" s="446"/>
      <c r="BI96" s="442">
        <v>11</v>
      </c>
      <c r="BJ96" s="445">
        <v>10.5</v>
      </c>
      <c r="BK96" s="445"/>
      <c r="BL96" s="445"/>
      <c r="BM96" s="445"/>
      <c r="BN96" s="445"/>
      <c r="BO96" s="445"/>
      <c r="BP96" s="445"/>
      <c r="BQ96" s="271"/>
      <c r="BR96" s="271"/>
      <c r="BS96" s="271"/>
      <c r="BT96" s="271"/>
      <c r="BU96" s="271"/>
      <c r="BV96" s="454"/>
      <c r="BW96" s="454"/>
      <c r="BX96" s="756"/>
      <c r="BY96" s="850"/>
      <c r="BZ96" s="850"/>
      <c r="CA96" s="850"/>
      <c r="CB96" s="850"/>
      <c r="CC96" s="850"/>
      <c r="CD96" s="850"/>
      <c r="CE96" s="850"/>
      <c r="CF96" s="850"/>
      <c r="CG96" s="169" t="s">
        <v>523</v>
      </c>
      <c r="CH96" s="417"/>
      <c r="CI96" s="406"/>
      <c r="CJ96" s="23"/>
      <c r="CK96" s="426" t="s">
        <v>1041</v>
      </c>
      <c r="CL96" s="572"/>
      <c r="CM96" s="648"/>
      <c r="CR96" s="406"/>
      <c r="CS96" s="648"/>
      <c r="CU96" s="23"/>
      <c r="CV96" s="23"/>
      <c r="CW96" s="23"/>
      <c r="CX96" s="23"/>
      <c r="DA96" s="648"/>
    </row>
    <row r="97" spans="1:105" s="35" customFormat="1" ht="12" customHeight="1" x14ac:dyDescent="0.2">
      <c r="A97" s="651"/>
      <c r="B97" s="537"/>
      <c r="C97" s="390" t="s">
        <v>109</v>
      </c>
      <c r="D97" s="169" t="s">
        <v>1131</v>
      </c>
      <c r="E97" s="647" t="s">
        <v>14</v>
      </c>
      <c r="F97" s="647"/>
      <c r="G97" s="237"/>
      <c r="H97" s="186"/>
      <c r="I97" s="533" t="s">
        <v>26</v>
      </c>
      <c r="J97" s="390"/>
      <c r="K97" s="390"/>
      <c r="L97" s="493"/>
      <c r="M97" s="247" t="s">
        <v>15</v>
      </c>
      <c r="N97" s="493"/>
      <c r="O97" s="98" t="s">
        <v>250</v>
      </c>
      <c r="P97" s="98"/>
      <c r="Q97" s="98"/>
      <c r="R97" s="167"/>
      <c r="S97" s="167"/>
      <c r="T97" s="167"/>
      <c r="U97" s="393">
        <v>6566</v>
      </c>
      <c r="V97" s="694"/>
      <c r="W97" s="711"/>
      <c r="X97" s="254"/>
      <c r="Y97" s="446"/>
      <c r="Z97" s="446"/>
      <c r="AA97" s="446"/>
      <c r="AB97" s="446"/>
      <c r="AC97" s="446"/>
      <c r="AD97" s="446"/>
      <c r="AE97" s="446"/>
      <c r="AF97" s="446"/>
      <c r="AG97" s="446"/>
      <c r="AH97" s="446"/>
      <c r="AI97" s="446"/>
      <c r="AJ97" s="446"/>
      <c r="AK97" s="446"/>
      <c r="AL97" s="446"/>
      <c r="AM97" s="446"/>
      <c r="AN97" s="446"/>
      <c r="AO97" s="446"/>
      <c r="AP97" s="446"/>
      <c r="AQ97" s="446"/>
      <c r="AR97" s="446"/>
      <c r="AS97" s="446"/>
      <c r="AT97" s="446"/>
      <c r="AU97" s="446"/>
      <c r="AV97" s="446"/>
      <c r="AW97" s="446"/>
      <c r="AX97" s="446"/>
      <c r="AY97" s="446"/>
      <c r="AZ97" s="446"/>
      <c r="BA97" s="446"/>
      <c r="BB97" s="446"/>
      <c r="BC97" s="446"/>
      <c r="BD97" s="446"/>
      <c r="BE97" s="442"/>
      <c r="BF97" s="442"/>
      <c r="BG97" s="446"/>
      <c r="BH97" s="446"/>
      <c r="BI97" s="442">
        <v>34.299999999999997</v>
      </c>
      <c r="BJ97" s="442">
        <v>13</v>
      </c>
      <c r="BK97" s="442"/>
      <c r="BL97" s="442"/>
      <c r="BM97" s="442"/>
      <c r="BN97" s="442"/>
      <c r="BO97" s="442"/>
      <c r="BP97" s="442"/>
      <c r="BQ97" s="444"/>
      <c r="BR97" s="444"/>
      <c r="BS97" s="446"/>
      <c r="BT97" s="446"/>
      <c r="BU97" s="446"/>
      <c r="BV97" s="442"/>
      <c r="BW97" s="442"/>
      <c r="BX97" s="756"/>
      <c r="BY97" s="850"/>
      <c r="BZ97" s="850"/>
      <c r="CA97" s="850"/>
      <c r="CB97" s="850"/>
      <c r="CC97" s="850"/>
      <c r="CD97" s="850"/>
      <c r="CE97" s="850"/>
      <c r="CF97" s="850"/>
      <c r="CG97" s="169" t="s">
        <v>957</v>
      </c>
      <c r="CH97" s="417"/>
      <c r="CI97" s="406"/>
      <c r="CJ97" s="23"/>
      <c r="CK97" s="417" t="s">
        <v>1146</v>
      </c>
      <c r="CL97" s="572"/>
      <c r="CM97" s="648"/>
      <c r="CR97" s="406"/>
      <c r="CS97" s="648"/>
      <c r="CU97" s="23"/>
      <c r="CV97" s="23"/>
      <c r="CW97" s="23"/>
      <c r="CX97" s="23"/>
      <c r="DA97" s="648"/>
    </row>
    <row r="98" spans="1:105" s="35" customFormat="1" ht="12" customHeight="1" x14ac:dyDescent="0.2">
      <c r="A98" s="651"/>
      <c r="B98" s="537"/>
      <c r="C98" s="390" t="s">
        <v>109</v>
      </c>
      <c r="D98" s="278" t="s">
        <v>1131</v>
      </c>
      <c r="E98" s="647" t="s">
        <v>14</v>
      </c>
      <c r="F98" s="647"/>
      <c r="G98" s="237"/>
      <c r="H98" s="186"/>
      <c r="I98" s="533" t="s">
        <v>235</v>
      </c>
      <c r="J98" s="390"/>
      <c r="K98" s="390"/>
      <c r="L98" s="493" t="s">
        <v>628</v>
      </c>
      <c r="M98" s="247" t="s">
        <v>18</v>
      </c>
      <c r="N98" s="493"/>
      <c r="O98" s="247"/>
      <c r="P98" s="247"/>
      <c r="Q98" s="247"/>
      <c r="R98" s="291"/>
      <c r="S98" s="291"/>
      <c r="T98" s="291"/>
      <c r="U98" s="395">
        <v>2512</v>
      </c>
      <c r="V98" s="794"/>
      <c r="W98" s="712"/>
      <c r="X98" s="254"/>
      <c r="Y98" s="447"/>
      <c r="Z98" s="447"/>
      <c r="AA98" s="447"/>
      <c r="AB98" s="447"/>
      <c r="AC98" s="447"/>
      <c r="AD98" s="447"/>
      <c r="AE98" s="447"/>
      <c r="AF98" s="447"/>
      <c r="AG98" s="447"/>
      <c r="AH98" s="447"/>
      <c r="AI98" s="447"/>
      <c r="AJ98" s="447"/>
      <c r="AK98" s="447"/>
      <c r="AL98" s="447"/>
      <c r="AM98" s="447"/>
      <c r="AN98" s="447"/>
      <c r="AO98" s="447"/>
      <c r="AP98" s="447"/>
      <c r="AQ98" s="447"/>
      <c r="AR98" s="447"/>
      <c r="AS98" s="447"/>
      <c r="AT98" s="447"/>
      <c r="AU98" s="447"/>
      <c r="AV98" s="447"/>
      <c r="AW98" s="447"/>
      <c r="AX98" s="447"/>
      <c r="AY98" s="447"/>
      <c r="AZ98" s="447"/>
      <c r="BA98" s="447"/>
      <c r="BB98" s="447"/>
      <c r="BC98" s="447"/>
      <c r="BD98" s="447"/>
      <c r="BE98" s="447"/>
      <c r="BF98" s="447"/>
      <c r="BG98" s="447"/>
      <c r="BH98" s="447"/>
      <c r="BI98" s="447">
        <v>20</v>
      </c>
      <c r="BJ98" s="447"/>
      <c r="BK98" s="447"/>
      <c r="BL98" s="447"/>
      <c r="BM98" s="447"/>
      <c r="BN98" s="447"/>
      <c r="BO98" s="447"/>
      <c r="BP98" s="447"/>
      <c r="BQ98" s="447"/>
      <c r="BR98" s="447"/>
      <c r="BS98" s="447"/>
      <c r="BT98" s="447"/>
      <c r="BU98" s="447"/>
      <c r="BV98" s="550"/>
      <c r="BW98" s="550"/>
      <c r="BX98" s="756"/>
      <c r="BY98" s="850"/>
      <c r="BZ98" s="850"/>
      <c r="CA98" s="850"/>
      <c r="CB98" s="850"/>
      <c r="CC98" s="850"/>
      <c r="CD98" s="850"/>
      <c r="CE98" s="850"/>
      <c r="CF98" s="850"/>
      <c r="CG98" s="278" t="s">
        <v>961</v>
      </c>
      <c r="CH98" s="419" t="s">
        <v>1527</v>
      </c>
      <c r="CI98" s="406"/>
      <c r="CJ98" s="23"/>
      <c r="CK98" s="417" t="s">
        <v>692</v>
      </c>
      <c r="CL98" s="417" t="s">
        <v>1532</v>
      </c>
      <c r="CM98" s="648"/>
      <c r="CR98" s="406"/>
      <c r="CS98" s="648"/>
      <c r="CU98" s="23"/>
      <c r="CV98" s="23"/>
      <c r="CW98" s="23"/>
      <c r="CX98" s="23"/>
      <c r="DA98" s="648"/>
    </row>
    <row r="99" spans="1:105" s="35" customFormat="1" ht="12" customHeight="1" x14ac:dyDescent="0.2">
      <c r="A99" s="651"/>
      <c r="B99" s="537"/>
      <c r="C99" s="97" t="s">
        <v>39</v>
      </c>
      <c r="D99" s="169" t="s">
        <v>1132</v>
      </c>
      <c r="E99" s="647" t="s">
        <v>14</v>
      </c>
      <c r="F99" s="647"/>
      <c r="G99" s="98"/>
      <c r="H99" s="97"/>
      <c r="I99" s="166">
        <v>2002</v>
      </c>
      <c r="J99" s="571"/>
      <c r="K99" s="571"/>
      <c r="L99" s="493" t="s">
        <v>1123</v>
      </c>
      <c r="M99" s="98" t="s">
        <v>15</v>
      </c>
      <c r="N99" s="493"/>
      <c r="O99" s="98" t="s">
        <v>19</v>
      </c>
      <c r="P99" s="98"/>
      <c r="Q99" s="98"/>
      <c r="R99" s="167"/>
      <c r="S99" s="167"/>
      <c r="T99" s="167"/>
      <c r="U99" s="393">
        <v>10689</v>
      </c>
      <c r="V99" s="694"/>
      <c r="W99" s="711"/>
      <c r="X99" s="167"/>
      <c r="Y99" s="446"/>
      <c r="Z99" s="446"/>
      <c r="AA99" s="446"/>
      <c r="AB99" s="446"/>
      <c r="AC99" s="446"/>
      <c r="AD99" s="446"/>
      <c r="AE99" s="446"/>
      <c r="AF99" s="446"/>
      <c r="AG99" s="446"/>
      <c r="AH99" s="446"/>
      <c r="AI99" s="446"/>
      <c r="AJ99" s="446"/>
      <c r="AK99" s="446"/>
      <c r="AL99" s="446"/>
      <c r="AM99" s="446"/>
      <c r="AN99" s="446"/>
      <c r="AO99" s="446"/>
      <c r="AP99" s="446"/>
      <c r="AQ99" s="446"/>
      <c r="AR99" s="446"/>
      <c r="AS99" s="446"/>
      <c r="AT99" s="446"/>
      <c r="AU99" s="446"/>
      <c r="AV99" s="446"/>
      <c r="AW99" s="446"/>
      <c r="AX99" s="446"/>
      <c r="AY99" s="446"/>
      <c r="AZ99" s="446"/>
      <c r="BA99" s="446"/>
      <c r="BB99" s="446"/>
      <c r="BC99" s="446"/>
      <c r="BD99" s="446"/>
      <c r="BE99" s="445"/>
      <c r="BF99" s="445"/>
      <c r="BG99" s="446"/>
      <c r="BH99" s="446"/>
      <c r="BI99" s="445">
        <v>19.7</v>
      </c>
      <c r="BJ99" s="445">
        <v>5.5</v>
      </c>
      <c r="BK99" s="445"/>
      <c r="BL99" s="445"/>
      <c r="BM99" s="445"/>
      <c r="BN99" s="445"/>
      <c r="BO99" s="445"/>
      <c r="BP99" s="445"/>
      <c r="BQ99" s="444"/>
      <c r="BR99" s="444"/>
      <c r="BS99" s="442"/>
      <c r="BT99" s="445"/>
      <c r="BU99" s="445"/>
      <c r="BV99" s="445"/>
      <c r="BW99" s="445"/>
      <c r="BX99" s="756"/>
      <c r="BY99" s="850"/>
      <c r="BZ99" s="850"/>
      <c r="CA99" s="850"/>
      <c r="CB99" s="850"/>
      <c r="CC99" s="850"/>
      <c r="CD99" s="850"/>
      <c r="CE99" s="850"/>
      <c r="CF99" s="850"/>
      <c r="CG99" s="169" t="s">
        <v>523</v>
      </c>
      <c r="CH99" s="417"/>
      <c r="CI99" s="406"/>
      <c r="CJ99" s="23"/>
      <c r="CK99" s="426" t="s">
        <v>1041</v>
      </c>
      <c r="CL99" s="572"/>
      <c r="CM99" s="648"/>
      <c r="CR99" s="406"/>
      <c r="CS99" s="648"/>
      <c r="CU99" s="23"/>
      <c r="CV99" s="23"/>
      <c r="CW99" s="23"/>
      <c r="CX99" s="23"/>
      <c r="DA99" s="648"/>
    </row>
    <row r="100" spans="1:105" s="35" customFormat="1" ht="12" customHeight="1" x14ac:dyDescent="0.2">
      <c r="A100" s="651"/>
      <c r="B100" s="537"/>
      <c r="C100" s="97" t="s">
        <v>39</v>
      </c>
      <c r="D100" s="169" t="s">
        <v>1132</v>
      </c>
      <c r="E100" s="647" t="s">
        <v>14</v>
      </c>
      <c r="F100" s="647"/>
      <c r="G100" s="98"/>
      <c r="H100" s="97"/>
      <c r="I100" s="166">
        <v>2008</v>
      </c>
      <c r="J100" s="571"/>
      <c r="K100" s="571"/>
      <c r="L100" s="493" t="s">
        <v>1123</v>
      </c>
      <c r="M100" s="247" t="s">
        <v>15</v>
      </c>
      <c r="N100" s="493"/>
      <c r="O100" s="98"/>
      <c r="P100" s="98"/>
      <c r="Q100" s="98"/>
      <c r="R100" s="167"/>
      <c r="S100" s="167"/>
      <c r="T100" s="167"/>
      <c r="U100" s="393">
        <v>999999999</v>
      </c>
      <c r="V100" s="694"/>
      <c r="W100" s="711"/>
      <c r="X100" s="167"/>
      <c r="Y100" s="446"/>
      <c r="Z100" s="446"/>
      <c r="AA100" s="446"/>
      <c r="AB100" s="446"/>
      <c r="AC100" s="446"/>
      <c r="AD100" s="446"/>
      <c r="AE100" s="446"/>
      <c r="AF100" s="446"/>
      <c r="AG100" s="446"/>
      <c r="AH100" s="446"/>
      <c r="AI100" s="446"/>
      <c r="AJ100" s="446"/>
      <c r="AK100" s="446"/>
      <c r="AL100" s="446"/>
      <c r="AM100" s="446"/>
      <c r="AN100" s="446"/>
      <c r="AO100" s="446"/>
      <c r="AP100" s="446"/>
      <c r="AQ100" s="446"/>
      <c r="AR100" s="446"/>
      <c r="AS100" s="446"/>
      <c r="AT100" s="446"/>
      <c r="AU100" s="446"/>
      <c r="AV100" s="446"/>
      <c r="AW100" s="446"/>
      <c r="AX100" s="446"/>
      <c r="AY100" s="446"/>
      <c r="AZ100" s="446"/>
      <c r="BA100" s="446"/>
      <c r="BB100" s="446"/>
      <c r="BC100" s="446"/>
      <c r="BD100" s="446"/>
      <c r="BE100" s="445"/>
      <c r="BF100" s="445"/>
      <c r="BG100" s="446"/>
      <c r="BH100" s="446"/>
      <c r="BI100" s="445">
        <v>24.2</v>
      </c>
      <c r="BJ100" s="445">
        <v>6.8</v>
      </c>
      <c r="BK100" s="445"/>
      <c r="BL100" s="445"/>
      <c r="BM100" s="445"/>
      <c r="BN100" s="445"/>
      <c r="BO100" s="445"/>
      <c r="BP100" s="445"/>
      <c r="BQ100" s="444"/>
      <c r="BR100" s="444"/>
      <c r="BS100" s="446"/>
      <c r="BT100" s="446"/>
      <c r="BU100" s="446"/>
      <c r="BV100" s="442"/>
      <c r="BW100" s="442"/>
      <c r="BX100" s="756"/>
      <c r="BY100" s="850"/>
      <c r="BZ100" s="850"/>
      <c r="CA100" s="850"/>
      <c r="CB100" s="850"/>
      <c r="CC100" s="850"/>
      <c r="CD100" s="850"/>
      <c r="CE100" s="850"/>
      <c r="CF100" s="850"/>
      <c r="CG100" s="169"/>
      <c r="CH100" s="419" t="s">
        <v>1121</v>
      </c>
      <c r="CI100" s="406"/>
      <c r="CJ100" s="23"/>
      <c r="CK100" s="648"/>
      <c r="CL100" s="572"/>
      <c r="CM100" s="648"/>
      <c r="CR100" s="406"/>
      <c r="CS100" s="648"/>
      <c r="CU100" s="23"/>
      <c r="CV100" s="23"/>
      <c r="CW100" s="23"/>
      <c r="CX100" s="23"/>
      <c r="DA100" s="648"/>
    </row>
    <row r="101" spans="1:105" s="35" customFormat="1" ht="12" customHeight="1" x14ac:dyDescent="0.2">
      <c r="A101" s="651"/>
      <c r="B101" s="537"/>
      <c r="C101" s="97" t="s">
        <v>379</v>
      </c>
      <c r="D101" s="169" t="s">
        <v>1131</v>
      </c>
      <c r="E101" s="647" t="s">
        <v>878</v>
      </c>
      <c r="F101" s="647"/>
      <c r="G101" s="98"/>
      <c r="H101" s="97"/>
      <c r="I101" s="166">
        <v>2001</v>
      </c>
      <c r="J101" s="571"/>
      <c r="K101" s="571"/>
      <c r="L101" s="493"/>
      <c r="M101" s="98"/>
      <c r="N101" s="493"/>
      <c r="O101" s="98" t="s">
        <v>250</v>
      </c>
      <c r="P101" s="98"/>
      <c r="Q101" s="98"/>
      <c r="R101" s="167"/>
      <c r="S101" s="167"/>
      <c r="T101" s="167"/>
      <c r="U101" s="393">
        <v>999999999</v>
      </c>
      <c r="V101" s="694"/>
      <c r="W101" s="711"/>
      <c r="X101" s="167"/>
      <c r="Y101" s="446"/>
      <c r="Z101" s="446"/>
      <c r="AA101" s="446"/>
      <c r="AB101" s="446"/>
      <c r="AC101" s="446"/>
      <c r="AD101" s="446"/>
      <c r="AE101" s="446"/>
      <c r="AF101" s="446"/>
      <c r="AG101" s="446"/>
      <c r="AH101" s="446"/>
      <c r="AI101" s="446"/>
      <c r="AJ101" s="446"/>
      <c r="AK101" s="446"/>
      <c r="AL101" s="446"/>
      <c r="AM101" s="446"/>
      <c r="AN101" s="446"/>
      <c r="AO101" s="446"/>
      <c r="AP101" s="446"/>
      <c r="AQ101" s="446"/>
      <c r="AR101" s="446"/>
      <c r="AS101" s="446"/>
      <c r="AT101" s="446"/>
      <c r="AU101" s="446"/>
      <c r="AV101" s="446"/>
      <c r="AW101" s="446"/>
      <c r="AX101" s="446"/>
      <c r="AY101" s="446"/>
      <c r="AZ101" s="446"/>
      <c r="BA101" s="446"/>
      <c r="BB101" s="446"/>
      <c r="BC101" s="446"/>
      <c r="BD101" s="446"/>
      <c r="BE101" s="442"/>
      <c r="BF101" s="442"/>
      <c r="BG101" s="446"/>
      <c r="BH101" s="446"/>
      <c r="BI101" s="442"/>
      <c r="BJ101" s="442"/>
      <c r="BK101" s="442"/>
      <c r="BL101" s="442"/>
      <c r="BM101" s="442"/>
      <c r="BN101" s="442"/>
      <c r="BO101" s="442"/>
      <c r="BP101" s="442"/>
      <c r="BQ101" s="442"/>
      <c r="BR101" s="442"/>
      <c r="BS101" s="442">
        <v>65</v>
      </c>
      <c r="BT101" s="446"/>
      <c r="BU101" s="446"/>
      <c r="BV101" s="442"/>
      <c r="BW101" s="442"/>
      <c r="BX101" s="756"/>
      <c r="BY101" s="850"/>
      <c r="BZ101" s="850"/>
      <c r="CA101" s="850"/>
      <c r="CB101" s="850"/>
      <c r="CC101" s="850"/>
      <c r="CD101" s="850"/>
      <c r="CE101" s="850"/>
      <c r="CF101" s="850"/>
      <c r="CG101" s="169" t="s">
        <v>877</v>
      </c>
      <c r="CH101" s="419" t="s">
        <v>887</v>
      </c>
      <c r="CI101" s="406"/>
      <c r="CJ101" s="23"/>
      <c r="CK101" s="648"/>
      <c r="CL101" s="572"/>
      <c r="CM101" s="648"/>
      <c r="CR101" s="406"/>
      <c r="CS101" s="648"/>
      <c r="CU101" s="23"/>
      <c r="CV101" s="23"/>
      <c r="CW101" s="23"/>
      <c r="CX101" s="23"/>
      <c r="DA101" s="648"/>
    </row>
    <row r="102" spans="1:105" s="35" customFormat="1" ht="12" customHeight="1" x14ac:dyDescent="0.2">
      <c r="A102" s="651"/>
      <c r="B102" s="537"/>
      <c r="C102" s="97" t="s">
        <v>379</v>
      </c>
      <c r="D102" s="169" t="s">
        <v>1131</v>
      </c>
      <c r="E102" s="647" t="s">
        <v>906</v>
      </c>
      <c r="F102" s="647"/>
      <c r="G102" s="98"/>
      <c r="H102" s="97"/>
      <c r="I102" s="166">
        <v>2001</v>
      </c>
      <c r="J102" s="571"/>
      <c r="K102" s="571"/>
      <c r="L102" s="493"/>
      <c r="M102" s="98"/>
      <c r="N102" s="493"/>
      <c r="O102" s="98" t="s">
        <v>103</v>
      </c>
      <c r="P102" s="98"/>
      <c r="Q102" s="98"/>
      <c r="R102" s="167"/>
      <c r="S102" s="167"/>
      <c r="T102" s="167"/>
      <c r="U102" s="393">
        <v>999999999</v>
      </c>
      <c r="V102" s="694"/>
      <c r="W102" s="711"/>
      <c r="X102" s="167"/>
      <c r="Y102" s="446"/>
      <c r="Z102" s="446"/>
      <c r="AA102" s="446"/>
      <c r="AB102" s="446"/>
      <c r="AC102" s="446"/>
      <c r="AD102" s="446"/>
      <c r="AE102" s="446"/>
      <c r="AF102" s="446"/>
      <c r="AG102" s="446"/>
      <c r="AH102" s="446"/>
      <c r="AI102" s="446"/>
      <c r="AJ102" s="446"/>
      <c r="AK102" s="446"/>
      <c r="AL102" s="446"/>
      <c r="AM102" s="446"/>
      <c r="AN102" s="446"/>
      <c r="AO102" s="446"/>
      <c r="AP102" s="446"/>
      <c r="AQ102" s="446"/>
      <c r="AR102" s="446"/>
      <c r="AS102" s="446"/>
      <c r="AT102" s="446"/>
      <c r="AU102" s="446"/>
      <c r="AV102" s="446"/>
      <c r="AW102" s="446"/>
      <c r="AX102" s="446"/>
      <c r="AY102" s="446"/>
      <c r="AZ102" s="446"/>
      <c r="BA102" s="446"/>
      <c r="BB102" s="446"/>
      <c r="BC102" s="446"/>
      <c r="BD102" s="446"/>
      <c r="BE102" s="442"/>
      <c r="BF102" s="442"/>
      <c r="BG102" s="446"/>
      <c r="BH102" s="446"/>
      <c r="BI102" s="442"/>
      <c r="BJ102" s="442"/>
      <c r="BK102" s="442"/>
      <c r="BL102" s="442"/>
      <c r="BM102" s="442"/>
      <c r="BN102" s="442"/>
      <c r="BO102" s="442"/>
      <c r="BP102" s="442"/>
      <c r="BQ102" s="442"/>
      <c r="BR102" s="442"/>
      <c r="BS102" s="442">
        <v>40</v>
      </c>
      <c r="BT102" s="446"/>
      <c r="BU102" s="446"/>
      <c r="BV102" s="442"/>
      <c r="BW102" s="442"/>
      <c r="BX102" s="756"/>
      <c r="BY102" s="850"/>
      <c r="BZ102" s="850"/>
      <c r="CA102" s="850"/>
      <c r="CB102" s="850"/>
      <c r="CC102" s="850"/>
      <c r="CD102" s="850"/>
      <c r="CE102" s="850"/>
      <c r="CF102" s="850"/>
      <c r="CG102" s="169"/>
      <c r="CH102" s="419" t="s">
        <v>1081</v>
      </c>
      <c r="CI102" s="404">
        <v>40994</v>
      </c>
      <c r="CJ102" s="36" t="s">
        <v>1083</v>
      </c>
      <c r="CK102" s="648" t="s">
        <v>1080</v>
      </c>
      <c r="CL102" s="572"/>
      <c r="CM102" s="648"/>
      <c r="CR102" s="406"/>
      <c r="CS102" s="648"/>
      <c r="CU102" s="23"/>
      <c r="CV102" s="23"/>
      <c r="CW102" s="23"/>
      <c r="CX102" s="23"/>
      <c r="DA102" s="648"/>
    </row>
    <row r="103" spans="1:105" s="35" customFormat="1" ht="12" customHeight="1" x14ac:dyDescent="0.2">
      <c r="A103" s="651"/>
      <c r="B103" s="537"/>
      <c r="C103" s="97" t="s">
        <v>2</v>
      </c>
      <c r="D103" s="237" t="s">
        <v>1131</v>
      </c>
      <c r="E103" s="647" t="s">
        <v>8</v>
      </c>
      <c r="F103" s="647"/>
      <c r="G103" s="98"/>
      <c r="H103" s="97"/>
      <c r="I103" s="166">
        <v>1995</v>
      </c>
      <c r="J103" s="571"/>
      <c r="K103" s="571"/>
      <c r="L103" s="493"/>
      <c r="M103" s="98" t="s">
        <v>18</v>
      </c>
      <c r="N103" s="493"/>
      <c r="O103" s="98" t="s">
        <v>33</v>
      </c>
      <c r="P103" s="98"/>
      <c r="Q103" s="98"/>
      <c r="R103" s="167"/>
      <c r="S103" s="167"/>
      <c r="T103" s="167"/>
      <c r="U103" s="393">
        <v>673</v>
      </c>
      <c r="V103" s="694"/>
      <c r="W103" s="711"/>
      <c r="X103" s="167"/>
      <c r="Y103" s="446"/>
      <c r="Z103" s="446"/>
      <c r="AA103" s="446"/>
      <c r="AB103" s="446"/>
      <c r="AC103" s="446"/>
      <c r="AD103" s="446"/>
      <c r="AE103" s="446"/>
      <c r="AF103" s="446"/>
      <c r="AG103" s="446"/>
      <c r="AH103" s="446"/>
      <c r="AI103" s="446"/>
      <c r="AJ103" s="446"/>
      <c r="AK103" s="446"/>
      <c r="AL103" s="446"/>
      <c r="AM103" s="446"/>
      <c r="AN103" s="446"/>
      <c r="AO103" s="446"/>
      <c r="AP103" s="446"/>
      <c r="AQ103" s="446"/>
      <c r="AR103" s="446"/>
      <c r="AS103" s="446"/>
      <c r="AT103" s="446"/>
      <c r="AU103" s="446"/>
      <c r="AV103" s="446"/>
      <c r="AW103" s="446"/>
      <c r="AX103" s="446"/>
      <c r="AY103" s="446"/>
      <c r="AZ103" s="446"/>
      <c r="BA103" s="446"/>
      <c r="BB103" s="446"/>
      <c r="BC103" s="446"/>
      <c r="BD103" s="446"/>
      <c r="BE103" s="449"/>
      <c r="BF103" s="449"/>
      <c r="BG103" s="446"/>
      <c r="BH103" s="446"/>
      <c r="BI103" s="445"/>
      <c r="BJ103" s="449">
        <v>10</v>
      </c>
      <c r="BK103" s="449"/>
      <c r="BL103" s="449"/>
      <c r="BM103" s="449"/>
      <c r="BN103" s="449"/>
      <c r="BO103" s="449"/>
      <c r="BP103" s="449"/>
      <c r="BQ103" s="444"/>
      <c r="BR103" s="444"/>
      <c r="BS103" s="442">
        <v>45</v>
      </c>
      <c r="BT103" s="449"/>
      <c r="BU103" s="449"/>
      <c r="BV103" s="449"/>
      <c r="BW103" s="449"/>
      <c r="BX103" s="756"/>
      <c r="BY103" s="850"/>
      <c r="BZ103" s="850"/>
      <c r="CA103" s="850"/>
      <c r="CB103" s="850"/>
      <c r="CC103" s="850"/>
      <c r="CD103" s="850"/>
      <c r="CE103" s="850"/>
      <c r="CF103" s="850"/>
      <c r="CG103" s="98" t="s">
        <v>218</v>
      </c>
      <c r="CH103" s="417"/>
      <c r="CI103" s="406"/>
      <c r="CJ103" s="23"/>
      <c r="CK103" s="417" t="s">
        <v>1059</v>
      </c>
      <c r="CL103" s="572"/>
      <c r="CM103" s="648"/>
      <c r="CR103" s="406"/>
      <c r="CS103" s="648"/>
      <c r="CU103" s="23"/>
      <c r="CV103" s="23"/>
      <c r="CW103" s="23"/>
      <c r="CX103" s="23"/>
      <c r="DA103" s="648"/>
    </row>
    <row r="104" spans="1:105" s="35" customFormat="1" ht="12" customHeight="1" x14ac:dyDescent="0.2">
      <c r="A104" s="651"/>
      <c r="B104" s="537"/>
      <c r="C104" s="97" t="s">
        <v>2</v>
      </c>
      <c r="D104" s="169" t="s">
        <v>1131</v>
      </c>
      <c r="E104" s="647" t="s">
        <v>8</v>
      </c>
      <c r="F104" s="647"/>
      <c r="G104" s="98"/>
      <c r="H104" s="97"/>
      <c r="I104" s="166">
        <v>2002</v>
      </c>
      <c r="J104" s="571"/>
      <c r="K104" s="571"/>
      <c r="L104" s="493" t="s">
        <v>243</v>
      </c>
      <c r="M104" s="98" t="s">
        <v>15</v>
      </c>
      <c r="N104" s="494" t="s">
        <v>783</v>
      </c>
      <c r="O104" s="247"/>
      <c r="P104" s="247"/>
      <c r="Q104" s="98"/>
      <c r="R104" s="167"/>
      <c r="S104" s="167"/>
      <c r="T104" s="167"/>
      <c r="U104" s="393">
        <v>2261</v>
      </c>
      <c r="V104" s="694"/>
      <c r="W104" s="711"/>
      <c r="X104" s="167"/>
      <c r="Y104" s="446"/>
      <c r="Z104" s="446"/>
      <c r="AA104" s="446"/>
      <c r="AB104" s="446"/>
      <c r="AC104" s="446"/>
      <c r="AD104" s="446"/>
      <c r="AE104" s="446"/>
      <c r="AF104" s="446"/>
      <c r="AG104" s="446"/>
      <c r="AH104" s="446"/>
      <c r="AI104" s="446"/>
      <c r="AJ104" s="446"/>
      <c r="AK104" s="446"/>
      <c r="AL104" s="446"/>
      <c r="AM104" s="446"/>
      <c r="AN104" s="446"/>
      <c r="AO104" s="446"/>
      <c r="AP104" s="446"/>
      <c r="AQ104" s="446"/>
      <c r="AR104" s="446"/>
      <c r="AS104" s="446"/>
      <c r="AT104" s="446"/>
      <c r="AU104" s="446"/>
      <c r="AV104" s="446"/>
      <c r="AW104" s="446"/>
      <c r="AX104" s="446"/>
      <c r="AY104" s="446"/>
      <c r="AZ104" s="446"/>
      <c r="BA104" s="446"/>
      <c r="BB104" s="446"/>
      <c r="BC104" s="446"/>
      <c r="BD104" s="446"/>
      <c r="BE104" s="445"/>
      <c r="BF104" s="445"/>
      <c r="BG104" s="446"/>
      <c r="BH104" s="446"/>
      <c r="BI104" s="445">
        <v>49</v>
      </c>
      <c r="BJ104" s="445">
        <v>29</v>
      </c>
      <c r="BK104" s="445"/>
      <c r="BL104" s="445"/>
      <c r="BM104" s="445"/>
      <c r="BN104" s="445"/>
      <c r="BO104" s="445"/>
      <c r="BP104" s="445"/>
      <c r="BQ104" s="444"/>
      <c r="BR104" s="444"/>
      <c r="BS104" s="442">
        <v>49</v>
      </c>
      <c r="BT104" s="445">
        <v>29</v>
      </c>
      <c r="BU104" s="445"/>
      <c r="BV104" s="445"/>
      <c r="BW104" s="445"/>
      <c r="BX104" s="756"/>
      <c r="BY104" s="850"/>
      <c r="BZ104" s="850"/>
      <c r="CA104" s="850"/>
      <c r="CB104" s="850"/>
      <c r="CC104" s="850"/>
      <c r="CD104" s="850"/>
      <c r="CE104" s="850"/>
      <c r="CF104" s="850"/>
      <c r="CG104" s="169" t="s">
        <v>523</v>
      </c>
      <c r="CH104" s="422" t="s">
        <v>664</v>
      </c>
      <c r="CI104" s="406"/>
      <c r="CJ104" s="23"/>
      <c r="CK104" s="648" t="s">
        <v>1064</v>
      </c>
      <c r="CL104" s="572"/>
      <c r="CM104" s="648"/>
      <c r="CR104" s="406"/>
      <c r="CS104" s="648"/>
      <c r="CU104" s="23"/>
      <c r="CV104" s="23"/>
      <c r="CW104" s="23"/>
      <c r="CX104" s="23"/>
      <c r="DA104" s="648"/>
    </row>
    <row r="105" spans="1:105" s="35" customFormat="1" ht="12" customHeight="1" x14ac:dyDescent="0.2">
      <c r="A105" s="651"/>
      <c r="B105" s="537"/>
      <c r="C105" s="97" t="s">
        <v>2</v>
      </c>
      <c r="D105" s="237" t="s">
        <v>1131</v>
      </c>
      <c r="E105" s="647" t="s">
        <v>507</v>
      </c>
      <c r="F105" s="647"/>
      <c r="G105" s="98"/>
      <c r="H105" s="97"/>
      <c r="I105" s="166">
        <v>2008</v>
      </c>
      <c r="J105" s="571"/>
      <c r="K105" s="571"/>
      <c r="L105" s="493"/>
      <c r="M105" s="98"/>
      <c r="N105" s="493"/>
      <c r="O105" s="98" t="s">
        <v>260</v>
      </c>
      <c r="P105" s="98"/>
      <c r="Q105" s="98"/>
      <c r="R105" s="167"/>
      <c r="S105" s="167"/>
      <c r="T105" s="167"/>
      <c r="U105" s="394"/>
      <c r="V105" s="727"/>
      <c r="W105" s="714"/>
      <c r="X105" s="167"/>
      <c r="Y105" s="442"/>
      <c r="Z105" s="442"/>
      <c r="AA105" s="442"/>
      <c r="AB105" s="442"/>
      <c r="AC105" s="442"/>
      <c r="AD105" s="442"/>
      <c r="AE105" s="442"/>
      <c r="AF105" s="442"/>
      <c r="AG105" s="442"/>
      <c r="AH105" s="442"/>
      <c r="AI105" s="442"/>
      <c r="AJ105" s="442"/>
      <c r="AK105" s="442"/>
      <c r="AL105" s="442"/>
      <c r="AM105" s="442"/>
      <c r="AN105" s="442"/>
      <c r="AO105" s="442"/>
      <c r="AP105" s="442"/>
      <c r="AQ105" s="442"/>
      <c r="AR105" s="442"/>
      <c r="AS105" s="442"/>
      <c r="AT105" s="442"/>
      <c r="AU105" s="442"/>
      <c r="AV105" s="442"/>
      <c r="AW105" s="442"/>
      <c r="AX105" s="442"/>
      <c r="AY105" s="442"/>
      <c r="AZ105" s="442"/>
      <c r="BA105" s="442"/>
      <c r="BB105" s="442"/>
      <c r="BC105" s="442"/>
      <c r="BD105" s="442"/>
      <c r="BE105" s="442"/>
      <c r="BF105" s="442"/>
      <c r="BG105" s="442"/>
      <c r="BH105" s="442"/>
      <c r="BI105" s="442"/>
      <c r="BJ105" s="442"/>
      <c r="BK105" s="442"/>
      <c r="BL105" s="442"/>
      <c r="BM105" s="442"/>
      <c r="BN105" s="442"/>
      <c r="BO105" s="442"/>
      <c r="BP105" s="442"/>
      <c r="BQ105" s="442"/>
      <c r="BR105" s="442"/>
      <c r="BS105" s="442">
        <v>52.6</v>
      </c>
      <c r="BT105" s="445">
        <v>30.2</v>
      </c>
      <c r="BU105" s="445"/>
      <c r="BV105" s="445"/>
      <c r="BW105" s="445"/>
      <c r="BX105" s="756"/>
      <c r="BY105" s="850"/>
      <c r="BZ105" s="850"/>
      <c r="CA105" s="850"/>
      <c r="CB105" s="850"/>
      <c r="CC105" s="850"/>
      <c r="CD105" s="850"/>
      <c r="CE105" s="850"/>
      <c r="CF105" s="850"/>
      <c r="CG105" s="98" t="s">
        <v>962</v>
      </c>
      <c r="CH105" s="419" t="s">
        <v>702</v>
      </c>
      <c r="CI105" s="404">
        <v>40508</v>
      </c>
      <c r="CJ105" s="23"/>
      <c r="CK105" s="648" t="s">
        <v>508</v>
      </c>
      <c r="CL105" s="572"/>
      <c r="CM105" s="431"/>
      <c r="CN105" s="128"/>
      <c r="CO105" s="128"/>
      <c r="CP105" s="128"/>
      <c r="CQ105" s="128"/>
      <c r="CR105" s="406"/>
      <c r="CS105" s="431"/>
      <c r="CU105" s="23"/>
      <c r="CV105" s="23"/>
      <c r="CW105" s="23"/>
      <c r="CX105" s="23"/>
      <c r="DA105" s="648"/>
    </row>
    <row r="106" spans="1:105" s="35" customFormat="1" ht="12" customHeight="1" x14ac:dyDescent="0.2">
      <c r="A106" s="651"/>
      <c r="B106" s="537"/>
      <c r="C106" s="97" t="s">
        <v>382</v>
      </c>
      <c r="D106" s="237" t="s">
        <v>1134</v>
      </c>
      <c r="E106" s="647" t="s">
        <v>14</v>
      </c>
      <c r="F106" s="647"/>
      <c r="G106" s="98"/>
      <c r="H106" s="97"/>
      <c r="I106" s="166"/>
      <c r="J106" s="571"/>
      <c r="K106" s="571"/>
      <c r="L106" s="493"/>
      <c r="M106" s="98"/>
      <c r="N106" s="493"/>
      <c r="O106" s="247" t="s">
        <v>19</v>
      </c>
      <c r="P106" s="247"/>
      <c r="Q106" s="98"/>
      <c r="R106" s="167"/>
      <c r="S106" s="167"/>
      <c r="T106" s="167"/>
      <c r="U106" s="393">
        <v>1575</v>
      </c>
      <c r="V106" s="694"/>
      <c r="W106" s="711"/>
      <c r="X106" s="167"/>
      <c r="Y106" s="446"/>
      <c r="Z106" s="446"/>
      <c r="AA106" s="446"/>
      <c r="AB106" s="446"/>
      <c r="AC106" s="446"/>
      <c r="AD106" s="446"/>
      <c r="AE106" s="446"/>
      <c r="AF106" s="446"/>
      <c r="AG106" s="446"/>
      <c r="AH106" s="446"/>
      <c r="AI106" s="446"/>
      <c r="AJ106" s="446"/>
      <c r="AK106" s="446"/>
      <c r="AL106" s="446"/>
      <c r="AM106" s="446"/>
      <c r="AN106" s="446"/>
      <c r="AO106" s="446"/>
      <c r="AP106" s="446"/>
      <c r="AQ106" s="446"/>
      <c r="AR106" s="446"/>
      <c r="AS106" s="446"/>
      <c r="AT106" s="446"/>
      <c r="AU106" s="446"/>
      <c r="AV106" s="446"/>
      <c r="AW106" s="446"/>
      <c r="AX106" s="446"/>
      <c r="AY106" s="446"/>
      <c r="AZ106" s="446"/>
      <c r="BA106" s="446"/>
      <c r="BB106" s="446"/>
      <c r="BC106" s="446"/>
      <c r="BD106" s="446"/>
      <c r="BE106" s="442"/>
      <c r="BF106" s="442"/>
      <c r="BG106" s="446"/>
      <c r="BH106" s="446"/>
      <c r="BI106" s="442">
        <v>66</v>
      </c>
      <c r="BJ106" s="442"/>
      <c r="BK106" s="442"/>
      <c r="BL106" s="442"/>
      <c r="BM106" s="442"/>
      <c r="BN106" s="442"/>
      <c r="BO106" s="442"/>
      <c r="BP106" s="442"/>
      <c r="BQ106" s="442"/>
      <c r="BR106" s="445"/>
      <c r="BS106" s="446"/>
      <c r="BT106" s="446"/>
      <c r="BU106" s="446"/>
      <c r="BV106" s="442"/>
      <c r="BW106" s="442"/>
      <c r="BX106" s="757"/>
      <c r="BY106" s="850"/>
      <c r="BZ106" s="850"/>
      <c r="CA106" s="850"/>
      <c r="CB106" s="850"/>
      <c r="CC106" s="850"/>
      <c r="CD106" s="850"/>
      <c r="CE106" s="850"/>
      <c r="CF106" s="850"/>
      <c r="CG106" s="98"/>
      <c r="CH106" s="419" t="s">
        <v>1109</v>
      </c>
      <c r="CI106" s="406"/>
      <c r="CJ106" s="23" t="s">
        <v>1055</v>
      </c>
      <c r="CK106" s="648"/>
      <c r="CL106" s="572"/>
      <c r="CM106" s="431"/>
      <c r="CN106" s="128"/>
      <c r="CO106" s="128"/>
      <c r="CP106" s="128"/>
      <c r="CQ106" s="128"/>
      <c r="CR106" s="406"/>
      <c r="CS106" s="431"/>
      <c r="CU106" s="23"/>
      <c r="CV106" s="23"/>
      <c r="CW106" s="23"/>
      <c r="CX106" s="23"/>
      <c r="DA106" s="648"/>
    </row>
    <row r="107" spans="1:105" s="35" customFormat="1" ht="12" customHeight="1" x14ac:dyDescent="0.2">
      <c r="A107" s="651"/>
      <c r="B107" s="537"/>
      <c r="C107" s="97" t="s">
        <v>92</v>
      </c>
      <c r="D107" s="237" t="s">
        <v>1130</v>
      </c>
      <c r="E107" s="647" t="s">
        <v>14</v>
      </c>
      <c r="F107" s="647"/>
      <c r="G107" s="98"/>
      <c r="H107" s="97"/>
      <c r="I107" s="166">
        <v>1997</v>
      </c>
      <c r="J107" s="571"/>
      <c r="K107" s="571"/>
      <c r="L107" s="493" t="s">
        <v>258</v>
      </c>
      <c r="M107" s="98" t="s">
        <v>17</v>
      </c>
      <c r="N107" s="494" t="s">
        <v>783</v>
      </c>
      <c r="O107" s="247"/>
      <c r="P107" s="247"/>
      <c r="Q107" s="98"/>
      <c r="R107" s="167"/>
      <c r="S107" s="167"/>
      <c r="T107" s="167"/>
      <c r="U107" s="393">
        <v>4955</v>
      </c>
      <c r="V107" s="694"/>
      <c r="W107" s="711"/>
      <c r="X107" s="167"/>
      <c r="Y107" s="446"/>
      <c r="Z107" s="446"/>
      <c r="AA107" s="446"/>
      <c r="AB107" s="446"/>
      <c r="AC107" s="446"/>
      <c r="AD107" s="446"/>
      <c r="AE107" s="446"/>
      <c r="AF107" s="446"/>
      <c r="AG107" s="446"/>
      <c r="AH107" s="446"/>
      <c r="AI107" s="446"/>
      <c r="AJ107" s="446"/>
      <c r="AK107" s="446"/>
      <c r="AL107" s="446"/>
      <c r="AM107" s="446"/>
      <c r="AN107" s="446"/>
      <c r="AO107" s="446"/>
      <c r="AP107" s="446"/>
      <c r="AQ107" s="446"/>
      <c r="AR107" s="446"/>
      <c r="AS107" s="446"/>
      <c r="AT107" s="446"/>
      <c r="AU107" s="446"/>
      <c r="AV107" s="446"/>
      <c r="AW107" s="446"/>
      <c r="AX107" s="446"/>
      <c r="AY107" s="446"/>
      <c r="AZ107" s="446"/>
      <c r="BA107" s="446"/>
      <c r="BB107" s="446"/>
      <c r="BC107" s="446"/>
      <c r="BD107" s="446"/>
      <c r="BE107" s="446"/>
      <c r="BF107" s="446"/>
      <c r="BG107" s="446"/>
      <c r="BH107" s="446"/>
      <c r="BI107" s="444">
        <v>30</v>
      </c>
      <c r="BJ107" s="446"/>
      <c r="BK107" s="446"/>
      <c r="BL107" s="446"/>
      <c r="BM107" s="446"/>
      <c r="BN107" s="446"/>
      <c r="BO107" s="446"/>
      <c r="BP107" s="446"/>
      <c r="BQ107" s="444"/>
      <c r="BR107" s="445"/>
      <c r="BS107" s="442">
        <v>28</v>
      </c>
      <c r="BT107" s="445">
        <v>7</v>
      </c>
      <c r="BU107" s="445"/>
      <c r="BV107" s="445"/>
      <c r="BW107" s="445"/>
      <c r="BX107" s="756"/>
      <c r="BY107" s="850"/>
      <c r="BZ107" s="850"/>
      <c r="CA107" s="850"/>
      <c r="CB107" s="850"/>
      <c r="CC107" s="850"/>
      <c r="CD107" s="850"/>
      <c r="CE107" s="850"/>
      <c r="CF107" s="850"/>
      <c r="CG107" s="98" t="s">
        <v>523</v>
      </c>
      <c r="CH107" s="417"/>
      <c r="CI107" s="406"/>
      <c r="CJ107" s="23"/>
      <c r="CK107" s="426" t="s">
        <v>1041</v>
      </c>
      <c r="CL107" s="572"/>
      <c r="CM107" s="648"/>
      <c r="CR107" s="406"/>
      <c r="CS107" s="648"/>
      <c r="CU107" s="23"/>
      <c r="CV107" s="23"/>
      <c r="CW107" s="23"/>
      <c r="CX107" s="23"/>
      <c r="DA107" s="648"/>
    </row>
    <row r="108" spans="1:105" s="35" customFormat="1" ht="12" customHeight="1" x14ac:dyDescent="0.2">
      <c r="A108" s="651"/>
      <c r="B108" s="537"/>
      <c r="C108" s="97" t="s">
        <v>92</v>
      </c>
      <c r="D108" s="237" t="s">
        <v>1130</v>
      </c>
      <c r="E108" s="647" t="s">
        <v>14</v>
      </c>
      <c r="F108" s="647"/>
      <c r="G108" s="237"/>
      <c r="H108" s="186"/>
      <c r="I108" s="166">
        <v>2005</v>
      </c>
      <c r="J108" s="390"/>
      <c r="K108" s="390"/>
      <c r="L108" s="493"/>
      <c r="M108" s="237" t="s">
        <v>17</v>
      </c>
      <c r="N108" s="493"/>
      <c r="O108" s="98" t="s">
        <v>20</v>
      </c>
      <c r="P108" s="98"/>
      <c r="Q108" s="98"/>
      <c r="R108" s="167"/>
      <c r="S108" s="167"/>
      <c r="T108" s="167"/>
      <c r="U108" s="393">
        <v>7000</v>
      </c>
      <c r="V108" s="694"/>
      <c r="W108" s="711"/>
      <c r="X108" s="254"/>
      <c r="Y108" s="446"/>
      <c r="Z108" s="446"/>
      <c r="AA108" s="446"/>
      <c r="AB108" s="446"/>
      <c r="AC108" s="446"/>
      <c r="AD108" s="446"/>
      <c r="AE108" s="446"/>
      <c r="AF108" s="446"/>
      <c r="AG108" s="446"/>
      <c r="AH108" s="446"/>
      <c r="AI108" s="446"/>
      <c r="AJ108" s="446"/>
      <c r="AK108" s="446"/>
      <c r="AL108" s="446"/>
      <c r="AM108" s="446"/>
      <c r="AN108" s="446"/>
      <c r="AO108" s="446"/>
      <c r="AP108" s="446"/>
      <c r="AQ108" s="446"/>
      <c r="AR108" s="446"/>
      <c r="AS108" s="446"/>
      <c r="AT108" s="446"/>
      <c r="AU108" s="446"/>
      <c r="AV108" s="446"/>
      <c r="AW108" s="446"/>
      <c r="AX108" s="446"/>
      <c r="AY108" s="446"/>
      <c r="AZ108" s="446"/>
      <c r="BA108" s="446"/>
      <c r="BB108" s="446"/>
      <c r="BC108" s="446"/>
      <c r="BD108" s="446"/>
      <c r="BE108" s="445"/>
      <c r="BF108" s="445"/>
      <c r="BG108" s="446"/>
      <c r="BH108" s="446"/>
      <c r="BI108" s="442">
        <v>19.600000000000001</v>
      </c>
      <c r="BJ108" s="445">
        <v>6.3</v>
      </c>
      <c r="BK108" s="445"/>
      <c r="BL108" s="445"/>
      <c r="BM108" s="445"/>
      <c r="BN108" s="445"/>
      <c r="BO108" s="445"/>
      <c r="BP108" s="445"/>
      <c r="BQ108" s="444"/>
      <c r="BR108" s="445"/>
      <c r="BS108" s="442"/>
      <c r="BT108" s="445"/>
      <c r="BU108" s="445"/>
      <c r="BV108" s="445"/>
      <c r="BW108" s="445"/>
      <c r="BX108" s="756"/>
      <c r="BY108" s="850"/>
      <c r="BZ108" s="850"/>
      <c r="CA108" s="850"/>
      <c r="CB108" s="850"/>
      <c r="CC108" s="850"/>
      <c r="CD108" s="850"/>
      <c r="CE108" s="850"/>
      <c r="CF108" s="850"/>
      <c r="CG108" s="98" t="s">
        <v>963</v>
      </c>
      <c r="CH108" s="419" t="s">
        <v>1121</v>
      </c>
      <c r="CI108" s="406"/>
      <c r="CJ108" s="23"/>
      <c r="CK108" s="648" t="s">
        <v>602</v>
      </c>
      <c r="CL108" s="572" t="s">
        <v>726</v>
      </c>
      <c r="CM108" s="648"/>
      <c r="CR108" s="406"/>
      <c r="CS108" s="648"/>
      <c r="CU108" s="23"/>
      <c r="CV108" s="23"/>
      <c r="CW108" s="23"/>
      <c r="CX108" s="23"/>
      <c r="DA108" s="648"/>
    </row>
    <row r="109" spans="1:105" s="35" customFormat="1" ht="12" customHeight="1" x14ac:dyDescent="0.2">
      <c r="A109" s="651"/>
      <c r="B109" s="537"/>
      <c r="C109" s="97" t="s">
        <v>146</v>
      </c>
      <c r="D109" s="169" t="s">
        <v>1130</v>
      </c>
      <c r="E109" s="647" t="s">
        <v>14</v>
      </c>
      <c r="F109" s="647"/>
      <c r="G109" s="98"/>
      <c r="H109" s="97"/>
      <c r="I109" s="166">
        <v>2002</v>
      </c>
      <c r="J109" s="571"/>
      <c r="K109" s="571"/>
      <c r="L109" s="493" t="s">
        <v>258</v>
      </c>
      <c r="M109" s="98" t="s">
        <v>18</v>
      </c>
      <c r="N109" s="494" t="s">
        <v>783</v>
      </c>
      <c r="O109" s="247"/>
      <c r="P109" s="247"/>
      <c r="Q109" s="98"/>
      <c r="R109" s="167"/>
      <c r="S109" s="167"/>
      <c r="T109" s="167"/>
      <c r="U109" s="393">
        <v>5908</v>
      </c>
      <c r="V109" s="694"/>
      <c r="W109" s="711"/>
      <c r="X109" s="167"/>
      <c r="Y109" s="446"/>
      <c r="Z109" s="446"/>
      <c r="AA109" s="446"/>
      <c r="AB109" s="446"/>
      <c r="AC109" s="446"/>
      <c r="AD109" s="446"/>
      <c r="AE109" s="446"/>
      <c r="AF109" s="446"/>
      <c r="AG109" s="446"/>
      <c r="AH109" s="446"/>
      <c r="AI109" s="446"/>
      <c r="AJ109" s="446"/>
      <c r="AK109" s="446"/>
      <c r="AL109" s="446"/>
      <c r="AM109" s="446"/>
      <c r="AN109" s="446"/>
      <c r="AO109" s="446"/>
      <c r="AP109" s="446"/>
      <c r="AQ109" s="446"/>
      <c r="AR109" s="446"/>
      <c r="AS109" s="446"/>
      <c r="AT109" s="446"/>
      <c r="AU109" s="446"/>
      <c r="AV109" s="446"/>
      <c r="AW109" s="446"/>
      <c r="AX109" s="446"/>
      <c r="AY109" s="446"/>
      <c r="AZ109" s="446"/>
      <c r="BA109" s="446"/>
      <c r="BB109" s="446"/>
      <c r="BC109" s="446"/>
      <c r="BD109" s="446"/>
      <c r="BE109" s="445"/>
      <c r="BF109" s="445"/>
      <c r="BG109" s="446"/>
      <c r="BH109" s="446"/>
      <c r="BI109" s="442">
        <v>9</v>
      </c>
      <c r="BJ109" s="445">
        <v>3</v>
      </c>
      <c r="BK109" s="445"/>
      <c r="BL109" s="445"/>
      <c r="BM109" s="445"/>
      <c r="BN109" s="445"/>
      <c r="BO109" s="445"/>
      <c r="BP109" s="445"/>
      <c r="BQ109" s="444"/>
      <c r="BR109" s="444"/>
      <c r="BS109" s="442"/>
      <c r="BT109" s="445"/>
      <c r="BU109" s="445"/>
      <c r="BV109" s="445"/>
      <c r="BW109" s="445"/>
      <c r="BX109" s="756"/>
      <c r="BY109" s="850"/>
      <c r="BZ109" s="850"/>
      <c r="CA109" s="850"/>
      <c r="CB109" s="850"/>
      <c r="CC109" s="850"/>
      <c r="CD109" s="850"/>
      <c r="CE109" s="850"/>
      <c r="CF109" s="850"/>
      <c r="CG109" s="169" t="s">
        <v>523</v>
      </c>
      <c r="CH109" s="417"/>
      <c r="CI109" s="406"/>
      <c r="CJ109" s="23"/>
      <c r="CK109" s="426" t="s">
        <v>1041</v>
      </c>
      <c r="CL109" s="691"/>
      <c r="CM109" s="648"/>
      <c r="CR109" s="406"/>
      <c r="CS109" s="648"/>
      <c r="CU109" s="23"/>
      <c r="CV109" s="23"/>
      <c r="CW109" s="23"/>
      <c r="CX109" s="23"/>
      <c r="DA109" s="648"/>
    </row>
    <row r="110" spans="1:105" s="35" customFormat="1" ht="12" customHeight="1" x14ac:dyDescent="0.2">
      <c r="A110" s="651"/>
      <c r="B110" s="537"/>
      <c r="C110" s="97" t="s">
        <v>146</v>
      </c>
      <c r="D110" s="169" t="s">
        <v>1130</v>
      </c>
      <c r="E110" s="647" t="s">
        <v>14</v>
      </c>
      <c r="F110" s="647"/>
      <c r="G110" s="98"/>
      <c r="H110" s="97"/>
      <c r="I110" s="166">
        <v>2007</v>
      </c>
      <c r="J110" s="571"/>
      <c r="K110" s="571"/>
      <c r="L110" s="493"/>
      <c r="M110" s="247" t="s">
        <v>15</v>
      </c>
      <c r="N110" s="494"/>
      <c r="O110" s="98" t="s">
        <v>19</v>
      </c>
      <c r="P110" s="98"/>
      <c r="Q110" s="98"/>
      <c r="R110" s="167"/>
      <c r="S110" s="167"/>
      <c r="T110" s="167"/>
      <c r="U110" s="170"/>
      <c r="V110" s="692"/>
      <c r="W110" s="700"/>
      <c r="X110" s="167"/>
      <c r="Y110" s="271"/>
      <c r="Z110" s="271"/>
      <c r="AA110" s="271"/>
      <c r="AB110" s="271"/>
      <c r="AC110" s="271"/>
      <c r="AD110" s="271"/>
      <c r="AE110" s="271"/>
      <c r="AF110" s="271"/>
      <c r="AG110" s="271"/>
      <c r="AH110" s="271"/>
      <c r="AI110" s="271"/>
      <c r="AJ110" s="271"/>
      <c r="AK110" s="271"/>
      <c r="AL110" s="271"/>
      <c r="AM110" s="271"/>
      <c r="AN110" s="271"/>
      <c r="AO110" s="271"/>
      <c r="AP110" s="271"/>
      <c r="AQ110" s="271"/>
      <c r="AR110" s="271"/>
      <c r="AS110" s="271"/>
      <c r="AT110" s="271"/>
      <c r="AU110" s="271"/>
      <c r="AV110" s="271"/>
      <c r="AW110" s="271"/>
      <c r="AX110" s="271"/>
      <c r="AY110" s="271"/>
      <c r="AZ110" s="271"/>
      <c r="BA110" s="271"/>
      <c r="BB110" s="271"/>
      <c r="BC110" s="271"/>
      <c r="BD110" s="271"/>
      <c r="BE110" s="445"/>
      <c r="BF110" s="445"/>
      <c r="BG110" s="271"/>
      <c r="BH110" s="271"/>
      <c r="BI110" s="442"/>
      <c r="BJ110" s="445">
        <v>3</v>
      </c>
      <c r="BK110" s="445"/>
      <c r="BL110" s="445"/>
      <c r="BM110" s="445"/>
      <c r="BN110" s="445"/>
      <c r="BO110" s="445"/>
      <c r="BP110" s="445"/>
      <c r="BQ110" s="444"/>
      <c r="BR110" s="444"/>
      <c r="BS110" s="446"/>
      <c r="BT110" s="446"/>
      <c r="BU110" s="446"/>
      <c r="BV110" s="442"/>
      <c r="BW110" s="442"/>
      <c r="BX110" s="756"/>
      <c r="BY110" s="850"/>
      <c r="BZ110" s="850"/>
      <c r="CA110" s="850"/>
      <c r="CB110" s="850"/>
      <c r="CC110" s="850"/>
      <c r="CD110" s="850"/>
      <c r="CE110" s="850"/>
      <c r="CF110" s="850"/>
      <c r="CG110" s="169"/>
      <c r="CH110" s="419" t="s">
        <v>1158</v>
      </c>
      <c r="CI110" s="406"/>
      <c r="CJ110" s="23"/>
      <c r="CK110" s="426"/>
      <c r="CL110" s="691"/>
      <c r="CM110" s="648"/>
      <c r="CR110" s="406"/>
      <c r="CS110" s="648"/>
      <c r="CU110" s="23"/>
      <c r="CV110" s="23"/>
      <c r="CW110" s="23"/>
      <c r="CX110" s="23"/>
      <c r="DA110" s="648"/>
    </row>
    <row r="111" spans="1:105" s="35" customFormat="1" ht="12" customHeight="1" x14ac:dyDescent="0.2">
      <c r="A111" s="651"/>
      <c r="B111" s="537"/>
      <c r="C111" s="97" t="s">
        <v>84</v>
      </c>
      <c r="D111" s="169" t="s">
        <v>1125</v>
      </c>
      <c r="E111" s="647" t="s">
        <v>14</v>
      </c>
      <c r="F111" s="647"/>
      <c r="G111" s="98"/>
      <c r="H111" s="97"/>
      <c r="I111" s="166">
        <v>1999</v>
      </c>
      <c r="J111" s="571"/>
      <c r="K111" s="571"/>
      <c r="L111" s="493" t="s">
        <v>1123</v>
      </c>
      <c r="M111" s="98" t="s">
        <v>15</v>
      </c>
      <c r="N111" s="494"/>
      <c r="O111" s="98" t="s">
        <v>90</v>
      </c>
      <c r="P111" s="98"/>
      <c r="Q111" s="98"/>
      <c r="R111" s="167"/>
      <c r="S111" s="167"/>
      <c r="T111" s="167"/>
      <c r="U111" s="393">
        <v>5694</v>
      </c>
      <c r="V111" s="694"/>
      <c r="W111" s="711"/>
      <c r="X111" s="167"/>
      <c r="Y111" s="446"/>
      <c r="Z111" s="446"/>
      <c r="AA111" s="446"/>
      <c r="AB111" s="446"/>
      <c r="AC111" s="446"/>
      <c r="AD111" s="446"/>
      <c r="AE111" s="446"/>
      <c r="AF111" s="446"/>
      <c r="AG111" s="446"/>
      <c r="AH111" s="446"/>
      <c r="AI111" s="446"/>
      <c r="AJ111" s="446"/>
      <c r="AK111" s="446"/>
      <c r="AL111" s="446"/>
      <c r="AM111" s="446"/>
      <c r="AN111" s="446"/>
      <c r="AO111" s="446"/>
      <c r="AP111" s="446"/>
      <c r="AQ111" s="446"/>
      <c r="AR111" s="446"/>
      <c r="AS111" s="446"/>
      <c r="AT111" s="446"/>
      <c r="AU111" s="446"/>
      <c r="AV111" s="446"/>
      <c r="AW111" s="446"/>
      <c r="AX111" s="446"/>
      <c r="AY111" s="446"/>
      <c r="AZ111" s="446"/>
      <c r="BA111" s="446"/>
      <c r="BB111" s="446"/>
      <c r="BC111" s="446"/>
      <c r="BD111" s="446"/>
      <c r="BE111" s="445"/>
      <c r="BF111" s="445"/>
      <c r="BG111" s="446"/>
      <c r="BH111" s="446"/>
      <c r="BI111" s="442">
        <v>5</v>
      </c>
      <c r="BJ111" s="445">
        <v>2</v>
      </c>
      <c r="BK111" s="445"/>
      <c r="BL111" s="445"/>
      <c r="BM111" s="445"/>
      <c r="BN111" s="445"/>
      <c r="BO111" s="445"/>
      <c r="BP111" s="445"/>
      <c r="BQ111" s="444"/>
      <c r="BR111" s="444"/>
      <c r="BS111" s="442"/>
      <c r="BT111" s="445"/>
      <c r="BU111" s="445"/>
      <c r="BV111" s="445"/>
      <c r="BW111" s="445"/>
      <c r="BX111" s="756"/>
      <c r="BY111" s="850"/>
      <c r="BZ111" s="850"/>
      <c r="CA111" s="850"/>
      <c r="CB111" s="850"/>
      <c r="CC111" s="850"/>
      <c r="CD111" s="850"/>
      <c r="CE111" s="850"/>
      <c r="CF111" s="850"/>
      <c r="CG111" s="169" t="s">
        <v>523</v>
      </c>
      <c r="CH111" s="417"/>
      <c r="CI111" s="406"/>
      <c r="CJ111" s="23"/>
      <c r="CK111" s="426" t="s">
        <v>1041</v>
      </c>
      <c r="CL111" s="572"/>
      <c r="CM111" s="648"/>
      <c r="CR111" s="406"/>
      <c r="CS111" s="648"/>
      <c r="CU111" s="23"/>
      <c r="CV111" s="23"/>
      <c r="CW111" s="23"/>
      <c r="CX111" s="23"/>
      <c r="DA111" s="648"/>
    </row>
    <row r="112" spans="1:105" s="35" customFormat="1" ht="12" customHeight="1" x14ac:dyDescent="0.2">
      <c r="A112" s="651"/>
      <c r="B112" s="537"/>
      <c r="C112" s="97" t="s">
        <v>84</v>
      </c>
      <c r="D112" s="169" t="s">
        <v>1125</v>
      </c>
      <c r="E112" s="647" t="s">
        <v>14</v>
      </c>
      <c r="F112" s="647"/>
      <c r="G112" s="98"/>
      <c r="H112" s="97"/>
      <c r="I112" s="166">
        <v>2005</v>
      </c>
      <c r="J112" s="571"/>
      <c r="K112" s="571"/>
      <c r="L112" s="493" t="s">
        <v>1123</v>
      </c>
      <c r="M112" s="98"/>
      <c r="N112" s="494"/>
      <c r="O112" s="98"/>
      <c r="P112" s="98"/>
      <c r="Q112" s="98"/>
      <c r="R112" s="167"/>
      <c r="S112" s="167"/>
      <c r="T112" s="167"/>
      <c r="U112" s="393"/>
      <c r="V112" s="694"/>
      <c r="W112" s="711"/>
      <c r="X112" s="167"/>
      <c r="Y112" s="446"/>
      <c r="Z112" s="446"/>
      <c r="AA112" s="446"/>
      <c r="AB112" s="446"/>
      <c r="AC112" s="446"/>
      <c r="AD112" s="446"/>
      <c r="AE112" s="446"/>
      <c r="AF112" s="446"/>
      <c r="AG112" s="446"/>
      <c r="AH112" s="446"/>
      <c r="AI112" s="446"/>
      <c r="AJ112" s="446"/>
      <c r="AK112" s="446"/>
      <c r="AL112" s="446"/>
      <c r="AM112" s="446"/>
      <c r="AN112" s="446"/>
      <c r="AO112" s="446"/>
      <c r="AP112" s="446"/>
      <c r="AQ112" s="446"/>
      <c r="AR112" s="446"/>
      <c r="AS112" s="446"/>
      <c r="AT112" s="446"/>
      <c r="AU112" s="446"/>
      <c r="AV112" s="446"/>
      <c r="AW112" s="446"/>
      <c r="AX112" s="446"/>
      <c r="AY112" s="446"/>
      <c r="AZ112" s="446"/>
      <c r="BA112" s="446"/>
      <c r="BB112" s="446"/>
      <c r="BC112" s="446"/>
      <c r="BD112" s="446"/>
      <c r="BE112" s="442"/>
      <c r="BF112" s="442"/>
      <c r="BG112" s="446"/>
      <c r="BH112" s="446"/>
      <c r="BI112" s="442">
        <v>4.8</v>
      </c>
      <c r="BJ112" s="442">
        <v>1.6</v>
      </c>
      <c r="BK112" s="442"/>
      <c r="BL112" s="442"/>
      <c r="BM112" s="442"/>
      <c r="BN112" s="442"/>
      <c r="BO112" s="442"/>
      <c r="BP112" s="442"/>
      <c r="BQ112" s="444"/>
      <c r="BR112" s="444"/>
      <c r="BS112" s="446"/>
      <c r="BT112" s="446"/>
      <c r="BU112" s="446"/>
      <c r="BV112" s="442"/>
      <c r="BW112" s="442"/>
      <c r="BX112" s="756"/>
      <c r="BY112" s="850"/>
      <c r="BZ112" s="850"/>
      <c r="CA112" s="850"/>
      <c r="CB112" s="850"/>
      <c r="CC112" s="850"/>
      <c r="CD112" s="850"/>
      <c r="CE112" s="850"/>
      <c r="CF112" s="850"/>
      <c r="CG112" s="169"/>
      <c r="CH112" s="419" t="s">
        <v>1158</v>
      </c>
      <c r="CI112" s="406"/>
      <c r="CJ112" s="23"/>
      <c r="CK112" s="648"/>
      <c r="CL112" s="572"/>
      <c r="CM112" s="431"/>
      <c r="CN112" s="128"/>
      <c r="CO112" s="128"/>
      <c r="CP112" s="128"/>
      <c r="CQ112" s="128"/>
      <c r="CR112" s="406"/>
      <c r="CS112" s="431"/>
      <c r="CU112" s="23"/>
      <c r="CV112" s="23"/>
      <c r="CW112" s="23"/>
      <c r="CX112" s="23"/>
      <c r="DA112" s="648"/>
    </row>
    <row r="113" spans="1:105" s="35" customFormat="1" ht="12" customHeight="1" x14ac:dyDescent="0.2">
      <c r="A113" s="651"/>
      <c r="B113" s="537"/>
      <c r="C113" s="97" t="s">
        <v>84</v>
      </c>
      <c r="D113" s="169" t="s">
        <v>1125</v>
      </c>
      <c r="E113" s="647" t="s">
        <v>14</v>
      </c>
      <c r="F113" s="647"/>
      <c r="G113" s="98"/>
      <c r="H113" s="97"/>
      <c r="I113" s="166">
        <v>2009</v>
      </c>
      <c r="J113" s="571"/>
      <c r="K113" s="571"/>
      <c r="L113" s="493" t="s">
        <v>243</v>
      </c>
      <c r="M113" s="98"/>
      <c r="N113" s="494" t="s">
        <v>783</v>
      </c>
      <c r="O113" s="247"/>
      <c r="P113" s="247"/>
      <c r="Q113" s="98"/>
      <c r="R113" s="167"/>
      <c r="S113" s="167"/>
      <c r="T113" s="167"/>
      <c r="U113" s="393"/>
      <c r="V113" s="694"/>
      <c r="W113" s="711"/>
      <c r="X113" s="167"/>
      <c r="Y113" s="446"/>
      <c r="Z113" s="446"/>
      <c r="AA113" s="446"/>
      <c r="AB113" s="446"/>
      <c r="AC113" s="446"/>
      <c r="AD113" s="446"/>
      <c r="AE113" s="446"/>
      <c r="AF113" s="446"/>
      <c r="AG113" s="446"/>
      <c r="AH113" s="446"/>
      <c r="AI113" s="446"/>
      <c r="AJ113" s="446"/>
      <c r="AK113" s="446"/>
      <c r="AL113" s="446"/>
      <c r="AM113" s="446"/>
      <c r="AN113" s="446"/>
      <c r="AO113" s="446"/>
      <c r="AP113" s="446"/>
      <c r="AQ113" s="446"/>
      <c r="AR113" s="446"/>
      <c r="AS113" s="446"/>
      <c r="AT113" s="446"/>
      <c r="AU113" s="446"/>
      <c r="AV113" s="446"/>
      <c r="AW113" s="446"/>
      <c r="AX113" s="446"/>
      <c r="AY113" s="446"/>
      <c r="AZ113" s="446"/>
      <c r="BA113" s="446"/>
      <c r="BB113" s="446"/>
      <c r="BC113" s="446"/>
      <c r="BD113" s="446"/>
      <c r="BE113" s="442"/>
      <c r="BF113" s="442"/>
      <c r="BG113" s="446"/>
      <c r="BH113" s="446"/>
      <c r="BI113" s="442">
        <v>6.9</v>
      </c>
      <c r="BJ113" s="442">
        <v>3.9</v>
      </c>
      <c r="BK113" s="442"/>
      <c r="BL113" s="442"/>
      <c r="BM113" s="442"/>
      <c r="BN113" s="442"/>
      <c r="BO113" s="442"/>
      <c r="BP113" s="442"/>
      <c r="BQ113" s="444"/>
      <c r="BR113" s="444"/>
      <c r="BS113" s="446"/>
      <c r="BT113" s="446"/>
      <c r="BU113" s="446"/>
      <c r="BV113" s="442"/>
      <c r="BW113" s="442"/>
      <c r="BX113" s="756"/>
      <c r="BY113" s="850"/>
      <c r="BZ113" s="850"/>
      <c r="CA113" s="850"/>
      <c r="CB113" s="850"/>
      <c r="CC113" s="850"/>
      <c r="CD113" s="850"/>
      <c r="CE113" s="850"/>
      <c r="CF113" s="850"/>
      <c r="CG113" s="169"/>
      <c r="CH113" s="419" t="s">
        <v>1158</v>
      </c>
      <c r="CI113" s="406"/>
      <c r="CJ113" s="23"/>
      <c r="CK113" s="648"/>
      <c r="CL113" s="572"/>
      <c r="CM113" s="431"/>
      <c r="CN113" s="128"/>
      <c r="CO113" s="128"/>
      <c r="CP113" s="128"/>
      <c r="CQ113" s="128"/>
      <c r="CR113" s="406"/>
      <c r="CS113" s="431"/>
      <c r="CU113" s="23"/>
      <c r="CV113" s="23"/>
      <c r="CW113" s="23"/>
      <c r="CX113" s="23"/>
      <c r="DA113" s="648"/>
    </row>
    <row r="114" spans="1:105" s="35" customFormat="1" ht="12" customHeight="1" x14ac:dyDescent="0.2">
      <c r="A114" s="651"/>
      <c r="B114" s="537"/>
      <c r="C114" s="97" t="s">
        <v>259</v>
      </c>
      <c r="D114" s="169" t="s">
        <v>1130</v>
      </c>
      <c r="E114" s="647" t="s">
        <v>14</v>
      </c>
      <c r="F114" s="647"/>
      <c r="G114" s="98"/>
      <c r="H114" s="97"/>
      <c r="I114" s="166">
        <v>2003</v>
      </c>
      <c r="J114" s="571"/>
      <c r="K114" s="571"/>
      <c r="L114" s="493" t="s">
        <v>258</v>
      </c>
      <c r="M114" s="98" t="s">
        <v>15</v>
      </c>
      <c r="N114" s="494" t="s">
        <v>783</v>
      </c>
      <c r="O114" s="247"/>
      <c r="P114" s="247"/>
      <c r="Q114" s="98"/>
      <c r="R114" s="167"/>
      <c r="S114" s="167"/>
      <c r="T114" s="167"/>
      <c r="U114" s="393">
        <v>10264</v>
      </c>
      <c r="V114" s="694"/>
      <c r="W114" s="711"/>
      <c r="X114" s="167"/>
      <c r="Y114" s="446"/>
      <c r="Z114" s="446"/>
      <c r="AA114" s="446"/>
      <c r="AB114" s="446"/>
      <c r="AC114" s="446"/>
      <c r="AD114" s="446"/>
      <c r="AE114" s="446"/>
      <c r="AF114" s="446"/>
      <c r="AG114" s="446"/>
      <c r="AH114" s="446"/>
      <c r="AI114" s="446"/>
      <c r="AJ114" s="446"/>
      <c r="AK114" s="446"/>
      <c r="AL114" s="446"/>
      <c r="AM114" s="446"/>
      <c r="AN114" s="446"/>
      <c r="AO114" s="446"/>
      <c r="AP114" s="446"/>
      <c r="AQ114" s="446"/>
      <c r="AR114" s="446"/>
      <c r="AS114" s="446"/>
      <c r="AT114" s="446"/>
      <c r="AU114" s="446"/>
      <c r="AV114" s="446"/>
      <c r="AW114" s="446"/>
      <c r="AX114" s="446"/>
      <c r="AY114" s="446"/>
      <c r="AZ114" s="446"/>
      <c r="BA114" s="446"/>
      <c r="BB114" s="446"/>
      <c r="BC114" s="446"/>
      <c r="BD114" s="446"/>
      <c r="BE114" s="445"/>
      <c r="BF114" s="445"/>
      <c r="BG114" s="446"/>
      <c r="BH114" s="446"/>
      <c r="BI114" s="442">
        <v>23</v>
      </c>
      <c r="BJ114" s="445"/>
      <c r="BK114" s="445"/>
      <c r="BL114" s="445"/>
      <c r="BM114" s="445"/>
      <c r="BN114" s="445"/>
      <c r="BO114" s="445"/>
      <c r="BP114" s="445"/>
      <c r="BQ114" s="444"/>
      <c r="BR114" s="444"/>
      <c r="BS114" s="442"/>
      <c r="BT114" s="445"/>
      <c r="BU114" s="445"/>
      <c r="BV114" s="445"/>
      <c r="BW114" s="445"/>
      <c r="BX114" s="756"/>
      <c r="BY114" s="850"/>
      <c r="BZ114" s="850"/>
      <c r="CA114" s="850"/>
      <c r="CB114" s="850"/>
      <c r="CC114" s="850"/>
      <c r="CD114" s="850"/>
      <c r="CE114" s="850"/>
      <c r="CF114" s="850"/>
      <c r="CG114" s="169" t="s">
        <v>523</v>
      </c>
      <c r="CH114" s="417"/>
      <c r="CI114" s="406"/>
      <c r="CJ114" s="23"/>
      <c r="CK114" s="426" t="s">
        <v>1041</v>
      </c>
      <c r="CL114" s="572"/>
      <c r="CM114" s="648"/>
      <c r="CR114" s="406"/>
      <c r="CS114" s="648"/>
      <c r="CU114" s="23"/>
      <c r="CV114" s="23"/>
      <c r="CW114" s="23"/>
      <c r="CX114" s="23"/>
      <c r="DA114" s="648"/>
    </row>
    <row r="115" spans="1:105" s="35" customFormat="1" ht="12" customHeight="1" x14ac:dyDescent="0.2">
      <c r="A115" s="652"/>
      <c r="B115" s="469" t="s">
        <v>1795</v>
      </c>
      <c r="C115" s="390" t="s">
        <v>149</v>
      </c>
      <c r="D115" s="237" t="s">
        <v>1131</v>
      </c>
      <c r="E115" s="647" t="s">
        <v>14</v>
      </c>
      <c r="F115" s="647"/>
      <c r="G115" s="237"/>
      <c r="H115" s="186"/>
      <c r="I115" s="166">
        <v>2008</v>
      </c>
      <c r="J115" s="571">
        <v>2008</v>
      </c>
      <c r="K115" s="571"/>
      <c r="L115" s="494" t="s">
        <v>244</v>
      </c>
      <c r="M115" s="247" t="s">
        <v>1837</v>
      </c>
      <c r="N115" s="494" t="s">
        <v>783</v>
      </c>
      <c r="O115" s="247" t="s">
        <v>19</v>
      </c>
      <c r="P115" s="98">
        <v>15</v>
      </c>
      <c r="Q115" s="247">
        <v>49</v>
      </c>
      <c r="R115" s="552">
        <v>30.818539097438702</v>
      </c>
      <c r="S115" s="552"/>
      <c r="T115" s="552"/>
      <c r="U115" s="553">
        <v>1835</v>
      </c>
      <c r="V115" s="794"/>
      <c r="W115" s="712"/>
      <c r="X115" s="552">
        <v>5.7161500815660622</v>
      </c>
      <c r="Y115" s="552">
        <v>17.493188010899203</v>
      </c>
      <c r="Z115" s="552">
        <v>16.294277929155296</v>
      </c>
      <c r="AA115" s="552">
        <v>33.024523160762911</v>
      </c>
      <c r="AB115" s="552">
        <v>33.024523160762911</v>
      </c>
      <c r="AC115" s="552">
        <v>28.680479825518027</v>
      </c>
      <c r="AD115" s="552">
        <v>27.099236641221353</v>
      </c>
      <c r="AE115" s="552">
        <v>8.9967284623773143</v>
      </c>
      <c r="AF115" s="552">
        <v>8.5059978189749046</v>
      </c>
      <c r="AG115" s="552">
        <v>1.8528610354223476</v>
      </c>
      <c r="AH115" s="552">
        <v>1.6348773841961823</v>
      </c>
      <c r="AI115" s="555"/>
      <c r="AJ115" s="555"/>
      <c r="AK115" s="555"/>
      <c r="AL115" s="555"/>
      <c r="AM115" s="552">
        <v>16.630316248636863</v>
      </c>
      <c r="AN115" s="552">
        <v>14.721919302071981</v>
      </c>
      <c r="AO115" s="552">
        <v>4.915346805024579</v>
      </c>
      <c r="AP115" s="552">
        <v>4.4238121245221151</v>
      </c>
      <c r="AQ115" s="552">
        <v>9.4277929155313434</v>
      </c>
      <c r="AR115" s="552">
        <v>8.5558583106267232</v>
      </c>
      <c r="AS115" s="552">
        <v>4.9618320610686908</v>
      </c>
      <c r="AT115" s="552">
        <v>4.4165757906215948</v>
      </c>
      <c r="AU115" s="552">
        <v>8.5013623978201629</v>
      </c>
      <c r="AV115" s="552">
        <v>7.3569482288828461</v>
      </c>
      <c r="AW115" s="552">
        <v>1.5267175572519081</v>
      </c>
      <c r="AX115" s="552">
        <v>1.3086150490730639</v>
      </c>
      <c r="AY115" s="555"/>
      <c r="AZ115" s="555"/>
      <c r="BA115" s="552"/>
      <c r="BB115" s="552"/>
      <c r="BC115" s="555"/>
      <c r="BD115" s="555"/>
      <c r="BE115" s="552"/>
      <c r="BF115" s="552"/>
      <c r="BG115" s="552"/>
      <c r="BH115" s="552"/>
      <c r="BI115" s="552">
        <v>20.980926430517677</v>
      </c>
      <c r="BJ115" s="552">
        <v>18.855585831062683</v>
      </c>
      <c r="BK115" s="552"/>
      <c r="BL115" s="552"/>
      <c r="BM115" s="552">
        <v>5.6675749318800976</v>
      </c>
      <c r="BN115" s="552">
        <v>4.8501362397820076</v>
      </c>
      <c r="BO115" s="552">
        <v>2.9989094874591067</v>
      </c>
      <c r="BP115" s="552">
        <v>2.5627044711014162</v>
      </c>
      <c r="BQ115" s="552"/>
      <c r="BR115" s="42"/>
      <c r="BS115" s="42"/>
      <c r="BT115" s="42"/>
      <c r="BU115" s="42">
        <v>12</v>
      </c>
      <c r="BV115" s="42"/>
      <c r="BW115" s="42"/>
      <c r="BX115" s="758"/>
      <c r="BY115" s="851"/>
      <c r="BZ115" s="851"/>
      <c r="CA115" s="851"/>
      <c r="CB115" s="851"/>
      <c r="CC115" s="851"/>
      <c r="CD115" s="851"/>
      <c r="CE115" s="851"/>
      <c r="CF115" s="851"/>
      <c r="CG115" s="97"/>
      <c r="CH115" s="647"/>
      <c r="CI115" s="97"/>
      <c r="CJ115" s="97"/>
      <c r="CK115" s="647"/>
      <c r="CL115" s="469" t="s">
        <v>1841</v>
      </c>
      <c r="CM115" s="647"/>
      <c r="CN115" s="97"/>
      <c r="CO115" s="97"/>
      <c r="CP115" s="97"/>
      <c r="CQ115" s="97"/>
      <c r="CR115" s="638"/>
      <c r="CS115" s="647"/>
      <c r="CU115" s="23"/>
      <c r="CV115" s="23"/>
      <c r="CW115" s="23"/>
      <c r="CX115" s="23"/>
      <c r="DA115" s="648"/>
    </row>
    <row r="116" spans="1:105" s="35" customFormat="1" ht="12" customHeight="1" x14ac:dyDescent="0.2">
      <c r="A116" s="651"/>
      <c r="B116" s="537"/>
      <c r="C116" s="186" t="s">
        <v>149</v>
      </c>
      <c r="D116" s="237" t="s">
        <v>1131</v>
      </c>
      <c r="E116" s="647" t="s">
        <v>14</v>
      </c>
      <c r="F116" s="647"/>
      <c r="G116" s="98"/>
      <c r="H116" s="97"/>
      <c r="I116" s="166" t="s">
        <v>331</v>
      </c>
      <c r="J116" s="571"/>
      <c r="K116" s="571"/>
      <c r="L116" s="493"/>
      <c r="M116" s="98" t="s">
        <v>17</v>
      </c>
      <c r="N116" s="493"/>
      <c r="O116" s="237" t="s">
        <v>577</v>
      </c>
      <c r="P116" s="237"/>
      <c r="Q116" s="98"/>
      <c r="R116" s="167"/>
      <c r="S116" s="167"/>
      <c r="T116" s="167"/>
      <c r="U116" s="394">
        <f>3047*66%</f>
        <v>2011.02</v>
      </c>
      <c r="V116" s="727"/>
      <c r="W116" s="714"/>
      <c r="X116" s="167"/>
      <c r="Y116" s="442"/>
      <c r="Z116" s="442"/>
      <c r="AA116" s="442"/>
      <c r="AB116" s="442"/>
      <c r="AC116" s="442"/>
      <c r="AD116" s="442"/>
      <c r="AE116" s="442"/>
      <c r="AF116" s="442"/>
      <c r="AG116" s="442"/>
      <c r="AH116" s="442"/>
      <c r="AI116" s="442"/>
      <c r="AJ116" s="442"/>
      <c r="AK116" s="442"/>
      <c r="AL116" s="442"/>
      <c r="AM116" s="442"/>
      <c r="AN116" s="442"/>
      <c r="AO116" s="442"/>
      <c r="AP116" s="442"/>
      <c r="AQ116" s="442"/>
      <c r="AR116" s="442"/>
      <c r="AS116" s="442"/>
      <c r="AT116" s="442"/>
      <c r="AU116" s="442"/>
      <c r="AV116" s="442"/>
      <c r="AW116" s="442"/>
      <c r="AX116" s="442"/>
      <c r="AY116" s="442"/>
      <c r="AZ116" s="442"/>
      <c r="BA116" s="442"/>
      <c r="BB116" s="442"/>
      <c r="BC116" s="442"/>
      <c r="BD116" s="442"/>
      <c r="BE116" s="442"/>
      <c r="BF116" s="442"/>
      <c r="BG116" s="442"/>
      <c r="BH116" s="442"/>
      <c r="BI116" s="445">
        <v>23</v>
      </c>
      <c r="BJ116" s="442"/>
      <c r="BK116" s="442"/>
      <c r="BL116" s="442"/>
      <c r="BM116" s="442"/>
      <c r="BN116" s="442"/>
      <c r="BO116" s="442"/>
      <c r="BP116" s="442"/>
      <c r="BQ116" s="444"/>
      <c r="BR116" s="445"/>
      <c r="BS116" s="442"/>
      <c r="BT116" s="445"/>
      <c r="BU116" s="445"/>
      <c r="BV116" s="445"/>
      <c r="BW116" s="445"/>
      <c r="BX116" s="756"/>
      <c r="BY116" s="850"/>
      <c r="BZ116" s="850"/>
      <c r="CA116" s="850"/>
      <c r="CB116" s="850"/>
      <c r="CC116" s="850"/>
      <c r="CD116" s="850"/>
      <c r="CE116" s="850"/>
      <c r="CF116" s="850"/>
      <c r="CG116" s="98" t="s">
        <v>964</v>
      </c>
      <c r="CH116" s="419" t="s">
        <v>332</v>
      </c>
      <c r="CI116" s="404">
        <v>40515</v>
      </c>
      <c r="CJ116" s="23" t="s">
        <v>333</v>
      </c>
      <c r="CK116" s="648" t="s">
        <v>1115</v>
      </c>
      <c r="CL116" s="572"/>
      <c r="CM116" s="648"/>
      <c r="CR116" s="406"/>
      <c r="CS116" s="648"/>
      <c r="CU116" s="23"/>
      <c r="CV116" s="23"/>
      <c r="CW116" s="23"/>
      <c r="CX116" s="23"/>
      <c r="DA116" s="648"/>
    </row>
    <row r="117" spans="1:105" s="35" customFormat="1" ht="12" customHeight="1" x14ac:dyDescent="0.2">
      <c r="A117" s="651"/>
      <c r="B117" s="537"/>
      <c r="C117" s="186" t="s">
        <v>150</v>
      </c>
      <c r="D117" s="237" t="s">
        <v>1130</v>
      </c>
      <c r="E117" s="647" t="s">
        <v>14</v>
      </c>
      <c r="F117" s="647"/>
      <c r="G117" s="98"/>
      <c r="H117" s="97"/>
      <c r="I117" s="166" t="s">
        <v>249</v>
      </c>
      <c r="J117" s="571"/>
      <c r="K117" s="571"/>
      <c r="L117" s="493"/>
      <c r="M117" s="98" t="s">
        <v>17</v>
      </c>
      <c r="N117" s="493"/>
      <c r="O117" s="247" t="s">
        <v>639</v>
      </c>
      <c r="P117" s="247"/>
      <c r="Q117" s="98"/>
      <c r="R117" s="167"/>
      <c r="S117" s="167"/>
      <c r="T117" s="167"/>
      <c r="U117" s="393">
        <v>1200</v>
      </c>
      <c r="V117" s="694"/>
      <c r="W117" s="711"/>
      <c r="X117" s="167"/>
      <c r="Y117" s="446"/>
      <c r="Z117" s="446"/>
      <c r="AA117" s="446"/>
      <c r="AB117" s="446"/>
      <c r="AC117" s="446"/>
      <c r="AD117" s="446"/>
      <c r="AE117" s="446"/>
      <c r="AF117" s="446"/>
      <c r="AG117" s="446"/>
      <c r="AH117" s="446"/>
      <c r="AI117" s="446"/>
      <c r="AJ117" s="446"/>
      <c r="AK117" s="446"/>
      <c r="AL117" s="446"/>
      <c r="AM117" s="446"/>
      <c r="AN117" s="446"/>
      <c r="AO117" s="446"/>
      <c r="AP117" s="446"/>
      <c r="AQ117" s="446"/>
      <c r="AR117" s="446"/>
      <c r="AS117" s="446"/>
      <c r="AT117" s="446"/>
      <c r="AU117" s="446"/>
      <c r="AV117" s="446"/>
      <c r="AW117" s="446"/>
      <c r="AX117" s="446"/>
      <c r="AY117" s="446"/>
      <c r="AZ117" s="446"/>
      <c r="BA117" s="446"/>
      <c r="BB117" s="446"/>
      <c r="BC117" s="446"/>
      <c r="BD117" s="446"/>
      <c r="BE117" s="442"/>
      <c r="BF117" s="442"/>
      <c r="BG117" s="446"/>
      <c r="BH117" s="446"/>
      <c r="BI117" s="442">
        <v>3.6</v>
      </c>
      <c r="BJ117" s="442"/>
      <c r="BK117" s="442"/>
      <c r="BL117" s="442"/>
      <c r="BM117" s="442"/>
      <c r="BN117" s="442"/>
      <c r="BO117" s="442"/>
      <c r="BP117" s="442"/>
      <c r="BQ117" s="444"/>
      <c r="BR117" s="445"/>
      <c r="BS117" s="442"/>
      <c r="BT117" s="445"/>
      <c r="BU117" s="445"/>
      <c r="BV117" s="445"/>
      <c r="BW117" s="445"/>
      <c r="BX117" s="756"/>
      <c r="BY117" s="850"/>
      <c r="BZ117" s="850"/>
      <c r="CA117" s="850"/>
      <c r="CB117" s="850"/>
      <c r="CC117" s="850"/>
      <c r="CD117" s="850"/>
      <c r="CE117" s="850"/>
      <c r="CF117" s="850"/>
      <c r="CG117" s="98"/>
      <c r="CH117" s="417" t="s">
        <v>1108</v>
      </c>
      <c r="CI117" s="406"/>
      <c r="CJ117" s="23"/>
      <c r="CK117" s="648"/>
      <c r="CL117" s="572"/>
      <c r="CM117" s="648"/>
      <c r="CR117" s="406"/>
      <c r="CS117" s="648"/>
      <c r="CU117" s="23"/>
      <c r="CV117" s="23"/>
      <c r="CW117" s="23"/>
      <c r="CX117" s="23"/>
      <c r="DA117" s="648"/>
    </row>
    <row r="118" spans="1:105" s="35" customFormat="1" ht="12" customHeight="1" x14ac:dyDescent="0.2">
      <c r="A118" s="651"/>
      <c r="B118" s="537"/>
      <c r="C118" s="97" t="s">
        <v>40</v>
      </c>
      <c r="D118" s="169" t="s">
        <v>1132</v>
      </c>
      <c r="E118" s="647" t="s">
        <v>526</v>
      </c>
      <c r="F118" s="647"/>
      <c r="G118" s="98"/>
      <c r="H118" s="97"/>
      <c r="I118" s="166">
        <v>1990</v>
      </c>
      <c r="J118" s="571"/>
      <c r="K118" s="571"/>
      <c r="L118" s="493"/>
      <c r="M118" s="98" t="s">
        <v>17</v>
      </c>
      <c r="N118" s="493"/>
      <c r="O118" s="237" t="s">
        <v>640</v>
      </c>
      <c r="P118" s="237"/>
      <c r="Q118" s="98"/>
      <c r="R118" s="167"/>
      <c r="S118" s="167"/>
      <c r="T118" s="167"/>
      <c r="U118" s="393">
        <v>1000</v>
      </c>
      <c r="V118" s="694"/>
      <c r="W118" s="711"/>
      <c r="X118" s="167"/>
      <c r="Y118" s="446"/>
      <c r="Z118" s="446"/>
      <c r="AA118" s="446"/>
      <c r="AB118" s="446"/>
      <c r="AC118" s="446"/>
      <c r="AD118" s="446"/>
      <c r="AE118" s="446"/>
      <c r="AF118" s="446"/>
      <c r="AG118" s="446"/>
      <c r="AH118" s="446"/>
      <c r="AI118" s="446"/>
      <c r="AJ118" s="446"/>
      <c r="AK118" s="446"/>
      <c r="AL118" s="446"/>
      <c r="AM118" s="446"/>
      <c r="AN118" s="446"/>
      <c r="AO118" s="446"/>
      <c r="AP118" s="446"/>
      <c r="AQ118" s="446"/>
      <c r="AR118" s="446"/>
      <c r="AS118" s="446"/>
      <c r="AT118" s="446"/>
      <c r="AU118" s="446"/>
      <c r="AV118" s="446"/>
      <c r="AW118" s="446"/>
      <c r="AX118" s="446"/>
      <c r="AY118" s="446"/>
      <c r="AZ118" s="446"/>
      <c r="BA118" s="446"/>
      <c r="BB118" s="446"/>
      <c r="BC118" s="446"/>
      <c r="BD118" s="446"/>
      <c r="BE118" s="446"/>
      <c r="BF118" s="446"/>
      <c r="BG118" s="446"/>
      <c r="BH118" s="446"/>
      <c r="BI118" s="446"/>
      <c r="BJ118" s="446"/>
      <c r="BK118" s="446"/>
      <c r="BL118" s="446"/>
      <c r="BM118" s="446"/>
      <c r="BN118" s="446"/>
      <c r="BO118" s="446"/>
      <c r="BP118" s="446"/>
      <c r="BQ118" s="444"/>
      <c r="BR118" s="445"/>
      <c r="BS118" s="442">
        <f>49*0.74</f>
        <v>36.26</v>
      </c>
      <c r="BT118" s="445"/>
      <c r="BU118" s="445"/>
      <c r="BV118" s="445"/>
      <c r="BW118" s="445"/>
      <c r="BX118" s="756"/>
      <c r="BY118" s="850"/>
      <c r="BZ118" s="850"/>
      <c r="CA118" s="850"/>
      <c r="CB118" s="850"/>
      <c r="CC118" s="850"/>
      <c r="CD118" s="850"/>
      <c r="CE118" s="850"/>
      <c r="CF118" s="850"/>
      <c r="CG118" s="168" t="s">
        <v>524</v>
      </c>
      <c r="CH118" s="419"/>
      <c r="CI118" s="407"/>
      <c r="CJ118" s="23"/>
      <c r="CK118" s="417" t="s">
        <v>1062</v>
      </c>
      <c r="CL118" s="572"/>
      <c r="CM118" s="648"/>
      <c r="CR118" s="406"/>
      <c r="CS118" s="648"/>
      <c r="CU118" s="23"/>
      <c r="CV118" s="23"/>
      <c r="CW118" s="23"/>
      <c r="CX118" s="23"/>
      <c r="DA118" s="648"/>
    </row>
    <row r="119" spans="1:105" s="35" customFormat="1" ht="12" customHeight="1" x14ac:dyDescent="0.2">
      <c r="A119" s="651"/>
      <c r="B119" s="537"/>
      <c r="C119" s="97" t="s">
        <v>40</v>
      </c>
      <c r="D119" s="169" t="s">
        <v>1132</v>
      </c>
      <c r="E119" s="647" t="s">
        <v>14</v>
      </c>
      <c r="F119" s="647"/>
      <c r="G119" s="98"/>
      <c r="H119" s="97"/>
      <c r="I119" s="166">
        <v>2002</v>
      </c>
      <c r="J119" s="571"/>
      <c r="K119" s="571"/>
      <c r="L119" s="493" t="s">
        <v>1123</v>
      </c>
      <c r="M119" s="98" t="s">
        <v>47</v>
      </c>
      <c r="N119" s="493"/>
      <c r="O119" s="98" t="s">
        <v>19</v>
      </c>
      <c r="P119" s="98">
        <v>15</v>
      </c>
      <c r="Q119" s="247">
        <v>49</v>
      </c>
      <c r="R119" s="167"/>
      <c r="S119" s="167"/>
      <c r="T119" s="167"/>
      <c r="U119" s="393">
        <v>6595</v>
      </c>
      <c r="V119" s="694"/>
      <c r="W119" s="711"/>
      <c r="X119" s="167"/>
      <c r="Y119" s="446"/>
      <c r="Z119" s="446"/>
      <c r="AA119" s="446"/>
      <c r="AB119" s="446"/>
      <c r="AC119" s="446"/>
      <c r="AD119" s="446"/>
      <c r="AE119" s="446"/>
      <c r="AF119" s="446"/>
      <c r="AG119" s="446"/>
      <c r="AH119" s="446"/>
      <c r="AI119" s="446"/>
      <c r="AJ119" s="446"/>
      <c r="AK119" s="446"/>
      <c r="AL119" s="446"/>
      <c r="AM119" s="446"/>
      <c r="AN119" s="446"/>
      <c r="AO119" s="446"/>
      <c r="AP119" s="446"/>
      <c r="AQ119" s="446"/>
      <c r="AR119" s="446"/>
      <c r="AS119" s="446"/>
      <c r="AT119" s="446"/>
      <c r="AU119" s="446"/>
      <c r="AV119" s="446"/>
      <c r="AW119" s="446"/>
      <c r="AX119" s="446"/>
      <c r="AY119" s="446"/>
      <c r="AZ119" s="446"/>
      <c r="BA119" s="446"/>
      <c r="BB119" s="446"/>
      <c r="BC119" s="446"/>
      <c r="BD119" s="446"/>
      <c r="BE119" s="445"/>
      <c r="BF119" s="445"/>
      <c r="BG119" s="446"/>
      <c r="BH119" s="446"/>
      <c r="BI119" s="445"/>
      <c r="BJ119" s="445">
        <v>8.6</v>
      </c>
      <c r="BK119" s="445"/>
      <c r="BL119" s="445"/>
      <c r="BM119" s="445"/>
      <c r="BN119" s="445"/>
      <c r="BO119" s="445"/>
      <c r="BP119" s="445"/>
      <c r="BQ119" s="444"/>
      <c r="BR119" s="444"/>
      <c r="BS119" s="446"/>
      <c r="BT119" s="446"/>
      <c r="BU119" s="446"/>
      <c r="BV119" s="442"/>
      <c r="BW119" s="442"/>
      <c r="BX119" s="756"/>
      <c r="BY119" s="850"/>
      <c r="BZ119" s="850"/>
      <c r="CA119" s="850"/>
      <c r="CB119" s="850"/>
      <c r="CC119" s="850"/>
      <c r="CD119" s="850"/>
      <c r="CE119" s="850"/>
      <c r="CF119" s="850"/>
      <c r="CG119" s="169" t="s">
        <v>523</v>
      </c>
      <c r="CH119" s="417"/>
      <c r="CI119" s="406"/>
      <c r="CJ119" s="23"/>
      <c r="CK119" s="426" t="s">
        <v>1041</v>
      </c>
      <c r="CL119" s="572"/>
      <c r="CM119" s="648"/>
      <c r="CR119" s="406"/>
      <c r="CS119" s="648"/>
      <c r="CU119" s="23"/>
      <c r="CV119" s="23"/>
      <c r="CW119" s="23"/>
      <c r="CX119" s="23"/>
      <c r="DA119" s="648"/>
    </row>
    <row r="120" spans="1:105" s="35" customFormat="1" ht="12" customHeight="1" x14ac:dyDescent="0.2">
      <c r="A120" s="651"/>
      <c r="B120" s="537"/>
      <c r="C120" s="97" t="s">
        <v>40</v>
      </c>
      <c r="D120" s="169" t="s">
        <v>1132</v>
      </c>
      <c r="E120" s="647" t="s">
        <v>14</v>
      </c>
      <c r="F120" s="647"/>
      <c r="G120" s="98"/>
      <c r="H120" s="97"/>
      <c r="I120" s="166" t="s">
        <v>589</v>
      </c>
      <c r="J120" s="571"/>
      <c r="K120" s="571"/>
      <c r="L120" s="493" t="s">
        <v>1123</v>
      </c>
      <c r="M120" s="247" t="s">
        <v>15</v>
      </c>
      <c r="N120" s="493"/>
      <c r="O120" s="98"/>
      <c r="P120" s="98"/>
      <c r="Q120" s="98"/>
      <c r="R120" s="167"/>
      <c r="S120" s="167"/>
      <c r="T120" s="167"/>
      <c r="U120" s="170"/>
      <c r="V120" s="692"/>
      <c r="W120" s="700"/>
      <c r="X120" s="167"/>
      <c r="Y120" s="271"/>
      <c r="Z120" s="271"/>
      <c r="AA120" s="271"/>
      <c r="AB120" s="271"/>
      <c r="AC120" s="271"/>
      <c r="AD120" s="271"/>
      <c r="AE120" s="271"/>
      <c r="AF120" s="271"/>
      <c r="AG120" s="271"/>
      <c r="AH120" s="271"/>
      <c r="AI120" s="271"/>
      <c r="AJ120" s="271"/>
      <c r="AK120" s="271"/>
      <c r="AL120" s="271"/>
      <c r="AM120" s="271"/>
      <c r="AN120" s="271"/>
      <c r="AO120" s="271"/>
      <c r="AP120" s="271"/>
      <c r="AQ120" s="271"/>
      <c r="AR120" s="271"/>
      <c r="AS120" s="271"/>
      <c r="AT120" s="271"/>
      <c r="AU120" s="271"/>
      <c r="AV120" s="271"/>
      <c r="AW120" s="271"/>
      <c r="AX120" s="271"/>
      <c r="AY120" s="271"/>
      <c r="AZ120" s="271"/>
      <c r="BA120" s="271"/>
      <c r="BB120" s="271"/>
      <c r="BC120" s="271"/>
      <c r="BD120" s="271"/>
      <c r="BE120" s="445"/>
      <c r="BF120" s="445"/>
      <c r="BG120" s="271"/>
      <c r="BH120" s="271"/>
      <c r="BI120" s="445">
        <v>24.5</v>
      </c>
      <c r="BJ120" s="445">
        <v>7.8</v>
      </c>
      <c r="BK120" s="445"/>
      <c r="BL120" s="445"/>
      <c r="BM120" s="445"/>
      <c r="BN120" s="445"/>
      <c r="BO120" s="445"/>
      <c r="BP120" s="445"/>
      <c r="BQ120" s="444"/>
      <c r="BR120" s="444"/>
      <c r="BS120" s="446"/>
      <c r="BT120" s="446"/>
      <c r="BU120" s="446"/>
      <c r="BV120" s="442"/>
      <c r="BW120" s="442"/>
      <c r="BX120" s="756"/>
      <c r="BY120" s="850"/>
      <c r="BZ120" s="850"/>
      <c r="CA120" s="850"/>
      <c r="CB120" s="850"/>
      <c r="CC120" s="850"/>
      <c r="CD120" s="850"/>
      <c r="CE120" s="850"/>
      <c r="CF120" s="850"/>
      <c r="CG120" s="169"/>
      <c r="CH120" s="419" t="s">
        <v>1158</v>
      </c>
      <c r="CI120" s="406"/>
      <c r="CJ120" s="23"/>
      <c r="CK120" s="648"/>
      <c r="CL120" s="572"/>
      <c r="CM120" s="648"/>
      <c r="CR120" s="406"/>
      <c r="CS120" s="648"/>
      <c r="CU120" s="23"/>
      <c r="CV120" s="23"/>
      <c r="CW120" s="23"/>
      <c r="CX120" s="23"/>
      <c r="DA120" s="648"/>
    </row>
    <row r="121" spans="1:105" s="35" customFormat="1" ht="12" customHeight="1" x14ac:dyDescent="0.2">
      <c r="A121" s="652"/>
      <c r="B121" s="469" t="s">
        <v>1833</v>
      </c>
      <c r="C121" s="390" t="s">
        <v>151</v>
      </c>
      <c r="D121" s="479" t="s">
        <v>1131</v>
      </c>
      <c r="E121" s="647" t="s">
        <v>14</v>
      </c>
      <c r="F121" s="647"/>
      <c r="G121" s="237"/>
      <c r="H121" s="186"/>
      <c r="I121" s="166">
        <v>2005</v>
      </c>
      <c r="J121" s="571">
        <v>2005</v>
      </c>
      <c r="K121" s="571"/>
      <c r="L121" s="494" t="s">
        <v>244</v>
      </c>
      <c r="M121" s="247" t="s">
        <v>1837</v>
      </c>
      <c r="N121" s="494" t="s">
        <v>783</v>
      </c>
      <c r="O121" s="247" t="s">
        <v>19</v>
      </c>
      <c r="P121" s="98">
        <v>15</v>
      </c>
      <c r="Q121" s="247">
        <v>49</v>
      </c>
      <c r="R121" s="552">
        <v>30.215670755836992</v>
      </c>
      <c r="S121" s="552"/>
      <c r="T121" s="552"/>
      <c r="U121" s="561">
        <v>3285</v>
      </c>
      <c r="V121" s="795"/>
      <c r="W121" s="715"/>
      <c r="X121" s="552">
        <v>1.3939633844631352</v>
      </c>
      <c r="Y121" s="555"/>
      <c r="Z121" s="555"/>
      <c r="AA121" s="555"/>
      <c r="AB121" s="555"/>
      <c r="AC121" s="555"/>
      <c r="AD121" s="555"/>
      <c r="AE121" s="555"/>
      <c r="AF121" s="555"/>
      <c r="AG121" s="555"/>
      <c r="AH121" s="555"/>
      <c r="AI121" s="555"/>
      <c r="AJ121" s="555"/>
      <c r="AK121" s="555"/>
      <c r="AL121" s="555"/>
      <c r="AM121" s="555"/>
      <c r="AN121" s="555"/>
      <c r="AO121" s="555"/>
      <c r="AP121" s="555"/>
      <c r="AQ121" s="555"/>
      <c r="AR121" s="555"/>
      <c r="AS121" s="555"/>
      <c r="AT121" s="555"/>
      <c r="AU121" s="555"/>
      <c r="AV121" s="555"/>
      <c r="AW121" s="555"/>
      <c r="AX121" s="555"/>
      <c r="AY121" s="555"/>
      <c r="AZ121" s="555"/>
      <c r="BA121" s="555"/>
      <c r="BB121" s="555"/>
      <c r="BC121" s="555"/>
      <c r="BD121" s="555"/>
      <c r="BE121" s="555"/>
      <c r="BF121" s="555"/>
      <c r="BG121" s="555"/>
      <c r="BH121" s="555"/>
      <c r="BI121" s="555"/>
      <c r="BJ121" s="555"/>
      <c r="BK121" s="555"/>
      <c r="BL121" s="555"/>
      <c r="BM121" s="42"/>
      <c r="BN121" s="552">
        <v>2.6484018264840148</v>
      </c>
      <c r="BO121" s="555"/>
      <c r="BP121" s="555"/>
      <c r="BQ121" s="552"/>
      <c r="BR121" s="42"/>
      <c r="BS121" s="42"/>
      <c r="BT121" s="42"/>
      <c r="BU121" s="42">
        <v>12</v>
      </c>
      <c r="BV121" s="42"/>
      <c r="BW121" s="42"/>
      <c r="BX121" s="758"/>
      <c r="BY121" s="851"/>
      <c r="BZ121" s="851"/>
      <c r="CA121" s="851"/>
      <c r="CB121" s="851"/>
      <c r="CC121" s="851"/>
      <c r="CD121" s="851"/>
      <c r="CE121" s="851"/>
      <c r="CF121" s="851"/>
      <c r="CG121" s="97"/>
      <c r="CH121" s="647"/>
      <c r="CI121" s="97"/>
      <c r="CJ121" s="97"/>
      <c r="CK121" s="647"/>
      <c r="CL121" s="469" t="s">
        <v>1841</v>
      </c>
      <c r="CM121" s="647"/>
      <c r="CN121" s="97"/>
      <c r="CO121" s="97"/>
      <c r="CP121" s="97"/>
      <c r="CQ121" s="97"/>
      <c r="CR121" s="638"/>
      <c r="CS121" s="647"/>
      <c r="CU121" s="23"/>
      <c r="CV121" s="23"/>
      <c r="CW121" s="23"/>
      <c r="CX121" s="23"/>
      <c r="DA121" s="648"/>
    </row>
    <row r="122" spans="1:105" s="35" customFormat="1" ht="12" customHeight="1" x14ac:dyDescent="0.2">
      <c r="A122" s="651"/>
      <c r="B122" s="537"/>
      <c r="C122" s="97" t="s">
        <v>151</v>
      </c>
      <c r="D122" s="169" t="s">
        <v>1131</v>
      </c>
      <c r="E122" s="647" t="s">
        <v>880</v>
      </c>
      <c r="F122" s="647"/>
      <c r="G122" s="98"/>
      <c r="H122" s="97"/>
      <c r="I122" s="166"/>
      <c r="J122" s="571"/>
      <c r="K122" s="571"/>
      <c r="L122" s="493"/>
      <c r="M122" s="98"/>
      <c r="N122" s="493"/>
      <c r="O122" s="247" t="s">
        <v>641</v>
      </c>
      <c r="P122" s="247"/>
      <c r="Q122" s="98"/>
      <c r="R122" s="167"/>
      <c r="S122" s="167"/>
      <c r="T122" s="167"/>
      <c r="U122" s="393">
        <v>999999999</v>
      </c>
      <c r="V122" s="694"/>
      <c r="W122" s="711"/>
      <c r="X122" s="167"/>
      <c r="Y122" s="446"/>
      <c r="Z122" s="446"/>
      <c r="AA122" s="446"/>
      <c r="AB122" s="446"/>
      <c r="AC122" s="446"/>
      <c r="AD122" s="446"/>
      <c r="AE122" s="446"/>
      <c r="AF122" s="446"/>
      <c r="AG122" s="446"/>
      <c r="AH122" s="446"/>
      <c r="AI122" s="446"/>
      <c r="AJ122" s="446"/>
      <c r="AK122" s="446"/>
      <c r="AL122" s="446"/>
      <c r="AM122" s="446"/>
      <c r="AN122" s="446"/>
      <c r="AO122" s="446"/>
      <c r="AP122" s="446"/>
      <c r="AQ122" s="446"/>
      <c r="AR122" s="446"/>
      <c r="AS122" s="446"/>
      <c r="AT122" s="446"/>
      <c r="AU122" s="446"/>
      <c r="AV122" s="446"/>
      <c r="AW122" s="446"/>
      <c r="AX122" s="446"/>
      <c r="AY122" s="446"/>
      <c r="AZ122" s="446"/>
      <c r="BA122" s="446"/>
      <c r="BB122" s="446"/>
      <c r="BC122" s="446"/>
      <c r="BD122" s="446"/>
      <c r="BE122" s="442"/>
      <c r="BF122" s="442"/>
      <c r="BG122" s="446"/>
      <c r="BH122" s="446"/>
      <c r="BI122" s="442"/>
      <c r="BJ122" s="442"/>
      <c r="BK122" s="442"/>
      <c r="BL122" s="442"/>
      <c r="BM122" s="442"/>
      <c r="BN122" s="442"/>
      <c r="BO122" s="442"/>
      <c r="BP122" s="442"/>
      <c r="BQ122" s="442"/>
      <c r="BR122" s="442"/>
      <c r="BS122" s="442">
        <v>22</v>
      </c>
      <c r="BT122" s="271"/>
      <c r="BU122" s="271"/>
      <c r="BV122" s="454"/>
      <c r="BW122" s="454"/>
      <c r="BX122" s="756"/>
      <c r="BY122" s="850"/>
      <c r="BZ122" s="850"/>
      <c r="CA122" s="850"/>
      <c r="CB122" s="850"/>
      <c r="CC122" s="850"/>
      <c r="CD122" s="850"/>
      <c r="CE122" s="850"/>
      <c r="CF122" s="850"/>
      <c r="CG122" s="169" t="s">
        <v>879</v>
      </c>
      <c r="CH122" s="419" t="s">
        <v>886</v>
      </c>
      <c r="CI122" s="406"/>
      <c r="CJ122" s="23"/>
      <c r="CK122" s="648"/>
      <c r="CL122" s="572"/>
      <c r="CM122" s="431"/>
      <c r="CN122" s="128"/>
      <c r="CO122" s="128"/>
      <c r="CP122" s="128"/>
      <c r="CQ122" s="128"/>
      <c r="CR122" s="406"/>
      <c r="CS122" s="431"/>
      <c r="CU122" s="23"/>
      <c r="CV122" s="23"/>
      <c r="CW122" s="23"/>
      <c r="CX122" s="23"/>
      <c r="DA122" s="648"/>
    </row>
    <row r="123" spans="1:105" s="35" customFormat="1" ht="12" customHeight="1" x14ac:dyDescent="0.2">
      <c r="A123" s="652"/>
      <c r="B123" s="469" t="s">
        <v>1796</v>
      </c>
      <c r="C123" s="390" t="s">
        <v>46</v>
      </c>
      <c r="D123" s="237" t="s">
        <v>1132</v>
      </c>
      <c r="E123" s="647" t="s">
        <v>14</v>
      </c>
      <c r="F123" s="647"/>
      <c r="G123" s="237"/>
      <c r="H123" s="186"/>
      <c r="I123" s="166">
        <v>2000</v>
      </c>
      <c r="J123" s="571">
        <v>2000</v>
      </c>
      <c r="K123" s="571"/>
      <c r="L123" s="494" t="s">
        <v>244</v>
      </c>
      <c r="M123" s="247" t="s">
        <v>1837</v>
      </c>
      <c r="N123" s="494" t="s">
        <v>783</v>
      </c>
      <c r="O123" s="247" t="s">
        <v>19</v>
      </c>
      <c r="P123" s="98">
        <v>15</v>
      </c>
      <c r="Q123" s="247">
        <v>49</v>
      </c>
      <c r="R123" s="552">
        <v>29.874287629902774</v>
      </c>
      <c r="S123" s="552"/>
      <c r="T123" s="552"/>
      <c r="U123" s="553">
        <v>2586</v>
      </c>
      <c r="V123" s="794"/>
      <c r="W123" s="712"/>
      <c r="X123" s="552">
        <v>3.671345717407748</v>
      </c>
      <c r="Y123" s="552">
        <v>11.523588553750967</v>
      </c>
      <c r="Z123" s="552">
        <v>9.8335269066976334</v>
      </c>
      <c r="AA123" s="552">
        <v>13.418406805877796</v>
      </c>
      <c r="AB123" s="552">
        <v>11.227255129694134</v>
      </c>
      <c r="AC123" s="555"/>
      <c r="AD123" s="555"/>
      <c r="AE123" s="552">
        <v>6.9272445820433566</v>
      </c>
      <c r="AF123" s="552">
        <v>5.4221533694810198</v>
      </c>
      <c r="AG123" s="552">
        <v>1.8561484918793485</v>
      </c>
      <c r="AH123" s="552">
        <v>1.4307811291570003</v>
      </c>
      <c r="AI123" s="555"/>
      <c r="AJ123" s="555"/>
      <c r="AK123" s="552">
        <v>0.81206496519721716</v>
      </c>
      <c r="AL123" s="552">
        <v>0.61871616395978324</v>
      </c>
      <c r="AM123" s="552">
        <v>9.8646034816247514</v>
      </c>
      <c r="AN123" s="552">
        <v>8.0139372822299588</v>
      </c>
      <c r="AO123" s="555"/>
      <c r="AP123" s="555"/>
      <c r="AQ123" s="552">
        <v>11.291569992266076</v>
      </c>
      <c r="AR123" s="552">
        <v>9.0170278637771002</v>
      </c>
      <c r="AS123" s="552">
        <v>7.0378963650425446</v>
      </c>
      <c r="AT123" s="552">
        <v>5.5319148936170075</v>
      </c>
      <c r="AU123" s="552">
        <v>4.6403712296983821</v>
      </c>
      <c r="AV123" s="552">
        <v>3.6363636363636385</v>
      </c>
      <c r="AW123" s="552">
        <v>2.3984526112185689</v>
      </c>
      <c r="AX123" s="552">
        <v>2.0116054158607413</v>
      </c>
      <c r="AY123" s="555"/>
      <c r="AZ123" s="555"/>
      <c r="BA123" s="552"/>
      <c r="BB123" s="552"/>
      <c r="BC123" s="555"/>
      <c r="BD123" s="555"/>
      <c r="BE123" s="552"/>
      <c r="BF123" s="552"/>
      <c r="BG123" s="552"/>
      <c r="BH123" s="552"/>
      <c r="BI123" s="552">
        <v>15.158546017014711</v>
      </c>
      <c r="BJ123" s="552">
        <v>12.45166279969062</v>
      </c>
      <c r="BK123" s="552"/>
      <c r="BL123" s="552"/>
      <c r="BM123" s="552">
        <v>18.986852281515834</v>
      </c>
      <c r="BN123" s="552">
        <v>16.453735965931113</v>
      </c>
      <c r="BO123" s="552">
        <v>7.1179883945841365</v>
      </c>
      <c r="BP123" s="552">
        <v>6.3104916763453307</v>
      </c>
      <c r="BQ123" s="552"/>
      <c r="BR123" s="42"/>
      <c r="BS123" s="42"/>
      <c r="BT123" s="42"/>
      <c r="BU123" s="42">
        <v>12</v>
      </c>
      <c r="BV123" s="42"/>
      <c r="BW123" s="42"/>
      <c r="BX123" s="758"/>
      <c r="BY123" s="851"/>
      <c r="BZ123" s="851"/>
      <c r="CA123" s="851"/>
      <c r="CB123" s="851"/>
      <c r="CC123" s="851"/>
      <c r="CD123" s="851"/>
      <c r="CE123" s="851"/>
      <c r="CF123" s="851"/>
      <c r="CG123" s="97"/>
      <c r="CH123" s="647"/>
      <c r="CI123" s="97"/>
      <c r="CJ123" s="97"/>
      <c r="CK123" s="647"/>
      <c r="CL123" s="469" t="s">
        <v>1841</v>
      </c>
      <c r="CM123" s="647"/>
      <c r="CN123" s="97"/>
      <c r="CO123" s="97"/>
      <c r="CP123" s="97"/>
      <c r="CQ123" s="97"/>
      <c r="CR123" s="638"/>
      <c r="CS123" s="647"/>
      <c r="CU123" s="23"/>
      <c r="CV123" s="23"/>
      <c r="CW123" s="23"/>
      <c r="CX123" s="23"/>
      <c r="DA123" s="648"/>
    </row>
    <row r="124" spans="1:105" s="35" customFormat="1" ht="12" customHeight="1" x14ac:dyDescent="0.2">
      <c r="A124" s="652"/>
      <c r="B124" s="469" t="s">
        <v>1797</v>
      </c>
      <c r="C124" s="390" t="s">
        <v>46</v>
      </c>
      <c r="D124" s="237" t="s">
        <v>1132</v>
      </c>
      <c r="E124" s="647" t="s">
        <v>14</v>
      </c>
      <c r="F124" s="647"/>
      <c r="G124" s="237"/>
      <c r="H124" s="186"/>
      <c r="I124" s="481" t="s">
        <v>235</v>
      </c>
      <c r="J124" s="571">
        <v>2006</v>
      </c>
      <c r="K124" s="571"/>
      <c r="L124" s="494" t="s">
        <v>244</v>
      </c>
      <c r="M124" s="247" t="s">
        <v>1837</v>
      </c>
      <c r="N124" s="494" t="s">
        <v>783</v>
      </c>
      <c r="O124" s="247" t="s">
        <v>19</v>
      </c>
      <c r="P124" s="98">
        <v>15</v>
      </c>
      <c r="Q124" s="247">
        <v>49</v>
      </c>
      <c r="R124" s="552">
        <v>29.923295880149769</v>
      </c>
      <c r="S124" s="552"/>
      <c r="T124" s="552"/>
      <c r="U124" s="553">
        <v>2676</v>
      </c>
      <c r="V124" s="794"/>
      <c r="W124" s="712"/>
      <c r="X124" s="552">
        <v>4.4898785425101062</v>
      </c>
      <c r="Y124" s="552">
        <v>11.439252336448607</v>
      </c>
      <c r="Z124" s="552">
        <v>10.24299065420561</v>
      </c>
      <c r="AA124" s="552">
        <v>15.887850467289754</v>
      </c>
      <c r="AB124" s="552">
        <v>15.887850467289754</v>
      </c>
      <c r="AC124" s="552">
        <v>13.009345794392543</v>
      </c>
      <c r="AD124" s="552">
        <v>11.813084112149552</v>
      </c>
      <c r="AE124" s="552">
        <v>5.8691588785046651</v>
      </c>
      <c r="AF124" s="552">
        <v>5.2710280373831884</v>
      </c>
      <c r="AG124" s="552">
        <v>1.6460905349794219</v>
      </c>
      <c r="AH124" s="552">
        <v>1.3842124953236052</v>
      </c>
      <c r="AI124" s="555"/>
      <c r="AJ124" s="555"/>
      <c r="AK124" s="555"/>
      <c r="AL124" s="555"/>
      <c r="AM124" s="552">
        <v>8.6696562032884614</v>
      </c>
      <c r="AN124" s="552">
        <v>7.5485799701046465</v>
      </c>
      <c r="AO124" s="552">
        <v>4.3022820800598494</v>
      </c>
      <c r="AP124" s="552">
        <v>3.7037037037037019</v>
      </c>
      <c r="AQ124" s="552">
        <v>8.7070254110612844</v>
      </c>
      <c r="AR124" s="552">
        <v>7.9222720478325925</v>
      </c>
      <c r="AS124" s="552">
        <v>6.0560747663551417</v>
      </c>
      <c r="AT124" s="552">
        <v>5.1962616822429881</v>
      </c>
      <c r="AU124" s="552">
        <v>3.5127055306427559</v>
      </c>
      <c r="AV124" s="552">
        <v>3.1390134529147975</v>
      </c>
      <c r="AW124" s="552">
        <v>1.7189835575485772</v>
      </c>
      <c r="AX124" s="552">
        <v>1.5695067264573963</v>
      </c>
      <c r="AY124" s="555"/>
      <c r="AZ124" s="555"/>
      <c r="BA124" s="552"/>
      <c r="BB124" s="552"/>
      <c r="BC124" s="555"/>
      <c r="BD124" s="555"/>
      <c r="BE124" s="552"/>
      <c r="BF124" s="552"/>
      <c r="BG124" s="552"/>
      <c r="BH124" s="552"/>
      <c r="BI124" s="552">
        <v>12.107623318385651</v>
      </c>
      <c r="BJ124" s="552">
        <v>10.837070254110614</v>
      </c>
      <c r="BK124" s="552"/>
      <c r="BL124" s="552"/>
      <c r="BM124" s="552">
        <v>8.9312406576980656</v>
      </c>
      <c r="BN124" s="552">
        <v>8.4454409566516961</v>
      </c>
      <c r="BO124" s="552">
        <v>6.3153961136023913</v>
      </c>
      <c r="BP124" s="552">
        <v>6.0911808669656207</v>
      </c>
      <c r="BQ124" s="552"/>
      <c r="BR124" s="42"/>
      <c r="BS124" s="42"/>
      <c r="BT124" s="42"/>
      <c r="BU124" s="42">
        <v>12</v>
      </c>
      <c r="BV124" s="42"/>
      <c r="BW124" s="42"/>
      <c r="BX124" s="758"/>
      <c r="BY124" s="851"/>
      <c r="BZ124" s="851"/>
      <c r="CA124" s="851"/>
      <c r="CB124" s="851"/>
      <c r="CC124" s="851"/>
      <c r="CD124" s="851"/>
      <c r="CE124" s="851"/>
      <c r="CF124" s="851"/>
      <c r="CG124" s="97"/>
      <c r="CH124" s="647"/>
      <c r="CI124" s="97"/>
      <c r="CJ124" s="97"/>
      <c r="CK124" s="647"/>
      <c r="CL124" s="469" t="s">
        <v>1841</v>
      </c>
      <c r="CM124" s="556" t="s">
        <v>1158</v>
      </c>
      <c r="CN124" s="97"/>
      <c r="CO124" s="97"/>
      <c r="CP124" s="97"/>
      <c r="CQ124" s="97"/>
      <c r="CR124" s="638"/>
      <c r="CS124" s="647"/>
      <c r="CU124" s="23"/>
      <c r="CV124" s="23"/>
      <c r="CW124" s="23"/>
      <c r="CX124" s="23"/>
      <c r="DA124" s="648"/>
    </row>
    <row r="125" spans="1:105" s="35" customFormat="1" ht="12" customHeight="1" x14ac:dyDescent="0.2">
      <c r="A125" s="652"/>
      <c r="B125" s="469" t="s">
        <v>1798</v>
      </c>
      <c r="C125" s="390" t="s">
        <v>45</v>
      </c>
      <c r="D125" s="237" t="s">
        <v>1132</v>
      </c>
      <c r="E125" s="647" t="s">
        <v>14</v>
      </c>
      <c r="F125" s="647"/>
      <c r="G125" s="237"/>
      <c r="H125" s="186"/>
      <c r="I125" s="481" t="s">
        <v>235</v>
      </c>
      <c r="J125" s="571">
        <v>2006</v>
      </c>
      <c r="K125" s="571"/>
      <c r="L125" s="494" t="s">
        <v>244</v>
      </c>
      <c r="M125" s="247" t="s">
        <v>1837</v>
      </c>
      <c r="N125" s="494" t="s">
        <v>783</v>
      </c>
      <c r="O125" s="247" t="s">
        <v>19</v>
      </c>
      <c r="P125" s="98">
        <v>15</v>
      </c>
      <c r="Q125" s="247">
        <v>49</v>
      </c>
      <c r="R125" s="552">
        <v>28.491628233406843</v>
      </c>
      <c r="S125" s="552"/>
      <c r="T125" s="552"/>
      <c r="U125" s="553">
        <v>14369</v>
      </c>
      <c r="V125" s="794"/>
      <c r="W125" s="712"/>
      <c r="X125" s="552">
        <v>6.4004912773210521</v>
      </c>
      <c r="Y125" s="555"/>
      <c r="Z125" s="555"/>
      <c r="AA125" s="555"/>
      <c r="AB125" s="555"/>
      <c r="AC125" s="555"/>
      <c r="AD125" s="555"/>
      <c r="AE125" s="555"/>
      <c r="AF125" s="555"/>
      <c r="AG125" s="555"/>
      <c r="AH125" s="555"/>
      <c r="AI125" s="555"/>
      <c r="AJ125" s="555"/>
      <c r="AK125" s="555"/>
      <c r="AL125" s="555"/>
      <c r="AM125" s="555"/>
      <c r="AN125" s="555"/>
      <c r="AO125" s="555"/>
      <c r="AP125" s="555"/>
      <c r="AQ125" s="555"/>
      <c r="AR125" s="555"/>
      <c r="AS125" s="555"/>
      <c r="AT125" s="555"/>
      <c r="AU125" s="555"/>
      <c r="AV125" s="555"/>
      <c r="AW125" s="555"/>
      <c r="AX125" s="555"/>
      <c r="AY125" s="555"/>
      <c r="AZ125" s="555"/>
      <c r="BA125" s="555"/>
      <c r="BB125" s="555"/>
      <c r="BC125" s="555"/>
      <c r="BD125" s="555"/>
      <c r="BE125" s="442"/>
      <c r="BF125" s="442"/>
      <c r="BG125" s="555"/>
      <c r="BH125" s="555"/>
      <c r="BI125" s="552">
        <v>13.417774375391449</v>
      </c>
      <c r="BJ125" s="442">
        <v>6.3</v>
      </c>
      <c r="BK125" s="442"/>
      <c r="BL125" s="442"/>
      <c r="BM125" s="555"/>
      <c r="BN125" s="555"/>
      <c r="BO125" s="555"/>
      <c r="BP125" s="555"/>
      <c r="BQ125" s="552"/>
      <c r="BR125" s="42"/>
      <c r="BS125" s="42"/>
      <c r="BT125" s="42"/>
      <c r="BU125" s="42">
        <v>12</v>
      </c>
      <c r="BV125" s="42"/>
      <c r="BW125" s="42"/>
      <c r="BX125" s="758"/>
      <c r="BY125" s="851"/>
      <c r="BZ125" s="851"/>
      <c r="CA125" s="851"/>
      <c r="CB125" s="851"/>
      <c r="CC125" s="851"/>
      <c r="CD125" s="851"/>
      <c r="CE125" s="851"/>
      <c r="CF125" s="851"/>
      <c r="CG125" s="97"/>
      <c r="CH125" s="647"/>
      <c r="CI125" s="97"/>
      <c r="CJ125" s="97"/>
      <c r="CK125" s="647"/>
      <c r="CL125" s="469" t="s">
        <v>1841</v>
      </c>
      <c r="CM125" s="647"/>
      <c r="CN125" s="97"/>
      <c r="CO125" s="97"/>
      <c r="CP125" s="97"/>
      <c r="CQ125" s="97"/>
      <c r="CR125" s="638"/>
      <c r="CS125" s="647"/>
      <c r="CU125" s="23"/>
      <c r="CV125" s="23"/>
      <c r="CW125" s="23"/>
      <c r="CX125" s="23"/>
      <c r="DA125" s="648"/>
    </row>
    <row r="126" spans="1:105" s="35" customFormat="1" ht="12" customHeight="1" x14ac:dyDescent="0.2">
      <c r="A126" s="651"/>
      <c r="B126" s="537"/>
      <c r="C126" s="97" t="s">
        <v>45</v>
      </c>
      <c r="D126" s="169" t="s">
        <v>1132</v>
      </c>
      <c r="E126" s="647" t="s">
        <v>14</v>
      </c>
      <c r="F126" s="647"/>
      <c r="G126" s="98"/>
      <c r="H126" s="97"/>
      <c r="I126" s="166">
        <v>2001</v>
      </c>
      <c r="J126" s="571"/>
      <c r="K126" s="571"/>
      <c r="L126" s="493" t="s">
        <v>248</v>
      </c>
      <c r="M126" s="98" t="s">
        <v>47</v>
      </c>
      <c r="N126" s="493"/>
      <c r="O126" s="98" t="s">
        <v>19</v>
      </c>
      <c r="P126" s="98">
        <v>15</v>
      </c>
      <c r="Q126" s="247">
        <v>49</v>
      </c>
      <c r="R126" s="167"/>
      <c r="S126" s="167"/>
      <c r="T126" s="167"/>
      <c r="U126" s="393">
        <v>6827</v>
      </c>
      <c r="V126" s="694"/>
      <c r="W126" s="711"/>
      <c r="X126" s="167"/>
      <c r="Y126" s="446"/>
      <c r="Z126" s="446"/>
      <c r="AA126" s="446"/>
      <c r="AB126" s="446"/>
      <c r="AC126" s="446"/>
      <c r="AD126" s="446"/>
      <c r="AE126" s="446"/>
      <c r="AF126" s="446"/>
      <c r="AG126" s="446"/>
      <c r="AH126" s="446"/>
      <c r="AI126" s="446"/>
      <c r="AJ126" s="446"/>
      <c r="AK126" s="446"/>
      <c r="AL126" s="446"/>
      <c r="AM126" s="446"/>
      <c r="AN126" s="446"/>
      <c r="AO126" s="446"/>
      <c r="AP126" s="446"/>
      <c r="AQ126" s="446"/>
      <c r="AR126" s="446"/>
      <c r="AS126" s="446"/>
      <c r="AT126" s="446"/>
      <c r="AU126" s="446"/>
      <c r="AV126" s="446"/>
      <c r="AW126" s="446"/>
      <c r="AX126" s="446"/>
      <c r="AY126" s="446"/>
      <c r="AZ126" s="446"/>
      <c r="BA126" s="446"/>
      <c r="BB126" s="446"/>
      <c r="BC126" s="446"/>
      <c r="BD126" s="446"/>
      <c r="BE126" s="445"/>
      <c r="BF126" s="445"/>
      <c r="BG126" s="446"/>
      <c r="BH126" s="446"/>
      <c r="BI126" s="445">
        <v>10</v>
      </c>
      <c r="BJ126" s="445">
        <v>6</v>
      </c>
      <c r="BK126" s="445"/>
      <c r="BL126" s="445"/>
      <c r="BM126" s="445"/>
      <c r="BN126" s="445"/>
      <c r="BO126" s="445"/>
      <c r="BP126" s="445"/>
      <c r="BQ126" s="444"/>
      <c r="BR126" s="445">
        <v>8.9</v>
      </c>
      <c r="BS126" s="446"/>
      <c r="BT126" s="446"/>
      <c r="BU126" s="446"/>
      <c r="BV126" s="442"/>
      <c r="BW126" s="442"/>
      <c r="BX126" s="756"/>
      <c r="BY126" s="850"/>
      <c r="BZ126" s="850"/>
      <c r="CA126" s="850"/>
      <c r="CB126" s="850"/>
      <c r="CC126" s="850"/>
      <c r="CD126" s="850"/>
      <c r="CE126" s="850"/>
      <c r="CF126" s="850"/>
      <c r="CG126" s="169" t="s">
        <v>523</v>
      </c>
      <c r="CH126" s="417"/>
      <c r="CI126" s="406"/>
      <c r="CJ126" s="23"/>
      <c r="CK126" s="426" t="s">
        <v>1041</v>
      </c>
      <c r="CL126" s="572"/>
      <c r="CM126" s="648"/>
      <c r="CR126" s="406"/>
      <c r="CS126" s="648"/>
      <c r="CU126" s="23"/>
      <c r="CV126" s="23"/>
      <c r="CW126" s="23"/>
      <c r="CX126" s="23"/>
      <c r="DA126" s="648"/>
    </row>
    <row r="127" spans="1:105" s="35" customFormat="1" ht="12" customHeight="1" x14ac:dyDescent="0.2">
      <c r="A127" s="651"/>
      <c r="B127" s="537"/>
      <c r="C127" s="186" t="s">
        <v>1387</v>
      </c>
      <c r="D127" s="169" t="s">
        <v>1125</v>
      </c>
      <c r="E127" s="647"/>
      <c r="F127" s="647"/>
      <c r="G127" s="98"/>
      <c r="H127" s="97"/>
      <c r="I127" s="166">
        <v>2005</v>
      </c>
      <c r="J127" s="571"/>
      <c r="K127" s="571"/>
      <c r="L127" s="493"/>
      <c r="M127" s="98"/>
      <c r="N127" s="493"/>
      <c r="O127" s="98" t="s">
        <v>19</v>
      </c>
      <c r="P127" s="98">
        <v>15</v>
      </c>
      <c r="Q127" s="247">
        <v>49</v>
      </c>
      <c r="R127" s="167"/>
      <c r="S127" s="167"/>
      <c r="T127" s="167"/>
      <c r="U127" s="393">
        <v>999999999</v>
      </c>
      <c r="V127" s="694"/>
      <c r="W127" s="711"/>
      <c r="X127" s="167"/>
      <c r="Y127" s="446"/>
      <c r="Z127" s="446"/>
      <c r="AA127" s="446"/>
      <c r="AB127" s="446"/>
      <c r="AC127" s="446"/>
      <c r="AD127" s="446"/>
      <c r="AE127" s="446"/>
      <c r="AF127" s="446"/>
      <c r="AG127" s="446"/>
      <c r="AH127" s="446"/>
      <c r="AI127" s="446"/>
      <c r="AJ127" s="446"/>
      <c r="AK127" s="446"/>
      <c r="AL127" s="446"/>
      <c r="AM127" s="446"/>
      <c r="AN127" s="446"/>
      <c r="AO127" s="446"/>
      <c r="AP127" s="446"/>
      <c r="AQ127" s="446"/>
      <c r="AR127" s="446"/>
      <c r="AS127" s="446"/>
      <c r="AT127" s="446"/>
      <c r="AU127" s="446"/>
      <c r="AV127" s="446"/>
      <c r="AW127" s="446"/>
      <c r="AX127" s="446"/>
      <c r="AY127" s="446"/>
      <c r="AZ127" s="446"/>
      <c r="BA127" s="446"/>
      <c r="BB127" s="446"/>
      <c r="BC127" s="446"/>
      <c r="BD127" s="446"/>
      <c r="BE127" s="445"/>
      <c r="BF127" s="445"/>
      <c r="BG127" s="446"/>
      <c r="BH127" s="446"/>
      <c r="BI127" s="442">
        <v>6</v>
      </c>
      <c r="BJ127" s="445">
        <v>1</v>
      </c>
      <c r="BK127" s="445"/>
      <c r="BL127" s="445"/>
      <c r="BM127" s="445"/>
      <c r="BN127" s="445"/>
      <c r="BO127" s="445"/>
      <c r="BP127" s="445"/>
      <c r="BQ127" s="442"/>
      <c r="BR127" s="442"/>
      <c r="BS127" s="442"/>
      <c r="BT127" s="446"/>
      <c r="BU127" s="446"/>
      <c r="BV127" s="442"/>
      <c r="BW127" s="442"/>
      <c r="BX127" s="756"/>
      <c r="BY127" s="850"/>
      <c r="BZ127" s="850"/>
      <c r="CA127" s="850"/>
      <c r="CB127" s="850"/>
      <c r="CC127" s="850"/>
      <c r="CD127" s="850"/>
      <c r="CE127" s="850"/>
      <c r="CF127" s="850"/>
      <c r="CG127" s="169" t="s">
        <v>770</v>
      </c>
      <c r="CH127" s="417"/>
      <c r="CI127" s="406"/>
      <c r="CJ127" s="23"/>
      <c r="CK127" s="417" t="s">
        <v>1065</v>
      </c>
      <c r="CL127" s="572"/>
      <c r="CM127" s="431"/>
      <c r="CN127" s="128"/>
      <c r="CO127" s="128"/>
      <c r="CP127" s="128"/>
      <c r="CQ127" s="128"/>
      <c r="CR127" s="406"/>
      <c r="CS127" s="431"/>
      <c r="CU127" s="23"/>
      <c r="CV127" s="23"/>
      <c r="CW127" s="23"/>
      <c r="CX127" s="23"/>
      <c r="DA127" s="648"/>
    </row>
    <row r="128" spans="1:105" s="35" customFormat="1" ht="12" customHeight="1" x14ac:dyDescent="0.2">
      <c r="A128" s="651"/>
      <c r="B128" s="537"/>
      <c r="C128" s="390" t="s">
        <v>154</v>
      </c>
      <c r="D128" s="169" t="s">
        <v>1130</v>
      </c>
      <c r="E128" s="647"/>
      <c r="F128" s="647"/>
      <c r="G128" s="237"/>
      <c r="H128" s="186"/>
      <c r="I128" s="533">
        <v>2003</v>
      </c>
      <c r="J128" s="390"/>
      <c r="K128" s="390"/>
      <c r="L128" s="494"/>
      <c r="M128" s="247"/>
      <c r="N128" s="494"/>
      <c r="O128" s="98" t="s">
        <v>19</v>
      </c>
      <c r="P128" s="98">
        <v>15</v>
      </c>
      <c r="Q128" s="247">
        <v>49</v>
      </c>
      <c r="R128" s="291"/>
      <c r="S128" s="291"/>
      <c r="T128" s="291"/>
      <c r="U128" s="395">
        <v>3615</v>
      </c>
      <c r="V128" s="794"/>
      <c r="W128" s="712"/>
      <c r="X128" s="254"/>
      <c r="Y128" s="447"/>
      <c r="Z128" s="447"/>
      <c r="AA128" s="447"/>
      <c r="AB128" s="447"/>
      <c r="AC128" s="447"/>
      <c r="AD128" s="447"/>
      <c r="AE128" s="447"/>
      <c r="AF128" s="447"/>
      <c r="AG128" s="447"/>
      <c r="AH128" s="447"/>
      <c r="AI128" s="447"/>
      <c r="AJ128" s="447"/>
      <c r="AK128" s="447"/>
      <c r="AL128" s="447"/>
      <c r="AM128" s="447"/>
      <c r="AN128" s="447"/>
      <c r="AO128" s="447"/>
      <c r="AP128" s="447"/>
      <c r="AQ128" s="447"/>
      <c r="AR128" s="447"/>
      <c r="AS128" s="447"/>
      <c r="AT128" s="447"/>
      <c r="AU128" s="447"/>
      <c r="AV128" s="447"/>
      <c r="AW128" s="447"/>
      <c r="AX128" s="447"/>
      <c r="AY128" s="447"/>
      <c r="AZ128" s="447"/>
      <c r="BA128" s="447"/>
      <c r="BB128" s="447"/>
      <c r="BC128" s="447"/>
      <c r="BD128" s="447"/>
      <c r="BE128" s="442"/>
      <c r="BF128" s="442"/>
      <c r="BG128" s="447"/>
      <c r="BH128" s="447"/>
      <c r="BI128" s="442"/>
      <c r="BJ128" s="442"/>
      <c r="BK128" s="442"/>
      <c r="BL128" s="442"/>
      <c r="BM128" s="442"/>
      <c r="BN128" s="442"/>
      <c r="BO128" s="442"/>
      <c r="BP128" s="442"/>
      <c r="BQ128" s="442"/>
      <c r="BR128" s="442"/>
      <c r="BS128" s="442">
        <v>31.7</v>
      </c>
      <c r="BT128" s="447"/>
      <c r="BU128" s="447"/>
      <c r="BV128" s="550"/>
      <c r="BW128" s="550"/>
      <c r="BX128" s="757"/>
      <c r="BY128" s="850"/>
      <c r="BZ128" s="850"/>
      <c r="CA128" s="850"/>
      <c r="CB128" s="850"/>
      <c r="CC128" s="850"/>
      <c r="CD128" s="850"/>
      <c r="CE128" s="850"/>
      <c r="CF128" s="850"/>
      <c r="CG128" s="169" t="s">
        <v>957</v>
      </c>
      <c r="CH128" s="417"/>
      <c r="CI128" s="406"/>
      <c r="CJ128" s="23"/>
      <c r="CK128" s="417" t="s">
        <v>1044</v>
      </c>
      <c r="CL128" s="572"/>
      <c r="CM128" s="648"/>
      <c r="CR128" s="406"/>
      <c r="CS128" s="648"/>
      <c r="CU128" s="23"/>
      <c r="CV128" s="23"/>
      <c r="CW128" s="23"/>
      <c r="CX128" s="23"/>
      <c r="DA128" s="648"/>
    </row>
    <row r="129" spans="1:105" s="35" customFormat="1" ht="12" customHeight="1" x14ac:dyDescent="0.2">
      <c r="A129" s="651"/>
      <c r="B129" s="537"/>
      <c r="C129" s="186" t="s">
        <v>155</v>
      </c>
      <c r="D129" s="169" t="s">
        <v>1130</v>
      </c>
      <c r="E129" s="647"/>
      <c r="F129" s="647"/>
      <c r="G129" s="98"/>
      <c r="H129" s="97"/>
      <c r="I129" s="166">
        <v>1996</v>
      </c>
      <c r="J129" s="571"/>
      <c r="K129" s="571"/>
      <c r="L129" s="493"/>
      <c r="M129" s="237" t="s">
        <v>17</v>
      </c>
      <c r="N129" s="493"/>
      <c r="O129" s="98" t="s">
        <v>19</v>
      </c>
      <c r="P129" s="98">
        <v>15</v>
      </c>
      <c r="Q129" s="247">
        <v>49</v>
      </c>
      <c r="R129" s="167"/>
      <c r="S129" s="167"/>
      <c r="T129" s="167"/>
      <c r="U129" s="393"/>
      <c r="V129" s="694"/>
      <c r="W129" s="711"/>
      <c r="X129" s="167"/>
      <c r="Y129" s="446"/>
      <c r="Z129" s="446"/>
      <c r="AA129" s="446"/>
      <c r="AB129" s="446"/>
      <c r="AC129" s="446"/>
      <c r="AD129" s="446"/>
      <c r="AE129" s="446"/>
      <c r="AF129" s="446"/>
      <c r="AG129" s="446"/>
      <c r="AH129" s="446"/>
      <c r="AI129" s="446"/>
      <c r="AJ129" s="446"/>
      <c r="AK129" s="446"/>
      <c r="AL129" s="446"/>
      <c r="AM129" s="446"/>
      <c r="AN129" s="446"/>
      <c r="AO129" s="446"/>
      <c r="AP129" s="446"/>
      <c r="AQ129" s="446"/>
      <c r="AR129" s="446"/>
      <c r="AS129" s="446"/>
      <c r="AT129" s="446"/>
      <c r="AU129" s="446"/>
      <c r="AV129" s="446"/>
      <c r="AW129" s="446"/>
      <c r="AX129" s="446"/>
      <c r="AY129" s="446"/>
      <c r="AZ129" s="446"/>
      <c r="BA129" s="446"/>
      <c r="BB129" s="446"/>
      <c r="BC129" s="446"/>
      <c r="BD129" s="446"/>
      <c r="BE129" s="446"/>
      <c r="BF129" s="446"/>
      <c r="BG129" s="446"/>
      <c r="BH129" s="446"/>
      <c r="BI129" s="446"/>
      <c r="BJ129" s="446"/>
      <c r="BK129" s="446"/>
      <c r="BL129" s="446"/>
      <c r="BM129" s="446"/>
      <c r="BN129" s="446"/>
      <c r="BO129" s="446"/>
      <c r="BP129" s="446"/>
      <c r="BQ129" s="444"/>
      <c r="BR129" s="445"/>
      <c r="BS129" s="442">
        <v>14</v>
      </c>
      <c r="BT129" s="271"/>
      <c r="BU129" s="271"/>
      <c r="BV129" s="454"/>
      <c r="BW129" s="454"/>
      <c r="BX129" s="756"/>
      <c r="BY129" s="850"/>
      <c r="BZ129" s="850"/>
      <c r="CA129" s="850"/>
      <c r="CB129" s="850"/>
      <c r="CC129" s="850"/>
      <c r="CD129" s="850"/>
      <c r="CE129" s="850"/>
      <c r="CF129" s="850"/>
      <c r="CG129" s="169" t="s">
        <v>554</v>
      </c>
      <c r="CH129" s="419" t="s">
        <v>657</v>
      </c>
      <c r="CI129" s="404">
        <v>40994</v>
      </c>
      <c r="CJ129" s="23"/>
      <c r="CK129" s="648" t="s">
        <v>1084</v>
      </c>
      <c r="CL129" s="572"/>
      <c r="CM129" s="648"/>
      <c r="CR129" s="406"/>
      <c r="CS129" s="648"/>
      <c r="CU129" s="23"/>
      <c r="CV129" s="23"/>
      <c r="CW129" s="23"/>
      <c r="CX129" s="23"/>
      <c r="DA129" s="648"/>
    </row>
    <row r="130" spans="1:105" s="35" customFormat="1" ht="12" customHeight="1" x14ac:dyDescent="0.2">
      <c r="A130" s="651"/>
      <c r="B130" s="537"/>
      <c r="C130" s="186" t="s">
        <v>155</v>
      </c>
      <c r="D130" s="169" t="s">
        <v>1130</v>
      </c>
      <c r="E130" s="647" t="s">
        <v>14</v>
      </c>
      <c r="F130" s="647"/>
      <c r="G130" s="98"/>
      <c r="H130" s="97"/>
      <c r="I130" s="166" t="s">
        <v>235</v>
      </c>
      <c r="J130" s="128"/>
      <c r="K130" s="128"/>
      <c r="L130" s="493" t="s">
        <v>258</v>
      </c>
      <c r="M130" s="237"/>
      <c r="N130" s="494" t="s">
        <v>783</v>
      </c>
      <c r="O130" s="247"/>
      <c r="P130" s="247"/>
      <c r="Q130" s="247"/>
      <c r="R130" s="291"/>
      <c r="S130" s="291"/>
      <c r="T130" s="291"/>
      <c r="U130" s="393"/>
      <c r="V130" s="694"/>
      <c r="W130" s="711"/>
      <c r="X130" s="167"/>
      <c r="Y130" s="446"/>
      <c r="Z130" s="446"/>
      <c r="AA130" s="446"/>
      <c r="AB130" s="446"/>
      <c r="AC130" s="446"/>
      <c r="AD130" s="446"/>
      <c r="AE130" s="446"/>
      <c r="AF130" s="446"/>
      <c r="AG130" s="446"/>
      <c r="AH130" s="446"/>
      <c r="AI130" s="446"/>
      <c r="AJ130" s="446"/>
      <c r="AK130" s="446"/>
      <c r="AL130" s="446"/>
      <c r="AM130" s="446"/>
      <c r="AN130" s="446"/>
      <c r="AO130" s="446"/>
      <c r="AP130" s="446"/>
      <c r="AQ130" s="446"/>
      <c r="AR130" s="446"/>
      <c r="AS130" s="446"/>
      <c r="AT130" s="446"/>
      <c r="AU130" s="446"/>
      <c r="AV130" s="446"/>
      <c r="AW130" s="446"/>
      <c r="AX130" s="446"/>
      <c r="AY130" s="446"/>
      <c r="AZ130" s="446"/>
      <c r="BA130" s="446"/>
      <c r="BB130" s="446"/>
      <c r="BC130" s="446"/>
      <c r="BD130" s="446"/>
      <c r="BE130" s="442"/>
      <c r="BF130" s="442"/>
      <c r="BG130" s="446"/>
      <c r="BH130" s="446"/>
      <c r="BI130" s="442">
        <v>35.1</v>
      </c>
      <c r="BJ130" s="442">
        <v>21.4</v>
      </c>
      <c r="BK130" s="442"/>
      <c r="BL130" s="442"/>
      <c r="BM130" s="442"/>
      <c r="BN130" s="442"/>
      <c r="BO130" s="442"/>
      <c r="BP130" s="442"/>
      <c r="BQ130" s="444"/>
      <c r="BR130" s="444"/>
      <c r="BS130" s="446"/>
      <c r="BT130" s="446"/>
      <c r="BU130" s="446"/>
      <c r="BV130" s="442"/>
      <c r="BW130" s="442"/>
      <c r="BX130" s="756"/>
      <c r="BY130" s="850"/>
      <c r="BZ130" s="850"/>
      <c r="CA130" s="850"/>
      <c r="CB130" s="850"/>
      <c r="CC130" s="850"/>
      <c r="CD130" s="850"/>
      <c r="CE130" s="850"/>
      <c r="CF130" s="850"/>
      <c r="CG130" s="169"/>
      <c r="CH130" s="419" t="s">
        <v>1158</v>
      </c>
      <c r="CI130" s="404"/>
      <c r="CJ130" s="23"/>
      <c r="CK130" s="648"/>
      <c r="CL130" s="572"/>
      <c r="CM130" s="431"/>
      <c r="CN130" s="128"/>
      <c r="CO130" s="128"/>
      <c r="CP130" s="128"/>
      <c r="CQ130" s="128"/>
      <c r="CR130" s="406"/>
      <c r="CS130" s="648"/>
    </row>
    <row r="131" spans="1:105" s="35" customFormat="1" ht="12" customHeight="1" x14ac:dyDescent="0.2">
      <c r="A131" s="651"/>
      <c r="B131" s="537"/>
      <c r="C131" s="186" t="s">
        <v>155</v>
      </c>
      <c r="D131" s="169" t="s">
        <v>1130</v>
      </c>
      <c r="E131" s="647" t="s">
        <v>14</v>
      </c>
      <c r="F131" s="647"/>
      <c r="G131" s="98"/>
      <c r="H131" s="97"/>
      <c r="I131" s="166" t="s">
        <v>759</v>
      </c>
      <c r="J131" s="128"/>
      <c r="K131" s="128"/>
      <c r="L131" s="493" t="s">
        <v>258</v>
      </c>
      <c r="M131" s="237" t="s">
        <v>17</v>
      </c>
      <c r="N131" s="494" t="s">
        <v>783</v>
      </c>
      <c r="O131" s="247"/>
      <c r="P131" s="247"/>
      <c r="Q131" s="98"/>
      <c r="R131" s="167"/>
      <c r="S131" s="167"/>
      <c r="T131" s="167"/>
      <c r="U131" s="393">
        <v>3000</v>
      </c>
      <c r="V131" s="694"/>
      <c r="W131" s="711"/>
      <c r="X131" s="167"/>
      <c r="Y131" s="446"/>
      <c r="Z131" s="446"/>
      <c r="AA131" s="446"/>
      <c r="AB131" s="446"/>
      <c r="AC131" s="446"/>
      <c r="AD131" s="446"/>
      <c r="AE131" s="446"/>
      <c r="AF131" s="446"/>
      <c r="AG131" s="446"/>
      <c r="AH131" s="446"/>
      <c r="AI131" s="446"/>
      <c r="AJ131" s="446"/>
      <c r="AK131" s="446"/>
      <c r="AL131" s="446"/>
      <c r="AM131" s="446"/>
      <c r="AN131" s="446"/>
      <c r="AO131" s="446"/>
      <c r="AP131" s="446"/>
      <c r="AQ131" s="446"/>
      <c r="AR131" s="446"/>
      <c r="AS131" s="446"/>
      <c r="AT131" s="446"/>
      <c r="AU131" s="446"/>
      <c r="AV131" s="446"/>
      <c r="AW131" s="446"/>
      <c r="AX131" s="446"/>
      <c r="AY131" s="446"/>
      <c r="AZ131" s="446"/>
      <c r="BA131" s="446"/>
      <c r="BB131" s="446"/>
      <c r="BC131" s="446"/>
      <c r="BD131" s="446"/>
      <c r="BE131" s="446"/>
      <c r="BF131" s="446"/>
      <c r="BG131" s="446"/>
      <c r="BH131" s="446"/>
      <c r="BI131" s="445">
        <v>20</v>
      </c>
      <c r="BJ131" s="446"/>
      <c r="BK131" s="446"/>
      <c r="BL131" s="446"/>
      <c r="BM131" s="446"/>
      <c r="BN131" s="446"/>
      <c r="BO131" s="446"/>
      <c r="BP131" s="446"/>
      <c r="BQ131" s="444"/>
      <c r="BR131" s="445"/>
      <c r="BS131" s="442"/>
      <c r="BT131" s="445"/>
      <c r="BU131" s="445"/>
      <c r="BV131" s="445"/>
      <c r="BW131" s="445"/>
      <c r="BX131" s="756"/>
      <c r="BY131" s="850"/>
      <c r="BZ131" s="850"/>
      <c r="CA131" s="850"/>
      <c r="CB131" s="850"/>
      <c r="CC131" s="850"/>
      <c r="CD131" s="850"/>
      <c r="CE131" s="850"/>
      <c r="CF131" s="850"/>
      <c r="CG131" s="169" t="s">
        <v>556</v>
      </c>
      <c r="CH131" s="419" t="s">
        <v>1158</v>
      </c>
      <c r="CI131" s="406"/>
      <c r="CJ131" s="23"/>
      <c r="CK131" s="417" t="s">
        <v>1107</v>
      </c>
      <c r="CL131" s="572"/>
      <c r="CM131" s="648"/>
      <c r="CR131" s="406"/>
      <c r="CS131" s="648"/>
    </row>
    <row r="132" spans="1:105" s="35" customFormat="1" ht="12" customHeight="1" thickBot="1" x14ac:dyDescent="0.25">
      <c r="A132" s="651"/>
      <c r="B132" s="537" t="s">
        <v>1695</v>
      </c>
      <c r="C132" s="97" t="s">
        <v>70</v>
      </c>
      <c r="D132" s="169" t="s">
        <v>1125</v>
      </c>
      <c r="E132" s="647" t="s">
        <v>1650</v>
      </c>
      <c r="F132" s="647" t="s">
        <v>2508</v>
      </c>
      <c r="G132" s="479">
        <v>0</v>
      </c>
      <c r="H132" s="186">
        <v>6</v>
      </c>
      <c r="I132" s="166">
        <v>1992</v>
      </c>
      <c r="J132" s="571">
        <v>1992</v>
      </c>
      <c r="K132" s="571">
        <v>1993</v>
      </c>
      <c r="L132" s="493"/>
      <c r="M132" s="237" t="s">
        <v>646</v>
      </c>
      <c r="N132" s="494"/>
      <c r="O132" s="98"/>
      <c r="P132" s="98"/>
      <c r="Q132" s="98"/>
      <c r="R132" s="167"/>
      <c r="S132" s="167">
        <v>14.71</v>
      </c>
      <c r="T132" s="167"/>
      <c r="U132" s="393">
        <v>163</v>
      </c>
      <c r="V132" s="694">
        <v>0</v>
      </c>
      <c r="W132" s="717" t="s">
        <v>2507</v>
      </c>
      <c r="X132" s="277">
        <v>1.129</v>
      </c>
      <c r="Y132" s="446"/>
      <c r="Z132" s="446"/>
      <c r="AA132" s="446"/>
      <c r="AB132" s="446"/>
      <c r="AC132" s="446"/>
      <c r="AD132" s="446"/>
      <c r="AE132" s="446"/>
      <c r="AF132" s="446"/>
      <c r="AG132" s="446"/>
      <c r="AH132" s="446"/>
      <c r="AI132" s="446"/>
      <c r="AJ132" s="446"/>
      <c r="AK132" s="446"/>
      <c r="AL132" s="446"/>
      <c r="AM132" s="446"/>
      <c r="AN132" s="446"/>
      <c r="AO132" s="446"/>
      <c r="AP132" s="446"/>
      <c r="AQ132" s="446"/>
      <c r="AR132" s="446"/>
      <c r="AS132" s="446"/>
      <c r="AT132" s="446"/>
      <c r="AU132" s="446"/>
      <c r="AV132" s="446"/>
      <c r="AW132" s="446"/>
      <c r="AX132" s="446"/>
      <c r="AY132" s="446"/>
      <c r="AZ132" s="446"/>
      <c r="BA132" s="446"/>
      <c r="BB132" s="446"/>
      <c r="BC132" s="446"/>
      <c r="BD132" s="446"/>
      <c r="BE132" s="446"/>
      <c r="BF132" s="446"/>
      <c r="BG132" s="446"/>
      <c r="BH132" s="446"/>
      <c r="BI132" s="445">
        <v>22.1</v>
      </c>
      <c r="BJ132" s="446"/>
      <c r="BK132" s="446"/>
      <c r="BL132" s="446"/>
      <c r="BM132" s="446"/>
      <c r="BN132" s="446"/>
      <c r="BO132" s="446"/>
      <c r="BP132" s="446"/>
      <c r="BQ132" s="444"/>
      <c r="BR132" s="445"/>
      <c r="BS132" s="442"/>
      <c r="BT132" s="445"/>
      <c r="BU132" s="445">
        <v>1</v>
      </c>
      <c r="BV132" s="445">
        <v>0</v>
      </c>
      <c r="BW132" s="445"/>
      <c r="BX132" s="573">
        <v>0.03</v>
      </c>
      <c r="BY132" s="854"/>
      <c r="BZ132" s="854"/>
      <c r="CA132" s="854"/>
      <c r="CB132" s="854"/>
      <c r="CC132" s="854"/>
      <c r="CD132" s="854"/>
      <c r="CE132" s="854"/>
      <c r="CF132" s="854"/>
      <c r="CG132" s="169"/>
      <c r="CH132" s="419" t="s">
        <v>1554</v>
      </c>
      <c r="CI132" s="406" t="s">
        <v>1694</v>
      </c>
      <c r="CJ132" s="23"/>
      <c r="CK132" s="417" t="s">
        <v>1555</v>
      </c>
      <c r="CL132" s="572" t="s">
        <v>1770</v>
      </c>
      <c r="CM132" s="648"/>
      <c r="CR132" s="845" t="str">
        <f t="shared" ref="CR132:CR150" si="0">B132</f>
        <v>1992_Kar</v>
      </c>
      <c r="CS132" s="648" t="str">
        <f t="shared" ref="CS132:CS163" si="1">E132 &amp; ": " &amp; F132</f>
        <v>Karnataka: Halli, Ooru, &amp; Beedi villages</v>
      </c>
      <c r="CT132" s="35" t="str">
        <f>IF((J132&gt;0)*(SUM(AG132:AX132)&gt;0)*(A132=""),J132,"")</f>
        <v/>
      </c>
      <c r="CU132" s="23" t="str">
        <f>IF(H132=6,"rural",IF(H132=2,"urban","both"))</f>
        <v>rural</v>
      </c>
      <c r="CV132" s="23" t="str">
        <f t="shared" ref="CV132:CV163" si="2">M132</f>
        <v>VIII</v>
      </c>
      <c r="CW132" s="579" t="str">
        <f>IF(L132&lt;&gt;"",L132,"")</f>
        <v/>
      </c>
      <c r="CX132" s="23" t="str">
        <f>IF(N132="CTS","y","")</f>
        <v/>
      </c>
      <c r="CY132" s="35">
        <f t="shared" ref="CY132:CY163" si="3">O132</f>
        <v>0</v>
      </c>
      <c r="CZ132" s="35">
        <f t="shared" ref="CZ132:CZ163" si="4">U132</f>
        <v>163</v>
      </c>
      <c r="DA132" s="648" t="str">
        <f>CK132</f>
        <v>Rao V. (1993)</v>
      </c>
    </row>
    <row r="133" spans="1:105" s="35" customFormat="1" ht="12" customHeight="1" x14ac:dyDescent="0.2">
      <c r="A133" s="651"/>
      <c r="B133" s="611" t="s">
        <v>1696</v>
      </c>
      <c r="C133" s="596" t="s">
        <v>70</v>
      </c>
      <c r="D133" s="597" t="s">
        <v>1125</v>
      </c>
      <c r="E133" s="703" t="s">
        <v>211</v>
      </c>
      <c r="F133" s="703"/>
      <c r="G133" s="599">
        <v>0</v>
      </c>
      <c r="H133" s="596">
        <v>6</v>
      </c>
      <c r="I133" s="600" t="s">
        <v>210</v>
      </c>
      <c r="J133" s="821">
        <v>1993</v>
      </c>
      <c r="K133" s="821">
        <v>1998</v>
      </c>
      <c r="L133" s="601"/>
      <c r="M133" s="602" t="s">
        <v>18</v>
      </c>
      <c r="N133" s="601"/>
      <c r="O133" s="602" t="s">
        <v>233</v>
      </c>
      <c r="P133" s="602">
        <v>15</v>
      </c>
      <c r="Q133" s="602">
        <v>39</v>
      </c>
      <c r="R133" s="629">
        <v>23.8</v>
      </c>
      <c r="S133" s="629">
        <v>17.8</v>
      </c>
      <c r="T133" s="629">
        <v>5</v>
      </c>
      <c r="U133" s="604">
        <v>983</v>
      </c>
      <c r="V133" s="796">
        <v>0</v>
      </c>
      <c r="W133" s="718" t="s">
        <v>2654</v>
      </c>
      <c r="X133" s="121">
        <f>0*0.298 + 3.5*0.492 + 9.5*0.21</f>
        <v>3.7169999999999996</v>
      </c>
      <c r="Y133" s="446"/>
      <c r="Z133" s="446"/>
      <c r="AA133" s="446"/>
      <c r="AB133" s="446"/>
      <c r="AC133" s="446"/>
      <c r="AD133" s="446"/>
      <c r="AE133" s="446"/>
      <c r="AF133" s="446"/>
      <c r="AG133" s="446"/>
      <c r="AH133" s="446"/>
      <c r="AI133" s="446"/>
      <c r="AJ133" s="446"/>
      <c r="AK133" s="446"/>
      <c r="AL133" s="446"/>
      <c r="AM133" s="446"/>
      <c r="AN133" s="446"/>
      <c r="AO133" s="446"/>
      <c r="AP133" s="446"/>
      <c r="AQ133" s="446"/>
      <c r="AR133" s="446"/>
      <c r="AS133" s="446"/>
      <c r="AT133" s="446"/>
      <c r="AU133" s="446"/>
      <c r="AV133" s="446"/>
      <c r="AW133" s="446"/>
      <c r="AX133" s="446"/>
      <c r="AY133" s="446"/>
      <c r="AZ133" s="446"/>
      <c r="BA133" s="446"/>
      <c r="BB133" s="446"/>
      <c r="BD133" s="446"/>
      <c r="BE133" s="445"/>
      <c r="BF133" s="445"/>
      <c r="BG133" s="446"/>
      <c r="BH133" s="446"/>
      <c r="BI133" s="442">
        <v>37</v>
      </c>
      <c r="BJ133" s="445"/>
      <c r="BK133" s="445"/>
      <c r="BL133" s="445"/>
      <c r="BM133" s="445"/>
      <c r="BN133" s="445"/>
      <c r="BO133" s="445"/>
      <c r="BP133" s="445"/>
      <c r="BQ133" s="444"/>
      <c r="BR133" s="444"/>
      <c r="BS133" s="442"/>
      <c r="BT133" s="445"/>
      <c r="BU133" s="445"/>
      <c r="BV133" s="445">
        <v>0</v>
      </c>
      <c r="BW133" s="445"/>
      <c r="BX133" s="573"/>
      <c r="BY133" s="854"/>
      <c r="BZ133" s="854"/>
      <c r="CA133" s="854"/>
      <c r="CB133" s="854"/>
      <c r="CC133" s="854"/>
      <c r="CD133" s="854"/>
      <c r="CE133" s="854"/>
      <c r="CF133" s="854"/>
      <c r="CG133" s="98"/>
      <c r="CH133" s="419" t="s">
        <v>1979</v>
      </c>
      <c r="CI133" s="406" t="s">
        <v>1971</v>
      </c>
      <c r="CJ133" s="23"/>
      <c r="CK133" s="417" t="s">
        <v>1977</v>
      </c>
      <c r="CL133" s="417" t="s">
        <v>1978</v>
      </c>
      <c r="CM133" s="648"/>
      <c r="CR133" s="845" t="str">
        <f t="shared" si="0"/>
        <v>1993_TNUP</v>
      </c>
      <c r="CS133" s="648" t="str">
        <f t="shared" si="1"/>
        <v xml:space="preserve">Tamil Nadu: </v>
      </c>
      <c r="CT133" s="35" t="str">
        <f t="shared" ref="CT133:CT196" si="5">IF((J133&gt;0)*(SUM(AG133:AX133)&gt;0)*(A133=""),J133,"")</f>
        <v/>
      </c>
      <c r="CU133" s="23" t="str">
        <f t="shared" ref="CU133:CU196" si="6">IF(H133=6,"rural",IF(H133=2,"urban","both"))</f>
        <v>rural</v>
      </c>
      <c r="CV133" s="23" t="str">
        <f t="shared" si="2"/>
        <v>II</v>
      </c>
      <c r="CW133" s="579" t="str">
        <f t="shared" ref="CW133:CW196" si="7">IF(L133&lt;&gt;"",L133,"")</f>
        <v/>
      </c>
      <c r="CX133" s="23" t="str">
        <f t="shared" ref="CX133:CX196" si="8">IF(N133="CTS","y","")</f>
        <v/>
      </c>
      <c r="CY133" s="35" t="str">
        <f t="shared" si="3"/>
        <v>15-39</v>
      </c>
      <c r="CZ133" s="35">
        <f t="shared" si="4"/>
        <v>983</v>
      </c>
      <c r="DA133" s="648" t="str">
        <f t="shared" ref="DA133:DA148" si="9">CK133</f>
        <v>Jejeebhoy, S. (1998). Associations between Wife-Beating and Fetal and Infant Death: Impressions from a Survey in Rural India. Studies in Family Planning, 29(3), 300-8.</v>
      </c>
    </row>
    <row r="134" spans="1:105" s="35" customFormat="1" ht="12" customHeight="1" thickBot="1" x14ac:dyDescent="0.25">
      <c r="A134" s="651"/>
      <c r="B134" s="612" t="s">
        <v>1696</v>
      </c>
      <c r="C134" s="521" t="s">
        <v>70</v>
      </c>
      <c r="D134" s="522" t="s">
        <v>1125</v>
      </c>
      <c r="E134" s="704" t="s">
        <v>212</v>
      </c>
      <c r="F134" s="704"/>
      <c r="G134" s="524">
        <v>0</v>
      </c>
      <c r="H134" s="521">
        <v>6</v>
      </c>
      <c r="I134" s="606" t="s">
        <v>210</v>
      </c>
      <c r="J134" s="822">
        <v>1993</v>
      </c>
      <c r="K134" s="822">
        <v>1998</v>
      </c>
      <c r="L134" s="523"/>
      <c r="M134" s="608" t="s">
        <v>18</v>
      </c>
      <c r="N134" s="523"/>
      <c r="O134" s="608" t="s">
        <v>233</v>
      </c>
      <c r="P134" s="608">
        <v>15</v>
      </c>
      <c r="Q134" s="608">
        <v>39</v>
      </c>
      <c r="R134" s="322">
        <v>22.1</v>
      </c>
      <c r="S134" s="322">
        <v>16.5</v>
      </c>
      <c r="T134" s="840">
        <v>5</v>
      </c>
      <c r="U134" s="610">
        <v>859</v>
      </c>
      <c r="V134" s="797">
        <v>0</v>
      </c>
      <c r="W134" s="717" t="s">
        <v>2654</v>
      </c>
      <c r="X134" s="121">
        <f>0*0.633 + 3.5*0.175 + 9.5*0.192</f>
        <v>2.4365000000000001</v>
      </c>
      <c r="Y134" s="446"/>
      <c r="Z134" s="446"/>
      <c r="AA134" s="446"/>
      <c r="AB134" s="446"/>
      <c r="AC134" s="446"/>
      <c r="AD134" s="446"/>
      <c r="AE134" s="446"/>
      <c r="AF134" s="446"/>
      <c r="AG134" s="446"/>
      <c r="AH134" s="446"/>
      <c r="AI134" s="446"/>
      <c r="AJ134" s="446"/>
      <c r="AK134" s="446"/>
      <c r="AL134" s="446"/>
      <c r="AM134" s="505"/>
      <c r="AN134" s="446"/>
      <c r="AO134" s="446"/>
      <c r="AP134" s="446"/>
      <c r="AQ134" s="446"/>
      <c r="AR134" s="446"/>
      <c r="AS134" s="446"/>
      <c r="AT134" s="446"/>
      <c r="AU134" s="446"/>
      <c r="AV134" s="446"/>
      <c r="AW134" s="446"/>
      <c r="AX134" s="446"/>
      <c r="AY134" s="446"/>
      <c r="AZ134" s="446"/>
      <c r="BA134" s="446"/>
      <c r="BB134" s="446"/>
      <c r="BD134" s="446"/>
      <c r="BE134" s="445"/>
      <c r="BF134" s="445"/>
      <c r="BG134" s="446"/>
      <c r="BH134" s="446"/>
      <c r="BI134" s="442">
        <v>44.7</v>
      </c>
      <c r="BJ134" s="445"/>
      <c r="BK134" s="445"/>
      <c r="BL134" s="445"/>
      <c r="BM134" s="445"/>
      <c r="BN134" s="445"/>
      <c r="BO134" s="445"/>
      <c r="BP134" s="445"/>
      <c r="BQ134" s="444"/>
      <c r="BR134" s="444"/>
      <c r="BS134" s="442"/>
      <c r="BT134" s="445"/>
      <c r="BU134" s="445"/>
      <c r="BV134" s="445">
        <v>0</v>
      </c>
      <c r="BW134" s="445"/>
      <c r="BX134" s="573"/>
      <c r="BY134" s="854">
        <v>0.252</v>
      </c>
      <c r="BZ134" s="854"/>
      <c r="CA134" s="854">
        <v>0.42799999999999999</v>
      </c>
      <c r="CB134" s="854"/>
      <c r="CC134" s="854"/>
      <c r="CD134" s="854"/>
      <c r="CE134" s="854"/>
      <c r="CF134" s="854"/>
      <c r="CG134" s="98"/>
      <c r="CH134" s="419" t="s">
        <v>1979</v>
      </c>
      <c r="CI134" s="406" t="s">
        <v>1971</v>
      </c>
      <c r="CJ134" s="23"/>
      <c r="CK134" s="417" t="s">
        <v>1977</v>
      </c>
      <c r="CL134" s="417" t="s">
        <v>1978</v>
      </c>
      <c r="CM134" s="648"/>
      <c r="CR134" s="845" t="str">
        <f t="shared" si="0"/>
        <v>1993_TNUP</v>
      </c>
      <c r="CS134" s="648" t="str">
        <f t="shared" si="1"/>
        <v xml:space="preserve">Uttar Pradesh: </v>
      </c>
      <c r="CT134" s="35" t="str">
        <f t="shared" si="5"/>
        <v/>
      </c>
      <c r="CU134" s="23" t="str">
        <f t="shared" si="6"/>
        <v>rural</v>
      </c>
      <c r="CV134" s="23" t="str">
        <f t="shared" si="2"/>
        <v>II</v>
      </c>
      <c r="CW134" s="579" t="str">
        <f t="shared" si="7"/>
        <v/>
      </c>
      <c r="CX134" s="23" t="str">
        <f t="shared" si="8"/>
        <v/>
      </c>
      <c r="CY134" s="35" t="str">
        <f t="shared" si="3"/>
        <v>15-39</v>
      </c>
      <c r="CZ134" s="35">
        <f t="shared" si="4"/>
        <v>859</v>
      </c>
      <c r="DA134" s="648" t="str">
        <f t="shared" si="9"/>
        <v>Jejeebhoy, S. (1998). Associations between Wife-Beating and Fetal and Infant Death: Impressions from a Survey in Rural India. Studies in Family Planning, 29(3), 300-8.</v>
      </c>
    </row>
    <row r="135" spans="1:105" s="35" customFormat="1" ht="12" customHeight="1" thickBot="1" x14ac:dyDescent="0.25">
      <c r="A135" s="651"/>
      <c r="B135" s="537" t="s">
        <v>2439</v>
      </c>
      <c r="C135" s="97" t="s">
        <v>70</v>
      </c>
      <c r="D135" s="237" t="s">
        <v>1125</v>
      </c>
      <c r="E135" s="647" t="s">
        <v>1652</v>
      </c>
      <c r="F135" s="647" t="s">
        <v>1953</v>
      </c>
      <c r="G135" s="479">
        <v>0</v>
      </c>
      <c r="H135" s="97">
        <v>2</v>
      </c>
      <c r="I135" s="166">
        <v>1995</v>
      </c>
      <c r="J135" s="128"/>
      <c r="K135" s="571">
        <v>1998</v>
      </c>
      <c r="L135" s="493"/>
      <c r="M135" s="98" t="s">
        <v>78</v>
      </c>
      <c r="N135" s="493" t="s">
        <v>794</v>
      </c>
      <c r="O135" s="98"/>
      <c r="P135" s="98"/>
      <c r="Q135" s="98"/>
      <c r="R135" s="121">
        <v>24.5</v>
      </c>
      <c r="S135" s="121"/>
      <c r="T135" s="121"/>
      <c r="U135" s="393">
        <v>600</v>
      </c>
      <c r="V135" s="841">
        <v>1</v>
      </c>
      <c r="W135" s="717" t="s">
        <v>2657</v>
      </c>
      <c r="X135" s="121">
        <f>(3*42+5*174+9*361+12*23)/600</f>
        <v>7.5350000000000001</v>
      </c>
      <c r="Y135" s="446"/>
      <c r="Z135" s="446"/>
      <c r="AA135" s="446"/>
      <c r="AB135" s="446"/>
      <c r="AC135" s="446"/>
      <c r="AD135" s="446"/>
      <c r="AE135" s="446"/>
      <c r="AF135" s="453"/>
      <c r="AG135" s="446"/>
      <c r="AH135" s="446"/>
      <c r="AI135" s="446"/>
      <c r="AJ135" s="446"/>
      <c r="AK135" s="446"/>
      <c r="AL135" s="661">
        <f>100*(1/600)</f>
        <v>0.16666666666666669</v>
      </c>
      <c r="AN135" s="453">
        <f>100*(117/600)*(( 18.6 + 11.2)/(0.6 + 18.6 + 11.2))</f>
        <v>19.11513157894737</v>
      </c>
      <c r="AO135" s="446"/>
      <c r="AP135" s="446"/>
      <c r="AQ135" s="446"/>
      <c r="AR135" s="453">
        <f>100*(117/600)*(( 0.6 + 11.2)/(0.6 + 18.6 + 11.2))</f>
        <v>7.5690789473684195</v>
      </c>
      <c r="AS135" s="446"/>
      <c r="AT135" s="453"/>
      <c r="AV135" s="453"/>
      <c r="AW135" s="446"/>
      <c r="AX135" s="446"/>
      <c r="AY135" s="442"/>
      <c r="AZ135" s="442"/>
      <c r="BA135" s="453"/>
      <c r="BB135" s="453"/>
      <c r="BC135" s="442"/>
      <c r="BD135" s="442"/>
      <c r="BE135" s="662"/>
      <c r="BF135" s="662"/>
      <c r="BG135" s="453"/>
      <c r="BH135" s="453"/>
      <c r="BI135" s="445">
        <v>25.33</v>
      </c>
      <c r="BJ135" s="662">
        <v>22</v>
      </c>
      <c r="BK135" s="662"/>
      <c r="BL135" s="662"/>
      <c r="BM135" s="445"/>
      <c r="BN135" s="445"/>
      <c r="BO135" s="445"/>
      <c r="BP135" s="445"/>
      <c r="BQ135" s="444"/>
      <c r="BR135" s="444"/>
      <c r="BS135" s="442"/>
      <c r="BT135" s="445"/>
      <c r="BU135" s="662">
        <v>9</v>
      </c>
      <c r="BV135" s="445">
        <v>1</v>
      </c>
      <c r="BW135" s="445">
        <v>100</v>
      </c>
      <c r="BX135" s="573"/>
      <c r="BY135" s="854"/>
      <c r="BZ135" s="854"/>
      <c r="CA135" s="854"/>
      <c r="CB135" s="854"/>
      <c r="CC135" s="854"/>
      <c r="CD135" s="854"/>
      <c r="CE135" s="854"/>
      <c r="CF135" s="854"/>
      <c r="CG135" s="98"/>
      <c r="CH135" s="419" t="s">
        <v>1954</v>
      </c>
      <c r="CI135" s="406" t="s">
        <v>1933</v>
      </c>
      <c r="CJ135" s="23"/>
      <c r="CK135" s="417" t="s">
        <v>1955</v>
      </c>
      <c r="CL135" s="692"/>
      <c r="CM135" s="648"/>
      <c r="CR135" s="845" t="str">
        <f t="shared" si="0"/>
        <v>1995_Nag</v>
      </c>
      <c r="CS135" s="648" t="str">
        <f t="shared" si="1"/>
        <v>Maharashtra: Nagpur</v>
      </c>
      <c r="CT135" s="35" t="str">
        <f t="shared" si="5"/>
        <v/>
      </c>
      <c r="CU135" s="23" t="str">
        <f t="shared" si="6"/>
        <v>urban</v>
      </c>
      <c r="CV135" s="23" t="str">
        <f t="shared" si="2"/>
        <v>IV</v>
      </c>
      <c r="CW135" s="579" t="str">
        <f t="shared" si="7"/>
        <v/>
      </c>
      <c r="CX135" s="23" t="str">
        <f t="shared" si="8"/>
        <v/>
      </c>
      <c r="CY135" s="35">
        <f t="shared" si="3"/>
        <v>0</v>
      </c>
      <c r="CZ135" s="35">
        <f t="shared" si="4"/>
        <v>600</v>
      </c>
      <c r="DA135" s="648" t="str">
        <f t="shared" si="9"/>
        <v>Purwar M.B., Jeyaseelan L., Varhadpande U., Motghare V. &amp; Pimplakute S. (1999), ‘Survey of physical abuse during pregnancy GMCH, Nagpur, India, Journal of Obstetrics and Gynaecological research 25(3):165-17.</v>
      </c>
    </row>
    <row r="136" spans="1:105" s="35" customFormat="1" ht="12" customHeight="1" x14ac:dyDescent="0.2">
      <c r="A136" s="651"/>
      <c r="B136" s="595" t="s">
        <v>1697</v>
      </c>
      <c r="C136" s="596" t="s">
        <v>70</v>
      </c>
      <c r="D136" s="597" t="s">
        <v>1125</v>
      </c>
      <c r="E136" s="703" t="s">
        <v>212</v>
      </c>
      <c r="F136" s="703"/>
      <c r="G136" s="599">
        <v>0</v>
      </c>
      <c r="H136" s="596"/>
      <c r="I136" s="600" t="s">
        <v>26</v>
      </c>
      <c r="J136" s="821">
        <v>1996</v>
      </c>
      <c r="K136" s="821">
        <v>1999</v>
      </c>
      <c r="L136" s="601" t="s">
        <v>1535</v>
      </c>
      <c r="M136" s="602" t="s">
        <v>289</v>
      </c>
      <c r="N136" s="601"/>
      <c r="O136" s="602" t="s">
        <v>234</v>
      </c>
      <c r="P136" s="602">
        <v>15</v>
      </c>
      <c r="Q136" s="602">
        <v>65</v>
      </c>
      <c r="R136" s="603"/>
      <c r="S136" s="603"/>
      <c r="T136" s="603">
        <v>17</v>
      </c>
      <c r="U136" s="604">
        <v>4520</v>
      </c>
      <c r="V136" s="694">
        <v>0</v>
      </c>
      <c r="W136" s="777" t="s">
        <v>2509</v>
      </c>
      <c r="X136" s="277">
        <f>0*0.717 + 3.5*0.086 + 9.5*0.197</f>
        <v>2.1725000000000003</v>
      </c>
      <c r="Y136" s="446"/>
      <c r="Z136" s="473"/>
      <c r="AB136" s="442">
        <f>100*((0.28*0.357 + 0.45*0.839 + 0.31*0.936 + 0.21*0.325 + 0.18*0.641)/5)</f>
        <v>19.026000000000003</v>
      </c>
      <c r="AC136" s="446"/>
      <c r="AD136" s="446"/>
      <c r="AE136" s="446"/>
      <c r="AF136" s="446"/>
      <c r="AG136" s="446"/>
      <c r="AH136" s="446"/>
      <c r="AK136" s="442">
        <f>100*(0.28*0.063 + 0.45*0.077 + 0.31*0.095 + 0.21*0.051 + 0.18*0.046)/5</f>
        <v>2.0146000000000002</v>
      </c>
      <c r="AL136" s="442">
        <f>(0.28*55.5*0.063 + 0.45*74.3*0.077 + 0.31*63.5*0.095 + 0.21*46.6*0.051 + 0.18*59.1*0.046)/5</f>
        <v>1.2824048000000001</v>
      </c>
      <c r="AM136" s="442">
        <f>100*((0.28*0.475 + 0.45*0.465 + 0.31*0.769 + 0.21*0.551 + 0.18*0.605)/5)*((18.6 + 11.2)/(0.6 + 18.6 + 11.2))</f>
        <v>15.787138157894738</v>
      </c>
      <c r="AN136" s="442">
        <f>100*((0.28*0.555*0.475 + 0.45*0.743*0.465 + 0.31*0.635*0.769 + 0.21*0.466*0.551 + 0.18*0.591*0.605)/5)*((18.6 + 11.2)/(0.6 + 18.6 + 11.2))</f>
        <v>9.7819707684210524</v>
      </c>
      <c r="AO136" s="446"/>
      <c r="AP136" s="446"/>
      <c r="AQ136" s="442">
        <f>100*((0.28*0.475 + 0.45*0.465 + 0.31*0.769 + 0.21*0.551 + 0.18*0.605)/5)*((0.6 + 11.2)/(0.6 + 18.6 + 11.2))</f>
        <v>6.2512828947368408</v>
      </c>
      <c r="AR136" s="442">
        <f>100*((0.28*0.555*0.475 + 0.45*0.743*0.465 + 0.31*0.635*0.769 + 0.21*0.466*0.551 + 0.18*0.591*0.605)/5)*((0.6 + 11.2)/(0.6 + 18.6 + 11.2))</f>
        <v>3.873397821052631</v>
      </c>
      <c r="AS136" s="442">
        <f>100*((0.28*0.315 + 0.45*0.288 + 0.31*0.29 + 0.21*0.278 + 0.18*0.081)/5)*(( 3 +   6.2)/(3 +    3.4 +   6.2))</f>
        <v>5.5588444444444427</v>
      </c>
      <c r="AT136" s="442">
        <f>100*((0.28*0.555*0.315 + 0.45*0.743*0.288 + 0.31*0.635*0.29 + 0.21*0.466*0.278 + 0.18*0.591*0.081)/5)*(( 3 +   6.2)/(3 +    3.4 +   6.2))</f>
        <v>3.477777574603174</v>
      </c>
      <c r="AU136" s="442">
        <f>100*((0.28*0.315 + 0.45*0.288 + 0.31*0.29 + 0.21*0.278 + 0.18*0.081)/5)*(( 3.4 +   6.2)/(3 +    3.4 +   6.2))</f>
        <v>5.8005333333333313</v>
      </c>
      <c r="AV136" s="442">
        <f>100*((0.28*0.555*0.315 + 0.45*0.743*0.288 + 0.31*0.635*0.29 + 0.21*0.466*0.278 + 0.18*0.591*0.081)/5)*(( 3.4 +   6.2)/(3 +    3.4 +   6.2))</f>
        <v>3.6289852952380945</v>
      </c>
      <c r="AW136" s="446"/>
      <c r="AX136" s="446"/>
      <c r="AY136" s="446"/>
      <c r="AZ136" s="446"/>
      <c r="BA136" s="442"/>
      <c r="BB136" s="442"/>
      <c r="BC136" s="446"/>
      <c r="BD136" s="446"/>
      <c r="BE136" s="442"/>
      <c r="BF136" s="442"/>
      <c r="BG136" s="442"/>
      <c r="BH136" s="442"/>
      <c r="BI136" s="442">
        <f>100*(0.28*323 + 0.45*765 + 0.31*369 + 0.21*256 + 0.18*277)/(323+765+369+256+277)</f>
        <v>32.798994974874375</v>
      </c>
      <c r="BJ136" s="442">
        <v>25.1</v>
      </c>
      <c r="BK136" s="442"/>
      <c r="BL136" s="442"/>
      <c r="BM136" s="442">
        <f>100*(0.07 + 0.07 + 0.09 + 0.04 + 0.04)/5</f>
        <v>6.2</v>
      </c>
      <c r="BO136" s="442"/>
      <c r="BP136" s="442">
        <v>30.1</v>
      </c>
      <c r="BQ136" s="271"/>
      <c r="BR136" s="271"/>
      <c r="BS136" s="271"/>
      <c r="BT136" s="271"/>
      <c r="BU136" s="271">
        <v>12</v>
      </c>
      <c r="BV136" s="454">
        <v>0</v>
      </c>
      <c r="BW136" s="454"/>
      <c r="BX136" s="573"/>
      <c r="BY136" s="854"/>
      <c r="BZ136" s="854"/>
      <c r="CA136" s="854"/>
      <c r="CB136" s="854"/>
      <c r="CC136" s="854"/>
      <c r="CD136" s="854"/>
      <c r="CE136" s="854"/>
      <c r="CF136" s="854"/>
      <c r="CG136" s="98"/>
      <c r="CH136" s="419" t="s">
        <v>1534</v>
      </c>
      <c r="CI136" s="406" t="s">
        <v>1748</v>
      </c>
      <c r="CJ136" s="23"/>
      <c r="CK136" s="417" t="s">
        <v>1559</v>
      </c>
      <c r="CL136" s="572"/>
      <c r="CM136" s="700" t="s">
        <v>1900</v>
      </c>
      <c r="CR136" s="845" t="str">
        <f t="shared" si="0"/>
        <v>1995_PERFORM</v>
      </c>
      <c r="CS136" s="648" t="str">
        <f t="shared" si="1"/>
        <v xml:space="preserve">Uttar Pradesh: </v>
      </c>
      <c r="CT136" s="35">
        <f t="shared" si="5"/>
        <v>1996</v>
      </c>
      <c r="CU136" s="23" t="str">
        <f t="shared" si="6"/>
        <v>both</v>
      </c>
      <c r="CV136" s="23" t="str">
        <f t="shared" si="2"/>
        <v>VII</v>
      </c>
      <c r="CW136" s="579" t="str">
        <f t="shared" si="7"/>
        <v>PERFORM</v>
      </c>
      <c r="CX136" s="23" t="str">
        <f t="shared" si="8"/>
        <v/>
      </c>
      <c r="CY136" s="35" t="str">
        <f t="shared" si="3"/>
        <v>15-65</v>
      </c>
      <c r="CZ136" s="35">
        <f t="shared" si="4"/>
        <v>4520</v>
      </c>
      <c r="DA136" s="648" t="str">
        <f t="shared" si="9"/>
        <v>Martin S.L. et al (1999), 'Domestic violence in northern India', American Journal of Epidemiology, 150(4): 417-26.</v>
      </c>
    </row>
    <row r="137" spans="1:105" s="35" customFormat="1" ht="12" customHeight="1" x14ac:dyDescent="0.2">
      <c r="A137" s="651"/>
      <c r="B137" s="605" t="s">
        <v>1697</v>
      </c>
      <c r="C137" s="97" t="s">
        <v>70</v>
      </c>
      <c r="D137" s="237" t="s">
        <v>1125</v>
      </c>
      <c r="E137" s="647" t="s">
        <v>212</v>
      </c>
      <c r="F137" s="647"/>
      <c r="G137" s="479">
        <v>0</v>
      </c>
      <c r="H137" s="97"/>
      <c r="I137" s="166" t="s">
        <v>26</v>
      </c>
      <c r="J137" s="571">
        <v>1996</v>
      </c>
      <c r="K137" s="571">
        <v>2001</v>
      </c>
      <c r="L137" s="493" t="s">
        <v>1535</v>
      </c>
      <c r="M137" s="98" t="s">
        <v>289</v>
      </c>
      <c r="N137" s="493"/>
      <c r="O137" s="98"/>
      <c r="P137" s="98"/>
      <c r="Q137" s="98"/>
      <c r="R137" s="167">
        <v>29</v>
      </c>
      <c r="S137" s="167"/>
      <c r="T137" s="167">
        <v>17</v>
      </c>
      <c r="U137" s="393">
        <v>6902</v>
      </c>
      <c r="V137" s="694">
        <v>0</v>
      </c>
      <c r="W137" s="717" t="s">
        <v>2509</v>
      </c>
      <c r="X137" s="277">
        <f>0*0.717 + 3.5*0.086 + 9.5*0.197</f>
        <v>2.1725000000000003</v>
      </c>
      <c r="Y137" s="446"/>
      <c r="Z137" s="473"/>
      <c r="AA137" s="446"/>
      <c r="AB137" s="446"/>
      <c r="AC137" s="446"/>
      <c r="AD137" s="446"/>
      <c r="AE137" s="446"/>
      <c r="AF137" s="446"/>
      <c r="AG137" s="446"/>
      <c r="AH137" s="446"/>
      <c r="AK137" s="442"/>
      <c r="AL137" s="442"/>
      <c r="AM137" s="442"/>
      <c r="AN137" s="442"/>
      <c r="AO137" s="446"/>
      <c r="AP137" s="446"/>
      <c r="AQ137" s="442"/>
      <c r="AR137" s="442"/>
      <c r="AS137" s="442"/>
      <c r="AT137" s="442"/>
      <c r="AU137" s="442"/>
      <c r="AV137" s="442"/>
      <c r="AW137" s="446"/>
      <c r="AX137" s="446"/>
      <c r="AY137" s="446"/>
      <c r="AZ137" s="446"/>
      <c r="BA137" s="442"/>
      <c r="BB137" s="442"/>
      <c r="BC137" s="446"/>
      <c r="BD137" s="446"/>
      <c r="BE137" s="442"/>
      <c r="BF137" s="442"/>
      <c r="BG137" s="442"/>
      <c r="BH137" s="442"/>
      <c r="BI137" s="442">
        <f>(26+17)*0.062 + (26+9)*0.245 + (14+5)*(1 -0.062 - 0.245)</f>
        <v>24.408000000000001</v>
      </c>
      <c r="BJ137" s="442"/>
      <c r="BK137" s="442"/>
      <c r="BL137" s="442"/>
      <c r="BM137" s="442"/>
      <c r="BN137" s="442"/>
      <c r="BO137" s="442"/>
      <c r="BP137" s="442"/>
      <c r="BQ137" s="271"/>
      <c r="BR137" s="271"/>
      <c r="BS137" s="271"/>
      <c r="BT137" s="271"/>
      <c r="BU137" s="271"/>
      <c r="BV137" s="454">
        <v>0</v>
      </c>
      <c r="BW137" s="454"/>
      <c r="BX137" s="573"/>
      <c r="BY137" s="854"/>
      <c r="BZ137" s="854"/>
      <c r="CA137" s="854"/>
      <c r="CB137" s="854"/>
      <c r="CC137" s="854"/>
      <c r="CD137" s="854"/>
      <c r="CE137" s="854"/>
      <c r="CF137" s="854"/>
      <c r="CG137" s="98"/>
      <c r="CH137" s="433" t="s">
        <v>2393</v>
      </c>
      <c r="CI137" s="406" t="s">
        <v>2375</v>
      </c>
      <c r="CJ137" s="23"/>
      <c r="CK137" s="417" t="s">
        <v>2394</v>
      </c>
      <c r="CL137" s="572"/>
      <c r="CM137" s="580"/>
      <c r="CR137" s="845" t="str">
        <f t="shared" si="0"/>
        <v>1995_PERFORM</v>
      </c>
      <c r="CS137" s="648" t="str">
        <f t="shared" si="1"/>
        <v xml:space="preserve">Uttar Pradesh: </v>
      </c>
      <c r="CT137" s="35" t="str">
        <f t="shared" si="5"/>
        <v/>
      </c>
      <c r="CU137" s="23" t="str">
        <f t="shared" si="6"/>
        <v>both</v>
      </c>
      <c r="CV137" s="23" t="str">
        <f t="shared" si="2"/>
        <v>VII</v>
      </c>
      <c r="CW137" s="579" t="str">
        <f t="shared" si="7"/>
        <v>PERFORM</v>
      </c>
      <c r="CX137" s="23" t="str">
        <f t="shared" si="8"/>
        <v/>
      </c>
      <c r="CY137" s="35">
        <f t="shared" si="3"/>
        <v>0</v>
      </c>
      <c r="CZ137" s="35">
        <f t="shared" si="4"/>
        <v>6902</v>
      </c>
      <c r="DA137" s="648" t="str">
        <f t="shared" si="9"/>
        <v>Martin S.L., Moracco K.E., Garro J., Tsui A.O., Kupper L.L., Chase J.L. &amp; Campbell J.C. (2002), ‘Domestic violence across generations: findings from Northern India’, International Journal of Epidemiology 31:560-72.</v>
      </c>
    </row>
    <row r="138" spans="1:105" s="35" customFormat="1" ht="12" customHeight="1" x14ac:dyDescent="0.2">
      <c r="A138" s="651"/>
      <c r="B138" s="605" t="s">
        <v>1697</v>
      </c>
      <c r="C138" s="97" t="s">
        <v>70</v>
      </c>
      <c r="D138" s="237" t="s">
        <v>1125</v>
      </c>
      <c r="E138" s="647" t="s">
        <v>212</v>
      </c>
      <c r="F138" s="647"/>
      <c r="G138" s="479">
        <v>0</v>
      </c>
      <c r="H138" s="97"/>
      <c r="I138" s="166" t="s">
        <v>26</v>
      </c>
      <c r="J138" s="571">
        <v>1996</v>
      </c>
      <c r="K138" s="571">
        <v>2006</v>
      </c>
      <c r="L138" s="493" t="s">
        <v>1535</v>
      </c>
      <c r="M138" s="98" t="s">
        <v>289</v>
      </c>
      <c r="N138" s="493"/>
      <c r="O138" s="237" t="s">
        <v>1056</v>
      </c>
      <c r="P138" s="237">
        <v>14</v>
      </c>
      <c r="Q138" s="98">
        <v>51</v>
      </c>
      <c r="R138" s="167">
        <v>29</v>
      </c>
      <c r="S138" s="167"/>
      <c r="T138" s="167">
        <v>17</v>
      </c>
      <c r="U138" s="393">
        <v>3642</v>
      </c>
      <c r="V138" s="694">
        <v>0</v>
      </c>
      <c r="W138" s="717" t="s">
        <v>2509</v>
      </c>
      <c r="X138" s="277">
        <f>0*0.717 + 3.5*0.086 + 9.5*0.197</f>
        <v>2.1725000000000003</v>
      </c>
      <c r="Y138" s="446"/>
      <c r="Z138" s="473"/>
      <c r="AA138" s="446"/>
      <c r="AB138" s="446"/>
      <c r="AC138" s="446"/>
      <c r="AD138" s="446"/>
      <c r="AE138" s="446"/>
      <c r="AF138" s="446"/>
      <c r="AG138" s="446"/>
      <c r="AH138" s="446"/>
      <c r="AI138" s="446"/>
      <c r="AJ138" s="446"/>
      <c r="AK138" s="446"/>
      <c r="AL138" s="446"/>
      <c r="AM138" s="442"/>
      <c r="AN138" s="442"/>
      <c r="AO138" s="442"/>
      <c r="AP138" s="442"/>
      <c r="AQ138" s="446"/>
      <c r="AR138" s="446"/>
      <c r="AS138" s="446"/>
      <c r="AT138" s="271"/>
      <c r="AU138" s="442"/>
      <c r="AV138" s="442"/>
      <c r="AW138" s="446"/>
      <c r="AX138" s="446"/>
      <c r="AY138" s="442"/>
      <c r="AZ138" s="442"/>
      <c r="BA138" s="271"/>
      <c r="BB138" s="271"/>
      <c r="BC138" s="442"/>
      <c r="BD138" s="442"/>
      <c r="BE138" s="442"/>
      <c r="BF138" s="442"/>
      <c r="BG138" s="442"/>
      <c r="BH138" s="442"/>
      <c r="BI138" s="442"/>
      <c r="BJ138" s="442">
        <f>11.5+9.1</f>
        <v>20.6</v>
      </c>
      <c r="BK138" s="442"/>
      <c r="BL138" s="442"/>
      <c r="BM138" s="442"/>
      <c r="BO138" s="442"/>
      <c r="BP138" s="442">
        <f>16.6+9.1</f>
        <v>25.700000000000003</v>
      </c>
      <c r="BQ138" s="271"/>
      <c r="BR138" s="271"/>
      <c r="BS138" s="271"/>
      <c r="BT138" s="271"/>
      <c r="BU138" s="271">
        <v>12</v>
      </c>
      <c r="BV138" s="454">
        <v>0</v>
      </c>
      <c r="BW138" s="454"/>
      <c r="BX138" s="573"/>
      <c r="BY138" s="854"/>
      <c r="BZ138" s="854"/>
      <c r="CA138" s="854"/>
      <c r="CB138" s="854"/>
      <c r="CC138" s="854"/>
      <c r="CD138" s="854"/>
      <c r="CE138" s="854"/>
      <c r="CF138" s="854"/>
      <c r="CG138" s="98"/>
      <c r="CH138" s="419" t="s">
        <v>1747</v>
      </c>
      <c r="CI138" s="406" t="s">
        <v>1748</v>
      </c>
      <c r="CJ138" s="23"/>
      <c r="CK138" s="417" t="s">
        <v>1749</v>
      </c>
      <c r="CL138" s="572" t="s">
        <v>1750</v>
      </c>
      <c r="CR138" s="845" t="str">
        <f t="shared" si="0"/>
        <v>1995_PERFORM</v>
      </c>
      <c r="CS138" s="648" t="str">
        <f t="shared" si="1"/>
        <v xml:space="preserve">Uttar Pradesh: </v>
      </c>
      <c r="CT138" s="35" t="str">
        <f t="shared" si="5"/>
        <v/>
      </c>
      <c r="CU138" s="23" t="str">
        <f t="shared" si="6"/>
        <v>both</v>
      </c>
      <c r="CV138" s="23" t="str">
        <f t="shared" si="2"/>
        <v>VII</v>
      </c>
      <c r="CW138" s="579" t="str">
        <f t="shared" si="7"/>
        <v>PERFORM</v>
      </c>
      <c r="CX138" s="23" t="str">
        <f t="shared" si="8"/>
        <v/>
      </c>
      <c r="CY138" s="35" t="str">
        <f t="shared" si="3"/>
        <v>14-51</v>
      </c>
      <c r="CZ138" s="35">
        <f t="shared" si="4"/>
        <v>3642</v>
      </c>
      <c r="DA138" s="648" t="str">
        <f t="shared" si="9"/>
        <v>Stephenson R., Koenig M.A. &amp; Ahmed S. (2006), ‘Domestic violence and symptoms of gynecologic morbidity among women in North India’, International Family Planning Perspectives, 32(4):201-8.</v>
      </c>
    </row>
    <row r="139" spans="1:105" s="35" customFormat="1" ht="12" customHeight="1" thickBot="1" x14ac:dyDescent="0.25">
      <c r="A139" s="651"/>
      <c r="B139" s="540" t="s">
        <v>1697</v>
      </c>
      <c r="C139" s="521" t="s">
        <v>70</v>
      </c>
      <c r="D139" s="522" t="s">
        <v>1125</v>
      </c>
      <c r="E139" s="704" t="s">
        <v>212</v>
      </c>
      <c r="F139" s="704"/>
      <c r="G139" s="524">
        <v>0</v>
      </c>
      <c r="H139" s="521"/>
      <c r="I139" s="606" t="s">
        <v>26</v>
      </c>
      <c r="J139" s="822">
        <v>1996</v>
      </c>
      <c r="K139" s="822">
        <v>2006</v>
      </c>
      <c r="L139" s="523" t="s">
        <v>1535</v>
      </c>
      <c r="M139" s="524" t="s">
        <v>78</v>
      </c>
      <c r="N139" s="523"/>
      <c r="O139" s="607" t="s">
        <v>19</v>
      </c>
      <c r="P139" s="607">
        <v>15</v>
      </c>
      <c r="Q139" s="608">
        <v>49</v>
      </c>
      <c r="R139" s="322">
        <v>27.4</v>
      </c>
      <c r="S139" s="322"/>
      <c r="T139" s="322">
        <v>17</v>
      </c>
      <c r="U139" s="610">
        <v>2199</v>
      </c>
      <c r="V139" s="694">
        <v>0</v>
      </c>
      <c r="W139" s="778" t="s">
        <v>2509</v>
      </c>
      <c r="X139" s="277">
        <f>0*0.717 + 3.5*0.086 + 9.5*0.197</f>
        <v>2.1725000000000003</v>
      </c>
      <c r="Y139" s="446"/>
      <c r="Z139" s="473"/>
      <c r="AA139" s="446"/>
      <c r="AB139" s="446"/>
      <c r="AC139" s="446"/>
      <c r="AD139" s="446"/>
      <c r="AE139" s="446"/>
      <c r="AF139" s="446"/>
      <c r="AG139" s="446"/>
      <c r="AH139" s="446"/>
      <c r="AI139" s="446"/>
      <c r="AJ139" s="446"/>
      <c r="AK139" s="446"/>
      <c r="AL139" s="446"/>
      <c r="AM139" s="442"/>
      <c r="AN139" s="442"/>
      <c r="AO139" s="442"/>
      <c r="AP139" s="442"/>
      <c r="AQ139" s="446"/>
      <c r="AR139" s="446"/>
      <c r="AS139" s="446"/>
      <c r="AT139" s="271"/>
      <c r="AU139" s="442"/>
      <c r="AV139" s="442"/>
      <c r="AW139" s="446"/>
      <c r="AX139" s="446"/>
      <c r="AY139" s="446"/>
      <c r="AZ139" s="446"/>
      <c r="BA139" s="271"/>
      <c r="BB139" s="271"/>
      <c r="BC139" s="446"/>
      <c r="BD139" s="446"/>
      <c r="BE139" s="453"/>
      <c r="BF139" s="453"/>
      <c r="BG139" s="442"/>
      <c r="BH139" s="442"/>
      <c r="BI139" s="271"/>
      <c r="BJ139" s="453">
        <v>18.3</v>
      </c>
      <c r="BK139" s="453"/>
      <c r="BL139" s="453"/>
      <c r="BM139" s="442"/>
      <c r="BN139" s="442"/>
      <c r="BO139" s="442"/>
      <c r="BP139" s="442"/>
      <c r="BQ139" s="271"/>
      <c r="BR139" s="271"/>
      <c r="BS139" s="271"/>
      <c r="BT139" s="271"/>
      <c r="BU139" s="271">
        <v>9</v>
      </c>
      <c r="BV139" s="454">
        <v>0</v>
      </c>
      <c r="BW139" s="454"/>
      <c r="BX139" s="573"/>
      <c r="BY139" s="854"/>
      <c r="BZ139" s="854"/>
      <c r="CA139" s="854"/>
      <c r="CB139" s="854"/>
      <c r="CC139" s="854"/>
      <c r="CD139" s="854"/>
      <c r="CE139" s="854"/>
      <c r="CF139" s="854"/>
      <c r="CG139" s="98"/>
      <c r="CH139" s="419" t="s">
        <v>1863</v>
      </c>
      <c r="CI139" s="406" t="s">
        <v>1751</v>
      </c>
      <c r="CJ139" s="23"/>
      <c r="CK139" s="641" t="s">
        <v>1902</v>
      </c>
      <c r="CL139" s="692"/>
      <c r="CM139" s="700"/>
      <c r="CR139" s="845" t="str">
        <f t="shared" si="0"/>
        <v>1995_PERFORM</v>
      </c>
      <c r="CS139" s="648" t="str">
        <f t="shared" si="1"/>
        <v xml:space="preserve">Uttar Pradesh: </v>
      </c>
      <c r="CT139" s="35" t="str">
        <f t="shared" si="5"/>
        <v/>
      </c>
      <c r="CU139" s="23" t="str">
        <f t="shared" si="6"/>
        <v>both</v>
      </c>
      <c r="CV139" s="23" t="str">
        <f t="shared" si="2"/>
        <v>IV</v>
      </c>
      <c r="CW139" s="579" t="str">
        <f t="shared" si="7"/>
        <v>PERFORM</v>
      </c>
      <c r="CX139" s="23" t="str">
        <f t="shared" si="8"/>
        <v/>
      </c>
      <c r="CY139" s="35" t="str">
        <f t="shared" si="3"/>
        <v>15-49</v>
      </c>
      <c r="CZ139" s="35">
        <f t="shared" si="4"/>
        <v>2199</v>
      </c>
      <c r="DA139" s="648" t="str">
        <f t="shared" si="9"/>
        <v>Ahmed S., Koenig M.A. &amp; Stephenson R. (2006), 'Effects of domestic violence on perinatal and early-childhood mortality: evidence from North India', American Journal of Public Health 96(8):1423-8.</v>
      </c>
    </row>
    <row r="140" spans="1:105" s="35" customFormat="1" ht="12" customHeight="1" x14ac:dyDescent="0.2">
      <c r="A140" s="651"/>
      <c r="B140" s="537" t="s">
        <v>2521</v>
      </c>
      <c r="C140" s="97" t="s">
        <v>70</v>
      </c>
      <c r="D140" s="237" t="s">
        <v>1125</v>
      </c>
      <c r="E140" s="647" t="s">
        <v>1661</v>
      </c>
      <c r="F140" s="647" t="s">
        <v>2524</v>
      </c>
      <c r="G140" s="237">
        <v>0</v>
      </c>
      <c r="H140" s="186">
        <v>6</v>
      </c>
      <c r="I140" s="481" t="s">
        <v>1984</v>
      </c>
      <c r="J140" s="571">
        <v>1996</v>
      </c>
      <c r="K140" s="571">
        <v>2000</v>
      </c>
      <c r="L140" s="494" t="s">
        <v>1574</v>
      </c>
      <c r="M140" s="237" t="s">
        <v>18</v>
      </c>
      <c r="N140" s="493"/>
      <c r="O140" s="98" t="s">
        <v>546</v>
      </c>
      <c r="P140" s="98">
        <v>15</v>
      </c>
      <c r="Q140" s="237">
        <v>45</v>
      </c>
      <c r="R140" s="254">
        <v>28</v>
      </c>
      <c r="S140" s="254"/>
      <c r="T140" s="277">
        <v>10.4</v>
      </c>
      <c r="U140" s="393">
        <v>346</v>
      </c>
      <c r="V140" s="694">
        <v>0</v>
      </c>
      <c r="W140" s="711"/>
      <c r="X140" s="254">
        <v>4</v>
      </c>
      <c r="Y140" s="442">
        <f>(18.9/100)*65.3</f>
        <v>12.341699999999998</v>
      </c>
      <c r="Z140" s="446"/>
      <c r="AA140" s="446"/>
      <c r="AB140" s="446"/>
      <c r="AC140" s="442">
        <f>(80.2/100)*65.3</f>
        <v>52.370600000000003</v>
      </c>
      <c r="AD140" s="446"/>
      <c r="AE140" s="442">
        <f>(51.1/100)*65.3</f>
        <v>33.368299999999998</v>
      </c>
      <c r="AF140" s="446"/>
      <c r="AG140" s="446"/>
      <c r="AH140" s="446"/>
      <c r="AI140" s="446"/>
      <c r="AJ140" s="446"/>
      <c r="AK140" s="446"/>
      <c r="AL140" s="446"/>
      <c r="AM140" s="442">
        <f>(100/100)*BI140</f>
        <v>28</v>
      </c>
      <c r="AN140" s="446"/>
      <c r="AO140" s="446"/>
      <c r="AP140" s="446"/>
      <c r="AQ140" s="442">
        <f>0.633*$BI140</f>
        <v>17.724</v>
      </c>
      <c r="AR140" s="446"/>
      <c r="AS140" s="446"/>
      <c r="AT140" s="446"/>
      <c r="AU140" s="446"/>
      <c r="AV140" s="446"/>
      <c r="AW140" s="446"/>
      <c r="AX140" s="446"/>
      <c r="AY140" s="446"/>
      <c r="AZ140" s="446"/>
      <c r="BA140" s="445">
        <f>0.583*$BI140</f>
        <v>16.323999999999998</v>
      </c>
      <c r="BB140" s="446"/>
      <c r="BC140" s="445">
        <f>0.63*$BI140</f>
        <v>17.64</v>
      </c>
      <c r="BD140" s="446"/>
      <c r="BE140" s="445">
        <f>0.076*$BI140</f>
        <v>2.1280000000000001</v>
      </c>
      <c r="BF140" s="445"/>
      <c r="BG140" s="446"/>
      <c r="BH140" s="446"/>
      <c r="BI140" s="442">
        <f>(2/3)*$BQ140</f>
        <v>28</v>
      </c>
      <c r="BJ140" s="445"/>
      <c r="BK140" s="442">
        <f>(17.6/100)*65.3</f>
        <v>11.492800000000001</v>
      </c>
      <c r="BL140" s="445"/>
      <c r="BM140" s="445">
        <f>(9.7/100)*65.3</f>
        <v>6.3340999999999994</v>
      </c>
      <c r="BN140" s="445"/>
      <c r="BO140" s="445"/>
      <c r="BP140" s="445"/>
      <c r="BQ140" s="271">
        <v>42</v>
      </c>
      <c r="BR140" s="444"/>
      <c r="BS140" s="442"/>
      <c r="BT140" s="445"/>
      <c r="BU140" s="445"/>
      <c r="BV140" s="445">
        <v>0</v>
      </c>
      <c r="BW140" s="445"/>
      <c r="BX140" s="573"/>
      <c r="BY140" s="854"/>
      <c r="BZ140" s="854"/>
      <c r="CA140" s="854"/>
      <c r="CB140" s="854"/>
      <c r="CC140" s="854"/>
      <c r="CD140" s="854"/>
      <c r="CE140" s="854"/>
      <c r="CF140" s="854"/>
      <c r="CG140" s="98"/>
      <c r="CH140" s="419" t="s">
        <v>1986</v>
      </c>
      <c r="CI140" s="406" t="s">
        <v>1639</v>
      </c>
      <c r="CJ140" s="23"/>
      <c r="CK140" s="417" t="s">
        <v>1647</v>
      </c>
      <c r="CL140" s="692" t="s">
        <v>1745</v>
      </c>
      <c r="CM140" s="648" t="s">
        <v>1853</v>
      </c>
      <c r="CR140" s="845" t="str">
        <f t="shared" si="0"/>
        <v>1997_Guj</v>
      </c>
      <c r="CS140" s="648" t="str">
        <f t="shared" si="1"/>
        <v>Gujarat: five villages</v>
      </c>
      <c r="CT140" s="35">
        <f t="shared" si="5"/>
        <v>1996</v>
      </c>
      <c r="CU140" s="23" t="str">
        <f t="shared" si="6"/>
        <v>rural</v>
      </c>
      <c r="CV140" s="23" t="str">
        <f t="shared" si="2"/>
        <v>II</v>
      </c>
      <c r="CW140" s="579" t="str">
        <f t="shared" si="7"/>
        <v>ICRW</v>
      </c>
      <c r="CX140" s="23" t="str">
        <f t="shared" si="8"/>
        <v/>
      </c>
      <c r="CY140" s="35" t="str">
        <f t="shared" si="3"/>
        <v>15-45</v>
      </c>
      <c r="CZ140" s="35">
        <f t="shared" si="4"/>
        <v>346</v>
      </c>
      <c r="DA140" s="648" t="str">
        <f t="shared" si="9"/>
        <v>Visaria L. (2000), ‘Violence against women: a field study’, Economic &amp; Political Weekly, 35(20):1742-51.</v>
      </c>
    </row>
    <row r="141" spans="1:105" s="35" customFormat="1" ht="12" customHeight="1" x14ac:dyDescent="0.2">
      <c r="A141" s="651"/>
      <c r="B141" s="537" t="s">
        <v>2496</v>
      </c>
      <c r="C141" s="97" t="s">
        <v>70</v>
      </c>
      <c r="D141" s="169" t="s">
        <v>1125</v>
      </c>
      <c r="E141" s="647" t="s">
        <v>1652</v>
      </c>
      <c r="F141" s="647" t="s">
        <v>2681</v>
      </c>
      <c r="G141" s="237">
        <v>0</v>
      </c>
      <c r="H141" s="186">
        <v>6</v>
      </c>
      <c r="I141" s="533">
        <v>1997</v>
      </c>
      <c r="J141" s="128"/>
      <c r="K141" s="571">
        <v>2000</v>
      </c>
      <c r="L141" s="493"/>
      <c r="M141" s="98" t="s">
        <v>15</v>
      </c>
      <c r="N141" s="493" t="s">
        <v>783</v>
      </c>
      <c r="O141" s="98" t="s">
        <v>603</v>
      </c>
      <c r="P141" s="98">
        <v>18</v>
      </c>
      <c r="Q141" s="237">
        <v>60</v>
      </c>
      <c r="R141" s="277">
        <v>30</v>
      </c>
      <c r="S141" s="277"/>
      <c r="T141" s="277"/>
      <c r="U141" s="393">
        <f>500/2</f>
        <v>250</v>
      </c>
      <c r="V141" s="694">
        <v>0</v>
      </c>
      <c r="W141" s="717" t="s">
        <v>2208</v>
      </c>
      <c r="X141" s="277">
        <f>(0*30.4 + 3.9*24.3 + 9.1*36.1 + 15.2*9.1)/100</f>
        <v>5.6159999999999988</v>
      </c>
      <c r="Y141" s="446"/>
      <c r="Z141" s="446"/>
      <c r="AA141" s="446"/>
      <c r="AB141" s="446"/>
      <c r="AC141" s="446">
        <v>38</v>
      </c>
      <c r="AD141" s="446"/>
      <c r="AE141" s="446">
        <v>18</v>
      </c>
      <c r="AF141" s="446"/>
      <c r="AG141" s="446"/>
      <c r="AH141" s="446"/>
      <c r="AI141" s="446"/>
      <c r="AJ141" s="453"/>
      <c r="AK141" s="446"/>
      <c r="AL141" s="446"/>
      <c r="AM141" s="442">
        <f>0.469*48</f>
        <v>22.512</v>
      </c>
      <c r="AN141" s="453">
        <f>(AM141/100)*24</f>
        <v>5.4028800000000006</v>
      </c>
      <c r="AO141" s="453"/>
      <c r="AP141" s="453"/>
      <c r="AQ141" s="446"/>
      <c r="AR141" s="446"/>
      <c r="AU141" s="442">
        <f>0.469*24</f>
        <v>11.256</v>
      </c>
      <c r="AV141" s="453">
        <f>(AU141/100)*30</f>
        <v>3.3768000000000002</v>
      </c>
      <c r="AW141" s="446">
        <f>100*2/500</f>
        <v>0.4</v>
      </c>
      <c r="AX141" s="446"/>
      <c r="AY141" s="442">
        <f>0.469*27</f>
        <v>12.662999999999998</v>
      </c>
      <c r="AZ141" s="453">
        <f>(AY141/100)*29</f>
        <v>3.6722699999999997</v>
      </c>
      <c r="BA141" s="442">
        <f>0.469*20</f>
        <v>9.379999999999999</v>
      </c>
      <c r="BB141" s="453">
        <f>(BA141/100)*28</f>
        <v>2.6263999999999998</v>
      </c>
      <c r="BC141" s="38">
        <f>0.469*17</f>
        <v>7.9729999999999999</v>
      </c>
      <c r="BD141" s="453">
        <f>(BC141/100)*23</f>
        <v>1.8337899999999998</v>
      </c>
      <c r="BE141" s="453"/>
      <c r="BF141" s="453"/>
      <c r="BG141" s="453"/>
      <c r="BH141" s="453"/>
      <c r="BI141" s="454">
        <v>46.9</v>
      </c>
      <c r="BJ141" s="453"/>
      <c r="BK141" s="453"/>
      <c r="BL141" s="453"/>
      <c r="BM141" s="445"/>
      <c r="BN141" s="445"/>
      <c r="BO141" s="445"/>
      <c r="BP141" s="445"/>
      <c r="BQ141" s="444"/>
      <c r="BR141" s="444"/>
      <c r="BS141" s="442">
        <v>46.9</v>
      </c>
      <c r="BT141" s="445"/>
      <c r="BU141" s="445">
        <v>6</v>
      </c>
      <c r="BV141" s="445">
        <v>0</v>
      </c>
      <c r="BW141" s="445"/>
      <c r="BX141" s="573"/>
      <c r="BY141" s="854"/>
      <c r="BZ141" s="854"/>
      <c r="CA141" s="854"/>
      <c r="CB141" s="854"/>
      <c r="CC141" s="854"/>
      <c r="CD141" s="854"/>
      <c r="CE141" s="854"/>
      <c r="CF141" s="854"/>
      <c r="CG141" s="169"/>
      <c r="CH141" s="419" t="s">
        <v>1985</v>
      </c>
      <c r="CI141" s="406" t="s">
        <v>1639</v>
      </c>
      <c r="CJ141" s="23"/>
      <c r="CK141" s="417" t="s">
        <v>2207</v>
      </c>
      <c r="CL141" s="572"/>
      <c r="CM141" s="648" t="s">
        <v>2495</v>
      </c>
      <c r="CR141" s="845" t="str">
        <f t="shared" si="0"/>
        <v>1997_Mah</v>
      </c>
      <c r="CS141" s="648" t="str">
        <f t="shared" si="1"/>
        <v>Maharashtra: 5 villages in Saoner</v>
      </c>
      <c r="CT141" s="35" t="str">
        <f t="shared" si="5"/>
        <v/>
      </c>
      <c r="CU141" s="23" t="str">
        <f t="shared" si="6"/>
        <v>rural</v>
      </c>
      <c r="CV141" s="23" t="str">
        <f t="shared" si="2"/>
        <v>III</v>
      </c>
      <c r="CW141" s="579" t="str">
        <f t="shared" si="7"/>
        <v/>
      </c>
      <c r="CX141" s="23" t="str">
        <f t="shared" si="8"/>
        <v>y</v>
      </c>
      <c r="CY141" s="35" t="str">
        <f t="shared" si="3"/>
        <v>18-60</v>
      </c>
      <c r="CZ141" s="35">
        <f t="shared" si="4"/>
        <v>250</v>
      </c>
      <c r="DA141" s="648" t="str">
        <f t="shared" si="9"/>
        <v>Jain D., Sanon S., Sadowski L. &amp; Hunter W.  (2004), ‘Violence against women in India: evidence from rural Maharashtra, India’. Rural and Remote Health 4:304.</v>
      </c>
    </row>
    <row r="142" spans="1:105" s="35" customFormat="1" ht="12" customHeight="1" thickBot="1" x14ac:dyDescent="0.25">
      <c r="A142" s="651"/>
      <c r="B142" s="537" t="s">
        <v>2496</v>
      </c>
      <c r="C142" s="97" t="s">
        <v>70</v>
      </c>
      <c r="D142" s="169" t="s">
        <v>1125</v>
      </c>
      <c r="E142" s="647" t="s">
        <v>1652</v>
      </c>
      <c r="F142" s="647" t="s">
        <v>2681</v>
      </c>
      <c r="G142" s="237">
        <v>0</v>
      </c>
      <c r="H142" s="186">
        <v>6</v>
      </c>
      <c r="I142" s="533">
        <v>1997</v>
      </c>
      <c r="J142" s="128"/>
      <c r="K142" s="571">
        <v>2000</v>
      </c>
      <c r="L142" s="493"/>
      <c r="M142" s="479" t="s">
        <v>78</v>
      </c>
      <c r="N142" s="493" t="s">
        <v>783</v>
      </c>
      <c r="O142" s="98" t="s">
        <v>603</v>
      </c>
      <c r="P142" s="98">
        <v>18</v>
      </c>
      <c r="Q142" s="237">
        <v>60</v>
      </c>
      <c r="R142" s="277">
        <v>30</v>
      </c>
      <c r="S142" s="277"/>
      <c r="T142" s="277"/>
      <c r="U142" s="393">
        <f>500/2</f>
        <v>250</v>
      </c>
      <c r="V142" s="694">
        <v>0</v>
      </c>
      <c r="W142" s="717" t="s">
        <v>2208</v>
      </c>
      <c r="X142" s="277">
        <f>(0*30.4 + 3.9*24.3 + 9.1*36.1 + 15.2*9.1)/100</f>
        <v>5.6159999999999988</v>
      </c>
      <c r="Y142" s="446"/>
      <c r="Z142" s="446"/>
      <c r="AA142" s="446"/>
      <c r="AB142" s="446"/>
      <c r="AC142" s="446"/>
      <c r="AD142" s="446"/>
      <c r="AE142" s="446"/>
      <c r="AF142" s="446"/>
      <c r="AG142" s="446"/>
      <c r="AH142" s="446"/>
      <c r="AI142" s="446"/>
      <c r="AJ142" s="453"/>
      <c r="AK142" s="446"/>
      <c r="AL142" s="446"/>
      <c r="AM142" s="442">
        <f>0.469*48</f>
        <v>22.512</v>
      </c>
      <c r="AN142" s="453">
        <f>(AM142/100)*33</f>
        <v>7.4289600000000009</v>
      </c>
      <c r="AO142" s="453"/>
      <c r="AP142" s="453"/>
      <c r="AQ142" s="446"/>
      <c r="AR142" s="446"/>
      <c r="AU142" s="442">
        <f>0.469*24</f>
        <v>11.256</v>
      </c>
      <c r="AV142" s="453">
        <f>(AU142/100)*44</f>
        <v>4.9526400000000006</v>
      </c>
      <c r="AW142" s="446">
        <f>100*2/500</f>
        <v>0.4</v>
      </c>
      <c r="AX142" s="446"/>
      <c r="AY142" s="442">
        <f>0.469*27</f>
        <v>12.662999999999998</v>
      </c>
      <c r="AZ142" s="453">
        <f>(AY142/100)*41</f>
        <v>5.1918299999999995</v>
      </c>
      <c r="BA142" s="442">
        <f>0.469*20</f>
        <v>9.379999999999999</v>
      </c>
      <c r="BB142" s="453">
        <f>(BA142/100)*32</f>
        <v>3.0015999999999998</v>
      </c>
      <c r="BC142" s="38">
        <f>0.469*17</f>
        <v>7.9729999999999999</v>
      </c>
      <c r="BD142" s="453">
        <f>(BC142/100)*27</f>
        <v>2.1527099999999999</v>
      </c>
      <c r="BE142" s="453"/>
      <c r="BF142" s="453"/>
      <c r="BG142" s="453"/>
      <c r="BH142" s="453"/>
      <c r="BI142" s="454">
        <v>46.9</v>
      </c>
      <c r="BJ142" s="453"/>
      <c r="BK142" s="453"/>
      <c r="BL142" s="453"/>
      <c r="BM142" s="445"/>
      <c r="BN142" s="445"/>
      <c r="BO142" s="445"/>
      <c r="BP142" s="445"/>
      <c r="BQ142" s="444"/>
      <c r="BR142" s="444"/>
      <c r="BS142" s="442"/>
      <c r="BT142" s="445"/>
      <c r="BU142" s="445">
        <v>9</v>
      </c>
      <c r="BV142" s="445"/>
      <c r="BW142" s="445"/>
      <c r="BX142" s="573"/>
      <c r="BY142" s="854"/>
      <c r="BZ142" s="854"/>
      <c r="CA142" s="854"/>
      <c r="CB142" s="854"/>
      <c r="CC142" s="854"/>
      <c r="CD142" s="854"/>
      <c r="CE142" s="854"/>
      <c r="CF142" s="854"/>
      <c r="CG142" s="169"/>
      <c r="CH142" s="419" t="s">
        <v>1985</v>
      </c>
      <c r="CI142" s="406" t="s">
        <v>1639</v>
      </c>
      <c r="CJ142" s="23"/>
      <c r="CK142" s="417" t="s">
        <v>2207</v>
      </c>
      <c r="CL142" s="572"/>
      <c r="CM142" s="648" t="s">
        <v>2495</v>
      </c>
      <c r="CR142" s="845" t="str">
        <f t="shared" si="0"/>
        <v>1997_Mah</v>
      </c>
      <c r="CS142" s="648" t="str">
        <f t="shared" si="1"/>
        <v>Maharashtra: 5 villages in Saoner</v>
      </c>
      <c r="CT142" s="35" t="str">
        <f t="shared" si="5"/>
        <v/>
      </c>
      <c r="CU142" s="23" t="str">
        <f t="shared" si="6"/>
        <v>rural</v>
      </c>
      <c r="CV142" s="23" t="str">
        <f t="shared" si="2"/>
        <v>IV</v>
      </c>
      <c r="CW142" s="579" t="str">
        <f t="shared" si="7"/>
        <v/>
      </c>
      <c r="CX142" s="23" t="str">
        <f t="shared" si="8"/>
        <v>y</v>
      </c>
      <c r="CY142" s="35" t="str">
        <f t="shared" si="3"/>
        <v>18-60</v>
      </c>
      <c r="CZ142" s="35">
        <f t="shared" si="4"/>
        <v>250</v>
      </c>
      <c r="DA142" s="648" t="str">
        <f t="shared" si="9"/>
        <v>Jain D., Sanon S., Sadowski L. &amp; Hunter W.  (2004), ‘Violence against women in India: evidence from rural Maharashtra, India’. Rural and Remote Health 4:304.</v>
      </c>
    </row>
    <row r="143" spans="1:105" s="35" customFormat="1" ht="12" customHeight="1" x14ac:dyDescent="0.2">
      <c r="A143" s="651"/>
      <c r="B143" s="595" t="s">
        <v>1698</v>
      </c>
      <c r="C143" s="596" t="s">
        <v>70</v>
      </c>
      <c r="D143" s="613" t="s">
        <v>1125</v>
      </c>
      <c r="E143" s="703" t="s">
        <v>75</v>
      </c>
      <c r="F143" s="703" t="s">
        <v>2760</v>
      </c>
      <c r="G143" s="602"/>
      <c r="H143" s="596"/>
      <c r="I143" s="615" t="s">
        <v>1743</v>
      </c>
      <c r="J143" s="823">
        <v>1998</v>
      </c>
      <c r="K143" s="823">
        <v>2000</v>
      </c>
      <c r="L143" s="601" t="s">
        <v>2680</v>
      </c>
      <c r="M143" s="602" t="s">
        <v>17</v>
      </c>
      <c r="N143" s="601" t="s">
        <v>1950</v>
      </c>
      <c r="O143" s="599" t="s">
        <v>19</v>
      </c>
      <c r="P143" s="602">
        <v>15</v>
      </c>
      <c r="Q143" s="602">
        <v>49</v>
      </c>
      <c r="R143" s="629">
        <f>(31*7345 + 32*1316 + 31*1277)/(7345 +1316 +1277)</f>
        <v>31.132421010263634</v>
      </c>
      <c r="S143" s="629"/>
      <c r="T143" s="629">
        <v>12.5</v>
      </c>
      <c r="U143" s="604">
        <v>9938</v>
      </c>
      <c r="V143" s="796">
        <v>0</v>
      </c>
      <c r="W143" s="718" t="s">
        <v>2018</v>
      </c>
      <c r="X143" s="121">
        <f>0*0.29 + 3*0.16 + 9*0.44 + 15*0.11</f>
        <v>6.09</v>
      </c>
      <c r="Y143" s="442">
        <f>13+28</f>
        <v>41</v>
      </c>
      <c r="Z143" s="442">
        <f>((12 + 17)/100)*Y143</f>
        <v>11.889999999999999</v>
      </c>
      <c r="AA143" s="448"/>
      <c r="AB143" s="448"/>
      <c r="AC143" s="448">
        <f>15+30</f>
        <v>45</v>
      </c>
      <c r="AD143" s="472"/>
      <c r="AE143" s="442">
        <f>9+18</f>
        <v>27</v>
      </c>
      <c r="AI143" s="38">
        <f>100*972/9938</f>
        <v>9.7806399678003615</v>
      </c>
      <c r="AJ143" s="448">
        <f>(6+16)/100*AI143</f>
        <v>2.1517407929160797</v>
      </c>
      <c r="AK143" s="448"/>
      <c r="AL143" s="448"/>
      <c r="AM143" s="448">
        <f>16+24</f>
        <v>40</v>
      </c>
      <c r="AN143" s="448">
        <f>(4+9)/100*AM143</f>
        <v>5.2</v>
      </c>
      <c r="AO143" s="448"/>
      <c r="AP143" s="448"/>
      <c r="AQ143" s="448"/>
      <c r="AR143" s="448"/>
      <c r="AS143" s="448"/>
      <c r="AT143" s="448"/>
      <c r="AU143" s="446">
        <f>6+11</f>
        <v>17</v>
      </c>
      <c r="AV143" s="448">
        <f>(13+28)/100*AU143</f>
        <v>6.97</v>
      </c>
      <c r="AW143" s="448"/>
      <c r="AX143" s="448"/>
      <c r="AY143" s="448">
        <f>100*2014/9938</f>
        <v>20.26564701147112</v>
      </c>
      <c r="AZ143" s="448">
        <f>((15+30)/100)*AY143</f>
        <v>9.119541155162004</v>
      </c>
      <c r="BC143" s="451">
        <f>8+12</f>
        <v>20</v>
      </c>
      <c r="BD143" s="448">
        <f>(9+18)/100*BC143</f>
        <v>5.4</v>
      </c>
      <c r="BE143" s="451"/>
      <c r="BF143" s="451"/>
      <c r="BG143" s="448"/>
      <c r="BH143" s="448"/>
      <c r="BI143" s="451">
        <f>100*4005/9938</f>
        <v>40.299859126584828</v>
      </c>
      <c r="BJ143" s="451"/>
      <c r="BK143" s="451"/>
      <c r="BL143" s="451"/>
      <c r="BM143" s="442"/>
      <c r="BN143" s="525">
        <f>3+3</f>
        <v>6</v>
      </c>
      <c r="BO143" s="442"/>
      <c r="BP143" s="442"/>
      <c r="BQ143" s="442"/>
      <c r="BR143" s="472"/>
      <c r="BS143" s="442"/>
      <c r="BT143" s="442"/>
      <c r="BU143" s="442">
        <v>12</v>
      </c>
      <c r="BV143" s="442">
        <v>0</v>
      </c>
      <c r="BW143" s="442"/>
      <c r="BX143" s="573">
        <f>184/4005</f>
        <v>4.5942571785268414E-2</v>
      </c>
      <c r="BY143" s="854"/>
      <c r="BZ143" s="854"/>
      <c r="CA143" s="854"/>
      <c r="CB143" s="854"/>
      <c r="CC143" s="854"/>
      <c r="CD143" s="854"/>
      <c r="CE143" s="854"/>
      <c r="CF143" s="854"/>
      <c r="CG143" s="169"/>
      <c r="CH143" s="419" t="s">
        <v>1548</v>
      </c>
      <c r="CI143" s="406" t="s">
        <v>1927</v>
      </c>
      <c r="CJ143" s="23"/>
      <c r="CK143" s="469" t="s">
        <v>2095</v>
      </c>
      <c r="CL143" s="417" t="s">
        <v>1547</v>
      </c>
      <c r="CM143" s="641" t="s">
        <v>1928</v>
      </c>
      <c r="CN143" s="35" t="s">
        <v>2401</v>
      </c>
      <c r="CR143" s="845" t="str">
        <f t="shared" si="0"/>
        <v>1998_IndiaSAFE</v>
      </c>
      <c r="CS143" s="648" t="str">
        <f t="shared" si="1"/>
        <v>six states: New Delhi, Lucknow, Bhopal, Nagpur, Chennai, Trivandrum, Vellore</v>
      </c>
      <c r="CT143" s="35">
        <f t="shared" si="5"/>
        <v>1998</v>
      </c>
      <c r="CU143" s="23" t="str">
        <f t="shared" si="6"/>
        <v>both</v>
      </c>
      <c r="CV143" s="23" t="str">
        <f t="shared" si="2"/>
        <v>I</v>
      </c>
      <c r="CW143" s="579" t="str">
        <f t="shared" si="7"/>
        <v>IndiaSafe</v>
      </c>
      <c r="CX143" s="23" t="str">
        <f t="shared" si="8"/>
        <v/>
      </c>
      <c r="CY143" s="35" t="str">
        <f t="shared" si="3"/>
        <v>15-49</v>
      </c>
      <c r="CZ143" s="35">
        <f t="shared" si="4"/>
        <v>9938</v>
      </c>
      <c r="DA143" s="648" t="str">
        <f t="shared" si="9"/>
        <v>Ahuja R.C., Bangdiwala S., Bhambal S.S., Jain D., Jeyaseelan L., Kumar S., Lakshman M., Mitra M.K., Nair M.K.C., Pillai R., Pandey R.M., Peedicayal A., Sadowski L., Suresh S. &amp; Upadhyaya A.K. (2000), ‘Domestic violence in India: a summary report of a multi-site household survey’, International Center for Research on Women: Washington D.C., https://www.icrw.org/wp-content/uploads/2016/10/Domestic-Violence-in-India-3-A-Summary-Report-of-a-Multi-Site-Household-Survey.pdf</v>
      </c>
    </row>
    <row r="144" spans="1:105" s="35" customFormat="1" ht="12" customHeight="1" thickBot="1" x14ac:dyDescent="0.25">
      <c r="A144" s="651" t="s">
        <v>2674</v>
      </c>
      <c r="B144" s="540" t="s">
        <v>1698</v>
      </c>
      <c r="C144" s="521" t="s">
        <v>70</v>
      </c>
      <c r="D144" s="616" t="s">
        <v>1125</v>
      </c>
      <c r="E144" s="704" t="s">
        <v>75</v>
      </c>
      <c r="F144" s="704" t="s">
        <v>2760</v>
      </c>
      <c r="G144" s="608"/>
      <c r="H144" s="521"/>
      <c r="I144" s="617" t="s">
        <v>1743</v>
      </c>
      <c r="J144" s="824">
        <v>1998</v>
      </c>
      <c r="K144" s="824">
        <v>2000</v>
      </c>
      <c r="L144" s="493" t="s">
        <v>2680</v>
      </c>
      <c r="M144" s="608" t="s">
        <v>17</v>
      </c>
      <c r="N144" s="523" t="s">
        <v>1950</v>
      </c>
      <c r="O144" s="524" t="s">
        <v>19</v>
      </c>
      <c r="P144" s="608">
        <v>15</v>
      </c>
      <c r="Q144" s="608">
        <v>49</v>
      </c>
      <c r="R144" s="322">
        <f>(31*7345 + 32*1316 + 31*1277)/(7345 +1316 +1277)</f>
        <v>31.132421010263634</v>
      </c>
      <c r="S144" s="322"/>
      <c r="T144" s="322">
        <v>12.5</v>
      </c>
      <c r="U144" s="610">
        <v>9938</v>
      </c>
      <c r="V144" s="797">
        <v>0</v>
      </c>
      <c r="W144" s="719" t="s">
        <v>2018</v>
      </c>
      <c r="X144" s="121">
        <f>0*0.29 + 3*0.16 + 9*0.44 + 15*0.11</f>
        <v>6.09</v>
      </c>
      <c r="Y144" s="442"/>
      <c r="Z144" s="442"/>
      <c r="AA144" s="448"/>
      <c r="AB144" s="448"/>
      <c r="AC144" s="442"/>
      <c r="AD144" s="505"/>
      <c r="AE144" s="442"/>
      <c r="AF144" s="448"/>
      <c r="AG144" s="448"/>
      <c r="AH144" s="448"/>
      <c r="AI144" s="448"/>
      <c r="AJ144" s="505"/>
      <c r="AK144" s="448"/>
      <c r="AL144" s="639"/>
      <c r="AN144" s="639">
        <v>16</v>
      </c>
      <c r="AO144" s="448"/>
      <c r="AP144" s="448"/>
      <c r="AQ144" s="448"/>
      <c r="AR144" s="448"/>
      <c r="AT144" s="448"/>
      <c r="AU144" s="446"/>
      <c r="AV144" s="453"/>
      <c r="AW144" s="448"/>
      <c r="AX144" s="448"/>
      <c r="AY144" s="639"/>
      <c r="AZ144" s="453"/>
      <c r="BA144" s="448"/>
      <c r="BB144" s="448"/>
      <c r="BC144" s="451"/>
      <c r="BD144" s="453"/>
      <c r="BE144" s="453"/>
      <c r="BF144" s="453"/>
      <c r="BG144" s="453"/>
      <c r="BH144" s="453"/>
      <c r="BI144" s="442"/>
      <c r="BJ144" s="453"/>
      <c r="BK144" s="453"/>
      <c r="BL144" s="453"/>
      <c r="BM144" s="445"/>
      <c r="BN144" s="525"/>
      <c r="BO144" s="442"/>
      <c r="BP144" s="442"/>
      <c r="BQ144" s="445"/>
      <c r="BR144" s="271"/>
      <c r="BS144" s="442"/>
      <c r="BT144" s="445"/>
      <c r="BU144" s="445">
        <v>9</v>
      </c>
      <c r="BV144" s="445">
        <v>0</v>
      </c>
      <c r="BW144" s="445"/>
      <c r="BX144" s="573"/>
      <c r="BY144" s="854"/>
      <c r="BZ144" s="854"/>
      <c r="CA144" s="854"/>
      <c r="CB144" s="854"/>
      <c r="CC144" s="854"/>
      <c r="CD144" s="854"/>
      <c r="CE144" s="854"/>
      <c r="CF144" s="854"/>
      <c r="CG144" s="169"/>
      <c r="CH144" s="419" t="s">
        <v>1926</v>
      </c>
      <c r="CI144" s="406" t="s">
        <v>1927</v>
      </c>
      <c r="CJ144" s="23"/>
      <c r="CK144" s="581" t="s">
        <v>1857</v>
      </c>
      <c r="CL144" s="417"/>
      <c r="CM144" s="426" t="s">
        <v>2001</v>
      </c>
      <c r="CR144" s="845" t="str">
        <f t="shared" si="0"/>
        <v>1998_IndiaSAFE</v>
      </c>
      <c r="CS144" s="648" t="str">
        <f t="shared" si="1"/>
        <v>six states: New Delhi, Lucknow, Bhopal, Nagpur, Chennai, Trivandrum, Vellore</v>
      </c>
      <c r="CT144" s="35" t="str">
        <f t="shared" si="5"/>
        <v/>
      </c>
      <c r="CU144" s="23" t="str">
        <f t="shared" si="6"/>
        <v>both</v>
      </c>
      <c r="CV144" s="23" t="str">
        <f t="shared" si="2"/>
        <v>I</v>
      </c>
      <c r="CW144" s="579" t="str">
        <f t="shared" si="7"/>
        <v>IndiaSafe</v>
      </c>
      <c r="CX144" s="23" t="str">
        <f t="shared" si="8"/>
        <v/>
      </c>
      <c r="CY144" s="35" t="str">
        <f t="shared" si="3"/>
        <v>15-49</v>
      </c>
      <c r="CZ144" s="35">
        <f t="shared" si="4"/>
        <v>9938</v>
      </c>
      <c r="DA144" s="648" t="str">
        <f t="shared" si="9"/>
        <v>Peedicayil A., Sadowski L.S., Jeyaseelan L., Shankar V., Jain D., Suresh S. &amp; Bangdiwala S.I. (2004), ‘Spousal physical violence against women during pregnancy’, BJOG: an International Journal of Obstetrics and Gynaecology 111: 682-7.</v>
      </c>
    </row>
    <row r="145" spans="1:105" s="35" customFormat="1" ht="12" customHeight="1" x14ac:dyDescent="0.2">
      <c r="A145" s="651"/>
      <c r="B145" s="537" t="s">
        <v>2510</v>
      </c>
      <c r="C145" s="390" t="s">
        <v>70</v>
      </c>
      <c r="D145" s="36" t="s">
        <v>1125</v>
      </c>
      <c r="E145" s="647" t="s">
        <v>1734</v>
      </c>
      <c r="F145" s="647" t="s">
        <v>2511</v>
      </c>
      <c r="G145" s="98"/>
      <c r="H145" s="97">
        <v>6</v>
      </c>
      <c r="I145" s="481">
        <v>1998</v>
      </c>
      <c r="J145" s="128"/>
      <c r="K145" s="571">
        <v>2001</v>
      </c>
      <c r="L145" s="493" t="s">
        <v>2678</v>
      </c>
      <c r="M145" s="98" t="s">
        <v>18</v>
      </c>
      <c r="N145" s="493"/>
      <c r="O145" s="479" t="s">
        <v>1894</v>
      </c>
      <c r="P145" s="98">
        <v>18</v>
      </c>
      <c r="Q145" s="98"/>
      <c r="R145" s="121"/>
      <c r="S145" s="121"/>
      <c r="T145" s="121"/>
      <c r="U145" s="393">
        <v>95</v>
      </c>
      <c r="V145" s="694">
        <v>0</v>
      </c>
      <c r="W145" s="717" t="s">
        <v>2512</v>
      </c>
      <c r="X145" s="809">
        <f>(0*0.92 + 3*0.03)/0.95</f>
        <v>9.4736842105263161E-2</v>
      </c>
      <c r="Y145" s="442"/>
      <c r="Z145" s="442"/>
      <c r="AA145" s="448">
        <v>72</v>
      </c>
      <c r="AB145" s="448"/>
      <c r="AC145" s="442"/>
      <c r="AD145" s="505"/>
      <c r="AE145" s="442"/>
      <c r="AF145" s="448"/>
      <c r="AG145" s="448"/>
      <c r="AH145" s="448"/>
      <c r="AI145" s="448"/>
      <c r="AJ145" s="505"/>
      <c r="AK145" s="448">
        <f>2*0.44</f>
        <v>0.88</v>
      </c>
      <c r="AL145" s="639"/>
      <c r="AM145" s="38"/>
      <c r="AN145" s="639"/>
      <c r="AO145" s="448"/>
      <c r="AP145" s="448"/>
      <c r="AQ145" s="448"/>
      <c r="AR145" s="448"/>
      <c r="AT145" s="448"/>
      <c r="AU145" s="442">
        <v>8</v>
      </c>
      <c r="AW145" s="448"/>
      <c r="AX145" s="448"/>
      <c r="BA145" s="442">
        <v>17</v>
      </c>
      <c r="BB145" s="448"/>
      <c r="BC145" s="448">
        <f>73*0.44</f>
        <v>32.119999999999997</v>
      </c>
      <c r="BE145" s="453"/>
      <c r="BF145" s="453"/>
      <c r="BI145" s="451">
        <v>44</v>
      </c>
      <c r="BJ145" s="639">
        <f>BI145*0.19</f>
        <v>8.36</v>
      </c>
      <c r="BK145" s="453"/>
      <c r="BL145" s="453"/>
      <c r="BM145" s="445"/>
      <c r="BN145" s="525"/>
      <c r="BO145" s="442"/>
      <c r="BP145" s="442"/>
      <c r="BQ145" s="445"/>
      <c r="BR145" s="271"/>
      <c r="BS145" s="442"/>
      <c r="BT145" s="445"/>
      <c r="BU145" s="445">
        <v>9</v>
      </c>
      <c r="BV145" s="445">
        <v>1</v>
      </c>
      <c r="BW145" s="445">
        <v>95</v>
      </c>
      <c r="BX145" s="573"/>
      <c r="BY145" s="854"/>
      <c r="BZ145" s="854"/>
      <c r="CA145" s="854"/>
      <c r="CB145" s="854"/>
      <c r="CC145" s="854"/>
      <c r="CD145" s="854"/>
      <c r="CE145" s="854"/>
      <c r="CF145" s="854"/>
      <c r="CG145" s="169"/>
      <c r="CH145" s="419" t="s">
        <v>2513</v>
      </c>
      <c r="CI145" s="406" t="s">
        <v>2501</v>
      </c>
      <c r="CJ145" s="23"/>
      <c r="CK145" s="581" t="s">
        <v>2514</v>
      </c>
      <c r="CL145" s="417"/>
      <c r="CM145" s="426"/>
      <c r="CR145" s="845" t="str">
        <f t="shared" si="0"/>
        <v>1998_Raj</v>
      </c>
      <c r="CS145" s="648" t="str">
        <f t="shared" si="1"/>
        <v>Rajasthan: Chittorgarh district</v>
      </c>
      <c r="CT145" s="35" t="str">
        <f t="shared" si="5"/>
        <v/>
      </c>
      <c r="CU145" s="23" t="str">
        <f t="shared" si="6"/>
        <v>rural</v>
      </c>
      <c r="CV145" s="23" t="str">
        <f t="shared" si="2"/>
        <v>II</v>
      </c>
      <c r="CW145" s="579" t="str">
        <f t="shared" si="7"/>
        <v>CUTS</v>
      </c>
      <c r="CX145" s="23" t="str">
        <f t="shared" si="8"/>
        <v/>
      </c>
      <c r="CY145" s="35" t="str">
        <f t="shared" si="3"/>
        <v>18+</v>
      </c>
      <c r="CZ145" s="35">
        <f t="shared" si="4"/>
        <v>95</v>
      </c>
      <c r="DA145" s="648" t="str">
        <f t="shared" si="9"/>
        <v>Consumer Unity &amp; Trust Society (2001), “Report of the baseline survey for project on ‘Awareness generation on issues relating to violence against women’”, Centre for Human Development, Chittorgarh: Rajasthan.</v>
      </c>
    </row>
    <row r="146" spans="1:105" s="35" customFormat="1" ht="12" customHeight="1" x14ac:dyDescent="0.2">
      <c r="A146" s="651"/>
      <c r="B146" s="537" t="s">
        <v>1930</v>
      </c>
      <c r="C146" s="390" t="s">
        <v>70</v>
      </c>
      <c r="D146" s="36" t="s">
        <v>1125</v>
      </c>
      <c r="E146" s="647" t="s">
        <v>1644</v>
      </c>
      <c r="F146" s="647"/>
      <c r="G146" s="98">
        <v>1</v>
      </c>
      <c r="H146" s="97">
        <v>2</v>
      </c>
      <c r="I146" s="481">
        <v>1998</v>
      </c>
      <c r="J146" s="571">
        <v>1998</v>
      </c>
      <c r="K146" s="571">
        <v>2003</v>
      </c>
      <c r="L146" s="493"/>
      <c r="M146" s="98" t="s">
        <v>289</v>
      </c>
      <c r="N146" s="493"/>
      <c r="R146" s="121">
        <f>((23*289 + 34.5*203 + 49*61)/553) - 1</f>
        <v>29.089511754068717</v>
      </c>
      <c r="S146" s="121"/>
      <c r="T146" s="121"/>
      <c r="U146" s="393">
        <v>1279</v>
      </c>
      <c r="V146" s="694">
        <v>0</v>
      </c>
      <c r="W146" s="717" t="s">
        <v>2021</v>
      </c>
      <c r="X146" s="121">
        <f>(0*209+3.9*344)/(553)</f>
        <v>2.4260397830018081</v>
      </c>
      <c r="Y146" s="442"/>
      <c r="Z146" s="442"/>
      <c r="AA146" s="448"/>
      <c r="AB146" s="448"/>
      <c r="AC146" s="442"/>
      <c r="AD146" s="505"/>
      <c r="AE146" s="442"/>
      <c r="AF146" s="448"/>
      <c r="AG146" s="448"/>
      <c r="AH146" s="448"/>
      <c r="AI146" s="448"/>
      <c r="AJ146" s="505"/>
      <c r="AK146" s="448"/>
      <c r="AL146" s="639"/>
      <c r="AM146" s="448"/>
      <c r="AN146" s="639"/>
      <c r="AO146" s="448"/>
      <c r="AP146" s="448"/>
      <c r="AQ146" s="448"/>
      <c r="AR146" s="448"/>
      <c r="AS146" s="448"/>
      <c r="AT146" s="448"/>
      <c r="AU146" s="446"/>
      <c r="AV146" s="640"/>
      <c r="AW146" s="448"/>
      <c r="AX146" s="448"/>
      <c r="AY146" s="639"/>
      <c r="AZ146" s="639"/>
      <c r="BA146" s="448"/>
      <c r="BB146" s="448"/>
      <c r="BC146" s="451"/>
      <c r="BD146" s="639"/>
      <c r="BE146" s="442"/>
      <c r="BF146" s="442"/>
      <c r="BG146" s="640"/>
      <c r="BH146" s="640"/>
      <c r="BI146" s="442">
        <v>20.8</v>
      </c>
      <c r="BJ146" s="442">
        <v>11.3</v>
      </c>
      <c r="BK146" s="442"/>
      <c r="BL146" s="442"/>
      <c r="BM146" s="445"/>
      <c r="BN146" s="525"/>
      <c r="BO146" s="442"/>
      <c r="BP146" s="442"/>
      <c r="BQ146" s="445"/>
      <c r="BR146" s="271"/>
      <c r="BS146" s="442"/>
      <c r="BT146" s="445"/>
      <c r="BU146" s="445">
        <v>12</v>
      </c>
      <c r="BV146" s="445">
        <v>0</v>
      </c>
      <c r="BW146" s="445"/>
      <c r="BX146" s="573"/>
      <c r="BY146" s="854"/>
      <c r="BZ146" s="854"/>
      <c r="CA146" s="854"/>
      <c r="CB146" s="854"/>
      <c r="CC146" s="854"/>
      <c r="CD146" s="854"/>
      <c r="CE146" s="854"/>
      <c r="CF146" s="854"/>
      <c r="CG146" s="169"/>
      <c r="CH146" s="419" t="s">
        <v>1932</v>
      </c>
      <c r="CI146" s="406" t="s">
        <v>1933</v>
      </c>
      <c r="CJ146" s="23"/>
      <c r="CK146" s="641" t="s">
        <v>1934</v>
      </c>
      <c r="CL146" s="417"/>
      <c r="CM146" s="700"/>
      <c r="CR146" s="845" t="str">
        <f t="shared" si="0"/>
        <v>1998_Mum</v>
      </c>
      <c r="CS146" s="648" t="str">
        <f t="shared" si="1"/>
        <v xml:space="preserve">Mumbai: </v>
      </c>
      <c r="CT146" s="35" t="str">
        <f t="shared" si="5"/>
        <v/>
      </c>
      <c r="CU146" s="23" t="str">
        <f t="shared" si="6"/>
        <v>urban</v>
      </c>
      <c r="CV146" s="23" t="str">
        <f t="shared" si="2"/>
        <v>VII</v>
      </c>
      <c r="CW146" s="579" t="str">
        <f t="shared" si="7"/>
        <v/>
      </c>
      <c r="CX146" s="23" t="str">
        <f t="shared" si="8"/>
        <v/>
      </c>
      <c r="CY146" s="35">
        <f t="shared" si="3"/>
        <v>0</v>
      </c>
      <c r="CZ146" s="35">
        <f t="shared" si="4"/>
        <v>1279</v>
      </c>
      <c r="DA146" s="648" t="str">
        <f t="shared" si="9"/>
        <v>Verma, R.K. &amp; Collumbien M. (2003), ‘Wife beating and the link with poor sexual health and risk behavior among men in urban slums in India’, Journal of Comparative Family Studies 34(1): 61-74.</v>
      </c>
    </row>
    <row r="147" spans="1:105" s="35" customFormat="1" ht="12" customHeight="1" x14ac:dyDescent="0.2">
      <c r="A147" s="651"/>
      <c r="B147" s="537" t="s">
        <v>1931</v>
      </c>
      <c r="C147" s="390" t="s">
        <v>70</v>
      </c>
      <c r="D147" s="36" t="s">
        <v>1125</v>
      </c>
      <c r="E147" s="647" t="s">
        <v>1644</v>
      </c>
      <c r="F147" s="647"/>
      <c r="G147" s="98">
        <v>1</v>
      </c>
      <c r="H147" s="97">
        <v>2</v>
      </c>
      <c r="I147" s="481">
        <v>1999</v>
      </c>
      <c r="J147" s="571">
        <v>1999</v>
      </c>
      <c r="K147" s="571">
        <v>2003</v>
      </c>
      <c r="L147" s="493"/>
      <c r="M147" s="98" t="s">
        <v>18</v>
      </c>
      <c r="N147" s="493"/>
      <c r="O147" s="481" t="s">
        <v>1935</v>
      </c>
      <c r="P147" s="98"/>
      <c r="Q147" s="98"/>
      <c r="R147" s="121">
        <f>(23*289 + 34.5*203 + 49*61)/553</f>
        <v>30.089511754068717</v>
      </c>
      <c r="S147" s="121"/>
      <c r="T147" s="121"/>
      <c r="U147" s="393">
        <v>553</v>
      </c>
      <c r="V147" s="694">
        <v>0</v>
      </c>
      <c r="W147" s="717" t="s">
        <v>2020</v>
      </c>
      <c r="X147" s="121">
        <f>(0*209+3.9*344)/(553)</f>
        <v>2.4260397830018081</v>
      </c>
      <c r="Y147" s="442"/>
      <c r="Z147" s="442"/>
      <c r="AA147" s="448">
        <f>100*215/553</f>
        <v>38.878842676311031</v>
      </c>
      <c r="AB147" s="448"/>
      <c r="AC147" s="442"/>
      <c r="AD147" s="505"/>
      <c r="AE147" s="442"/>
      <c r="AF147" s="448"/>
      <c r="AG147" s="448"/>
      <c r="AH147" s="448"/>
      <c r="AI147" s="448"/>
      <c r="AJ147" s="505"/>
      <c r="AL147" s="639"/>
      <c r="AM147" s="448"/>
      <c r="AN147" s="639"/>
      <c r="AO147" s="448"/>
      <c r="AP147" s="448"/>
      <c r="AQ147" s="448"/>
      <c r="AR147" s="448"/>
      <c r="AT147" s="448"/>
      <c r="AU147" s="446"/>
      <c r="AV147" s="640"/>
      <c r="AW147" s="448"/>
      <c r="AX147" s="448"/>
      <c r="AY147" s="639"/>
      <c r="AZ147" s="639"/>
      <c r="BA147" s="448">
        <v>18</v>
      </c>
      <c r="BB147" s="448"/>
      <c r="BC147" s="451">
        <f>100*138/553</f>
        <v>24.954792043399639</v>
      </c>
      <c r="BD147" s="639"/>
      <c r="BE147" s="442"/>
      <c r="BF147" s="442"/>
      <c r="BG147" s="640"/>
      <c r="BH147" s="640"/>
      <c r="BI147" s="442">
        <v>43</v>
      </c>
      <c r="BJ147" s="442">
        <v>11.8</v>
      </c>
      <c r="BK147" s="442"/>
      <c r="BL147" s="442"/>
      <c r="BM147" s="445"/>
      <c r="BN147" s="525"/>
      <c r="BO147" s="442"/>
      <c r="BP147" s="442"/>
      <c r="BQ147" s="445"/>
      <c r="BR147" s="271"/>
      <c r="BS147" s="442"/>
      <c r="BT147" s="445"/>
      <c r="BU147" s="445">
        <v>12</v>
      </c>
      <c r="BV147" s="445">
        <v>0</v>
      </c>
      <c r="BW147" s="445"/>
      <c r="BX147" s="573"/>
      <c r="BY147" s="854"/>
      <c r="BZ147" s="854"/>
      <c r="CA147" s="854"/>
      <c r="CB147" s="854"/>
      <c r="CC147" s="854"/>
      <c r="CD147" s="854"/>
      <c r="CE147" s="854"/>
      <c r="CF147" s="854"/>
      <c r="CG147" s="169"/>
      <c r="CH147" s="419" t="s">
        <v>1932</v>
      </c>
      <c r="CI147" s="406" t="s">
        <v>1933</v>
      </c>
      <c r="CJ147" s="23"/>
      <c r="CK147" s="641" t="s">
        <v>1934</v>
      </c>
      <c r="CL147" s="417"/>
      <c r="CM147" s="700"/>
      <c r="CR147" s="845" t="str">
        <f t="shared" si="0"/>
        <v>1999_Mum</v>
      </c>
      <c r="CS147" s="648" t="str">
        <f t="shared" si="1"/>
        <v xml:space="preserve">Mumbai: </v>
      </c>
      <c r="CT147" s="35" t="str">
        <f t="shared" si="5"/>
        <v/>
      </c>
      <c r="CU147" s="23" t="str">
        <f t="shared" si="6"/>
        <v>urban</v>
      </c>
      <c r="CV147" s="23" t="str">
        <f t="shared" si="2"/>
        <v>II</v>
      </c>
      <c r="CW147" s="579" t="str">
        <f t="shared" si="7"/>
        <v/>
      </c>
      <c r="CX147" s="23" t="str">
        <f t="shared" si="8"/>
        <v/>
      </c>
      <c r="CY147" s="35" t="str">
        <f t="shared" si="3"/>
        <v>divided into &lt;30; 30-39; 40+</v>
      </c>
      <c r="CZ147" s="35">
        <f t="shared" si="4"/>
        <v>553</v>
      </c>
      <c r="DA147" s="648" t="str">
        <f t="shared" si="9"/>
        <v>Verma, R.K. &amp; Collumbien M. (2003), ‘Wife beating and the link with poor sexual health and risk behavior among men in urban slums in India’, Journal of Comparative Family Studies 34(1): 61-74.</v>
      </c>
    </row>
    <row r="148" spans="1:105" s="35" customFormat="1" ht="12" customHeight="1" x14ac:dyDescent="0.2">
      <c r="A148" s="651"/>
      <c r="B148" s="537" t="s">
        <v>2051</v>
      </c>
      <c r="C148" s="390" t="s">
        <v>70</v>
      </c>
      <c r="D148" s="36" t="s">
        <v>1125</v>
      </c>
      <c r="E148" s="647" t="s">
        <v>1650</v>
      </c>
      <c r="F148" s="647" t="s">
        <v>1759</v>
      </c>
      <c r="G148" s="237"/>
      <c r="H148" s="186">
        <v>6</v>
      </c>
      <c r="I148" s="533" t="s">
        <v>1628</v>
      </c>
      <c r="J148" s="128">
        <v>1999</v>
      </c>
      <c r="K148" s="128">
        <v>2006</v>
      </c>
      <c r="L148" s="572"/>
      <c r="M148" s="247" t="s">
        <v>18</v>
      </c>
      <c r="N148" s="494"/>
      <c r="O148" s="237" t="s">
        <v>33</v>
      </c>
      <c r="P148" s="237">
        <v>18</v>
      </c>
      <c r="Q148" s="98">
        <v>49</v>
      </c>
      <c r="R148" s="254">
        <v>22</v>
      </c>
      <c r="S148" s="254">
        <v>15</v>
      </c>
      <c r="T148" s="254"/>
      <c r="U148" s="395">
        <f>405+415</f>
        <v>820</v>
      </c>
      <c r="V148" s="794">
        <v>0</v>
      </c>
      <c r="W148" s="720" t="s">
        <v>2052</v>
      </c>
      <c r="X148" s="277">
        <v>2.62</v>
      </c>
      <c r="Y148" s="447"/>
      <c r="Z148" s="447"/>
      <c r="AA148" s="454">
        <v>67.400000000000006</v>
      </c>
      <c r="AB148" s="271"/>
      <c r="AC148" s="447"/>
      <c r="AD148" s="447"/>
      <c r="AE148" s="447"/>
      <c r="AF148" s="271"/>
      <c r="AG148" s="271"/>
      <c r="AH148" s="271"/>
      <c r="AI148" s="447"/>
      <c r="AJ148" s="447"/>
      <c r="AK148" s="447"/>
      <c r="AL148" s="447"/>
      <c r="AM148" s="447"/>
      <c r="AN148" s="447"/>
      <c r="AO148" s="447"/>
      <c r="AP148" s="447"/>
      <c r="AQ148" s="447"/>
      <c r="AR148" s="447"/>
      <c r="AS148" s="447"/>
      <c r="AT148" s="447"/>
      <c r="AU148" s="446"/>
      <c r="AV148" s="446"/>
      <c r="AW148" s="447"/>
      <c r="AX148" s="447"/>
      <c r="BA148" s="447"/>
      <c r="BB148" s="447"/>
      <c r="BE148" s="452"/>
      <c r="BF148" s="452"/>
      <c r="BG148" s="446"/>
      <c r="BH148" s="446"/>
      <c r="BI148" s="442">
        <v>33.799999999999997</v>
      </c>
      <c r="BJ148" s="452">
        <f>26.3</f>
        <v>26.3</v>
      </c>
      <c r="BK148" s="452"/>
      <c r="BL148" s="452"/>
      <c r="BM148" s="271"/>
      <c r="BN148" s="271"/>
      <c r="BO148" s="271">
        <v>84</v>
      </c>
      <c r="BP148" s="271"/>
      <c r="BQ148" s="444"/>
      <c r="BR148" s="444"/>
      <c r="BS148" s="442"/>
      <c r="BT148" s="442"/>
      <c r="BU148" s="442">
        <v>12</v>
      </c>
      <c r="BV148" s="442">
        <v>1</v>
      </c>
      <c r="BW148" s="442"/>
      <c r="BX148" s="573"/>
      <c r="BY148" s="854"/>
      <c r="BZ148" s="854"/>
      <c r="CA148" s="854"/>
      <c r="CB148" s="854"/>
      <c r="CC148" s="854"/>
      <c r="CD148" s="854"/>
      <c r="CE148" s="854"/>
      <c r="CF148" s="854"/>
      <c r="CG148" s="36"/>
      <c r="CH148" s="419" t="s">
        <v>1629</v>
      </c>
      <c r="CI148" s="406" t="s">
        <v>1627</v>
      </c>
      <c r="CJ148" s="406"/>
      <c r="CK148" s="417" t="s">
        <v>1630</v>
      </c>
      <c r="CL148" s="692"/>
      <c r="CM148" s="700" t="s">
        <v>2519</v>
      </c>
      <c r="CR148" s="845" t="str">
        <f t="shared" si="0"/>
        <v>1999_Kar1</v>
      </c>
      <c r="CS148" s="648" t="str">
        <f t="shared" si="1"/>
        <v>Karnataka: Mysore</v>
      </c>
      <c r="CT148" s="35" t="str">
        <f t="shared" si="5"/>
        <v/>
      </c>
      <c r="CU148" s="23" t="str">
        <f t="shared" si="6"/>
        <v>rural</v>
      </c>
      <c r="CV148" s="23" t="str">
        <f t="shared" si="2"/>
        <v>II</v>
      </c>
      <c r="CW148" s="579" t="str">
        <f t="shared" si="7"/>
        <v/>
      </c>
      <c r="CX148" s="23" t="str">
        <f t="shared" si="8"/>
        <v/>
      </c>
      <c r="CY148" s="35" t="str">
        <f t="shared" si="3"/>
        <v>&gt;18</v>
      </c>
      <c r="CZ148" s="35">
        <f t="shared" si="4"/>
        <v>820</v>
      </c>
      <c r="DA148" s="648" t="str">
        <f t="shared" si="9"/>
        <v>Sethuraman, K., Lansdown R. &amp; Sullivan K. (2006), ‘Women’s empowerment and domestic violence: The role of sociocultural determinants in maternal and child undernutrition in tribal and rural communities in South India’, Food and Nutrition Bulletin, 27(2):128-43.</v>
      </c>
    </row>
    <row r="149" spans="1:105" s="35" customFormat="1" ht="12" customHeight="1" x14ac:dyDescent="0.2">
      <c r="A149" s="651"/>
      <c r="B149" s="537" t="s">
        <v>1699</v>
      </c>
      <c r="C149" s="97" t="s">
        <v>70</v>
      </c>
      <c r="D149" s="169" t="s">
        <v>1125</v>
      </c>
      <c r="E149" s="647" t="s">
        <v>1650</v>
      </c>
      <c r="F149" s="647" t="s">
        <v>2682</v>
      </c>
      <c r="G149" s="479">
        <v>0</v>
      </c>
      <c r="H149" s="186">
        <v>6</v>
      </c>
      <c r="I149" s="37">
        <v>1999</v>
      </c>
      <c r="J149" s="128">
        <v>1999</v>
      </c>
      <c r="K149" s="571">
        <v>2005</v>
      </c>
      <c r="L149" s="493"/>
      <c r="M149" s="237" t="s">
        <v>18</v>
      </c>
      <c r="N149" s="493"/>
      <c r="O149" s="479" t="s">
        <v>799</v>
      </c>
      <c r="P149" s="237">
        <v>15</v>
      </c>
      <c r="Q149" s="237">
        <v>50</v>
      </c>
      <c r="U149" s="393">
        <v>397</v>
      </c>
      <c r="V149" s="694">
        <v>0</v>
      </c>
      <c r="W149" s="711"/>
      <c r="X149" s="277">
        <f>(0*147 + 3.9*397)/(147+397)</f>
        <v>2.846139705882353</v>
      </c>
      <c r="Y149" s="446"/>
      <c r="Z149" s="446"/>
      <c r="AA149" s="446"/>
      <c r="AB149" s="446"/>
      <c r="AC149" s="446"/>
      <c r="AD149" s="446"/>
      <c r="AE149" s="446"/>
      <c r="AF149" s="446"/>
      <c r="AG149" s="446"/>
      <c r="AH149" s="446"/>
      <c r="AI149" s="446"/>
      <c r="AJ149" s="446"/>
      <c r="AK149" s="446"/>
      <c r="AL149" s="446"/>
      <c r="AM149" s="446"/>
      <c r="AN149" s="446"/>
      <c r="AO149" s="446"/>
      <c r="AP149" s="446"/>
      <c r="AQ149" s="446"/>
      <c r="AR149" s="446"/>
      <c r="AS149" s="446"/>
      <c r="AT149" s="446"/>
      <c r="AU149" s="446"/>
      <c r="AV149" s="446"/>
      <c r="AW149" s="446"/>
      <c r="AX149" s="446"/>
      <c r="AY149" s="446"/>
      <c r="AZ149" s="446"/>
      <c r="BA149" s="446"/>
      <c r="BB149" s="446"/>
      <c r="BC149" s="446"/>
      <c r="BD149" s="446"/>
      <c r="BE149" s="442"/>
      <c r="BF149" s="442"/>
      <c r="BG149" s="446"/>
      <c r="BH149" s="446"/>
      <c r="BI149" s="271">
        <v>29</v>
      </c>
      <c r="BJ149" s="442"/>
      <c r="BK149" s="442"/>
      <c r="BL149" s="442"/>
      <c r="BM149" s="442">
        <v>12</v>
      </c>
      <c r="BN149" s="442"/>
      <c r="BO149" s="442"/>
      <c r="BP149" s="442"/>
      <c r="BQ149" s="442">
        <v>34.1</v>
      </c>
      <c r="BR149" s="442"/>
      <c r="BS149" s="442"/>
      <c r="BT149" s="446"/>
      <c r="BU149" s="446"/>
      <c r="BV149" s="442">
        <v>0</v>
      </c>
      <c r="BW149" s="442"/>
      <c r="BX149" s="573"/>
      <c r="BY149" s="854"/>
      <c r="BZ149" s="854"/>
      <c r="CA149" s="854"/>
      <c r="CB149" s="854"/>
      <c r="CC149" s="854"/>
      <c r="CD149" s="854"/>
      <c r="CE149" s="854"/>
      <c r="CF149" s="854"/>
      <c r="CG149" s="169"/>
      <c r="CH149" s="419" t="s">
        <v>1564</v>
      </c>
      <c r="CI149" s="406" t="s">
        <v>1558</v>
      </c>
      <c r="CJ149" s="23"/>
      <c r="CK149" s="417" t="s">
        <v>1651</v>
      </c>
      <c r="CL149" s="572"/>
      <c r="CN149" s="128"/>
      <c r="CO149" s="128"/>
      <c r="CP149" s="128"/>
      <c r="CQ149" s="128"/>
      <c r="CR149" s="845" t="str">
        <f t="shared" si="0"/>
        <v>1999_Kar2</v>
      </c>
      <c r="CS149" s="648" t="str">
        <f t="shared" si="1"/>
        <v>Karnataka: Taluk in central plateau</v>
      </c>
      <c r="CT149" s="35" t="str">
        <f t="shared" si="5"/>
        <v/>
      </c>
      <c r="CU149" s="23" t="str">
        <f t="shared" si="6"/>
        <v>rural</v>
      </c>
      <c r="CV149" s="23" t="str">
        <f t="shared" si="2"/>
        <v>II</v>
      </c>
      <c r="CW149" s="579" t="str">
        <f t="shared" si="7"/>
        <v/>
      </c>
      <c r="CX149" s="23" t="str">
        <f t="shared" si="8"/>
        <v/>
      </c>
      <c r="CY149" s="35" t="str">
        <f t="shared" si="3"/>
        <v>15-50</v>
      </c>
      <c r="CZ149" s="35">
        <f t="shared" si="4"/>
        <v>397</v>
      </c>
      <c r="DA149" s="648" t="str">
        <f t="shared" ref="DA149:DA212" si="10">CK149</f>
        <v xml:space="preserve">Krishnan S. (2005), ‘Gender, Caste, and Economic Inequalities and Marital Violence in Rural South India’, Health Care for Women International, 26(1):87-99. </v>
      </c>
    </row>
    <row r="150" spans="1:105" s="35" customFormat="1" ht="12" customHeight="1" x14ac:dyDescent="0.2">
      <c r="A150" s="537" t="s">
        <v>1753</v>
      </c>
      <c r="C150" s="97" t="s">
        <v>70</v>
      </c>
      <c r="D150" s="169" t="s">
        <v>1125</v>
      </c>
      <c r="E150" s="647" t="s">
        <v>1752</v>
      </c>
      <c r="F150" s="647"/>
      <c r="G150" s="479">
        <v>0</v>
      </c>
      <c r="H150" s="478">
        <v>2</v>
      </c>
      <c r="I150" s="37">
        <v>1999</v>
      </c>
      <c r="J150" s="128">
        <v>1999</v>
      </c>
      <c r="K150" s="571">
        <v>2002</v>
      </c>
      <c r="L150" s="493"/>
      <c r="M150" s="479" t="s">
        <v>78</v>
      </c>
      <c r="N150" s="493" t="s">
        <v>794</v>
      </c>
      <c r="O150" s="237"/>
      <c r="P150" s="237"/>
      <c r="Q150" s="237"/>
      <c r="R150" s="24"/>
      <c r="S150" s="24"/>
      <c r="T150" s="24"/>
      <c r="U150" s="393">
        <v>820</v>
      </c>
      <c r="V150" s="694">
        <v>1</v>
      </c>
      <c r="W150" s="711"/>
      <c r="X150" s="254"/>
      <c r="Y150" s="446"/>
      <c r="Z150" s="446"/>
      <c r="AA150" s="446"/>
      <c r="AB150" s="446"/>
      <c r="AC150" s="446"/>
      <c r="AD150" s="446"/>
      <c r="AE150" s="446"/>
      <c r="AF150" s="446"/>
      <c r="AG150" s="446"/>
      <c r="AH150" s="446"/>
      <c r="AI150" s="446"/>
      <c r="AJ150" s="446"/>
      <c r="AK150" s="446"/>
      <c r="AL150" s="446"/>
      <c r="AM150" s="446"/>
      <c r="AN150" s="446"/>
      <c r="AO150" s="446"/>
      <c r="AP150" s="446"/>
      <c r="AQ150" s="446"/>
      <c r="AR150" s="446"/>
      <c r="AS150" s="446"/>
      <c r="AT150" s="446"/>
      <c r="AU150" s="446"/>
      <c r="AV150" s="446"/>
      <c r="AW150" s="446"/>
      <c r="AX150" s="446"/>
      <c r="AY150" s="446"/>
      <c r="AZ150" s="446"/>
      <c r="BA150" s="446"/>
      <c r="BB150" s="446"/>
      <c r="BC150" s="446"/>
      <c r="BD150" s="446"/>
      <c r="BE150" s="442"/>
      <c r="BF150" s="442"/>
      <c r="BG150" s="446"/>
      <c r="BH150" s="446"/>
      <c r="BI150" s="271"/>
      <c r="BJ150" s="442"/>
      <c r="BK150" s="442"/>
      <c r="BL150" s="442"/>
      <c r="BM150" s="442"/>
      <c r="BN150" s="442"/>
      <c r="BO150" s="442"/>
      <c r="BP150" s="442"/>
      <c r="BQ150" s="442"/>
      <c r="BR150" s="442"/>
      <c r="BS150" s="526">
        <f>100*168/820</f>
        <v>20.487804878048781</v>
      </c>
      <c r="BT150" s="446"/>
      <c r="BU150" s="446"/>
      <c r="BV150" s="445">
        <v>0</v>
      </c>
      <c r="BW150" s="445"/>
      <c r="BX150" s="573"/>
      <c r="BY150" s="854"/>
      <c r="BZ150" s="854"/>
      <c r="CA150" s="854"/>
      <c r="CB150" s="854"/>
      <c r="CC150" s="854"/>
      <c r="CD150" s="854"/>
      <c r="CE150" s="854"/>
      <c r="CF150" s="854"/>
      <c r="CG150" s="169"/>
      <c r="CH150" s="419" t="s">
        <v>1988</v>
      </c>
      <c r="CI150" s="406" t="s">
        <v>1751</v>
      </c>
      <c r="CJ150" s="23"/>
      <c r="CK150" s="417" t="s">
        <v>1754</v>
      </c>
      <c r="CL150" s="572"/>
      <c r="CM150" s="431"/>
      <c r="CN150" s="128"/>
      <c r="CO150" s="128"/>
      <c r="CP150" s="128"/>
      <c r="CQ150" s="128"/>
      <c r="CR150" s="845">
        <f t="shared" si="0"/>
        <v>0</v>
      </c>
      <c r="CS150" s="648" t="str">
        <f t="shared" si="1"/>
        <v xml:space="preserve">Delhi: </v>
      </c>
      <c r="CT150" s="35" t="str">
        <f t="shared" si="5"/>
        <v/>
      </c>
      <c r="CU150" s="23" t="str">
        <f t="shared" si="6"/>
        <v>urban</v>
      </c>
      <c r="CV150" s="23" t="str">
        <f t="shared" si="2"/>
        <v>IV</v>
      </c>
      <c r="CW150" s="579" t="str">
        <f t="shared" si="7"/>
        <v/>
      </c>
      <c r="CX150" s="23" t="str">
        <f t="shared" si="8"/>
        <v/>
      </c>
      <c r="CY150" s="35">
        <f t="shared" si="3"/>
        <v>0</v>
      </c>
      <c r="CZ150" s="35">
        <f t="shared" si="4"/>
        <v>820</v>
      </c>
      <c r="DA150" s="648" t="str">
        <f t="shared" si="10"/>
        <v>Muthal-Rathore A., Tripathi R. &amp; Arora R. (2002), 'Domestic violence against pregnant women interviewed at a hospital in New Delhi', International Journal of Gynecology &amp; Obstetrics 76(1):83-5.</v>
      </c>
    </row>
    <row r="151" spans="1:105" s="35" customFormat="1" ht="12" customHeight="1" x14ac:dyDescent="0.2">
      <c r="A151" s="652" t="s">
        <v>2757</v>
      </c>
      <c r="B151" s="469"/>
      <c r="C151" s="390" t="s">
        <v>70</v>
      </c>
      <c r="D151" s="479" t="s">
        <v>1125</v>
      </c>
      <c r="E151" s="647" t="s">
        <v>14</v>
      </c>
      <c r="F151" s="647"/>
      <c r="G151" s="237"/>
      <c r="H151" s="186"/>
      <c r="I151" s="166" t="s">
        <v>1628</v>
      </c>
      <c r="J151" s="571">
        <v>1999</v>
      </c>
      <c r="K151" s="571">
        <v>2008</v>
      </c>
      <c r="L151" s="494" t="s">
        <v>244</v>
      </c>
      <c r="M151" s="247" t="s">
        <v>1837</v>
      </c>
      <c r="N151" s="494"/>
      <c r="O151" s="247" t="s">
        <v>19</v>
      </c>
      <c r="P151" s="98">
        <v>15</v>
      </c>
      <c r="Q151" s="247">
        <v>49</v>
      </c>
      <c r="R151" s="552">
        <v>31.364162873879973</v>
      </c>
      <c r="S151" s="552"/>
      <c r="T151" s="552"/>
      <c r="U151" s="553">
        <v>90287</v>
      </c>
      <c r="V151" s="794">
        <v>0</v>
      </c>
      <c r="W151" s="712"/>
      <c r="X151" s="552">
        <v>3.9090677449731537</v>
      </c>
      <c r="Y151" s="555"/>
      <c r="Z151" s="555"/>
      <c r="AA151" s="555"/>
      <c r="AB151" s="555"/>
      <c r="AC151" s="555"/>
      <c r="AD151" s="555"/>
      <c r="AE151" s="555"/>
      <c r="AF151" s="555"/>
      <c r="AG151" s="555"/>
      <c r="AH151" s="555"/>
      <c r="AI151" s="555"/>
      <c r="AJ151" s="555"/>
      <c r="AK151" s="555"/>
      <c r="AL151" s="555"/>
      <c r="AM151" s="555"/>
      <c r="AN151" s="555"/>
      <c r="AO151" s="555"/>
      <c r="AP151" s="555"/>
      <c r="AQ151" s="555"/>
      <c r="AR151" s="555"/>
      <c r="AS151" s="555"/>
      <c r="AT151" s="555"/>
      <c r="AU151" s="447"/>
      <c r="AV151" s="447"/>
      <c r="AW151" s="555"/>
      <c r="AX151" s="555"/>
      <c r="AY151" s="452"/>
      <c r="AZ151" s="452"/>
      <c r="BA151" s="555"/>
      <c r="BB151" s="555"/>
      <c r="BC151" s="442">
        <v>18.899999999999999</v>
      </c>
      <c r="BD151" s="452">
        <v>10.3</v>
      </c>
      <c r="BE151" s="552"/>
      <c r="BF151" s="552"/>
      <c r="BG151" s="447"/>
      <c r="BH151" s="447"/>
      <c r="BI151" s="552"/>
      <c r="BJ151" s="552"/>
      <c r="BK151" s="552"/>
      <c r="BL151" s="552"/>
      <c r="BM151" s="555"/>
      <c r="BN151" s="555"/>
      <c r="BO151" s="555"/>
      <c r="BP151" s="555"/>
      <c r="BQ151" s="552"/>
      <c r="BR151" s="42"/>
      <c r="BS151" s="42"/>
      <c r="BT151" s="42"/>
      <c r="BU151" s="42">
        <v>12</v>
      </c>
      <c r="BV151" s="42">
        <v>0</v>
      </c>
      <c r="BW151" s="42"/>
      <c r="BX151" s="573"/>
      <c r="BY151" s="854">
        <v>0.32800000000000001</v>
      </c>
      <c r="BZ151" s="854">
        <v>0.313</v>
      </c>
      <c r="CA151" s="854">
        <v>0.38300000000000001</v>
      </c>
      <c r="CB151" s="854"/>
      <c r="CC151" s="854">
        <v>0.22</v>
      </c>
      <c r="CD151" s="854">
        <v>0.34599999999999997</v>
      </c>
      <c r="CE151" s="854">
        <v>0.54600000000000004</v>
      </c>
      <c r="CF151" s="854"/>
      <c r="CG151" s="97"/>
      <c r="CH151" s="746" t="s">
        <v>2391</v>
      </c>
      <c r="CI151" s="638" t="s">
        <v>2375</v>
      </c>
      <c r="CJ151" s="97"/>
      <c r="CK151" s="647" t="s">
        <v>2392</v>
      </c>
      <c r="CL151" s="469" t="s">
        <v>1841</v>
      </c>
      <c r="CM151" s="647"/>
      <c r="CN151" s="97"/>
      <c r="CO151" s="97"/>
      <c r="CP151" s="97"/>
      <c r="CQ151" s="97"/>
      <c r="CR151" s="845" t="s">
        <v>244</v>
      </c>
      <c r="CS151" s="648" t="str">
        <f t="shared" si="1"/>
        <v xml:space="preserve">national: </v>
      </c>
      <c r="CT151" s="35" t="str">
        <f t="shared" si="5"/>
        <v/>
      </c>
      <c r="CU151" s="23" t="str">
        <f t="shared" si="6"/>
        <v>both</v>
      </c>
      <c r="CV151" s="23" t="str">
        <f t="shared" si="2"/>
        <v xml:space="preserve">III </v>
      </c>
      <c r="CW151" s="579" t="str">
        <f t="shared" si="7"/>
        <v>DHS</v>
      </c>
      <c r="CX151" s="23" t="str">
        <f t="shared" si="8"/>
        <v/>
      </c>
      <c r="CY151" s="35" t="str">
        <f t="shared" si="3"/>
        <v>15-49</v>
      </c>
      <c r="CZ151" s="35">
        <f t="shared" si="4"/>
        <v>90287</v>
      </c>
      <c r="DA151" s="648" t="str">
        <f t="shared" si="10"/>
        <v>Vyas S. &amp; Watts C. (2009), ‘How does economic empowerment affect women's risk of intimate partner violence in low and middle income countries? A systematic review of published evidence’, Journal of International Development 21(5):577-602.</v>
      </c>
    </row>
    <row r="152" spans="1:105" s="35" customFormat="1" ht="12" customHeight="1" thickBot="1" x14ac:dyDescent="0.25">
      <c r="A152" s="651"/>
      <c r="B152" s="537" t="s">
        <v>1771</v>
      </c>
      <c r="C152" s="390" t="s">
        <v>70</v>
      </c>
      <c r="D152" s="36" t="s">
        <v>1125</v>
      </c>
      <c r="E152" s="647" t="s">
        <v>1667</v>
      </c>
      <c r="F152" s="647"/>
      <c r="G152" s="479"/>
      <c r="H152" s="186">
        <v>6</v>
      </c>
      <c r="I152" s="533" t="s">
        <v>74</v>
      </c>
      <c r="J152" s="128">
        <v>1999</v>
      </c>
      <c r="K152" s="571">
        <v>2013</v>
      </c>
      <c r="L152" s="494" t="s">
        <v>244</v>
      </c>
      <c r="M152" s="247" t="s">
        <v>15</v>
      </c>
      <c r="N152" s="494" t="s">
        <v>783</v>
      </c>
      <c r="O152" s="98"/>
      <c r="P152" s="98"/>
      <c r="Q152" s="98">
        <v>39</v>
      </c>
      <c r="R152" s="291">
        <v>26</v>
      </c>
      <c r="S152" s="291"/>
      <c r="T152" s="291"/>
      <c r="U152" s="395">
        <v>4749</v>
      </c>
      <c r="V152" s="794">
        <v>0</v>
      </c>
      <c r="W152" s="720" t="s">
        <v>2022</v>
      </c>
      <c r="X152" s="277">
        <f>0*0.587 + 3*0.136 + 9*0.247 + 15*0.03</f>
        <v>3.0809999999999995</v>
      </c>
      <c r="Y152" s="447"/>
      <c r="Z152" s="447"/>
      <c r="AB152" s="447">
        <v>31</v>
      </c>
      <c r="AC152" s="447"/>
      <c r="AD152" s="447"/>
      <c r="AE152" s="447"/>
      <c r="AF152" s="447"/>
      <c r="AG152" s="447"/>
      <c r="AH152" s="447"/>
      <c r="AI152" s="447"/>
      <c r="AK152" s="447"/>
      <c r="AL152" s="447"/>
      <c r="AM152" s="447"/>
      <c r="AN152" s="447"/>
      <c r="AO152" s="447"/>
      <c r="AP152" s="447"/>
      <c r="AQ152" s="447"/>
      <c r="AR152" s="447"/>
      <c r="AS152" s="447"/>
      <c r="AT152" s="447"/>
      <c r="AU152" s="447"/>
      <c r="AV152" s="447"/>
      <c r="AW152" s="447"/>
      <c r="AX152" s="447"/>
      <c r="AY152" s="442"/>
      <c r="AZ152" s="442"/>
      <c r="BA152" s="447"/>
      <c r="BB152" s="447"/>
      <c r="BC152" s="452">
        <f>8.6+9.5</f>
        <v>18.100000000000001</v>
      </c>
      <c r="BD152" s="442">
        <v>13</v>
      </c>
      <c r="BE152" s="291"/>
      <c r="BF152" s="291"/>
      <c r="BG152" s="447"/>
      <c r="BH152" s="447"/>
      <c r="BI152" s="271"/>
      <c r="BJ152" s="291">
        <v>28</v>
      </c>
      <c r="BK152" s="291"/>
      <c r="BL152" s="291"/>
      <c r="BM152" s="271"/>
      <c r="BN152" s="442">
        <v>6</v>
      </c>
      <c r="BO152" s="271"/>
      <c r="BP152" s="271"/>
      <c r="BQ152" s="444"/>
      <c r="BR152" s="444"/>
      <c r="BS152" s="442"/>
      <c r="BT152" s="291">
        <v>37</v>
      </c>
      <c r="BU152" s="442">
        <v>12</v>
      </c>
      <c r="BV152" s="442">
        <v>0</v>
      </c>
      <c r="BW152" s="442"/>
      <c r="BX152" s="573"/>
      <c r="BY152" s="854"/>
      <c r="BZ152" s="854"/>
      <c r="CB152" s="854"/>
      <c r="CC152" s="854"/>
      <c r="CD152" s="854"/>
      <c r="CE152" s="854"/>
      <c r="CF152" s="854"/>
      <c r="CG152" s="36"/>
      <c r="CH152" s="419" t="s">
        <v>1566</v>
      </c>
      <c r="CI152" s="406" t="s">
        <v>1558</v>
      </c>
      <c r="CJ152" s="406"/>
      <c r="CK152" s="417" t="s">
        <v>1631</v>
      </c>
      <c r="CL152" s="417" t="s">
        <v>1568</v>
      </c>
      <c r="CM152" s="700" t="s">
        <v>1772</v>
      </c>
      <c r="CR152" s="845" t="str">
        <f t="shared" ref="CR152:CR183" si="11">B152</f>
        <v>1999_DHSfollow</v>
      </c>
      <c r="CS152" s="648" t="str">
        <f t="shared" si="1"/>
        <v xml:space="preserve">Bihar, Jharkhand, Maharashtra, TamilNadu: </v>
      </c>
      <c r="CT152" s="35" t="str">
        <f t="shared" si="5"/>
        <v/>
      </c>
      <c r="CU152" s="23" t="str">
        <f t="shared" si="6"/>
        <v>rural</v>
      </c>
      <c r="CV152" s="23" t="str">
        <f t="shared" si="2"/>
        <v>III</v>
      </c>
      <c r="CW152" s="579" t="str">
        <f t="shared" si="7"/>
        <v>DHS</v>
      </c>
      <c r="CX152" s="23" t="str">
        <f t="shared" si="8"/>
        <v>y</v>
      </c>
      <c r="CY152" s="35">
        <f t="shared" si="3"/>
        <v>0</v>
      </c>
      <c r="CZ152" s="35">
        <f t="shared" si="4"/>
        <v>4749</v>
      </c>
      <c r="DA152" s="648" t="str">
        <f t="shared" si="10"/>
        <v>Bourey C., Stephenson R. &amp; Hindin M.J. (2013), ‘Reproduction, Functional autonomy and changing experiences of Intimate Partner Violence within marriage in Rural India’, International Perspectives on Sexual and Reproductive Health, 39(4):215-26, doi: 10.1363/3921513</v>
      </c>
    </row>
    <row r="153" spans="1:105" s="35" customFormat="1" ht="12" customHeight="1" x14ac:dyDescent="0.2">
      <c r="A153" s="651" t="s">
        <v>2674</v>
      </c>
      <c r="B153" s="595" t="s">
        <v>1700</v>
      </c>
      <c r="C153" s="618" t="s">
        <v>70</v>
      </c>
      <c r="D153" s="619" t="s">
        <v>1125</v>
      </c>
      <c r="E153" s="703" t="s">
        <v>1735</v>
      </c>
      <c r="F153" s="705" t="s">
        <v>2025</v>
      </c>
      <c r="G153" s="597"/>
      <c r="H153" s="614"/>
      <c r="I153" s="816">
        <v>2001</v>
      </c>
      <c r="J153" s="821">
        <v>2001</v>
      </c>
      <c r="K153" s="821">
        <v>2002</v>
      </c>
      <c r="L153" s="621" t="s">
        <v>1574</v>
      </c>
      <c r="M153" s="622" t="s">
        <v>289</v>
      </c>
      <c r="N153" s="621"/>
      <c r="O153" s="602"/>
      <c r="P153" s="602"/>
      <c r="Q153" s="602"/>
      <c r="R153" s="643">
        <f>((16+70)/2) - 5</f>
        <v>38</v>
      </c>
      <c r="S153" s="643"/>
      <c r="T153" s="643"/>
      <c r="U153" s="623">
        <f>79+78+93</f>
        <v>250</v>
      </c>
      <c r="V153" s="798">
        <v>0</v>
      </c>
      <c r="W153" s="721"/>
      <c r="X153" s="254"/>
      <c r="Y153" s="447"/>
      <c r="Z153" s="447"/>
      <c r="AA153" s="447">
        <f>(53*78 + 76*157)/(78 + 157)</f>
        <v>68.365957446808508</v>
      </c>
      <c r="AB153" s="447"/>
      <c r="AC153" s="447"/>
      <c r="AD153" s="447"/>
      <c r="AE153" s="447"/>
      <c r="AF153" s="447"/>
      <c r="AG153" s="447"/>
      <c r="AH153" s="447"/>
      <c r="AI153" s="447"/>
      <c r="AJ153" s="447"/>
      <c r="AK153" s="447"/>
      <c r="AL153" s="447"/>
      <c r="AM153" s="447">
        <f>(45*78 + 43*157)/(78 + 157)</f>
        <v>43.663829787234043</v>
      </c>
      <c r="AN153" s="447"/>
      <c r="AO153" s="447"/>
      <c r="AP153" s="447"/>
      <c r="AQ153" s="447"/>
      <c r="AR153" s="447"/>
      <c r="AS153" s="447"/>
      <c r="AT153" s="447"/>
      <c r="AU153" s="447"/>
      <c r="AV153" s="447"/>
      <c r="AW153" s="447"/>
      <c r="AX153" s="447"/>
      <c r="AY153" s="447"/>
      <c r="AZ153" s="447"/>
      <c r="BA153" s="447"/>
      <c r="BB153" s="447"/>
      <c r="BC153" s="447"/>
      <c r="BD153" s="447"/>
      <c r="BE153" s="454"/>
      <c r="BF153" s="454"/>
      <c r="BG153" s="447"/>
      <c r="BH153" s="447"/>
      <c r="BI153" s="454">
        <f>100*(79*0.7 + 93*0.28 + 78*0.22)/(79 + 93 + 78)</f>
        <v>39.4</v>
      </c>
      <c r="BJ153" s="454"/>
      <c r="BK153" s="454"/>
      <c r="BL153" s="454"/>
      <c r="BM153" s="271"/>
      <c r="BN153" s="271"/>
      <c r="BO153" s="271"/>
      <c r="BP153" s="271"/>
      <c r="BQ153" s="444"/>
      <c r="BR153" s="444"/>
      <c r="BS153" s="442"/>
      <c r="BT153" s="442"/>
      <c r="BU153" s="442"/>
      <c r="BV153" s="442">
        <v>0</v>
      </c>
      <c r="BW153" s="442"/>
      <c r="BX153" s="573"/>
      <c r="BY153" s="854"/>
      <c r="BZ153" s="854"/>
      <c r="CA153" s="854"/>
      <c r="CB153" s="854"/>
      <c r="CC153" s="854"/>
      <c r="CD153" s="854"/>
      <c r="CE153" s="854"/>
      <c r="CF153" s="854"/>
      <c r="CG153" s="36"/>
      <c r="CH153" s="419" t="s">
        <v>1575</v>
      </c>
      <c r="CI153" s="406" t="s">
        <v>1571</v>
      </c>
      <c r="CJ153" s="23"/>
      <c r="CK153" s="417" t="s">
        <v>1576</v>
      </c>
      <c r="CL153" s="572"/>
      <c r="CM153" s="648"/>
      <c r="CR153" s="845" t="str">
        <f t="shared" si="11"/>
        <v>2001_PRT</v>
      </c>
      <c r="CS153" s="648" t="str">
        <f t="shared" si="1"/>
        <v>Punjab: Bathinda + Amritsar: rural &amp; semi-urban areas</v>
      </c>
      <c r="CT153" s="35" t="str">
        <f t="shared" si="5"/>
        <v/>
      </c>
      <c r="CU153" s="23" t="str">
        <f t="shared" si="6"/>
        <v>both</v>
      </c>
      <c r="CV153" s="23" t="str">
        <f t="shared" si="2"/>
        <v>VII</v>
      </c>
      <c r="CW153" s="579" t="str">
        <f t="shared" si="7"/>
        <v>ICRW</v>
      </c>
      <c r="CX153" s="23" t="str">
        <f t="shared" si="8"/>
        <v/>
      </c>
      <c r="CY153" s="35">
        <f t="shared" si="3"/>
        <v>0</v>
      </c>
      <c r="CZ153" s="35">
        <f t="shared" si="4"/>
        <v>250</v>
      </c>
      <c r="DA153" s="648" t="str">
        <f t="shared" si="10"/>
        <v>Satish Kumar C., Gupta S.D., Abraham G., Anandhi S., Jeyaranjan J., Dagar R., Abdul Rahman P.K., Duvvury N., Nayak M. &amp; Allendorf K. (2002), ‘Domestic violence in India, part 4: Men, Masculinity and Domestic Violence in India’, International Center for Research on Women.</v>
      </c>
    </row>
    <row r="154" spans="1:105" s="35" customFormat="1" ht="12" customHeight="1" x14ac:dyDescent="0.2">
      <c r="A154" s="651"/>
      <c r="B154" s="605" t="s">
        <v>1700</v>
      </c>
      <c r="C154" s="390" t="s">
        <v>70</v>
      </c>
      <c r="D154" s="36" t="s">
        <v>1125</v>
      </c>
      <c r="E154" s="647" t="s">
        <v>1573</v>
      </c>
      <c r="F154" s="647"/>
      <c r="G154" s="98"/>
      <c r="H154" s="97"/>
      <c r="I154" s="533">
        <v>2001</v>
      </c>
      <c r="J154" s="571">
        <v>2001</v>
      </c>
      <c r="K154" s="571">
        <v>2002</v>
      </c>
      <c r="L154" s="494" t="s">
        <v>1574</v>
      </c>
      <c r="M154" s="247" t="s">
        <v>289</v>
      </c>
      <c r="N154" s="494"/>
      <c r="O154" s="98"/>
      <c r="P154" s="98"/>
      <c r="Q154" s="247"/>
      <c r="R154" s="291">
        <f>((16+70)/2) - 5</f>
        <v>38</v>
      </c>
      <c r="S154" s="291"/>
      <c r="T154" s="291"/>
      <c r="U154" s="170">
        <f>250+485+232</f>
        <v>967</v>
      </c>
      <c r="V154" s="692">
        <v>0</v>
      </c>
      <c r="W154" s="700"/>
      <c r="X154" s="167"/>
      <c r="Y154" s="271"/>
      <c r="Z154" s="454">
        <v>3.3</v>
      </c>
      <c r="AA154" s="454"/>
      <c r="AB154" s="454">
        <v>29.8</v>
      </c>
      <c r="AC154" s="271"/>
      <c r="AD154" s="454">
        <v>16.8</v>
      </c>
      <c r="AE154" s="271"/>
      <c r="AF154" s="454">
        <v>6.3</v>
      </c>
      <c r="AG154" s="454"/>
      <c r="AH154" s="454"/>
      <c r="AI154" s="271"/>
      <c r="AK154" s="454"/>
      <c r="AL154" s="454">
        <v>0.5</v>
      </c>
      <c r="AM154" s="454"/>
      <c r="AN154" s="454">
        <v>29.3</v>
      </c>
      <c r="AO154" s="454"/>
      <c r="AP154" s="454">
        <v>2.6</v>
      </c>
      <c r="AQ154" s="271"/>
      <c r="AR154" s="454">
        <v>8.1999999999999993</v>
      </c>
      <c r="AS154" s="454"/>
      <c r="AT154" s="454"/>
      <c r="AU154" s="454"/>
      <c r="AV154" s="454">
        <v>6.9</v>
      </c>
      <c r="AW154" s="454"/>
      <c r="AX154" s="454">
        <f>0.6+ 0.5</f>
        <v>1.1000000000000001</v>
      </c>
      <c r="AY154" s="452"/>
      <c r="AZ154" s="452">
        <v>15.2</v>
      </c>
      <c r="BA154" s="454"/>
      <c r="BB154" s="454"/>
      <c r="BC154" s="452"/>
      <c r="BD154" s="452">
        <v>6.1</v>
      </c>
      <c r="BE154" s="454"/>
      <c r="BF154" s="786">
        <v>0.3</v>
      </c>
      <c r="BG154" s="454"/>
      <c r="BH154" s="454"/>
      <c r="BJ154" s="454">
        <v>40.1</v>
      </c>
      <c r="BK154" s="454"/>
      <c r="BL154" s="454">
        <v>3</v>
      </c>
      <c r="BM154" s="271"/>
      <c r="BN154" s="454">
        <v>3</v>
      </c>
      <c r="BO154" s="271"/>
      <c r="BP154" s="271">
        <v>5</v>
      </c>
      <c r="BQ154" s="271"/>
      <c r="BR154" s="271"/>
      <c r="BS154" s="271"/>
      <c r="BT154" s="271"/>
      <c r="BU154" s="271">
        <v>12</v>
      </c>
      <c r="BV154" s="454">
        <v>0</v>
      </c>
      <c r="BW154" s="454"/>
      <c r="BX154" s="573"/>
      <c r="BY154" s="854">
        <v>0.76500000000000001</v>
      </c>
      <c r="BZ154" s="855"/>
      <c r="CA154" s="854"/>
      <c r="CB154" s="854">
        <v>0.47799999999999998</v>
      </c>
      <c r="CC154" s="854"/>
      <c r="CD154" s="854"/>
      <c r="CE154" s="854"/>
      <c r="CF154" s="854">
        <v>0.79400000000000004</v>
      </c>
      <c r="CG154" s="36"/>
      <c r="CH154" s="419" t="s">
        <v>1575</v>
      </c>
      <c r="CI154" s="406" t="s">
        <v>1571</v>
      </c>
      <c r="CJ154" s="23"/>
      <c r="CK154" s="417" t="s">
        <v>1576</v>
      </c>
      <c r="CL154" s="572"/>
      <c r="CM154" s="431"/>
      <c r="CN154" s="128"/>
      <c r="CO154" s="128"/>
      <c r="CP154" s="128"/>
      <c r="CQ154" s="128"/>
      <c r="CR154" s="845" t="str">
        <f t="shared" si="11"/>
        <v>2001_PRT</v>
      </c>
      <c r="CS154" s="648" t="str">
        <f t="shared" si="1"/>
        <v xml:space="preserve">Punjab, Rajasthan &amp; TamilNadu: </v>
      </c>
      <c r="CT154" s="35">
        <f t="shared" si="5"/>
        <v>2001</v>
      </c>
      <c r="CU154" s="23" t="str">
        <f t="shared" si="6"/>
        <v>both</v>
      </c>
      <c r="CV154" s="23" t="str">
        <f t="shared" si="2"/>
        <v>VII</v>
      </c>
      <c r="CW154" s="579" t="str">
        <f t="shared" si="7"/>
        <v>ICRW</v>
      </c>
      <c r="CX154" s="23" t="str">
        <f t="shared" si="8"/>
        <v/>
      </c>
      <c r="CY154" s="35">
        <f t="shared" si="3"/>
        <v>0</v>
      </c>
      <c r="CZ154" s="35">
        <f t="shared" si="4"/>
        <v>967</v>
      </c>
      <c r="DA154" s="648" t="str">
        <f t="shared" si="10"/>
        <v>Satish Kumar C., Gupta S.D., Abraham G., Anandhi S., Jeyaranjan J., Dagar R., Abdul Rahman P.K., Duvvury N., Nayak M. &amp; Allendorf K. (2002), ‘Domestic violence in India, part 4: Men, Masculinity and Domestic Violence in India’, International Center for Research on Women.</v>
      </c>
    </row>
    <row r="155" spans="1:105" s="35" customFormat="1" ht="12" customHeight="1" x14ac:dyDescent="0.2">
      <c r="A155" s="651" t="s">
        <v>2674</v>
      </c>
      <c r="B155" s="605" t="s">
        <v>1700</v>
      </c>
      <c r="C155" s="390" t="s">
        <v>70</v>
      </c>
      <c r="D155" s="36" t="s">
        <v>1125</v>
      </c>
      <c r="E155" s="647" t="s">
        <v>1734</v>
      </c>
      <c r="F155" s="494" t="s">
        <v>2027</v>
      </c>
      <c r="G155" s="237"/>
      <c r="H155" s="186"/>
      <c r="I155" s="533">
        <v>2001</v>
      </c>
      <c r="J155" s="571">
        <v>2001</v>
      </c>
      <c r="K155" s="571">
        <v>2002</v>
      </c>
      <c r="L155" s="494" t="s">
        <v>1574</v>
      </c>
      <c r="M155" s="247" t="s">
        <v>289</v>
      </c>
      <c r="N155" s="494"/>
      <c r="O155" s="98"/>
      <c r="P155" s="98"/>
      <c r="Q155" s="98"/>
      <c r="R155" s="291">
        <f>((16+70)/2) - 5</f>
        <v>38</v>
      </c>
      <c r="S155" s="291"/>
      <c r="T155" s="291"/>
      <c r="U155" s="395">
        <v>486</v>
      </c>
      <c r="V155" s="794">
        <v>0</v>
      </c>
      <c r="W155" s="712"/>
      <c r="X155" s="254"/>
      <c r="Y155" s="447"/>
      <c r="Z155" s="447"/>
      <c r="AA155" s="447"/>
      <c r="AB155" s="447"/>
      <c r="AC155" s="447"/>
      <c r="AD155" s="447"/>
      <c r="AE155" s="447"/>
      <c r="AF155" s="447"/>
      <c r="AG155" s="447"/>
      <c r="AH155" s="447"/>
      <c r="AI155" s="447"/>
      <c r="AJ155" s="447"/>
      <c r="AK155" s="447"/>
      <c r="AL155" s="447"/>
      <c r="AM155" s="447"/>
      <c r="AN155" s="447"/>
      <c r="AO155" s="447"/>
      <c r="AP155" s="447"/>
      <c r="AQ155" s="447"/>
      <c r="AR155" s="447"/>
      <c r="AS155" s="447"/>
      <c r="AT155" s="447"/>
      <c r="AU155" s="447"/>
      <c r="AV155" s="447"/>
      <c r="AW155" s="447"/>
      <c r="AX155" s="447"/>
      <c r="AY155" s="447"/>
      <c r="AZ155" s="447"/>
      <c r="BA155" s="447"/>
      <c r="BB155" s="447"/>
      <c r="BC155" s="447"/>
      <c r="BD155" s="447"/>
      <c r="BE155" s="271"/>
      <c r="BF155" s="271"/>
      <c r="BG155" s="447"/>
      <c r="BH155" s="447"/>
      <c r="BI155" s="454">
        <v>37.4</v>
      </c>
      <c r="BJ155" s="271"/>
      <c r="BK155" s="271"/>
      <c r="BL155" s="271"/>
      <c r="BM155" s="271"/>
      <c r="BN155" s="271"/>
      <c r="BO155" s="271"/>
      <c r="BP155" s="271"/>
      <c r="BQ155" s="444"/>
      <c r="BR155" s="444"/>
      <c r="BS155" s="442"/>
      <c r="BT155" s="442"/>
      <c r="BU155" s="442"/>
      <c r="BV155" s="442">
        <v>0</v>
      </c>
      <c r="BW155" s="442"/>
      <c r="BX155" s="573"/>
      <c r="BY155" s="854"/>
      <c r="BZ155" s="854"/>
      <c r="CA155" s="854"/>
      <c r="CB155" s="854"/>
      <c r="CC155" s="854"/>
      <c r="CD155" s="854"/>
      <c r="CE155" s="854"/>
      <c r="CF155" s="854"/>
      <c r="CG155" s="36"/>
      <c r="CH155" s="419" t="s">
        <v>1575</v>
      </c>
      <c r="CI155" s="406" t="s">
        <v>1571</v>
      </c>
      <c r="CJ155" s="23"/>
      <c r="CK155" s="417" t="s">
        <v>1576</v>
      </c>
      <c r="CL155" s="572"/>
      <c r="CM155" s="648"/>
      <c r="CR155" s="845" t="str">
        <f t="shared" si="11"/>
        <v>2001_PRT</v>
      </c>
      <c r="CS155" s="648" t="str">
        <f t="shared" si="1"/>
        <v>Rajasthan: rural Churu &amp; urban Bhilwara</v>
      </c>
      <c r="CT155" s="35" t="str">
        <f t="shared" si="5"/>
        <v/>
      </c>
      <c r="CU155" s="23" t="str">
        <f t="shared" si="6"/>
        <v>both</v>
      </c>
      <c r="CV155" s="23" t="str">
        <f t="shared" si="2"/>
        <v>VII</v>
      </c>
      <c r="CW155" s="579" t="str">
        <f t="shared" si="7"/>
        <v>ICRW</v>
      </c>
      <c r="CX155" s="23" t="str">
        <f t="shared" si="8"/>
        <v/>
      </c>
      <c r="CY155" s="35">
        <f t="shared" si="3"/>
        <v>0</v>
      </c>
      <c r="CZ155" s="35">
        <f t="shared" si="4"/>
        <v>486</v>
      </c>
      <c r="DA155" s="648" t="str">
        <f t="shared" si="10"/>
        <v>Satish Kumar C., Gupta S.D., Abraham G., Anandhi S., Jeyaranjan J., Dagar R., Abdul Rahman P.K., Duvvury N., Nayak M. &amp; Allendorf K. (2002), ‘Domestic violence in India, part 4: Men, Masculinity and Domestic Violence in India’, International Center for Research on Women.</v>
      </c>
    </row>
    <row r="156" spans="1:105" s="35" customFormat="1" ht="12" customHeight="1" thickBot="1" x14ac:dyDescent="0.25">
      <c r="A156" s="651" t="s">
        <v>2674</v>
      </c>
      <c r="B156" s="540" t="s">
        <v>1700</v>
      </c>
      <c r="C156" s="624" t="s">
        <v>70</v>
      </c>
      <c r="D156" s="625" t="s">
        <v>1125</v>
      </c>
      <c r="E156" s="704" t="s">
        <v>211</v>
      </c>
      <c r="F156" s="704" t="s">
        <v>2026</v>
      </c>
      <c r="G156" s="522">
        <v>0</v>
      </c>
      <c r="H156" s="319">
        <v>6</v>
      </c>
      <c r="I156" s="817">
        <v>2001</v>
      </c>
      <c r="J156" s="822">
        <v>2001</v>
      </c>
      <c r="K156" s="822">
        <v>2002</v>
      </c>
      <c r="L156" s="627" t="s">
        <v>1574</v>
      </c>
      <c r="M156" s="607" t="s">
        <v>289</v>
      </c>
      <c r="N156" s="627"/>
      <c r="O156" s="608" t="s">
        <v>2438</v>
      </c>
      <c r="P156" s="608">
        <v>17</v>
      </c>
      <c r="Q156" s="608">
        <v>60</v>
      </c>
      <c r="R156" s="609"/>
      <c r="S156" s="609"/>
      <c r="T156" s="609"/>
      <c r="U156" s="628">
        <v>235</v>
      </c>
      <c r="V156" s="802">
        <v>0</v>
      </c>
      <c r="W156" s="806"/>
      <c r="X156" s="254"/>
      <c r="Y156" s="447"/>
      <c r="Z156" s="447"/>
      <c r="AA156" s="447"/>
      <c r="AB156" s="447"/>
      <c r="AC156" s="447"/>
      <c r="AD156" s="447"/>
      <c r="AE156" s="447"/>
      <c r="AF156" s="447"/>
      <c r="AG156" s="447"/>
      <c r="AH156" s="447"/>
      <c r="AI156" s="447"/>
      <c r="AJ156" s="447"/>
      <c r="AK156" s="447"/>
      <c r="AL156" s="447"/>
      <c r="AM156" s="447"/>
      <c r="AN156" s="447"/>
      <c r="AO156" s="447"/>
      <c r="AP156" s="447"/>
      <c r="AQ156" s="447"/>
      <c r="AR156" s="447"/>
      <c r="AS156" s="447"/>
      <c r="AT156" s="447"/>
      <c r="AU156" s="447"/>
      <c r="AV156" s="447"/>
      <c r="AW156" s="447"/>
      <c r="AX156" s="447"/>
      <c r="AY156" s="447"/>
      <c r="AZ156" s="447"/>
      <c r="BA156" s="447"/>
      <c r="BB156" s="447"/>
      <c r="BC156" s="447"/>
      <c r="BD156" s="447"/>
      <c r="BE156" s="454"/>
      <c r="BF156" s="454"/>
      <c r="BG156" s="447"/>
      <c r="BH156" s="447"/>
      <c r="BI156" s="454"/>
      <c r="BJ156" s="454"/>
      <c r="BK156" s="454"/>
      <c r="BL156" s="454"/>
      <c r="BM156" s="271"/>
      <c r="BN156" s="271"/>
      <c r="BO156" s="271"/>
      <c r="BP156" s="271"/>
      <c r="BQ156" s="444"/>
      <c r="BR156" s="444"/>
      <c r="BS156" s="442"/>
      <c r="BT156" s="442"/>
      <c r="BU156" s="442"/>
      <c r="BV156" s="442">
        <v>0</v>
      </c>
      <c r="BW156" s="442"/>
      <c r="BX156" s="573"/>
      <c r="BY156" s="854"/>
      <c r="BZ156" s="854"/>
      <c r="CA156" s="854"/>
      <c r="CB156" s="854"/>
      <c r="CC156" s="854"/>
      <c r="CD156" s="854"/>
      <c r="CE156" s="854"/>
      <c r="CF156" s="854"/>
      <c r="CG156" s="36"/>
      <c r="CH156" s="419" t="s">
        <v>1575</v>
      </c>
      <c r="CI156" s="406" t="s">
        <v>1571</v>
      </c>
      <c r="CJ156" s="23"/>
      <c r="CK156" s="417" t="s">
        <v>1576</v>
      </c>
      <c r="CL156" s="572"/>
      <c r="CM156" s="648"/>
      <c r="CR156" s="845" t="str">
        <f t="shared" si="11"/>
        <v>2001_PRT</v>
      </c>
      <c r="CS156" s="648" t="str">
        <f t="shared" si="1"/>
        <v>Tamil Nadu: Thirunur village, Chengalpattu district</v>
      </c>
      <c r="CT156" s="35" t="str">
        <f t="shared" si="5"/>
        <v/>
      </c>
      <c r="CU156" s="23" t="str">
        <f t="shared" si="6"/>
        <v>rural</v>
      </c>
      <c r="CV156" s="23" t="str">
        <f t="shared" si="2"/>
        <v>VII</v>
      </c>
      <c r="CW156" s="579" t="str">
        <f t="shared" si="7"/>
        <v>ICRW</v>
      </c>
      <c r="CX156" s="23" t="str">
        <f t="shared" si="8"/>
        <v/>
      </c>
      <c r="CY156" s="35" t="str">
        <f t="shared" si="3"/>
        <v>17-60</v>
      </c>
      <c r="CZ156" s="35">
        <f t="shared" si="4"/>
        <v>235</v>
      </c>
      <c r="DA156" s="648" t="str">
        <f t="shared" si="10"/>
        <v>Satish Kumar C., Gupta S.D., Abraham G., Anandhi S., Jeyaranjan J., Dagar R., Abdul Rahman P.K., Duvvury N., Nayak M. &amp; Allendorf K. (2002), ‘Domestic violence in India, part 4: Men, Masculinity and Domestic Violence in India’, International Center for Research on Women.</v>
      </c>
    </row>
    <row r="157" spans="1:105" s="35" customFormat="1" ht="12" customHeight="1" x14ac:dyDescent="0.2">
      <c r="A157" s="537"/>
      <c r="B157" s="537" t="s">
        <v>1940</v>
      </c>
      <c r="C157" s="390" t="s">
        <v>70</v>
      </c>
      <c r="D157" s="36" t="s">
        <v>1125</v>
      </c>
      <c r="E157" s="647" t="s">
        <v>1884</v>
      </c>
      <c r="F157" s="647" t="s">
        <v>1941</v>
      </c>
      <c r="G157" s="237">
        <v>0</v>
      </c>
      <c r="H157" s="186"/>
      <c r="I157" s="533">
        <v>2001</v>
      </c>
      <c r="J157" s="571">
        <v>2001</v>
      </c>
      <c r="K157" s="571">
        <v>2003</v>
      </c>
      <c r="L157" s="494" t="s">
        <v>245</v>
      </c>
      <c r="M157" s="247" t="s">
        <v>15</v>
      </c>
      <c r="N157" s="493" t="s">
        <v>1950</v>
      </c>
      <c r="O157" s="98" t="s">
        <v>19</v>
      </c>
      <c r="P157" s="98">
        <v>15</v>
      </c>
      <c r="Q157" s="98">
        <v>49</v>
      </c>
      <c r="R157" s="121">
        <v>32.700000000000003</v>
      </c>
      <c r="S157" s="121"/>
      <c r="T157" s="121">
        <v>12</v>
      </c>
      <c r="U157" s="395">
        <v>502</v>
      </c>
      <c r="V157" s="794">
        <v>0</v>
      </c>
      <c r="W157" s="712"/>
      <c r="X157" s="277">
        <f>0*0.042 + 3*0.114 + 9*0.625 + 15*0.219</f>
        <v>9.2519999999999989</v>
      </c>
      <c r="Y157" s="447">
        <f>14.3+32.7</f>
        <v>47</v>
      </c>
      <c r="Z157" s="447">
        <f>9+10.4</f>
        <v>19.399999999999999</v>
      </c>
      <c r="AA157" s="447"/>
      <c r="AB157" s="447">
        <v>49</v>
      </c>
      <c r="AC157" s="447">
        <f>15.9+47</f>
        <v>62.9</v>
      </c>
      <c r="AD157" s="447">
        <f>20.3+24.4</f>
        <v>44.7</v>
      </c>
      <c r="AE157" s="447">
        <f>3.6+29.5</f>
        <v>33.1</v>
      </c>
      <c r="AF157" s="447">
        <f>1.6+9.7</f>
        <v>11.299999999999999</v>
      </c>
      <c r="AG157" s="447"/>
      <c r="AH157" s="447"/>
      <c r="AI157" s="532">
        <f>100*1/502</f>
        <v>0.19920318725099601</v>
      </c>
      <c r="AJ157" s="532">
        <f>100*1/502</f>
        <v>0.19920318725099601</v>
      </c>
      <c r="AK157" s="447"/>
      <c r="AL157" s="447"/>
      <c r="AM157" s="447">
        <f>16.7+17.9</f>
        <v>34.599999999999994</v>
      </c>
      <c r="AN157" s="447">
        <f>11.5+10.4</f>
        <v>21.9</v>
      </c>
      <c r="AO157" s="447"/>
      <c r="AP157" s="637"/>
      <c r="AQ157" s="447"/>
      <c r="AR157" s="447"/>
      <c r="AS157" s="447"/>
      <c r="AT157" s="447"/>
      <c r="AU157" s="447">
        <f>8.8+14.5</f>
        <v>23.3</v>
      </c>
      <c r="AV157" s="447">
        <f>3.2+9.7</f>
        <v>12.899999999999999</v>
      </c>
      <c r="AW157" s="447"/>
      <c r="AX157" s="447"/>
      <c r="AY157" s="636">
        <f>16.3+16.3</f>
        <v>32.6</v>
      </c>
      <c r="AZ157" s="447">
        <f>5.9+10.6</f>
        <v>16.5</v>
      </c>
      <c r="BA157" s="447"/>
      <c r="BB157" s="447"/>
      <c r="BC157" s="447">
        <f>12.5+20.3</f>
        <v>32.799999999999997</v>
      </c>
      <c r="BD157" s="447">
        <f>12.9+10.2</f>
        <v>23.1</v>
      </c>
      <c r="BE157" s="454"/>
      <c r="BF157" s="454"/>
      <c r="BG157" s="447"/>
      <c r="BH157" s="447"/>
      <c r="BI157" s="454">
        <v>35.700000000000003</v>
      </c>
      <c r="BJ157" s="454"/>
      <c r="BK157" s="454"/>
      <c r="BL157" s="454"/>
      <c r="BM157" s="271"/>
      <c r="BO157" s="271"/>
      <c r="BP157" s="454">
        <f>9.3+5.4</f>
        <v>14.700000000000001</v>
      </c>
      <c r="BQ157" s="444"/>
      <c r="BR157" s="444"/>
      <c r="BS157" s="442">
        <v>64.900000000000006</v>
      </c>
      <c r="BT157" s="442"/>
      <c r="BU157" s="442">
        <v>12</v>
      </c>
      <c r="BV157" s="442">
        <v>0</v>
      </c>
      <c r="BW157" s="442"/>
      <c r="BX157" s="573">
        <f>0.11*BI157/100</f>
        <v>3.9270000000000006E-2</v>
      </c>
      <c r="BY157" s="854"/>
      <c r="BZ157" s="854"/>
      <c r="CA157" s="854"/>
      <c r="CB157" s="854"/>
      <c r="CC157" s="854"/>
      <c r="CD157" s="854"/>
      <c r="CE157" s="854"/>
      <c r="CF157" s="854"/>
      <c r="CG157" s="36"/>
      <c r="CH157" s="419" t="s">
        <v>1943</v>
      </c>
      <c r="CI157" s="406" t="s">
        <v>1933</v>
      </c>
      <c r="CJ157" s="23"/>
      <c r="CK157" s="417" t="s">
        <v>1942</v>
      </c>
      <c r="CL157" s="417"/>
      <c r="CM157" s="131" t="s">
        <v>2349</v>
      </c>
      <c r="CN157" s="417" t="s">
        <v>2350</v>
      </c>
      <c r="CR157" s="845" t="str">
        <f t="shared" si="11"/>
        <v>2001_Ker</v>
      </c>
      <c r="CS157" s="648" t="str">
        <f t="shared" si="1"/>
        <v>Kerala: Thiruvananthapuram</v>
      </c>
      <c r="CT157" s="35">
        <f t="shared" si="5"/>
        <v>2001</v>
      </c>
      <c r="CU157" s="23" t="str">
        <f t="shared" si="6"/>
        <v>both</v>
      </c>
      <c r="CV157" s="23" t="str">
        <f t="shared" si="2"/>
        <v>III</v>
      </c>
      <c r="CW157" s="579" t="str">
        <f t="shared" si="7"/>
        <v>INCLEN</v>
      </c>
      <c r="CX157" s="23" t="str">
        <f t="shared" si="8"/>
        <v/>
      </c>
      <c r="CY157" s="35" t="str">
        <f t="shared" si="3"/>
        <v>15-49</v>
      </c>
      <c r="CZ157" s="35">
        <f t="shared" si="4"/>
        <v>502</v>
      </c>
      <c r="DA157" s="648" t="str">
        <f t="shared" si="10"/>
        <v>Panda P.K. (2004), ‘Domestic violence against women in Kerala’, Discussion Paper, Kerala Research Programme on Local Level Development, Centre for Development Studies.</v>
      </c>
    </row>
    <row r="158" spans="1:105" s="35" customFormat="1" ht="12" customHeight="1" x14ac:dyDescent="0.2">
      <c r="A158" s="537"/>
      <c r="B158" s="537" t="s">
        <v>2315</v>
      </c>
      <c r="C158" s="390" t="s">
        <v>70</v>
      </c>
      <c r="D158" s="36" t="s">
        <v>1125</v>
      </c>
      <c r="E158" s="647" t="s">
        <v>1644</v>
      </c>
      <c r="F158" s="647" t="s">
        <v>2316</v>
      </c>
      <c r="G158" s="237">
        <v>1</v>
      </c>
      <c r="H158" s="478">
        <v>2</v>
      </c>
      <c r="I158" s="533">
        <v>2001</v>
      </c>
      <c r="J158" s="571">
        <v>2001</v>
      </c>
      <c r="K158" s="571">
        <v>2004</v>
      </c>
      <c r="L158" s="494"/>
      <c r="M158" s="247" t="s">
        <v>15</v>
      </c>
      <c r="N158" s="493"/>
      <c r="O158" s="98" t="s">
        <v>19</v>
      </c>
      <c r="P158" s="98">
        <v>15</v>
      </c>
      <c r="Q158" s="98">
        <v>49</v>
      </c>
      <c r="R158" s="121">
        <v>33</v>
      </c>
      <c r="S158" s="121">
        <v>17.600000000000001</v>
      </c>
      <c r="T158" s="121">
        <v>16.5</v>
      </c>
      <c r="U158" s="395">
        <v>424</v>
      </c>
      <c r="V158" s="794">
        <v>0</v>
      </c>
      <c r="W158" s="712"/>
      <c r="X158" s="277">
        <f>0*0.321 + 3*0.12 + 9*0.382 + 12*0.177</f>
        <v>5.9219999999999997</v>
      </c>
      <c r="Y158" s="447"/>
      <c r="Z158" s="447"/>
      <c r="AA158" s="447">
        <v>61.3</v>
      </c>
      <c r="AB158" s="447">
        <v>15.6</v>
      </c>
      <c r="AC158" s="447"/>
      <c r="AD158" s="447"/>
      <c r="AE158" s="447"/>
      <c r="AF158" s="447"/>
      <c r="AG158" s="447"/>
      <c r="AH158" s="447"/>
      <c r="AI158" s="447"/>
      <c r="AJ158" s="532"/>
      <c r="AK158" s="447"/>
      <c r="AL158" s="447"/>
      <c r="AM158" s="447"/>
      <c r="AN158" s="447"/>
      <c r="AO158" s="447"/>
      <c r="AP158" s="447"/>
      <c r="AQ158" s="447"/>
      <c r="AR158" s="447"/>
      <c r="AS158" s="447"/>
      <c r="AT158" s="447"/>
      <c r="AU158" s="447"/>
      <c r="AV158" s="447"/>
      <c r="AW158" s="447"/>
      <c r="AX158" s="447"/>
      <c r="AY158" s="447"/>
      <c r="AZ158" s="447"/>
      <c r="BA158" s="447"/>
      <c r="BB158" s="447"/>
      <c r="BC158" s="447"/>
      <c r="BD158" s="447"/>
      <c r="BE158" s="38"/>
      <c r="BF158" s="38"/>
      <c r="BG158" s="447"/>
      <c r="BH158" s="447"/>
      <c r="BI158" s="559">
        <v>32.799999999999997</v>
      </c>
      <c r="BJ158" s="38">
        <v>9.6999999999999993</v>
      </c>
      <c r="BK158" s="38">
        <v>24.8</v>
      </c>
      <c r="BL158" s="38">
        <v>7.5</v>
      </c>
      <c r="BM158" s="271"/>
      <c r="BN158" s="454"/>
      <c r="BO158" s="271"/>
      <c r="BP158" s="271"/>
      <c r="BQ158" s="444"/>
      <c r="BR158" s="444"/>
      <c r="BS158" s="454">
        <v>63.9</v>
      </c>
      <c r="BT158" s="454">
        <v>17.100000000000001</v>
      </c>
      <c r="BU158" s="442">
        <v>12</v>
      </c>
      <c r="BV158" s="442">
        <v>1</v>
      </c>
      <c r="BW158" s="442">
        <v>58.3</v>
      </c>
      <c r="BX158" s="573">
        <f>7/(424*0.328)</f>
        <v>5.0333640128854121E-2</v>
      </c>
      <c r="BY158" s="854"/>
      <c r="BZ158" s="854"/>
      <c r="CA158" s="854"/>
      <c r="CB158" s="854"/>
      <c r="CC158" s="854"/>
      <c r="CD158" s="854"/>
      <c r="CE158" s="854"/>
      <c r="CF158" s="854"/>
      <c r="CG158" s="36"/>
      <c r="CH158" s="419" t="s">
        <v>2317</v>
      </c>
      <c r="CI158" s="406" t="s">
        <v>2318</v>
      </c>
      <c r="CJ158" s="23"/>
      <c r="CK158" s="417" t="s">
        <v>2319</v>
      </c>
      <c r="CL158" s="417"/>
      <c r="CM158" s="648"/>
      <c r="CR158" s="845" t="str">
        <f t="shared" si="11"/>
        <v>2001_Mum</v>
      </c>
      <c r="CS158" s="648" t="str">
        <f t="shared" si="1"/>
        <v>Mumbai: slums</v>
      </c>
      <c r="CT158" s="35" t="str">
        <f t="shared" si="5"/>
        <v/>
      </c>
      <c r="CU158" s="23" t="str">
        <f t="shared" si="6"/>
        <v>urban</v>
      </c>
      <c r="CV158" s="23" t="str">
        <f t="shared" si="2"/>
        <v>III</v>
      </c>
      <c r="CW158" s="579" t="str">
        <f t="shared" si="7"/>
        <v/>
      </c>
      <c r="CX158" s="23" t="str">
        <f t="shared" si="8"/>
        <v/>
      </c>
      <c r="CY158" s="35" t="str">
        <f t="shared" si="3"/>
        <v>15-49</v>
      </c>
      <c r="CZ158" s="35">
        <f t="shared" si="4"/>
        <v>424</v>
      </c>
      <c r="DA158" s="648" t="str">
        <f t="shared" si="10"/>
        <v>Khot A., Menon S. &amp; Dilip T.R. (2004), ‘Domestic violence: levels, correlates, causes, impact and response: a community based study of married women from Mumbai slums’, Centre for Enquiry into Health and Allied Themes: Mumbai.</v>
      </c>
    </row>
    <row r="159" spans="1:105" s="35" customFormat="1" ht="12" customHeight="1" x14ac:dyDescent="0.2">
      <c r="A159" s="651"/>
      <c r="B159" s="537" t="s">
        <v>1732</v>
      </c>
      <c r="C159" s="390" t="s">
        <v>70</v>
      </c>
      <c r="D159" s="36" t="s">
        <v>1125</v>
      </c>
      <c r="E159" s="665" t="s">
        <v>14</v>
      </c>
      <c r="F159" s="665" t="s">
        <v>2061</v>
      </c>
      <c r="G159" s="480">
        <v>0</v>
      </c>
      <c r="H159" s="186">
        <v>2</v>
      </c>
      <c r="I159" s="533">
        <v>2002</v>
      </c>
      <c r="J159" s="128">
        <v>2002</v>
      </c>
      <c r="K159" s="571">
        <v>2013</v>
      </c>
      <c r="L159" s="494" t="s">
        <v>628</v>
      </c>
      <c r="M159" s="247" t="s">
        <v>18</v>
      </c>
      <c r="N159" s="494" t="s">
        <v>628</v>
      </c>
      <c r="O159" s="479" t="s">
        <v>1864</v>
      </c>
      <c r="P159" s="98">
        <v>15</v>
      </c>
      <c r="Q159" s="247">
        <v>82</v>
      </c>
      <c r="R159" s="291">
        <v>38</v>
      </c>
      <c r="S159" s="291"/>
      <c r="T159" s="291"/>
      <c r="U159" s="170">
        <v>1574</v>
      </c>
      <c r="V159" s="692">
        <v>0</v>
      </c>
      <c r="W159" s="700" t="s">
        <v>2058</v>
      </c>
      <c r="X159" s="810">
        <v>8</v>
      </c>
      <c r="Y159" s="271"/>
      <c r="Z159" s="454"/>
      <c r="AA159" s="454"/>
      <c r="AB159" s="454"/>
      <c r="AC159" s="271"/>
      <c r="AD159" s="454"/>
      <c r="AE159" s="271"/>
      <c r="AF159" s="454"/>
      <c r="AG159" s="454"/>
      <c r="AH159" s="454"/>
      <c r="AI159" s="271"/>
      <c r="AJ159" s="271"/>
      <c r="AK159" s="454"/>
      <c r="AL159" s="454"/>
      <c r="AM159" s="454"/>
      <c r="AN159" s="454"/>
      <c r="AO159" s="454"/>
      <c r="AP159" s="454"/>
      <c r="AQ159" s="271"/>
      <c r="AR159" s="454"/>
      <c r="AS159" s="454"/>
      <c r="AT159" s="454"/>
      <c r="AU159" s="454"/>
      <c r="AV159" s="454"/>
      <c r="AW159" s="454"/>
      <c r="AX159" s="454"/>
      <c r="AY159" s="454"/>
      <c r="AZ159" s="454"/>
      <c r="BA159" s="454"/>
      <c r="BB159" s="454"/>
      <c r="BC159" s="454">
        <f>11.9*(0.84)</f>
        <v>9.9960000000000004</v>
      </c>
      <c r="BD159" s="454"/>
      <c r="BE159" s="454"/>
      <c r="BF159" s="454"/>
      <c r="BG159" s="454"/>
      <c r="BH159" s="454"/>
      <c r="BJ159" s="454"/>
      <c r="BK159" s="454"/>
      <c r="BL159" s="454"/>
      <c r="BM159" s="271"/>
      <c r="BN159" s="454"/>
      <c r="BO159" s="271"/>
      <c r="BP159" s="271"/>
      <c r="BQ159" s="271"/>
      <c r="BR159" s="271"/>
      <c r="BS159" s="271"/>
      <c r="BT159" s="271"/>
      <c r="BU159" s="271"/>
      <c r="BV159" s="454">
        <v>0</v>
      </c>
      <c r="BW159" s="454"/>
      <c r="BX159" s="573"/>
      <c r="BY159" s="854"/>
      <c r="BZ159" s="854"/>
      <c r="CA159" s="854"/>
      <c r="CB159" s="854"/>
      <c r="CC159" s="854"/>
      <c r="CD159" s="854"/>
      <c r="CE159" s="854"/>
      <c r="CF159" s="854"/>
      <c r="CG159" s="36"/>
      <c r="CH159" s="419"/>
      <c r="CI159" s="406"/>
      <c r="CJ159" s="23"/>
      <c r="CK159" s="417" t="s">
        <v>2173</v>
      </c>
      <c r="CL159" s="572"/>
      <c r="CM159" s="431"/>
      <c r="CN159" s="128"/>
      <c r="CO159" s="128"/>
      <c r="CP159" s="128"/>
      <c r="CQ159" s="128"/>
      <c r="CR159" s="845" t="str">
        <f t="shared" si="11"/>
        <v>2002_WAS</v>
      </c>
      <c r="CS159" s="648" t="str">
        <f t="shared" si="1"/>
        <v>national: Patna, Delhi, Kochi, Mumbai, Chennai, Kolkota</v>
      </c>
      <c r="CT159" s="35" t="str">
        <f t="shared" si="5"/>
        <v/>
      </c>
      <c r="CU159" s="23" t="str">
        <f t="shared" si="6"/>
        <v>urban</v>
      </c>
      <c r="CV159" s="23" t="str">
        <f t="shared" si="2"/>
        <v>II</v>
      </c>
      <c r="CW159" s="579" t="str">
        <f t="shared" si="7"/>
        <v>WAS</v>
      </c>
      <c r="CX159" s="23" t="str">
        <f t="shared" si="8"/>
        <v/>
      </c>
      <c r="CY159" s="35" t="str">
        <f t="shared" si="3"/>
        <v>15-82</v>
      </c>
      <c r="CZ159" s="35">
        <f t="shared" si="4"/>
        <v>1574</v>
      </c>
      <c r="DA159" s="648" t="str">
        <f t="shared" si="10"/>
        <v>Simister J. (2013), ‘Is Men's Share of Housework Reduced by "Gender Deviance Neutralization?": Evidence from Seven Countries’, Journal of Comparative Family Studies, 44 (3): 311-25.</v>
      </c>
    </row>
    <row r="160" spans="1:105" s="35" customFormat="1" ht="12" customHeight="1" x14ac:dyDescent="0.2">
      <c r="A160" s="651"/>
      <c r="B160" s="537" t="s">
        <v>1701</v>
      </c>
      <c r="C160" s="390" t="s">
        <v>70</v>
      </c>
      <c r="D160" s="36" t="s">
        <v>1125</v>
      </c>
      <c r="E160" s="647" t="s">
        <v>1667</v>
      </c>
      <c r="F160" s="647"/>
      <c r="G160" s="479">
        <v>0</v>
      </c>
      <c r="H160" s="186">
        <v>6</v>
      </c>
      <c r="I160" s="533" t="s">
        <v>249</v>
      </c>
      <c r="J160" s="128">
        <v>2002</v>
      </c>
      <c r="K160" s="571">
        <v>2013</v>
      </c>
      <c r="L160" s="494" t="s">
        <v>2484</v>
      </c>
      <c r="M160" s="247" t="s">
        <v>15</v>
      </c>
      <c r="N160" s="494" t="s">
        <v>783</v>
      </c>
      <c r="O160" s="247"/>
      <c r="P160" s="247"/>
      <c r="Q160" s="247">
        <v>43</v>
      </c>
      <c r="R160" s="291">
        <f>(18.5*0.257 + 25*0.253 + 30*0.245 + 36*0.245) + 4</f>
        <v>31.249499999999998</v>
      </c>
      <c r="S160" s="291">
        <f>14*0.392 + 17*0.407 + 21*0.201</f>
        <v>16.628</v>
      </c>
      <c r="T160" s="291"/>
      <c r="U160" s="395">
        <v>4749</v>
      </c>
      <c r="V160" s="794">
        <v>0</v>
      </c>
      <c r="W160" s="720" t="s">
        <v>2485</v>
      </c>
      <c r="X160" s="277">
        <f>3*0.849 + 12*0.151</f>
        <v>4.359</v>
      </c>
      <c r="Y160" s="447"/>
      <c r="Z160" s="447"/>
      <c r="AA160" s="447"/>
      <c r="AB160" s="447"/>
      <c r="AC160" s="447"/>
      <c r="AD160" s="447"/>
      <c r="AE160" s="447"/>
      <c r="AF160" s="447"/>
      <c r="AG160" s="447"/>
      <c r="AH160" s="447"/>
      <c r="AI160" s="447"/>
      <c r="AJ160" s="447"/>
      <c r="AK160" s="447"/>
      <c r="AL160" s="447"/>
      <c r="AM160" s="447"/>
      <c r="AN160" s="447"/>
      <c r="AO160" s="447"/>
      <c r="AP160" s="447"/>
      <c r="AQ160" s="447"/>
      <c r="AR160" s="447"/>
      <c r="AS160" s="447"/>
      <c r="AT160" s="447"/>
      <c r="AU160" s="447"/>
      <c r="AV160" s="447"/>
      <c r="AW160" s="447"/>
      <c r="AX160" s="447"/>
      <c r="AY160" s="447"/>
      <c r="AZ160" s="447"/>
      <c r="BA160" s="447"/>
      <c r="BB160" s="447"/>
      <c r="BC160" s="447"/>
      <c r="BD160" s="447"/>
      <c r="BE160" s="442"/>
      <c r="BF160" s="442"/>
      <c r="BG160" s="447"/>
      <c r="BH160" s="447"/>
      <c r="BI160" s="454">
        <f>31.4+9.5</f>
        <v>40.9</v>
      </c>
      <c r="BJ160" s="442">
        <v>23</v>
      </c>
      <c r="BK160" s="442"/>
      <c r="BL160" s="442"/>
      <c r="BM160" s="271"/>
      <c r="BN160" s="271"/>
      <c r="BO160" s="271"/>
      <c r="BP160" s="271"/>
      <c r="BQ160" s="444"/>
      <c r="BR160" s="444"/>
      <c r="BS160" s="442"/>
      <c r="BT160" s="442"/>
      <c r="BU160" s="442">
        <v>12</v>
      </c>
      <c r="BV160" s="442">
        <v>0</v>
      </c>
      <c r="BW160" s="442"/>
      <c r="BX160" s="573"/>
      <c r="BY160" s="854"/>
      <c r="BZ160" s="854"/>
      <c r="CA160" s="854"/>
      <c r="CB160" s="854"/>
      <c r="CC160" s="854"/>
      <c r="CD160" s="854"/>
      <c r="CE160" s="854"/>
      <c r="CF160" s="854"/>
      <c r="CG160" s="36"/>
      <c r="CH160" s="417" t="s">
        <v>1566</v>
      </c>
      <c r="CI160" s="406" t="s">
        <v>1558</v>
      </c>
      <c r="CJ160" s="23"/>
      <c r="CK160" s="417" t="s">
        <v>1631</v>
      </c>
      <c r="CL160" s="417" t="s">
        <v>1568</v>
      </c>
      <c r="CM160" s="700" t="s">
        <v>1641</v>
      </c>
      <c r="CN160" s="534" t="s">
        <v>1947</v>
      </c>
      <c r="CR160" s="845" t="str">
        <f t="shared" si="11"/>
        <v>2002_DHSfollow</v>
      </c>
      <c r="CS160" s="648" t="str">
        <f t="shared" si="1"/>
        <v xml:space="preserve">Bihar, Jharkhand, Maharashtra, TamilNadu: </v>
      </c>
      <c r="CT160" s="35" t="str">
        <f t="shared" si="5"/>
        <v/>
      </c>
      <c r="CU160" s="23" t="str">
        <f t="shared" si="6"/>
        <v>rural</v>
      </c>
      <c r="CV160" s="23" t="str">
        <f t="shared" si="2"/>
        <v>III</v>
      </c>
      <c r="CW160" s="579" t="str">
        <f t="shared" si="7"/>
        <v>IIPS</v>
      </c>
      <c r="CX160" s="23" t="str">
        <f t="shared" si="8"/>
        <v>y</v>
      </c>
      <c r="CY160" s="35">
        <f t="shared" si="3"/>
        <v>0</v>
      </c>
      <c r="CZ160" s="35">
        <f t="shared" si="4"/>
        <v>4749</v>
      </c>
      <c r="DA160" s="648" t="str">
        <f t="shared" si="10"/>
        <v>Bourey C., Stephenson R. &amp; Hindin M.J. (2013), ‘Reproduction, Functional autonomy and changing experiences of Intimate Partner Violence within marriage in Rural India’, International Perspectives on Sexual and Reproductive Health, 39(4):215-26, doi: 10.1363/3921513</v>
      </c>
    </row>
    <row r="161" spans="1:105" s="35" customFormat="1" ht="12" customHeight="1" x14ac:dyDescent="0.2">
      <c r="A161" s="651"/>
      <c r="B161" s="537" t="s">
        <v>1701</v>
      </c>
      <c r="C161" s="390" t="s">
        <v>70</v>
      </c>
      <c r="D161" s="36" t="s">
        <v>1125</v>
      </c>
      <c r="E161" s="647" t="s">
        <v>1667</v>
      </c>
      <c r="F161" s="647"/>
      <c r="G161" s="479">
        <v>0</v>
      </c>
      <c r="H161" s="186">
        <v>6</v>
      </c>
      <c r="I161" s="533" t="s">
        <v>249</v>
      </c>
      <c r="J161" s="128">
        <v>2002</v>
      </c>
      <c r="K161" s="571">
        <v>2010</v>
      </c>
      <c r="L161" s="494" t="s">
        <v>2484</v>
      </c>
      <c r="M161" s="247" t="s">
        <v>18</v>
      </c>
      <c r="N161" s="494" t="s">
        <v>783</v>
      </c>
      <c r="O161" s="247" t="s">
        <v>233</v>
      </c>
      <c r="P161" s="247">
        <v>15</v>
      </c>
      <c r="Q161" s="247">
        <v>39</v>
      </c>
      <c r="R161" s="291"/>
      <c r="S161" s="291"/>
      <c r="T161" s="291"/>
      <c r="U161" s="395">
        <v>3909</v>
      </c>
      <c r="V161" s="794">
        <v>0</v>
      </c>
      <c r="W161" s="720" t="s">
        <v>2485</v>
      </c>
      <c r="X161" s="277">
        <f>0*0.728 + 3.9*0.136 + 15*0.136</f>
        <v>2.5704000000000002</v>
      </c>
      <c r="Y161" s="447"/>
      <c r="Z161" s="447"/>
      <c r="AA161" s="447"/>
      <c r="AB161" s="447"/>
      <c r="AC161" s="447"/>
      <c r="AD161" s="447"/>
      <c r="AE161" s="447"/>
      <c r="AF161" s="447"/>
      <c r="AG161" s="447"/>
      <c r="AH161" s="447"/>
      <c r="AI161" s="447"/>
      <c r="AJ161" s="447"/>
      <c r="AK161" s="447"/>
      <c r="AL161" s="447"/>
      <c r="AM161" s="447"/>
      <c r="AN161" s="447"/>
      <c r="AO161" s="447"/>
      <c r="AP161" s="447"/>
      <c r="AQ161" s="447"/>
      <c r="AR161" s="447"/>
      <c r="AS161" s="447"/>
      <c r="AT161" s="447"/>
      <c r="AU161" s="447"/>
      <c r="AV161" s="447"/>
      <c r="AW161" s="447"/>
      <c r="AX161" s="447"/>
      <c r="AY161" s="447"/>
      <c r="AZ161" s="447"/>
      <c r="BA161" s="447"/>
      <c r="BB161" s="447"/>
      <c r="BC161" s="447"/>
      <c r="BD161" s="447"/>
      <c r="BE161" s="442"/>
      <c r="BF161" s="442"/>
      <c r="BG161" s="447"/>
      <c r="BH161" s="447"/>
      <c r="BI161" s="454">
        <f>30*0.592 + 20*0.14 + 16*0.112 + 31*0.156</f>
        <v>27.188000000000002</v>
      </c>
      <c r="BJ161" s="453">
        <v>19.8</v>
      </c>
      <c r="BK161" s="453"/>
      <c r="BL161" s="453"/>
      <c r="BM161" s="271"/>
      <c r="BN161" s="271"/>
      <c r="BO161" s="271"/>
      <c r="BP161" s="271"/>
      <c r="BQ161" s="444"/>
      <c r="BR161" s="444"/>
      <c r="BS161" s="442"/>
      <c r="BT161" s="442"/>
      <c r="BU161" s="442">
        <v>9</v>
      </c>
      <c r="BV161" s="442">
        <v>0</v>
      </c>
      <c r="BW161" s="442"/>
      <c r="BX161" s="573"/>
      <c r="BY161" s="854"/>
      <c r="BZ161" s="854"/>
      <c r="CA161" s="854"/>
      <c r="CB161" s="854"/>
      <c r="CC161" s="854"/>
      <c r="CD161" s="854"/>
      <c r="CE161" s="854"/>
      <c r="CF161" s="854"/>
      <c r="CG161" s="36"/>
      <c r="CH161" s="419" t="s">
        <v>2486</v>
      </c>
      <c r="CI161" s="406" t="s">
        <v>2480</v>
      </c>
      <c r="CJ161" s="23"/>
      <c r="CK161" s="417" t="s">
        <v>2487</v>
      </c>
      <c r="CL161" s="417"/>
      <c r="CM161" s="700"/>
      <c r="CN161" s="534"/>
      <c r="CR161" s="845" t="str">
        <f t="shared" si="11"/>
        <v>2002_DHSfollow</v>
      </c>
      <c r="CS161" s="648" t="str">
        <f t="shared" si="1"/>
        <v xml:space="preserve">Bihar, Jharkhand, Maharashtra, TamilNadu: </v>
      </c>
      <c r="CT161" s="35" t="str">
        <f t="shared" si="5"/>
        <v/>
      </c>
      <c r="CU161" s="23" t="str">
        <f t="shared" si="6"/>
        <v>rural</v>
      </c>
      <c r="CV161" s="23" t="str">
        <f t="shared" si="2"/>
        <v>II</v>
      </c>
      <c r="CW161" s="579" t="str">
        <f t="shared" si="7"/>
        <v>IIPS</v>
      </c>
      <c r="CX161" s="23" t="str">
        <f t="shared" si="8"/>
        <v>y</v>
      </c>
      <c r="CY161" s="35" t="str">
        <f t="shared" si="3"/>
        <v>15-39</v>
      </c>
      <c r="CZ161" s="35">
        <f t="shared" si="4"/>
        <v>3909</v>
      </c>
      <c r="DA161" s="648" t="str">
        <f t="shared" si="10"/>
        <v>Koenig M.A., Stephenson R., Acharya R., Barrick L., Ahmed S. &amp; Hindin M. (2010), ‘Domestic violence and early childhood mortality in rural India: evidence from prospective data’, International Journal of Epidemiology 39(3):825-33.</v>
      </c>
    </row>
    <row r="162" spans="1:105" s="35" customFormat="1" ht="12" customHeight="1" x14ac:dyDescent="0.2">
      <c r="A162" s="651"/>
      <c r="B162" s="537" t="s">
        <v>2077</v>
      </c>
      <c r="C162" s="390" t="s">
        <v>70</v>
      </c>
      <c r="D162" s="36" t="s">
        <v>1125</v>
      </c>
      <c r="E162" s="647" t="s">
        <v>1577</v>
      </c>
      <c r="F162" s="647" t="s">
        <v>1920</v>
      </c>
      <c r="G162" s="237"/>
      <c r="H162" s="478">
        <v>6</v>
      </c>
      <c r="I162" s="533" t="s">
        <v>2078</v>
      </c>
      <c r="J162" s="128">
        <v>2002</v>
      </c>
      <c r="K162" s="571">
        <v>2008</v>
      </c>
      <c r="L162" s="494"/>
      <c r="M162" s="247" t="s">
        <v>18</v>
      </c>
      <c r="N162" s="494"/>
      <c r="O162" s="98" t="s">
        <v>1580</v>
      </c>
      <c r="P162" s="98">
        <v>18</v>
      </c>
      <c r="Q162" s="247">
        <v>50</v>
      </c>
      <c r="R162" s="291">
        <v>35.369999999999997</v>
      </c>
      <c r="S162" s="291">
        <f>16*0.085 + 19.5*0.246 + 22.5*0.361 + 29*0.309</f>
        <v>23.240500000000001</v>
      </c>
      <c r="T162" s="291"/>
      <c r="U162" s="395">
        <v>1750</v>
      </c>
      <c r="V162" s="794">
        <v>1</v>
      </c>
      <c r="W162" s="720" t="s">
        <v>2032</v>
      </c>
      <c r="X162" s="277">
        <f>0*0.97 + 5*0.399 + 12*0.396 + 19*0.108</f>
        <v>8.7990000000000013</v>
      </c>
      <c r="Y162" s="447"/>
      <c r="Z162" s="447"/>
      <c r="AA162" s="468"/>
      <c r="AB162" s="468"/>
      <c r="AC162" s="447"/>
      <c r="AD162" s="447"/>
      <c r="AE162" s="447">
        <v>14.8</v>
      </c>
      <c r="AF162" s="468">
        <v>11.54</v>
      </c>
      <c r="AH162" s="468"/>
      <c r="AI162" s="447"/>
      <c r="AJ162" s="447"/>
      <c r="AK162" s="447"/>
      <c r="AL162" s="447"/>
      <c r="AM162" s="447"/>
      <c r="AN162" s="447"/>
      <c r="AO162" s="447"/>
      <c r="AP162" s="447"/>
      <c r="AQ162" s="447"/>
      <c r="AR162" s="447"/>
      <c r="AS162" s="447"/>
      <c r="AT162" s="447"/>
      <c r="AU162" s="447"/>
      <c r="AV162" s="447"/>
      <c r="AW162" s="447"/>
      <c r="AX162" s="447"/>
      <c r="AY162" s="668"/>
      <c r="AZ162" s="668"/>
      <c r="BA162" s="447"/>
      <c r="BB162" s="447"/>
      <c r="BC162" s="447"/>
      <c r="BD162" s="668"/>
      <c r="BE162" s="468"/>
      <c r="BF162" s="468"/>
      <c r="BG162" s="447"/>
      <c r="BH162" s="447"/>
      <c r="BI162" s="454">
        <v>9.43</v>
      </c>
      <c r="BJ162" s="468">
        <v>5.77</v>
      </c>
      <c r="BK162" s="468"/>
      <c r="BL162" s="468"/>
      <c r="BM162" s="454">
        <v>3.66</v>
      </c>
      <c r="BN162" s="468">
        <v>3.03</v>
      </c>
      <c r="BO162" s="271"/>
      <c r="BP162" s="271"/>
      <c r="BQ162" s="445">
        <v>16.600000000000001</v>
      </c>
      <c r="BR162" s="468">
        <v>13</v>
      </c>
      <c r="BS162" s="442"/>
      <c r="BT162" s="442"/>
      <c r="BU162" s="442">
        <v>3</v>
      </c>
      <c r="BV162" s="442">
        <v>0</v>
      </c>
      <c r="BW162" s="442"/>
      <c r="BX162" s="573"/>
      <c r="BY162" s="854"/>
      <c r="BZ162" s="854"/>
      <c r="CA162" s="854"/>
      <c r="CB162" s="854"/>
      <c r="CC162" s="854"/>
      <c r="CD162" s="854"/>
      <c r="CE162" s="854"/>
      <c r="CF162" s="854"/>
      <c r="CG162" s="36"/>
      <c r="CH162" s="419" t="s">
        <v>1578</v>
      </c>
      <c r="CI162" s="406" t="s">
        <v>1571</v>
      </c>
      <c r="CJ162" s="406"/>
      <c r="CK162" s="417" t="s">
        <v>1579</v>
      </c>
      <c r="CL162" s="648" t="s">
        <v>2079</v>
      </c>
      <c r="CM162" s="700" t="s">
        <v>2189</v>
      </c>
      <c r="CN162" s="35" t="s">
        <v>1938</v>
      </c>
      <c r="CR162" s="845" t="str">
        <f t="shared" si="11"/>
        <v>2002_Goa</v>
      </c>
      <c r="CS162" s="648" t="str">
        <f t="shared" si="1"/>
        <v>Goa: Aldona, north Goa</v>
      </c>
      <c r="CT162" s="35" t="str">
        <f t="shared" si="5"/>
        <v/>
      </c>
      <c r="CU162" s="23" t="str">
        <f t="shared" si="6"/>
        <v>rural</v>
      </c>
      <c r="CV162" s="23" t="str">
        <f t="shared" si="2"/>
        <v>II</v>
      </c>
      <c r="CW162" s="579" t="str">
        <f t="shared" si="7"/>
        <v/>
      </c>
      <c r="CX162" s="23" t="str">
        <f t="shared" si="8"/>
        <v/>
      </c>
      <c r="CY162" s="35" t="str">
        <f t="shared" si="3"/>
        <v>18-50</v>
      </c>
      <c r="CZ162" s="35">
        <f t="shared" si="4"/>
        <v>1750</v>
      </c>
      <c r="DA162" s="648" t="str">
        <f t="shared" si="10"/>
        <v>Chowdhary N. &amp; Patel V. (2008), ‘The effect of spousal violence on women's health: Findings from the Stree Arogya Shodh in Goa, India’. Journal of Postgraduate Medicine 54(4):306-12.</v>
      </c>
    </row>
    <row r="163" spans="1:105" s="35" customFormat="1" ht="12" customHeight="1" x14ac:dyDescent="0.2">
      <c r="A163" s="651"/>
      <c r="B163" s="537" t="s">
        <v>2329</v>
      </c>
      <c r="C163" s="390" t="s">
        <v>70</v>
      </c>
      <c r="D163" s="36" t="s">
        <v>1125</v>
      </c>
      <c r="E163" s="647" t="s">
        <v>1634</v>
      </c>
      <c r="F163" s="647" t="s">
        <v>2331</v>
      </c>
      <c r="G163" s="237"/>
      <c r="H163" s="478">
        <v>6</v>
      </c>
      <c r="I163" s="533">
        <v>2003</v>
      </c>
      <c r="J163" s="128"/>
      <c r="K163" s="571">
        <v>2006</v>
      </c>
      <c r="L163" s="494"/>
      <c r="M163" s="247" t="s">
        <v>18</v>
      </c>
      <c r="N163" s="494"/>
      <c r="O163" s="98" t="s">
        <v>2330</v>
      </c>
      <c r="P163" s="98">
        <v>18</v>
      </c>
      <c r="Q163" s="247">
        <v>40</v>
      </c>
      <c r="R163" s="291"/>
      <c r="S163" s="291"/>
      <c r="T163" s="291"/>
      <c r="U163" s="395">
        <v>200</v>
      </c>
      <c r="V163" s="794">
        <v>0</v>
      </c>
      <c r="W163" s="720" t="s">
        <v>2208</v>
      </c>
      <c r="X163" s="277">
        <f>1.5*0.304 + 4.5*0.286 + 7*0.252 + 12*0.158</f>
        <v>5.4029999999999996</v>
      </c>
      <c r="Y163" s="447"/>
      <c r="Z163" s="447"/>
      <c r="AA163" s="636">
        <v>42</v>
      </c>
      <c r="AB163" s="468"/>
      <c r="AC163" s="447"/>
      <c r="AD163" s="447"/>
      <c r="AE163" s="447">
        <v>8</v>
      </c>
      <c r="AF163" s="468"/>
      <c r="AH163" s="468"/>
      <c r="AI163" s="447"/>
      <c r="AJ163" s="447"/>
      <c r="AK163" s="447"/>
      <c r="AL163" s="447"/>
      <c r="AM163" s="447"/>
      <c r="AN163" s="447"/>
      <c r="AO163" s="447"/>
      <c r="AP163" s="447"/>
      <c r="AQ163" s="447"/>
      <c r="AR163" s="447"/>
      <c r="AS163" s="447"/>
      <c r="AT163" s="447"/>
      <c r="AU163" s="447">
        <v>24</v>
      </c>
      <c r="AV163" s="747">
        <f>0.44*AU163</f>
        <v>10.56</v>
      </c>
      <c r="AW163" s="447"/>
      <c r="AX163" s="447"/>
      <c r="AY163" s="668"/>
      <c r="AZ163" s="668"/>
      <c r="BA163" s="447"/>
      <c r="BB163" s="447"/>
      <c r="BC163" s="447"/>
      <c r="BD163" s="668"/>
      <c r="BE163" s="468"/>
      <c r="BF163" s="468"/>
      <c r="BG163" s="747"/>
      <c r="BH163" s="747"/>
      <c r="BI163" s="454">
        <v>50</v>
      </c>
      <c r="BJ163" s="468"/>
      <c r="BK163" s="468"/>
      <c r="BL163" s="468"/>
      <c r="BM163" s="454"/>
      <c r="BN163" s="468"/>
      <c r="BO163" s="271"/>
      <c r="BP163" s="271"/>
      <c r="BQ163" s="445"/>
      <c r="BR163" s="468"/>
      <c r="BS163" s="442"/>
      <c r="BT163" s="442"/>
      <c r="BU163" s="442">
        <v>9</v>
      </c>
      <c r="BV163" s="442">
        <v>0</v>
      </c>
      <c r="BW163" s="442"/>
      <c r="BX163" s="573"/>
      <c r="BY163" s="854"/>
      <c r="BZ163" s="854"/>
      <c r="CA163" s="854"/>
      <c r="CB163" s="854"/>
      <c r="CC163" s="854"/>
      <c r="CD163" s="854"/>
      <c r="CE163" s="854"/>
      <c r="CF163" s="854"/>
      <c r="CG163" s="36"/>
      <c r="CH163" s="419" t="s">
        <v>2332</v>
      </c>
      <c r="CI163" s="406" t="s">
        <v>2333</v>
      </c>
      <c r="CJ163" s="406"/>
      <c r="CK163" s="417" t="s">
        <v>2334</v>
      </c>
      <c r="CL163" s="648"/>
      <c r="CM163" s="700"/>
      <c r="CR163" s="845" t="str">
        <f t="shared" si="11"/>
        <v>2003_AP</v>
      </c>
      <c r="CS163" s="648" t="str">
        <f t="shared" si="1"/>
        <v>Andhra Pradesh: West Godavari</v>
      </c>
      <c r="CT163" s="35" t="str">
        <f t="shared" si="5"/>
        <v/>
      </c>
      <c r="CU163" s="23" t="str">
        <f t="shared" si="6"/>
        <v>rural</v>
      </c>
      <c r="CV163" s="23" t="str">
        <f t="shared" si="2"/>
        <v>II</v>
      </c>
      <c r="CW163" s="579" t="str">
        <f t="shared" si="7"/>
        <v/>
      </c>
      <c r="CX163" s="23" t="str">
        <f t="shared" si="8"/>
        <v/>
      </c>
      <c r="CY163" s="35" t="str">
        <f t="shared" si="3"/>
        <v>18-40</v>
      </c>
      <c r="CZ163" s="35">
        <f t="shared" si="4"/>
        <v>200</v>
      </c>
      <c r="DA163" s="648" t="str">
        <f t="shared" si="10"/>
        <v>Dash S.K. (2006), ‘Violence against women: evidence from rural Andhra Pradesh, India’, Journal of Indian Academy of Forensic Medicine 28(4):184-6.</v>
      </c>
    </row>
    <row r="164" spans="1:105" s="35" customFormat="1" ht="12" customHeight="1" x14ac:dyDescent="0.2">
      <c r="A164" s="651"/>
      <c r="B164" s="537" t="s">
        <v>2344</v>
      </c>
      <c r="C164" s="390" t="s">
        <v>70</v>
      </c>
      <c r="D164" s="36" t="s">
        <v>1125</v>
      </c>
      <c r="E164" s="647" t="s">
        <v>1650</v>
      </c>
      <c r="F164" s="647" t="s">
        <v>2345</v>
      </c>
      <c r="G164" s="237"/>
      <c r="H164" s="478"/>
      <c r="I164" s="533">
        <v>2003</v>
      </c>
      <c r="J164" s="571">
        <v>2003</v>
      </c>
      <c r="K164" s="571">
        <v>2010</v>
      </c>
      <c r="L164" s="494" t="s">
        <v>2347</v>
      </c>
      <c r="M164" s="247" t="s">
        <v>18</v>
      </c>
      <c r="N164" s="494"/>
      <c r="O164" s="98" t="s">
        <v>763</v>
      </c>
      <c r="P164" s="98">
        <v>18</v>
      </c>
      <c r="Q164" s="247">
        <v>65</v>
      </c>
      <c r="R164" s="291"/>
      <c r="S164" s="291"/>
      <c r="T164" s="291"/>
      <c r="U164" s="395">
        <v>1232</v>
      </c>
      <c r="V164" s="794">
        <v>0</v>
      </c>
      <c r="W164" s="720"/>
      <c r="X164" s="167"/>
      <c r="Y164" s="447"/>
      <c r="Z164" s="447"/>
      <c r="AA164" s="636"/>
      <c r="AB164" s="468"/>
      <c r="AC164" s="447"/>
      <c r="AD164" s="447"/>
      <c r="AE164" s="447"/>
      <c r="AF164" s="468"/>
      <c r="AH164" s="468"/>
      <c r="AI164" s="447"/>
      <c r="AJ164" s="447"/>
      <c r="AK164" s="447"/>
      <c r="AL164" s="447"/>
      <c r="AM164" s="447"/>
      <c r="AN164" s="447"/>
      <c r="AO164" s="447"/>
      <c r="AP164" s="447"/>
      <c r="AQ164" s="447"/>
      <c r="AR164" s="447"/>
      <c r="AS164" s="447"/>
      <c r="AT164" s="447"/>
      <c r="AU164" s="447"/>
      <c r="AV164" s="747"/>
      <c r="AW164" s="447"/>
      <c r="AX164" s="447"/>
      <c r="AY164" s="668"/>
      <c r="AZ164" s="668"/>
      <c r="BA164" s="447"/>
      <c r="BB164" s="447"/>
      <c r="BC164" s="447"/>
      <c r="BD164" s="668"/>
      <c r="BE164" s="468"/>
      <c r="BF164" s="468"/>
      <c r="BG164" s="747"/>
      <c r="BH164" s="747"/>
      <c r="BI164" s="454"/>
      <c r="BJ164" s="468">
        <v>21.8</v>
      </c>
      <c r="BK164" s="468"/>
      <c r="BL164" s="468"/>
      <c r="BM164" s="454"/>
      <c r="BN164" s="468"/>
      <c r="BO164" s="271"/>
      <c r="BP164" s="271"/>
      <c r="BQ164" s="445"/>
      <c r="BR164" s="468"/>
      <c r="BS164" s="442"/>
      <c r="BT164" s="442"/>
      <c r="BU164" s="442">
        <v>24</v>
      </c>
      <c r="BV164" s="442">
        <v>0</v>
      </c>
      <c r="BW164" s="442"/>
      <c r="BX164" s="573"/>
      <c r="BY164" s="854"/>
      <c r="BZ164" s="854"/>
      <c r="CA164" s="854"/>
      <c r="CB164" s="854"/>
      <c r="CC164" s="854"/>
      <c r="CD164" s="854"/>
      <c r="CE164" s="854"/>
      <c r="CF164" s="854"/>
      <c r="CG164" s="36"/>
      <c r="CH164" s="419" t="s">
        <v>2346</v>
      </c>
      <c r="CI164" s="406" t="s">
        <v>2337</v>
      </c>
      <c r="CJ164" s="406"/>
      <c r="CK164" s="417" t="s">
        <v>2348</v>
      </c>
      <c r="CL164" s="648"/>
      <c r="CM164" s="700"/>
      <c r="CR164" s="845" t="str">
        <f t="shared" si="11"/>
        <v>2003_Kar</v>
      </c>
      <c r="CS164" s="648" t="str">
        <f t="shared" ref="CS164:CS195" si="12">E164 &amp; ": " &amp; F164</f>
        <v>Karnataka: 5 districts</v>
      </c>
      <c r="CT164" s="35" t="str">
        <f t="shared" si="5"/>
        <v/>
      </c>
      <c r="CU164" s="23" t="str">
        <f t="shared" si="6"/>
        <v>both</v>
      </c>
      <c r="CV164" s="23" t="str">
        <f t="shared" ref="CV164:CV195" si="13">M164</f>
        <v>II</v>
      </c>
      <c r="CW164" s="579" t="str">
        <f t="shared" si="7"/>
        <v>GENACIS</v>
      </c>
      <c r="CX164" s="23" t="str">
        <f t="shared" si="8"/>
        <v/>
      </c>
      <c r="CY164" s="35" t="str">
        <f t="shared" ref="CY164:CY195" si="14">O164</f>
        <v>18-65</v>
      </c>
      <c r="CZ164" s="35">
        <f t="shared" ref="CZ164:CZ195" si="15">U164</f>
        <v>1232</v>
      </c>
      <c r="DA164" s="648" t="str">
        <f t="shared" si="10"/>
        <v>Graham K., Sharon Bernards S., Wilsnack S.C. &amp; Gmel G. (2011), ‘Alcohol may not cause partner violence but it seems to make it worse: a cross national comparison of the relationship between alcohol and severity of partner violence’, Journal of Interpersonal Violence 26(8):1502-23.</v>
      </c>
    </row>
    <row r="165" spans="1:105" s="35" customFormat="1" ht="12" customHeight="1" x14ac:dyDescent="0.2">
      <c r="A165" s="651"/>
      <c r="B165" s="537" t="s">
        <v>2605</v>
      </c>
      <c r="C165" s="551" t="s">
        <v>70</v>
      </c>
      <c r="D165" s="527" t="s">
        <v>1125</v>
      </c>
      <c r="E165" s="647" t="s">
        <v>1884</v>
      </c>
      <c r="F165" s="647" t="s">
        <v>2607</v>
      </c>
      <c r="G165" s="237"/>
      <c r="H165" s="478"/>
      <c r="I165" s="533">
        <v>2003</v>
      </c>
      <c r="J165" s="571">
        <v>2003</v>
      </c>
      <c r="K165" s="571">
        <v>2004</v>
      </c>
      <c r="L165" s="494" t="s">
        <v>2609</v>
      </c>
      <c r="M165" s="247" t="s">
        <v>17</v>
      </c>
      <c r="N165" s="494"/>
      <c r="O165" s="98" t="s">
        <v>2606</v>
      </c>
      <c r="P165" s="98">
        <v>17</v>
      </c>
      <c r="Q165" s="247">
        <v>70</v>
      </c>
      <c r="R165" s="291">
        <f>(17*61 + 24.5*260 + 34.5*230 + 44.5*185 + 54.5*78 + 65*86)/900</f>
        <v>37.12833333333333</v>
      </c>
      <c r="S165" s="291">
        <v>20</v>
      </c>
      <c r="T165" s="291"/>
      <c r="U165" s="395">
        <v>900</v>
      </c>
      <c r="V165" s="794">
        <v>0</v>
      </c>
      <c r="W165" s="720"/>
      <c r="X165" s="121">
        <f>0*0.021 + 3*0.269 + 9*0.414 + 12*0.121 + 15*0.174</f>
        <v>8.5950000000000006</v>
      </c>
      <c r="Y165" s="447">
        <f>100*131/900</f>
        <v>14.555555555555555</v>
      </c>
      <c r="Z165" s="447"/>
      <c r="AA165" s="636">
        <v>21</v>
      </c>
      <c r="AB165" s="636">
        <v>6.8</v>
      </c>
      <c r="AC165" s="447"/>
      <c r="AD165" s="447"/>
      <c r="AE165" s="447"/>
      <c r="AF165" s="468"/>
      <c r="AG165" s="38">
        <f>100*21/900</f>
        <v>2.3333333333333335</v>
      </c>
      <c r="AH165" s="468"/>
      <c r="AI165" s="447"/>
      <c r="AJ165" s="447"/>
      <c r="AK165" s="447"/>
      <c r="AL165" s="447"/>
      <c r="AM165" s="447"/>
      <c r="AN165" s="447"/>
      <c r="AO165" s="447"/>
      <c r="AP165" s="447"/>
      <c r="AQ165" s="447">
        <f>100*99/900</f>
        <v>11</v>
      </c>
      <c r="AR165" s="447"/>
      <c r="AS165" s="447"/>
      <c r="AT165" s="447"/>
      <c r="AU165" s="447">
        <f>100*10/900</f>
        <v>1.1111111111111112</v>
      </c>
      <c r="AV165" s="747"/>
      <c r="AW165" s="447">
        <f>100*14/900</f>
        <v>1.5555555555555556</v>
      </c>
      <c r="AX165" s="447"/>
      <c r="AY165" s="668"/>
      <c r="AZ165" s="668"/>
      <c r="BA165" s="447"/>
      <c r="BB165" s="447"/>
      <c r="BC165" s="447">
        <f>100*235/900</f>
        <v>26.111111111111111</v>
      </c>
      <c r="BD165" s="668"/>
      <c r="BE165" s="636">
        <f>100*25/900</f>
        <v>2.7777777777777777</v>
      </c>
      <c r="BF165" s="468"/>
      <c r="BG165" s="747"/>
      <c r="BH165" s="747"/>
      <c r="BI165" s="454">
        <v>30</v>
      </c>
      <c r="BJ165" s="636">
        <v>7.1</v>
      </c>
      <c r="BK165" s="636">
        <v>17.100000000000001</v>
      </c>
      <c r="BL165" s="636">
        <v>7.3</v>
      </c>
      <c r="BM165" s="454">
        <f>100*35/900</f>
        <v>3.8888888888888888</v>
      </c>
      <c r="BN165" s="636">
        <v>1.8</v>
      </c>
      <c r="BO165" s="454">
        <v>22.3</v>
      </c>
      <c r="BP165" s="271"/>
      <c r="BQ165" s="445"/>
      <c r="BR165" s="468"/>
      <c r="BS165" s="442">
        <v>38.6</v>
      </c>
      <c r="BT165" s="442">
        <v>13.4</v>
      </c>
      <c r="BU165" s="442">
        <v>12</v>
      </c>
      <c r="BV165" s="442">
        <v>1</v>
      </c>
      <c r="BW165" s="442">
        <v>69.7</v>
      </c>
      <c r="BX165" s="573"/>
      <c r="BY165" s="854"/>
      <c r="BZ165" s="854"/>
      <c r="CA165" s="854"/>
      <c r="CB165" s="854"/>
      <c r="CC165" s="854"/>
      <c r="CD165" s="854"/>
      <c r="CE165" s="854">
        <f>322/(322+563)</f>
        <v>0.36384180790960452</v>
      </c>
      <c r="CF165" s="854"/>
      <c r="CG165" s="36"/>
      <c r="CH165" s="419" t="s">
        <v>2610</v>
      </c>
      <c r="CI165" s="406" t="s">
        <v>2608</v>
      </c>
      <c r="CJ165" s="406"/>
      <c r="CK165" s="417" t="s">
        <v>2611</v>
      </c>
      <c r="CL165" s="648"/>
      <c r="CM165" s="700"/>
      <c r="CR165" s="845" t="str">
        <f t="shared" si="11"/>
        <v>2003_Ker</v>
      </c>
      <c r="CS165" s="648" t="str">
        <f t="shared" si="12"/>
        <v>Kerala: Palakkad, Kozhikode, Ernakulam</v>
      </c>
      <c r="CT165" s="35">
        <f t="shared" si="5"/>
        <v>2003</v>
      </c>
      <c r="CU165" s="23" t="str">
        <f t="shared" si="6"/>
        <v>both</v>
      </c>
      <c r="CV165" s="23" t="str">
        <f t="shared" si="13"/>
        <v>I</v>
      </c>
      <c r="CW165" s="579" t="str">
        <f t="shared" si="7"/>
        <v>SAKHI</v>
      </c>
      <c r="CX165" s="23" t="str">
        <f t="shared" si="8"/>
        <v/>
      </c>
      <c r="CY165" s="35" t="str">
        <f t="shared" si="14"/>
        <v>17-70</v>
      </c>
      <c r="CZ165" s="35">
        <f t="shared" si="15"/>
        <v>900</v>
      </c>
      <c r="DA165" s="648" t="str">
        <f t="shared" si="10"/>
        <v>SAKHI (2004), ‘A study on gender based violence in Kerala’, submitted to department of health: Government of Kerala, SAKHI Resource Center for Women: Trivandrum.</v>
      </c>
    </row>
    <row r="166" spans="1:105" s="35" customFormat="1" ht="12" customHeight="1" x14ac:dyDescent="0.2">
      <c r="A166" s="651"/>
      <c r="B166" s="537" t="s">
        <v>1908</v>
      </c>
      <c r="C166" s="390" t="s">
        <v>70</v>
      </c>
      <c r="D166" s="36" t="s">
        <v>1125</v>
      </c>
      <c r="E166" s="647" t="s">
        <v>14</v>
      </c>
      <c r="F166" s="647" t="s">
        <v>2683</v>
      </c>
      <c r="G166" s="479"/>
      <c r="H166" s="186"/>
      <c r="I166" s="533">
        <v>2003</v>
      </c>
      <c r="J166" s="571">
        <v>2003</v>
      </c>
      <c r="K166" s="571">
        <v>2003</v>
      </c>
      <c r="M166" s="247" t="s">
        <v>15</v>
      </c>
      <c r="O166" s="247" t="s">
        <v>1911</v>
      </c>
      <c r="P166" s="247">
        <v>18</v>
      </c>
      <c r="Q166" s="247">
        <v>65</v>
      </c>
      <c r="R166" s="291">
        <f>21*0.1704 + 27.5*0.3096 + 33*0.156 + 38*0.1424 + 43*0.0976 + 48*0.044 + 53*0.0384 + 58*0.0272 + 63*0.0144</f>
        <v>33.480400000000003</v>
      </c>
      <c r="S166" s="291">
        <f>18*0.5808 + 22.5*0.308 + 27.5*0.0768 + 36*0.0344</f>
        <v>20.734799999999996</v>
      </c>
      <c r="T166" s="291"/>
      <c r="U166" s="395">
        <v>1250</v>
      </c>
      <c r="V166" s="794">
        <v>0</v>
      </c>
      <c r="W166" s="712"/>
      <c r="X166" s="277">
        <f>(0*0.276 + 3*0.1512 + 5*0.1448 + 9*0.1184 + 12*0.0936 + 15*0.2088)/(0.276 + 0.1512 + 0.1448 + 0.1184 + 0.0936 + 0.2088)</f>
        <v>6.5455278001611594</v>
      </c>
      <c r="Y166" s="447">
        <v>28.8</v>
      </c>
      <c r="Z166" s="447"/>
      <c r="AA166" s="447"/>
      <c r="AB166" s="447"/>
      <c r="AC166" s="447"/>
      <c r="AD166" s="447"/>
      <c r="AE166" s="447">
        <v>12.64</v>
      </c>
      <c r="AF166" s="447"/>
      <c r="AG166" s="447"/>
      <c r="AH166" s="447"/>
      <c r="AI166" s="447"/>
      <c r="AJ166" s="843"/>
      <c r="AK166" s="447">
        <v>5.44</v>
      </c>
      <c r="AL166" s="447"/>
      <c r="AN166" s="447"/>
      <c r="AO166" s="447"/>
      <c r="AP166" s="447"/>
      <c r="AQ166" s="447">
        <f>0.5*14.32</f>
        <v>7.16</v>
      </c>
      <c r="AR166" s="447"/>
      <c r="AS166" s="447"/>
      <c r="AT166" s="447"/>
      <c r="AU166" s="447"/>
      <c r="AV166" s="447"/>
      <c r="AW166" s="447"/>
      <c r="AX166" s="447"/>
      <c r="AY166" s="447"/>
      <c r="AZ166" s="447"/>
      <c r="BA166" s="447">
        <f>0.5*14.32</f>
        <v>7.16</v>
      </c>
      <c r="BB166" s="447"/>
      <c r="BC166" s="38"/>
      <c r="BD166" s="447"/>
      <c r="BE166" s="447"/>
      <c r="BF166" s="447"/>
      <c r="BG166" s="447"/>
      <c r="BH166" s="447"/>
      <c r="BI166" s="447">
        <v>58.72</v>
      </c>
      <c r="BJ166" s="447"/>
      <c r="BK166" s="447">
        <v>20</v>
      </c>
      <c r="BL166" s="447"/>
      <c r="BN166" s="271"/>
      <c r="BO166" s="271">
        <v>10</v>
      </c>
      <c r="BP166" s="271"/>
      <c r="BQ166" s="559">
        <v>84</v>
      </c>
      <c r="BR166" s="559">
        <f>(14.8 +15.89 +16.24 +13.2 +14.8)</f>
        <v>74.929999999999993</v>
      </c>
      <c r="BS166" s="442"/>
      <c r="BT166" s="442"/>
      <c r="BU166" s="442">
        <v>12</v>
      </c>
      <c r="BV166" s="442">
        <v>1</v>
      </c>
      <c r="BW166" s="442">
        <v>39.04</v>
      </c>
      <c r="BX166" s="573">
        <f>0.05*0.72</f>
        <v>3.5999999999999997E-2</v>
      </c>
      <c r="BY166" s="854"/>
      <c r="BZ166" s="854"/>
      <c r="CA166" s="854"/>
      <c r="CB166" s="854"/>
      <c r="CC166" s="854"/>
      <c r="CD166" s="854"/>
      <c r="CE166" s="854"/>
      <c r="CF166" s="854"/>
      <c r="CG166" s="36"/>
      <c r="CH166" s="419" t="s">
        <v>1910</v>
      </c>
      <c r="CI166" s="406" t="s">
        <v>1906</v>
      </c>
      <c r="CJ166" s="23"/>
      <c r="CK166" s="641" t="s">
        <v>1909</v>
      </c>
      <c r="CL166" s="417"/>
      <c r="CM166" s="700"/>
      <c r="CR166" s="845" t="str">
        <f t="shared" si="11"/>
        <v>2003_nat</v>
      </c>
      <c r="CS166" s="648" t="str">
        <f t="shared" si="12"/>
        <v>national: AP, Chattisgarh, Guj, MP, Maharashtra</v>
      </c>
      <c r="CT166" s="35">
        <f t="shared" si="5"/>
        <v>2003</v>
      </c>
      <c r="CU166" s="23" t="str">
        <f t="shared" si="6"/>
        <v>both</v>
      </c>
      <c r="CV166" s="23" t="str">
        <f t="shared" si="13"/>
        <v>III</v>
      </c>
      <c r="CW166" s="579" t="str">
        <f t="shared" si="7"/>
        <v/>
      </c>
      <c r="CX166" s="23" t="str">
        <f t="shared" si="8"/>
        <v/>
      </c>
      <c r="CY166" s="35" t="str">
        <f t="shared" si="14"/>
        <v>18-61+</v>
      </c>
      <c r="CZ166" s="35">
        <f t="shared" si="15"/>
        <v>1250</v>
      </c>
      <c r="DA166" s="648" t="str">
        <f t="shared" si="10"/>
        <v xml:space="preserve">Yugantar Education Society (2003), ‘A study of nature, extent, incidence and impact of domestic violence against women in the states of Andhra Pradesh, Chattisgarh, Gujarat, Madhya Pradesh and Maharashtra’, Research study report, Planning Commission, Government of India, New Delhi. </v>
      </c>
    </row>
    <row r="167" spans="1:105" s="35" customFormat="1" ht="12" customHeight="1" x14ac:dyDescent="0.2">
      <c r="A167" s="651"/>
      <c r="B167" s="537" t="s">
        <v>2378</v>
      </c>
      <c r="C167" s="390" t="s">
        <v>70</v>
      </c>
      <c r="D167" s="36" t="s">
        <v>1125</v>
      </c>
      <c r="E167" s="647" t="s">
        <v>211</v>
      </c>
      <c r="F167" s="647"/>
      <c r="G167" s="479">
        <v>0</v>
      </c>
      <c r="H167" s="186">
        <v>6</v>
      </c>
      <c r="I167" s="533" t="s">
        <v>249</v>
      </c>
      <c r="J167" s="128">
        <v>2003</v>
      </c>
      <c r="K167" s="571">
        <v>2006</v>
      </c>
      <c r="L167" s="494"/>
      <c r="M167" s="247" t="s">
        <v>18</v>
      </c>
      <c r="N167" s="494"/>
      <c r="O167" s="98"/>
      <c r="P167" s="98"/>
      <c r="Q167" s="247"/>
      <c r="R167" s="291"/>
      <c r="S167" s="291">
        <v>17.41</v>
      </c>
      <c r="T167" s="291">
        <v>21.8</v>
      </c>
      <c r="U167" s="395">
        <v>145</v>
      </c>
      <c r="V167" s="794">
        <v>0</v>
      </c>
      <c r="W167" s="712"/>
      <c r="X167" s="254">
        <v>3</v>
      </c>
      <c r="Y167" s="447"/>
      <c r="Z167" s="447"/>
      <c r="AA167" s="447"/>
      <c r="AB167" s="447"/>
      <c r="AC167" s="447"/>
      <c r="AD167" s="447"/>
      <c r="AE167" s="447"/>
      <c r="AF167" s="447"/>
      <c r="AG167" s="447"/>
      <c r="AH167" s="447"/>
      <c r="AI167" s="447"/>
      <c r="AJ167" s="447"/>
      <c r="AK167" s="447"/>
      <c r="AL167" s="447"/>
      <c r="AM167" s="447"/>
      <c r="AN167" s="447"/>
      <c r="AO167" s="447"/>
      <c r="AP167" s="447"/>
      <c r="AQ167" s="447"/>
      <c r="AR167" s="447"/>
      <c r="AS167" s="447"/>
      <c r="AT167" s="447"/>
      <c r="AU167" s="447"/>
      <c r="AV167" s="447"/>
      <c r="AW167" s="447"/>
      <c r="AX167" s="447"/>
      <c r="AY167" s="447"/>
      <c r="AZ167" s="447"/>
      <c r="BA167" s="447"/>
      <c r="BB167" s="447"/>
      <c r="BC167" s="447"/>
      <c r="BD167" s="447"/>
      <c r="BE167" s="271"/>
      <c r="BF167" s="271"/>
      <c r="BG167" s="447"/>
      <c r="BH167" s="447"/>
      <c r="BI167" s="271"/>
      <c r="BJ167" s="271">
        <v>18</v>
      </c>
      <c r="BK167" s="271"/>
      <c r="BL167" s="271"/>
      <c r="BM167" s="271"/>
      <c r="BN167" s="271"/>
      <c r="BO167" s="271"/>
      <c r="BP167" s="271"/>
      <c r="BQ167" s="444"/>
      <c r="BR167" s="444"/>
      <c r="BS167" s="442">
        <v>45</v>
      </c>
      <c r="BT167" s="442"/>
      <c r="BU167" s="442">
        <v>12</v>
      </c>
      <c r="BV167" s="442">
        <v>0</v>
      </c>
      <c r="BW167" s="442"/>
      <c r="BX167" s="573"/>
      <c r="BY167" s="854"/>
      <c r="BZ167" s="854"/>
      <c r="CA167" s="854"/>
      <c r="CB167" s="854"/>
      <c r="CC167" s="854"/>
      <c r="CD167" s="854"/>
      <c r="CE167" s="854"/>
      <c r="CF167" s="854"/>
      <c r="CG167" s="36"/>
      <c r="CH167" s="419" t="s">
        <v>1570</v>
      </c>
      <c r="CI167" s="406" t="s">
        <v>1571</v>
      </c>
      <c r="CJ167" s="406"/>
      <c r="CK167" s="417" t="s">
        <v>1572</v>
      </c>
      <c r="CL167" s="417"/>
      <c r="CM167" s="700"/>
      <c r="CR167" s="845" t="str">
        <f t="shared" si="11"/>
        <v>2003_TN1</v>
      </c>
      <c r="CS167" s="648" t="str">
        <f t="shared" si="12"/>
        <v xml:space="preserve">Tamil Nadu: </v>
      </c>
      <c r="CT167" s="35" t="str">
        <f t="shared" si="5"/>
        <v/>
      </c>
      <c r="CU167" s="23" t="str">
        <f t="shared" si="6"/>
        <v>rural</v>
      </c>
      <c r="CV167" s="23" t="str">
        <f t="shared" si="13"/>
        <v>II</v>
      </c>
      <c r="CW167" s="579" t="str">
        <f t="shared" si="7"/>
        <v/>
      </c>
      <c r="CX167" s="23" t="str">
        <f t="shared" si="8"/>
        <v/>
      </c>
      <c r="CY167" s="35">
        <f t="shared" si="14"/>
        <v>0</v>
      </c>
      <c r="CZ167" s="35">
        <f t="shared" si="15"/>
        <v>145</v>
      </c>
      <c r="DA167" s="648" t="str">
        <f t="shared" si="10"/>
        <v>Srinivasan S. &amp; Bedi A.S. (2006), ‘Domestic violence and dowry: evidence from a South Indian village’, Institute of Social Studies working paper 429.</v>
      </c>
    </row>
    <row r="168" spans="1:105" s="35" customFormat="1" ht="12" customHeight="1" x14ac:dyDescent="0.2">
      <c r="A168" s="651"/>
      <c r="B168" s="537" t="s">
        <v>2377</v>
      </c>
      <c r="C168" s="390" t="s">
        <v>70</v>
      </c>
      <c r="D168" s="36" t="s">
        <v>1125</v>
      </c>
      <c r="E168" s="647" t="s">
        <v>211</v>
      </c>
      <c r="F168" s="647" t="s">
        <v>2684</v>
      </c>
      <c r="G168" s="479"/>
      <c r="H168" s="478">
        <v>6</v>
      </c>
      <c r="I168" s="533">
        <v>2003</v>
      </c>
      <c r="J168" s="128">
        <v>2003</v>
      </c>
      <c r="K168" s="571">
        <v>2005</v>
      </c>
      <c r="L168" s="494"/>
      <c r="M168" s="247" t="s">
        <v>18</v>
      </c>
      <c r="N168" s="494"/>
      <c r="O168" s="98" t="s">
        <v>2381</v>
      </c>
      <c r="P168" s="98">
        <v>15</v>
      </c>
      <c r="Q168" s="247">
        <v>58</v>
      </c>
      <c r="R168" s="291"/>
      <c r="S168" s="291"/>
      <c r="T168" s="291"/>
      <c r="U168" s="395">
        <v>3700</v>
      </c>
      <c r="V168" s="794">
        <v>0</v>
      </c>
      <c r="W168" s="720"/>
      <c r="X168" s="167"/>
      <c r="Y168" s="447"/>
      <c r="Z168" s="447"/>
      <c r="AA168" s="447"/>
      <c r="AB168" s="447"/>
      <c r="AC168" s="447"/>
      <c r="AD168" s="447"/>
      <c r="AE168" s="447"/>
      <c r="AF168" s="447"/>
      <c r="AG168" s="447"/>
      <c r="AH168" s="447"/>
      <c r="AI168" s="447"/>
      <c r="AJ168" s="447"/>
      <c r="AK168" s="447"/>
      <c r="AL168" s="447"/>
      <c r="AM168" s="447"/>
      <c r="AN168" s="447"/>
      <c r="AO168" s="447"/>
      <c r="AP168" s="447"/>
      <c r="AQ168" s="447"/>
      <c r="AR168" s="447"/>
      <c r="AS168" s="447"/>
      <c r="AT168" s="447"/>
      <c r="AU168" s="447"/>
      <c r="AV168" s="447"/>
      <c r="AW168" s="447"/>
      <c r="AX168" s="447"/>
      <c r="AY168" s="447"/>
      <c r="AZ168" s="447"/>
      <c r="BA168" s="447"/>
      <c r="BB168" s="447"/>
      <c r="BC168" s="447"/>
      <c r="BD168" s="447"/>
      <c r="BE168" s="271"/>
      <c r="BF168" s="271"/>
      <c r="BG168" s="447"/>
      <c r="BH168" s="447"/>
      <c r="BI168" s="454">
        <f>(59+54)/2</f>
        <v>56.5</v>
      </c>
      <c r="BJ168" s="271"/>
      <c r="BK168" s="271"/>
      <c r="BL168" s="271"/>
      <c r="BM168" s="271"/>
      <c r="BN168" s="271"/>
      <c r="BO168" s="271"/>
      <c r="BP168" s="271"/>
      <c r="BQ168" s="444"/>
      <c r="BR168" s="444"/>
      <c r="BS168" s="442"/>
      <c r="BT168" s="442"/>
      <c r="BU168" s="442"/>
      <c r="BV168" s="442">
        <v>0</v>
      </c>
      <c r="BW168" s="442"/>
      <c r="BX168" s="573"/>
      <c r="BY168" s="854"/>
      <c r="BZ168" s="854"/>
      <c r="CA168" s="854"/>
      <c r="CB168" s="854"/>
      <c r="CC168" s="854"/>
      <c r="CD168" s="854"/>
      <c r="CE168" s="854"/>
      <c r="CF168" s="854"/>
      <c r="CG168" s="36"/>
      <c r="CH168" s="419" t="s">
        <v>2379</v>
      </c>
      <c r="CI168" s="406" t="s">
        <v>2375</v>
      </c>
      <c r="CJ168" s="406"/>
      <c r="CK168" s="417" t="s">
        <v>2380</v>
      </c>
      <c r="CL168" s="417"/>
      <c r="CM168" s="700"/>
      <c r="CR168" s="845" t="str">
        <f t="shared" si="11"/>
        <v>2003_TN2</v>
      </c>
      <c r="CS168" s="648" t="str">
        <f t="shared" si="12"/>
        <v>Tamil Nadu: tea plantations</v>
      </c>
      <c r="CT168" s="35" t="str">
        <f t="shared" si="5"/>
        <v/>
      </c>
      <c r="CU168" s="23" t="str">
        <f t="shared" si="6"/>
        <v>rural</v>
      </c>
      <c r="CV168" s="23" t="str">
        <f t="shared" si="13"/>
        <v>II</v>
      </c>
      <c r="CW168" s="579" t="str">
        <f t="shared" si="7"/>
        <v/>
      </c>
      <c r="CX168" s="23" t="str">
        <f t="shared" si="8"/>
        <v/>
      </c>
      <c r="CY168" s="35" t="str">
        <f t="shared" si="14"/>
        <v>15-58</v>
      </c>
      <c r="CZ168" s="35">
        <f t="shared" si="15"/>
        <v>3700</v>
      </c>
      <c r="DA168" s="648" t="str">
        <f t="shared" si="10"/>
        <v>Luke N. (2005), ‘Community Effects and Domestic Violence in South India’, Poster Session 4: Migration, Income, Employment, Neighborhoods and Residential Context, Population Association of America 2005 Annual meeting</v>
      </c>
    </row>
    <row r="169" spans="1:105" s="35" customFormat="1" ht="12" customHeight="1" x14ac:dyDescent="0.2">
      <c r="A169" s="651"/>
      <c r="B169" s="537" t="s">
        <v>2597</v>
      </c>
      <c r="C169" s="390" t="s">
        <v>70</v>
      </c>
      <c r="D169" s="36" t="s">
        <v>1125</v>
      </c>
      <c r="E169" s="647" t="s">
        <v>1581</v>
      </c>
      <c r="F169" s="647" t="s">
        <v>2600</v>
      </c>
      <c r="G169" s="479"/>
      <c r="H169" s="478"/>
      <c r="I169" s="533">
        <v>2003</v>
      </c>
      <c r="J169" s="128"/>
      <c r="K169" s="571">
        <v>2006</v>
      </c>
      <c r="L169" s="494" t="s">
        <v>1574</v>
      </c>
      <c r="M169" s="247" t="s">
        <v>18</v>
      </c>
      <c r="N169" s="494"/>
      <c r="O169" s="98" t="s">
        <v>2601</v>
      </c>
      <c r="P169" s="98">
        <v>19</v>
      </c>
      <c r="Q169" s="247">
        <v>49</v>
      </c>
      <c r="R169" s="291"/>
      <c r="S169" s="291"/>
      <c r="T169" s="291"/>
      <c r="U169" s="395">
        <v>380</v>
      </c>
      <c r="V169" s="794">
        <v>0</v>
      </c>
      <c r="W169" s="720" t="s">
        <v>2623</v>
      </c>
      <c r="X169" s="167"/>
      <c r="Y169" s="447"/>
      <c r="Z169" s="447"/>
      <c r="AA169" s="447">
        <v>60</v>
      </c>
      <c r="AB169" s="447">
        <v>42</v>
      </c>
      <c r="AC169" s="447"/>
      <c r="AD169" s="447"/>
      <c r="AE169" s="447"/>
      <c r="AF169" s="447"/>
      <c r="AG169" s="447"/>
      <c r="AH169" s="447"/>
      <c r="AI169" s="447"/>
      <c r="AJ169" s="447"/>
      <c r="AK169" s="447"/>
      <c r="AL169" s="447"/>
      <c r="AM169" s="447">
        <v>53</v>
      </c>
      <c r="AN169" s="447"/>
      <c r="AO169" s="447"/>
      <c r="AP169" s="447"/>
      <c r="AQ169" s="447"/>
      <c r="AR169" s="447"/>
      <c r="AS169" s="447"/>
      <c r="AT169" s="447"/>
      <c r="AU169" s="447">
        <v>27</v>
      </c>
      <c r="AV169" s="447"/>
      <c r="AW169" s="447"/>
      <c r="AX169" s="447"/>
      <c r="AY169" s="447"/>
      <c r="AZ169" s="271">
        <v>27</v>
      </c>
      <c r="BA169" s="447"/>
      <c r="BB169" s="447"/>
      <c r="BC169" s="447">
        <v>21</v>
      </c>
      <c r="BD169" s="447"/>
      <c r="BE169" s="271"/>
      <c r="BF169" s="271"/>
      <c r="BG169" s="447"/>
      <c r="BH169" s="447"/>
      <c r="BI169" s="454">
        <v>55</v>
      </c>
      <c r="BJ169" s="271">
        <v>31</v>
      </c>
      <c r="BK169" s="454"/>
      <c r="BL169" s="271"/>
      <c r="BO169" s="454">
        <f>0.95*45</f>
        <v>42.75</v>
      </c>
      <c r="BP169" s="271">
        <v>7</v>
      </c>
      <c r="BQ169" s="444"/>
      <c r="BR169" s="444"/>
      <c r="BS169" s="442">
        <v>64</v>
      </c>
      <c r="BT169" s="442">
        <v>49</v>
      </c>
      <c r="BU169" s="442">
        <v>12</v>
      </c>
      <c r="BV169" s="442">
        <v>1</v>
      </c>
      <c r="BW169" s="442"/>
      <c r="BX169" s="573"/>
      <c r="BY169" s="854"/>
      <c r="BZ169" s="854"/>
      <c r="CA169" s="854"/>
      <c r="CB169" s="854"/>
      <c r="CC169" s="854"/>
      <c r="CD169" s="854"/>
      <c r="CE169" s="854"/>
      <c r="CF169" s="854"/>
      <c r="CG169" s="36"/>
      <c r="CH169" s="419" t="s">
        <v>2599</v>
      </c>
      <c r="CI169" s="406" t="s">
        <v>2582</v>
      </c>
      <c r="CJ169" s="406"/>
      <c r="CK169" s="417" t="s">
        <v>2598</v>
      </c>
      <c r="CL169" s="417"/>
      <c r="CM169" s="700"/>
      <c r="CR169" s="845" t="str">
        <f t="shared" si="11"/>
        <v>2003_WB</v>
      </c>
      <c r="CS169" s="648" t="str">
        <f t="shared" si="12"/>
        <v>West Bengal: District 24 Pergunnahs (N)</v>
      </c>
      <c r="CT169" s="35" t="str">
        <f t="shared" si="5"/>
        <v/>
      </c>
      <c r="CU169" s="23" t="str">
        <f t="shared" si="6"/>
        <v>both</v>
      </c>
      <c r="CV169" s="23" t="str">
        <f t="shared" si="13"/>
        <v>II</v>
      </c>
      <c r="CW169" s="579" t="str">
        <f t="shared" si="7"/>
        <v>ICRW</v>
      </c>
      <c r="CX169" s="23" t="str">
        <f t="shared" si="8"/>
        <v/>
      </c>
      <c r="CY169" s="35" t="str">
        <f t="shared" si="14"/>
        <v>19-49</v>
      </c>
      <c r="CZ169" s="35">
        <f t="shared" si="15"/>
        <v>380</v>
      </c>
      <c r="DA169" s="648" t="str">
        <f t="shared" si="10"/>
        <v>Panda P., Gupta J., Bulankulame I., Bhatla N., Chakraborty S. &amp; Duvvury N. (2006), ‘Property ownership &amp; inheritance rights of women for social protection – the South Asia experience’, International Center for Research on Women: Washington, DC.</v>
      </c>
    </row>
    <row r="170" spans="1:105" s="35" customFormat="1" ht="12" customHeight="1" x14ac:dyDescent="0.2">
      <c r="A170" s="651"/>
      <c r="B170" s="537" t="s">
        <v>2460</v>
      </c>
      <c r="C170" s="390" t="s">
        <v>70</v>
      </c>
      <c r="D170" s="36" t="s">
        <v>1125</v>
      </c>
      <c r="E170" s="647" t="s">
        <v>2461</v>
      </c>
      <c r="F170" s="647"/>
      <c r="G170" s="479"/>
      <c r="H170" s="478">
        <v>6</v>
      </c>
      <c r="I170" s="533">
        <v>2004</v>
      </c>
      <c r="J170" s="571">
        <v>2004</v>
      </c>
      <c r="K170" s="571">
        <v>2006</v>
      </c>
      <c r="L170" s="494" t="s">
        <v>1574</v>
      </c>
      <c r="M170" s="247" t="s">
        <v>18</v>
      </c>
      <c r="N170" s="494"/>
      <c r="O170" s="479" t="s">
        <v>2759</v>
      </c>
      <c r="P170" s="98">
        <v>14</v>
      </c>
      <c r="Q170" s="247">
        <v>24</v>
      </c>
      <c r="R170" s="291"/>
      <c r="S170" s="291">
        <v>15.9</v>
      </c>
      <c r="T170" s="291"/>
      <c r="U170" s="395">
        <v>998</v>
      </c>
      <c r="V170" s="794">
        <v>0</v>
      </c>
      <c r="W170" s="720" t="s">
        <v>2462</v>
      </c>
      <c r="X170" s="167"/>
      <c r="Y170" s="447"/>
      <c r="Z170" s="447"/>
      <c r="AA170" s="447"/>
      <c r="AB170" s="468">
        <f>(48+32)/2</f>
        <v>40</v>
      </c>
      <c r="AC170" s="447"/>
      <c r="AD170" s="447"/>
      <c r="AE170" s="447"/>
      <c r="AF170" s="468">
        <f>(8+25)/2</f>
        <v>16.5</v>
      </c>
      <c r="AG170" s="447"/>
      <c r="AH170" s="447"/>
      <c r="AI170" s="447"/>
      <c r="AJ170" s="447"/>
      <c r="AK170" s="447"/>
      <c r="AL170" s="447"/>
      <c r="AM170" s="447"/>
      <c r="AN170" s="468">
        <f>(15+38)/2</f>
        <v>26.5</v>
      </c>
      <c r="AO170" s="447"/>
      <c r="AP170" s="447"/>
      <c r="AQ170" s="447"/>
      <c r="AR170" s="447"/>
      <c r="AS170" s="447"/>
      <c r="AT170" s="447"/>
      <c r="AU170" s="447"/>
      <c r="AV170" s="447"/>
      <c r="AW170" s="447"/>
      <c r="AX170" s="447"/>
      <c r="AY170" s="447"/>
      <c r="AZ170" s="447"/>
      <c r="BA170" s="447"/>
      <c r="BB170" s="447"/>
      <c r="BC170" s="447"/>
      <c r="BD170" s="447"/>
      <c r="BE170" s="271"/>
      <c r="BF170" s="271"/>
      <c r="BG170" s="447"/>
      <c r="BH170" s="447"/>
      <c r="BI170" s="454"/>
      <c r="BJ170" s="271"/>
      <c r="BK170" s="271"/>
      <c r="BL170" s="271"/>
      <c r="BM170" s="271"/>
      <c r="BN170" s="271"/>
      <c r="BO170" s="271"/>
      <c r="BP170" s="271"/>
      <c r="BQ170" s="444"/>
      <c r="BR170" s="444"/>
      <c r="BS170" s="442"/>
      <c r="BT170" s="442"/>
      <c r="BU170" s="442">
        <v>6</v>
      </c>
      <c r="BV170" s="442">
        <v>0</v>
      </c>
      <c r="BW170" s="442"/>
      <c r="BX170" s="573"/>
      <c r="BY170" s="854"/>
      <c r="BZ170" s="854"/>
      <c r="CA170" s="854"/>
      <c r="CB170" s="854"/>
      <c r="CC170" s="854"/>
      <c r="CD170" s="854"/>
      <c r="CE170" s="854"/>
      <c r="CF170" s="854"/>
      <c r="CG170" s="36"/>
      <c r="CH170" s="419" t="s">
        <v>2470</v>
      </c>
      <c r="CI170" s="406" t="s">
        <v>2469</v>
      </c>
      <c r="CJ170" s="406"/>
      <c r="CK170" s="417" t="s">
        <v>2471</v>
      </c>
      <c r="CL170" s="417"/>
      <c r="CM170" s="700"/>
      <c r="CR170" s="845" t="str">
        <f t="shared" si="11"/>
        <v>2004_BiJh</v>
      </c>
      <c r="CS170" s="648" t="str">
        <f t="shared" si="12"/>
        <v xml:space="preserve">Bihar and Jharkhand: </v>
      </c>
      <c r="CT170" s="35">
        <f t="shared" si="5"/>
        <v>2004</v>
      </c>
      <c r="CU170" s="23" t="str">
        <f t="shared" si="6"/>
        <v>rural</v>
      </c>
      <c r="CV170" s="23" t="str">
        <f t="shared" si="13"/>
        <v>II</v>
      </c>
      <c r="CW170" s="579" t="str">
        <f t="shared" si="7"/>
        <v>ICRW</v>
      </c>
      <c r="CX170" s="23" t="str">
        <f t="shared" si="8"/>
        <v/>
      </c>
      <c r="CY170" s="35" t="str">
        <f t="shared" si="14"/>
        <v>14-24</v>
      </c>
      <c r="CZ170" s="35">
        <f t="shared" si="15"/>
        <v>998</v>
      </c>
      <c r="DA170" s="648" t="str">
        <f t="shared" si="10"/>
        <v>ICRW (2006), ‘Child Marriage and domestic violence’, International Center for Research on Women: Washington, DC.</v>
      </c>
    </row>
    <row r="171" spans="1:105" ht="12" customHeight="1" thickBot="1" x14ac:dyDescent="0.25">
      <c r="A171" s="651"/>
      <c r="B171" s="537" t="s">
        <v>1980</v>
      </c>
      <c r="C171" s="390" t="s">
        <v>70</v>
      </c>
      <c r="D171" s="36" t="s">
        <v>1125</v>
      </c>
      <c r="E171" s="647" t="s">
        <v>1756</v>
      </c>
      <c r="F171" s="647"/>
      <c r="G171" s="237"/>
      <c r="H171" s="478">
        <v>2</v>
      </c>
      <c r="I171" s="2">
        <v>2004</v>
      </c>
      <c r="J171" s="72">
        <v>2004</v>
      </c>
      <c r="K171" s="571">
        <v>2005</v>
      </c>
      <c r="L171" s="493"/>
      <c r="M171" s="479" t="s">
        <v>78</v>
      </c>
      <c r="N171" s="493"/>
      <c r="O171" s="98" t="s">
        <v>1894</v>
      </c>
      <c r="P171" s="98">
        <v>18</v>
      </c>
      <c r="Q171" s="237"/>
      <c r="R171" s="254"/>
      <c r="S171" s="254"/>
      <c r="T171" s="254"/>
      <c r="U171" s="393">
        <v>991</v>
      </c>
      <c r="V171" s="504">
        <v>1</v>
      </c>
      <c r="W171" s="630" t="s">
        <v>2035</v>
      </c>
      <c r="X171" s="277">
        <f>(5*413 + 15*578)/(413+578)</f>
        <v>10.832492431886983</v>
      </c>
      <c r="Y171" s="446"/>
      <c r="Z171" s="446"/>
      <c r="AA171" s="446"/>
      <c r="AB171" s="453">
        <f>100*(247/991)</f>
        <v>24.924318869828458</v>
      </c>
      <c r="AC171" s="440"/>
      <c r="AD171" s="446"/>
      <c r="AE171" s="442"/>
      <c r="AF171" s="446"/>
      <c r="AG171" s="446"/>
      <c r="AH171" s="446"/>
      <c r="AI171" s="446"/>
      <c r="AJ171" s="446"/>
      <c r="AK171" s="446"/>
      <c r="AL171" s="661">
        <f>100*(2/991)</f>
        <v>0.20181634712411706</v>
      </c>
      <c r="AM171" s="442"/>
      <c r="AN171" s="446"/>
      <c r="AO171" s="446"/>
      <c r="AP171" s="446"/>
      <c r="AQ171" s="446"/>
      <c r="AR171" s="453">
        <f>100*(32/991)</f>
        <v>3.2290615539858729</v>
      </c>
      <c r="AS171" s="446"/>
      <c r="AT171" s="446"/>
      <c r="AV171" s="453">
        <f>0.5*(100*(10/991))</f>
        <v>0.50454086781029261</v>
      </c>
      <c r="AW171" s="446"/>
      <c r="AX171" s="446"/>
      <c r="AY171" s="446"/>
      <c r="AZ171" s="446"/>
      <c r="BA171" s="446"/>
      <c r="BB171" s="446"/>
      <c r="BC171" s="446"/>
      <c r="BD171" s="446"/>
      <c r="BG171" s="453"/>
      <c r="BH171" s="453">
        <f>0.5*(100*(10/991))</f>
        <v>0.50454086781029261</v>
      </c>
      <c r="BI171" s="445"/>
      <c r="BL171" s="739">
        <f>100*69/991</f>
        <v>6.9626639757820383</v>
      </c>
      <c r="BM171" s="445"/>
      <c r="BN171" s="445"/>
      <c r="BO171" s="445"/>
      <c r="BP171" s="445"/>
      <c r="BQ171" s="444"/>
      <c r="BR171" s="444"/>
      <c r="BT171" s="662">
        <f>28.4</f>
        <v>28.4</v>
      </c>
      <c r="BU171" s="445">
        <v>9</v>
      </c>
      <c r="BV171" s="445">
        <v>1</v>
      </c>
      <c r="BW171" s="445">
        <v>48.2</v>
      </c>
      <c r="BX171" s="573"/>
      <c r="BY171" s="854"/>
      <c r="BZ171" s="854"/>
      <c r="CA171" s="854"/>
      <c r="CB171" s="854"/>
      <c r="CC171" s="854"/>
      <c r="CD171" s="854"/>
      <c r="CE171" s="854"/>
      <c r="CF171" s="854"/>
      <c r="CG171" s="98"/>
      <c r="CH171" s="131" t="s">
        <v>2006</v>
      </c>
      <c r="CI171" s="406" t="s">
        <v>1751</v>
      </c>
      <c r="CJ171" s="23"/>
      <c r="CK171" s="641" t="s">
        <v>1981</v>
      </c>
      <c r="CL171" s="692"/>
      <c r="CR171" s="845" t="str">
        <f t="shared" si="11"/>
        <v>2004_Chan</v>
      </c>
      <c r="CS171" s="648" t="str">
        <f t="shared" si="12"/>
        <v xml:space="preserve">Chandigarh: </v>
      </c>
      <c r="CT171" s="35">
        <f t="shared" si="5"/>
        <v>2004</v>
      </c>
      <c r="CU171" s="23" t="str">
        <f t="shared" si="6"/>
        <v>urban</v>
      </c>
      <c r="CV171" s="23" t="str">
        <f t="shared" si="13"/>
        <v>IV</v>
      </c>
      <c r="CW171" s="579" t="str">
        <f t="shared" si="7"/>
        <v/>
      </c>
      <c r="CX171" s="23" t="str">
        <f t="shared" si="8"/>
        <v/>
      </c>
      <c r="CY171" s="35" t="str">
        <f t="shared" si="14"/>
        <v>18+</v>
      </c>
      <c r="CZ171" s="35">
        <f t="shared" si="15"/>
        <v>991</v>
      </c>
      <c r="DA171" s="648" t="str">
        <f t="shared" si="10"/>
        <v>Khosla A. et al. (2005), "Domestic violence in pregnancy in North Indian women." Indian Journal of Medical Sciences 59(5):195-9. Academic OneFile, go.galegroup.com/ps/i.do?p=AONE&amp;sw=w&amp;u=mmucal5&amp;v=2.1&amp;id=GALE%7CA133850715&amp;it=r&amp;asid=c468feb39593bfb873095ce2e3ece539.</v>
      </c>
    </row>
    <row r="172" spans="1:105" s="35" customFormat="1" ht="12" customHeight="1" x14ac:dyDescent="0.2">
      <c r="A172" s="651"/>
      <c r="B172" s="595" t="s">
        <v>1702</v>
      </c>
      <c r="C172" s="596" t="s">
        <v>70</v>
      </c>
      <c r="D172" s="613" t="s">
        <v>1125</v>
      </c>
      <c r="E172" s="703" t="s">
        <v>1543</v>
      </c>
      <c r="F172" s="703"/>
      <c r="G172" s="602">
        <v>0</v>
      </c>
      <c r="H172" s="596"/>
      <c r="I172" s="600" t="s">
        <v>631</v>
      </c>
      <c r="J172" s="823">
        <v>2004</v>
      </c>
      <c r="K172" s="823">
        <v>2009</v>
      </c>
      <c r="L172" s="601"/>
      <c r="M172" s="602" t="s">
        <v>18</v>
      </c>
      <c r="N172" s="601"/>
      <c r="O172" s="599" t="s">
        <v>48</v>
      </c>
      <c r="P172" s="602">
        <v>20</v>
      </c>
      <c r="Q172" s="602">
        <v>50</v>
      </c>
      <c r="R172" s="629">
        <f>(126*17 + 1029*24.5 + 563*40)/(126+1029+563)</f>
        <v>29.029394644935973</v>
      </c>
      <c r="S172" s="629"/>
      <c r="T172" s="629"/>
      <c r="U172" s="604">
        <v>1718</v>
      </c>
      <c r="V172" s="796">
        <v>0</v>
      </c>
      <c r="W172" s="718" t="s">
        <v>2033</v>
      </c>
      <c r="X172" s="121">
        <f>0*0.379 + 5.5*0.476 + 15*0.145</f>
        <v>4.7929999999999993</v>
      </c>
      <c r="Y172" s="446"/>
      <c r="Z172" s="446"/>
      <c r="AA172" s="505"/>
      <c r="AB172" s="505"/>
      <c r="AC172" s="442">
        <f>(41.3 + 42.6 + 47)/3</f>
        <v>43.633333333333333</v>
      </c>
      <c r="AD172" s="442">
        <f>(41.3 + 41.8 + 45.3)/3</f>
        <v>42.79999999999999</v>
      </c>
      <c r="AE172" s="442">
        <f>(7.3 + 5.6 + 7.5)/3</f>
        <v>6.8</v>
      </c>
      <c r="AF172" s="442">
        <f>(6.9 + 5.2 + 7.1)/3</f>
        <v>6.4000000000000012</v>
      </c>
      <c r="AK172" s="446"/>
      <c r="AL172" s="446"/>
      <c r="AM172" s="446"/>
      <c r="AN172" s="446"/>
      <c r="AO172" s="446"/>
      <c r="AP172" s="446"/>
      <c r="AQ172" s="446"/>
      <c r="AR172" s="446"/>
      <c r="AS172" s="446"/>
      <c r="AT172" s="446"/>
      <c r="AU172" s="446"/>
      <c r="AV172" s="446"/>
      <c r="AW172" s="474">
        <f>(0.9 + 0 + 0.2)/3</f>
        <v>0.3666666666666667</v>
      </c>
      <c r="AX172" s="446">
        <f>(0.6 + 0 + 0)/3</f>
        <v>0.19999999999999998</v>
      </c>
      <c r="AY172" s="446"/>
      <c r="AZ172" s="446"/>
      <c r="BA172" s="446"/>
      <c r="BB172" s="446"/>
      <c r="BC172" s="442"/>
      <c r="BD172" s="446"/>
      <c r="BE172" s="442"/>
      <c r="BF172" s="442"/>
      <c r="BG172" s="446"/>
      <c r="BH172" s="446"/>
      <c r="BI172" s="445">
        <f>(13 + 14.6 + 20.3)/3</f>
        <v>15.966666666666669</v>
      </c>
      <c r="BJ172" s="442">
        <f>(12.3 + 13.1 + 17.5)/3</f>
        <v>14.299999999999999</v>
      </c>
      <c r="BK172" s="442">
        <f>(13.2+17.1+19.5)/3</f>
        <v>16.599999999999998</v>
      </c>
      <c r="BL172" s="442">
        <f>(12.7+16.2+18.1)/3</f>
        <v>15.666666666666666</v>
      </c>
      <c r="BM172" s="442">
        <f>(30.7 + 19 + 26)/3</f>
        <v>25.233333333333334</v>
      </c>
      <c r="BN172" s="442">
        <f>(27+15.9+21.7)/3</f>
        <v>21.533333333333331</v>
      </c>
      <c r="BO172" s="442"/>
      <c r="BP172" s="442"/>
      <c r="BQ172" s="446"/>
      <c r="BR172" s="446"/>
      <c r="BS172" s="442">
        <f>(55.7+57.7)/2</f>
        <v>56.7</v>
      </c>
      <c r="BT172" s="446"/>
      <c r="BU172" s="446">
        <v>12</v>
      </c>
      <c r="BV172" s="442">
        <v>0</v>
      </c>
      <c r="BW172" s="442"/>
      <c r="BX172" s="573"/>
      <c r="BY172" s="854"/>
      <c r="BZ172" s="854"/>
      <c r="CA172" s="854"/>
      <c r="CB172" s="854"/>
      <c r="CC172" s="854"/>
      <c r="CD172" s="854"/>
      <c r="CE172" s="854"/>
      <c r="CF172" s="854"/>
      <c r="CG172" s="169"/>
      <c r="CH172" s="419" t="s">
        <v>1544</v>
      </c>
      <c r="CI172" s="406" t="s">
        <v>1545</v>
      </c>
      <c r="CJ172" s="23"/>
      <c r="CK172" s="417" t="s">
        <v>2174</v>
      </c>
      <c r="CL172" s="417"/>
      <c r="CM172" s="648"/>
      <c r="CR172" s="845" t="str">
        <f t="shared" si="11"/>
        <v>2004_eInd</v>
      </c>
      <c r="CS172" s="648" t="str">
        <f t="shared" si="12"/>
        <v xml:space="preserve">East India: Orissa, West Bengal, Jharkhand: </v>
      </c>
      <c r="CT172" s="35">
        <f t="shared" si="5"/>
        <v>2004</v>
      </c>
      <c r="CU172" s="23" t="str">
        <f t="shared" si="6"/>
        <v>both</v>
      </c>
      <c r="CV172" s="23" t="str">
        <f t="shared" si="13"/>
        <v>II</v>
      </c>
      <c r="CW172" s="579" t="str">
        <f t="shared" si="7"/>
        <v/>
      </c>
      <c r="CX172" s="23" t="str">
        <f t="shared" si="8"/>
        <v/>
      </c>
      <c r="CY172" s="35" t="str">
        <f t="shared" si="14"/>
        <v>20-45</v>
      </c>
      <c r="CZ172" s="35">
        <f t="shared" si="15"/>
        <v>1718</v>
      </c>
      <c r="DA172" s="648" t="str">
        <f t="shared" si="10"/>
        <v xml:space="preserve">Babu B.V. &amp; Kar S.K. (2009), ‘Domestic violence against women in eastern India: a population-based study on prevalence and related issues’, BMC Public Health, 9:129 </v>
      </c>
    </row>
    <row r="173" spans="1:105" s="35" customFormat="1" ht="12" customHeight="1" thickBot="1" x14ac:dyDescent="0.25">
      <c r="A173" s="651"/>
      <c r="B173" s="540" t="s">
        <v>1702</v>
      </c>
      <c r="C173" s="521" t="s">
        <v>70</v>
      </c>
      <c r="D173" s="616" t="s">
        <v>1125</v>
      </c>
      <c r="E173" s="704" t="s">
        <v>1543</v>
      </c>
      <c r="F173" s="704"/>
      <c r="G173" s="608">
        <v>0</v>
      </c>
      <c r="H173" s="521"/>
      <c r="I173" s="606" t="s">
        <v>631</v>
      </c>
      <c r="J173" s="824">
        <v>2004</v>
      </c>
      <c r="K173" s="824">
        <v>2009</v>
      </c>
      <c r="L173" s="523"/>
      <c r="M173" s="608" t="s">
        <v>289</v>
      </c>
      <c r="N173" s="523"/>
      <c r="O173" s="524" t="s">
        <v>48</v>
      </c>
      <c r="P173" s="608">
        <v>20</v>
      </c>
      <c r="Q173" s="608">
        <v>50</v>
      </c>
      <c r="R173" s="322">
        <f>(126*17 + 1029*24.5 + 563*40)/(126+1029+563)</f>
        <v>29.029394644935973</v>
      </c>
      <c r="S173" s="322"/>
      <c r="T173" s="322"/>
      <c r="U173" s="610">
        <v>1715</v>
      </c>
      <c r="V173" s="797">
        <v>0</v>
      </c>
      <c r="W173" s="719" t="s">
        <v>2033</v>
      </c>
      <c r="X173" s="121">
        <f>0*0.379 + 5.5*0.476 + 15*0.145</f>
        <v>4.7929999999999993</v>
      </c>
      <c r="Y173" s="446"/>
      <c r="Z173" s="446"/>
      <c r="AA173" s="446"/>
      <c r="AB173" s="446"/>
      <c r="AC173" s="446"/>
      <c r="AD173" s="446"/>
      <c r="AE173" s="446"/>
      <c r="AF173" s="446"/>
      <c r="AG173" s="446"/>
      <c r="AH173" s="446"/>
      <c r="AI173" s="446"/>
      <c r="AJ173" s="446"/>
      <c r="AK173" s="446"/>
      <c r="AL173" s="446"/>
      <c r="AM173" s="446"/>
      <c r="AN173" s="446"/>
      <c r="AO173" s="446"/>
      <c r="AP173" s="446"/>
      <c r="AQ173" s="446"/>
      <c r="AR173" s="446"/>
      <c r="AS173" s="446"/>
      <c r="AT173" s="446"/>
      <c r="AU173" s="446"/>
      <c r="AV173" s="446"/>
      <c r="AW173" s="474"/>
      <c r="AX173" s="446"/>
      <c r="AY173" s="446"/>
      <c r="AZ173" s="446"/>
      <c r="BA173" s="446"/>
      <c r="BB173" s="446"/>
      <c r="BC173" s="446"/>
      <c r="BD173" s="446"/>
      <c r="BE173" s="442"/>
      <c r="BF173" s="442"/>
      <c r="BG173" s="446"/>
      <c r="BH173" s="446"/>
      <c r="BI173" s="445">
        <v>21.9</v>
      </c>
      <c r="BJ173" s="442"/>
      <c r="BK173" s="442"/>
      <c r="BL173" s="442"/>
      <c r="BM173" s="442">
        <v>17.100000000000001</v>
      </c>
      <c r="BN173" s="442"/>
      <c r="BO173" s="442"/>
      <c r="BP173" s="442"/>
      <c r="BQ173" s="446"/>
      <c r="BR173" s="446"/>
      <c r="BS173" s="442">
        <f>(55.7+57.7)/2</f>
        <v>56.7</v>
      </c>
      <c r="BT173" s="446"/>
      <c r="BU173" s="446">
        <v>12</v>
      </c>
      <c r="BV173" s="442">
        <v>0</v>
      </c>
      <c r="BW173" s="442"/>
      <c r="BX173" s="573"/>
      <c r="BY173" s="854"/>
      <c r="BZ173" s="854"/>
      <c r="CA173" s="854"/>
      <c r="CB173" s="854"/>
      <c r="CC173" s="854"/>
      <c r="CD173" s="854"/>
      <c r="CE173" s="854"/>
      <c r="CF173" s="854"/>
      <c r="CG173" s="169"/>
      <c r="CH173" s="419" t="s">
        <v>1544</v>
      </c>
      <c r="CI173" s="406" t="s">
        <v>1545</v>
      </c>
      <c r="CJ173" s="23"/>
      <c r="CK173" s="417" t="s">
        <v>2174</v>
      </c>
      <c r="CL173" s="648"/>
      <c r="CM173" s="419" t="s">
        <v>1912</v>
      </c>
      <c r="CR173" s="845" t="str">
        <f t="shared" si="11"/>
        <v>2004_eInd</v>
      </c>
      <c r="CS173" s="648" t="str">
        <f t="shared" si="12"/>
        <v xml:space="preserve">East India: Orissa, West Bengal, Jharkhand: </v>
      </c>
      <c r="CT173" s="35" t="str">
        <f t="shared" si="5"/>
        <v/>
      </c>
      <c r="CU173" s="23" t="str">
        <f t="shared" si="6"/>
        <v>both</v>
      </c>
      <c r="CV173" s="23" t="str">
        <f t="shared" si="13"/>
        <v>VII</v>
      </c>
      <c r="CW173" s="579" t="str">
        <f t="shared" si="7"/>
        <v/>
      </c>
      <c r="CX173" s="23" t="str">
        <f t="shared" si="8"/>
        <v/>
      </c>
      <c r="CY173" s="35" t="str">
        <f t="shared" si="14"/>
        <v>20-45</v>
      </c>
      <c r="CZ173" s="35">
        <f t="shared" si="15"/>
        <v>1715</v>
      </c>
      <c r="DA173" s="648" t="str">
        <f t="shared" si="10"/>
        <v xml:space="preserve">Babu B.V. &amp; Kar S.K. (2009), ‘Domestic violence against women in eastern India: a population-based study on prevalence and related issues’, BMC Public Health, 9:129 </v>
      </c>
    </row>
    <row r="174" spans="1:105" s="35" customFormat="1" ht="12" customHeight="1" x14ac:dyDescent="0.2">
      <c r="A174" s="651"/>
      <c r="B174" s="537" t="s">
        <v>2602</v>
      </c>
      <c r="C174" s="97" t="s">
        <v>70</v>
      </c>
      <c r="D174" s="169" t="s">
        <v>1125</v>
      </c>
      <c r="E174" s="647" t="s">
        <v>1884</v>
      </c>
      <c r="F174" s="647" t="s">
        <v>1941</v>
      </c>
      <c r="G174" s="98"/>
      <c r="H174" s="97"/>
      <c r="I174" s="166">
        <v>2004</v>
      </c>
      <c r="J174" s="571">
        <v>2004</v>
      </c>
      <c r="K174" s="571">
        <v>2006</v>
      </c>
      <c r="L174" s="493" t="s">
        <v>1574</v>
      </c>
      <c r="M174" s="98" t="s">
        <v>18</v>
      </c>
      <c r="N174" s="493"/>
      <c r="O174" s="98" t="s">
        <v>2604</v>
      </c>
      <c r="P174" s="98">
        <f>15+3</f>
        <v>18</v>
      </c>
      <c r="Q174" s="98">
        <f>49+3</f>
        <v>52</v>
      </c>
      <c r="R174" s="121"/>
      <c r="S174" s="121"/>
      <c r="T174" s="121"/>
      <c r="U174" s="393">
        <v>144</v>
      </c>
      <c r="V174" s="694">
        <v>0</v>
      </c>
      <c r="W174" s="717" t="s">
        <v>2603</v>
      </c>
      <c r="X174" s="277">
        <f>0*0.042 + 3*0.114 + 9*0.625 + 15*0.219</f>
        <v>9.2519999999999989</v>
      </c>
      <c r="Y174" s="446"/>
      <c r="Z174" s="446"/>
      <c r="AA174" s="446"/>
      <c r="AB174" s="446"/>
      <c r="AC174" s="446"/>
      <c r="AD174" s="446"/>
      <c r="AE174" s="446"/>
      <c r="AF174" s="446"/>
      <c r="AG174" s="446"/>
      <c r="AH174" s="446"/>
      <c r="AI174" s="446"/>
      <c r="AJ174" s="446"/>
      <c r="AK174" s="446"/>
      <c r="AL174" s="446"/>
      <c r="AM174" s="446"/>
      <c r="AN174" s="446"/>
      <c r="AO174" s="446"/>
      <c r="AP174" s="446"/>
      <c r="AQ174" s="446"/>
      <c r="AR174" s="446"/>
      <c r="AS174" s="446"/>
      <c r="AT174" s="446"/>
      <c r="AU174" s="446"/>
      <c r="AV174" s="446"/>
      <c r="AW174" s="474"/>
      <c r="AX174" s="446"/>
      <c r="AY174" s="446"/>
      <c r="AZ174" s="446"/>
      <c r="BA174" s="446"/>
      <c r="BB174" s="446"/>
      <c r="BC174" s="446"/>
      <c r="BD174" s="446"/>
      <c r="BE174" s="442"/>
      <c r="BF174" s="442"/>
      <c r="BG174" s="446"/>
      <c r="BH174" s="446"/>
      <c r="BI174" s="445"/>
      <c r="BJ174" s="442"/>
      <c r="BK174" s="442"/>
      <c r="BL174" s="442"/>
      <c r="BM174" s="442"/>
      <c r="BN174" s="442"/>
      <c r="BO174" s="442"/>
      <c r="BP174" s="442"/>
      <c r="BQ174" s="446"/>
      <c r="BR174" s="446"/>
      <c r="BS174" s="442">
        <f>100*(59+10)/(130+14)</f>
        <v>47.916666666666664</v>
      </c>
      <c r="BT174" s="446"/>
      <c r="BU174" s="446"/>
      <c r="BV174" s="442"/>
      <c r="BW174" s="442"/>
      <c r="BX174" s="573"/>
      <c r="BY174" s="854"/>
      <c r="BZ174" s="854"/>
      <c r="CA174" s="854"/>
      <c r="CB174" s="854"/>
      <c r="CC174" s="854"/>
      <c r="CD174" s="854"/>
      <c r="CE174" s="854"/>
      <c r="CF174" s="854"/>
      <c r="CG174" s="169"/>
      <c r="CH174" s="419" t="s">
        <v>2599</v>
      </c>
      <c r="CI174" s="406" t="s">
        <v>2582</v>
      </c>
      <c r="CJ174" s="406"/>
      <c r="CK174" s="417" t="s">
        <v>2598</v>
      </c>
      <c r="CL174" s="648"/>
      <c r="CM174" s="419"/>
      <c r="CR174" s="845" t="str">
        <f t="shared" si="11"/>
        <v>2004_Ker</v>
      </c>
      <c r="CS174" s="648" t="str">
        <f t="shared" si="12"/>
        <v>Kerala: Thiruvananthapuram</v>
      </c>
      <c r="CT174" s="35" t="str">
        <f t="shared" si="5"/>
        <v/>
      </c>
      <c r="CU174" s="23" t="str">
        <f t="shared" si="6"/>
        <v>both</v>
      </c>
      <c r="CV174" s="23" t="str">
        <f t="shared" si="13"/>
        <v>II</v>
      </c>
      <c r="CW174" s="579" t="str">
        <f t="shared" si="7"/>
        <v>ICRW</v>
      </c>
      <c r="CX174" s="23" t="str">
        <f t="shared" si="8"/>
        <v/>
      </c>
      <c r="CY174" s="35" t="str">
        <f t="shared" si="14"/>
        <v>18-52</v>
      </c>
      <c r="CZ174" s="35">
        <f t="shared" si="15"/>
        <v>144</v>
      </c>
      <c r="DA174" s="648" t="str">
        <f t="shared" si="10"/>
        <v>Panda P., Gupta J., Bulankulame I., Bhatla N., Chakraborty S. &amp; Duvvury N. (2006), ‘Property ownership &amp; inheritance rights of women for social protection – the South Asia experience’, International Center for Research on Women: Washington, DC.</v>
      </c>
    </row>
    <row r="175" spans="1:105" s="35" customFormat="1" ht="12" customHeight="1" x14ac:dyDescent="0.2">
      <c r="A175" s="651"/>
      <c r="B175" s="537" t="s">
        <v>1871</v>
      </c>
      <c r="C175" s="97" t="s">
        <v>70</v>
      </c>
      <c r="D175" s="169" t="s">
        <v>1125</v>
      </c>
      <c r="E175" s="647" t="s">
        <v>1652</v>
      </c>
      <c r="F175" s="638" t="s">
        <v>1921</v>
      </c>
      <c r="G175" s="98">
        <v>1</v>
      </c>
      <c r="H175" s="478">
        <v>2</v>
      </c>
      <c r="I175" s="166">
        <v>2004</v>
      </c>
      <c r="J175" s="571">
        <v>2004</v>
      </c>
      <c r="K175" s="571">
        <v>2008</v>
      </c>
      <c r="L175" s="493"/>
      <c r="M175" s="98" t="s">
        <v>18</v>
      </c>
      <c r="N175" s="493"/>
      <c r="O175" s="98" t="s">
        <v>546</v>
      </c>
      <c r="P175" s="98">
        <v>15</v>
      </c>
      <c r="Q175" s="98">
        <v>45</v>
      </c>
      <c r="R175" s="167"/>
      <c r="S175" s="167"/>
      <c r="T175" s="121">
        <f>2.5*(0.783*83 + 0.385*52)/(83+52) + 12*(0.217*83 + 0.615*52)/(83+52)</f>
        <v>6.017885185185186</v>
      </c>
      <c r="U175" s="393">
        <v>135</v>
      </c>
      <c r="V175" s="694">
        <v>0</v>
      </c>
      <c r="W175" s="711"/>
      <c r="X175" s="167"/>
      <c r="Y175" s="446"/>
      <c r="Z175" s="446"/>
      <c r="AA175" s="442">
        <v>73.3</v>
      </c>
      <c r="AB175" s="446"/>
      <c r="AC175" s="446"/>
      <c r="AD175" s="446"/>
      <c r="AE175" s="446"/>
      <c r="AF175" s="446"/>
      <c r="AG175" s="446"/>
      <c r="AH175" s="446"/>
      <c r="AI175" s="446"/>
      <c r="AJ175" s="446"/>
      <c r="AL175" s="446"/>
      <c r="AM175" s="442">
        <f>0.988*BI175</f>
        <v>60.762</v>
      </c>
      <c r="AN175" s="446"/>
      <c r="AO175" s="442">
        <f>0.241*$BI175</f>
        <v>14.8215</v>
      </c>
      <c r="AP175" s="446"/>
      <c r="AQ175" s="442">
        <f>0.398*$BI175</f>
        <v>24.477</v>
      </c>
      <c r="AR175" s="446"/>
      <c r="AT175" s="446"/>
      <c r="AU175" s="454">
        <f>0.337*$BI175</f>
        <v>20.7255</v>
      </c>
      <c r="AV175" s="446"/>
      <c r="AW175" s="446"/>
      <c r="AX175" s="446"/>
      <c r="BA175" s="442">
        <f>0.241*$BI175</f>
        <v>14.8215</v>
      </c>
      <c r="BB175" s="446"/>
      <c r="BE175" s="453"/>
      <c r="BF175" s="453"/>
      <c r="BG175" s="446"/>
      <c r="BH175" s="446"/>
      <c r="BI175" s="442">
        <v>61.5</v>
      </c>
      <c r="BJ175" s="453">
        <v>18.100000000000001</v>
      </c>
      <c r="BK175" s="453"/>
      <c r="BL175" s="453"/>
      <c r="BN175" s="445"/>
      <c r="BO175" s="445">
        <v>65.2</v>
      </c>
      <c r="BP175" s="445"/>
      <c r="BQ175" s="271"/>
      <c r="BR175" s="271"/>
      <c r="BS175" s="271"/>
      <c r="BT175" s="271"/>
      <c r="BU175" s="271">
        <v>9</v>
      </c>
      <c r="BV175" s="454">
        <v>0</v>
      </c>
      <c r="BW175" s="454"/>
      <c r="BX175" s="573">
        <v>0</v>
      </c>
      <c r="BY175" s="854"/>
      <c r="BZ175" s="854"/>
      <c r="CA175" s="854"/>
      <c r="CB175" s="854"/>
      <c r="CC175" s="854"/>
      <c r="CD175" s="854"/>
      <c r="CE175" s="854"/>
      <c r="CF175" s="854"/>
      <c r="CG175" s="169"/>
      <c r="CH175" s="419" t="s">
        <v>1875</v>
      </c>
      <c r="CI175" s="406" t="s">
        <v>1868</v>
      </c>
      <c r="CJ175" s="23"/>
      <c r="CK175" s="426" t="s">
        <v>1876</v>
      </c>
      <c r="CL175" s="572"/>
      <c r="CM175" s="648"/>
      <c r="CR175" s="845" t="str">
        <f t="shared" si="11"/>
        <v>2004_Pun</v>
      </c>
      <c r="CS175" s="648" t="str">
        <f t="shared" si="12"/>
        <v>Maharashtra: Mangalwarpeth, Pune</v>
      </c>
      <c r="CT175" s="35">
        <f t="shared" si="5"/>
        <v>2004</v>
      </c>
      <c r="CU175" s="23" t="str">
        <f t="shared" si="6"/>
        <v>urban</v>
      </c>
      <c r="CV175" s="23" t="str">
        <f t="shared" si="13"/>
        <v>II</v>
      </c>
      <c r="CW175" s="579" t="str">
        <f t="shared" si="7"/>
        <v/>
      </c>
      <c r="CX175" s="23" t="str">
        <f t="shared" si="8"/>
        <v/>
      </c>
      <c r="CY175" s="35" t="str">
        <f t="shared" si="14"/>
        <v>15-45</v>
      </c>
      <c r="CZ175" s="35">
        <f t="shared" si="15"/>
        <v>135</v>
      </c>
      <c r="DA175" s="648" t="str">
        <f t="shared" si="10"/>
        <v>Ruikar M.M. &amp; Pratinidhi A.K. (2008), ‘Physical wife abuse in an urban slum of Pune, Maharastra’, Indian Journal of Public Health 52(4):215-7.</v>
      </c>
    </row>
    <row r="176" spans="1:105" s="35" customFormat="1" ht="12" customHeight="1" x14ac:dyDescent="0.2">
      <c r="B176" s="537" t="s">
        <v>1904</v>
      </c>
      <c r="C176" s="97" t="s">
        <v>70</v>
      </c>
      <c r="D176" s="169" t="s">
        <v>1125</v>
      </c>
      <c r="E176" s="647" t="s">
        <v>1752</v>
      </c>
      <c r="F176" s="647" t="s">
        <v>1905</v>
      </c>
      <c r="G176" s="98">
        <v>0</v>
      </c>
      <c r="H176" s="478">
        <v>2</v>
      </c>
      <c r="I176" s="166" t="s">
        <v>235</v>
      </c>
      <c r="J176" s="571">
        <v>2005</v>
      </c>
      <c r="K176" s="571">
        <v>2010</v>
      </c>
      <c r="L176" s="493"/>
      <c r="M176" s="479" t="s">
        <v>17</v>
      </c>
      <c r="N176" s="494" t="s">
        <v>783</v>
      </c>
      <c r="O176" s="98" t="s">
        <v>19</v>
      </c>
      <c r="P176" s="98">
        <v>15</v>
      </c>
      <c r="Q176" s="98">
        <v>49</v>
      </c>
      <c r="R176" s="167"/>
      <c r="S176" s="167"/>
      <c r="T176" s="167"/>
      <c r="U176" s="393">
        <v>350</v>
      </c>
      <c r="V176" s="694">
        <v>0</v>
      </c>
      <c r="W176" s="717" t="s">
        <v>2036</v>
      </c>
      <c r="X176" s="121">
        <f>0*0.183 + 3*0.117 + 12*0.7</f>
        <v>8.7509999999999994</v>
      </c>
      <c r="Y176" s="446"/>
      <c r="Z176" s="446"/>
      <c r="AA176" s="446"/>
      <c r="AB176" s="446"/>
      <c r="AC176" s="446"/>
      <c r="AD176" s="446"/>
      <c r="AE176" s="446"/>
      <c r="AF176" s="446"/>
      <c r="AG176" s="446"/>
      <c r="AH176" s="446"/>
      <c r="AI176" s="446"/>
      <c r="AJ176" s="446"/>
      <c r="AK176" s="446"/>
      <c r="AL176" s="446"/>
      <c r="AM176" s="442"/>
      <c r="AN176" s="446"/>
      <c r="AO176" s="446"/>
      <c r="AP176" s="446"/>
      <c r="AQ176" s="442"/>
      <c r="AR176" s="446"/>
      <c r="AS176" s="446"/>
      <c r="AT176" s="446"/>
      <c r="AU176" s="454"/>
      <c r="AV176" s="446"/>
      <c r="AW176" s="446"/>
      <c r="AX176" s="446"/>
      <c r="AY176" s="446"/>
      <c r="AZ176" s="446"/>
      <c r="BA176" s="446"/>
      <c r="BB176" s="446"/>
      <c r="BC176" s="440"/>
      <c r="BD176" s="446"/>
      <c r="BE176" s="445"/>
      <c r="BF176" s="445"/>
      <c r="BG176" s="446"/>
      <c r="BH176" s="446"/>
      <c r="BI176" s="442"/>
      <c r="BJ176" s="445"/>
      <c r="BK176" s="445"/>
      <c r="BL176" s="445"/>
      <c r="BM176" s="445"/>
      <c r="BN176" s="445"/>
      <c r="BO176" s="445"/>
      <c r="BP176" s="445"/>
      <c r="BQ176" s="454">
        <v>34.9</v>
      </c>
      <c r="BR176" s="454">
        <v>29.1</v>
      </c>
      <c r="BS176" s="454">
        <v>42.8</v>
      </c>
      <c r="BT176" s="271"/>
      <c r="BU176" s="271">
        <v>12</v>
      </c>
      <c r="BV176" s="454">
        <v>1</v>
      </c>
      <c r="BW176" s="454"/>
      <c r="BX176" s="573"/>
      <c r="BY176" s="854"/>
      <c r="BZ176" s="854"/>
      <c r="CA176" s="854"/>
      <c r="CB176" s="854"/>
      <c r="CC176" s="854"/>
      <c r="CD176" s="854"/>
      <c r="CE176" s="854"/>
      <c r="CF176" s="854"/>
      <c r="CG176" s="169"/>
      <c r="CH176" s="419" t="s">
        <v>1924</v>
      </c>
      <c r="CI176" s="406" t="s">
        <v>1906</v>
      </c>
      <c r="CJ176" s="23"/>
      <c r="CK176" s="426" t="s">
        <v>1907</v>
      </c>
      <c r="CL176" s="572"/>
      <c r="CM176" s="648"/>
      <c r="CR176" s="845" t="str">
        <f t="shared" si="11"/>
        <v>2005_Del</v>
      </c>
      <c r="CS176" s="648" t="str">
        <f t="shared" si="12"/>
        <v>Delhi: Raj Nagar-I, near Palam</v>
      </c>
      <c r="CT176" s="35" t="str">
        <f t="shared" si="5"/>
        <v/>
      </c>
      <c r="CU176" s="23" t="str">
        <f t="shared" si="6"/>
        <v>urban</v>
      </c>
      <c r="CV176" s="23" t="str">
        <f t="shared" si="13"/>
        <v>I</v>
      </c>
      <c r="CW176" s="579" t="str">
        <f t="shared" si="7"/>
        <v/>
      </c>
      <c r="CX176" s="23" t="str">
        <f t="shared" si="8"/>
        <v>y</v>
      </c>
      <c r="CY176" s="35" t="str">
        <f t="shared" si="14"/>
        <v>15-49</v>
      </c>
      <c r="CZ176" s="35">
        <f t="shared" si="15"/>
        <v>350</v>
      </c>
      <c r="DA176" s="648" t="str">
        <f t="shared" si="10"/>
        <v>Vachher S.A. &amp; Sharma A.K. (2010), ‘Domestic violence against women and their mental health status in a colony in Delhi’, Indian Journal of Community Medicine 35(3):403-5.</v>
      </c>
    </row>
    <row r="177" spans="1:105" s="35" customFormat="1" ht="12" customHeight="1" x14ac:dyDescent="0.2">
      <c r="A177" s="651"/>
      <c r="B177" s="537" t="s">
        <v>2073</v>
      </c>
      <c r="C177" s="97" t="s">
        <v>70</v>
      </c>
      <c r="D177" s="169" t="s">
        <v>1125</v>
      </c>
      <c r="E177" s="647" t="s">
        <v>1581</v>
      </c>
      <c r="F177" s="647" t="s">
        <v>2037</v>
      </c>
      <c r="G177" s="98">
        <v>1</v>
      </c>
      <c r="H177" s="478">
        <v>2</v>
      </c>
      <c r="I177" s="166" t="s">
        <v>631</v>
      </c>
      <c r="J177" s="571">
        <v>2005</v>
      </c>
      <c r="K177" s="571">
        <v>2008</v>
      </c>
      <c r="L177" s="493"/>
      <c r="M177" s="98" t="s">
        <v>18</v>
      </c>
      <c r="N177" s="494"/>
      <c r="O177" s="98" t="s">
        <v>546</v>
      </c>
      <c r="P177" s="98">
        <v>15</v>
      </c>
      <c r="Q177" s="98">
        <v>45</v>
      </c>
      <c r="R177" s="167"/>
      <c r="S177" s="167"/>
      <c r="T177" s="121">
        <f>(2*97 + 5*215 + 8*1 + 11*332)/645</f>
        <v>7.6418604651162791</v>
      </c>
      <c r="U177" s="393">
        <v>751</v>
      </c>
      <c r="V177" s="694">
        <v>0</v>
      </c>
      <c r="W177" s="711"/>
      <c r="X177" s="167"/>
      <c r="Y177" s="446"/>
      <c r="Z177" s="446"/>
      <c r="AA177" s="446"/>
      <c r="AB177" s="446"/>
      <c r="AC177" s="446"/>
      <c r="AD177" s="446"/>
      <c r="AE177" s="446"/>
      <c r="AF177" s="446"/>
      <c r="AG177" s="446"/>
      <c r="AH177" s="446"/>
      <c r="AI177" s="446"/>
      <c r="AJ177" s="446"/>
      <c r="AK177" s="446"/>
      <c r="AL177" s="442">
        <v>0.8</v>
      </c>
      <c r="AM177" s="442"/>
      <c r="AN177" s="446"/>
      <c r="AO177" s="446"/>
      <c r="AP177" s="446"/>
      <c r="AQ177" s="442"/>
      <c r="AR177" s="446"/>
      <c r="AS177" s="446"/>
      <c r="AT177" s="446"/>
      <c r="AU177" s="454"/>
      <c r="AV177" s="446"/>
      <c r="AW177" s="446"/>
      <c r="AX177" s="446"/>
      <c r="AY177" s="446"/>
      <c r="AZ177" s="446"/>
      <c r="BA177" s="446"/>
      <c r="BB177" s="442">
        <v>5.3</v>
      </c>
      <c r="BC177" s="440"/>
      <c r="BD177" s="446"/>
      <c r="BE177" s="445"/>
      <c r="BF177" s="445"/>
      <c r="BG177" s="446"/>
      <c r="BH177" s="446"/>
      <c r="BI177" s="442"/>
      <c r="BJ177" s="445">
        <v>17.600000000000001</v>
      </c>
      <c r="BK177" s="445"/>
      <c r="BL177" s="445"/>
      <c r="BM177" s="445"/>
      <c r="BN177" s="445"/>
      <c r="BO177" s="445"/>
      <c r="BP177" s="445"/>
      <c r="BQ177" s="454"/>
      <c r="BR177" s="454"/>
      <c r="BS177" s="454"/>
      <c r="BT177" s="271"/>
      <c r="BU177" s="271">
        <v>12</v>
      </c>
      <c r="BV177" s="454">
        <v>0</v>
      </c>
      <c r="BW177" s="454"/>
      <c r="BX177" s="573"/>
      <c r="BY177" s="854"/>
      <c r="BZ177" s="854"/>
      <c r="CA177" s="854"/>
      <c r="CB177" s="854"/>
      <c r="CC177" s="854"/>
      <c r="CD177" s="854"/>
      <c r="CE177" s="854"/>
      <c r="CF177" s="854"/>
      <c r="CG177" s="169"/>
      <c r="CH177" s="417" t="s">
        <v>1970</v>
      </c>
      <c r="CI177" s="406" t="s">
        <v>1971</v>
      </c>
      <c r="CJ177" s="23"/>
      <c r="CK177" s="426" t="s">
        <v>1972</v>
      </c>
      <c r="CL177" s="572"/>
      <c r="CM177" s="648"/>
      <c r="CR177" s="845" t="str">
        <f t="shared" si="11"/>
        <v>2005_Kol</v>
      </c>
      <c r="CS177" s="648" t="str">
        <f t="shared" si="12"/>
        <v>West Bengal: southwest Kolkata</v>
      </c>
      <c r="CT177" s="35">
        <f t="shared" si="5"/>
        <v>2005</v>
      </c>
      <c r="CU177" s="23" t="str">
        <f t="shared" si="6"/>
        <v>urban</v>
      </c>
      <c r="CV177" s="23" t="str">
        <f t="shared" si="13"/>
        <v>II</v>
      </c>
      <c r="CW177" s="579" t="str">
        <f t="shared" si="7"/>
        <v/>
      </c>
      <c r="CX177" s="23" t="str">
        <f t="shared" si="8"/>
        <v/>
      </c>
      <c r="CY177" s="35" t="str">
        <f t="shared" si="14"/>
        <v>15-45</v>
      </c>
      <c r="CZ177" s="35">
        <f t="shared" si="15"/>
        <v>751</v>
      </c>
      <c r="DA177" s="648" t="str">
        <f t="shared" si="10"/>
        <v>Pandey G.K., Dutt D. &amp; Banerjee B. (2009), ‘Partner and relationship factors in domestic violence: perspectives of women from a slum in Calcutta, India’, Journal of Interpersonal Violence 24(7):1175-91.</v>
      </c>
    </row>
    <row r="178" spans="1:105" ht="12" customHeight="1" thickBot="1" x14ac:dyDescent="0.25">
      <c r="A178" s="651"/>
      <c r="B178" s="537" t="s">
        <v>1860</v>
      </c>
      <c r="C178" s="390" t="s">
        <v>70</v>
      </c>
      <c r="D178" s="36" t="s">
        <v>1125</v>
      </c>
      <c r="E178" s="647" t="s">
        <v>1650</v>
      </c>
      <c r="F178" s="647" t="s">
        <v>1885</v>
      </c>
      <c r="G178" s="237"/>
      <c r="H178" s="478">
        <v>2</v>
      </c>
      <c r="I178" s="533">
        <v>2005</v>
      </c>
      <c r="J178" s="128">
        <v>2005</v>
      </c>
      <c r="K178" s="571">
        <v>2007</v>
      </c>
      <c r="M178" s="247" t="s">
        <v>78</v>
      </c>
      <c r="N178" s="469" t="s">
        <v>1859</v>
      </c>
      <c r="O178" s="479" t="s">
        <v>1858</v>
      </c>
      <c r="P178" s="237">
        <v>16</v>
      </c>
      <c r="Q178" s="247">
        <v>34</v>
      </c>
      <c r="R178" s="291">
        <v>23</v>
      </c>
      <c r="S178" s="291"/>
      <c r="T178" s="291"/>
      <c r="U178" s="394">
        <v>203</v>
      </c>
      <c r="V178" s="727">
        <v>1</v>
      </c>
      <c r="W178" s="722" t="s">
        <v>2039</v>
      </c>
      <c r="X178" s="277">
        <f>0*0.13 + 7.5*0.76 + 15*0.1</f>
        <v>7.2</v>
      </c>
      <c r="Y178" s="450"/>
      <c r="Z178" s="450"/>
      <c r="AA178" s="450"/>
      <c r="AB178" s="450"/>
      <c r="AC178" s="450"/>
      <c r="AD178" s="450"/>
      <c r="AE178" s="450"/>
      <c r="AF178" s="450"/>
      <c r="AG178" s="450"/>
      <c r="AH178" s="450"/>
      <c r="AI178" s="450"/>
      <c r="AJ178" s="450"/>
      <c r="AK178" s="450"/>
      <c r="AL178" s="450"/>
      <c r="AM178" s="450"/>
      <c r="AN178" s="450"/>
      <c r="AO178" s="450"/>
      <c r="AP178" s="450"/>
      <c r="AQ178" s="450"/>
      <c r="AR178" s="450"/>
      <c r="AS178" s="450"/>
      <c r="AU178" s="450"/>
      <c r="AV178" s="450"/>
      <c r="AW178" s="450"/>
      <c r="AX178" s="450"/>
      <c r="AY178" s="450"/>
      <c r="AZ178" s="450"/>
      <c r="BC178" s="450"/>
      <c r="BD178" s="450"/>
      <c r="BE178" s="442"/>
      <c r="BF178" s="442"/>
      <c r="BG178" s="450"/>
      <c r="BH178" s="450"/>
      <c r="BI178" s="442"/>
      <c r="BJ178" s="442">
        <v>14</v>
      </c>
      <c r="BK178" s="442"/>
      <c r="BL178" s="442"/>
      <c r="BM178" s="442"/>
      <c r="BN178" s="442">
        <v>9</v>
      </c>
      <c r="BO178" s="442"/>
      <c r="BP178" s="442"/>
      <c r="BQ178" s="444"/>
      <c r="BR178" s="444"/>
      <c r="BS178" s="442"/>
      <c r="BT178" s="442"/>
      <c r="BU178" s="442">
        <v>12</v>
      </c>
      <c r="BV178" s="442">
        <v>0</v>
      </c>
      <c r="BW178" s="442"/>
      <c r="BX178" s="573"/>
      <c r="BY178" s="854"/>
      <c r="BZ178" s="854"/>
      <c r="CA178" s="854"/>
      <c r="CB178" s="854"/>
      <c r="CC178" s="854"/>
      <c r="CD178" s="854"/>
      <c r="CE178" s="854"/>
      <c r="CF178" s="854"/>
      <c r="CG178" s="36"/>
      <c r="CH178" s="417" t="s">
        <v>1648</v>
      </c>
      <c r="CI178" s="406" t="s">
        <v>1639</v>
      </c>
      <c r="CJ178" s="23"/>
      <c r="CK178" s="469" t="s">
        <v>1649</v>
      </c>
      <c r="CL178" s="692"/>
      <c r="CR178" s="845" t="str">
        <f t="shared" si="11"/>
        <v>2005_Ban1</v>
      </c>
      <c r="CS178" s="648" t="str">
        <f t="shared" si="12"/>
        <v>Karnataka: Bangalore: antenatal outpatients</v>
      </c>
      <c r="CT178" s="35" t="str">
        <f t="shared" si="5"/>
        <v/>
      </c>
      <c r="CU178" s="23" t="str">
        <f t="shared" si="6"/>
        <v>urban</v>
      </c>
      <c r="CV178" s="23" t="str">
        <f t="shared" si="13"/>
        <v>IV</v>
      </c>
      <c r="CW178" s="579" t="str">
        <f t="shared" si="7"/>
        <v/>
      </c>
      <c r="CX178" s="23" t="str">
        <f t="shared" si="8"/>
        <v/>
      </c>
      <c r="CY178" s="35" t="str">
        <f t="shared" si="14"/>
        <v>16-34</v>
      </c>
      <c r="CZ178" s="35">
        <f t="shared" si="15"/>
        <v>203</v>
      </c>
      <c r="DA178" s="648" t="str">
        <f t="shared" si="10"/>
        <v>Varma D., Chandra P.S., Thomas T. &amp; Carey M.P. (2007), ‘Intimate partner violence and sexual coercion among pregnant women in India: Relationship with depression and post-traumatic stress disorder’, Journal of Affective Disorders 102:227-35.</v>
      </c>
    </row>
    <row r="179" spans="1:105" s="35" customFormat="1" ht="12" customHeight="1" x14ac:dyDescent="0.2">
      <c r="A179" s="651"/>
      <c r="B179" s="595" t="s">
        <v>2555</v>
      </c>
      <c r="C179" s="618" t="s">
        <v>70</v>
      </c>
      <c r="D179" s="619" t="s">
        <v>1125</v>
      </c>
      <c r="E179" s="703" t="s">
        <v>1650</v>
      </c>
      <c r="F179" s="703" t="s">
        <v>1541</v>
      </c>
      <c r="G179" s="599">
        <v>1</v>
      </c>
      <c r="H179" s="598">
        <v>2</v>
      </c>
      <c r="I179" s="788">
        <v>2006</v>
      </c>
      <c r="J179" s="823">
        <v>2006</v>
      </c>
      <c r="K179" s="821">
        <v>2009</v>
      </c>
      <c r="L179" s="621" t="s">
        <v>1621</v>
      </c>
      <c r="M179" s="622" t="s">
        <v>18</v>
      </c>
      <c r="N179" s="621"/>
      <c r="O179" s="599" t="s">
        <v>1561</v>
      </c>
      <c r="P179" s="602">
        <v>16</v>
      </c>
      <c r="Q179" s="622">
        <v>25</v>
      </c>
      <c r="R179" s="643">
        <f>20*0.463 + 24*0.537</f>
        <v>22.148000000000003</v>
      </c>
      <c r="S179" s="643">
        <v>18</v>
      </c>
      <c r="T179" s="643">
        <v>4.4000000000000004</v>
      </c>
      <c r="U179" s="658">
        <v>744</v>
      </c>
      <c r="V179" s="799">
        <v>1</v>
      </c>
      <c r="W179" s="789" t="s">
        <v>2554</v>
      </c>
      <c r="X179" s="277">
        <f>3*0.554 + 9.5*0.446</f>
        <v>5.899</v>
      </c>
      <c r="Y179" s="442"/>
      <c r="Z179" s="442"/>
      <c r="AA179" s="442"/>
      <c r="AB179" s="442"/>
      <c r="AC179" s="442"/>
      <c r="AD179" s="442"/>
      <c r="AE179" s="442"/>
      <c r="AF179" s="442"/>
      <c r="AG179" s="442"/>
      <c r="AH179" s="442"/>
      <c r="AI179" s="442"/>
      <c r="AJ179" s="442"/>
      <c r="AK179" s="442"/>
      <c r="AL179" s="442"/>
      <c r="AM179" s="442"/>
      <c r="AN179" s="442"/>
      <c r="AO179" s="442"/>
      <c r="AP179" s="442"/>
      <c r="AQ179" s="442"/>
      <c r="AR179" s="442"/>
      <c r="AS179" s="442"/>
      <c r="AT179" s="442"/>
      <c r="AU179" s="442"/>
      <c r="AV179" s="505"/>
      <c r="AW179" s="442"/>
      <c r="AX179" s="442"/>
      <c r="AY179" s="439"/>
      <c r="AZ179" s="439"/>
      <c r="BA179" s="442"/>
      <c r="BB179" s="442"/>
      <c r="BC179" s="442"/>
      <c r="BD179" s="439"/>
      <c r="BE179" s="453"/>
      <c r="BF179" s="453"/>
      <c r="BG179" s="505"/>
      <c r="BH179" s="505"/>
      <c r="BI179" s="442">
        <v>56.2</v>
      </c>
      <c r="BJ179" s="453">
        <v>26.8</v>
      </c>
      <c r="BK179" s="453"/>
      <c r="BL179" s="453"/>
      <c r="BM179" s="442"/>
      <c r="BN179" s="442"/>
      <c r="BO179" s="442"/>
      <c r="BP179" s="442"/>
      <c r="BQ179" s="444"/>
      <c r="BR179" s="444"/>
      <c r="BS179" s="442"/>
      <c r="BT179" s="442"/>
      <c r="BU179" s="442">
        <v>6</v>
      </c>
      <c r="BV179" s="442">
        <v>0</v>
      </c>
      <c r="BW179" s="442"/>
      <c r="BX179" s="573"/>
      <c r="BY179" s="854"/>
      <c r="BZ179" s="854"/>
      <c r="CA179" s="854"/>
      <c r="CB179" s="854"/>
      <c r="CC179" s="854"/>
      <c r="CD179" s="854"/>
      <c r="CE179" s="854"/>
      <c r="CF179" s="854"/>
      <c r="CG179" s="36"/>
      <c r="CH179" s="419" t="s">
        <v>1565</v>
      </c>
      <c r="CI179" s="406" t="s">
        <v>1558</v>
      </c>
      <c r="CJ179" s="23"/>
      <c r="CK179" s="417" t="s">
        <v>1726</v>
      </c>
      <c r="CL179" s="572"/>
      <c r="CM179" s="648"/>
      <c r="CR179" s="845" t="str">
        <f t="shared" si="11"/>
        <v>2006_Samata</v>
      </c>
      <c r="CS179" s="648" t="str">
        <f t="shared" si="12"/>
        <v>Karnataka: Bangalore</v>
      </c>
      <c r="CT179" s="35" t="str">
        <f t="shared" si="5"/>
        <v/>
      </c>
      <c r="CU179" s="23" t="str">
        <f t="shared" si="6"/>
        <v>urban</v>
      </c>
      <c r="CV179" s="23" t="str">
        <f t="shared" si="13"/>
        <v>II</v>
      </c>
      <c r="CW179" s="579" t="str">
        <f t="shared" si="7"/>
        <v>Samata</v>
      </c>
      <c r="CX179" s="23" t="str">
        <f t="shared" si="8"/>
        <v/>
      </c>
      <c r="CY179" s="35" t="str">
        <f t="shared" si="14"/>
        <v>16-25</v>
      </c>
      <c r="CZ179" s="35">
        <f t="shared" si="15"/>
        <v>744</v>
      </c>
      <c r="DA179" s="648" t="str">
        <f t="shared" si="10"/>
        <v>Rocca C.H., Rathod S., Falle T., Pande R.P. &amp; Krishnan S. (2009), ‘Challenging assumptions about women's empowerment: social and economic resources and domestic violence among young married women in urban South India’. International Journal of Epidemiology 38(2):577-85.</v>
      </c>
    </row>
    <row r="180" spans="1:105" s="35" customFormat="1" ht="12" customHeight="1" x14ac:dyDescent="0.2">
      <c r="A180" s="651"/>
      <c r="B180" s="605" t="s">
        <v>2556</v>
      </c>
      <c r="C180" s="390" t="s">
        <v>70</v>
      </c>
      <c r="D180" s="36" t="s">
        <v>1125</v>
      </c>
      <c r="E180" s="647" t="s">
        <v>1650</v>
      </c>
      <c r="F180" s="647" t="s">
        <v>1541</v>
      </c>
      <c r="G180" s="237">
        <v>1</v>
      </c>
      <c r="H180" s="186">
        <v>2</v>
      </c>
      <c r="I180" s="37">
        <v>2007</v>
      </c>
      <c r="J180" s="128">
        <v>2007</v>
      </c>
      <c r="K180" s="571">
        <v>2011</v>
      </c>
      <c r="L180" s="494" t="s">
        <v>1621</v>
      </c>
      <c r="M180" s="247" t="s">
        <v>18</v>
      </c>
      <c r="N180" s="494"/>
      <c r="O180" s="479" t="s">
        <v>2552</v>
      </c>
      <c r="P180" s="98">
        <v>17</v>
      </c>
      <c r="Q180" s="787">
        <v>26</v>
      </c>
      <c r="R180" s="291">
        <f>(20*0.463 + 24*0.537) +1</f>
        <v>23.148000000000003</v>
      </c>
      <c r="S180" s="291">
        <f>18+1</f>
        <v>19</v>
      </c>
      <c r="T180" s="291"/>
      <c r="U180" s="394">
        <v>464</v>
      </c>
      <c r="V180" s="727">
        <v>1</v>
      </c>
      <c r="W180" s="722" t="s">
        <v>2389</v>
      </c>
      <c r="X180" s="277">
        <f>3*0.554 + 9.5*0.446</f>
        <v>5.899</v>
      </c>
      <c r="Y180" s="442"/>
      <c r="Z180" s="442"/>
      <c r="AA180" s="442"/>
      <c r="AB180" s="442"/>
      <c r="AC180" s="442"/>
      <c r="AD180" s="442"/>
      <c r="AE180" s="442"/>
      <c r="AF180" s="442"/>
      <c r="AG180" s="442"/>
      <c r="AH180" s="442"/>
      <c r="AI180" s="442"/>
      <c r="AJ180" s="442"/>
      <c r="AK180" s="442"/>
      <c r="AL180" s="442"/>
      <c r="AM180" s="442"/>
      <c r="AN180" s="442"/>
      <c r="AO180" s="442"/>
      <c r="AP180" s="442"/>
      <c r="AQ180" s="442"/>
      <c r="AR180" s="442"/>
      <c r="AS180" s="442"/>
      <c r="AT180" s="442"/>
      <c r="AU180" s="442"/>
      <c r="AV180" s="442"/>
      <c r="AW180" s="442"/>
      <c r="AX180" s="442"/>
      <c r="AY180" s="442"/>
      <c r="AZ180" s="442"/>
      <c r="BA180" s="442"/>
      <c r="BB180" s="442"/>
      <c r="BC180" s="442"/>
      <c r="BD180" s="442"/>
      <c r="BE180" s="453"/>
      <c r="BF180" s="453"/>
      <c r="BG180" s="442"/>
      <c r="BH180" s="442"/>
      <c r="BI180" s="442"/>
      <c r="BJ180" s="453">
        <f>(31.3+19.3)/2</f>
        <v>25.3</v>
      </c>
      <c r="BK180" s="453"/>
      <c r="BL180" s="453"/>
      <c r="BM180" s="442"/>
      <c r="BN180" s="442"/>
      <c r="BO180" s="442"/>
      <c r="BP180" s="442"/>
      <c r="BQ180" s="444"/>
      <c r="BR180" s="444"/>
      <c r="BS180" s="442"/>
      <c r="BT180" s="442"/>
      <c r="BU180" s="442">
        <v>6</v>
      </c>
      <c r="BV180" s="442">
        <v>0</v>
      </c>
      <c r="BW180" s="442"/>
      <c r="BX180" s="573"/>
      <c r="BY180" s="854"/>
      <c r="BZ180" s="854"/>
      <c r="CA180" s="854"/>
      <c r="CB180" s="854"/>
      <c r="CC180" s="854"/>
      <c r="CD180" s="854"/>
      <c r="CE180" s="854"/>
      <c r="CF180" s="854"/>
      <c r="CG180" s="36"/>
      <c r="CH180" s="419" t="s">
        <v>1623</v>
      </c>
      <c r="CI180" s="406" t="s">
        <v>1622</v>
      </c>
      <c r="CJ180" s="23"/>
      <c r="CK180" s="417" t="s">
        <v>1626</v>
      </c>
      <c r="CL180" s="572"/>
      <c r="CM180" s="131" t="s">
        <v>2388</v>
      </c>
      <c r="CN180" s="647" t="s">
        <v>2387</v>
      </c>
      <c r="CR180" s="845" t="str">
        <f t="shared" si="11"/>
        <v>2007_Samata</v>
      </c>
      <c r="CS180" s="648" t="str">
        <f t="shared" si="12"/>
        <v>Karnataka: Bangalore</v>
      </c>
      <c r="CT180" s="35" t="str">
        <f t="shared" si="5"/>
        <v/>
      </c>
      <c r="CU180" s="23" t="str">
        <f t="shared" si="6"/>
        <v>urban</v>
      </c>
      <c r="CV180" s="23" t="str">
        <f t="shared" si="13"/>
        <v>II</v>
      </c>
      <c r="CW180" s="579" t="str">
        <f t="shared" si="7"/>
        <v>Samata</v>
      </c>
      <c r="CX180" s="23" t="str">
        <f t="shared" si="8"/>
        <v/>
      </c>
      <c r="CY180" s="35" t="str">
        <f t="shared" si="14"/>
        <v>17-26</v>
      </c>
      <c r="CZ180" s="35">
        <f t="shared" si="15"/>
        <v>464</v>
      </c>
      <c r="DA180" s="648" t="str">
        <f t="shared" si="10"/>
        <v>Rathod S.D., Minnis A.M., Subbiah K. &amp; Krishnan S. (2011), ‘ACASI and face-to-face interviews yield inconsistent estimates of domestic violence among women in India: the Samata Health Study 2005-2009’, Journal of Interpersonal Violence 26(12):2437-56.</v>
      </c>
    </row>
    <row r="181" spans="1:105" s="35" customFormat="1" ht="12" customHeight="1" thickBot="1" x14ac:dyDescent="0.25">
      <c r="A181" s="651"/>
      <c r="B181" s="540" t="s">
        <v>2557</v>
      </c>
      <c r="C181" s="624" t="s">
        <v>70</v>
      </c>
      <c r="D181" s="625" t="s">
        <v>1125</v>
      </c>
      <c r="E181" s="704" t="s">
        <v>1650</v>
      </c>
      <c r="F181" s="704" t="s">
        <v>1541</v>
      </c>
      <c r="G181" s="522">
        <v>1</v>
      </c>
      <c r="H181" s="319">
        <v>2</v>
      </c>
      <c r="I181" s="790">
        <v>2008</v>
      </c>
      <c r="J181" s="824">
        <v>2008</v>
      </c>
      <c r="K181" s="822">
        <v>2011</v>
      </c>
      <c r="L181" s="627" t="s">
        <v>1621</v>
      </c>
      <c r="M181" s="607" t="s">
        <v>18</v>
      </c>
      <c r="N181" s="627"/>
      <c r="O181" s="524" t="s">
        <v>2553</v>
      </c>
      <c r="P181" s="608">
        <v>18</v>
      </c>
      <c r="Q181" s="791">
        <v>27</v>
      </c>
      <c r="R181" s="645">
        <f>(20*0.463 + 24*0.537) +2</f>
        <v>24.148000000000003</v>
      </c>
      <c r="S181" s="645">
        <f>18+2</f>
        <v>20</v>
      </c>
      <c r="T181" s="645"/>
      <c r="U181" s="660">
        <v>379</v>
      </c>
      <c r="V181" s="800">
        <v>1</v>
      </c>
      <c r="W181" s="748" t="s">
        <v>2390</v>
      </c>
      <c r="X181" s="277">
        <f>3*0.554 + 9.5*0.446</f>
        <v>5.899</v>
      </c>
      <c r="Y181" s="442"/>
      <c r="Z181" s="442"/>
      <c r="AA181" s="442"/>
      <c r="AB181" s="442"/>
      <c r="AC181" s="442"/>
      <c r="AD181" s="442"/>
      <c r="AE181" s="442"/>
      <c r="AF181" s="442"/>
      <c r="AG181" s="442"/>
      <c r="AH181" s="442"/>
      <c r="AI181" s="442"/>
      <c r="AJ181" s="442"/>
      <c r="AK181" s="442"/>
      <c r="AL181" s="442"/>
      <c r="AM181" s="442"/>
      <c r="AN181" s="442"/>
      <c r="AO181" s="442"/>
      <c r="AP181" s="442"/>
      <c r="AQ181" s="442"/>
      <c r="AR181" s="442"/>
      <c r="AS181" s="442"/>
      <c r="AT181" s="442"/>
      <c r="AU181" s="442"/>
      <c r="AV181" s="442"/>
      <c r="AW181" s="442"/>
      <c r="AX181" s="442"/>
      <c r="AY181" s="442"/>
      <c r="AZ181" s="442"/>
      <c r="BA181" s="442"/>
      <c r="BB181" s="442"/>
      <c r="BC181" s="442"/>
      <c r="BD181" s="442"/>
      <c r="BE181" s="453"/>
      <c r="BF181" s="453"/>
      <c r="BG181" s="442"/>
      <c r="BH181" s="442"/>
      <c r="BI181" s="442"/>
      <c r="BJ181" s="453">
        <f>(29.8+22.6)/2</f>
        <v>26.200000000000003</v>
      </c>
      <c r="BK181" s="453"/>
      <c r="BL181" s="453"/>
      <c r="BM181" s="442"/>
      <c r="BN181" s="442"/>
      <c r="BO181" s="442"/>
      <c r="BP181" s="442"/>
      <c r="BQ181" s="444"/>
      <c r="BR181" s="444"/>
      <c r="BS181" s="442"/>
      <c r="BT181" s="442"/>
      <c r="BU181" s="442">
        <v>6</v>
      </c>
      <c r="BV181" s="442">
        <v>0</v>
      </c>
      <c r="BW181" s="442"/>
      <c r="BX181" s="573"/>
      <c r="BY181" s="854"/>
      <c r="BZ181" s="854"/>
      <c r="CA181" s="854"/>
      <c r="CB181" s="854"/>
      <c r="CC181" s="854"/>
      <c r="CD181" s="854"/>
      <c r="CE181" s="854"/>
      <c r="CF181" s="854"/>
      <c r="CG181" s="36"/>
      <c r="CH181" s="419" t="s">
        <v>1623</v>
      </c>
      <c r="CI181" s="406" t="s">
        <v>1622</v>
      </c>
      <c r="CJ181" s="23"/>
      <c r="CK181" s="417" t="s">
        <v>1626</v>
      </c>
      <c r="CL181" s="572"/>
      <c r="CM181" s="648" t="s">
        <v>1929</v>
      </c>
      <c r="CR181" s="845" t="str">
        <f t="shared" si="11"/>
        <v>2008_Samata</v>
      </c>
      <c r="CS181" s="648" t="str">
        <f t="shared" si="12"/>
        <v>Karnataka: Bangalore</v>
      </c>
      <c r="CT181" s="35" t="str">
        <f t="shared" si="5"/>
        <v/>
      </c>
      <c r="CU181" s="23" t="str">
        <f t="shared" si="6"/>
        <v>urban</v>
      </c>
      <c r="CV181" s="23" t="str">
        <f t="shared" si="13"/>
        <v>II</v>
      </c>
      <c r="CW181" s="579" t="str">
        <f t="shared" si="7"/>
        <v>Samata</v>
      </c>
      <c r="CX181" s="23" t="str">
        <f t="shared" si="8"/>
        <v/>
      </c>
      <c r="CY181" s="35" t="str">
        <f t="shared" si="14"/>
        <v>18-27</v>
      </c>
      <c r="CZ181" s="35">
        <f t="shared" si="15"/>
        <v>379</v>
      </c>
      <c r="DA181" s="648" t="str">
        <f t="shared" si="10"/>
        <v>Rathod S.D., Minnis A.M., Subbiah K. &amp; Krishnan S. (2011), ‘ACASI and face-to-face interviews yield inconsistent estimates of domestic violence among women in India: the Samata Health Study 2005-2009’, Journal of Interpersonal Violence 26(12):2437-56.</v>
      </c>
    </row>
    <row r="182" spans="1:105" s="35" customFormat="1" ht="12" customHeight="1" x14ac:dyDescent="0.2">
      <c r="A182" s="651"/>
      <c r="B182" s="537" t="s">
        <v>2320</v>
      </c>
      <c r="C182" s="390" t="s">
        <v>70</v>
      </c>
      <c r="D182" s="36" t="s">
        <v>1125</v>
      </c>
      <c r="E182" s="647" t="s">
        <v>1752</v>
      </c>
      <c r="F182" s="647" t="s">
        <v>2367</v>
      </c>
      <c r="G182" s="237"/>
      <c r="H182" s="186"/>
      <c r="I182" s="37">
        <v>2006</v>
      </c>
      <c r="J182" s="571"/>
      <c r="K182" s="571">
        <v>2009</v>
      </c>
      <c r="L182" s="494"/>
      <c r="M182" s="247" t="s">
        <v>18</v>
      </c>
      <c r="N182" s="494"/>
      <c r="O182" s="479" t="s">
        <v>2368</v>
      </c>
      <c r="P182" s="98"/>
      <c r="Q182" s="247"/>
      <c r="R182" s="291">
        <f>19*0.12 + 29.5*0.81 + 45*0.07</f>
        <v>29.325000000000003</v>
      </c>
      <c r="S182" s="291"/>
      <c r="T182" s="291"/>
      <c r="U182" s="394">
        <v>500</v>
      </c>
      <c r="V182" s="727">
        <v>1</v>
      </c>
      <c r="W182" s="727" t="s">
        <v>2369</v>
      </c>
      <c r="X182" s="121">
        <f>(0*132 + 3.9*204 + 9.1*112 + 15*50)/(132+204+112+50)</f>
        <v>5.1502008032128517</v>
      </c>
      <c r="Y182" s="442"/>
      <c r="Z182" s="442"/>
      <c r="AA182" s="442"/>
      <c r="AB182" s="442">
        <v>29</v>
      </c>
      <c r="AC182" s="442"/>
      <c r="AD182" s="442"/>
      <c r="AE182" s="442">
        <f>100*92/500</f>
        <v>18.399999999999999</v>
      </c>
      <c r="AF182" s="442"/>
      <c r="AG182" s="442"/>
      <c r="AH182" s="442"/>
      <c r="AI182" s="442"/>
      <c r="AJ182" s="442"/>
      <c r="AK182" s="442"/>
      <c r="AL182" s="442"/>
      <c r="AM182" s="442">
        <f>(100*104/500)*((18.6 + 11.2)/(0.6 + 18.6 + 11.2))</f>
        <v>20.389473684210525</v>
      </c>
      <c r="AN182" s="442"/>
      <c r="AO182" s="442"/>
      <c r="AP182" s="442"/>
      <c r="AQ182" s="442">
        <f>(100*104/500)*((0.6 + 11.2)/(0.6 + 18.6 + 11.2))</f>
        <v>8.0736842105263147</v>
      </c>
      <c r="AR182" s="442"/>
      <c r="AS182" s="442">
        <f xml:space="preserve"> (100*   46/500)*(( 3 +  6.2)/(3 + 3.4 + 6.2))</f>
        <v>6.7174603174603158</v>
      </c>
      <c r="AT182" s="442"/>
      <c r="AU182" s="442">
        <f xml:space="preserve"> (100*   46/500)*(( 3.4 +  6.2)/(3 + 3.4 + 6.2))</f>
        <v>7.0095238095238077</v>
      </c>
      <c r="AV182" s="442"/>
      <c r="AW182" s="442"/>
      <c r="AX182" s="442"/>
      <c r="AY182" s="442"/>
      <c r="AZ182" s="442"/>
      <c r="BA182" s="442">
        <f>100*46/500</f>
        <v>9.1999999999999993</v>
      </c>
      <c r="BB182" s="442"/>
      <c r="BC182" s="442"/>
      <c r="BD182" s="442"/>
      <c r="BE182" s="442"/>
      <c r="BF182" s="442"/>
      <c r="BG182" s="442"/>
      <c r="BH182" s="442"/>
      <c r="BI182" s="442">
        <v>26.9</v>
      </c>
      <c r="BJ182" s="442"/>
      <c r="BK182" s="442"/>
      <c r="BL182" s="442"/>
      <c r="BM182" s="442"/>
      <c r="BN182" s="442"/>
      <c r="BO182" s="442">
        <v>6.2</v>
      </c>
      <c r="BP182" s="442"/>
      <c r="BQ182" s="444"/>
      <c r="BR182" s="444"/>
      <c r="BS182" s="442"/>
      <c r="BT182" s="442"/>
      <c r="BU182" s="442"/>
      <c r="BV182" s="442">
        <v>1</v>
      </c>
      <c r="BW182" s="442">
        <v>47.4</v>
      </c>
      <c r="BX182" s="573"/>
      <c r="BY182" s="854"/>
      <c r="BZ182" s="854"/>
      <c r="CA182" s="854"/>
      <c r="CB182" s="854"/>
      <c r="CC182" s="854"/>
      <c r="CD182" s="854"/>
      <c r="CE182" s="854"/>
      <c r="CF182" s="854"/>
      <c r="CG182" s="36"/>
      <c r="CH182" s="419" t="s">
        <v>2321</v>
      </c>
      <c r="CI182" s="406" t="s">
        <v>2318</v>
      </c>
      <c r="CJ182" s="23"/>
      <c r="CK182" s="417" t="s">
        <v>2322</v>
      </c>
      <c r="CL182" s="572"/>
      <c r="CM182" s="648"/>
      <c r="CR182" s="845" t="str">
        <f t="shared" si="11"/>
        <v>2006_Del</v>
      </c>
      <c r="CS182" s="648" t="str">
        <f t="shared" si="12"/>
        <v>Delhi: Kasturba Hospital</v>
      </c>
      <c r="CT182" s="35" t="str">
        <f t="shared" si="5"/>
        <v/>
      </c>
      <c r="CU182" s="23" t="str">
        <f t="shared" si="6"/>
        <v>both</v>
      </c>
      <c r="CV182" s="23" t="str">
        <f t="shared" si="13"/>
        <v>II</v>
      </c>
      <c r="CW182" s="579" t="str">
        <f t="shared" si="7"/>
        <v/>
      </c>
      <c r="CX182" s="23" t="str">
        <f t="shared" si="8"/>
        <v/>
      </c>
      <c r="CY182" s="35" t="str">
        <f t="shared" si="14"/>
        <v>&lt;20 - &gt;40</v>
      </c>
      <c r="CZ182" s="35">
        <f t="shared" si="15"/>
        <v>500</v>
      </c>
      <c r="DA182" s="648" t="str">
        <f t="shared" si="10"/>
        <v>Singh P., Rohtagi R., Soren S., Shukla M. &amp; Lindow S.W. (2009), ‘The prevalence of domestic violence in antenatal attendee's in a Delhi hospital’, Journal of Obstetrics and Gynaecology 28(3):272-5.</v>
      </c>
    </row>
    <row r="183" spans="1:105" s="35" customFormat="1" ht="12" customHeight="1" x14ac:dyDescent="0.2">
      <c r="A183" s="651"/>
      <c r="B183" s="537" t="s">
        <v>2370</v>
      </c>
      <c r="C183" s="390" t="s">
        <v>70</v>
      </c>
      <c r="D183" s="36" t="s">
        <v>1125</v>
      </c>
      <c r="E183" s="647" t="s">
        <v>1652</v>
      </c>
      <c r="F183" s="647" t="s">
        <v>2371</v>
      </c>
      <c r="G183" s="237"/>
      <c r="H183" s="478">
        <v>6</v>
      </c>
      <c r="I183" s="37">
        <v>2006</v>
      </c>
      <c r="J183" s="571"/>
      <c r="K183" s="571">
        <v>2009</v>
      </c>
      <c r="L183" s="494"/>
      <c r="M183" s="247" t="s">
        <v>78</v>
      </c>
      <c r="N183" s="494"/>
      <c r="O183" s="479" t="s">
        <v>2373</v>
      </c>
      <c r="P183" s="98"/>
      <c r="Q183" s="247">
        <v>39</v>
      </c>
      <c r="R183" s="291">
        <f>(18*96 + 24.5*1756 + 34.5*148)/(96+1756+148)</f>
        <v>24.928000000000001</v>
      </c>
      <c r="S183" s="291"/>
      <c r="T183" s="291"/>
      <c r="U183" s="394">
        <v>2000</v>
      </c>
      <c r="V183" s="727">
        <v>1</v>
      </c>
      <c r="W183" s="722" t="s">
        <v>2372</v>
      </c>
      <c r="X183" s="277">
        <f>(0*64 + 2.5*56 + 6.5*203 + 10.5*1049 + 15*(112+516))/(64 + 56 + 203 + 1049 + 112+516)</f>
        <v>10.946999999999999</v>
      </c>
      <c r="Y183" s="442"/>
      <c r="Z183" s="442"/>
      <c r="AA183" s="442"/>
      <c r="AB183" s="442"/>
      <c r="AC183" s="442"/>
      <c r="AD183" s="442"/>
      <c r="AE183" s="442"/>
      <c r="AF183" s="442"/>
      <c r="AG183" s="442"/>
      <c r="AH183" s="442"/>
      <c r="AI183" s="442"/>
      <c r="AJ183" s="442"/>
      <c r="AK183" s="442"/>
      <c r="AL183" s="442"/>
      <c r="AM183" s="442"/>
      <c r="AN183" s="442"/>
      <c r="AO183" s="442"/>
      <c r="AP183" s="442"/>
      <c r="AQ183" s="442"/>
      <c r="AR183" s="442"/>
      <c r="AS183" s="442"/>
      <c r="AT183" s="442"/>
      <c r="AU183" s="442"/>
      <c r="AV183" s="442"/>
      <c r="AW183" s="442"/>
      <c r="AX183" s="442"/>
      <c r="AY183" s="442"/>
      <c r="AZ183" s="442"/>
      <c r="BA183" s="442"/>
      <c r="BB183" s="442"/>
      <c r="BC183" s="442"/>
      <c r="BD183" s="442"/>
      <c r="BE183" s="453"/>
      <c r="BF183" s="453"/>
      <c r="BG183" s="442"/>
      <c r="BH183" s="442"/>
      <c r="BJ183" s="453">
        <v>47.6</v>
      </c>
      <c r="BK183" s="453"/>
      <c r="BL183" s="453"/>
      <c r="BM183" s="442"/>
      <c r="BN183" s="442"/>
      <c r="BO183" s="442"/>
      <c r="BP183" s="442"/>
      <c r="BQ183" s="444"/>
      <c r="BR183" s="444"/>
      <c r="BS183" s="442"/>
      <c r="BT183" s="442"/>
      <c r="BU183" s="442">
        <v>9</v>
      </c>
      <c r="BV183" s="442">
        <v>1</v>
      </c>
      <c r="BW183" s="442">
        <v>71.7</v>
      </c>
      <c r="BX183" s="573"/>
      <c r="BY183" s="854"/>
      <c r="BZ183" s="854"/>
      <c r="CA183" s="854"/>
      <c r="CB183" s="854"/>
      <c r="CC183" s="854"/>
      <c r="CD183" s="854"/>
      <c r="CE183" s="854"/>
      <c r="CF183" s="854"/>
      <c r="CG183" s="36"/>
      <c r="CH183" s="419" t="s">
        <v>2374</v>
      </c>
      <c r="CI183" s="406" t="s">
        <v>2375</v>
      </c>
      <c r="CJ183" s="23"/>
      <c r="CK183" s="417" t="s">
        <v>2376</v>
      </c>
      <c r="CL183" s="572"/>
      <c r="CM183" s="648"/>
      <c r="CR183" s="845" t="str">
        <f t="shared" si="11"/>
        <v>2006_Mah</v>
      </c>
      <c r="CS183" s="648" t="str">
        <f t="shared" si="12"/>
        <v>Maharashtra: Sevagram</v>
      </c>
      <c r="CT183" s="35" t="str">
        <f t="shared" si="5"/>
        <v/>
      </c>
      <c r="CU183" s="23" t="str">
        <f t="shared" si="6"/>
        <v>rural</v>
      </c>
      <c r="CV183" s="23" t="str">
        <f t="shared" si="13"/>
        <v>IV</v>
      </c>
      <c r="CW183" s="579" t="str">
        <f t="shared" si="7"/>
        <v/>
      </c>
      <c r="CX183" s="23" t="str">
        <f t="shared" si="8"/>
        <v/>
      </c>
      <c r="CY183" s="35" t="str">
        <f t="shared" si="14"/>
        <v>&lt;20 - 39</v>
      </c>
      <c r="CZ183" s="35">
        <f t="shared" si="15"/>
        <v>2000</v>
      </c>
      <c r="DA183" s="648" t="str">
        <f t="shared" si="10"/>
        <v>Chhabra S. (2007), ‘Physical violence during pregnancy’, Journal of Obstetrics and Gynaecology, 27(5):460-3.</v>
      </c>
    </row>
    <row r="184" spans="1:105" s="35" customFormat="1" ht="12" customHeight="1" x14ac:dyDescent="0.2">
      <c r="A184" s="651"/>
      <c r="B184" s="537" t="s">
        <v>1705</v>
      </c>
      <c r="C184" s="97" t="s">
        <v>70</v>
      </c>
      <c r="D184" s="237" t="s">
        <v>1125</v>
      </c>
      <c r="E184" s="647" t="s">
        <v>212</v>
      </c>
      <c r="F184" s="647" t="s">
        <v>2024</v>
      </c>
      <c r="G184" s="479">
        <v>0</v>
      </c>
      <c r="H184" s="97">
        <v>6</v>
      </c>
      <c r="I184" s="166">
        <v>2006</v>
      </c>
      <c r="J184" s="571">
        <v>2006</v>
      </c>
      <c r="K184" s="571">
        <v>2011</v>
      </c>
      <c r="L184" s="493"/>
      <c r="M184" s="98" t="s">
        <v>18</v>
      </c>
      <c r="N184" s="493"/>
      <c r="O184" s="98" t="s">
        <v>19</v>
      </c>
      <c r="P184" s="98">
        <v>15</v>
      </c>
      <c r="Q184" s="247">
        <v>49</v>
      </c>
      <c r="R184" s="121">
        <v>28.27</v>
      </c>
      <c r="S184" s="121"/>
      <c r="T184" s="121"/>
      <c r="U184" s="393">
        <v>155</v>
      </c>
      <c r="V184" s="694">
        <v>0</v>
      </c>
      <c r="W184" s="711"/>
      <c r="X184" s="121">
        <v>2.89</v>
      </c>
      <c r="Y184" s="446"/>
      <c r="Z184" s="473"/>
      <c r="AA184" s="446"/>
      <c r="AB184" s="446"/>
      <c r="AC184" s="446"/>
      <c r="AD184" s="446"/>
      <c r="AE184" s="446"/>
      <c r="AF184" s="446"/>
      <c r="AG184" s="446"/>
      <c r="AH184" s="446"/>
      <c r="AI184" s="446"/>
      <c r="AJ184" s="446"/>
      <c r="AK184" s="446"/>
      <c r="AL184" s="446"/>
      <c r="AM184" s="442"/>
      <c r="AN184" s="442"/>
      <c r="AO184" s="442"/>
      <c r="AP184" s="442"/>
      <c r="AQ184" s="446"/>
      <c r="AR184" s="446"/>
      <c r="AS184" s="446"/>
      <c r="AT184" s="271"/>
      <c r="AU184" s="442"/>
      <c r="AV184" s="442"/>
      <c r="AW184" s="446"/>
      <c r="AX184" s="446"/>
      <c r="AY184" s="442"/>
      <c r="AZ184" s="442"/>
      <c r="BA184" s="271"/>
      <c r="BB184" s="271"/>
      <c r="BC184" s="442"/>
      <c r="BD184" s="442"/>
      <c r="BE184" s="442"/>
      <c r="BF184" s="442"/>
      <c r="BG184" s="442"/>
      <c r="BH184" s="442"/>
      <c r="BI184" s="442">
        <v>52.3</v>
      </c>
      <c r="BJ184" s="442"/>
      <c r="BK184" s="442"/>
      <c r="BL184" s="442"/>
      <c r="BM184" s="442"/>
      <c r="BN184" s="442"/>
      <c r="BO184" s="442"/>
      <c r="BP184" s="442"/>
      <c r="BQ184" s="271"/>
      <c r="BR184" s="271"/>
      <c r="BS184" s="271"/>
      <c r="BT184" s="271"/>
      <c r="BU184" s="271"/>
      <c r="BV184" s="454">
        <v>1</v>
      </c>
      <c r="BW184" s="454"/>
      <c r="BX184" s="573"/>
      <c r="BY184" s="854"/>
      <c r="BZ184" s="854"/>
      <c r="CA184" s="854"/>
      <c r="CB184" s="854"/>
      <c r="CC184" s="854"/>
      <c r="CD184" s="854"/>
      <c r="CE184" s="854"/>
      <c r="CF184" s="854"/>
      <c r="CG184" s="98"/>
      <c r="CH184" s="419" t="s">
        <v>1987</v>
      </c>
      <c r="CI184" s="406" t="s">
        <v>1774</v>
      </c>
      <c r="CJ184" s="23"/>
      <c r="CK184" s="417" t="s">
        <v>1775</v>
      </c>
      <c r="CL184" s="572"/>
      <c r="CM184" s="648" t="s">
        <v>2023</v>
      </c>
      <c r="CR184" s="845" t="str">
        <f t="shared" ref="CR184:CR215" si="16">B184</f>
        <v>2006_UP</v>
      </c>
      <c r="CS184" s="648" t="str">
        <f t="shared" si="12"/>
        <v>Uttar Pradesh: Kaushambi</v>
      </c>
      <c r="CT184" s="35" t="str">
        <f t="shared" si="5"/>
        <v/>
      </c>
      <c r="CU184" s="23" t="str">
        <f t="shared" si="6"/>
        <v>rural</v>
      </c>
      <c r="CV184" s="23" t="str">
        <f t="shared" si="13"/>
        <v>II</v>
      </c>
      <c r="CW184" s="579" t="str">
        <f t="shared" si="7"/>
        <v/>
      </c>
      <c r="CX184" s="23" t="str">
        <f t="shared" si="8"/>
        <v/>
      </c>
      <c r="CY184" s="35" t="str">
        <f t="shared" si="14"/>
        <v>15-49</v>
      </c>
      <c r="CZ184" s="35">
        <f t="shared" si="15"/>
        <v>155</v>
      </c>
      <c r="DA184" s="648" t="str">
        <f t="shared" si="10"/>
        <v>Bhattacharyya M., Bedi A.S. &amp; Chhachhi A. (2011), ‘Marital violence and women’s employment and property status: evidence from north Indian villages’, World Development 39(9):1676-89.</v>
      </c>
    </row>
    <row r="185" spans="1:105" s="35" customFormat="1" ht="12" customHeight="1" x14ac:dyDescent="0.2">
      <c r="A185" s="651"/>
      <c r="B185" s="537" t="s">
        <v>1705</v>
      </c>
      <c r="C185" s="97" t="s">
        <v>70</v>
      </c>
      <c r="D185" s="237" t="s">
        <v>1125</v>
      </c>
      <c r="E185" s="647" t="s">
        <v>212</v>
      </c>
      <c r="F185" s="647" t="s">
        <v>2024</v>
      </c>
      <c r="G185" s="479">
        <v>0</v>
      </c>
      <c r="H185" s="97">
        <v>6</v>
      </c>
      <c r="I185" s="166">
        <v>2006</v>
      </c>
      <c r="J185" s="571">
        <v>2006</v>
      </c>
      <c r="K185" s="571">
        <v>2011</v>
      </c>
      <c r="L185" s="493"/>
      <c r="M185" s="98" t="s">
        <v>289</v>
      </c>
      <c r="N185" s="493"/>
      <c r="O185" s="237" t="s">
        <v>33</v>
      </c>
      <c r="P185" s="237">
        <v>18</v>
      </c>
      <c r="Q185" s="98"/>
      <c r="R185" s="121">
        <v>28.27</v>
      </c>
      <c r="S185" s="121"/>
      <c r="T185" s="121"/>
      <c r="U185" s="393">
        <v>109</v>
      </c>
      <c r="V185" s="694">
        <v>0</v>
      </c>
      <c r="W185" s="711"/>
      <c r="X185" s="121">
        <v>2.89</v>
      </c>
      <c r="Y185" s="446"/>
      <c r="Z185" s="473"/>
      <c r="AA185" s="446"/>
      <c r="AB185" s="446"/>
      <c r="AC185" s="446"/>
      <c r="AD185" s="446"/>
      <c r="AE185" s="446"/>
      <c r="AF185" s="446"/>
      <c r="AG185" s="446"/>
      <c r="AH185" s="446"/>
      <c r="AI185" s="446"/>
      <c r="AJ185" s="446"/>
      <c r="AK185" s="446"/>
      <c r="AL185" s="446"/>
      <c r="AM185" s="442"/>
      <c r="AN185" s="505"/>
      <c r="AO185" s="442"/>
      <c r="AP185" s="442"/>
      <c r="AQ185" s="446"/>
      <c r="AR185" s="446"/>
      <c r="AS185" s="446"/>
      <c r="AT185" s="271"/>
      <c r="AU185" s="442"/>
      <c r="AV185" s="442"/>
      <c r="AW185" s="446"/>
      <c r="AX185" s="446"/>
      <c r="AY185" s="442"/>
      <c r="AZ185" s="442"/>
      <c r="BA185" s="271"/>
      <c r="BB185" s="271"/>
      <c r="BC185" s="442"/>
      <c r="BD185" s="442"/>
      <c r="BE185" s="442"/>
      <c r="BF185" s="442"/>
      <c r="BG185" s="442"/>
      <c r="BH185" s="442"/>
      <c r="BI185" s="442">
        <v>59.6</v>
      </c>
      <c r="BJ185" s="442"/>
      <c r="BK185" s="442"/>
      <c r="BL185" s="442"/>
      <c r="BM185" s="442"/>
      <c r="BN185" s="442"/>
      <c r="BO185" s="442"/>
      <c r="BP185" s="442"/>
      <c r="BQ185" s="271"/>
      <c r="BR185" s="271"/>
      <c r="BS185" s="271"/>
      <c r="BT185" s="271"/>
      <c r="BU185" s="271"/>
      <c r="BV185" s="454">
        <v>0</v>
      </c>
      <c r="BW185" s="454"/>
      <c r="BX185" s="573"/>
      <c r="BY185" s="854"/>
      <c r="BZ185" s="854"/>
      <c r="CA185" s="854"/>
      <c r="CB185" s="854"/>
      <c r="CC185" s="854"/>
      <c r="CD185" s="854"/>
      <c r="CE185" s="854"/>
      <c r="CF185" s="854"/>
      <c r="CG185" s="98"/>
      <c r="CH185" s="419" t="s">
        <v>1987</v>
      </c>
      <c r="CI185" s="406" t="s">
        <v>1774</v>
      </c>
      <c r="CJ185" s="23"/>
      <c r="CK185" s="417" t="s">
        <v>1775</v>
      </c>
      <c r="CL185" s="572"/>
      <c r="CM185" s="648" t="s">
        <v>2023</v>
      </c>
      <c r="CR185" s="845" t="str">
        <f t="shared" si="16"/>
        <v>2006_UP</v>
      </c>
      <c r="CS185" s="648" t="str">
        <f t="shared" si="12"/>
        <v>Uttar Pradesh: Kaushambi</v>
      </c>
      <c r="CT185" s="35" t="str">
        <f t="shared" si="5"/>
        <v/>
      </c>
      <c r="CU185" s="23" t="str">
        <f t="shared" si="6"/>
        <v>rural</v>
      </c>
      <c r="CV185" s="23" t="str">
        <f t="shared" si="13"/>
        <v>VII</v>
      </c>
      <c r="CW185" s="579" t="str">
        <f t="shared" si="7"/>
        <v/>
      </c>
      <c r="CX185" s="23" t="str">
        <f t="shared" si="8"/>
        <v/>
      </c>
      <c r="CY185" s="35" t="str">
        <f t="shared" si="14"/>
        <v>&gt;18</v>
      </c>
      <c r="CZ185" s="35">
        <f t="shared" si="15"/>
        <v>109</v>
      </c>
      <c r="DA185" s="648" t="str">
        <f t="shared" si="10"/>
        <v>Bhattacharyya M., Bedi A.S. &amp; Chhachhi A. (2011), ‘Marital violence and women’s employment and property status: evidence from north Indian villages’, World Development 39(9):1676-89.</v>
      </c>
    </row>
    <row r="186" spans="1:105" s="35" customFormat="1" ht="12" customHeight="1" x14ac:dyDescent="0.2">
      <c r="A186" s="651"/>
      <c r="B186" s="537" t="s">
        <v>1777</v>
      </c>
      <c r="C186" s="273" t="s">
        <v>70</v>
      </c>
      <c r="D186" s="36" t="s">
        <v>1125</v>
      </c>
      <c r="E186" s="647" t="s">
        <v>1581</v>
      </c>
      <c r="F186" s="647" t="s">
        <v>2218</v>
      </c>
      <c r="G186" s="479"/>
      <c r="H186" s="97">
        <v>6</v>
      </c>
      <c r="I186" s="166">
        <v>2006</v>
      </c>
      <c r="J186" s="571">
        <v>2006</v>
      </c>
      <c r="K186" s="551">
        <v>2010</v>
      </c>
      <c r="L186" s="493"/>
      <c r="M186" s="479" t="s">
        <v>17</v>
      </c>
      <c r="N186" s="493"/>
      <c r="O186" s="98" t="s">
        <v>1778</v>
      </c>
      <c r="P186" s="98">
        <v>10</v>
      </c>
      <c r="Q186" s="98">
        <v>59</v>
      </c>
      <c r="R186" s="39">
        <f>(14.5*21+24.5*57+34.5*18+44.5*21+54.5*24)/141</f>
        <v>32.372340425531917</v>
      </c>
      <c r="S186" s="39"/>
      <c r="T186" s="39"/>
      <c r="U186" s="393">
        <v>141</v>
      </c>
      <c r="V186" s="694">
        <v>0</v>
      </c>
      <c r="W186" s="711"/>
      <c r="X186" s="394">
        <f>(0*39 + 3*15 + 5*45 + 9*18 + 12*24)/(141)</f>
        <v>5.1063829787234045</v>
      </c>
      <c r="Y186" s="446"/>
      <c r="Z186" s="473"/>
      <c r="AA186" s="446"/>
      <c r="AB186" s="446"/>
      <c r="AC186" s="446"/>
      <c r="AD186" s="446"/>
      <c r="AE186" s="446"/>
      <c r="AF186" s="446"/>
      <c r="AG186" s="446"/>
      <c r="AH186" s="446"/>
      <c r="AI186" s="446"/>
      <c r="AJ186" s="446"/>
      <c r="AK186" s="446"/>
      <c r="AL186" s="446"/>
      <c r="AM186" s="442"/>
      <c r="AN186" s="442">
        <f>100*24/141</f>
        <v>17.021276595744681</v>
      </c>
      <c r="AO186" s="442"/>
      <c r="AP186" s="442"/>
      <c r="AQ186" s="446"/>
      <c r="AR186" s="446"/>
      <c r="AS186" s="505"/>
      <c r="AT186" s="442">
        <f>100*6/141</f>
        <v>4.2553191489361701</v>
      </c>
      <c r="AU186" s="442"/>
      <c r="AV186" s="442">
        <f>100*3/141</f>
        <v>2.1276595744680851</v>
      </c>
      <c r="AW186" s="446"/>
      <c r="AX186" s="446"/>
      <c r="AY186" s="442"/>
      <c r="AZ186" s="442"/>
      <c r="BA186" s="442"/>
      <c r="BB186" s="442">
        <f>100*6/141</f>
        <v>4.2553191489361701</v>
      </c>
      <c r="BC186" s="442"/>
      <c r="BD186" s="442"/>
      <c r="BE186" s="442"/>
      <c r="BF186" s="442"/>
      <c r="BG186" s="442"/>
      <c r="BH186" s="442"/>
      <c r="BI186" s="442"/>
      <c r="BJ186" s="442">
        <v>23.4</v>
      </c>
      <c r="BK186" s="442"/>
      <c r="BL186" s="442"/>
      <c r="BM186" s="442"/>
      <c r="BN186" s="442"/>
      <c r="BO186" s="442"/>
      <c r="BP186" s="442"/>
      <c r="BQ186" s="271"/>
      <c r="BR186" s="271"/>
      <c r="BS186" s="271"/>
      <c r="BT186" s="271"/>
      <c r="BU186" s="271">
        <v>12</v>
      </c>
      <c r="BV186" s="454">
        <v>1</v>
      </c>
      <c r="BW186" s="454">
        <v>72.73</v>
      </c>
      <c r="BX186" s="573"/>
      <c r="BY186" s="854"/>
      <c r="BZ186" s="854"/>
      <c r="CA186" s="854"/>
      <c r="CB186" s="854"/>
      <c r="CC186" s="854"/>
      <c r="CD186" s="854"/>
      <c r="CE186" s="854"/>
      <c r="CF186" s="854"/>
      <c r="CG186" s="98"/>
      <c r="CH186" s="419" t="s">
        <v>2217</v>
      </c>
      <c r="CI186" s="406" t="s">
        <v>1774</v>
      </c>
      <c r="CJ186" s="23"/>
      <c r="CK186" s="417" t="s">
        <v>1865</v>
      </c>
      <c r="CL186" s="572"/>
      <c r="CM186" s="648"/>
      <c r="CR186" s="845" t="str">
        <f t="shared" si="16"/>
        <v>2006_WB</v>
      </c>
      <c r="CS186" s="648" t="str">
        <f t="shared" si="12"/>
        <v>West Bengal: Dearah village of Singur block, Hooghly district</v>
      </c>
      <c r="CT186" s="35">
        <f t="shared" si="5"/>
        <v>2006</v>
      </c>
      <c r="CU186" s="23" t="str">
        <f t="shared" si="6"/>
        <v>rural</v>
      </c>
      <c r="CV186" s="23" t="str">
        <f t="shared" si="13"/>
        <v>I</v>
      </c>
      <c r="CW186" s="579" t="str">
        <f t="shared" si="7"/>
        <v/>
      </c>
      <c r="CX186" s="23" t="str">
        <f t="shared" si="8"/>
        <v/>
      </c>
      <c r="CY186" s="35" t="str">
        <f t="shared" si="14"/>
        <v>10+</v>
      </c>
      <c r="CZ186" s="35">
        <f t="shared" si="15"/>
        <v>141</v>
      </c>
      <c r="DA186" s="648" t="str">
        <f t="shared" si="10"/>
        <v>Sarkar M. (2010), ‘A study on domestic violence against adult and adolescent females in a rural area of West Bengal’, Indian Journal of Community Medicine 35(2):311-5.</v>
      </c>
    </row>
    <row r="187" spans="1:105" s="35" customFormat="1" ht="12" customHeight="1" x14ac:dyDescent="0.2">
      <c r="A187" s="651"/>
      <c r="B187" s="537" t="s">
        <v>1704</v>
      </c>
      <c r="C187" s="97" t="s">
        <v>70</v>
      </c>
      <c r="D187" s="169" t="s">
        <v>1125</v>
      </c>
      <c r="E187" s="665" t="s">
        <v>14</v>
      </c>
      <c r="F187" s="665"/>
      <c r="G187" s="480">
        <v>0</v>
      </c>
      <c r="H187" s="97"/>
      <c r="I187" s="253" t="s">
        <v>1610</v>
      </c>
      <c r="J187" s="571">
        <v>2006</v>
      </c>
      <c r="K187" s="551">
        <v>2011</v>
      </c>
      <c r="L187" s="493"/>
      <c r="M187" s="98" t="s">
        <v>78</v>
      </c>
      <c r="N187" s="493"/>
      <c r="O187" s="98" t="s">
        <v>1536</v>
      </c>
      <c r="P187" s="98">
        <v>15</v>
      </c>
      <c r="Q187" s="98">
        <v>35</v>
      </c>
      <c r="R187" s="167"/>
      <c r="S187" s="167"/>
      <c r="T187" s="167"/>
      <c r="U187" s="401">
        <f>2080+1278</f>
        <v>3358</v>
      </c>
      <c r="V187" s="801">
        <v>0</v>
      </c>
      <c r="W187" s="723"/>
      <c r="X187" s="810"/>
      <c r="Y187" s="445"/>
      <c r="Z187" s="445"/>
      <c r="AA187" s="445"/>
      <c r="AB187" s="445"/>
      <c r="AC187" s="445"/>
      <c r="AD187" s="445"/>
      <c r="AE187" s="445"/>
      <c r="AF187" s="445"/>
      <c r="AG187" s="445"/>
      <c r="AH187" s="445"/>
      <c r="AI187" s="445"/>
      <c r="AJ187" s="445"/>
      <c r="AK187" s="445"/>
      <c r="AL187" s="445"/>
      <c r="AM187" s="445"/>
      <c r="AN187" s="445"/>
      <c r="AO187" s="445"/>
      <c r="AP187" s="445"/>
      <c r="AQ187" s="445"/>
      <c r="AR187" s="445"/>
      <c r="AS187" s="445"/>
      <c r="AT187" s="445"/>
      <c r="AU187" s="445"/>
      <c r="AV187" s="442"/>
      <c r="AW187" s="445"/>
      <c r="AX187" s="445"/>
      <c r="AY187" s="445"/>
      <c r="AZ187" s="445"/>
      <c r="BA187" s="445"/>
      <c r="BB187" s="445"/>
      <c r="BC187" s="445"/>
      <c r="BD187" s="445"/>
      <c r="BE187" s="453"/>
      <c r="BF187" s="453"/>
      <c r="BG187" s="442"/>
      <c r="BH187" s="442"/>
      <c r="BI187" s="271"/>
      <c r="BJ187" s="453">
        <v>26</v>
      </c>
      <c r="BK187" s="453"/>
      <c r="BL187" s="453"/>
      <c r="BM187" s="446"/>
      <c r="BN187" s="453">
        <f>100*(271+159+97+170+36+17)/U136</f>
        <v>16.592920353982301</v>
      </c>
      <c r="BO187" s="442"/>
      <c r="BP187" s="446"/>
      <c r="BQ187" s="271"/>
      <c r="BR187" s="445"/>
      <c r="BS187" s="453">
        <f>100*(283+1366+468+334+92+70)/U136</f>
        <v>57.809734513274336</v>
      </c>
      <c r="BT187" s="446"/>
      <c r="BU187" s="446">
        <v>9</v>
      </c>
      <c r="BV187" s="442">
        <v>1</v>
      </c>
      <c r="BW187" s="442"/>
      <c r="BX187" s="573"/>
      <c r="BY187" s="854"/>
      <c r="BZ187" s="854"/>
      <c r="CA187" s="854"/>
      <c r="CB187" s="854"/>
      <c r="CC187" s="854"/>
      <c r="CD187" s="854"/>
      <c r="CE187" s="854"/>
      <c r="CF187" s="854"/>
      <c r="CG187" s="169"/>
      <c r="CH187" s="433" t="s">
        <v>1613</v>
      </c>
      <c r="CI187" s="406" t="s">
        <v>1595</v>
      </c>
      <c r="CJ187" s="23"/>
      <c r="CK187" s="417" t="s">
        <v>1612</v>
      </c>
      <c r="CL187" s="648" t="s">
        <v>1611</v>
      </c>
      <c r="CM187" s="431"/>
      <c r="CN187" s="128"/>
      <c r="CO187" s="128"/>
      <c r="CP187" s="128"/>
      <c r="CQ187" s="128"/>
      <c r="CR187" s="845" t="str">
        <f t="shared" si="16"/>
        <v>2006_nat</v>
      </c>
      <c r="CS187" s="648" t="str">
        <f t="shared" si="12"/>
        <v xml:space="preserve">national: </v>
      </c>
      <c r="CT187" s="35" t="str">
        <f t="shared" si="5"/>
        <v/>
      </c>
      <c r="CU187" s="23" t="str">
        <f t="shared" si="6"/>
        <v>both</v>
      </c>
      <c r="CV187" s="23" t="str">
        <f t="shared" si="13"/>
        <v>IV</v>
      </c>
      <c r="CW187" s="579" t="str">
        <f t="shared" si="7"/>
        <v/>
      </c>
      <c r="CX187" s="23" t="str">
        <f t="shared" si="8"/>
        <v/>
      </c>
      <c r="CY187" s="35" t="str">
        <f t="shared" si="14"/>
        <v>15-35</v>
      </c>
      <c r="CZ187" s="35">
        <f t="shared" si="15"/>
        <v>3358</v>
      </c>
      <c r="DA187" s="648" t="str">
        <f t="shared" si="10"/>
        <v>Mahapatro M., Gupta R.N., Gupta V. &amp; Kundu A.S. (2011) 'Domestic violence during pregnancy in India', Journal of Interpersonal Violence 26(15):2973-90.</v>
      </c>
    </row>
    <row r="188" spans="1:105" s="97" customFormat="1" ht="12" customHeight="1" x14ac:dyDescent="0.2">
      <c r="A188" s="652" t="s">
        <v>2758</v>
      </c>
      <c r="B188" s="469"/>
      <c r="C188" s="390" t="s">
        <v>70</v>
      </c>
      <c r="D188" s="479" t="s">
        <v>1125</v>
      </c>
      <c r="E188" s="647" t="s">
        <v>14</v>
      </c>
      <c r="F188" s="647"/>
      <c r="G188" s="237"/>
      <c r="H188" s="186"/>
      <c r="I188" s="481" t="s">
        <v>235</v>
      </c>
      <c r="J188" s="571">
        <v>2006</v>
      </c>
      <c r="K188" s="571">
        <v>2007</v>
      </c>
      <c r="L188" s="494" t="s">
        <v>244</v>
      </c>
      <c r="M188" s="247" t="s">
        <v>1837</v>
      </c>
      <c r="N188" s="494" t="s">
        <v>783</v>
      </c>
      <c r="O188" s="247" t="s">
        <v>19</v>
      </c>
      <c r="P188" s="98">
        <v>15</v>
      </c>
      <c r="Q188" s="247">
        <v>49</v>
      </c>
      <c r="R188" s="291">
        <v>29.927293713516239</v>
      </c>
      <c r="S188" s="291"/>
      <c r="T188" s="291"/>
      <c r="U188" s="553">
        <v>69436</v>
      </c>
      <c r="V188" s="794">
        <v>0</v>
      </c>
      <c r="W188" s="712"/>
      <c r="X188" s="552">
        <v>5.9391067965456568</v>
      </c>
      <c r="Y188" s="552">
        <v>11.461573914045362</v>
      </c>
      <c r="Z188" s="552">
        <v>8.5392902408111073</v>
      </c>
      <c r="AA188" s="552">
        <v>14.134692936974165</v>
      </c>
      <c r="AB188" s="552">
        <v>14.134692936974165</v>
      </c>
      <c r="AC188" s="552">
        <v>7.5887198986057562</v>
      </c>
      <c r="AD188" s="552">
        <v>5.667415600875624</v>
      </c>
      <c r="AE188" s="552">
        <v>4.9717709413527178</v>
      </c>
      <c r="AF188" s="552">
        <v>3.6208088489457277</v>
      </c>
      <c r="AI188" s="552">
        <v>1.2343011867726739</v>
      </c>
      <c r="AJ188" s="552">
        <v>0.83967046894804187</v>
      </c>
      <c r="AK188" s="555"/>
      <c r="AL188" s="555"/>
      <c r="AM188" s="552">
        <v>29.882193674751232</v>
      </c>
      <c r="AN188" s="552">
        <v>18.621464370067333</v>
      </c>
      <c r="AO188" s="552">
        <v>13.026880636146265</v>
      </c>
      <c r="AP188" s="552">
        <v>8.4372929211443637</v>
      </c>
      <c r="AQ188" s="552">
        <v>11.825292787277281</v>
      </c>
      <c r="AR188" s="552">
        <v>7.6794537518546662</v>
      </c>
      <c r="AS188" s="552">
        <v>9.2003687060720782</v>
      </c>
      <c r="AT188" s="552">
        <v>5.9021776702385305</v>
      </c>
      <c r="AU188" s="552">
        <v>9.65</v>
      </c>
      <c r="AV188" s="552">
        <v>6.11</v>
      </c>
      <c r="AW188" s="552">
        <v>1.9776452625817651</v>
      </c>
      <c r="AX188" s="552">
        <v>1.2833808659580024</v>
      </c>
      <c r="AY188" s="589"/>
      <c r="AZ188" s="589"/>
      <c r="BA188" s="552"/>
      <c r="BB188" s="552"/>
      <c r="BC188" s="589">
        <f>100*(1-62735/69432)</f>
        <v>9.6454084571955256</v>
      </c>
      <c r="BD188" s="589">
        <f>100*(810+3037+392)/69432</f>
        <v>6.1052540615278259</v>
      </c>
      <c r="BE188" s="552"/>
      <c r="BF188" s="552"/>
      <c r="BG188" s="552"/>
      <c r="BH188" s="552"/>
      <c r="BI188" s="552">
        <v>30.991128521228234</v>
      </c>
      <c r="BJ188" s="552">
        <v>19.887378305201764</v>
      </c>
      <c r="BK188" s="552"/>
      <c r="BL188" s="552"/>
      <c r="BM188" s="552">
        <v>7.8377716647702496</v>
      </c>
      <c r="BN188" s="552">
        <v>5.8315210346665314</v>
      </c>
      <c r="BO188" s="552">
        <v>3.9030994354188366</v>
      </c>
      <c r="BP188" s="552">
        <v>2.9525290932134891</v>
      </c>
      <c r="BQ188" s="552"/>
      <c r="BR188" s="42"/>
      <c r="BS188" s="42"/>
      <c r="BT188" s="42"/>
      <c r="BU188" s="42">
        <v>12</v>
      </c>
      <c r="BV188" s="42">
        <v>0</v>
      </c>
      <c r="BW188" s="42"/>
      <c r="BX188" s="573">
        <v>7.0000000000000001E-3</v>
      </c>
      <c r="BY188" s="854">
        <v>0.39500000000000002</v>
      </c>
      <c r="BZ188" s="854">
        <v>0.25800000000000001</v>
      </c>
      <c r="CA188" s="854">
        <v>0.34300000000000003</v>
      </c>
      <c r="CB188" s="854">
        <v>0.109</v>
      </c>
      <c r="CC188" s="854">
        <v>0.155</v>
      </c>
      <c r="CD188" s="854">
        <v>0.26</v>
      </c>
      <c r="CE188" s="854">
        <v>0.53400000000000003</v>
      </c>
      <c r="CF188" s="854"/>
      <c r="CH188" s="647"/>
      <c r="CL188" s="469" t="s">
        <v>1841</v>
      </c>
      <c r="CM188" s="556" t="s">
        <v>1158</v>
      </c>
      <c r="CR188" s="845">
        <f t="shared" si="16"/>
        <v>0</v>
      </c>
      <c r="CS188" s="648" t="str">
        <f t="shared" si="12"/>
        <v xml:space="preserve">national: </v>
      </c>
      <c r="CT188" s="35" t="str">
        <f t="shared" si="5"/>
        <v/>
      </c>
      <c r="CU188" s="23" t="str">
        <f t="shared" si="6"/>
        <v>both</v>
      </c>
      <c r="CV188" s="23" t="str">
        <f t="shared" si="13"/>
        <v xml:space="preserve">III </v>
      </c>
      <c r="CW188" s="579" t="str">
        <f t="shared" si="7"/>
        <v>DHS</v>
      </c>
      <c r="CX188" s="23" t="str">
        <f t="shared" si="8"/>
        <v>y</v>
      </c>
      <c r="CY188" s="35" t="str">
        <f t="shared" si="14"/>
        <v>15-49</v>
      </c>
      <c r="CZ188" s="35">
        <f t="shared" si="15"/>
        <v>69436</v>
      </c>
      <c r="DA188" s="648">
        <f t="shared" si="10"/>
        <v>0</v>
      </c>
    </row>
    <row r="189" spans="1:105" s="35" customFormat="1" ht="12" customHeight="1" x14ac:dyDescent="0.2">
      <c r="A189" s="651"/>
      <c r="B189" s="537" t="s">
        <v>1703</v>
      </c>
      <c r="C189" s="390" t="s">
        <v>70</v>
      </c>
      <c r="D189" s="36" t="s">
        <v>1125</v>
      </c>
      <c r="E189" s="647" t="s">
        <v>1634</v>
      </c>
      <c r="F189" s="647"/>
      <c r="G189" s="237">
        <v>0</v>
      </c>
      <c r="H189" s="478">
        <v>6</v>
      </c>
      <c r="I189" s="124" t="s">
        <v>235</v>
      </c>
      <c r="J189" s="128">
        <v>2006</v>
      </c>
      <c r="K189" s="571">
        <v>2011</v>
      </c>
      <c r="L189" s="494"/>
      <c r="M189" s="247" t="s">
        <v>78</v>
      </c>
      <c r="N189" s="494"/>
      <c r="O189" s="98" t="s">
        <v>19</v>
      </c>
      <c r="P189" s="98">
        <v>15</v>
      </c>
      <c r="Q189" s="247">
        <f>22+2*(3)</f>
        <v>28</v>
      </c>
      <c r="R189" s="291">
        <v>22.14</v>
      </c>
      <c r="S189" s="291"/>
      <c r="T189" s="291"/>
      <c r="U189" s="394">
        <v>592</v>
      </c>
      <c r="V189" s="794">
        <v>0</v>
      </c>
      <c r="W189" s="722" t="s">
        <v>2019</v>
      </c>
      <c r="X189" s="277">
        <f>0*0.381 + 3.9*0.332 + 9.1 *0.227 + 15.2*0.06</f>
        <v>4.2725</v>
      </c>
      <c r="Y189" s="442"/>
      <c r="Z189" s="442"/>
      <c r="AA189" s="442"/>
      <c r="AB189" s="442"/>
      <c r="AC189" s="442"/>
      <c r="AD189" s="442"/>
      <c r="AE189" s="442"/>
      <c r="AF189" s="442"/>
      <c r="AG189" s="442"/>
      <c r="AH189" s="442"/>
      <c r="AI189" s="442"/>
      <c r="AJ189" s="442"/>
      <c r="AK189" s="442"/>
      <c r="AL189" s="442"/>
      <c r="AM189" s="442"/>
      <c r="AN189" s="442"/>
      <c r="AO189" s="442"/>
      <c r="AP189" s="442"/>
      <c r="AQ189" s="442"/>
      <c r="AR189" s="442"/>
      <c r="AS189" s="442"/>
      <c r="AT189" s="442"/>
      <c r="AU189" s="442"/>
      <c r="AV189" s="442"/>
      <c r="AW189" s="442"/>
      <c r="AX189" s="442"/>
      <c r="AY189" s="442"/>
      <c r="AZ189" s="442"/>
      <c r="BA189" s="442"/>
      <c r="BB189" s="442"/>
      <c r="BD189" s="442"/>
      <c r="BE189" s="453"/>
      <c r="BF189" s="453"/>
      <c r="BG189" s="442"/>
      <c r="BH189" s="442"/>
      <c r="BI189" s="442">
        <v>24.83</v>
      </c>
      <c r="BJ189" s="453"/>
      <c r="BK189" s="453"/>
      <c r="BL189" s="453"/>
      <c r="BM189" s="442"/>
      <c r="BN189" s="442"/>
      <c r="BO189" s="442"/>
      <c r="BP189" s="442"/>
      <c r="BQ189" s="444"/>
      <c r="BR189" s="444"/>
      <c r="BS189" s="442"/>
      <c r="BT189" s="442"/>
      <c r="BU189" s="442"/>
      <c r="BV189" s="442">
        <v>0</v>
      </c>
      <c r="BW189" s="442"/>
      <c r="BX189" s="573"/>
      <c r="BY189" s="854">
        <f>0.0067+0.4452</f>
        <v>0.45189999999999997</v>
      </c>
      <c r="BZ189" s="854">
        <f>0.0169+0.3733</f>
        <v>0.39019999999999999</v>
      </c>
      <c r="CA189" s="854">
        <f>0.0135+0.5673</f>
        <v>0.58079999999999998</v>
      </c>
      <c r="CB189" s="854"/>
      <c r="CC189" s="854">
        <f>0.0034+0.1697</f>
        <v>0.17309999999999998</v>
      </c>
      <c r="CD189" s="854">
        <f>0.0017+0.2963</f>
        <v>0.29799999999999999</v>
      </c>
      <c r="CE189" s="854"/>
      <c r="CF189" s="854"/>
      <c r="CG189" s="36"/>
      <c r="CH189" s="419" t="s">
        <v>1635</v>
      </c>
      <c r="CI189" s="406" t="s">
        <v>1627</v>
      </c>
      <c r="CJ189" s="23"/>
      <c r="CK189" s="417" t="s">
        <v>1636</v>
      </c>
      <c r="CL189" s="572"/>
      <c r="CM189" s="648"/>
      <c r="CR189" s="845" t="str">
        <f t="shared" si="16"/>
        <v>2006_AP</v>
      </c>
      <c r="CS189" s="648" t="str">
        <f t="shared" si="12"/>
        <v xml:space="preserve">Andhra Pradesh: </v>
      </c>
      <c r="CT189" s="35" t="str">
        <f t="shared" si="5"/>
        <v/>
      </c>
      <c r="CU189" s="23" t="str">
        <f t="shared" si="6"/>
        <v>rural</v>
      </c>
      <c r="CV189" s="23" t="str">
        <f t="shared" si="13"/>
        <v>IV</v>
      </c>
      <c r="CW189" s="579" t="str">
        <f t="shared" si="7"/>
        <v/>
      </c>
      <c r="CX189" s="23" t="str">
        <f t="shared" si="8"/>
        <v/>
      </c>
      <c r="CY189" s="35" t="str">
        <f t="shared" si="14"/>
        <v>15-49</v>
      </c>
      <c r="CZ189" s="35">
        <f t="shared" si="15"/>
        <v>592</v>
      </c>
      <c r="DA189" s="648" t="str">
        <f t="shared" si="10"/>
        <v>Shroff M.R., Griffiths P.L., Suchindran C., Nagalla B., Vazir S. &amp; Bentley M.E. (2011), ‘Does maternal autonomy influence feeding practices and infant growth in rural India?’, Social Science &amp; Medicine 73(3):447-55. doi:10.1016/j.socscimed.2011.05.040</v>
      </c>
    </row>
    <row r="190" spans="1:105" s="35" customFormat="1" ht="12" customHeight="1" x14ac:dyDescent="0.2">
      <c r="A190" s="431"/>
      <c r="B190" s="574" t="s">
        <v>2463</v>
      </c>
      <c r="C190" s="273" t="s">
        <v>70</v>
      </c>
      <c r="D190" s="36" t="s">
        <v>1125</v>
      </c>
      <c r="E190" s="647" t="s">
        <v>2696</v>
      </c>
      <c r="F190" s="647"/>
      <c r="G190" s="479"/>
      <c r="H190" s="186"/>
      <c r="I190" s="37" t="s">
        <v>585</v>
      </c>
      <c r="J190" s="571">
        <v>2007</v>
      </c>
      <c r="K190" s="571">
        <v>2010</v>
      </c>
      <c r="L190" s="128"/>
      <c r="M190" s="23" t="s">
        <v>18</v>
      </c>
      <c r="N190" s="575" t="s">
        <v>783</v>
      </c>
      <c r="O190" s="98" t="s">
        <v>2464</v>
      </c>
      <c r="P190" s="98">
        <v>15</v>
      </c>
      <c r="Q190" s="23">
        <v>24</v>
      </c>
      <c r="R190" s="39">
        <f>17*0.522 + 22*0.478</f>
        <v>19.39</v>
      </c>
      <c r="S190" s="39">
        <v>16.2</v>
      </c>
      <c r="T190" s="39"/>
      <c r="U190" s="576">
        <v>13549</v>
      </c>
      <c r="V190" s="692">
        <v>0</v>
      </c>
      <c r="W190" s="724" t="s">
        <v>2467</v>
      </c>
      <c r="X190" s="277">
        <v>8</v>
      </c>
      <c r="Y190" s="577">
        <v>7.2</v>
      </c>
      <c r="Z190" s="507"/>
      <c r="AA190" s="507"/>
      <c r="AB190" s="507"/>
      <c r="AC190" s="507"/>
      <c r="AD190" s="507"/>
      <c r="AE190" s="507"/>
      <c r="AF190" s="507"/>
      <c r="AG190" s="507"/>
      <c r="AH190" s="507"/>
      <c r="AI190" s="35">
        <v>0.4</v>
      </c>
      <c r="AJ190" s="35">
        <f>0.2+0.1</f>
        <v>0.30000000000000004</v>
      </c>
      <c r="AK190" s="577"/>
      <c r="AL190" s="578"/>
      <c r="AM190" s="577">
        <v>24.2</v>
      </c>
      <c r="AN190" s="38">
        <f>17.3 + 1.8</f>
        <v>19.100000000000001</v>
      </c>
      <c r="AO190" s="577">
        <v>11.4</v>
      </c>
      <c r="AP190" s="577">
        <f>8.2 + 1.2</f>
        <v>9.3999999999999986</v>
      </c>
      <c r="AQ190" s="577">
        <v>7.2</v>
      </c>
      <c r="AR190" s="577">
        <f>5.1+0.8</f>
        <v>5.8999999999999995</v>
      </c>
      <c r="AS190" s="577">
        <v>5.4</v>
      </c>
      <c r="AT190" s="577">
        <f>3.8+0.6</f>
        <v>4.3999999999999995</v>
      </c>
      <c r="AU190" s="577">
        <v>6.3</v>
      </c>
      <c r="AV190" s="577">
        <f>4.5+0.8</f>
        <v>5.3</v>
      </c>
      <c r="AW190" s="577">
        <v>1.2</v>
      </c>
      <c r="AX190" s="577">
        <f>0.7+0.2</f>
        <v>0.89999999999999991</v>
      </c>
      <c r="AY190" s="676"/>
      <c r="AZ190" s="676"/>
      <c r="BA190" s="676"/>
      <c r="BB190" s="676"/>
      <c r="BC190" s="577"/>
      <c r="BD190" s="676"/>
      <c r="BE190" s="458"/>
      <c r="BF190" s="458"/>
      <c r="BG190" s="577"/>
      <c r="BH190" s="577"/>
      <c r="BI190" s="577">
        <v>25.3</v>
      </c>
      <c r="BJ190" s="577">
        <v>20.9</v>
      </c>
      <c r="BK190" s="577"/>
      <c r="BL190" s="577"/>
      <c r="BM190" s="577">
        <v>32.200000000000003</v>
      </c>
      <c r="BN190" s="577">
        <v>16.600000000000001</v>
      </c>
      <c r="BO190" s="458"/>
      <c r="BP190" s="458"/>
      <c r="BQ190" s="458"/>
      <c r="BR190" s="458"/>
      <c r="BS190" s="458"/>
      <c r="BT190" s="458"/>
      <c r="BU190" s="458">
        <v>12</v>
      </c>
      <c r="BV190" s="577">
        <v>0</v>
      </c>
      <c r="BW190" s="577"/>
      <c r="BX190" s="573"/>
      <c r="BY190" s="854"/>
      <c r="BZ190" s="854">
        <v>0.38400000000000001</v>
      </c>
      <c r="CA190" s="854"/>
      <c r="CB190" s="854">
        <v>0.14499999999999999</v>
      </c>
      <c r="CC190" s="854"/>
      <c r="CD190" s="854">
        <v>0.37</v>
      </c>
      <c r="CE190" s="854">
        <v>0.58099999999999996</v>
      </c>
      <c r="CF190" s="854"/>
      <c r="CG190" s="579"/>
      <c r="CH190" s="419" t="s">
        <v>2465</v>
      </c>
      <c r="CI190" s="406" t="s">
        <v>2454</v>
      </c>
      <c r="CJ190" s="23"/>
      <c r="CK190" s="648" t="s">
        <v>2466</v>
      </c>
      <c r="CL190" s="717" t="s">
        <v>2468</v>
      </c>
      <c r="CM190" s="431"/>
      <c r="CN190" s="128"/>
      <c r="CO190" s="128"/>
      <c r="CP190" s="128"/>
      <c r="CQ190" s="128"/>
      <c r="CR190" s="845" t="str">
        <f t="shared" si="16"/>
        <v>2007_Youth</v>
      </c>
      <c r="CS190" s="648" t="str">
        <f t="shared" si="12"/>
        <v xml:space="preserve">Bih,Jharkhand,Raj,Mah,AP,TN: </v>
      </c>
      <c r="CT190" s="35">
        <f t="shared" si="5"/>
        <v>2007</v>
      </c>
      <c r="CU190" s="23" t="str">
        <f t="shared" si="6"/>
        <v>both</v>
      </c>
      <c r="CV190" s="23" t="str">
        <f t="shared" si="13"/>
        <v>II</v>
      </c>
      <c r="CW190" s="579" t="str">
        <f t="shared" si="7"/>
        <v/>
      </c>
      <c r="CX190" s="23" t="str">
        <f t="shared" si="8"/>
        <v>y</v>
      </c>
      <c r="CY190" s="35" t="str">
        <f t="shared" si="14"/>
        <v>15-24</v>
      </c>
      <c r="CZ190" s="35">
        <f t="shared" si="15"/>
        <v>13549</v>
      </c>
      <c r="DA190" s="648" t="str">
        <f t="shared" si="10"/>
        <v>IIPS and Population Council (2010), Youth in India: situation and needs 2006-2007. Mumbai: International Institute for Population Sciences.</v>
      </c>
    </row>
    <row r="191" spans="1:105" s="35" customFormat="1" ht="12" customHeight="1" thickBot="1" x14ac:dyDescent="0.25">
      <c r="A191" s="431"/>
      <c r="B191" s="574" t="s">
        <v>2463</v>
      </c>
      <c r="C191" s="273" t="s">
        <v>70</v>
      </c>
      <c r="D191" s="36" t="s">
        <v>1125</v>
      </c>
      <c r="E191" s="647" t="s">
        <v>2696</v>
      </c>
      <c r="F191" s="647"/>
      <c r="G191" s="479"/>
      <c r="H191" s="186"/>
      <c r="I191" s="37" t="s">
        <v>585</v>
      </c>
      <c r="J191" s="571">
        <v>2007</v>
      </c>
      <c r="K191" s="571">
        <v>2010</v>
      </c>
      <c r="L191" s="128"/>
      <c r="M191" s="23" t="s">
        <v>289</v>
      </c>
      <c r="N191" s="575" t="s">
        <v>783</v>
      </c>
      <c r="O191" s="166"/>
      <c r="P191" s="98"/>
      <c r="Q191" s="23"/>
      <c r="R191" s="39">
        <f>17*0.522 + 22*0.478</f>
        <v>19.39</v>
      </c>
      <c r="S191" s="39">
        <v>16.2</v>
      </c>
      <c r="T191" s="39"/>
      <c r="U191" s="576">
        <v>7812</v>
      </c>
      <c r="V191" s="692">
        <v>0</v>
      </c>
      <c r="W191" s="724" t="s">
        <v>2467</v>
      </c>
      <c r="X191" s="277">
        <v>8</v>
      </c>
      <c r="Y191" s="577">
        <v>3.7</v>
      </c>
      <c r="Z191" s="507"/>
      <c r="AA191" s="507"/>
      <c r="AB191" s="507"/>
      <c r="AC191" s="507"/>
      <c r="AD191" s="507"/>
      <c r="AE191" s="507"/>
      <c r="AF191" s="507"/>
      <c r="AG191" s="507"/>
      <c r="AH191" s="507"/>
      <c r="AI191" s="35">
        <v>0.1</v>
      </c>
      <c r="AJ191" s="35">
        <f>0.1+0</f>
        <v>0.1</v>
      </c>
      <c r="AK191" s="577"/>
      <c r="AL191" s="578"/>
      <c r="AM191" s="577">
        <v>22.9</v>
      </c>
      <c r="AN191" s="577">
        <f>15.6 + 0.3</f>
        <v>15.9</v>
      </c>
      <c r="AO191" s="577">
        <v>7.1</v>
      </c>
      <c r="AP191" s="577">
        <f>4.7+0.1</f>
        <v>4.8</v>
      </c>
      <c r="AQ191" s="577">
        <v>4.0999999999999996</v>
      </c>
      <c r="AR191" s="577">
        <f>2.6+0.1</f>
        <v>2.7</v>
      </c>
      <c r="AS191" s="577">
        <v>3.4</v>
      </c>
      <c r="AT191" s="577">
        <f>2.3+0</f>
        <v>2.2999999999999998</v>
      </c>
      <c r="AU191" s="577">
        <v>2.6</v>
      </c>
      <c r="AV191" s="577">
        <f>1.7+0</f>
        <v>1.7</v>
      </c>
      <c r="AW191" s="458">
        <v>0.2</v>
      </c>
      <c r="AX191" s="458">
        <f>0.1+0</f>
        <v>0.1</v>
      </c>
      <c r="AY191" s="676"/>
      <c r="AZ191" s="676"/>
      <c r="BA191" s="676"/>
      <c r="BB191" s="676"/>
      <c r="BC191" s="577"/>
      <c r="BD191" s="676"/>
      <c r="BE191" s="458"/>
      <c r="BF191" s="458"/>
      <c r="BG191" s="577"/>
      <c r="BH191" s="577"/>
      <c r="BI191" s="577">
        <v>23.9</v>
      </c>
      <c r="BJ191" s="577">
        <v>17.5</v>
      </c>
      <c r="BK191" s="577"/>
      <c r="BL191" s="577"/>
      <c r="BM191" s="577">
        <v>16.7</v>
      </c>
      <c r="BN191" s="458">
        <v>6</v>
      </c>
      <c r="BO191" s="458"/>
      <c r="BP191" s="458"/>
      <c r="BQ191" s="458"/>
      <c r="BR191" s="458"/>
      <c r="BS191" s="458"/>
      <c r="BT191" s="458"/>
      <c r="BU191" s="458">
        <v>12</v>
      </c>
      <c r="BV191" s="577">
        <v>0</v>
      </c>
      <c r="BW191" s="577"/>
      <c r="BX191" s="573"/>
      <c r="BY191" s="854"/>
      <c r="BZ191" s="854">
        <v>0.38100000000000001</v>
      </c>
      <c r="CA191" s="854"/>
      <c r="CB191" s="854">
        <v>0.19700000000000001</v>
      </c>
      <c r="CC191" s="854"/>
      <c r="CD191" s="854">
        <v>0.32800000000000001</v>
      </c>
      <c r="CE191" s="854">
        <v>0.54300000000000004</v>
      </c>
      <c r="CF191" s="854"/>
      <c r="CG191" s="579"/>
      <c r="CH191" s="425" t="s">
        <v>2465</v>
      </c>
      <c r="CI191" s="406" t="s">
        <v>2454</v>
      </c>
      <c r="CJ191" s="23"/>
      <c r="CK191" s="648" t="s">
        <v>2466</v>
      </c>
      <c r="CL191" s="717" t="s">
        <v>2468</v>
      </c>
      <c r="CM191" s="431"/>
      <c r="CN191" s="128"/>
      <c r="CO191" s="128"/>
      <c r="CP191" s="128"/>
      <c r="CQ191" s="128"/>
      <c r="CR191" s="845" t="str">
        <f t="shared" si="16"/>
        <v>2007_Youth</v>
      </c>
      <c r="CS191" s="648" t="str">
        <f t="shared" si="12"/>
        <v xml:space="preserve">Bih,Jharkhand,Raj,Mah,AP,TN: </v>
      </c>
      <c r="CT191" s="35">
        <f t="shared" si="5"/>
        <v>2007</v>
      </c>
      <c r="CU191" s="23" t="str">
        <f t="shared" si="6"/>
        <v>both</v>
      </c>
      <c r="CV191" s="23" t="str">
        <f t="shared" si="13"/>
        <v>VII</v>
      </c>
      <c r="CW191" s="579" t="str">
        <f t="shared" si="7"/>
        <v/>
      </c>
      <c r="CX191" s="23" t="str">
        <f t="shared" si="8"/>
        <v>y</v>
      </c>
      <c r="CY191" s="35">
        <f t="shared" si="14"/>
        <v>0</v>
      </c>
      <c r="CZ191" s="35">
        <f t="shared" si="15"/>
        <v>7812</v>
      </c>
      <c r="DA191" s="648" t="str">
        <f t="shared" si="10"/>
        <v>IIPS and Population Council (2010), Youth in India: situation and needs 2006-2007. Mumbai: International Institute for Population Sciences.</v>
      </c>
    </row>
    <row r="192" spans="1:105" s="35" customFormat="1" ht="12" customHeight="1" x14ac:dyDescent="0.2">
      <c r="A192" s="651"/>
      <c r="B192" s="595" t="s">
        <v>1731</v>
      </c>
      <c r="C192" s="618" t="s">
        <v>70</v>
      </c>
      <c r="D192" s="597" t="s">
        <v>1125</v>
      </c>
      <c r="E192" s="706" t="s">
        <v>14</v>
      </c>
      <c r="F192" s="706" t="s">
        <v>2072</v>
      </c>
      <c r="G192" s="642">
        <v>0</v>
      </c>
      <c r="H192" s="598">
        <v>2</v>
      </c>
      <c r="I192" s="816">
        <v>2007</v>
      </c>
      <c r="J192" s="821">
        <v>2007</v>
      </c>
      <c r="K192" s="821">
        <v>2010</v>
      </c>
      <c r="L192" s="601" t="s">
        <v>628</v>
      </c>
      <c r="M192" s="622" t="s">
        <v>18</v>
      </c>
      <c r="N192" s="601" t="s">
        <v>628</v>
      </c>
      <c r="O192" s="599" t="s">
        <v>1733</v>
      </c>
      <c r="P192" s="602">
        <v>20</v>
      </c>
      <c r="Q192" s="622">
        <v>85</v>
      </c>
      <c r="R192" s="643">
        <v>37</v>
      </c>
      <c r="S192" s="643"/>
      <c r="T192" s="643"/>
      <c r="U192" s="623">
        <v>1236</v>
      </c>
      <c r="V192" s="798">
        <v>0</v>
      </c>
      <c r="W192" s="725" t="s">
        <v>2058</v>
      </c>
      <c r="X192" s="810">
        <v>9</v>
      </c>
      <c r="Y192" s="447"/>
      <c r="Z192" s="447"/>
      <c r="AA192" s="447"/>
      <c r="AB192" s="447"/>
      <c r="AC192" s="447"/>
      <c r="AD192" s="447"/>
      <c r="AE192" s="447"/>
      <c r="AF192" s="447"/>
      <c r="AG192" s="447"/>
      <c r="AH192" s="447"/>
      <c r="AI192" s="447"/>
      <c r="AJ192" s="447"/>
      <c r="AK192" s="447"/>
      <c r="AL192" s="447"/>
      <c r="AM192" s="447"/>
      <c r="AN192" s="447"/>
      <c r="AO192" s="447"/>
      <c r="AP192" s="447"/>
      <c r="AQ192" s="447"/>
      <c r="AR192" s="447"/>
      <c r="AS192" s="447"/>
      <c r="AT192" s="447"/>
      <c r="AU192" s="447"/>
      <c r="AV192" s="447"/>
      <c r="AW192" s="447"/>
      <c r="AX192" s="447"/>
      <c r="AY192" s="468"/>
      <c r="AZ192" s="468"/>
      <c r="BA192" s="447"/>
      <c r="BB192" s="447"/>
      <c r="BG192" s="447"/>
      <c r="BH192" s="447"/>
      <c r="BI192" s="447">
        <v>7.2</v>
      </c>
      <c r="BJ192" s="468">
        <v>2.6</v>
      </c>
      <c r="BM192" s="447"/>
      <c r="BN192" s="447"/>
      <c r="BO192" s="447"/>
      <c r="BP192" s="447"/>
      <c r="BQ192" s="447"/>
      <c r="BR192" s="447"/>
      <c r="BS192" s="447"/>
      <c r="BT192" s="447"/>
      <c r="BU192" s="447">
        <v>1</v>
      </c>
      <c r="BV192" s="550">
        <v>0</v>
      </c>
      <c r="BW192" s="550"/>
      <c r="BX192" s="573"/>
      <c r="BY192" s="854"/>
      <c r="BZ192" s="854"/>
      <c r="CA192" s="854"/>
      <c r="CB192" s="854"/>
      <c r="CC192" s="854"/>
      <c r="CD192" s="854"/>
      <c r="CE192" s="854"/>
      <c r="CF192" s="854"/>
      <c r="CG192" s="237"/>
      <c r="CH192" s="419" t="s">
        <v>1531</v>
      </c>
      <c r="CI192" s="406"/>
      <c r="CJ192" s="23"/>
      <c r="CK192" s="417" t="s">
        <v>694</v>
      </c>
      <c r="CL192" s="417" t="s">
        <v>1532</v>
      </c>
      <c r="CM192" s="648"/>
      <c r="CR192" s="845" t="str">
        <f t="shared" si="16"/>
        <v>2007_WAS</v>
      </c>
      <c r="CS192" s="648" t="str">
        <f t="shared" si="12"/>
        <v>national: Vijayawada, Patna, Delhi, Ahmadabad, Kochi, Mumbai, Bhubaneswar, Ludhiana, Chennai, Lucknow, Kolkota</v>
      </c>
      <c r="CT192" s="35" t="str">
        <f t="shared" si="5"/>
        <v/>
      </c>
      <c r="CU192" s="23" t="str">
        <f t="shared" si="6"/>
        <v>urban</v>
      </c>
      <c r="CV192" s="23" t="str">
        <f t="shared" si="13"/>
        <v>II</v>
      </c>
      <c r="CW192" s="579" t="str">
        <f t="shared" si="7"/>
        <v>WAS</v>
      </c>
      <c r="CX192" s="23" t="str">
        <f t="shared" si="8"/>
        <v/>
      </c>
      <c r="CY192" s="35" t="str">
        <f t="shared" si="14"/>
        <v>20-85</v>
      </c>
      <c r="CZ192" s="35">
        <f t="shared" si="15"/>
        <v>1236</v>
      </c>
      <c r="DA192" s="648" t="str">
        <f t="shared" si="10"/>
        <v>Simister &amp; Mehta (2010)</v>
      </c>
    </row>
    <row r="193" spans="1:105" s="35" customFormat="1" ht="12" customHeight="1" thickBot="1" x14ac:dyDescent="0.25">
      <c r="A193" s="651"/>
      <c r="B193" s="540" t="s">
        <v>1731</v>
      </c>
      <c r="C193" s="624" t="s">
        <v>70</v>
      </c>
      <c r="D193" s="522" t="s">
        <v>1125</v>
      </c>
      <c r="E193" s="707" t="s">
        <v>14</v>
      </c>
      <c r="F193" s="707" t="s">
        <v>2072</v>
      </c>
      <c r="G193" s="644">
        <v>0</v>
      </c>
      <c r="H193" s="319">
        <v>2</v>
      </c>
      <c r="I193" s="817">
        <v>2007</v>
      </c>
      <c r="J193" s="822">
        <v>2007</v>
      </c>
      <c r="K193" s="822">
        <v>2010</v>
      </c>
      <c r="L193" s="523" t="s">
        <v>628</v>
      </c>
      <c r="M193" s="607" t="s">
        <v>289</v>
      </c>
      <c r="N193" s="523" t="s">
        <v>628</v>
      </c>
      <c r="O193" s="524" t="s">
        <v>2399</v>
      </c>
      <c r="P193" s="608">
        <v>18</v>
      </c>
      <c r="Q193" s="607">
        <v>80</v>
      </c>
      <c r="R193" s="645">
        <v>37</v>
      </c>
      <c r="S193" s="645"/>
      <c r="T193" s="645"/>
      <c r="U193" s="628">
        <v>1230</v>
      </c>
      <c r="V193" s="802">
        <v>0</v>
      </c>
      <c r="W193" s="726" t="s">
        <v>2062</v>
      </c>
      <c r="X193" s="810">
        <v>9</v>
      </c>
      <c r="Y193" s="447"/>
      <c r="Z193" s="447"/>
      <c r="AA193" s="447"/>
      <c r="AB193" s="447"/>
      <c r="AC193" s="447"/>
      <c r="AD193" s="447"/>
      <c r="AE193" s="447"/>
      <c r="AF193" s="447"/>
      <c r="AG193" s="447"/>
      <c r="AH193" s="447"/>
      <c r="AI193" s="447"/>
      <c r="AJ193" s="447"/>
      <c r="AK193" s="447"/>
      <c r="AL193" s="447"/>
      <c r="AM193" s="447"/>
      <c r="AN193" s="447"/>
      <c r="AO193" s="447"/>
      <c r="AP193" s="447"/>
      <c r="AQ193" s="447"/>
      <c r="AR193" s="447"/>
      <c r="AS193" s="447"/>
      <c r="AT193" s="447"/>
      <c r="AU193" s="447"/>
      <c r="AV193" s="447"/>
      <c r="AW193" s="447"/>
      <c r="AX193" s="447"/>
      <c r="AY193" s="468"/>
      <c r="AZ193" s="468"/>
      <c r="BA193" s="447"/>
      <c r="BB193" s="447"/>
      <c r="BG193" s="447"/>
      <c r="BH193" s="447"/>
      <c r="BI193" s="447">
        <v>7.7</v>
      </c>
      <c r="BJ193" s="468">
        <v>3</v>
      </c>
      <c r="BM193" s="447"/>
      <c r="BN193" s="447"/>
      <c r="BO193" s="447"/>
      <c r="BP193" s="447"/>
      <c r="BQ193" s="447"/>
      <c r="BR193" s="447"/>
      <c r="BS193" s="447"/>
      <c r="BT193" s="447"/>
      <c r="BU193" s="447">
        <v>1</v>
      </c>
      <c r="BV193" s="550">
        <v>0</v>
      </c>
      <c r="BW193" s="550"/>
      <c r="BX193" s="573"/>
      <c r="BY193" s="854"/>
      <c r="BZ193" s="854"/>
      <c r="CA193" s="854"/>
      <c r="CB193" s="854"/>
      <c r="CC193" s="854"/>
      <c r="CD193" s="854"/>
      <c r="CE193" s="854"/>
      <c r="CF193" s="854"/>
      <c r="CG193" s="237"/>
      <c r="CH193" s="419" t="s">
        <v>1531</v>
      </c>
      <c r="CI193" s="406"/>
      <c r="CJ193" s="23"/>
      <c r="CK193" s="417" t="s">
        <v>694</v>
      </c>
      <c r="CL193" s="417" t="s">
        <v>1532</v>
      </c>
      <c r="CM193" s="648"/>
      <c r="CR193" s="845" t="str">
        <f t="shared" si="16"/>
        <v>2007_WAS</v>
      </c>
      <c r="CS193" s="648" t="str">
        <f t="shared" si="12"/>
        <v>national: Vijayawada, Patna, Delhi, Ahmadabad, Kochi, Mumbai, Bhubaneswar, Ludhiana, Chennai, Lucknow, Kolkota</v>
      </c>
      <c r="CT193" s="35" t="str">
        <f t="shared" si="5"/>
        <v/>
      </c>
      <c r="CU193" s="23" t="str">
        <f t="shared" si="6"/>
        <v>urban</v>
      </c>
      <c r="CV193" s="23" t="str">
        <f t="shared" si="13"/>
        <v>VII</v>
      </c>
      <c r="CW193" s="579" t="str">
        <f t="shared" si="7"/>
        <v>WAS</v>
      </c>
      <c r="CX193" s="23" t="str">
        <f t="shared" si="8"/>
        <v/>
      </c>
      <c r="CY193" s="35" t="str">
        <f t="shared" si="14"/>
        <v>18-80</v>
      </c>
      <c r="CZ193" s="35">
        <f t="shared" si="15"/>
        <v>1230</v>
      </c>
      <c r="DA193" s="648" t="str">
        <f t="shared" si="10"/>
        <v>Simister &amp; Mehta (2010)</v>
      </c>
    </row>
    <row r="194" spans="1:105" s="35" customFormat="1" ht="12" customHeight="1" x14ac:dyDescent="0.2">
      <c r="A194" s="651"/>
      <c r="B194" s="537" t="s">
        <v>1706</v>
      </c>
      <c r="C194" s="390" t="s">
        <v>70</v>
      </c>
      <c r="D194" s="36" t="s">
        <v>1125</v>
      </c>
      <c r="E194" s="647" t="s">
        <v>1537</v>
      </c>
      <c r="F194" s="647"/>
      <c r="G194" s="237"/>
      <c r="H194" s="186">
        <v>2</v>
      </c>
      <c r="I194" s="533">
        <v>2007</v>
      </c>
      <c r="J194" s="571">
        <v>2007</v>
      </c>
      <c r="K194" s="571">
        <v>2012</v>
      </c>
      <c r="L194" s="494"/>
      <c r="M194" s="247" t="s">
        <v>646</v>
      </c>
      <c r="N194" s="494"/>
      <c r="O194" s="98" t="s">
        <v>1538</v>
      </c>
      <c r="P194" s="98">
        <v>13</v>
      </c>
      <c r="Q194" s="247">
        <v>24</v>
      </c>
      <c r="R194" s="291">
        <f>13.5*0.114 + 17*0.42 + 22*0.466</f>
        <v>18.931000000000001</v>
      </c>
      <c r="S194" s="291"/>
      <c r="T194" s="291"/>
      <c r="U194" s="395">
        <v>2363</v>
      </c>
      <c r="V194" s="794">
        <v>0</v>
      </c>
      <c r="W194" s="712"/>
      <c r="X194" s="277">
        <f>0*0.173 + 4.5*0.391 + 12*0.439</f>
        <v>7.0274999999999999</v>
      </c>
      <c r="Z194" s="447"/>
      <c r="AA194" s="447"/>
      <c r="AB194" s="447"/>
      <c r="AC194" s="447"/>
      <c r="AD194" s="447">
        <f>21.3*35.4/100</f>
        <v>7.5401999999999996</v>
      </c>
      <c r="AE194" s="447"/>
      <c r="AF194" s="447"/>
      <c r="AG194" s="447"/>
      <c r="AH194" s="447"/>
      <c r="AI194" s="447"/>
      <c r="AJ194" s="447"/>
      <c r="AK194" s="447"/>
      <c r="AL194" s="447"/>
      <c r="AM194" s="447"/>
      <c r="AN194" s="447"/>
      <c r="AO194" s="447"/>
      <c r="AP194" s="447"/>
      <c r="AQ194" s="505"/>
      <c r="AR194" s="447">
        <f>21.3*36.9/100</f>
        <v>7.8597000000000001</v>
      </c>
      <c r="AS194" s="447"/>
      <c r="AT194" s="447">
        <f>21.3*26.6/100</f>
        <v>5.6658000000000008</v>
      </c>
      <c r="AU194" s="447"/>
      <c r="AV194" s="447">
        <f>21.3*17/100</f>
        <v>3.6210000000000004</v>
      </c>
      <c r="AW194" s="447"/>
      <c r="AX194" s="447"/>
      <c r="AY194" s="447"/>
      <c r="AZ194" s="447"/>
      <c r="BA194" s="447"/>
      <c r="BB194" s="447"/>
      <c r="BC194" s="447">
        <f>(13 + 14.6 + 20.3)/3</f>
        <v>15.966666666666669</v>
      </c>
      <c r="BD194" s="447"/>
      <c r="BE194" s="447"/>
      <c r="BF194" s="447"/>
      <c r="BG194" s="447"/>
      <c r="BH194" s="447"/>
      <c r="BI194" s="271"/>
      <c r="BJ194" s="447">
        <f>21.3</f>
        <v>21.3</v>
      </c>
      <c r="BK194" s="447"/>
      <c r="BL194" s="447"/>
      <c r="BM194" s="447">
        <f>3.1*(0.385 + 0.026 + 0.436)</f>
        <v>2.6257000000000001</v>
      </c>
      <c r="BN194" s="447">
        <f>0.412*BM194</f>
        <v>1.0817884</v>
      </c>
      <c r="BO194" s="447"/>
      <c r="BP194" s="447"/>
      <c r="BQ194" s="447"/>
      <c r="BR194" s="444"/>
      <c r="BS194" s="442"/>
      <c r="BT194" s="442"/>
      <c r="BU194" s="442">
        <v>12</v>
      </c>
      <c r="BV194" s="442">
        <v>1</v>
      </c>
      <c r="BW194" s="442">
        <v>51.8</v>
      </c>
      <c r="BX194" s="573">
        <f>(0.015*0.54)+(0.053*0.457)</f>
        <v>3.2321000000000003E-2</v>
      </c>
      <c r="BY194" s="854"/>
      <c r="BZ194" s="854"/>
      <c r="CA194" s="854"/>
      <c r="CB194" s="854"/>
      <c r="CC194" s="854"/>
      <c r="CD194" s="854"/>
      <c r="CE194" s="854"/>
      <c r="CF194" s="854"/>
      <c r="CG194" s="36"/>
      <c r="CH194" s="419" t="s">
        <v>1539</v>
      </c>
      <c r="CI194" s="406" t="s">
        <v>1540</v>
      </c>
      <c r="CJ194" s="23">
        <v>11</v>
      </c>
      <c r="CK194" s="680" t="s">
        <v>1899</v>
      </c>
      <c r="CL194" s="417" t="s">
        <v>1546</v>
      </c>
      <c r="CM194" s="648"/>
      <c r="CR194" s="845" t="str">
        <f t="shared" si="16"/>
        <v>2007_KKBGA</v>
      </c>
      <c r="CS194" s="648" t="str">
        <f t="shared" si="12"/>
        <v xml:space="preserve">Kanpur,Kishanganj,Bellary,Guntur,Aizawal: </v>
      </c>
      <c r="CT194" s="35">
        <f t="shared" si="5"/>
        <v>2007</v>
      </c>
      <c r="CU194" s="23" t="str">
        <f t="shared" si="6"/>
        <v>urban</v>
      </c>
      <c r="CV194" s="23" t="str">
        <f t="shared" si="13"/>
        <v>VIII</v>
      </c>
      <c r="CW194" s="579" t="str">
        <f t="shared" si="7"/>
        <v/>
      </c>
      <c r="CX194" s="23" t="str">
        <f t="shared" si="8"/>
        <v/>
      </c>
      <c r="CY194" s="35" t="str">
        <f t="shared" si="14"/>
        <v>13-24</v>
      </c>
      <c r="CZ194" s="35">
        <f t="shared" si="15"/>
        <v>2363</v>
      </c>
      <c r="DA194" s="648" t="str">
        <f t="shared" si="10"/>
        <v>Coast E., Leone T. &amp; Malviya A. (2012), ‘Gender-based violence and reproductive health in five Indian states’, in Nakray, Keerty, (ed.) Gender-based violence and public health: international perspectives on budgets and policies. New York: Routledge.</v>
      </c>
    </row>
    <row r="195" spans="1:105" s="35" customFormat="1" ht="12" customHeight="1" x14ac:dyDescent="0.2">
      <c r="A195" s="651"/>
      <c r="B195" s="537" t="s">
        <v>1993</v>
      </c>
      <c r="C195" s="390" t="s">
        <v>70</v>
      </c>
      <c r="D195" s="36" t="s">
        <v>1125</v>
      </c>
      <c r="E195" s="647" t="s">
        <v>1650</v>
      </c>
      <c r="F195" s="647" t="s">
        <v>1541</v>
      </c>
      <c r="G195" s="237">
        <v>1</v>
      </c>
      <c r="H195" s="186">
        <v>2</v>
      </c>
      <c r="I195" s="37">
        <v>2008</v>
      </c>
      <c r="J195" s="128"/>
      <c r="K195" s="571">
        <v>2012</v>
      </c>
      <c r="L195" s="494" t="s">
        <v>1621</v>
      </c>
      <c r="M195" s="247" t="s">
        <v>18</v>
      </c>
      <c r="N195" s="494"/>
      <c r="O195" s="479" t="s">
        <v>1561</v>
      </c>
      <c r="P195" s="98">
        <v>16</v>
      </c>
      <c r="Q195" s="247">
        <v>25</v>
      </c>
      <c r="R195" s="291">
        <v>24</v>
      </c>
      <c r="S195" s="291"/>
      <c r="T195" s="291"/>
      <c r="U195" s="394">
        <v>88</v>
      </c>
      <c r="V195" s="727">
        <v>0</v>
      </c>
      <c r="W195" s="722" t="s">
        <v>2042</v>
      </c>
      <c r="X195" s="277">
        <v>6.9</v>
      </c>
      <c r="Y195" s="442"/>
      <c r="Z195" s="442"/>
      <c r="AA195" s="442"/>
      <c r="AB195" s="442"/>
      <c r="AC195" s="442"/>
      <c r="AD195" s="442"/>
      <c r="AE195" s="442"/>
      <c r="AF195" s="442"/>
      <c r="AG195" s="442"/>
      <c r="AH195" s="442"/>
      <c r="AI195" s="442"/>
      <c r="AJ195" s="442"/>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53"/>
      <c r="BF195" s="453"/>
      <c r="BG195" s="442"/>
      <c r="BH195" s="442"/>
      <c r="BI195" s="442">
        <v>36</v>
      </c>
      <c r="BJ195" s="453">
        <v>15</v>
      </c>
      <c r="BK195" s="453"/>
      <c r="BL195" s="453"/>
      <c r="BM195" s="442"/>
      <c r="BN195" s="442"/>
      <c r="BO195" s="442"/>
      <c r="BP195" s="442"/>
      <c r="BQ195" s="444"/>
      <c r="BR195" s="444"/>
      <c r="BS195" s="442"/>
      <c r="BT195" s="442"/>
      <c r="BU195" s="442">
        <v>6</v>
      </c>
      <c r="BV195" s="442">
        <v>1</v>
      </c>
      <c r="BW195" s="442"/>
      <c r="BX195" s="573"/>
      <c r="BY195" s="854"/>
      <c r="BZ195" s="854"/>
      <c r="CA195" s="854"/>
      <c r="CB195" s="854"/>
      <c r="CC195" s="854"/>
      <c r="CD195" s="854"/>
      <c r="CE195" s="854"/>
      <c r="CF195" s="854"/>
      <c r="CG195" s="36"/>
      <c r="CH195" s="417" t="s">
        <v>1989</v>
      </c>
      <c r="CI195" s="406" t="s">
        <v>1990</v>
      </c>
      <c r="CJ195" s="23"/>
      <c r="CK195" s="417" t="s">
        <v>1991</v>
      </c>
      <c r="CL195" s="572" t="s">
        <v>1992</v>
      </c>
      <c r="CM195" s="648"/>
      <c r="CR195" s="845" t="str">
        <f t="shared" si="16"/>
        <v>2008_DilMil</v>
      </c>
      <c r="CS195" s="648" t="str">
        <f t="shared" si="12"/>
        <v>Karnataka: Bangalore</v>
      </c>
      <c r="CT195" s="35" t="str">
        <f t="shared" si="5"/>
        <v/>
      </c>
      <c r="CU195" s="23" t="str">
        <f t="shared" si="6"/>
        <v>urban</v>
      </c>
      <c r="CV195" s="23" t="str">
        <f t="shared" si="13"/>
        <v>II</v>
      </c>
      <c r="CW195" s="579" t="str">
        <f t="shared" si="7"/>
        <v>Samata</v>
      </c>
      <c r="CX195" s="23" t="str">
        <f t="shared" si="8"/>
        <v/>
      </c>
      <c r="CY195" s="35" t="str">
        <f t="shared" si="14"/>
        <v>16-25</v>
      </c>
      <c r="CZ195" s="35">
        <f t="shared" si="15"/>
        <v>88</v>
      </c>
      <c r="DA195" s="648" t="str">
        <f t="shared" si="10"/>
        <v>Krishnan S., Subbiah K,, Khanum S., Chandra P.S. &amp; Padian N.S. (2012), ‘An intergenerational women’s empowerment Intervention to mitigate domestic violence results of a pilot study in Bengaluru, India’, Violence Against Women 18(3):346-70.</v>
      </c>
    </row>
    <row r="196" spans="1:105" s="35" customFormat="1" ht="12" customHeight="1" x14ac:dyDescent="0.2">
      <c r="A196" s="651"/>
      <c r="B196" s="537" t="s">
        <v>2188</v>
      </c>
      <c r="C196" s="390" t="s">
        <v>70</v>
      </c>
      <c r="D196" s="36" t="s">
        <v>1125</v>
      </c>
      <c r="E196" s="647" t="s">
        <v>1644</v>
      </c>
      <c r="F196" s="647" t="s">
        <v>2044</v>
      </c>
      <c r="G196" s="479">
        <v>1</v>
      </c>
      <c r="H196" s="186">
        <v>2</v>
      </c>
      <c r="I196" s="166">
        <v>2008</v>
      </c>
      <c r="J196" s="571">
        <v>2008</v>
      </c>
      <c r="K196" s="571">
        <v>2011</v>
      </c>
      <c r="L196" s="494" t="s">
        <v>1738</v>
      </c>
      <c r="M196" s="247" t="s">
        <v>78</v>
      </c>
      <c r="N196" s="494" t="s">
        <v>783</v>
      </c>
      <c r="O196" s="98" t="s">
        <v>1536</v>
      </c>
      <c r="P196" s="98">
        <v>15</v>
      </c>
      <c r="Q196" s="247">
        <v>35</v>
      </c>
      <c r="R196" s="291">
        <f>17*0.076 + 22*0.483 + 27*0.294 + 32.5*0.147</f>
        <v>24.633499999999998</v>
      </c>
      <c r="S196" s="291"/>
      <c r="T196" s="291"/>
      <c r="U196" s="395">
        <v>1038</v>
      </c>
      <c r="V196" s="794">
        <v>0</v>
      </c>
      <c r="W196" s="720" t="s">
        <v>2065</v>
      </c>
      <c r="X196" s="811"/>
      <c r="Z196" s="447"/>
      <c r="AA196" s="447"/>
      <c r="AB196" s="447"/>
      <c r="AC196" s="447"/>
      <c r="AD196" s="447"/>
      <c r="AF196" s="447"/>
      <c r="AG196" s="447"/>
      <c r="AH196" s="447"/>
      <c r="AI196" s="447"/>
      <c r="AJ196" s="447"/>
      <c r="AK196" s="532"/>
      <c r="AL196" s="532"/>
      <c r="AM196" s="447"/>
      <c r="AO196" s="447"/>
      <c r="AP196" s="447"/>
      <c r="AQ196" s="447"/>
      <c r="AR196" s="447"/>
      <c r="AS196" s="447"/>
      <c r="AT196" s="447"/>
      <c r="AU196" s="447"/>
      <c r="AV196" s="447"/>
      <c r="AW196" s="447"/>
      <c r="AX196" s="663">
        <f>100*1/936</f>
        <v>0.10683760683760683</v>
      </c>
      <c r="BA196" s="447"/>
      <c r="BB196" s="447"/>
      <c r="BE196" s="477"/>
      <c r="BF196" s="477"/>
      <c r="BG196" s="447"/>
      <c r="BH196" s="447"/>
      <c r="BI196" s="271">
        <v>18</v>
      </c>
      <c r="BJ196" s="477">
        <v>8.8000000000000007</v>
      </c>
      <c r="BK196" s="477"/>
      <c r="BL196" s="477"/>
      <c r="BM196" s="447"/>
      <c r="BN196" s="477">
        <v>7.5</v>
      </c>
      <c r="BO196" s="447"/>
      <c r="BP196" s="447"/>
      <c r="BQ196" s="447"/>
      <c r="BR196" s="446">
        <v>36</v>
      </c>
      <c r="BS196" s="442"/>
      <c r="BT196" s="442"/>
      <c r="BU196" s="442">
        <v>6</v>
      </c>
      <c r="BV196" s="442">
        <v>0</v>
      </c>
      <c r="BW196" s="442"/>
      <c r="BX196" s="573"/>
      <c r="BY196" s="854"/>
      <c r="BZ196" s="854"/>
      <c r="CA196" s="854"/>
      <c r="CB196" s="854"/>
      <c r="CC196" s="854"/>
      <c r="CD196" s="854"/>
      <c r="CE196" s="854"/>
      <c r="CF196" s="854"/>
      <c r="CG196" s="36"/>
      <c r="CH196" s="419" t="s">
        <v>1718</v>
      </c>
      <c r="CI196" s="406" t="s">
        <v>1714</v>
      </c>
      <c r="CJ196" s="23"/>
      <c r="CK196" s="581" t="s">
        <v>1716</v>
      </c>
      <c r="CL196" s="417" t="s">
        <v>1717</v>
      </c>
      <c r="CM196" s="419" t="s">
        <v>1945</v>
      </c>
      <c r="CN196" s="641" t="s">
        <v>1946</v>
      </c>
      <c r="CR196" s="845" t="str">
        <f t="shared" si="16"/>
        <v>2008_Mum1</v>
      </c>
      <c r="CS196" s="648" t="str">
        <f t="shared" ref="CS196:CS227" si="17">E196 &amp; ": " &amp; F196</f>
        <v>Mumbai: Shivaji Nagar, Bail Bazaar, and Mohili</v>
      </c>
      <c r="CT196" s="35">
        <f t="shared" si="5"/>
        <v>2008</v>
      </c>
      <c r="CU196" s="23" t="str">
        <f t="shared" si="6"/>
        <v>urban</v>
      </c>
      <c r="CV196" s="23" t="str">
        <f t="shared" ref="CV196:CV227" si="18">M196</f>
        <v>IV</v>
      </c>
      <c r="CW196" s="579" t="str">
        <f t="shared" si="7"/>
        <v>MRDVPMIH</v>
      </c>
      <c r="CX196" s="23" t="str">
        <f t="shared" si="8"/>
        <v>y</v>
      </c>
      <c r="CY196" s="35" t="str">
        <f t="shared" ref="CY196:CY227" si="19">O196</f>
        <v>15-35</v>
      </c>
      <c r="CZ196" s="35">
        <f t="shared" ref="CZ196:CZ227" si="20">U196</f>
        <v>1038</v>
      </c>
      <c r="DA196" s="648" t="str">
        <f t="shared" si="10"/>
        <v>Wagman J.A., Donta B., Julie Ritter, Naik D.D., Nair S., Saggurti N., Raj A. &amp; Silverman J.G. (2016), ‘Husband’s Alcohol Use, Intimate Partner Violence, and Family Maltreatment of Low-Income Postpartum Women in Mumbai, India’, Journal of Interpersonal Violence</v>
      </c>
    </row>
    <row r="197" spans="1:105" s="35" customFormat="1" ht="12" customHeight="1" x14ac:dyDescent="0.2">
      <c r="A197" s="651"/>
      <c r="B197" s="537" t="s">
        <v>2188</v>
      </c>
      <c r="C197" s="390" t="s">
        <v>70</v>
      </c>
      <c r="D197" s="36" t="s">
        <v>1125</v>
      </c>
      <c r="E197" s="647" t="s">
        <v>1644</v>
      </c>
      <c r="F197" s="469" t="s">
        <v>2043</v>
      </c>
      <c r="G197" s="479">
        <v>1</v>
      </c>
      <c r="H197" s="478">
        <v>2</v>
      </c>
      <c r="I197" s="166">
        <v>2008</v>
      </c>
      <c r="J197" s="571">
        <v>2008</v>
      </c>
      <c r="K197" s="571">
        <v>2013</v>
      </c>
      <c r="L197" s="469"/>
      <c r="M197" s="247" t="s">
        <v>78</v>
      </c>
      <c r="N197" s="494" t="s">
        <v>783</v>
      </c>
      <c r="O197" s="98" t="s">
        <v>1536</v>
      </c>
      <c r="P197" s="98">
        <v>15</v>
      </c>
      <c r="Q197" s="247">
        <v>35</v>
      </c>
      <c r="R197" s="291">
        <f>17*0.076 + 22*0.481 + 27*0.294 + 33*0.149</f>
        <v>24.728999999999999</v>
      </c>
      <c r="S197" s="291"/>
      <c r="T197" s="291"/>
      <c r="U197" s="395">
        <v>1039</v>
      </c>
      <c r="V197" s="794">
        <v>0</v>
      </c>
      <c r="W197" s="720" t="s">
        <v>2065</v>
      </c>
      <c r="X197" s="811"/>
      <c r="Z197" s="447"/>
      <c r="AA197" s="447"/>
      <c r="AB197" s="447"/>
      <c r="AC197" s="447"/>
      <c r="AD197" s="447"/>
      <c r="AF197" s="447"/>
      <c r="AG197" s="447"/>
      <c r="AH197" s="447"/>
      <c r="AI197" s="447"/>
      <c r="AJ197" s="447"/>
      <c r="AK197" s="532"/>
      <c r="AL197" s="532"/>
      <c r="AM197" s="447"/>
      <c r="AN197" s="447"/>
      <c r="AO197" s="447"/>
      <c r="AP197" s="447"/>
      <c r="AQ197" s="447"/>
      <c r="AR197" s="447"/>
      <c r="AS197" s="447"/>
      <c r="AT197" s="447"/>
      <c r="AU197" s="447"/>
      <c r="AV197" s="447"/>
      <c r="AW197" s="447"/>
      <c r="AX197" s="532"/>
      <c r="AY197" s="447"/>
      <c r="AZ197" s="447"/>
      <c r="BA197" s="447"/>
      <c r="BB197" s="447"/>
      <c r="BC197" s="447"/>
      <c r="BD197" s="447"/>
      <c r="BE197" s="477"/>
      <c r="BF197" s="477"/>
      <c r="BG197" s="447"/>
      <c r="BH197" s="447"/>
      <c r="BI197" s="454">
        <f>9.7 + 4.3 + 19.9</f>
        <v>33.9</v>
      </c>
      <c r="BJ197" s="477">
        <f>4.3 + 19.9</f>
        <v>24.2</v>
      </c>
      <c r="BK197" s="477"/>
      <c r="BL197" s="477"/>
      <c r="BM197" s="447"/>
      <c r="BN197" s="477"/>
      <c r="BO197" s="447"/>
      <c r="BP197" s="447"/>
      <c r="BQ197" s="447"/>
      <c r="BR197" s="446"/>
      <c r="BS197" s="442"/>
      <c r="BU197" s="442">
        <v>9</v>
      </c>
      <c r="BV197" s="442">
        <v>0</v>
      </c>
      <c r="BW197" s="442"/>
      <c r="BX197" s="573">
        <v>1.7000000000000001E-2</v>
      </c>
      <c r="BY197" s="854"/>
      <c r="BZ197" s="854"/>
      <c r="CA197" s="854"/>
      <c r="CB197" s="854"/>
      <c r="CC197" s="854"/>
      <c r="CD197" s="854"/>
      <c r="CE197" s="854"/>
      <c r="CF197" s="854"/>
      <c r="CH197" s="648" t="s">
        <v>2040</v>
      </c>
      <c r="CI197" s="638" t="s">
        <v>2047</v>
      </c>
      <c r="CJ197" s="23"/>
      <c r="CK197" s="469" t="s">
        <v>2048</v>
      </c>
      <c r="CL197" s="417"/>
      <c r="CM197" s="648"/>
      <c r="CR197" s="845" t="str">
        <f t="shared" si="16"/>
        <v>2008_Mum1</v>
      </c>
      <c r="CS197" s="648" t="str">
        <f t="shared" si="17"/>
        <v>Mumbai: seeking child immunization in govt clinics</v>
      </c>
      <c r="CT197" s="35" t="str">
        <f t="shared" ref="CT197:CT260" si="21">IF((J197&gt;0)*(SUM(AG197:AX197)&gt;0)*(A197=""),J197,"")</f>
        <v/>
      </c>
      <c r="CU197" s="23" t="str">
        <f t="shared" ref="CU197:CU260" si="22">IF(H197=6,"rural",IF(H197=2,"urban","both"))</f>
        <v>urban</v>
      </c>
      <c r="CV197" s="23" t="str">
        <f t="shared" si="18"/>
        <v>IV</v>
      </c>
      <c r="CW197" s="579" t="str">
        <f t="shared" ref="CW197:CW260" si="23">IF(L197&lt;&gt;"",L197,"")</f>
        <v/>
      </c>
      <c r="CX197" s="23" t="str">
        <f t="shared" ref="CX197:CX260" si="24">IF(N197="CTS","y","")</f>
        <v>y</v>
      </c>
      <c r="CY197" s="35" t="str">
        <f t="shared" si="19"/>
        <v>15-35</v>
      </c>
      <c r="CZ197" s="35">
        <f t="shared" si="20"/>
        <v>1039</v>
      </c>
      <c r="DA197" s="648" t="str">
        <f t="shared" si="10"/>
        <v>Decker M.R., Nair S., Saggurti N., Sabri B., Jethva M., Raj A., Donta B. &amp; Silverman J.G. (2013), ‘Violence-related coping, help-seeking and health care-based intervention preferences among perinatal women in Mumbai, India’, Journal of Interpersonal Violence 28(9):1924-47.</v>
      </c>
    </row>
    <row r="198" spans="1:105" s="35" customFormat="1" ht="12" customHeight="1" x14ac:dyDescent="0.2">
      <c r="B198" s="537" t="s">
        <v>2031</v>
      </c>
      <c r="C198" s="390" t="s">
        <v>70</v>
      </c>
      <c r="D198" s="36" t="s">
        <v>1125</v>
      </c>
      <c r="E198" s="647" t="s">
        <v>1577</v>
      </c>
      <c r="F198" s="647" t="s">
        <v>2307</v>
      </c>
      <c r="G198" s="479"/>
      <c r="H198" s="186"/>
      <c r="I198" s="166">
        <v>2008</v>
      </c>
      <c r="J198" s="571">
        <v>2008</v>
      </c>
      <c r="K198" s="571">
        <v>2010</v>
      </c>
      <c r="L198" s="494"/>
      <c r="M198" s="247" t="s">
        <v>18</v>
      </c>
      <c r="N198" s="494"/>
      <c r="O198" s="98" t="s">
        <v>21</v>
      </c>
      <c r="P198" s="98">
        <v>18</v>
      </c>
      <c r="Q198" s="98">
        <v>49</v>
      </c>
      <c r="R198" s="291">
        <f>21*0.25 + 27*0.366 + 32*0.354 + 37*0.19 + 42*0.127 + 47*0.085</f>
        <v>42.818999999999996</v>
      </c>
      <c r="S198" s="291"/>
      <c r="T198" s="291">
        <f>(3*86 + 10.5*156 + 21*137)/379</f>
        <v>12.593667546174142</v>
      </c>
      <c r="U198" s="395">
        <v>379</v>
      </c>
      <c r="V198" s="794">
        <v>0</v>
      </c>
      <c r="W198" s="712"/>
      <c r="X198" s="38">
        <f>(0*108 + 2.5*41 + 7.5*110 + 12*120)/379</f>
        <v>6.2467018469656992</v>
      </c>
      <c r="Z198" s="447"/>
      <c r="AA198" s="447"/>
      <c r="AB198" s="447"/>
      <c r="AC198" s="447"/>
      <c r="AD198" s="447"/>
      <c r="AF198" s="447"/>
      <c r="AG198" s="447"/>
      <c r="AH198" s="447"/>
      <c r="AI198" s="447"/>
      <c r="AJ198" s="447"/>
      <c r="AK198" s="532"/>
      <c r="AL198" s="532"/>
      <c r="AM198" s="447"/>
      <c r="AN198" s="447"/>
      <c r="AO198" s="447"/>
      <c r="AP198" s="447"/>
      <c r="AQ198" s="447"/>
      <c r="AR198" s="447"/>
      <c r="AS198" s="447"/>
      <c r="AT198" s="447"/>
      <c r="AU198" s="447"/>
      <c r="AV198" s="447"/>
      <c r="AW198" s="447"/>
      <c r="AX198" s="532"/>
      <c r="AY198" s="447"/>
      <c r="AZ198" s="447"/>
      <c r="BA198" s="447"/>
      <c r="BB198" s="447"/>
      <c r="BC198" s="447"/>
      <c r="BD198" s="447"/>
      <c r="BE198" s="453"/>
      <c r="BF198" s="453"/>
      <c r="BG198" s="447"/>
      <c r="BH198" s="447"/>
      <c r="BI198" s="271"/>
      <c r="BJ198" s="453">
        <v>26.6</v>
      </c>
      <c r="BK198" s="453"/>
      <c r="BL198" s="453"/>
      <c r="BM198" s="447"/>
      <c r="BN198" s="477"/>
      <c r="BO198" s="447"/>
      <c r="BP198" s="447"/>
      <c r="BQ198" s="447"/>
      <c r="BR198" s="446"/>
      <c r="BT198" s="442"/>
      <c r="BU198" s="442">
        <v>3</v>
      </c>
      <c r="BV198" s="442">
        <v>0</v>
      </c>
      <c r="BW198" s="442"/>
      <c r="BX198" s="573">
        <v>4.3999999999999997E-2</v>
      </c>
      <c r="BY198" s="854">
        <v>0.28599999999999998</v>
      </c>
      <c r="BZ198" s="855"/>
      <c r="CA198" s="854">
        <v>0.8</v>
      </c>
      <c r="CB198" s="854">
        <v>2.9000000000000001E-2</v>
      </c>
      <c r="CC198" s="854"/>
      <c r="CD198" s="854">
        <v>0.315</v>
      </c>
      <c r="CE198" s="854"/>
      <c r="CF198" s="854">
        <v>0.94299999999999995</v>
      </c>
      <c r="CG198" s="36"/>
      <c r="CH198" s="419" t="s">
        <v>1918</v>
      </c>
      <c r="CI198" s="406" t="s">
        <v>1915</v>
      </c>
      <c r="CJ198" s="23"/>
      <c r="CK198" s="581" t="s">
        <v>1919</v>
      </c>
      <c r="CL198" s="417"/>
      <c r="CM198" s="648"/>
      <c r="CR198" s="845" t="str">
        <f t="shared" si="16"/>
        <v>2008_Goa1</v>
      </c>
      <c r="CS198" s="648" t="str">
        <f t="shared" si="17"/>
        <v>Goa: Tiswadi Taluka: Caranzalem  ward</v>
      </c>
      <c r="CT198" s="35" t="str">
        <f t="shared" si="21"/>
        <v/>
      </c>
      <c r="CU198" s="23" t="str">
        <f t="shared" si="22"/>
        <v>both</v>
      </c>
      <c r="CV198" s="23" t="str">
        <f t="shared" si="18"/>
        <v>II</v>
      </c>
      <c r="CW198" s="579" t="str">
        <f t="shared" si="23"/>
        <v/>
      </c>
      <c r="CX198" s="23" t="str">
        <f t="shared" si="24"/>
        <v/>
      </c>
      <c r="CY198" s="35" t="str">
        <f t="shared" si="19"/>
        <v>18-49</v>
      </c>
      <c r="CZ198" s="35">
        <f t="shared" si="20"/>
        <v>379</v>
      </c>
      <c r="DA198" s="648" t="str">
        <f t="shared" si="10"/>
        <v>Kamat U., Ferreira A.M.A., Motghare D.D., Kamat N. &amp; Pinto N.R. (2010). ‘A cross-sectional study of physical spousal violence against women in Goa’. Healthline, 1(1), 34-40.</v>
      </c>
    </row>
    <row r="199" spans="1:105" s="35" customFormat="1" ht="12" customHeight="1" x14ac:dyDescent="0.2">
      <c r="A199" s="651"/>
      <c r="B199" s="537" t="s">
        <v>2030</v>
      </c>
      <c r="C199" s="97" t="s">
        <v>70</v>
      </c>
      <c r="D199" s="237" t="s">
        <v>1125</v>
      </c>
      <c r="E199" s="48" t="s">
        <v>1577</v>
      </c>
      <c r="F199" s="647" t="s">
        <v>2685</v>
      </c>
      <c r="G199" s="479"/>
      <c r="H199" s="478"/>
      <c r="I199" s="481">
        <v>2008</v>
      </c>
      <c r="J199" s="571">
        <v>2008</v>
      </c>
      <c r="K199" s="571">
        <v>2009</v>
      </c>
      <c r="L199" s="493"/>
      <c r="M199" s="479" t="s">
        <v>289</v>
      </c>
      <c r="N199" s="494" t="s">
        <v>783</v>
      </c>
      <c r="O199" s="479" t="s">
        <v>21</v>
      </c>
      <c r="P199" s="98">
        <v>18</v>
      </c>
      <c r="Q199" s="98">
        <v>49</v>
      </c>
      <c r="R199" s="121">
        <f>23.5*0.198 + 34.5*0.469 + 44.5*0.333</f>
        <v>35.652000000000001</v>
      </c>
      <c r="S199" s="121"/>
      <c r="T199" s="121"/>
      <c r="U199" s="393">
        <v>791</v>
      </c>
      <c r="V199" s="694">
        <v>0</v>
      </c>
      <c r="W199" s="717" t="s">
        <v>2064</v>
      </c>
      <c r="X199" s="121">
        <f>3*0.434 + 12*0.566</f>
        <v>8.0939999999999994</v>
      </c>
      <c r="Y199" s="442"/>
      <c r="Z199" s="473"/>
      <c r="AA199" s="442"/>
      <c r="AB199" s="446"/>
      <c r="AC199" s="446"/>
      <c r="AD199" s="446"/>
      <c r="AE199" s="446"/>
      <c r="AF199" s="446"/>
      <c r="AG199" s="446"/>
      <c r="AH199" s="446"/>
      <c r="AI199" s="447"/>
      <c r="AJ199" s="447"/>
      <c r="AK199" s="447"/>
      <c r="AL199" s="447"/>
      <c r="AM199" s="442"/>
      <c r="AN199" s="442"/>
      <c r="AO199" s="442"/>
      <c r="AP199" s="442"/>
      <c r="AQ199" s="446"/>
      <c r="AR199" s="446"/>
      <c r="AS199" s="446"/>
      <c r="AT199" s="271"/>
      <c r="AU199" s="447"/>
      <c r="AV199" s="447"/>
      <c r="AW199" s="447"/>
      <c r="AX199" s="447"/>
      <c r="AY199" s="447"/>
      <c r="AZ199" s="447"/>
      <c r="BA199" s="271"/>
      <c r="BB199" s="271"/>
      <c r="BC199" s="447"/>
      <c r="BD199" s="447"/>
      <c r="BE199" s="442"/>
      <c r="BF199" s="442"/>
      <c r="BG199" s="447"/>
      <c r="BH199" s="447"/>
      <c r="BI199" s="442"/>
      <c r="BJ199" s="442">
        <v>7.9</v>
      </c>
      <c r="BK199" s="442"/>
      <c r="BL199" s="442"/>
      <c r="BM199" s="442"/>
      <c r="BN199" s="442"/>
      <c r="BO199" s="442"/>
      <c r="BP199" s="442"/>
      <c r="BQ199" s="271"/>
      <c r="BR199" s="271"/>
      <c r="BS199" s="271"/>
      <c r="BT199" s="271"/>
      <c r="BU199" s="271">
        <v>12</v>
      </c>
      <c r="BV199" s="454">
        <v>0</v>
      </c>
      <c r="BW199" s="454"/>
      <c r="BX199" s="573"/>
      <c r="BY199" s="854"/>
      <c r="BZ199" s="854"/>
      <c r="CA199" s="854"/>
      <c r="CB199" s="854"/>
      <c r="CC199" s="854"/>
      <c r="CD199" s="854"/>
      <c r="CE199" s="854">
        <v>0.47699999999999998</v>
      </c>
      <c r="CF199" s="854"/>
      <c r="CG199" s="98"/>
      <c r="CH199" s="419" t="s">
        <v>2028</v>
      </c>
      <c r="CI199" s="406" t="s">
        <v>2029</v>
      </c>
      <c r="CJ199" s="23"/>
      <c r="CK199" s="641" t="s">
        <v>1903</v>
      </c>
      <c r="CL199" s="572"/>
      <c r="CM199" s="648" t="s">
        <v>1939</v>
      </c>
      <c r="CR199" s="845" t="str">
        <f t="shared" si="16"/>
        <v>2008_Goa2</v>
      </c>
      <c r="CS199" s="648" t="str">
        <f t="shared" si="17"/>
        <v>Goa: northern Goa</v>
      </c>
      <c r="CT199" s="35" t="str">
        <f t="shared" si="21"/>
        <v/>
      </c>
      <c r="CU199" s="23" t="str">
        <f t="shared" si="22"/>
        <v>both</v>
      </c>
      <c r="CV199" s="23" t="str">
        <f t="shared" si="18"/>
        <v>VII</v>
      </c>
      <c r="CW199" s="579" t="str">
        <f t="shared" si="23"/>
        <v/>
      </c>
      <c r="CX199" s="23" t="str">
        <f t="shared" si="24"/>
        <v>y</v>
      </c>
      <c r="CY199" s="35" t="str">
        <f t="shared" si="19"/>
        <v>18-49</v>
      </c>
      <c r="CZ199" s="35">
        <f t="shared" si="20"/>
        <v>791</v>
      </c>
      <c r="DA199" s="648" t="str">
        <f t="shared" si="10"/>
        <v xml:space="preserve">Pillai A., Nayak M.B., Greenfield T.K., Bond J.C., Nadkarni A. &amp; Patel V. (2013), ‘Patterns of alcohol use, their correlates, and impact in male drinkers: a population-based survey from Goa, India’. Social Psychiatry and Psychiatric Epidemiology 48:275-82. </v>
      </c>
    </row>
    <row r="200" spans="1:105" s="35" customFormat="1" ht="12" customHeight="1" x14ac:dyDescent="0.2">
      <c r="A200" s="651"/>
      <c r="B200" s="537" t="s">
        <v>2085</v>
      </c>
      <c r="C200" s="97" t="s">
        <v>70</v>
      </c>
      <c r="D200" s="237" t="s">
        <v>1125</v>
      </c>
      <c r="E200" s="48" t="s">
        <v>1577</v>
      </c>
      <c r="F200" s="647" t="s">
        <v>2087</v>
      </c>
      <c r="G200" s="479"/>
      <c r="H200" s="478"/>
      <c r="I200" s="166">
        <v>2008</v>
      </c>
      <c r="J200" s="571"/>
      <c r="K200" s="571">
        <v>2011</v>
      </c>
      <c r="L200" s="493"/>
      <c r="M200" s="479" t="s">
        <v>17</v>
      </c>
      <c r="N200" s="494"/>
      <c r="O200" s="479" t="s">
        <v>2086</v>
      </c>
      <c r="P200" s="98">
        <v>16</v>
      </c>
      <c r="Q200" s="98">
        <v>24</v>
      </c>
      <c r="R200" s="121"/>
      <c r="S200" s="121"/>
      <c r="T200" s="121"/>
      <c r="U200" s="394">
        <f>241</f>
        <v>241</v>
      </c>
      <c r="V200" s="694">
        <v>0</v>
      </c>
      <c r="W200" s="717" t="s">
        <v>2090</v>
      </c>
      <c r="X200" s="121"/>
      <c r="Y200" s="442"/>
      <c r="Z200" s="473"/>
      <c r="AA200" s="442"/>
      <c r="AB200" s="446"/>
      <c r="AC200" s="446"/>
      <c r="AD200" s="446"/>
      <c r="AE200" s="446"/>
      <c r="AF200" s="446"/>
      <c r="AG200" s="446"/>
      <c r="AH200" s="446"/>
      <c r="AI200" s="447"/>
      <c r="AJ200" s="447"/>
      <c r="AK200" s="447"/>
      <c r="AL200" s="447"/>
      <c r="AM200" s="442"/>
      <c r="AN200" s="442"/>
      <c r="AO200" s="442"/>
      <c r="AP200" s="442"/>
      <c r="AQ200" s="446"/>
      <c r="AR200" s="446"/>
      <c r="AS200" s="446"/>
      <c r="AT200" s="271"/>
      <c r="AU200" s="447"/>
      <c r="AV200" s="447"/>
      <c r="AW200" s="447"/>
      <c r="AX200" s="447"/>
      <c r="AY200" s="447"/>
      <c r="AZ200" s="447"/>
      <c r="BA200" s="271"/>
      <c r="BB200" s="271"/>
      <c r="BC200" s="447"/>
      <c r="BD200" s="447"/>
      <c r="BE200" s="442"/>
      <c r="BF200" s="442"/>
      <c r="BG200" s="447"/>
      <c r="BH200" s="447"/>
      <c r="BI200" s="442"/>
      <c r="BJ200" s="442">
        <v>12</v>
      </c>
      <c r="BK200" s="442"/>
      <c r="BL200" s="442"/>
      <c r="BM200" s="442"/>
      <c r="BN200" s="442"/>
      <c r="BO200" s="442"/>
      <c r="BP200" s="442"/>
      <c r="BQ200" s="271"/>
      <c r="BR200" s="271"/>
      <c r="BS200" s="271"/>
      <c r="BT200" s="271"/>
      <c r="BU200" s="271">
        <v>12</v>
      </c>
      <c r="BV200" s="454">
        <v>1</v>
      </c>
      <c r="BW200" s="454"/>
      <c r="BX200" s="573"/>
      <c r="BY200" s="854"/>
      <c r="BZ200" s="854"/>
      <c r="CA200" s="854"/>
      <c r="CB200" s="854"/>
      <c r="CC200" s="854"/>
      <c r="CD200" s="854"/>
      <c r="CE200" s="854"/>
      <c r="CF200" s="854"/>
      <c r="CG200" s="98"/>
      <c r="CH200" s="419" t="s">
        <v>2089</v>
      </c>
      <c r="CI200" s="406" t="s">
        <v>2088</v>
      </c>
      <c r="CJ200" s="23"/>
      <c r="CK200" s="641"/>
      <c r="CL200" s="572"/>
      <c r="CM200" s="648"/>
      <c r="CR200" s="845" t="str">
        <f t="shared" si="16"/>
        <v>2008_Goa3</v>
      </c>
      <c r="CS200" s="648" t="str">
        <f t="shared" si="17"/>
        <v>Goa: 2 rural &amp; 2 urban areas</v>
      </c>
      <c r="CT200" s="35" t="str">
        <f t="shared" si="21"/>
        <v/>
      </c>
      <c r="CU200" s="23" t="str">
        <f t="shared" si="22"/>
        <v>both</v>
      </c>
      <c r="CV200" s="23" t="str">
        <f t="shared" si="18"/>
        <v>I</v>
      </c>
      <c r="CW200" s="579" t="str">
        <f t="shared" si="23"/>
        <v/>
      </c>
      <c r="CX200" s="23" t="str">
        <f t="shared" si="24"/>
        <v/>
      </c>
      <c r="CY200" s="35" t="str">
        <f t="shared" si="19"/>
        <v>16-24</v>
      </c>
      <c r="CZ200" s="35">
        <f t="shared" si="20"/>
        <v>241</v>
      </c>
      <c r="DA200" s="648">
        <f t="shared" si="10"/>
        <v>0</v>
      </c>
    </row>
    <row r="201" spans="1:105" s="35" customFormat="1" ht="12" customHeight="1" x14ac:dyDescent="0.2">
      <c r="A201" s="651"/>
      <c r="B201" s="537" t="s">
        <v>2382</v>
      </c>
      <c r="C201" s="97" t="s">
        <v>70</v>
      </c>
      <c r="D201" s="237" t="s">
        <v>1125</v>
      </c>
      <c r="E201" s="48" t="s">
        <v>1577</v>
      </c>
      <c r="F201" s="469" t="s">
        <v>2385</v>
      </c>
      <c r="G201" s="479"/>
      <c r="H201" s="478">
        <v>6</v>
      </c>
      <c r="I201" s="166">
        <v>2008</v>
      </c>
      <c r="J201" s="571"/>
      <c r="K201" s="571">
        <v>2013</v>
      </c>
      <c r="L201" s="493"/>
      <c r="M201" s="479" t="s">
        <v>18</v>
      </c>
      <c r="N201" s="494"/>
      <c r="O201" s="479" t="s">
        <v>546</v>
      </c>
      <c r="P201" s="98">
        <v>15</v>
      </c>
      <c r="Q201" s="98">
        <v>45</v>
      </c>
      <c r="R201" s="121"/>
      <c r="S201" s="121"/>
      <c r="T201" s="121"/>
      <c r="U201" s="394">
        <v>133</v>
      </c>
      <c r="V201" s="727">
        <v>0</v>
      </c>
      <c r="W201" s="722" t="s">
        <v>2386</v>
      </c>
      <c r="X201" s="121"/>
      <c r="Y201" s="442"/>
      <c r="Z201" s="473"/>
      <c r="AA201" s="442"/>
      <c r="AB201" s="446"/>
      <c r="AC201" s="446"/>
      <c r="AD201" s="446"/>
      <c r="AE201" s="446"/>
      <c r="AF201" s="446"/>
      <c r="AG201" s="446"/>
      <c r="AH201" s="446"/>
      <c r="AI201" s="447"/>
      <c r="AJ201" s="447"/>
      <c r="AK201" s="447"/>
      <c r="AL201" s="447"/>
      <c r="AM201" s="442"/>
      <c r="AN201" s="442"/>
      <c r="AO201" s="442"/>
      <c r="AP201" s="442"/>
      <c r="AQ201" s="446"/>
      <c r="AR201" s="446"/>
      <c r="AS201" s="446"/>
      <c r="AT201" s="271"/>
      <c r="AU201" s="447"/>
      <c r="AV201" s="447"/>
      <c r="AW201" s="447"/>
      <c r="AX201" s="447"/>
      <c r="AY201" s="447"/>
      <c r="AZ201" s="447"/>
      <c r="BA201" s="271"/>
      <c r="BB201" s="271"/>
      <c r="BC201" s="447"/>
      <c r="BD201" s="447"/>
      <c r="BE201" s="442"/>
      <c r="BF201" s="442"/>
      <c r="BG201" s="447"/>
      <c r="BH201" s="447"/>
      <c r="BI201" s="442">
        <f>100*(28+22)/(117+98)</f>
        <v>23.255813953488371</v>
      </c>
      <c r="BJ201" s="442"/>
      <c r="BK201" s="442"/>
      <c r="BL201" s="442"/>
      <c r="BM201" s="442"/>
      <c r="BN201" s="442"/>
      <c r="BO201" s="442"/>
      <c r="BP201" s="442"/>
      <c r="BQ201" s="271"/>
      <c r="BR201" s="271"/>
      <c r="BS201" s="271"/>
      <c r="BT201" s="271"/>
      <c r="BU201" s="271"/>
      <c r="BV201" s="454"/>
      <c r="BW201" s="454"/>
      <c r="BX201" s="573"/>
      <c r="BY201" s="854"/>
      <c r="BZ201" s="854"/>
      <c r="CA201" s="854"/>
      <c r="CB201" s="854"/>
      <c r="CC201" s="854"/>
      <c r="CD201" s="854"/>
      <c r="CE201" s="854"/>
      <c r="CF201" s="854"/>
      <c r="CG201" s="98"/>
      <c r="CH201" s="419" t="s">
        <v>2383</v>
      </c>
      <c r="CI201" s="406" t="s">
        <v>2375</v>
      </c>
      <c r="CJ201" s="23"/>
      <c r="CK201" s="770" t="s">
        <v>2384</v>
      </c>
      <c r="CL201" s="572"/>
      <c r="CM201" s="648"/>
      <c r="CR201" s="845" t="str">
        <f t="shared" si="16"/>
        <v>2008_Goa4</v>
      </c>
      <c r="CS201" s="648" t="str">
        <f t="shared" si="17"/>
        <v>Goa: mining(n=145)+agricultural(n=133)</v>
      </c>
      <c r="CT201" s="35" t="str">
        <f t="shared" si="21"/>
        <v/>
      </c>
      <c r="CU201" s="23" t="str">
        <f t="shared" si="22"/>
        <v>rural</v>
      </c>
      <c r="CV201" s="23" t="str">
        <f t="shared" si="18"/>
        <v>II</v>
      </c>
      <c r="CW201" s="579" t="str">
        <f t="shared" si="23"/>
        <v/>
      </c>
      <c r="CX201" s="23" t="str">
        <f t="shared" si="24"/>
        <v/>
      </c>
      <c r="CY201" s="35" t="str">
        <f t="shared" si="19"/>
        <v>15-45</v>
      </c>
      <c r="CZ201" s="35">
        <f t="shared" si="20"/>
        <v>133</v>
      </c>
      <c r="DA201" s="648" t="str">
        <f t="shared" si="10"/>
        <v>D’Souza M.S., Karkada S.N. &amp; Somayaji G. (2013), 'Factors associated with health-related quality of life among Indian women in mining and agriculture', Health and Quality of Life Outcomes, 11(9):1-16.</v>
      </c>
    </row>
    <row r="202" spans="1:105" s="35" customFormat="1" ht="12" customHeight="1" x14ac:dyDescent="0.2">
      <c r="A202" s="651"/>
      <c r="B202" s="537" t="s">
        <v>2591</v>
      </c>
      <c r="C202" s="97" t="s">
        <v>70</v>
      </c>
      <c r="D202" s="479" t="s">
        <v>1125</v>
      </c>
      <c r="E202" s="48" t="s">
        <v>2592</v>
      </c>
      <c r="F202" s="469" t="s">
        <v>2595</v>
      </c>
      <c r="G202" s="479"/>
      <c r="H202" s="478"/>
      <c r="I202" s="166">
        <v>2008</v>
      </c>
      <c r="J202" s="571">
        <v>2008</v>
      </c>
      <c r="K202" s="571">
        <v>2011</v>
      </c>
      <c r="L202" s="493" t="s">
        <v>2596</v>
      </c>
      <c r="M202" s="479" t="s">
        <v>17</v>
      </c>
      <c r="N202" s="494"/>
      <c r="O202" s="98" t="s">
        <v>19</v>
      </c>
      <c r="P202" s="98">
        <v>15</v>
      </c>
      <c r="Q202" s="247">
        <v>49</v>
      </c>
      <c r="R202" s="121">
        <f>17.5*0.135 + 23*0.2 + 28*0.213 + 33*0.174 + 38*0.151 + 45*0.128</f>
        <v>30.166499999999999</v>
      </c>
      <c r="S202" s="121">
        <f>16*0.262 + 18*0.107 + 22*0.496 + 28*0.107 + 34*0.027</f>
        <v>20.943999999999999</v>
      </c>
      <c r="T202" s="121"/>
      <c r="U202" s="394">
        <v>600</v>
      </c>
      <c r="V202" s="727">
        <v>0</v>
      </c>
      <c r="W202" s="722" t="s">
        <v>2526</v>
      </c>
      <c r="X202" s="121"/>
      <c r="Y202" s="442"/>
      <c r="Z202" s="473"/>
      <c r="AA202" s="442"/>
      <c r="AB202" s="446"/>
      <c r="AC202" s="446"/>
      <c r="AD202" s="446"/>
      <c r="AE202" s="446"/>
      <c r="AF202" s="446"/>
      <c r="AG202" s="446"/>
      <c r="AH202" s="446"/>
      <c r="AI202" s="447"/>
      <c r="AJ202" s="447"/>
      <c r="AK202" s="447"/>
      <c r="AL202" s="447"/>
      <c r="AM202" s="442"/>
      <c r="AN202" s="442"/>
      <c r="AO202" s="442"/>
      <c r="AP202" s="442"/>
      <c r="AQ202" s="446"/>
      <c r="AR202" s="446"/>
      <c r="AS202" s="446"/>
      <c r="AT202" s="271"/>
      <c r="AU202" s="447"/>
      <c r="AV202" s="447"/>
      <c r="AW202" s="447"/>
      <c r="AX202" s="447"/>
      <c r="AY202" s="447"/>
      <c r="AZ202" s="447"/>
      <c r="BA202" s="271"/>
      <c r="BB202" s="271"/>
      <c r="BC202" s="447"/>
      <c r="BD202" s="447"/>
      <c r="BE202" s="442"/>
      <c r="BF202" s="442"/>
      <c r="BG202" s="447"/>
      <c r="BH202" s="447"/>
      <c r="BI202" s="442"/>
      <c r="BJ202" s="442"/>
      <c r="BK202" s="442"/>
      <c r="BL202" s="442"/>
      <c r="BM202" s="442"/>
      <c r="BN202" s="442"/>
      <c r="BO202" s="442"/>
      <c r="BP202" s="442"/>
      <c r="BQ202" s="271"/>
      <c r="BR202" s="271"/>
      <c r="BS202" s="271"/>
      <c r="BT202" s="271"/>
      <c r="BU202" s="271"/>
      <c r="BV202" s="454"/>
      <c r="BW202" s="454"/>
      <c r="BX202" s="573"/>
      <c r="BY202" s="854"/>
      <c r="BZ202" s="854">
        <f>(0.375 + 0.881 + 0.793)/3</f>
        <v>0.68299999999999994</v>
      </c>
      <c r="CA202" s="854"/>
      <c r="CB202" s="854">
        <f>(0.27 + 0.713 + 0.556)/3</f>
        <v>0.51300000000000001</v>
      </c>
      <c r="CC202" s="854">
        <f>(0.21 + 0.728 + 0.672)/3</f>
        <v>0.53666666666666663</v>
      </c>
      <c r="CD202" s="854">
        <f>(0.405 + 0.827 + 0.803)/3</f>
        <v>0.67833333333333334</v>
      </c>
      <c r="CE202" s="854"/>
      <c r="CF202" s="854"/>
      <c r="CG202" s="98"/>
      <c r="CH202" s="419" t="s">
        <v>2593</v>
      </c>
      <c r="CI202" s="406" t="s">
        <v>2582</v>
      </c>
      <c r="CJ202" s="23"/>
      <c r="CK202" s="770" t="s">
        <v>2594</v>
      </c>
      <c r="CL202" s="572"/>
      <c r="CM202" s="648"/>
      <c r="CR202" s="845" t="str">
        <f t="shared" si="16"/>
        <v>2008_KMU</v>
      </c>
      <c r="CS202" s="648" t="str">
        <f t="shared" si="17"/>
        <v>Karnataka, Maharashtra, Uttar Pradesh: Dakshin Kanada, Mandya, Aurangabad, Nashik, Aligarh, Lucknow</v>
      </c>
      <c r="CT202" s="35" t="str">
        <f t="shared" si="21"/>
        <v/>
      </c>
      <c r="CU202" s="23" t="str">
        <f t="shared" si="22"/>
        <v>both</v>
      </c>
      <c r="CV202" s="23" t="str">
        <f t="shared" si="18"/>
        <v>I</v>
      </c>
      <c r="CW202" s="579" t="str">
        <f t="shared" si="23"/>
        <v>Bell Bajao</v>
      </c>
      <c r="CX202" s="23" t="str">
        <f t="shared" si="24"/>
        <v/>
      </c>
      <c r="CY202" s="35" t="str">
        <f t="shared" si="19"/>
        <v>15-49</v>
      </c>
      <c r="CZ202" s="35">
        <f t="shared" si="20"/>
        <v>600</v>
      </c>
      <c r="DA202" s="648" t="str">
        <f t="shared" si="10"/>
        <v>Bell Bajao (2011), ‘Baseline survey on domestic violence and HIV/AIDS’</v>
      </c>
    </row>
    <row r="203" spans="1:105" s="35" customFormat="1" ht="12" customHeight="1" x14ac:dyDescent="0.2">
      <c r="A203" s="651"/>
      <c r="B203" s="537" t="s">
        <v>2591</v>
      </c>
      <c r="C203" s="97" t="s">
        <v>70</v>
      </c>
      <c r="D203" s="479" t="s">
        <v>1125</v>
      </c>
      <c r="E203" s="48" t="s">
        <v>2592</v>
      </c>
      <c r="F203" s="469" t="s">
        <v>2595</v>
      </c>
      <c r="G203" s="479"/>
      <c r="H203" s="478"/>
      <c r="I203" s="166">
        <v>2008</v>
      </c>
      <c r="J203" s="571">
        <v>2008</v>
      </c>
      <c r="K203" s="571">
        <v>2011</v>
      </c>
      <c r="L203" s="493" t="s">
        <v>2596</v>
      </c>
      <c r="M203" s="479" t="s">
        <v>289</v>
      </c>
      <c r="N203" s="494"/>
      <c r="O203" s="98" t="s">
        <v>19</v>
      </c>
      <c r="P203" s="98">
        <v>15</v>
      </c>
      <c r="Q203" s="247">
        <v>49</v>
      </c>
      <c r="R203" s="121">
        <f>17.5*0.135 + 23*0.2 + 28*0.213 + 33*0.174 + 38*0.151 + 45*0.128</f>
        <v>30.166499999999999</v>
      </c>
      <c r="S203" s="121">
        <f>16*0.262 + 18*0.107 + 22*0.496 + 28*0.107 + 34*0.027</f>
        <v>20.943999999999999</v>
      </c>
      <c r="T203" s="121"/>
      <c r="U203" s="394">
        <v>600</v>
      </c>
      <c r="V203" s="727">
        <v>0</v>
      </c>
      <c r="W203" s="722" t="s">
        <v>2526</v>
      </c>
      <c r="X203" s="121"/>
      <c r="Y203" s="442"/>
      <c r="Z203" s="473"/>
      <c r="AA203" s="442"/>
      <c r="AB203" s="446"/>
      <c r="AC203" s="446"/>
      <c r="AD203" s="446"/>
      <c r="AE203" s="446"/>
      <c r="AF203" s="446"/>
      <c r="AG203" s="446"/>
      <c r="AH203" s="446"/>
      <c r="AI203" s="447"/>
      <c r="AJ203" s="447"/>
      <c r="AK203" s="447"/>
      <c r="AL203" s="447"/>
      <c r="AM203" s="442"/>
      <c r="AN203" s="442"/>
      <c r="AO203" s="442"/>
      <c r="AP203" s="442"/>
      <c r="AQ203" s="446"/>
      <c r="AR203" s="446"/>
      <c r="AS203" s="446"/>
      <c r="AT203" s="271"/>
      <c r="AU203" s="447"/>
      <c r="AV203" s="447"/>
      <c r="AW203" s="447"/>
      <c r="AX203" s="447"/>
      <c r="AY203" s="447"/>
      <c r="AZ203" s="447"/>
      <c r="BA203" s="271"/>
      <c r="BB203" s="271"/>
      <c r="BC203" s="447"/>
      <c r="BD203" s="447"/>
      <c r="BE203" s="442"/>
      <c r="BF203" s="442"/>
      <c r="BG203" s="447"/>
      <c r="BH203" s="447"/>
      <c r="BI203" s="442"/>
      <c r="BJ203" s="442"/>
      <c r="BK203" s="442"/>
      <c r="BL203" s="442"/>
      <c r="BM203" s="442"/>
      <c r="BN203" s="442"/>
      <c r="BO203" s="442"/>
      <c r="BP203" s="442"/>
      <c r="BQ203" s="271"/>
      <c r="BR203" s="271"/>
      <c r="BS203" s="271"/>
      <c r="BT203" s="271"/>
      <c r="BU203" s="271"/>
      <c r="BV203" s="454"/>
      <c r="BW203" s="454"/>
      <c r="BX203" s="573"/>
      <c r="BY203" s="854"/>
      <c r="BZ203" s="854">
        <f>(0.811 + 0.274 + 0.51)/3</f>
        <v>0.53166666666666662</v>
      </c>
      <c r="CA203" s="854"/>
      <c r="CB203" s="854">
        <f>(0.592 + 0.179 + 0.183)/3</f>
        <v>0.318</v>
      </c>
      <c r="CC203" s="854">
        <f>(0.159 + 0.159 + 0.317)/3</f>
        <v>0.21166666666666667</v>
      </c>
      <c r="CD203" s="854">
        <f>(0.562 + 0.269 + 0.673)/3</f>
        <v>0.5013333333333333</v>
      </c>
      <c r="CE203" s="854"/>
      <c r="CF203" s="854"/>
      <c r="CG203" s="98"/>
      <c r="CH203" s="419" t="s">
        <v>2593</v>
      </c>
      <c r="CI203" s="406" t="s">
        <v>2582</v>
      </c>
      <c r="CJ203" s="23"/>
      <c r="CK203" s="770" t="s">
        <v>2594</v>
      </c>
      <c r="CL203" s="572"/>
      <c r="CM203" s="648"/>
      <c r="CR203" s="845" t="str">
        <f t="shared" si="16"/>
        <v>2008_KMU</v>
      </c>
      <c r="CS203" s="648" t="str">
        <f t="shared" si="17"/>
        <v>Karnataka, Maharashtra, Uttar Pradesh: Dakshin Kanada, Mandya, Aurangabad, Nashik, Aligarh, Lucknow</v>
      </c>
      <c r="CT203" s="35" t="str">
        <f t="shared" si="21"/>
        <v/>
      </c>
      <c r="CU203" s="23" t="str">
        <f t="shared" si="22"/>
        <v>both</v>
      </c>
      <c r="CV203" s="23" t="str">
        <f t="shared" si="18"/>
        <v>VII</v>
      </c>
      <c r="CW203" s="579" t="str">
        <f t="shared" si="23"/>
        <v>Bell Bajao</v>
      </c>
      <c r="CX203" s="23" t="str">
        <f t="shared" si="24"/>
        <v/>
      </c>
      <c r="CY203" s="35" t="str">
        <f t="shared" si="19"/>
        <v>15-49</v>
      </c>
      <c r="CZ203" s="35">
        <f t="shared" si="20"/>
        <v>600</v>
      </c>
      <c r="DA203" s="648" t="str">
        <f t="shared" si="10"/>
        <v>Bell Bajao (2011), ‘Baseline survey on domestic violence and HIV/AIDS’</v>
      </c>
    </row>
    <row r="204" spans="1:105" s="35" customFormat="1" ht="12" customHeight="1" x14ac:dyDescent="0.2">
      <c r="A204" s="651"/>
      <c r="B204" s="537" t="s">
        <v>1886</v>
      </c>
      <c r="C204" s="390" t="s">
        <v>70</v>
      </c>
      <c r="D204" s="36" t="s">
        <v>1125</v>
      </c>
      <c r="E204" s="647" t="s">
        <v>1581</v>
      </c>
      <c r="F204" s="647" t="s">
        <v>1887</v>
      </c>
      <c r="G204" s="479">
        <v>1</v>
      </c>
      <c r="H204" s="478">
        <v>2</v>
      </c>
      <c r="I204" s="166">
        <v>2008</v>
      </c>
      <c r="J204" s="571">
        <v>2008</v>
      </c>
      <c r="K204" s="571">
        <v>2012</v>
      </c>
      <c r="L204" s="494"/>
      <c r="M204" s="247" t="s">
        <v>15</v>
      </c>
      <c r="N204" s="494"/>
      <c r="O204" s="98" t="s">
        <v>19</v>
      </c>
      <c r="P204" s="98">
        <v>15</v>
      </c>
      <c r="Q204" s="247">
        <v>49</v>
      </c>
      <c r="R204" s="291">
        <v>28.52</v>
      </c>
      <c r="S204" s="291"/>
      <c r="T204" s="291"/>
      <c r="U204" s="395">
        <v>159</v>
      </c>
      <c r="V204" s="794">
        <v>0</v>
      </c>
      <c r="W204" s="712"/>
      <c r="X204" s="526">
        <f>0*0.309 + 3*0.34 + 5*0.189 + 9*0.126 + 12*0.03</f>
        <v>3.4590000000000001</v>
      </c>
      <c r="Y204" s="447"/>
      <c r="Z204" s="447"/>
      <c r="AA204" s="447"/>
      <c r="AB204" s="447"/>
      <c r="AC204" s="447">
        <f>100*(17+12+36+16+5)/159</f>
        <v>54.088050314465406</v>
      </c>
      <c r="AD204" s="447">
        <f>100*(12+36+16)/159</f>
        <v>40.251572327044023</v>
      </c>
      <c r="AE204" s="447"/>
      <c r="AF204" s="447"/>
      <c r="AG204" s="447"/>
      <c r="AH204" s="447"/>
      <c r="AI204" s="447"/>
      <c r="AJ204" s="447"/>
      <c r="AK204" s="532"/>
      <c r="AL204" s="532"/>
      <c r="AM204" s="447"/>
      <c r="AN204" s="447"/>
      <c r="AO204" s="447"/>
      <c r="AP204" s="447"/>
      <c r="AQ204" s="447"/>
      <c r="AR204" s="447"/>
      <c r="AS204" s="447"/>
      <c r="AT204" s="447"/>
      <c r="AU204" s="447"/>
      <c r="AV204" s="447"/>
      <c r="AW204" s="447"/>
      <c r="AX204" s="532"/>
      <c r="AY204" s="447"/>
      <c r="AZ204" s="447"/>
      <c r="BA204" s="447"/>
      <c r="BB204" s="447"/>
      <c r="BC204" s="447"/>
      <c r="BD204" s="447"/>
      <c r="BG204" s="447"/>
      <c r="BH204" s="447"/>
      <c r="BM204" s="447"/>
      <c r="BN204" s="477"/>
      <c r="BO204" s="447"/>
      <c r="BP204" s="447"/>
      <c r="BQ204" s="454">
        <f>54</f>
        <v>54</v>
      </c>
      <c r="BR204" s="454">
        <f>100*36/U204</f>
        <v>22.641509433962263</v>
      </c>
      <c r="BS204" s="442"/>
      <c r="BT204" s="442"/>
      <c r="BU204" s="442">
        <v>12</v>
      </c>
      <c r="BV204" s="442">
        <v>1</v>
      </c>
      <c r="BW204" s="442"/>
      <c r="BX204" s="573"/>
      <c r="BY204" s="854"/>
      <c r="BZ204" s="854"/>
      <c r="CA204" s="854"/>
      <c r="CB204" s="854"/>
      <c r="CC204" s="854"/>
      <c r="CD204" s="854"/>
      <c r="CE204" s="854"/>
      <c r="CF204" s="854"/>
      <c r="CG204" s="36"/>
      <c r="CH204" s="419" t="s">
        <v>2003</v>
      </c>
      <c r="CI204" s="406" t="s">
        <v>1868</v>
      </c>
      <c r="CJ204" s="23"/>
      <c r="CK204" s="581" t="s">
        <v>1888</v>
      </c>
      <c r="CL204" s="417"/>
      <c r="CM204" s="648"/>
      <c r="CR204" s="845" t="str">
        <f t="shared" si="16"/>
        <v>2008_Kol</v>
      </c>
      <c r="CS204" s="648" t="str">
        <f t="shared" si="17"/>
        <v>West Bengal: Kolkota</v>
      </c>
      <c r="CT204" s="35" t="str">
        <f t="shared" si="21"/>
        <v/>
      </c>
      <c r="CU204" s="23" t="str">
        <f t="shared" si="22"/>
        <v>urban</v>
      </c>
      <c r="CV204" s="23" t="str">
        <f t="shared" si="18"/>
        <v>III</v>
      </c>
      <c r="CW204" s="579" t="str">
        <f t="shared" si="23"/>
        <v/>
      </c>
      <c r="CX204" s="23" t="str">
        <f t="shared" si="24"/>
        <v/>
      </c>
      <c r="CY204" s="35" t="str">
        <f t="shared" si="19"/>
        <v>15-49</v>
      </c>
      <c r="CZ204" s="35">
        <f t="shared" si="20"/>
        <v>159</v>
      </c>
      <c r="DA204" s="648" t="str">
        <f t="shared" si="10"/>
        <v>Sinha A., Mallik S., Sanyal D., Dasgupta S., Pal D. &amp; Mukherjee A. (2012), ‘Domestic violence among ever married women of reproductive age group in a slum area of Kolkata’, Indian Journal of Public Health 56(1):31-6.</v>
      </c>
    </row>
    <row r="205" spans="1:105" s="35" customFormat="1" ht="12" customHeight="1" x14ac:dyDescent="0.2">
      <c r="A205" s="651"/>
      <c r="B205" s="537" t="s">
        <v>1707</v>
      </c>
      <c r="C205" s="390" t="s">
        <v>70</v>
      </c>
      <c r="D205" s="36" t="s">
        <v>1125</v>
      </c>
      <c r="E205" s="647" t="s">
        <v>1581</v>
      </c>
      <c r="F205" s="647" t="s">
        <v>1883</v>
      </c>
      <c r="G205" s="237"/>
      <c r="H205" s="186">
        <v>2</v>
      </c>
      <c r="I205" s="533" t="s">
        <v>589</v>
      </c>
      <c r="J205" s="571">
        <v>2008</v>
      </c>
      <c r="K205" s="571">
        <v>2012</v>
      </c>
      <c r="L205" s="494"/>
      <c r="M205" s="247" t="s">
        <v>17</v>
      </c>
      <c r="N205" s="494" t="s">
        <v>783</v>
      </c>
      <c r="O205" s="98" t="s">
        <v>1922</v>
      </c>
      <c r="P205" s="98">
        <v>16</v>
      </c>
      <c r="Q205" s="247">
        <v>44</v>
      </c>
      <c r="R205" s="291">
        <v>26.2</v>
      </c>
      <c r="S205" s="291"/>
      <c r="T205" s="291"/>
      <c r="U205" s="395">
        <v>284</v>
      </c>
      <c r="V205" s="794">
        <v>0</v>
      </c>
      <c r="W205" s="712"/>
      <c r="X205" s="277"/>
      <c r="Y205" s="447">
        <v>39.4</v>
      </c>
      <c r="Z205" s="447">
        <v>23.6</v>
      </c>
      <c r="AA205" s="447"/>
      <c r="AB205" s="447"/>
      <c r="AC205" s="447">
        <v>46.1</v>
      </c>
      <c r="AD205" s="447">
        <v>27.8</v>
      </c>
      <c r="AE205" s="447">
        <v>17.2</v>
      </c>
      <c r="AF205" s="447">
        <v>10.199999999999999</v>
      </c>
      <c r="AG205" s="447"/>
      <c r="AH205" s="447"/>
      <c r="AI205" s="505"/>
      <c r="AJ205" s="505"/>
      <c r="AK205" s="447"/>
      <c r="AL205" s="447"/>
      <c r="AM205" s="447"/>
      <c r="AO205" s="447"/>
      <c r="AP205" s="447"/>
      <c r="AQ205" s="447">
        <v>15.8</v>
      </c>
      <c r="AR205" s="447">
        <v>2.5</v>
      </c>
      <c r="AU205" s="447"/>
      <c r="AV205" s="447"/>
      <c r="AW205" s="447"/>
      <c r="AX205" s="447"/>
      <c r="AY205" s="447">
        <v>17.600000000000001</v>
      </c>
      <c r="AZ205" s="447">
        <v>2.1</v>
      </c>
      <c r="BA205" s="447">
        <v>23.2</v>
      </c>
      <c r="BB205" s="447">
        <v>1.4</v>
      </c>
      <c r="BC205" s="447"/>
      <c r="BD205" s="447"/>
      <c r="BE205" s="447"/>
      <c r="BF205" s="447"/>
      <c r="BG205" s="447"/>
      <c r="BH205" s="447"/>
      <c r="BI205" s="447">
        <v>52.1</v>
      </c>
      <c r="BJ205" s="447">
        <v>20.399999999999999</v>
      </c>
      <c r="BK205" s="447"/>
      <c r="BL205" s="447"/>
      <c r="BM205" s="447">
        <v>8.8000000000000007</v>
      </c>
      <c r="BN205" s="447">
        <v>2.8</v>
      </c>
      <c r="BO205" s="447"/>
      <c r="BP205" s="447"/>
      <c r="BQ205" s="447"/>
      <c r="BR205" s="444"/>
      <c r="BS205" s="442"/>
      <c r="BT205" s="442"/>
      <c r="BU205" s="442">
        <v>12</v>
      </c>
      <c r="BV205" s="442">
        <v>1</v>
      </c>
      <c r="BW205" s="442">
        <v>57.2</v>
      </c>
      <c r="BX205" s="573">
        <v>3.5999999999999997E-2</v>
      </c>
      <c r="BY205" s="854"/>
      <c r="BZ205" s="854"/>
      <c r="CA205" s="854"/>
      <c r="CB205" s="854"/>
      <c r="CC205" s="854"/>
      <c r="CD205" s="854"/>
      <c r="CE205" s="854"/>
      <c r="CF205" s="854"/>
      <c r="CG205" s="36"/>
      <c r="CH205" s="419" t="s">
        <v>1557</v>
      </c>
      <c r="CI205" s="406" t="s">
        <v>1558</v>
      </c>
      <c r="CJ205" s="23"/>
      <c r="CK205" s="417" t="s">
        <v>1560</v>
      </c>
      <c r="CL205" s="417"/>
      <c r="CM205" s="648"/>
      <c r="CR205" s="845" t="str">
        <f t="shared" si="16"/>
        <v>2008_WB</v>
      </c>
      <c r="CS205" s="648" t="str">
        <f t="shared" si="17"/>
        <v>West Bengal: Siliguri</v>
      </c>
      <c r="CT205" s="35">
        <f t="shared" si="21"/>
        <v>2008</v>
      </c>
      <c r="CU205" s="23" t="str">
        <f t="shared" si="22"/>
        <v>urban</v>
      </c>
      <c r="CV205" s="23" t="str">
        <f t="shared" si="18"/>
        <v>I</v>
      </c>
      <c r="CW205" s="579" t="str">
        <f t="shared" si="23"/>
        <v/>
      </c>
      <c r="CX205" s="23" t="str">
        <f t="shared" si="24"/>
        <v>y</v>
      </c>
      <c r="CY205" s="35" t="str">
        <f t="shared" si="19"/>
        <v>16-49</v>
      </c>
      <c r="CZ205" s="35">
        <f t="shared" si="20"/>
        <v>284</v>
      </c>
      <c r="DA205" s="648" t="str">
        <f t="shared" si="10"/>
        <v>Ray K. et al (2012), 'Violence against women': evidence from a cross sectional study in urban area of North Bengal, Al Ameen Journal of Medical Science 5(2):157-64.</v>
      </c>
    </row>
    <row r="206" spans="1:105" ht="12" customHeight="1" x14ac:dyDescent="0.2">
      <c r="A206" s="651"/>
      <c r="B206" s="537" t="s">
        <v>2070</v>
      </c>
      <c r="C206" s="551" t="s">
        <v>70</v>
      </c>
      <c r="D206" s="527" t="s">
        <v>1125</v>
      </c>
      <c r="E206" s="647" t="s">
        <v>1650</v>
      </c>
      <c r="F206" s="647" t="s">
        <v>2071</v>
      </c>
      <c r="G206" s="237"/>
      <c r="H206" s="186">
        <v>6</v>
      </c>
      <c r="I206" s="2">
        <v>2009</v>
      </c>
      <c r="K206" s="72">
        <v>2011</v>
      </c>
      <c r="L206" s="493"/>
      <c r="M206" s="479" t="s">
        <v>18</v>
      </c>
      <c r="N206" s="493"/>
      <c r="O206" s="247" t="s">
        <v>19</v>
      </c>
      <c r="P206" s="247">
        <v>15</v>
      </c>
      <c r="Q206" s="237">
        <v>49</v>
      </c>
      <c r="R206" s="277">
        <f>(20*66 + 30*116 + 40*48 + 47*27)/257</f>
        <v>31.085603112840467</v>
      </c>
      <c r="S206" s="277">
        <f>(16*75 + 19*123 + 21*30 + 23*16 + 25*13)/257</f>
        <v>18.910505836575876</v>
      </c>
      <c r="T206" s="277">
        <f>(2.5*58 + 7.5*84 + 12.5*42 + 17.5*28 + 22.5*19 + 30*26)/257</f>
        <v>11.663424124513618</v>
      </c>
      <c r="U206" s="393">
        <v>257</v>
      </c>
      <c r="V206" s="694">
        <v>0</v>
      </c>
      <c r="W206" s="717" t="s">
        <v>2069</v>
      </c>
      <c r="X206" s="277">
        <f>(0*23 + 3.9*38 + 9*76 + 12*80 + 15*24)/241</f>
        <v>8.9302904564315337</v>
      </c>
      <c r="Y206" s="446"/>
      <c r="Z206" s="446"/>
      <c r="AA206" s="442">
        <v>31.58</v>
      </c>
      <c r="AB206" s="440"/>
      <c r="AC206" s="446"/>
      <c r="AD206" s="442"/>
      <c r="AE206" s="442"/>
      <c r="AF206" s="446"/>
      <c r="AG206" s="446"/>
      <c r="AH206" s="446"/>
      <c r="AI206" s="446"/>
      <c r="AJ206" s="446"/>
      <c r="AK206" s="446"/>
      <c r="AL206" s="446"/>
      <c r="AM206" s="446"/>
      <c r="AN206" s="446"/>
      <c r="AO206" s="446"/>
      <c r="AP206" s="446"/>
      <c r="AQ206" s="446"/>
      <c r="AR206" s="446"/>
      <c r="AS206" s="446"/>
      <c r="AT206" s="446"/>
      <c r="AU206" s="446"/>
      <c r="AV206" s="446"/>
      <c r="AW206" s="446"/>
      <c r="AX206" s="446"/>
      <c r="AY206" s="440"/>
      <c r="AZ206" s="440"/>
      <c r="BA206" s="446"/>
      <c r="BB206" s="446"/>
      <c r="BC206" s="446"/>
      <c r="BD206" s="440"/>
      <c r="BE206" s="445"/>
      <c r="BF206" s="445"/>
      <c r="BG206" s="446"/>
      <c r="BH206" s="446"/>
      <c r="BI206" s="445">
        <v>31.58</v>
      </c>
      <c r="BJ206" s="445"/>
      <c r="BK206" s="445"/>
      <c r="BL206" s="445"/>
      <c r="BM206" s="445"/>
      <c r="BN206" s="445"/>
      <c r="BO206" s="445">
        <v>10.53</v>
      </c>
      <c r="BR206" s="444"/>
      <c r="BS206" s="442"/>
      <c r="BT206" s="445"/>
      <c r="BU206" s="445">
        <v>12</v>
      </c>
      <c r="BV206" s="445">
        <v>0</v>
      </c>
      <c r="BW206" s="445"/>
      <c r="BX206" s="573">
        <v>0</v>
      </c>
      <c r="BY206" s="854"/>
      <c r="BZ206" s="854"/>
      <c r="CA206" s="854"/>
      <c r="CB206" s="854"/>
      <c r="CC206" s="854"/>
      <c r="CD206" s="854"/>
      <c r="CE206" s="854"/>
      <c r="CF206" s="854"/>
      <c r="CG206" s="98"/>
      <c r="CH206" s="419" t="s">
        <v>2067</v>
      </c>
      <c r="CI206" s="406" t="s">
        <v>1915</v>
      </c>
      <c r="CJ206" s="23"/>
      <c r="CK206" s="417" t="s">
        <v>1917</v>
      </c>
      <c r="CL206" s="692"/>
      <c r="CR206" s="845" t="str">
        <f t="shared" si="16"/>
        <v>2009_Kar</v>
      </c>
      <c r="CS206" s="648" t="str">
        <f t="shared" si="17"/>
        <v>Karnataka: Bangalore area</v>
      </c>
      <c r="CT206" s="35" t="str">
        <f t="shared" si="21"/>
        <v/>
      </c>
      <c r="CU206" s="23" t="str">
        <f t="shared" si="22"/>
        <v>rural</v>
      </c>
      <c r="CV206" s="23" t="str">
        <f t="shared" si="18"/>
        <v>II</v>
      </c>
      <c r="CW206" s="579" t="str">
        <f t="shared" si="23"/>
        <v/>
      </c>
      <c r="CX206" s="23" t="str">
        <f t="shared" si="24"/>
        <v/>
      </c>
      <c r="CY206" s="35" t="str">
        <f t="shared" si="19"/>
        <v>15-49</v>
      </c>
      <c r="CZ206" s="35">
        <f t="shared" si="20"/>
        <v>257</v>
      </c>
      <c r="DA206" s="648" t="str">
        <f t="shared" si="10"/>
        <v>Gaikwad, V., Madhukumar, S., &amp; Sudeepa D (2011). ‘An epidemiological study of domestic violence against women and its association with sexually transmitted infections in Bangalore Rural. Online Journal of Health and Allied Sciences, 10(3).</v>
      </c>
    </row>
    <row r="207" spans="1:105" s="35" customFormat="1" ht="12" customHeight="1" x14ac:dyDescent="0.2">
      <c r="A207" s="651"/>
      <c r="B207" s="537" t="s">
        <v>2005</v>
      </c>
      <c r="C207" s="390" t="s">
        <v>70</v>
      </c>
      <c r="D207" s="36" t="s">
        <v>1125</v>
      </c>
      <c r="E207" s="647" t="s">
        <v>1644</v>
      </c>
      <c r="F207" s="647" t="s">
        <v>2159</v>
      </c>
      <c r="G207" s="479">
        <v>1</v>
      </c>
      <c r="H207" s="478">
        <v>2</v>
      </c>
      <c r="I207" s="166">
        <v>2009</v>
      </c>
      <c r="J207" s="571">
        <v>2009</v>
      </c>
      <c r="K207" s="571">
        <v>2012</v>
      </c>
      <c r="L207" s="494" t="s">
        <v>2676</v>
      </c>
      <c r="M207" s="247" t="s">
        <v>78</v>
      </c>
      <c r="N207" s="494" t="s">
        <v>783</v>
      </c>
      <c r="O207" s="166" t="s">
        <v>2648</v>
      </c>
      <c r="P207" s="98"/>
      <c r="Q207" s="247"/>
      <c r="R207" s="291">
        <f>(17*(117+23) + 22*(887+157) + 27*(575+98) + 32*(242+40))/(1821+318)</f>
        <v>24.564282374941563</v>
      </c>
      <c r="S207" s="291">
        <f>(17*(1094+216) + 22*(625+89) + 29*(102+13))/2139</f>
        <v>19.314165497896212</v>
      </c>
      <c r="T207" s="291"/>
      <c r="U207" s="395">
        <v>2139</v>
      </c>
      <c r="V207" s="794">
        <v>0</v>
      </c>
      <c r="W207" s="712" t="s">
        <v>2160</v>
      </c>
      <c r="X207" s="526">
        <f>0*0.2 + 3.9*0.04 + 9.1*0.46 + 15.2*0.3</f>
        <v>8.9019999999999992</v>
      </c>
      <c r="Y207" s="447"/>
      <c r="Z207" s="447">
        <f>100*62/2139</f>
        <v>2.8985507246376812</v>
      </c>
      <c r="AA207" s="447"/>
      <c r="AB207" s="447">
        <f>100*167/2139</f>
        <v>7.8073866292660119</v>
      </c>
      <c r="AC207" s="447"/>
      <c r="AD207" s="447">
        <f>100*44/2139</f>
        <v>2.0570359981299671</v>
      </c>
      <c r="AE207" s="447"/>
      <c r="AF207" s="447">
        <f>100*24/2139</f>
        <v>1.1220196353436185</v>
      </c>
      <c r="AG207" s="447"/>
      <c r="AH207" s="447"/>
      <c r="AI207" s="447"/>
      <c r="AJ207" s="447">
        <f>100*17/2139</f>
        <v>0.7947639083683965</v>
      </c>
      <c r="AK207" s="447"/>
      <c r="AL207" s="447"/>
      <c r="AM207" s="447"/>
      <c r="AN207" s="447">
        <f>100*212/2139</f>
        <v>9.9111734455352973</v>
      </c>
      <c r="AO207" s="447"/>
      <c r="AP207" s="447">
        <f>100*(53+42)/2139</f>
        <v>4.4413277232351565</v>
      </c>
      <c r="AQ207" s="447"/>
      <c r="AR207" s="447"/>
      <c r="AS207" s="447"/>
      <c r="AT207" s="447">
        <f>100*75/2139</f>
        <v>3.5063113604488079</v>
      </c>
      <c r="AU207" s="447"/>
      <c r="AV207" s="447">
        <f>100*(80+35)/2139</f>
        <v>5.376344086021505</v>
      </c>
      <c r="AW207" s="447"/>
      <c r="AX207" s="447">
        <f>100*(11+2)/2139</f>
        <v>0.60776063581112671</v>
      </c>
      <c r="AY207" s="447"/>
      <c r="AZ207" s="447"/>
      <c r="BA207" s="447"/>
      <c r="BC207" s="447"/>
      <c r="BD207" s="447">
        <f>100*97/2139</f>
        <v>4.5348293595137914</v>
      </c>
      <c r="BE207" s="447"/>
      <c r="BF207" s="447"/>
      <c r="BG207" s="447"/>
      <c r="BH207" s="447"/>
      <c r="BI207" s="454"/>
      <c r="BJ207" s="447">
        <f>100*247/2139</f>
        <v>11.547452080411407</v>
      </c>
      <c r="BK207" s="447"/>
      <c r="BL207" s="447"/>
      <c r="BM207" s="447"/>
      <c r="BN207" s="447">
        <f>100*35/2139</f>
        <v>1.6362786348761102</v>
      </c>
      <c r="BO207" s="447"/>
      <c r="BP207" s="447"/>
      <c r="BQ207" s="447"/>
      <c r="BR207" s="444"/>
      <c r="BS207" s="442"/>
      <c r="BT207" s="442">
        <v>15</v>
      </c>
      <c r="BU207" s="442">
        <v>12</v>
      </c>
      <c r="BV207" s="442">
        <v>0</v>
      </c>
      <c r="BW207" s="442"/>
      <c r="BX207" s="573">
        <f>5/318</f>
        <v>1.5723270440251572E-2</v>
      </c>
      <c r="BY207" s="854">
        <v>0.31</v>
      </c>
      <c r="BZ207" s="854">
        <v>7.0000000000000007E-2</v>
      </c>
      <c r="CA207" s="854">
        <v>0.16</v>
      </c>
      <c r="CB207" s="854">
        <v>0.08</v>
      </c>
      <c r="CC207" s="854">
        <v>0.19</v>
      </c>
      <c r="CD207" s="854">
        <v>0.19</v>
      </c>
      <c r="CE207" s="854"/>
      <c r="CF207" s="854"/>
      <c r="CG207" s="36"/>
      <c r="CH207" s="419" t="s">
        <v>1712</v>
      </c>
      <c r="CI207" s="406" t="s">
        <v>1714</v>
      </c>
      <c r="CJ207" s="23"/>
      <c r="CK207" s="417" t="s">
        <v>1715</v>
      </c>
      <c r="CL207" s="417"/>
      <c r="CM207" s="648"/>
      <c r="CR207" s="845" t="str">
        <f t="shared" si="16"/>
        <v>2009_Mum1</v>
      </c>
      <c r="CS207" s="648" t="str">
        <f t="shared" si="17"/>
        <v>Mumbai: 48 slum areas</v>
      </c>
      <c r="CT207" s="35">
        <f t="shared" si="21"/>
        <v>2009</v>
      </c>
      <c r="CU207" s="23" t="str">
        <f t="shared" si="22"/>
        <v>urban</v>
      </c>
      <c r="CV207" s="23" t="str">
        <f t="shared" si="18"/>
        <v>IV</v>
      </c>
      <c r="CW207" s="579" t="str">
        <f t="shared" si="23"/>
        <v>SNEHA</v>
      </c>
      <c r="CX207" s="23" t="str">
        <f t="shared" si="24"/>
        <v>y</v>
      </c>
      <c r="CY207" s="35" t="str">
        <f t="shared" si="19"/>
        <v>&lt;20 to &gt;29</v>
      </c>
      <c r="CZ207" s="35">
        <f t="shared" si="20"/>
        <v>2139</v>
      </c>
      <c r="DA207" s="648" t="str">
        <f t="shared" si="10"/>
        <v>Das S., Bapat U., More N.S., Alcock G., Joshi W., Pantvaidya S. &amp; Osrin D. (2013), ‘Intimate partner violence against women during and after pregnancy: a cross-sectional study in Mumbai slums’, BMC Public Health 13(1):article 817. Doi:10.1186/1471-2458-13-817</v>
      </c>
    </row>
    <row r="208" spans="1:105" s="35" customFormat="1" ht="12" customHeight="1" x14ac:dyDescent="0.2">
      <c r="A208" s="651"/>
      <c r="B208" s="537" t="s">
        <v>1869</v>
      </c>
      <c r="C208" s="97" t="s">
        <v>70</v>
      </c>
      <c r="D208" s="237" t="s">
        <v>1125</v>
      </c>
      <c r="E208" s="647" t="s">
        <v>1644</v>
      </c>
      <c r="F208" s="647" t="s">
        <v>1882</v>
      </c>
      <c r="G208" s="479">
        <v>1</v>
      </c>
      <c r="H208" s="478">
        <v>2</v>
      </c>
      <c r="I208" s="166">
        <v>2009</v>
      </c>
      <c r="J208" s="571"/>
      <c r="K208" s="571">
        <v>2011</v>
      </c>
      <c r="L208" s="493"/>
      <c r="M208" s="479" t="s">
        <v>18</v>
      </c>
      <c r="N208" s="494"/>
      <c r="O208" s="479" t="s">
        <v>1866</v>
      </c>
      <c r="P208" s="98">
        <v>18</v>
      </c>
      <c r="Q208" s="98">
        <v>45</v>
      </c>
      <c r="R208" s="121">
        <f>(21.5*76+30*98+40*65+50*35)/(76+98+65+35)</f>
        <v>32.569343065693431</v>
      </c>
      <c r="S208" s="121"/>
      <c r="T208" s="121">
        <f>(2*77 + 7.5*69 + 12.5*54)/200</f>
        <v>6.7324999999999999</v>
      </c>
      <c r="U208" s="393">
        <v>274</v>
      </c>
      <c r="V208" s="694">
        <v>0</v>
      </c>
      <c r="W208" s="711"/>
      <c r="X208" s="121">
        <f>(0*138 + 3.9*57 + 9.1*53 + 15.2*26)/(138+57+53+26)</f>
        <v>4.013868613138686</v>
      </c>
      <c r="Z208" s="454">
        <f>100*78/$U208</f>
        <v>28.467153284671532</v>
      </c>
      <c r="AA208" s="446"/>
      <c r="AB208" s="446"/>
      <c r="AC208" s="446"/>
      <c r="AD208" s="454">
        <f>100*44/$U208</f>
        <v>16.058394160583941</v>
      </c>
      <c r="AE208" s="473"/>
      <c r="AF208" s="454"/>
      <c r="AG208" s="446"/>
      <c r="AH208" s="446"/>
      <c r="AI208" s="447"/>
      <c r="AJ208" s="447"/>
      <c r="AK208" s="447"/>
      <c r="AL208" s="447"/>
      <c r="AM208" s="446"/>
      <c r="AN208" s="454">
        <f>100*49/$U208</f>
        <v>17.883211678832115</v>
      </c>
      <c r="AO208" s="442"/>
      <c r="AP208" s="454">
        <f>100*57/$U208</f>
        <v>20.802919708029197</v>
      </c>
      <c r="AQ208" s="442"/>
      <c r="AR208" s="454">
        <f>100*32/$U208</f>
        <v>11.678832116788321</v>
      </c>
      <c r="AS208" s="446"/>
      <c r="AT208" s="446"/>
      <c r="AU208" s="271"/>
      <c r="AV208" s="454">
        <f>0.5*(100*24/$U208)</f>
        <v>4.3795620437956204</v>
      </c>
      <c r="AW208" s="447"/>
      <c r="AX208" s="447"/>
      <c r="AY208" s="447"/>
      <c r="AZ208" s="447"/>
      <c r="BA208" s="446"/>
      <c r="BB208" s="446"/>
      <c r="BC208" s="447"/>
      <c r="BD208" s="447"/>
      <c r="BE208" s="454"/>
      <c r="BF208" s="454"/>
      <c r="BG208" s="454"/>
      <c r="BH208" s="454">
        <f>0.5*(100*24/$U208)</f>
        <v>4.3795620437956204</v>
      </c>
      <c r="BJ208" s="454">
        <f>100*64/$U208</f>
        <v>23.357664233576642</v>
      </c>
      <c r="BK208" s="454"/>
      <c r="BL208" s="454"/>
      <c r="BM208" s="454"/>
      <c r="BN208" s="442"/>
      <c r="BO208" s="442"/>
      <c r="BP208" s="454">
        <f>100*24/$U208</f>
        <v>8.7591240875912408</v>
      </c>
      <c r="BQ208" s="271"/>
      <c r="BR208" s="271"/>
      <c r="BS208" s="271"/>
      <c r="BT208" s="271"/>
      <c r="BU208" s="271">
        <v>12</v>
      </c>
      <c r="BV208" s="454">
        <v>0</v>
      </c>
      <c r="BW208" s="454"/>
      <c r="BX208" s="573">
        <f>2/101</f>
        <v>1.9801980198019802E-2</v>
      </c>
      <c r="BY208" s="854"/>
      <c r="BZ208" s="854"/>
      <c r="CA208" s="854"/>
      <c r="CB208" s="854"/>
      <c r="CC208" s="854"/>
      <c r="CD208" s="854"/>
      <c r="CE208" s="854"/>
      <c r="CF208" s="854"/>
      <c r="CG208" s="98"/>
      <c r="CH208" s="419" t="s">
        <v>1867</v>
      </c>
      <c r="CI208" s="406" t="s">
        <v>1868</v>
      </c>
      <c r="CJ208" s="23"/>
      <c r="CK208" s="417" t="s">
        <v>1870</v>
      </c>
      <c r="CL208" s="572"/>
      <c r="CM208" s="648"/>
      <c r="CR208" s="845" t="str">
        <f t="shared" si="16"/>
        <v>2009_Mum2</v>
      </c>
      <c r="CS208" s="648" t="str">
        <f t="shared" si="17"/>
        <v>Mumbai: Malwani</v>
      </c>
      <c r="CT208" s="35" t="str">
        <f t="shared" si="21"/>
        <v/>
      </c>
      <c r="CU208" s="23" t="str">
        <f t="shared" si="22"/>
        <v>urban</v>
      </c>
      <c r="CV208" s="23" t="str">
        <f t="shared" si="18"/>
        <v>II</v>
      </c>
      <c r="CW208" s="579" t="str">
        <f t="shared" si="23"/>
        <v/>
      </c>
      <c r="CX208" s="23" t="str">
        <f t="shared" si="24"/>
        <v/>
      </c>
      <c r="CY208" s="35" t="str">
        <f t="shared" si="19"/>
        <v>18-45</v>
      </c>
      <c r="CZ208" s="35">
        <f t="shared" si="20"/>
        <v>274</v>
      </c>
      <c r="DA208" s="648" t="str">
        <f t="shared" si="10"/>
        <v xml:space="preserve">Shrivastava P.S. &amp; Shrivastava S.R. (2013), ‘A study of spousal domestic violence in an urban slum of Mumbai’. International Journal of Preventive Medicine 4(1):27-32. </v>
      </c>
    </row>
    <row r="209" spans="1:105" s="97" customFormat="1" ht="12" customHeight="1" thickBot="1" x14ac:dyDescent="0.25">
      <c r="A209" s="652"/>
      <c r="B209" s="558" t="s">
        <v>2004</v>
      </c>
      <c r="C209" s="97" t="s">
        <v>70</v>
      </c>
      <c r="D209" s="237" t="s">
        <v>1125</v>
      </c>
      <c r="E209" s="647" t="s">
        <v>1644</v>
      </c>
      <c r="F209" s="647" t="s">
        <v>1897</v>
      </c>
      <c r="G209" s="479"/>
      <c r="H209" s="478">
        <v>2</v>
      </c>
      <c r="I209" s="481" t="s">
        <v>510</v>
      </c>
      <c r="J209" s="551">
        <v>2009</v>
      </c>
      <c r="K209" s="827">
        <v>2013</v>
      </c>
      <c r="L209" s="493"/>
      <c r="M209" s="479" t="s">
        <v>18</v>
      </c>
      <c r="N209" s="494"/>
      <c r="O209" s="479" t="s">
        <v>19</v>
      </c>
      <c r="P209" s="98">
        <v>15</v>
      </c>
      <c r="Q209" s="98">
        <v>49</v>
      </c>
      <c r="R209" s="526">
        <f>(17*11 + 22*84 + 27*88 + 32*39 + 37*26 + 42*16 + 47*1)/265</f>
        <v>27.69811320754717</v>
      </c>
      <c r="S209" s="526"/>
      <c r="T209" s="526"/>
      <c r="U209" s="393">
        <v>265</v>
      </c>
      <c r="V209" s="694">
        <v>0</v>
      </c>
      <c r="W209" s="711"/>
      <c r="X209" s="526">
        <f>(0*52 + 3*47 + 5*75 + 9*40 + 12*45 + 15*6)/265</f>
        <v>5.6830188679245284</v>
      </c>
      <c r="Y209" s="526"/>
      <c r="Z209" s="473"/>
      <c r="AA209" s="442">
        <f>100*(95/$U209)</f>
        <v>35.849056603773583</v>
      </c>
      <c r="AB209" s="446"/>
      <c r="AC209" s="442">
        <f>100*(122/$U209)</f>
        <v>46.037735849056602</v>
      </c>
      <c r="AD209" s="446"/>
      <c r="AE209" s="442">
        <f>100*(9/$U209)</f>
        <v>3.3962264150943398</v>
      </c>
      <c r="AF209" s="446"/>
      <c r="AG209" s="446"/>
      <c r="AH209" s="446"/>
      <c r="AI209" s="442">
        <f>100*(7/$U209)</f>
        <v>2.6415094339622645</v>
      </c>
      <c r="AJ209" s="447"/>
      <c r="AK209" s="447"/>
      <c r="AL209" s="447"/>
      <c r="AM209" s="442">
        <f>100*80/265</f>
        <v>30.188679245283019</v>
      </c>
      <c r="AN209" s="442"/>
      <c r="AO209" s="442">
        <f>100*(4/$U209)</f>
        <v>1.5094339622641511</v>
      </c>
      <c r="AP209" s="442"/>
      <c r="AQ209" s="442">
        <v>4.8</v>
      </c>
      <c r="AR209" s="446"/>
      <c r="AT209" s="472"/>
      <c r="AU209" s="442">
        <f>100*((14+1)/$U209)</f>
        <v>5.6603773584905666</v>
      </c>
      <c r="AV209" s="447"/>
      <c r="AW209" s="474">
        <f>100*(1/$U209)</f>
        <v>0.37735849056603776</v>
      </c>
      <c r="AX209" s="447"/>
      <c r="AY209" s="442">
        <f>100*(46/$U209)</f>
        <v>17.358490566037734</v>
      </c>
      <c r="AZ209" s="447"/>
      <c r="BA209" s="442">
        <f>100*(25/$U209)</f>
        <v>9.433962264150944</v>
      </c>
      <c r="BB209" s="472"/>
      <c r="BD209" s="447"/>
      <c r="BE209" s="442">
        <f>100*(3/$U209)</f>
        <v>1.1320754716981132</v>
      </c>
      <c r="BF209" s="442"/>
      <c r="BG209" s="447"/>
      <c r="BH209" s="447"/>
      <c r="BI209" s="559">
        <v>31.4</v>
      </c>
      <c r="BJ209" s="442">
        <f>100*68/265</f>
        <v>25.660377358490567</v>
      </c>
      <c r="BK209" s="442"/>
      <c r="BL209" s="442"/>
      <c r="BM209" s="559"/>
      <c r="BN209" s="442"/>
      <c r="BO209" s="442"/>
      <c r="BP209" s="442"/>
      <c r="BQ209" s="559">
        <v>50.9</v>
      </c>
      <c r="BR209" s="559">
        <v>47.9</v>
      </c>
      <c r="BS209" s="472"/>
      <c r="BT209" s="472"/>
      <c r="BU209" s="472">
        <v>12</v>
      </c>
      <c r="BV209" s="559">
        <v>1</v>
      </c>
      <c r="BW209" s="559">
        <v>79.3</v>
      </c>
      <c r="BX209" s="573"/>
      <c r="BY209" s="854"/>
      <c r="BZ209" s="854"/>
      <c r="CA209" s="854"/>
      <c r="CB209" s="854"/>
      <c r="CC209" s="854"/>
      <c r="CD209" s="854"/>
      <c r="CE209" s="854"/>
      <c r="CF209" s="854"/>
      <c r="CG209" s="98"/>
      <c r="CH209" s="556" t="s">
        <v>1961</v>
      </c>
      <c r="CI209" s="638" t="s">
        <v>1896</v>
      </c>
      <c r="CJ209" s="98"/>
      <c r="CK209" s="681" t="s">
        <v>1895</v>
      </c>
      <c r="CL209" s="494"/>
      <c r="CM209" s="647"/>
      <c r="CR209" s="845" t="str">
        <f t="shared" si="16"/>
        <v>2009_Mum3</v>
      </c>
      <c r="CS209" s="648" t="str">
        <f t="shared" si="17"/>
        <v>Mumbai: Nanded (Ambedkar Nagar)</v>
      </c>
      <c r="CT209" s="35">
        <f t="shared" si="21"/>
        <v>2009</v>
      </c>
      <c r="CU209" s="23" t="str">
        <f t="shared" si="22"/>
        <v>urban</v>
      </c>
      <c r="CV209" s="23" t="str">
        <f t="shared" si="18"/>
        <v>II</v>
      </c>
      <c r="CW209" s="579" t="str">
        <f t="shared" si="23"/>
        <v/>
      </c>
      <c r="CX209" s="23" t="str">
        <f t="shared" si="24"/>
        <v/>
      </c>
      <c r="CY209" s="35" t="str">
        <f t="shared" si="19"/>
        <v>15-49</v>
      </c>
      <c r="CZ209" s="35">
        <f t="shared" si="20"/>
        <v>265</v>
      </c>
      <c r="DA209" s="648" t="str">
        <f t="shared" si="10"/>
        <v>Aswar N.R., Kalpana M.K., Inamdar I.F., Borkar S. &amp; Doibale M.K. (2013), ‘Domestic violence against married women in reproductive age group: A community based study’, IOSR Journal of Dental and Medical Sciences 11(2):17-23.</v>
      </c>
    </row>
    <row r="210" spans="1:105" s="35" customFormat="1" ht="12" customHeight="1" x14ac:dyDescent="0.2">
      <c r="A210" s="651"/>
      <c r="B210" s="595" t="s">
        <v>1708</v>
      </c>
      <c r="C210" s="596" t="s">
        <v>70</v>
      </c>
      <c r="D210" s="597" t="s">
        <v>1125</v>
      </c>
      <c r="E210" s="703" t="s">
        <v>212</v>
      </c>
      <c r="F210" s="703" t="s">
        <v>2686</v>
      </c>
      <c r="G210" s="599">
        <v>0</v>
      </c>
      <c r="H210" s="620">
        <v>6</v>
      </c>
      <c r="I210" s="600" t="s">
        <v>510</v>
      </c>
      <c r="J210" s="821">
        <v>2009</v>
      </c>
      <c r="K210" s="835">
        <v>2016</v>
      </c>
      <c r="L210" s="601"/>
      <c r="M210" s="602" t="s">
        <v>18</v>
      </c>
      <c r="N210" s="621" t="s">
        <v>783</v>
      </c>
      <c r="O210" s="599" t="s">
        <v>19</v>
      </c>
      <c r="P210" s="602">
        <v>15</v>
      </c>
      <c r="Q210" s="602">
        <v>49</v>
      </c>
      <c r="R210" s="603">
        <v>26</v>
      </c>
      <c r="S210" s="603"/>
      <c r="T210" s="603"/>
      <c r="U210" s="604">
        <v>4223</v>
      </c>
      <c r="V210" s="796">
        <v>0</v>
      </c>
      <c r="W210" s="718" t="s">
        <v>2060</v>
      </c>
      <c r="X210" s="121">
        <f>0*0.587 + 3*0.136 + 9*0.247 + 15*0.03</f>
        <v>3.0809999999999995</v>
      </c>
      <c r="Z210" s="447">
        <v>30.8</v>
      </c>
      <c r="AA210" s="446"/>
      <c r="AB210" s="446"/>
      <c r="AC210" s="446"/>
      <c r="AD210" s="446"/>
      <c r="AE210" s="446"/>
      <c r="AF210" s="446"/>
      <c r="AG210" s="446"/>
      <c r="AH210" s="446"/>
      <c r="AI210" s="447"/>
      <c r="AJ210" s="447"/>
      <c r="AK210" s="447"/>
      <c r="AL210" s="447"/>
      <c r="AM210" s="446"/>
      <c r="AN210" s="442"/>
      <c r="AO210" s="442"/>
      <c r="AP210" s="442"/>
      <c r="AQ210" s="446"/>
      <c r="AR210" s="446"/>
      <c r="AS210" s="446"/>
      <c r="AT210" s="271"/>
      <c r="AU210" s="447"/>
      <c r="AV210" s="447"/>
      <c r="AW210" s="447"/>
      <c r="AX210" s="447"/>
      <c r="AY210" s="447"/>
      <c r="AZ210" s="447"/>
      <c r="BA210" s="271"/>
      <c r="BB210" s="271"/>
      <c r="BC210" s="447"/>
      <c r="BD210" s="447"/>
      <c r="BE210" s="442"/>
      <c r="BF210" s="442"/>
      <c r="BG210" s="447"/>
      <c r="BH210" s="447"/>
      <c r="BJ210" s="442">
        <v>28.4</v>
      </c>
      <c r="BK210" s="442"/>
      <c r="BL210" s="442"/>
      <c r="BN210" s="442">
        <v>6.3</v>
      </c>
      <c r="BO210" s="442"/>
      <c r="BP210" s="442"/>
      <c r="BQ210" s="271"/>
      <c r="BR210" s="271"/>
      <c r="BS210" s="271"/>
      <c r="BT210" s="454">
        <v>36.700000000000003</v>
      </c>
      <c r="BU210" s="271">
        <v>12</v>
      </c>
      <c r="BV210" s="454">
        <v>0</v>
      </c>
      <c r="BW210" s="454"/>
      <c r="BX210" s="573"/>
      <c r="BY210" s="854"/>
      <c r="BZ210" s="854"/>
      <c r="CA210" s="854"/>
      <c r="CB210" s="854"/>
      <c r="CC210" s="854"/>
      <c r="CD210" s="854"/>
      <c r="CE210" s="854"/>
      <c r="CF210" s="854"/>
      <c r="CG210" s="98"/>
      <c r="CH210" s="419" t="s">
        <v>1563</v>
      </c>
      <c r="CI210" s="406" t="s">
        <v>1558</v>
      </c>
      <c r="CJ210" s="23"/>
      <c r="CK210" s="417" t="s">
        <v>1562</v>
      </c>
      <c r="CL210" s="572"/>
      <c r="CM210" s="648"/>
      <c r="CR210" s="845" t="str">
        <f t="shared" si="16"/>
        <v>2009_UP</v>
      </c>
      <c r="CS210" s="648" t="str">
        <f t="shared" si="17"/>
        <v>Uttar Pradesh: 12 regions</v>
      </c>
      <c r="CT210" s="35" t="str">
        <f t="shared" si="21"/>
        <v/>
      </c>
      <c r="CU210" s="23" t="str">
        <f t="shared" si="22"/>
        <v>rural</v>
      </c>
      <c r="CV210" s="23" t="str">
        <f t="shared" si="18"/>
        <v>II</v>
      </c>
      <c r="CW210" s="579" t="str">
        <f t="shared" si="23"/>
        <v/>
      </c>
      <c r="CX210" s="23" t="str">
        <f t="shared" si="24"/>
        <v>y</v>
      </c>
      <c r="CY210" s="35" t="str">
        <f t="shared" si="19"/>
        <v>15-49</v>
      </c>
      <c r="CZ210" s="35">
        <f t="shared" si="20"/>
        <v>4223</v>
      </c>
      <c r="DA210" s="648" t="str">
        <f t="shared" si="10"/>
        <v>Ahmad et al (2016), 'Gender-Based Violence in Rural Uttar Pradesh, India: Prevalence and Association With Reproductive Health Behaviors', Jnl of Interpersonal Violence</v>
      </c>
    </row>
    <row r="211" spans="1:105" s="35" customFormat="1" ht="12" customHeight="1" thickBot="1" x14ac:dyDescent="0.25">
      <c r="A211" s="651"/>
      <c r="B211" s="540" t="s">
        <v>1708</v>
      </c>
      <c r="C211" s="521" t="s">
        <v>70</v>
      </c>
      <c r="D211" s="522" t="s">
        <v>1125</v>
      </c>
      <c r="E211" s="704" t="s">
        <v>212</v>
      </c>
      <c r="F211" s="704" t="s">
        <v>2686</v>
      </c>
      <c r="G211" s="524">
        <v>0</v>
      </c>
      <c r="H211" s="626">
        <v>6</v>
      </c>
      <c r="I211" s="606" t="s">
        <v>510</v>
      </c>
      <c r="J211" s="822">
        <v>2009</v>
      </c>
      <c r="K211" s="836">
        <v>2016</v>
      </c>
      <c r="L211" s="523"/>
      <c r="M211" s="608" t="s">
        <v>289</v>
      </c>
      <c r="N211" s="627" t="s">
        <v>783</v>
      </c>
      <c r="O211" s="608" t="s">
        <v>251</v>
      </c>
      <c r="P211" s="608">
        <v>20</v>
      </c>
      <c r="Q211" s="608">
        <v>49</v>
      </c>
      <c r="R211" s="609">
        <v>26</v>
      </c>
      <c r="S211" s="609"/>
      <c r="T211" s="609"/>
      <c r="U211" s="610">
        <v>2274</v>
      </c>
      <c r="V211" s="797">
        <v>0</v>
      </c>
      <c r="W211" s="716"/>
      <c r="X211" s="121">
        <f>0*0.587 + 3*0.136 + 9*0.247 + 15*0.03</f>
        <v>3.0809999999999995</v>
      </c>
      <c r="Z211" s="442">
        <v>15.5</v>
      </c>
      <c r="AA211" s="446"/>
      <c r="AB211" s="446"/>
      <c r="AC211" s="446"/>
      <c r="AD211" s="446"/>
      <c r="AE211" s="446"/>
      <c r="AF211" s="446"/>
      <c r="AG211" s="446"/>
      <c r="AH211" s="446"/>
      <c r="AI211" s="447"/>
      <c r="AJ211" s="447"/>
      <c r="AK211" s="447"/>
      <c r="AL211" s="447"/>
      <c r="AN211" s="442">
        <v>26.4</v>
      </c>
      <c r="AO211" s="442"/>
      <c r="AP211" s="442">
        <v>11</v>
      </c>
      <c r="AQ211" s="446"/>
      <c r="AR211" s="442">
        <v>14.4</v>
      </c>
      <c r="AS211" s="446"/>
      <c r="AT211" s="271"/>
      <c r="AU211" s="447"/>
      <c r="AV211" s="447">
        <v>6.5</v>
      </c>
      <c r="AW211" s="447"/>
      <c r="AX211" s="447"/>
      <c r="AY211" s="447"/>
      <c r="AZ211" s="447"/>
      <c r="BA211" s="271"/>
      <c r="BB211" s="271"/>
      <c r="BC211" s="447"/>
      <c r="BD211" s="447"/>
      <c r="BE211" s="442"/>
      <c r="BF211" s="442"/>
      <c r="BG211" s="447"/>
      <c r="BH211" s="447"/>
      <c r="BI211" s="271"/>
      <c r="BJ211" s="442">
        <v>36</v>
      </c>
      <c r="BK211" s="442"/>
      <c r="BL211" s="442"/>
      <c r="BN211" s="454">
        <v>5.0999999999999996</v>
      </c>
      <c r="BO211" s="442"/>
      <c r="BP211" s="442"/>
      <c r="BQ211" s="271"/>
      <c r="BR211" s="271"/>
      <c r="BS211" s="271"/>
      <c r="BT211" s="271"/>
      <c r="BU211" s="271">
        <v>12</v>
      </c>
      <c r="BV211" s="454">
        <v>0</v>
      </c>
      <c r="BW211" s="454"/>
      <c r="BX211" s="573"/>
      <c r="BY211" s="854">
        <v>0.34300000000000003</v>
      </c>
      <c r="BZ211" s="854">
        <v>0.20899999999999999</v>
      </c>
      <c r="CA211" s="854">
        <v>0.16</v>
      </c>
      <c r="CB211" s="854">
        <v>4.2999999999999997E-2</v>
      </c>
      <c r="CC211" s="854">
        <v>0.109</v>
      </c>
      <c r="CD211" s="854">
        <v>0.15</v>
      </c>
      <c r="CE211" s="854"/>
      <c r="CF211" s="854"/>
      <c r="CG211" s="98"/>
      <c r="CH211" s="419" t="s">
        <v>1563</v>
      </c>
      <c r="CI211" s="406" t="s">
        <v>1558</v>
      </c>
      <c r="CJ211" s="23"/>
      <c r="CK211" s="417" t="s">
        <v>1562</v>
      </c>
      <c r="CL211" s="572"/>
      <c r="CM211" s="648"/>
      <c r="CR211" s="845" t="str">
        <f t="shared" si="16"/>
        <v>2009_UP</v>
      </c>
      <c r="CS211" s="648" t="str">
        <f t="shared" si="17"/>
        <v>Uttar Pradesh: 12 regions</v>
      </c>
      <c r="CT211" s="35">
        <f t="shared" si="21"/>
        <v>2009</v>
      </c>
      <c r="CU211" s="23" t="str">
        <f t="shared" si="22"/>
        <v>rural</v>
      </c>
      <c r="CV211" s="23" t="str">
        <f t="shared" si="18"/>
        <v>VII</v>
      </c>
      <c r="CW211" s="579" t="str">
        <f t="shared" si="23"/>
        <v/>
      </c>
      <c r="CX211" s="23" t="str">
        <f t="shared" si="24"/>
        <v>y</v>
      </c>
      <c r="CY211" s="35" t="str">
        <f t="shared" si="19"/>
        <v>20-64</v>
      </c>
      <c r="CZ211" s="35">
        <f t="shared" si="20"/>
        <v>2274</v>
      </c>
      <c r="DA211" s="648" t="str">
        <f t="shared" si="10"/>
        <v>Ahmad et al (2016), 'Gender-Based Violence in Rural Uttar Pradesh, India: Prevalence and Association With Reproductive Health Behaviors', Jnl of Interpersonal Violence</v>
      </c>
    </row>
    <row r="212" spans="1:105" s="35" customFormat="1" ht="12" customHeight="1" x14ac:dyDescent="0.2">
      <c r="A212" s="651"/>
      <c r="B212" s="537" t="s">
        <v>1913</v>
      </c>
      <c r="C212" s="97" t="s">
        <v>70</v>
      </c>
      <c r="D212" s="237" t="s">
        <v>1125</v>
      </c>
      <c r="E212" s="647" t="s">
        <v>1661</v>
      </c>
      <c r="F212" s="647" t="s">
        <v>1914</v>
      </c>
      <c r="G212" s="479"/>
      <c r="H212" s="478">
        <v>2</v>
      </c>
      <c r="I212" s="166">
        <v>2009</v>
      </c>
      <c r="J212" s="571">
        <v>2009</v>
      </c>
      <c r="K212" s="827">
        <v>2011</v>
      </c>
      <c r="L212" s="493"/>
      <c r="M212" s="98" t="s">
        <v>18</v>
      </c>
      <c r="N212" s="494"/>
      <c r="O212" s="98" t="s">
        <v>19</v>
      </c>
      <c r="P212" s="98">
        <v>15</v>
      </c>
      <c r="Q212" s="98">
        <v>49</v>
      </c>
      <c r="R212" s="121">
        <v>30.74</v>
      </c>
      <c r="S212" s="121">
        <v>20.36</v>
      </c>
      <c r="T212" s="121"/>
      <c r="U212" s="393">
        <v>149</v>
      </c>
      <c r="V212" s="694">
        <v>0</v>
      </c>
      <c r="W212" s="711"/>
      <c r="X212" s="121">
        <f>0*0.147 + 3.9*0.275 + 9*0.342 + 12*0.046 + 15*0.187</f>
        <v>7.5075000000000003</v>
      </c>
      <c r="Y212" s="442"/>
      <c r="Z212" s="473"/>
      <c r="AA212" s="446"/>
      <c r="AB212" s="446"/>
      <c r="AC212" s="446"/>
      <c r="AD212" s="446"/>
      <c r="AE212" s="446"/>
      <c r="AF212" s="446"/>
      <c r="AG212" s="446"/>
      <c r="AH212" s="446"/>
      <c r="AI212" s="447"/>
      <c r="AJ212" s="447"/>
      <c r="AK212" s="447"/>
      <c r="AL212" s="447"/>
      <c r="AM212" s="442"/>
      <c r="AN212" s="442"/>
      <c r="AO212" s="442"/>
      <c r="AP212" s="442"/>
      <c r="AQ212" s="446"/>
      <c r="AR212" s="446"/>
      <c r="AS212" s="446"/>
      <c r="AT212" s="271"/>
      <c r="AU212" s="447"/>
      <c r="AV212" s="447"/>
      <c r="AW212" s="447"/>
      <c r="AX212" s="447"/>
      <c r="AY212" s="447"/>
      <c r="AZ212" s="447"/>
      <c r="BA212" s="271"/>
      <c r="BB212" s="271"/>
      <c r="BC212" s="447"/>
      <c r="BD212" s="447"/>
      <c r="BE212" s="454"/>
      <c r="BF212" s="454"/>
      <c r="BG212" s="447"/>
      <c r="BH212" s="447"/>
      <c r="BJ212" s="454">
        <f>100*32/U212</f>
        <v>21.476510067114095</v>
      </c>
      <c r="BK212" s="454"/>
      <c r="BL212" s="454"/>
      <c r="BM212" s="454"/>
      <c r="BN212" s="442"/>
      <c r="BO212" s="442"/>
      <c r="BP212" s="442"/>
      <c r="BQ212" s="271"/>
      <c r="BR212" s="271"/>
      <c r="BT212" s="271"/>
      <c r="BU212" s="271">
        <v>12</v>
      </c>
      <c r="BV212" s="454">
        <v>1</v>
      </c>
      <c r="BW212" s="454"/>
      <c r="BX212" s="573"/>
      <c r="BY212" s="854"/>
      <c r="BZ212" s="854"/>
      <c r="CA212" s="854"/>
      <c r="CB212" s="854"/>
      <c r="CC212" s="854"/>
      <c r="CD212" s="854"/>
      <c r="CE212" s="854"/>
      <c r="CF212" s="854"/>
      <c r="CG212" s="98"/>
      <c r="CH212" s="419" t="s">
        <v>2002</v>
      </c>
      <c r="CI212" s="406" t="s">
        <v>1915</v>
      </c>
      <c r="CJ212" s="23"/>
      <c r="CK212" s="641" t="s">
        <v>1916</v>
      </c>
      <c r="CL212" s="572"/>
      <c r="CM212" s="648"/>
      <c r="CR212" s="845" t="str">
        <f t="shared" si="16"/>
        <v>2009_Guj</v>
      </c>
      <c r="CS212" s="648" t="str">
        <f t="shared" si="17"/>
        <v>Gujarat: Jamnagar</v>
      </c>
      <c r="CT212" s="35" t="str">
        <f t="shared" si="21"/>
        <v/>
      </c>
      <c r="CU212" s="23" t="str">
        <f t="shared" si="22"/>
        <v>urban</v>
      </c>
      <c r="CV212" s="23" t="str">
        <f t="shared" si="18"/>
        <v>II</v>
      </c>
      <c r="CW212" s="579" t="str">
        <f t="shared" si="23"/>
        <v/>
      </c>
      <c r="CX212" s="23" t="str">
        <f t="shared" si="24"/>
        <v/>
      </c>
      <c r="CY212" s="35" t="str">
        <f t="shared" si="19"/>
        <v>15-49</v>
      </c>
      <c r="CZ212" s="35">
        <f t="shared" si="20"/>
        <v>149</v>
      </c>
      <c r="DA212" s="648" t="str">
        <f t="shared" si="10"/>
        <v>Sudha B.Y., Bhavin V., Abha M.D., Neha P.A. &amp; Shah H. (2011), ‘A study on status of empowerment of women in Jamnagar district’, National Journal of Community Medicine 2(3):423-8.</v>
      </c>
    </row>
    <row r="213" spans="1:105" s="35" customFormat="1" ht="12" customHeight="1" x14ac:dyDescent="0.2">
      <c r="A213" s="651"/>
      <c r="B213" s="537" t="s">
        <v>1891</v>
      </c>
      <c r="C213" s="97" t="s">
        <v>70</v>
      </c>
      <c r="D213" s="237" t="s">
        <v>1125</v>
      </c>
      <c r="E213" s="48" t="s">
        <v>1890</v>
      </c>
      <c r="F213" s="647" t="s">
        <v>1889</v>
      </c>
      <c r="G213" s="479"/>
      <c r="H213" s="478">
        <v>2</v>
      </c>
      <c r="I213" s="481" t="s">
        <v>510</v>
      </c>
      <c r="J213" s="551">
        <v>2009</v>
      </c>
      <c r="K213" s="827">
        <v>2014</v>
      </c>
      <c r="L213" s="493"/>
      <c r="M213" s="98" t="s">
        <v>18</v>
      </c>
      <c r="N213" s="494"/>
      <c r="O213" s="98" t="s">
        <v>1894</v>
      </c>
      <c r="P213" s="98">
        <v>18</v>
      </c>
      <c r="Q213" s="98">
        <v>44</v>
      </c>
      <c r="R213" s="167">
        <f>(18.5*11 + 22.5*45 + 28*47 + 33*18 + 38*15 + 42*8) / (11+45 + 47 + 18 + 15 + 8)</f>
        <v>28</v>
      </c>
      <c r="S213" s="167"/>
      <c r="T213" s="167"/>
      <c r="U213" s="393">
        <v>144</v>
      </c>
      <c r="V213" s="694">
        <v>0</v>
      </c>
      <c r="W213" s="717" t="s">
        <v>2053</v>
      </c>
      <c r="X213" s="121">
        <f>(0*(25+12) + 3*(18+21) + 8*(12+16) + 11*(9+19) + 15*(4+8))/(68+76)</f>
        <v>5.7569444444444446</v>
      </c>
      <c r="Y213" s="442"/>
      <c r="Z213" s="473"/>
      <c r="AA213" s="442">
        <f>100*(41+12)/$U213</f>
        <v>36.805555555555557</v>
      </c>
      <c r="AC213" s="446"/>
      <c r="AD213" s="446"/>
      <c r="AE213" s="446"/>
      <c r="AF213" s="446"/>
      <c r="AG213" s="446"/>
      <c r="AH213" s="446"/>
      <c r="AI213" s="447"/>
      <c r="AJ213" s="447"/>
      <c r="AK213" s="447"/>
      <c r="AL213" s="447"/>
      <c r="AM213" s="442"/>
      <c r="AN213" s="442"/>
      <c r="AO213" s="442"/>
      <c r="AP213" s="442"/>
      <c r="AQ213" s="446"/>
      <c r="AR213" s="446"/>
      <c r="AS213" s="446"/>
      <c r="AT213" s="271"/>
      <c r="AU213" s="447"/>
      <c r="AV213" s="447"/>
      <c r="AW213" s="447"/>
      <c r="AX213" s="447"/>
      <c r="AY213" s="447"/>
      <c r="AZ213" s="447"/>
      <c r="BA213" s="271"/>
      <c r="BB213" s="271"/>
      <c r="BC213" s="447"/>
      <c r="BD213" s="447"/>
      <c r="BE213" s="442"/>
      <c r="BF213" s="442"/>
      <c r="BG213" s="447"/>
      <c r="BH213" s="447"/>
      <c r="BI213" s="38">
        <f>100*(41+24+21)/144</f>
        <v>59.722222222222221</v>
      </c>
      <c r="BJ213" s="442"/>
      <c r="BK213" s="442"/>
      <c r="BL213" s="442"/>
      <c r="BM213" s="38">
        <f>100*(24+7)/144</f>
        <v>21.527777777777779</v>
      </c>
      <c r="BO213" s="442"/>
      <c r="BP213" s="442"/>
      <c r="BR213" s="271"/>
      <c r="BS213" s="442">
        <v>47.2</v>
      </c>
      <c r="BT213" s="271"/>
      <c r="BU213" s="271"/>
      <c r="BV213" s="454">
        <v>1</v>
      </c>
      <c r="BW213" s="454"/>
      <c r="BX213" s="573"/>
      <c r="BY213" s="854"/>
      <c r="BZ213" s="854"/>
      <c r="CA213" s="854"/>
      <c r="CB213" s="854"/>
      <c r="CC213" s="854"/>
      <c r="CD213" s="854"/>
      <c r="CE213" s="854"/>
      <c r="CF213" s="854"/>
      <c r="CG213" s="98"/>
      <c r="CH213" s="419" t="s">
        <v>2216</v>
      </c>
      <c r="CI213" s="406" t="s">
        <v>1868</v>
      </c>
      <c r="CJ213" s="23"/>
      <c r="CK213" s="641" t="s">
        <v>1893</v>
      </c>
      <c r="CL213" s="572"/>
      <c r="CM213" s="648"/>
      <c r="CR213" s="845" t="str">
        <f t="shared" si="16"/>
        <v>2009_Gwa</v>
      </c>
      <c r="CS213" s="648" t="str">
        <f t="shared" si="17"/>
        <v>Madhya Pradesh: Gwalior</v>
      </c>
      <c r="CT213" s="35" t="str">
        <f t="shared" si="21"/>
        <v/>
      </c>
      <c r="CU213" s="23" t="str">
        <f t="shared" si="22"/>
        <v>urban</v>
      </c>
      <c r="CV213" s="23" t="str">
        <f t="shared" si="18"/>
        <v>II</v>
      </c>
      <c r="CW213" s="579" t="str">
        <f t="shared" si="23"/>
        <v/>
      </c>
      <c r="CX213" s="23" t="str">
        <f t="shared" si="24"/>
        <v/>
      </c>
      <c r="CY213" s="35" t="str">
        <f t="shared" si="19"/>
        <v>18+</v>
      </c>
      <c r="CZ213" s="35">
        <f t="shared" si="20"/>
        <v>144</v>
      </c>
      <c r="DA213" s="648" t="str">
        <f t="shared" ref="DA213:DA264" si="25">CK213</f>
        <v>Mishra A., Patne S.K., Tiwari R., Srivastava D.K., Gour N. &amp; Bansal M. (2014), ‘A cross-sectional study to find out the prevalence of different types of domestic violence in Gwalior city and to identify the various risk and protective factors for domestic violence’, Indian Journal of Community Medicine 39(1):21-5.</v>
      </c>
    </row>
    <row r="214" spans="1:105" s="35" customFormat="1" ht="12" customHeight="1" x14ac:dyDescent="0.2">
      <c r="A214" s="651"/>
      <c r="B214" s="537" t="s">
        <v>2633</v>
      </c>
      <c r="C214" s="97" t="s">
        <v>70</v>
      </c>
      <c r="D214" s="479" t="s">
        <v>1125</v>
      </c>
      <c r="E214" s="48" t="s">
        <v>2637</v>
      </c>
      <c r="F214" s="647"/>
      <c r="G214" s="479"/>
      <c r="H214" s="478">
        <v>2</v>
      </c>
      <c r="I214" s="481">
        <v>2010</v>
      </c>
      <c r="J214" s="551">
        <v>2010</v>
      </c>
      <c r="K214" s="827">
        <v>2011</v>
      </c>
      <c r="L214" s="493" t="s">
        <v>2634</v>
      </c>
      <c r="M214" s="479" t="s">
        <v>17</v>
      </c>
      <c r="N214" s="494"/>
      <c r="O214" s="838" t="s">
        <v>2636</v>
      </c>
      <c r="P214" s="98">
        <v>18</v>
      </c>
      <c r="Q214" s="98">
        <v>59</v>
      </c>
      <c r="R214" s="167"/>
      <c r="S214" s="167"/>
      <c r="T214" s="167"/>
      <c r="U214" s="393">
        <v>521</v>
      </c>
      <c r="V214" s="694"/>
      <c r="W214" s="717"/>
      <c r="X214" s="121">
        <f>0*0.23 + 3*0.06 + 9 *0.38 + 15+0.33</f>
        <v>18.93</v>
      </c>
      <c r="BI214" s="35">
        <v>31</v>
      </c>
      <c r="BJ214" s="35">
        <v>19</v>
      </c>
      <c r="BU214" s="271">
        <v>12</v>
      </c>
      <c r="BW214" s="454"/>
      <c r="BX214" s="573"/>
      <c r="BY214" s="854"/>
      <c r="BZ214" s="854"/>
      <c r="CA214" s="854"/>
      <c r="CB214" s="854"/>
      <c r="CC214" s="854"/>
      <c r="CD214" s="854"/>
      <c r="CE214" s="855"/>
      <c r="CF214" s="854"/>
      <c r="CG214" s="98"/>
      <c r="CH214" s="131" t="s">
        <v>2639</v>
      </c>
      <c r="CI214" s="638" t="s">
        <v>2635</v>
      </c>
      <c r="CJ214" s="23"/>
      <c r="CK214" s="641" t="s">
        <v>2638</v>
      </c>
      <c r="CL214" s="572"/>
      <c r="CM214" s="648"/>
      <c r="CR214" s="845" t="str">
        <f t="shared" si="16"/>
        <v>2010_Images</v>
      </c>
      <c r="CS214" s="648" t="str">
        <f t="shared" si="17"/>
        <v xml:space="preserve">Delhi and Vijayawada: </v>
      </c>
      <c r="CT214" s="35" t="str">
        <f t="shared" si="21"/>
        <v/>
      </c>
      <c r="CU214" s="23" t="str">
        <f t="shared" si="22"/>
        <v>urban</v>
      </c>
      <c r="CV214" s="23" t="str">
        <f t="shared" si="18"/>
        <v>I</v>
      </c>
      <c r="CW214" s="579" t="str">
        <f t="shared" si="23"/>
        <v>IMAGES</v>
      </c>
      <c r="CX214" s="23" t="str">
        <f t="shared" si="24"/>
        <v/>
      </c>
      <c r="CY214" s="35" t="str">
        <f t="shared" si="19"/>
        <v>18-59</v>
      </c>
      <c r="CZ214" s="35">
        <f t="shared" si="20"/>
        <v>521</v>
      </c>
      <c r="DA214" s="648" t="str">
        <f t="shared" si="25"/>
        <v>Barker G., Contreras J.M., Heilman B., Singh A.K., Verma R.K. &amp; Nascimento M. (2011), ‘Evolving Men: initial results from the International Men and Gender Equality Survey (IMAGES)’. Washington, D.C.: International Center for Research on Women (ICRW) and Rio de Janeiro: Instituto Promundo.</v>
      </c>
    </row>
    <row r="215" spans="1:105" s="35" customFormat="1" ht="12" customHeight="1" x14ac:dyDescent="0.2">
      <c r="A215" s="651"/>
      <c r="B215" s="537" t="s">
        <v>2633</v>
      </c>
      <c r="C215" s="97" t="s">
        <v>70</v>
      </c>
      <c r="D215" s="479" t="s">
        <v>1125</v>
      </c>
      <c r="E215" s="48" t="s">
        <v>2637</v>
      </c>
      <c r="F215" s="647"/>
      <c r="G215" s="479"/>
      <c r="H215" s="478">
        <v>2</v>
      </c>
      <c r="I215" s="481">
        <v>2010</v>
      </c>
      <c r="J215" s="551">
        <v>2010</v>
      </c>
      <c r="K215" s="827">
        <v>2011</v>
      </c>
      <c r="L215" s="493" t="s">
        <v>2634</v>
      </c>
      <c r="M215" s="479" t="s">
        <v>289</v>
      </c>
      <c r="N215" s="494"/>
      <c r="O215" s="98"/>
      <c r="P215" s="98"/>
      <c r="Q215" s="98"/>
      <c r="R215" s="167"/>
      <c r="S215" s="167"/>
      <c r="T215" s="167"/>
      <c r="U215" s="393">
        <v>1534</v>
      </c>
      <c r="V215" s="694"/>
      <c r="W215" s="717"/>
      <c r="X215" s="121"/>
      <c r="Y215" s="442"/>
      <c r="Z215" s="473"/>
      <c r="AA215" s="442"/>
      <c r="AC215" s="446"/>
      <c r="AD215" s="446"/>
      <c r="AE215" s="446"/>
      <c r="AF215" s="446"/>
      <c r="AG215" s="446"/>
      <c r="AH215" s="446"/>
      <c r="AI215" s="447"/>
      <c r="AJ215" s="447"/>
      <c r="AK215" s="447"/>
      <c r="AL215" s="447"/>
      <c r="AM215" s="442"/>
      <c r="AN215" s="453"/>
      <c r="AO215" s="442"/>
      <c r="AP215" s="442"/>
      <c r="AQ215" s="446"/>
      <c r="AR215" s="468"/>
      <c r="AS215" s="446"/>
      <c r="AT215" s="453"/>
      <c r="AU215" s="447"/>
      <c r="AV215" s="468"/>
      <c r="AW215" s="447"/>
      <c r="AX215" s="447"/>
      <c r="BA215" s="271"/>
      <c r="BB215" s="468"/>
      <c r="BC215" s="447"/>
      <c r="BE215" s="453"/>
      <c r="BF215" s="453"/>
      <c r="BG215" s="468"/>
      <c r="BH215" s="468"/>
      <c r="BI215" s="38">
        <v>37</v>
      </c>
      <c r="BJ215" s="442">
        <v>19</v>
      </c>
      <c r="BK215" s="453"/>
      <c r="BL215" s="453"/>
      <c r="BM215" s="38"/>
      <c r="BO215" s="442">
        <v>20</v>
      </c>
      <c r="BP215" s="442">
        <v>14</v>
      </c>
      <c r="BR215" s="271"/>
      <c r="BS215" s="442"/>
      <c r="BT215" s="271"/>
      <c r="BU215" s="271">
        <v>12</v>
      </c>
      <c r="BV215" s="454">
        <v>0</v>
      </c>
      <c r="BW215" s="454"/>
      <c r="BX215" s="573"/>
      <c r="BY215" s="854"/>
      <c r="BZ215" s="854"/>
      <c r="CA215" s="854"/>
      <c r="CB215" s="854"/>
      <c r="CC215" s="854"/>
      <c r="CD215" s="854"/>
      <c r="CE215" s="854">
        <v>0.65</v>
      </c>
      <c r="CF215" s="854"/>
      <c r="CG215" s="98"/>
      <c r="CH215" s="131" t="s">
        <v>2639</v>
      </c>
      <c r="CI215" s="638" t="s">
        <v>2635</v>
      </c>
      <c r="CJ215" s="23"/>
      <c r="CK215" s="641" t="s">
        <v>2638</v>
      </c>
      <c r="CL215" s="572"/>
      <c r="CM215" s="648"/>
      <c r="CR215" s="845" t="str">
        <f t="shared" si="16"/>
        <v>2010_Images</v>
      </c>
      <c r="CS215" s="648" t="str">
        <f t="shared" si="17"/>
        <v xml:space="preserve">Delhi and Vijayawada: </v>
      </c>
      <c r="CT215" s="35" t="str">
        <f t="shared" si="21"/>
        <v/>
      </c>
      <c r="CU215" s="23" t="str">
        <f t="shared" si="22"/>
        <v>urban</v>
      </c>
      <c r="CV215" s="23" t="str">
        <f t="shared" si="18"/>
        <v>VII</v>
      </c>
      <c r="CW215" s="579" t="str">
        <f t="shared" si="23"/>
        <v>IMAGES</v>
      </c>
      <c r="CX215" s="23" t="str">
        <f t="shared" si="24"/>
        <v/>
      </c>
      <c r="CY215" s="35">
        <f t="shared" si="19"/>
        <v>0</v>
      </c>
      <c r="CZ215" s="35">
        <f t="shared" si="20"/>
        <v>1534</v>
      </c>
      <c r="DA215" s="648" t="str">
        <f t="shared" si="25"/>
        <v>Barker G., Contreras J.M., Heilman B., Singh A.K., Verma R.K. &amp; Nascimento M. (2011), ‘Evolving Men: initial results from the International Men and Gender Equality Survey (IMAGES)’. Washington, D.C.: International Center for Research on Women (ICRW) and Rio de Janeiro: Instituto Promundo.</v>
      </c>
    </row>
    <row r="216" spans="1:105" s="97" customFormat="1" ht="12" customHeight="1" x14ac:dyDescent="0.2">
      <c r="A216" s="652"/>
      <c r="B216" s="558" t="s">
        <v>2275</v>
      </c>
      <c r="C216" s="97" t="s">
        <v>70</v>
      </c>
      <c r="D216" s="237" t="s">
        <v>1125</v>
      </c>
      <c r="E216" s="647" t="s">
        <v>1650</v>
      </c>
      <c r="F216" s="647" t="s">
        <v>2276</v>
      </c>
      <c r="G216" s="479"/>
      <c r="H216" s="478">
        <v>6</v>
      </c>
      <c r="I216" s="481" t="s">
        <v>510</v>
      </c>
      <c r="J216" s="551">
        <v>2010</v>
      </c>
      <c r="K216" s="827">
        <v>2012</v>
      </c>
      <c r="L216" s="493"/>
      <c r="M216" s="479" t="s">
        <v>18</v>
      </c>
      <c r="N216" s="494"/>
      <c r="O216" s="479" t="s">
        <v>546</v>
      </c>
      <c r="P216" s="98">
        <v>15</v>
      </c>
      <c r="Q216" s="98">
        <v>45</v>
      </c>
      <c r="R216" s="167">
        <v>21.8</v>
      </c>
      <c r="S216" s="167">
        <v>21</v>
      </c>
      <c r="T216" s="167"/>
      <c r="U216" s="393">
        <v>214</v>
      </c>
      <c r="V216" s="694">
        <v>0</v>
      </c>
      <c r="W216" s="717"/>
      <c r="X216" s="121">
        <f>0*0.075 + 3.9*0.165 + 9*0.185 + 12*0.32 + 15*0.25</f>
        <v>9.8985000000000003</v>
      </c>
      <c r="Y216" s="442"/>
      <c r="Z216" s="473"/>
      <c r="AA216" s="442"/>
      <c r="AC216" s="446"/>
      <c r="AD216" s="446"/>
      <c r="AE216" s="446"/>
      <c r="AF216" s="446"/>
      <c r="AG216" s="446"/>
      <c r="AH216" s="446"/>
      <c r="AI216" s="447"/>
      <c r="AJ216" s="447"/>
      <c r="AK216" s="447"/>
      <c r="AL216" s="447"/>
      <c r="AM216" s="442"/>
      <c r="AN216" s="453"/>
      <c r="AO216" s="442"/>
      <c r="AP216" s="442"/>
      <c r="AQ216" s="446"/>
      <c r="AR216" s="468"/>
      <c r="AS216" s="446"/>
      <c r="AT216" s="472"/>
      <c r="AU216" s="447"/>
      <c r="AV216" s="468"/>
      <c r="AW216" s="447"/>
      <c r="AX216" s="447"/>
      <c r="AY216" s="468"/>
      <c r="AZ216" s="468"/>
      <c r="BA216" s="472"/>
      <c r="BB216" s="472"/>
      <c r="BC216" s="447"/>
      <c r="BD216" s="468"/>
      <c r="BE216" s="453"/>
      <c r="BF216" s="453"/>
      <c r="BG216" s="468"/>
      <c r="BH216" s="468"/>
      <c r="BI216" s="42">
        <v>37</v>
      </c>
      <c r="BJ216" s="453">
        <f>BI216*0.473</f>
        <v>17.500999999999998</v>
      </c>
      <c r="BK216" s="453"/>
      <c r="BL216" s="453"/>
      <c r="BO216" s="42">
        <v>46.5</v>
      </c>
      <c r="BP216" s="442"/>
      <c r="BR216" s="472"/>
      <c r="BS216" s="442"/>
      <c r="BT216" s="472"/>
      <c r="BU216" s="472">
        <v>9</v>
      </c>
      <c r="BV216" s="559">
        <v>0</v>
      </c>
      <c r="BW216" s="559"/>
      <c r="BX216" s="573"/>
      <c r="BY216" s="854"/>
      <c r="BZ216" s="854"/>
      <c r="CA216" s="854"/>
      <c r="CB216" s="854"/>
      <c r="CC216" s="854"/>
      <c r="CD216" s="854"/>
      <c r="CE216" s="854"/>
      <c r="CF216" s="854"/>
      <c r="CG216" s="98"/>
      <c r="CH216" s="556" t="s">
        <v>2278</v>
      </c>
      <c r="CI216" s="406" t="s">
        <v>1915</v>
      </c>
      <c r="CJ216" s="98"/>
      <c r="CK216" s="681" t="s">
        <v>2277</v>
      </c>
      <c r="CL216" s="494"/>
      <c r="CM216" s="647"/>
      <c r="CR216" s="845" t="str">
        <f t="shared" ref="CR216:CR247" si="26">B216</f>
        <v>2010_Man</v>
      </c>
      <c r="CS216" s="648" t="str">
        <f t="shared" si="17"/>
        <v>Karnataka: Mangalore: Kotekar Panchayat</v>
      </c>
      <c r="CT216" s="35" t="str">
        <f t="shared" si="21"/>
        <v/>
      </c>
      <c r="CU216" s="23" t="str">
        <f t="shared" si="22"/>
        <v>rural</v>
      </c>
      <c r="CV216" s="23" t="str">
        <f t="shared" si="18"/>
        <v>II</v>
      </c>
      <c r="CW216" s="579" t="str">
        <f t="shared" si="23"/>
        <v/>
      </c>
      <c r="CX216" s="23" t="str">
        <f t="shared" si="24"/>
        <v/>
      </c>
      <c r="CY216" s="35" t="str">
        <f t="shared" si="19"/>
        <v>15-45</v>
      </c>
      <c r="CZ216" s="35">
        <f t="shared" si="20"/>
        <v>214</v>
      </c>
      <c r="DA216" s="648" t="str">
        <f t="shared" si="25"/>
        <v>Aras R.Y., Veigas I. &amp; D’souza N. (2012). ‘Gender variables and reproductive behaviour of women from rural Mangalore, South Karnataka, India’, International Journal of Collaborative Research on Internal Medicine &amp; Public Health 4(3):167-79.</v>
      </c>
    </row>
    <row r="217" spans="1:105" s="35" customFormat="1" ht="12" customHeight="1" x14ac:dyDescent="0.2">
      <c r="A217" s="651"/>
      <c r="B217" s="537" t="s">
        <v>2395</v>
      </c>
      <c r="C217" s="97" t="s">
        <v>70</v>
      </c>
      <c r="D217" s="479" t="s">
        <v>1125</v>
      </c>
      <c r="E217" s="48" t="s">
        <v>2129</v>
      </c>
      <c r="F217" s="647" t="s">
        <v>2131</v>
      </c>
      <c r="G217" s="237">
        <v>0</v>
      </c>
      <c r="H217" s="478">
        <v>6</v>
      </c>
      <c r="I217" s="481">
        <v>2010</v>
      </c>
      <c r="J217" s="551">
        <v>2010</v>
      </c>
      <c r="K217" s="551">
        <v>2013</v>
      </c>
      <c r="L217" s="493"/>
      <c r="M217" s="479" t="s">
        <v>18</v>
      </c>
      <c r="N217" s="494"/>
      <c r="O217" s="481" t="s">
        <v>2132</v>
      </c>
      <c r="P217" s="98">
        <v>15</v>
      </c>
      <c r="Q217" s="479"/>
      <c r="R217" s="121">
        <f>(17*9 + 24.5*277 + 34.5*196 + 44.9*119 + 54.9*117)/718</f>
        <v>35.470612813370472</v>
      </c>
      <c r="S217" s="121"/>
      <c r="T217" s="121"/>
      <c r="U217" s="393">
        <v>718</v>
      </c>
      <c r="V217" s="694">
        <v>0</v>
      </c>
      <c r="W217" s="717"/>
      <c r="X217" s="121">
        <f>(0*229 + 3.9*151 + 9*88 + 12*100 + 15*150)/718</f>
        <v>6.7282729805013926</v>
      </c>
      <c r="Y217" s="442"/>
      <c r="Z217" s="473"/>
      <c r="AA217" s="442"/>
      <c r="AC217" s="446"/>
      <c r="AD217" s="446"/>
      <c r="AE217" s="446"/>
      <c r="AF217" s="446"/>
      <c r="AG217" s="446"/>
      <c r="AH217" s="446"/>
      <c r="AI217" s="447"/>
      <c r="AJ217" s="447"/>
      <c r="AK217" s="447"/>
      <c r="AL217" s="447"/>
      <c r="AM217" s="442"/>
      <c r="AN217" s="453">
        <f>(153/718)*60.8*((21 +   8.9)/(0.3 + 21 +   8.9))</f>
        <v>12.827286981866477</v>
      </c>
      <c r="AO217" s="442"/>
      <c r="AP217" s="442"/>
      <c r="AQ217" s="446"/>
      <c r="AR217" s="453">
        <f>100*(22+7)/718</f>
        <v>4.03899721448468</v>
      </c>
      <c r="AS217" s="446"/>
      <c r="AT217" s="453">
        <f>(153/718)*60.8*((0.3 +   8.9)/(0.3 + 21 +   8.9))</f>
        <v>3.9468575328819937</v>
      </c>
      <c r="AU217" s="447"/>
      <c r="AV217" s="453">
        <f>100*10/718</f>
        <v>1.392757660167131</v>
      </c>
      <c r="AW217" s="447"/>
      <c r="AX217" s="447"/>
      <c r="BA217" s="271"/>
      <c r="BB217" s="453">
        <f>100*21/718</f>
        <v>2.9247910863509747</v>
      </c>
      <c r="BC217" s="447"/>
      <c r="BE217" s="453"/>
      <c r="BF217" s="453"/>
      <c r="BG217" s="453"/>
      <c r="BH217" s="453"/>
      <c r="BI217" s="38"/>
      <c r="BJ217" s="453">
        <v>21.3</v>
      </c>
      <c r="BK217" s="453"/>
      <c r="BL217" s="453"/>
      <c r="BM217" s="38"/>
      <c r="BN217" s="442"/>
      <c r="BO217" s="442"/>
      <c r="BR217" s="271"/>
      <c r="BS217" s="442"/>
      <c r="BT217" s="271"/>
      <c r="BU217" s="271">
        <v>1</v>
      </c>
      <c r="BV217" s="454">
        <v>1</v>
      </c>
      <c r="BW217" s="454">
        <v>97.4</v>
      </c>
      <c r="BX217" s="573"/>
      <c r="BY217" s="854"/>
      <c r="BZ217" s="854"/>
      <c r="CA217" s="854"/>
      <c r="CB217" s="854"/>
      <c r="CC217" s="854"/>
      <c r="CD217" s="854"/>
      <c r="CE217" s="854"/>
      <c r="CF217" s="854"/>
      <c r="CG217" s="98"/>
      <c r="CH217" s="419" t="s">
        <v>2298</v>
      </c>
      <c r="CI217" s="638" t="s">
        <v>2268</v>
      </c>
      <c r="CJ217" s="23"/>
      <c r="CK217" s="641" t="s">
        <v>2133</v>
      </c>
      <c r="CL217" s="572"/>
      <c r="CM217" s="648"/>
      <c r="CR217" s="845" t="str">
        <f t="shared" si="26"/>
        <v>2010_Pud1</v>
      </c>
      <c r="CS217" s="648" t="str">
        <f t="shared" si="17"/>
        <v>Pondicherry: Thondamanatham village</v>
      </c>
      <c r="CT217" s="35">
        <f t="shared" si="21"/>
        <v>2010</v>
      </c>
      <c r="CU217" s="23" t="str">
        <f t="shared" si="22"/>
        <v>rural</v>
      </c>
      <c r="CV217" s="23" t="str">
        <f t="shared" si="18"/>
        <v>II</v>
      </c>
      <c r="CW217" s="579" t="str">
        <f t="shared" si="23"/>
        <v/>
      </c>
      <c r="CX217" s="23" t="str">
        <f t="shared" si="24"/>
        <v/>
      </c>
      <c r="CY217" s="35" t="str">
        <f t="shared" si="19"/>
        <v>15-50+</v>
      </c>
      <c r="CZ217" s="35">
        <f t="shared" si="20"/>
        <v>718</v>
      </c>
      <c r="DA217" s="648" t="str">
        <f t="shared" si="25"/>
        <v>Vasudevan K., Umamaheswari K. &amp; Vedapriya D.R. (2013), ‘Epidemiological study of domestic violence among married women in a rural area of Pondicherry’, International Journal of Current Research 5(11):3480-2.</v>
      </c>
    </row>
    <row r="218" spans="1:105" x14ac:dyDescent="0.2">
      <c r="B218" s="541" t="s">
        <v>2396</v>
      </c>
      <c r="C218" s="97" t="s">
        <v>70</v>
      </c>
      <c r="D218" s="479" t="s">
        <v>1125</v>
      </c>
      <c r="E218" s="48" t="s">
        <v>2129</v>
      </c>
      <c r="F218" s="48" t="s">
        <v>2687</v>
      </c>
      <c r="I218" s="481">
        <v>2010</v>
      </c>
      <c r="J218" s="551"/>
      <c r="K218" s="827">
        <v>2013</v>
      </c>
      <c r="M218" s="1" t="s">
        <v>17</v>
      </c>
      <c r="O218" s="1" t="s">
        <v>2399</v>
      </c>
      <c r="P218" s="1">
        <v>18</v>
      </c>
      <c r="Q218" s="1">
        <v>80</v>
      </c>
      <c r="R218" s="3">
        <f>23.5*0.503 + 34.5*0.254 + 44.5*0.127 + 65*0.116</f>
        <v>33.774999999999999</v>
      </c>
      <c r="U218" s="772"/>
      <c r="V218" s="504">
        <v>0</v>
      </c>
      <c r="X218" s="121"/>
      <c r="AA218" s="452">
        <v>52.7</v>
      </c>
      <c r="BI218" s="452">
        <v>11.6</v>
      </c>
      <c r="BK218" s="452">
        <v>13.8</v>
      </c>
      <c r="BM218" s="452">
        <v>3.9</v>
      </c>
      <c r="BV218" s="440">
        <v>1</v>
      </c>
      <c r="BW218" s="452">
        <v>25.6</v>
      </c>
      <c r="BX218" s="573">
        <v>0.08</v>
      </c>
      <c r="BY218" s="854"/>
      <c r="BZ218" s="854"/>
      <c r="CA218" s="854"/>
      <c r="CB218" s="854"/>
      <c r="CC218" s="854"/>
      <c r="CD218" s="854"/>
      <c r="CE218" s="854"/>
      <c r="CF218" s="854"/>
      <c r="CH218" s="424" t="s">
        <v>2397</v>
      </c>
      <c r="CI218" s="403" t="s">
        <v>2398</v>
      </c>
      <c r="CK218" s="48" t="s">
        <v>2400</v>
      </c>
      <c r="CR218" s="845" t="str">
        <f t="shared" si="26"/>
        <v>2010_Pud2</v>
      </c>
      <c r="CS218" s="648" t="str">
        <f t="shared" si="17"/>
        <v>Pondicherry: 5 rural &amp; urban areas</v>
      </c>
      <c r="CT218" s="35" t="str">
        <f t="shared" si="21"/>
        <v/>
      </c>
      <c r="CU218" s="23" t="str">
        <f t="shared" si="22"/>
        <v>both</v>
      </c>
      <c r="CV218" s="23" t="str">
        <f t="shared" si="18"/>
        <v>I</v>
      </c>
      <c r="CW218" s="579" t="str">
        <f t="shared" si="23"/>
        <v/>
      </c>
      <c r="CX218" s="23" t="str">
        <f t="shared" si="24"/>
        <v/>
      </c>
      <c r="CY218" s="35" t="str">
        <f t="shared" si="19"/>
        <v>18-80</v>
      </c>
      <c r="CZ218" s="35">
        <f t="shared" si="20"/>
        <v>0</v>
      </c>
      <c r="DA218" s="648" t="str">
        <f t="shared" si="25"/>
        <v>Kiruthika (2013), ‘A Statistical Study on Nature and Extent of Violence against Women in Puducherry’, IOSR Journal of Humanities and Social Science 18(1):1-5.</v>
      </c>
    </row>
    <row r="219" spans="1:105" x14ac:dyDescent="0.2">
      <c r="B219" s="541" t="s">
        <v>2138</v>
      </c>
      <c r="C219" s="390" t="s">
        <v>70</v>
      </c>
      <c r="D219" s="36" t="s">
        <v>1125</v>
      </c>
      <c r="E219" s="48" t="s">
        <v>1652</v>
      </c>
      <c r="F219" s="48" t="s">
        <v>2688</v>
      </c>
      <c r="H219" s="478">
        <v>6</v>
      </c>
      <c r="I219" s="2">
        <v>2010</v>
      </c>
      <c r="J219" s="551">
        <v>2010</v>
      </c>
      <c r="K219" s="827">
        <v>2013</v>
      </c>
      <c r="M219" s="586" t="s">
        <v>18</v>
      </c>
      <c r="R219" s="3">
        <v>28.6</v>
      </c>
      <c r="S219" s="3">
        <v>17.940000000000001</v>
      </c>
      <c r="U219" s="4">
        <v>250</v>
      </c>
      <c r="V219" s="504">
        <v>0</v>
      </c>
      <c r="X219" s="39">
        <f>0*0.484 + 3.9*0.064 + 9.1*0.424 + 15*0.028</f>
        <v>4.5279999999999996</v>
      </c>
      <c r="Y219" s="454">
        <v>20.8</v>
      </c>
      <c r="AK219" s="452">
        <f>100*14/250</f>
        <v>5.6</v>
      </c>
      <c r="AM219" s="452">
        <f>100*39/250</f>
        <v>15.6</v>
      </c>
      <c r="AO219" s="452">
        <f>100*(11+12)/250</f>
        <v>9.1999999999999993</v>
      </c>
      <c r="AQ219" s="452">
        <f>100*(15+11)/250</f>
        <v>10.4</v>
      </c>
      <c r="AS219" s="452">
        <f>100*8/250</f>
        <v>3.2</v>
      </c>
      <c r="AU219" s="452">
        <f>100*(8+9)/250</f>
        <v>6.8</v>
      </c>
      <c r="AW219" s="452">
        <f>100*(2+3)/250</f>
        <v>2</v>
      </c>
      <c r="AY219" s="452">
        <f>100*12/250</f>
        <v>4.8</v>
      </c>
      <c r="BC219" s="452">
        <f>100*11/250</f>
        <v>4.4000000000000004</v>
      </c>
      <c r="BI219" s="452">
        <f>100*83/250</f>
        <v>33.200000000000003</v>
      </c>
      <c r="BM219" s="452">
        <f>100*10/250</f>
        <v>4</v>
      </c>
      <c r="BO219" s="452">
        <f>100*(5+4)/250</f>
        <v>3.6</v>
      </c>
      <c r="BQ219" s="440">
        <v>37</v>
      </c>
      <c r="BV219" s="440">
        <v>1</v>
      </c>
      <c r="BW219" s="452">
        <v>65.06</v>
      </c>
      <c r="BX219" s="573">
        <f>5/83</f>
        <v>6.0240963855421686E-2</v>
      </c>
      <c r="BY219" s="854"/>
      <c r="BZ219" s="854"/>
      <c r="CA219" s="854"/>
      <c r="CB219" s="854"/>
      <c r="CC219" s="854"/>
      <c r="CD219" s="854"/>
      <c r="CE219" s="854"/>
      <c r="CF219" s="854"/>
      <c r="CH219" s="424" t="s">
        <v>2140</v>
      </c>
      <c r="CI219" s="638" t="s">
        <v>2113</v>
      </c>
      <c r="CK219" s="48" t="s">
        <v>2139</v>
      </c>
      <c r="CR219" s="845" t="str">
        <f t="shared" si="26"/>
        <v>2010_Rai</v>
      </c>
      <c r="CS219" s="648" t="str">
        <f t="shared" si="17"/>
        <v>Maharashtra: Asudgaon Village, Raigad</v>
      </c>
      <c r="CT219" s="35">
        <f t="shared" si="21"/>
        <v>2010</v>
      </c>
      <c r="CU219" s="23" t="str">
        <f t="shared" si="22"/>
        <v>rural</v>
      </c>
      <c r="CV219" s="23" t="str">
        <f t="shared" si="18"/>
        <v>II</v>
      </c>
      <c r="CW219" s="579" t="str">
        <f t="shared" si="23"/>
        <v/>
      </c>
      <c r="CX219" s="23" t="str">
        <f t="shared" si="24"/>
        <v/>
      </c>
      <c r="CY219" s="35">
        <f t="shared" si="19"/>
        <v>0</v>
      </c>
      <c r="CZ219" s="35">
        <f t="shared" si="20"/>
        <v>250</v>
      </c>
      <c r="DA219" s="648" t="str">
        <f t="shared" si="25"/>
        <v>Parikh D. &amp; Anjenaya S. (2013), ‘A cross sectional study of domestic violence in married women in Asudgaon village of Raigad district’, International Journal of Recent Trends in Science And Technology, ISSN 2277-2812 6(2):81-8.</v>
      </c>
    </row>
    <row r="220" spans="1:105" x14ac:dyDescent="0.2">
      <c r="B220" s="541" t="s">
        <v>2220</v>
      </c>
      <c r="C220" s="390" t="s">
        <v>70</v>
      </c>
      <c r="D220" s="36" t="s">
        <v>1125</v>
      </c>
      <c r="E220" s="48" t="s">
        <v>2221</v>
      </c>
      <c r="F220" s="48" t="s">
        <v>2222</v>
      </c>
      <c r="H220" s="478"/>
      <c r="I220" s="2" t="s">
        <v>510</v>
      </c>
      <c r="J220" s="551">
        <v>2010</v>
      </c>
      <c r="K220" s="827">
        <v>2013</v>
      </c>
      <c r="M220" s="586" t="s">
        <v>78</v>
      </c>
      <c r="O220" s="586" t="s">
        <v>2224</v>
      </c>
      <c r="P220" s="1">
        <v>16</v>
      </c>
      <c r="R220" s="3">
        <v>23.21</v>
      </c>
      <c r="U220" s="4">
        <v>1005</v>
      </c>
      <c r="V220" s="504">
        <v>1</v>
      </c>
      <c r="W220" s="630" t="s">
        <v>2223</v>
      </c>
      <c r="X220" s="39">
        <f>0*0.099 + 3.9*0.436 + 9.1*0.326 + 15*0.139</f>
        <v>6.7519999999999998</v>
      </c>
      <c r="Y220" s="454"/>
      <c r="AK220" s="452"/>
      <c r="AM220" s="452"/>
      <c r="AO220" s="452"/>
      <c r="AQ220" s="452"/>
      <c r="AS220" s="452"/>
      <c r="AU220" s="452"/>
      <c r="AW220" s="452"/>
      <c r="BC220" s="452"/>
      <c r="BE220" s="739"/>
      <c r="BF220" s="739"/>
      <c r="BI220" s="452"/>
      <c r="BJ220" s="739">
        <v>23.8</v>
      </c>
      <c r="BK220" s="739"/>
      <c r="BL220" s="739"/>
      <c r="BM220" s="452"/>
      <c r="BN220" s="739">
        <v>21.2</v>
      </c>
      <c r="BO220" s="452"/>
      <c r="BQ220" s="452">
        <v>43.2</v>
      </c>
      <c r="BU220" s="440">
        <v>9</v>
      </c>
      <c r="BW220" s="452"/>
      <c r="BX220" s="573"/>
      <c r="BY220" s="854"/>
      <c r="BZ220" s="854"/>
      <c r="CA220" s="854"/>
      <c r="CB220" s="854"/>
      <c r="CC220" s="854"/>
      <c r="CD220" s="854"/>
      <c r="CE220" s="854"/>
      <c r="CF220" s="854"/>
      <c r="CH220" s="424" t="s">
        <v>2226</v>
      </c>
      <c r="CI220" s="638" t="s">
        <v>2204</v>
      </c>
      <c r="CK220" s="48" t="s">
        <v>2225</v>
      </c>
      <c r="CR220" s="845" t="str">
        <f t="shared" si="26"/>
        <v>2010_Tri</v>
      </c>
      <c r="CS220" s="648" t="str">
        <f t="shared" si="17"/>
        <v>Tripura: Argatala</v>
      </c>
      <c r="CT220" s="35" t="str">
        <f t="shared" si="21"/>
        <v/>
      </c>
      <c r="CU220" s="23" t="str">
        <f t="shared" si="22"/>
        <v>both</v>
      </c>
      <c r="CV220" s="23" t="str">
        <f t="shared" si="18"/>
        <v>IV</v>
      </c>
      <c r="CW220" s="579" t="str">
        <f t="shared" si="23"/>
        <v/>
      </c>
      <c r="CX220" s="23" t="str">
        <f t="shared" si="24"/>
        <v/>
      </c>
      <c r="CY220" s="35" t="str">
        <f t="shared" si="19"/>
        <v>16-26+</v>
      </c>
      <c r="CZ220" s="35">
        <f t="shared" si="20"/>
        <v>1005</v>
      </c>
      <c r="DA220" s="648" t="str">
        <f t="shared" si="25"/>
        <v>Bhattacharjya H. &amp; Deb D. (2014), ‘Intimate partner violence against women during pregnancy in Tripura - a hospital based study’, International Journal of Research in Medical Sciences 2(1):84-90.</v>
      </c>
    </row>
    <row r="221" spans="1:105" x14ac:dyDescent="0.2">
      <c r="B221" s="541" t="s">
        <v>2355</v>
      </c>
      <c r="C221" s="390" t="s">
        <v>70</v>
      </c>
      <c r="D221" s="36" t="s">
        <v>1125</v>
      </c>
      <c r="E221" s="48" t="s">
        <v>1661</v>
      </c>
      <c r="F221" s="48" t="s">
        <v>2530</v>
      </c>
      <c r="H221" s="478"/>
      <c r="I221" s="749" t="s">
        <v>2356</v>
      </c>
      <c r="J221" s="551">
        <v>2010</v>
      </c>
      <c r="K221" s="827">
        <v>2012</v>
      </c>
      <c r="M221" s="586" t="s">
        <v>646</v>
      </c>
      <c r="O221" s="586" t="s">
        <v>2214</v>
      </c>
      <c r="P221" s="1">
        <v>18</v>
      </c>
      <c r="R221" s="3">
        <v>25</v>
      </c>
      <c r="U221" s="4">
        <v>100</v>
      </c>
      <c r="V221" s="504">
        <v>1</v>
      </c>
      <c r="W221" s="630" t="s">
        <v>2531</v>
      </c>
      <c r="X221" s="39"/>
      <c r="Y221" s="454"/>
      <c r="AA221" s="452">
        <v>24</v>
      </c>
      <c r="AK221" s="452"/>
      <c r="AM221" s="452"/>
      <c r="AO221" s="452"/>
      <c r="AQ221" s="452"/>
      <c r="AS221" s="452"/>
      <c r="AU221" s="452"/>
      <c r="AW221" s="452"/>
      <c r="BC221" s="452"/>
      <c r="BE221" s="739"/>
      <c r="BF221" s="739"/>
      <c r="BI221" s="452">
        <v>25</v>
      </c>
      <c r="BJ221" s="739"/>
      <c r="BK221" s="452">
        <v>13</v>
      </c>
      <c r="BL221" s="739"/>
      <c r="BM221" s="452">
        <v>2</v>
      </c>
      <c r="BN221" s="739"/>
      <c r="BO221" s="452"/>
      <c r="BQ221" s="452"/>
      <c r="BW221" s="452"/>
      <c r="BX221" s="573">
        <v>1.9599999999999999E-2</v>
      </c>
      <c r="BY221" s="854"/>
      <c r="BZ221" s="854"/>
      <c r="CA221" s="854"/>
      <c r="CB221" s="854"/>
      <c r="CC221" s="854"/>
      <c r="CD221" s="854"/>
      <c r="CE221" s="854"/>
      <c r="CF221" s="854"/>
      <c r="CH221" s="424" t="s">
        <v>2357</v>
      </c>
      <c r="CI221" s="638" t="s">
        <v>2358</v>
      </c>
      <c r="CK221" s="48" t="s">
        <v>2359</v>
      </c>
      <c r="CL221" s="750" t="s">
        <v>2529</v>
      </c>
      <c r="CR221" s="845" t="str">
        <f t="shared" si="26"/>
        <v>2010_Vado</v>
      </c>
      <c r="CS221" s="648" t="str">
        <f t="shared" si="17"/>
        <v>Gujarat: Vadodara: Dhiraj General Hospital</v>
      </c>
      <c r="CT221" s="35" t="str">
        <f t="shared" si="21"/>
        <v/>
      </c>
      <c r="CU221" s="23" t="str">
        <f t="shared" si="22"/>
        <v>both</v>
      </c>
      <c r="CV221" s="23" t="str">
        <f t="shared" si="18"/>
        <v>VIII</v>
      </c>
      <c r="CW221" s="579" t="str">
        <f t="shared" si="23"/>
        <v/>
      </c>
      <c r="CX221" s="23" t="str">
        <f t="shared" si="24"/>
        <v/>
      </c>
      <c r="CY221" s="35" t="str">
        <f t="shared" si="19"/>
        <v>18-50+</v>
      </c>
      <c r="CZ221" s="35">
        <f t="shared" si="20"/>
        <v>100</v>
      </c>
      <c r="DA221" s="648" t="str">
        <f t="shared" si="25"/>
        <v>Shah S.H., Rajani K., Kataria L., Trivedi A., Patel S. &amp; Mehta K. (2012), ‘Perception and prevalence of domestic violence in the study population’, Indian Psychiatry Journal 21(2):137-43.</v>
      </c>
    </row>
    <row r="222" spans="1:105" x14ac:dyDescent="0.2">
      <c r="B222" s="541" t="s">
        <v>2446</v>
      </c>
      <c r="C222" s="390" t="s">
        <v>70</v>
      </c>
      <c r="D222" s="36" t="s">
        <v>1125</v>
      </c>
      <c r="E222" s="48" t="s">
        <v>1752</v>
      </c>
      <c r="F222" s="48" t="s">
        <v>2448</v>
      </c>
      <c r="G222" s="1">
        <v>1</v>
      </c>
      <c r="H222" s="478">
        <v>2</v>
      </c>
      <c r="I222" s="2" t="s">
        <v>1834</v>
      </c>
      <c r="J222" s="551">
        <v>2011</v>
      </c>
      <c r="K222" s="827">
        <v>2013</v>
      </c>
      <c r="M222" s="586" t="s">
        <v>17</v>
      </c>
      <c r="O222" s="586" t="s">
        <v>21</v>
      </c>
      <c r="P222" s="1">
        <v>18</v>
      </c>
      <c r="Q222" s="1">
        <v>49</v>
      </c>
      <c r="R222" s="3">
        <f>19*0.112 + 25.5*0.415 + 35.5*0.37 + 45.5*0.103</f>
        <v>30.532</v>
      </c>
      <c r="S222" s="3">
        <v>18</v>
      </c>
      <c r="U222" s="4">
        <v>2088</v>
      </c>
      <c r="V222" s="504">
        <v>0</v>
      </c>
      <c r="W222" s="630" t="s">
        <v>2447</v>
      </c>
      <c r="X222" s="39">
        <f>0*0.308 + 5*0.424 + 12*0.268</f>
        <v>5.3360000000000003</v>
      </c>
      <c r="Y222" s="454"/>
      <c r="AK222" s="452"/>
      <c r="AM222" s="452"/>
      <c r="AO222" s="452"/>
      <c r="AQ222" s="452"/>
      <c r="AS222" s="452"/>
      <c r="AU222" s="452"/>
      <c r="AW222" s="452"/>
      <c r="BC222" s="452"/>
      <c r="BE222" s="739"/>
      <c r="BF222" s="739"/>
      <c r="BI222" s="452"/>
      <c r="BJ222" s="739"/>
      <c r="BK222" s="739"/>
      <c r="BL222" s="739"/>
      <c r="BM222" s="452"/>
      <c r="BN222" s="739"/>
      <c r="BO222" s="452"/>
      <c r="BQ222" s="452"/>
      <c r="BS222" s="452">
        <v>22.4</v>
      </c>
      <c r="BW222" s="452"/>
      <c r="BX222" s="573"/>
      <c r="BY222" s="854"/>
      <c r="BZ222" s="854"/>
      <c r="CA222" s="854"/>
      <c r="CB222" s="854"/>
      <c r="CC222" s="854"/>
      <c r="CD222" s="854"/>
      <c r="CE222" s="854"/>
      <c r="CF222" s="854"/>
      <c r="CH222" s="424"/>
      <c r="CI222" s="638"/>
      <c r="CM222" s="779"/>
      <c r="CR222" s="845" t="str">
        <f t="shared" si="26"/>
        <v>2011_Del</v>
      </c>
      <c r="CS222" s="648" t="str">
        <f t="shared" si="17"/>
        <v>Delhi: west Delhi: 12 slum clusters</v>
      </c>
      <c r="CT222" s="35" t="str">
        <f t="shared" si="21"/>
        <v/>
      </c>
      <c r="CU222" s="23" t="str">
        <f t="shared" si="22"/>
        <v>urban</v>
      </c>
      <c r="CV222" s="23" t="str">
        <f t="shared" si="18"/>
        <v>I</v>
      </c>
      <c r="CW222" s="579" t="str">
        <f t="shared" si="23"/>
        <v/>
      </c>
      <c r="CX222" s="23" t="str">
        <f t="shared" si="24"/>
        <v/>
      </c>
      <c r="CY222" s="35" t="str">
        <f t="shared" si="19"/>
        <v>18-49</v>
      </c>
      <c r="CZ222" s="35">
        <f t="shared" si="20"/>
        <v>2088</v>
      </c>
      <c r="DA222" s="648">
        <f t="shared" si="25"/>
        <v>0</v>
      </c>
    </row>
    <row r="223" spans="1:105" s="35" customFormat="1" ht="12" customHeight="1" x14ac:dyDescent="0.2">
      <c r="A223" s="651"/>
      <c r="B223" s="537" t="s">
        <v>2360</v>
      </c>
      <c r="C223" s="97" t="s">
        <v>70</v>
      </c>
      <c r="D223" s="479" t="s">
        <v>1125</v>
      </c>
      <c r="E223" s="48" t="s">
        <v>2129</v>
      </c>
      <c r="F223" s="647" t="s">
        <v>2136</v>
      </c>
      <c r="G223" s="479"/>
      <c r="H223" s="478">
        <v>6</v>
      </c>
      <c r="I223" s="481">
        <v>2011</v>
      </c>
      <c r="J223" s="551"/>
      <c r="K223" s="827">
        <v>2014</v>
      </c>
      <c r="L223" s="493"/>
      <c r="M223" s="479" t="s">
        <v>18</v>
      </c>
      <c r="N223" s="494"/>
      <c r="O223" s="479" t="s">
        <v>2137</v>
      </c>
      <c r="P223" s="98">
        <v>18</v>
      </c>
      <c r="Q223" s="98"/>
      <c r="R223" s="167">
        <f>19*0.255 + 25.5*0.44 + 35.5*0.175+45.5*0.13</f>
        <v>28.192499999999999</v>
      </c>
      <c r="S223" s="167"/>
      <c r="T223" s="121">
        <f>3*0.265 + 8*0.43 + 13*0.245 + 19*0.06</f>
        <v>8.56</v>
      </c>
      <c r="U223" s="393">
        <v>380</v>
      </c>
      <c r="V223" s="694">
        <v>0</v>
      </c>
      <c r="W223" s="717"/>
      <c r="X223" s="121">
        <f>0*0.145 + 3.9*0.315 + 9*0.29 + 15*0.165</f>
        <v>6.3134999999999994</v>
      </c>
      <c r="Y223" s="442"/>
      <c r="Z223" s="473"/>
      <c r="AA223" s="442"/>
      <c r="AC223" s="442">
        <v>36.5</v>
      </c>
      <c r="AD223" s="446"/>
      <c r="AE223" s="442">
        <v>10.5</v>
      </c>
      <c r="AF223" s="446"/>
      <c r="AG223" s="446"/>
      <c r="AH223" s="446"/>
      <c r="AI223" s="447"/>
      <c r="AJ223" s="447"/>
      <c r="AK223" s="447"/>
      <c r="AL223" s="447"/>
      <c r="AM223" s="442"/>
      <c r="AN223" s="453"/>
      <c r="AO223" s="442"/>
      <c r="AP223" s="442"/>
      <c r="AQ223" s="446"/>
      <c r="AR223" s="468"/>
      <c r="AS223" s="446"/>
      <c r="AT223" s="271"/>
      <c r="AU223" s="447"/>
      <c r="AV223" s="468"/>
      <c r="AW223" s="447"/>
      <c r="AX223" s="447"/>
      <c r="AY223" s="468"/>
      <c r="AZ223" s="468"/>
      <c r="BA223" s="271"/>
      <c r="BB223" s="271"/>
      <c r="BC223" s="447"/>
      <c r="BD223" s="468"/>
      <c r="BE223" s="453"/>
      <c r="BF223" s="453"/>
      <c r="BG223" s="468"/>
      <c r="BH223" s="468"/>
      <c r="BI223" s="38">
        <v>52</v>
      </c>
      <c r="BJ223" s="453"/>
      <c r="BK223" s="453"/>
      <c r="BL223" s="453"/>
      <c r="BM223" s="38"/>
      <c r="BO223" s="442">
        <v>1</v>
      </c>
      <c r="BP223" s="442"/>
      <c r="BR223" s="271"/>
      <c r="BS223" s="442"/>
      <c r="BT223" s="271"/>
      <c r="BU223" s="271"/>
      <c r="BV223" s="454">
        <v>1</v>
      </c>
      <c r="BW223" s="454">
        <v>79.5</v>
      </c>
      <c r="BX223" s="573"/>
      <c r="BY223" s="854"/>
      <c r="BZ223" s="854"/>
      <c r="CA223" s="854"/>
      <c r="CB223" s="854"/>
      <c r="CC223" s="854"/>
      <c r="CD223" s="854"/>
      <c r="CE223" s="854"/>
      <c r="CF223" s="854"/>
      <c r="CG223" s="98"/>
      <c r="CH223" s="419" t="s">
        <v>2134</v>
      </c>
      <c r="CI223" s="638" t="s">
        <v>2113</v>
      </c>
      <c r="CJ223" s="23"/>
      <c r="CK223" s="641" t="s">
        <v>2135</v>
      </c>
      <c r="CL223" s="572"/>
      <c r="CM223" s="648"/>
      <c r="CR223" s="845" t="str">
        <f t="shared" si="26"/>
        <v>2011_Pud</v>
      </c>
      <c r="CS223" s="648" t="str">
        <f t="shared" si="17"/>
        <v>Pondicherry: three villages</v>
      </c>
      <c r="CT223" s="35" t="str">
        <f t="shared" si="21"/>
        <v/>
      </c>
      <c r="CU223" s="23" t="str">
        <f t="shared" si="22"/>
        <v>rural</v>
      </c>
      <c r="CV223" s="23" t="str">
        <f t="shared" si="18"/>
        <v>II</v>
      </c>
      <c r="CW223" s="579" t="str">
        <f t="shared" si="23"/>
        <v/>
      </c>
      <c r="CX223" s="23" t="str">
        <f t="shared" si="24"/>
        <v/>
      </c>
      <c r="CY223" s="35" t="str">
        <f t="shared" si="19"/>
        <v>18-40+</v>
      </c>
      <c r="CZ223" s="35">
        <f t="shared" si="20"/>
        <v>380</v>
      </c>
      <c r="DA223" s="648" t="str">
        <f t="shared" si="25"/>
        <v>Rajini S., Kamesh C. &amp; Senthil S. (2014) ‘Prevalence of domestic violence and health seeking behavior among women in rural community of Puducherry – a cross sectional study. International Journal of Current Research and Review 6(16):20‑3.</v>
      </c>
    </row>
    <row r="224" spans="1:105" s="35" customFormat="1" ht="12" customHeight="1" x14ac:dyDescent="0.2">
      <c r="A224" s="651"/>
      <c r="B224" s="537" t="s">
        <v>2103</v>
      </c>
      <c r="C224" s="390" t="s">
        <v>70</v>
      </c>
      <c r="D224" s="36" t="s">
        <v>1125</v>
      </c>
      <c r="E224" s="647" t="s">
        <v>1734</v>
      </c>
      <c r="F224" s="647" t="s">
        <v>2106</v>
      </c>
      <c r="G224" s="237"/>
      <c r="H224" s="478">
        <v>6</v>
      </c>
      <c r="I224" s="37">
        <v>2011</v>
      </c>
      <c r="J224" s="551">
        <v>2011</v>
      </c>
      <c r="K224" s="551">
        <v>2012</v>
      </c>
      <c r="L224" s="493"/>
      <c r="M224" s="98" t="s">
        <v>18</v>
      </c>
      <c r="N224" s="494" t="s">
        <v>783</v>
      </c>
      <c r="O224" s="166"/>
      <c r="P224" s="98"/>
      <c r="Q224" s="98"/>
      <c r="R224" s="121"/>
      <c r="S224" s="121"/>
      <c r="T224" s="121"/>
      <c r="U224" s="393">
        <f>90+43+69+94</f>
        <v>296</v>
      </c>
      <c r="V224" s="694">
        <v>0</v>
      </c>
      <c r="W224" s="717"/>
      <c r="X224" s="121"/>
      <c r="Y224" s="442"/>
      <c r="Z224" s="473"/>
      <c r="AA224" s="442"/>
      <c r="AC224" s="446"/>
      <c r="AD224" s="446"/>
      <c r="AE224" s="446"/>
      <c r="AF224" s="446"/>
      <c r="AG224" s="446"/>
      <c r="AH224" s="446"/>
      <c r="AI224" s="447"/>
      <c r="AJ224" s="447"/>
      <c r="AK224" s="447"/>
      <c r="AL224" s="447"/>
      <c r="AM224" s="771"/>
      <c r="AO224" s="442"/>
      <c r="AP224" s="442"/>
      <c r="AQ224" s="446"/>
      <c r="AR224" s="446"/>
      <c r="AS224" s="446"/>
      <c r="AT224" s="271"/>
      <c r="AU224" s="447"/>
      <c r="AV224" s="447"/>
      <c r="AW224" s="447"/>
      <c r="AX224" s="447"/>
      <c r="AY224" s="447"/>
      <c r="AZ224" s="447"/>
      <c r="BA224" s="271"/>
      <c r="BB224" s="271"/>
      <c r="BC224" s="447"/>
      <c r="BD224" s="447"/>
      <c r="BE224" s="525"/>
      <c r="BF224" s="525"/>
      <c r="BG224" s="447"/>
      <c r="BH224" s="447"/>
      <c r="BI224" s="38"/>
      <c r="BJ224" s="525">
        <f>(29.7*90 + 72.5*43 + 58.1*69 + 51.9*94)/(90+43+69+94)</f>
        <v>49.587837837837839</v>
      </c>
      <c r="BK224" s="525"/>
      <c r="BL224" s="525"/>
      <c r="BM224" s="38"/>
      <c r="BN224" s="442"/>
      <c r="BO224" s="442"/>
      <c r="BR224" s="271"/>
      <c r="BS224" s="442"/>
      <c r="BT224" s="271"/>
      <c r="BU224" s="271">
        <v>12</v>
      </c>
      <c r="BV224" s="454">
        <v>0</v>
      </c>
      <c r="BW224" s="454"/>
      <c r="BX224" s="573"/>
      <c r="BY224" s="854"/>
      <c r="BZ224" s="854"/>
      <c r="CA224" s="854"/>
      <c r="CB224" s="854"/>
      <c r="CC224" s="854"/>
      <c r="CD224" s="854"/>
      <c r="CE224" s="854"/>
      <c r="CF224" s="854"/>
      <c r="CG224" s="98"/>
      <c r="CH224" s="419" t="s">
        <v>2104</v>
      </c>
      <c r="CI224" s="638" t="s">
        <v>2101</v>
      </c>
      <c r="CJ224" s="23"/>
      <c r="CK224" s="641" t="s">
        <v>2105</v>
      </c>
      <c r="CL224" s="572"/>
      <c r="CM224" s="648"/>
      <c r="CR224" s="845" t="str">
        <f t="shared" si="26"/>
        <v>2011_Raj</v>
      </c>
      <c r="CS224" s="648" t="str">
        <f t="shared" si="17"/>
        <v>Rajasthan: villages on outskirts of Jaipur</v>
      </c>
      <c r="CT224" s="35" t="str">
        <f t="shared" si="21"/>
        <v/>
      </c>
      <c r="CU224" s="23" t="str">
        <f t="shared" si="22"/>
        <v>rural</v>
      </c>
      <c r="CV224" s="23" t="str">
        <f t="shared" si="18"/>
        <v>II</v>
      </c>
      <c r="CW224" s="579" t="str">
        <f t="shared" si="23"/>
        <v/>
      </c>
      <c r="CX224" s="23" t="str">
        <f t="shared" si="24"/>
        <v>y</v>
      </c>
      <c r="CY224" s="35">
        <f t="shared" si="19"/>
        <v>0</v>
      </c>
      <c r="CZ224" s="35">
        <f t="shared" si="20"/>
        <v>296</v>
      </c>
      <c r="DA224" s="648" t="str">
        <f t="shared" si="25"/>
        <v>Jose S. (2012), ‘Women’s paid work and well-being in Rajasthan’, Economic &amp; Political Weekly xlvii(45):48-55.</v>
      </c>
    </row>
    <row r="225" spans="1:105" s="35" customFormat="1" ht="12" customHeight="1" x14ac:dyDescent="0.2">
      <c r="A225" s="651"/>
      <c r="B225" s="537" t="s">
        <v>1948</v>
      </c>
      <c r="C225" s="97" t="s">
        <v>70</v>
      </c>
      <c r="D225" s="237" t="s">
        <v>1125</v>
      </c>
      <c r="E225" s="48" t="s">
        <v>211</v>
      </c>
      <c r="F225" s="647" t="s">
        <v>1949</v>
      </c>
      <c r="G225" s="479">
        <v>0</v>
      </c>
      <c r="H225" s="478">
        <v>2</v>
      </c>
      <c r="I225" s="481">
        <v>2011</v>
      </c>
      <c r="J225" s="551"/>
      <c r="K225" s="551">
        <v>2015</v>
      </c>
      <c r="L225" s="677" t="s">
        <v>1950</v>
      </c>
      <c r="M225" s="479" t="s">
        <v>78</v>
      </c>
      <c r="N225" s="493" t="s">
        <v>1950</v>
      </c>
      <c r="O225" s="98"/>
      <c r="P225" s="98"/>
      <c r="Q225" s="98"/>
      <c r="R225" s="121">
        <v>24.8</v>
      </c>
      <c r="S225" s="121"/>
      <c r="T225" s="121"/>
      <c r="U225" s="393">
        <v>150</v>
      </c>
      <c r="V225" s="694">
        <v>1</v>
      </c>
      <c r="W225" s="717" t="s">
        <v>2063</v>
      </c>
      <c r="X225" s="121">
        <f>(6*89 + 15*61)/150</f>
        <v>9.66</v>
      </c>
      <c r="Y225" s="442"/>
      <c r="Z225" s="473"/>
      <c r="AA225" s="442">
        <v>24</v>
      </c>
      <c r="AB225" s="446"/>
      <c r="AC225" s="446"/>
      <c r="AD225" s="446"/>
      <c r="AE225" s="446"/>
      <c r="AF225" s="446"/>
      <c r="AG225" s="446"/>
      <c r="AH225" s="446"/>
      <c r="AI225" s="447"/>
      <c r="AJ225" s="447"/>
      <c r="AK225" s="447"/>
      <c r="AL225" s="447"/>
      <c r="AM225" s="442"/>
      <c r="AN225" s="442"/>
      <c r="AO225" s="442"/>
      <c r="AP225" s="442"/>
      <c r="AQ225" s="446"/>
      <c r="AR225" s="446"/>
      <c r="AS225" s="446"/>
      <c r="AT225" s="271"/>
      <c r="AU225" s="447"/>
      <c r="AV225" s="447"/>
      <c r="AW225" s="447"/>
      <c r="AX225" s="447"/>
      <c r="AY225" s="447"/>
      <c r="AZ225" s="447"/>
      <c r="BA225" s="271"/>
      <c r="BB225" s="271"/>
      <c r="BC225" s="447"/>
      <c r="BD225" s="447"/>
      <c r="BE225" s="442"/>
      <c r="BF225" s="442"/>
      <c r="BG225" s="447"/>
      <c r="BH225" s="447"/>
      <c r="BI225" s="442">
        <v>29.3</v>
      </c>
      <c r="BJ225" s="442"/>
      <c r="BK225" s="442"/>
      <c r="BL225" s="442"/>
      <c r="BM225" s="442"/>
      <c r="BN225" s="442"/>
      <c r="BO225" s="442"/>
      <c r="BP225" s="442"/>
      <c r="BQ225" s="271"/>
      <c r="BR225" s="271"/>
      <c r="BS225" s="271"/>
      <c r="BT225" s="271"/>
      <c r="BU225" s="271"/>
      <c r="BV225" s="454">
        <v>1</v>
      </c>
      <c r="BW225" s="454"/>
      <c r="BX225" s="573"/>
      <c r="BY225" s="854"/>
      <c r="BZ225" s="854"/>
      <c r="CA225" s="854"/>
      <c r="CB225" s="854"/>
      <c r="CC225" s="854"/>
      <c r="CD225" s="854"/>
      <c r="CE225" s="854"/>
      <c r="CF225" s="854"/>
      <c r="CG225" s="98"/>
      <c r="CH225" s="419" t="s">
        <v>1951</v>
      </c>
      <c r="CI225" s="406" t="s">
        <v>1933</v>
      </c>
      <c r="CJ225" s="23"/>
      <c r="CK225" s="680" t="s">
        <v>1952</v>
      </c>
      <c r="CL225" s="572"/>
      <c r="CM225" s="648"/>
      <c r="CR225" s="845" t="str">
        <f t="shared" si="26"/>
        <v>2011_TN</v>
      </c>
      <c r="CS225" s="648" t="str">
        <f t="shared" si="17"/>
        <v>Tamil Nadu: Vellore &amp; Chennai</v>
      </c>
      <c r="CT225" s="35" t="str">
        <f t="shared" si="21"/>
        <v/>
      </c>
      <c r="CU225" s="23" t="str">
        <f t="shared" si="22"/>
        <v>urban</v>
      </c>
      <c r="CV225" s="23" t="str">
        <f t="shared" si="18"/>
        <v>IV</v>
      </c>
      <c r="CW225" s="579" t="str">
        <f t="shared" si="23"/>
        <v>IndiaSAFE</v>
      </c>
      <c r="CX225" s="23" t="str">
        <f t="shared" si="24"/>
        <v/>
      </c>
      <c r="CY225" s="35">
        <f t="shared" si="19"/>
        <v>0</v>
      </c>
      <c r="CZ225" s="35">
        <f t="shared" si="20"/>
        <v>150</v>
      </c>
      <c r="DA225" s="648" t="str">
        <f t="shared" si="25"/>
        <v>Rao D., Kumar S., Mohanraj R., Frey S., Manhart L.E. &amp; Kaysen D.L. (2016), ‘The impact of domestic violence and depressive symptoms on preterm birth in South India’, Social Psychiatry and Psychiatric Epidemiology 51(2): 225-32.</v>
      </c>
    </row>
    <row r="226" spans="1:105" s="35" customFormat="1" ht="12" customHeight="1" x14ac:dyDescent="0.2">
      <c r="A226" s="651"/>
      <c r="B226" s="537" t="s">
        <v>2163</v>
      </c>
      <c r="C226" s="97" t="s">
        <v>70</v>
      </c>
      <c r="D226" s="237" t="s">
        <v>1125</v>
      </c>
      <c r="E226" s="48" t="s">
        <v>1734</v>
      </c>
      <c r="F226" s="647" t="s">
        <v>2164</v>
      </c>
      <c r="G226" s="479"/>
      <c r="H226" s="478"/>
      <c r="I226" s="481" t="s">
        <v>1834</v>
      </c>
      <c r="J226" s="551">
        <v>2011</v>
      </c>
      <c r="K226" s="551">
        <v>2014</v>
      </c>
      <c r="L226" s="677"/>
      <c r="M226" s="479" t="s">
        <v>17</v>
      </c>
      <c r="N226" s="493"/>
      <c r="O226" s="98" t="s">
        <v>603</v>
      </c>
      <c r="P226" s="98">
        <v>18</v>
      </c>
      <c r="Q226" s="98">
        <v>60</v>
      </c>
      <c r="R226" s="121">
        <v>29.7</v>
      </c>
      <c r="S226" s="121"/>
      <c r="T226" s="121"/>
      <c r="U226" s="393">
        <v>56</v>
      </c>
      <c r="V226" s="694">
        <v>0</v>
      </c>
      <c r="W226" s="717" t="s">
        <v>2168</v>
      </c>
      <c r="X226" s="121">
        <f>0*0.41 + 3*0.23 + 8*0.2 + 11.5*0.07 + 15*0.09</f>
        <v>4.4450000000000003</v>
      </c>
      <c r="Y226" s="442"/>
      <c r="Z226" s="473"/>
      <c r="AA226" s="442"/>
      <c r="AB226" s="446"/>
      <c r="AC226" s="446"/>
      <c r="AD226" s="446"/>
      <c r="AE226" s="446"/>
      <c r="AF226" s="446"/>
      <c r="AG226" s="446"/>
      <c r="AH226" s="446"/>
      <c r="AI226" s="447"/>
      <c r="AJ226" s="447"/>
      <c r="AK226" s="447"/>
      <c r="AL226" s="447"/>
      <c r="AM226" s="442"/>
      <c r="AN226" s="442"/>
      <c r="AO226" s="442"/>
      <c r="AP226" s="442"/>
      <c r="AQ226" s="446"/>
      <c r="AR226" s="446"/>
      <c r="AS226" s="446"/>
      <c r="AT226" s="271"/>
      <c r="AU226" s="447"/>
      <c r="AV226" s="447"/>
      <c r="AW226" s="447"/>
      <c r="AX226" s="447"/>
      <c r="AY226" s="447"/>
      <c r="AZ226" s="447"/>
      <c r="BA226" s="271"/>
      <c r="BB226" s="271"/>
      <c r="BC226" s="447"/>
      <c r="BD226" s="447"/>
      <c r="BE226" s="442"/>
      <c r="BF226" s="442"/>
      <c r="BG226" s="447"/>
      <c r="BH226" s="447"/>
      <c r="BI226" s="442">
        <v>21</v>
      </c>
      <c r="BJ226" s="442"/>
      <c r="BK226" s="442"/>
      <c r="BL226" s="442"/>
      <c r="BM226" s="442"/>
      <c r="BN226" s="442"/>
      <c r="BO226" s="442"/>
      <c r="BP226" s="442"/>
      <c r="BQ226" s="271"/>
      <c r="BR226" s="271"/>
      <c r="BS226" s="271"/>
      <c r="BT226" s="271"/>
      <c r="BU226" s="271"/>
      <c r="BV226" s="454">
        <v>0</v>
      </c>
      <c r="BW226" s="454"/>
      <c r="BX226" s="573"/>
      <c r="BY226" s="854"/>
      <c r="BZ226" s="854"/>
      <c r="CA226" s="854">
        <v>0.43</v>
      </c>
      <c r="CB226" s="854"/>
      <c r="CC226" s="854"/>
      <c r="CE226" s="854">
        <v>0.5</v>
      </c>
      <c r="CF226" s="854">
        <f>1 - 0.07</f>
        <v>0.92999999999999994</v>
      </c>
      <c r="CG226" s="98"/>
      <c r="CH226" s="419" t="s">
        <v>2165</v>
      </c>
      <c r="CI226" s="406" t="s">
        <v>2166</v>
      </c>
      <c r="CJ226" s="23"/>
      <c r="CK226" s="680" t="s">
        <v>2167</v>
      </c>
      <c r="CL226" s="572"/>
      <c r="CM226" s="648"/>
      <c r="CR226" s="845" t="str">
        <f t="shared" si="26"/>
        <v>2011_Udai</v>
      </c>
      <c r="CS226" s="648" t="str">
        <f t="shared" si="17"/>
        <v>Rajasthan: Udaipur district</v>
      </c>
      <c r="CT226" s="35" t="str">
        <f t="shared" si="21"/>
        <v/>
      </c>
      <c r="CU226" s="23" t="str">
        <f t="shared" si="22"/>
        <v>both</v>
      </c>
      <c r="CV226" s="23" t="str">
        <f t="shared" si="18"/>
        <v>I</v>
      </c>
      <c r="CW226" s="579" t="str">
        <f t="shared" si="23"/>
        <v/>
      </c>
      <c r="CX226" s="23" t="str">
        <f t="shared" si="24"/>
        <v/>
      </c>
      <c r="CY226" s="35" t="str">
        <f t="shared" si="19"/>
        <v>18-60</v>
      </c>
      <c r="CZ226" s="35">
        <f t="shared" si="20"/>
        <v>56</v>
      </c>
      <c r="DA226" s="648" t="str">
        <f t="shared" si="25"/>
        <v>Ragavan M.I., Iyengar K. &amp; Wurtz R.M. (2014), ‘Physical Intimate Partner Violence in Northern India’, Qualitative Health Research 24(4):457-73.</v>
      </c>
    </row>
    <row r="227" spans="1:105" s="35" customFormat="1" ht="12" customHeight="1" x14ac:dyDescent="0.2">
      <c r="A227" s="651"/>
      <c r="B227" s="537" t="s">
        <v>2243</v>
      </c>
      <c r="C227" s="97" t="s">
        <v>70</v>
      </c>
      <c r="D227" s="237" t="s">
        <v>1125</v>
      </c>
      <c r="E227" s="48" t="s">
        <v>212</v>
      </c>
      <c r="F227" s="647" t="s">
        <v>2244</v>
      </c>
      <c r="G227" s="479"/>
      <c r="H227" s="478">
        <v>2</v>
      </c>
      <c r="I227" s="481">
        <v>2011</v>
      </c>
      <c r="J227" s="551"/>
      <c r="K227" s="551">
        <v>2014</v>
      </c>
      <c r="L227" s="677"/>
      <c r="M227" s="479" t="s">
        <v>18</v>
      </c>
      <c r="N227" s="493"/>
      <c r="O227" s="98" t="s">
        <v>2245</v>
      </c>
      <c r="P227" s="98">
        <v>19</v>
      </c>
      <c r="Q227" s="98">
        <v>40</v>
      </c>
      <c r="R227" s="121">
        <v>31.7</v>
      </c>
      <c r="S227" s="121">
        <v>19.7</v>
      </c>
      <c r="U227" s="393">
        <v>50</v>
      </c>
      <c r="V227" s="694">
        <v>1</v>
      </c>
      <c r="W227" s="717" t="s">
        <v>2246</v>
      </c>
      <c r="X227" s="121">
        <f>0*0.12 + 3.9*0.04 + 9*0.2 + 12*0.14 + 15*(0.12+0.34+0.04)</f>
        <v>11.135999999999999</v>
      </c>
      <c r="Y227" s="442"/>
      <c r="Z227" s="473"/>
      <c r="AA227" s="442">
        <v>42</v>
      </c>
      <c r="AB227" s="446"/>
      <c r="AC227" s="446"/>
      <c r="AD227" s="446"/>
      <c r="AE227" s="446"/>
      <c r="AF227" s="446"/>
      <c r="AG227" s="446"/>
      <c r="AH227" s="446"/>
      <c r="AI227" s="447"/>
      <c r="AJ227" s="447"/>
      <c r="AK227" s="447"/>
      <c r="AL227" s="447"/>
      <c r="AM227" s="442"/>
      <c r="AN227" s="442"/>
      <c r="AO227" s="442"/>
      <c r="AP227" s="442"/>
      <c r="AQ227" s="446"/>
      <c r="AR227" s="446"/>
      <c r="AS227" s="446"/>
      <c r="AT227" s="271"/>
      <c r="AU227" s="447"/>
      <c r="AV227" s="447"/>
      <c r="AW227" s="447"/>
      <c r="AX227" s="447"/>
      <c r="AY227" s="447"/>
      <c r="AZ227" s="447"/>
      <c r="BA227" s="271"/>
      <c r="BB227" s="271"/>
      <c r="BC227" s="447"/>
      <c r="BD227" s="447"/>
      <c r="BE227" s="442"/>
      <c r="BF227" s="442"/>
      <c r="BG227" s="447"/>
      <c r="BH227" s="447"/>
      <c r="BI227" s="442">
        <v>34</v>
      </c>
      <c r="BJ227" s="442"/>
      <c r="BK227" s="442">
        <v>10</v>
      </c>
      <c r="BL227" s="442"/>
      <c r="BM227" s="442"/>
      <c r="BN227" s="442"/>
      <c r="BO227" s="442">
        <v>20</v>
      </c>
      <c r="BP227" s="442"/>
      <c r="BQ227" s="271"/>
      <c r="BR227" s="271"/>
      <c r="BS227" s="271">
        <v>42</v>
      </c>
      <c r="BT227" s="271"/>
      <c r="BU227" s="271"/>
      <c r="BV227" s="454"/>
      <c r="BW227" s="454"/>
      <c r="BX227" s="573"/>
      <c r="BY227" s="854"/>
      <c r="BZ227" s="854"/>
      <c r="CA227" s="854"/>
      <c r="CB227" s="854"/>
      <c r="CC227" s="854"/>
      <c r="CD227" s="854"/>
      <c r="CE227" s="854"/>
      <c r="CF227" s="854"/>
      <c r="CG227" s="98"/>
      <c r="CH227" s="419" t="s">
        <v>2247</v>
      </c>
      <c r="CI227" s="406" t="s">
        <v>2204</v>
      </c>
      <c r="CJ227" s="23"/>
      <c r="CK227" s="680" t="s">
        <v>2248</v>
      </c>
      <c r="CL227" s="572"/>
      <c r="CM227" s="648"/>
      <c r="CR227" s="845" t="str">
        <f t="shared" si="26"/>
        <v>2011_UP</v>
      </c>
      <c r="CS227" s="648" t="str">
        <f t="shared" si="17"/>
        <v>Uttar Pradesh: Varanasi</v>
      </c>
      <c r="CT227" s="35" t="str">
        <f t="shared" si="21"/>
        <v/>
      </c>
      <c r="CU227" s="23" t="str">
        <f t="shared" si="22"/>
        <v>urban</v>
      </c>
      <c r="CV227" s="23" t="str">
        <f t="shared" si="18"/>
        <v>II</v>
      </c>
      <c r="CW227" s="579" t="str">
        <f t="shared" si="23"/>
        <v/>
      </c>
      <c r="CX227" s="23" t="str">
        <f t="shared" si="24"/>
        <v/>
      </c>
      <c r="CY227" s="35" t="str">
        <f t="shared" si="19"/>
        <v>19-40</v>
      </c>
      <c r="CZ227" s="35">
        <f t="shared" si="20"/>
        <v>50</v>
      </c>
      <c r="DA227" s="648" t="str">
        <f t="shared" si="25"/>
        <v>Srivastava J., Sharma I. &amp; Khanna A. (2014), ‘A study to assess the domestic violence in mental illness &amp; normal married women’, International Journal of Medical Research &amp; Health Sciences 3(3): 560-5</v>
      </c>
    </row>
    <row r="228" spans="1:105" s="35" customFormat="1" ht="12" customHeight="1" x14ac:dyDescent="0.2">
      <c r="A228" s="651"/>
      <c r="B228" s="537" t="s">
        <v>1960</v>
      </c>
      <c r="C228" s="97" t="s">
        <v>70</v>
      </c>
      <c r="D228" s="237" t="s">
        <v>1125</v>
      </c>
      <c r="E228" s="48" t="s">
        <v>211</v>
      </c>
      <c r="F228" s="647" t="s">
        <v>253</v>
      </c>
      <c r="G228" s="479"/>
      <c r="H228" s="478">
        <v>2</v>
      </c>
      <c r="I228" s="481">
        <v>2011</v>
      </c>
      <c r="J228" s="551"/>
      <c r="K228" s="551">
        <v>2014</v>
      </c>
      <c r="L228" s="493"/>
      <c r="M228" s="479" t="s">
        <v>78</v>
      </c>
      <c r="N228" s="493" t="s">
        <v>794</v>
      </c>
      <c r="O228" s="481"/>
      <c r="P228" s="98"/>
      <c r="Q228" s="98"/>
      <c r="R228" s="121">
        <v>26.32</v>
      </c>
      <c r="S228" s="121"/>
      <c r="T228" s="121"/>
      <c r="U228" s="393">
        <v>132</v>
      </c>
      <c r="V228" s="694">
        <v>1</v>
      </c>
      <c r="W228" s="717" t="s">
        <v>2054</v>
      </c>
      <c r="X228" s="167"/>
      <c r="Y228" s="442"/>
      <c r="Z228" s="473"/>
      <c r="AA228" s="442"/>
      <c r="AB228" s="446"/>
      <c r="AC228" s="446"/>
      <c r="AD228" s="446"/>
      <c r="AE228" s="446"/>
      <c r="AF228" s="446"/>
      <c r="AG228" s="446"/>
      <c r="AH228" s="446"/>
      <c r="AI228" s="447"/>
      <c r="AJ228" s="447"/>
      <c r="AK228" s="447"/>
      <c r="AL228" s="447"/>
      <c r="AM228" s="442"/>
      <c r="AN228" s="442"/>
      <c r="AO228" s="442"/>
      <c r="AP228" s="442"/>
      <c r="AQ228" s="446"/>
      <c r="AR228" s="446"/>
      <c r="AS228" s="446"/>
      <c r="AT228" s="271"/>
      <c r="AU228" s="447"/>
      <c r="AV228" s="447"/>
      <c r="AW228" s="447"/>
      <c r="AX228" s="447"/>
      <c r="AY228" s="447"/>
      <c r="AZ228" s="447"/>
      <c r="BA228" s="271"/>
      <c r="BB228" s="271"/>
      <c r="BC228" s="447"/>
      <c r="BD228" s="447"/>
      <c r="BE228" s="453"/>
      <c r="BF228" s="453"/>
      <c r="BG228" s="447"/>
      <c r="BH228" s="447"/>
      <c r="BJ228" s="453">
        <v>7.3</v>
      </c>
      <c r="BK228" s="453"/>
      <c r="BL228" s="453"/>
      <c r="BM228" s="442"/>
      <c r="BN228" s="442"/>
      <c r="BO228" s="442"/>
      <c r="BP228" s="442"/>
      <c r="BQ228" s="271"/>
      <c r="BR228" s="271"/>
      <c r="BS228" s="271"/>
      <c r="BT228" s="271"/>
      <c r="BU228" s="271">
        <v>9</v>
      </c>
      <c r="BV228" s="454">
        <v>1</v>
      </c>
      <c r="BW228" s="454"/>
      <c r="BX228" s="573"/>
      <c r="BY228" s="854"/>
      <c r="BZ228" s="854"/>
      <c r="CA228" s="854"/>
      <c r="CB228" s="854"/>
      <c r="CC228" s="854"/>
      <c r="CD228" s="854"/>
      <c r="CE228" s="854"/>
      <c r="CF228" s="854"/>
      <c r="CG228" s="98"/>
      <c r="CH228" s="419" t="s">
        <v>1962</v>
      </c>
      <c r="CI228" s="406" t="s">
        <v>1963</v>
      </c>
      <c r="CJ228" s="23"/>
      <c r="CK228" s="680" t="s">
        <v>1964</v>
      </c>
      <c r="CL228" s="572"/>
      <c r="CM228" s="648"/>
      <c r="CR228" s="845" t="str">
        <f t="shared" si="26"/>
        <v>2011_Vel</v>
      </c>
      <c r="CS228" s="648" t="str">
        <f t="shared" ref="CS228:CS259" si="27">E228 &amp; ": " &amp; F228</f>
        <v>Tamil Nadu: Vellore</v>
      </c>
      <c r="CT228" s="35" t="str">
        <f t="shared" si="21"/>
        <v/>
      </c>
      <c r="CU228" s="23" t="str">
        <f t="shared" si="22"/>
        <v>urban</v>
      </c>
      <c r="CV228" s="23" t="str">
        <f t="shared" ref="CV228:CV259" si="28">M228</f>
        <v>IV</v>
      </c>
      <c r="CW228" s="579" t="str">
        <f t="shared" si="23"/>
        <v/>
      </c>
      <c r="CX228" s="23" t="str">
        <f t="shared" si="24"/>
        <v/>
      </c>
      <c r="CY228" s="35">
        <f t="shared" ref="CY228:CY259" si="29">O228</f>
        <v>0</v>
      </c>
      <c r="CZ228" s="35">
        <f t="shared" ref="CZ228:CZ259" si="30">U228</f>
        <v>132</v>
      </c>
      <c r="DA228" s="648" t="str">
        <f t="shared" si="25"/>
        <v>Nongrum R., Thomas E., Lionel J. &amp; Jacob K.S. (2014), ‘Domestic violence as a risk factor for maternal depression and neonatal outcomes: A hospital-based cohort study’, Indian Journal of Psychological Medicine 36(2):179-81.</v>
      </c>
    </row>
    <row r="229" spans="1:105" s="35" customFormat="1" ht="12" customHeight="1" thickBot="1" x14ac:dyDescent="0.25">
      <c r="A229" s="651"/>
      <c r="B229" s="537" t="s">
        <v>2179</v>
      </c>
      <c r="C229" s="97" t="s">
        <v>70</v>
      </c>
      <c r="D229" s="237" t="s">
        <v>1125</v>
      </c>
      <c r="E229" s="48" t="s">
        <v>1581</v>
      </c>
      <c r="F229" s="647" t="s">
        <v>2181</v>
      </c>
      <c r="G229" s="479">
        <v>1</v>
      </c>
      <c r="H229" s="478">
        <v>2</v>
      </c>
      <c r="I229" s="481" t="s">
        <v>1834</v>
      </c>
      <c r="J229" s="551">
        <v>2011</v>
      </c>
      <c r="K229" s="551">
        <v>2013</v>
      </c>
      <c r="L229" s="493"/>
      <c r="M229" s="479" t="s">
        <v>18</v>
      </c>
      <c r="N229" s="493"/>
      <c r="O229" s="481" t="s">
        <v>19</v>
      </c>
      <c r="P229" s="98">
        <v>15</v>
      </c>
      <c r="Q229" s="98">
        <v>49</v>
      </c>
      <c r="R229" s="121">
        <v>28</v>
      </c>
      <c r="S229" s="121"/>
      <c r="T229" s="121">
        <f>(2*(52+59) + 7.5*(35+49) + 15*(18+48))/260</f>
        <v>7.0846153846153843</v>
      </c>
      <c r="U229" s="393">
        <v>260</v>
      </c>
      <c r="V229" s="694">
        <v>0</v>
      </c>
      <c r="W229" s="717" t="s">
        <v>2645</v>
      </c>
      <c r="X229" s="121">
        <f>0*0.5192 + 6*0.4578 + 15*0.023</f>
        <v>3.0918000000000001</v>
      </c>
      <c r="Y229" s="38">
        <f>100*82/260</f>
        <v>31.53846153846154</v>
      </c>
      <c r="Z229" s="473"/>
      <c r="AA229" s="442"/>
      <c r="AB229" s="446"/>
      <c r="AC229" s="38">
        <f>100*78/260</f>
        <v>30</v>
      </c>
      <c r="AD229" s="446"/>
      <c r="AE229" s="38"/>
      <c r="AF229" s="446"/>
      <c r="AG229" s="446"/>
      <c r="AH229" s="446"/>
      <c r="AI229" s="447"/>
      <c r="AJ229" s="447"/>
      <c r="AK229" s="447"/>
      <c r="AL229" s="447"/>
      <c r="AM229" s="38">
        <f>0.5*100*67/260</f>
        <v>12.884615384615385</v>
      </c>
      <c r="AN229" s="442"/>
      <c r="AO229" s="442"/>
      <c r="AP229" s="442"/>
      <c r="AQ229" s="38">
        <f>100*30/260</f>
        <v>11.538461538461538</v>
      </c>
      <c r="AR229" s="446"/>
      <c r="AS229" s="38">
        <f>100*23/260*(( 7.5 + 1.7  )/( 7.5 + 0.3 + 1.7 ))</f>
        <v>8.566801619433198</v>
      </c>
      <c r="AT229" s="271"/>
      <c r="AU229" s="38">
        <f>100*54/260</f>
        <v>20.76923076923077</v>
      </c>
      <c r="AV229" s="447"/>
      <c r="AW229" s="38">
        <f>100*23/260*(( 0.3 + 1.7  )/( 7.5 + 0.3 + 1.7 ))</f>
        <v>1.8623481781376519</v>
      </c>
      <c r="AX229" s="447"/>
      <c r="AY229" s="447"/>
      <c r="AZ229" s="447"/>
      <c r="BA229" s="271"/>
      <c r="BB229" s="271"/>
      <c r="BC229" s="38">
        <f>0.5*100*67/260</f>
        <v>12.884615384615385</v>
      </c>
      <c r="BD229" s="447"/>
      <c r="BE229" s="453"/>
      <c r="BF229" s="453"/>
      <c r="BG229" s="447"/>
      <c r="BH229" s="447"/>
      <c r="BI229" s="38">
        <f>100*75/260</f>
        <v>28.846153846153847</v>
      </c>
      <c r="BJ229" s="453"/>
      <c r="BK229" s="453"/>
      <c r="BL229" s="453"/>
      <c r="BM229" s="38">
        <f>100*35/260</f>
        <v>13.461538461538462</v>
      </c>
      <c r="BN229" s="442"/>
      <c r="BO229" s="38">
        <f>100*31/260</f>
        <v>11.923076923076923</v>
      </c>
      <c r="BP229" s="442"/>
      <c r="BQ229" s="271"/>
      <c r="BR229" s="271"/>
      <c r="BS229" s="271"/>
      <c r="BT229" s="271"/>
      <c r="BU229" s="271"/>
      <c r="BV229" s="454">
        <v>0</v>
      </c>
      <c r="BW229" s="454"/>
      <c r="BX229" s="573">
        <v>6.6699999999999995E-2</v>
      </c>
      <c r="BY229" s="854"/>
      <c r="BZ229" s="854"/>
      <c r="CA229" s="854"/>
      <c r="CB229" s="854"/>
      <c r="CC229" s="854"/>
      <c r="CD229" s="854"/>
      <c r="CE229" s="854"/>
      <c r="CF229" s="854"/>
      <c r="CG229" s="98"/>
      <c r="CH229" s="419" t="s">
        <v>2180</v>
      </c>
      <c r="CI229" s="406" t="s">
        <v>2177</v>
      </c>
      <c r="CJ229" s="23"/>
      <c r="CK229" s="680" t="s">
        <v>2182</v>
      </c>
      <c r="CL229" s="572"/>
      <c r="CM229" s="648"/>
      <c r="CR229" s="845" t="str">
        <f t="shared" si="26"/>
        <v>2011_WB</v>
      </c>
      <c r="CS229" s="648" t="str">
        <f t="shared" si="27"/>
        <v>West Bengal: Alamgunje, Burdwan district</v>
      </c>
      <c r="CT229" s="35">
        <f t="shared" si="21"/>
        <v>2011</v>
      </c>
      <c r="CU229" s="23" t="str">
        <f t="shared" si="22"/>
        <v>urban</v>
      </c>
      <c r="CV229" s="23" t="str">
        <f t="shared" si="28"/>
        <v>II</v>
      </c>
      <c r="CW229" s="579" t="str">
        <f t="shared" si="23"/>
        <v/>
      </c>
      <c r="CX229" s="23" t="str">
        <f t="shared" si="24"/>
        <v/>
      </c>
      <c r="CY229" s="35" t="str">
        <f t="shared" si="29"/>
        <v>15-49</v>
      </c>
      <c r="CZ229" s="35">
        <f t="shared" si="30"/>
        <v>260</v>
      </c>
      <c r="DA229" s="648" t="str">
        <f t="shared" si="25"/>
        <v>Bhattacharya A., Basu M., Das P., Sarkar A.P., Das P.K. &amp; Roy B. (2013), ‘Domestic violence: a hidden and deeply rooted health issue in India’, South East Asia Journal of Public Health 3(1):17-23.</v>
      </c>
    </row>
    <row r="230" spans="1:105" s="35" customFormat="1" ht="12" customHeight="1" x14ac:dyDescent="0.2">
      <c r="A230" s="651"/>
      <c r="B230" s="595" t="s">
        <v>2169</v>
      </c>
      <c r="C230" s="596" t="s">
        <v>70</v>
      </c>
      <c r="D230" s="597" t="s">
        <v>1125</v>
      </c>
      <c r="E230" s="733" t="s">
        <v>14</v>
      </c>
      <c r="F230" s="703" t="s">
        <v>2689</v>
      </c>
      <c r="G230" s="599"/>
      <c r="H230" s="620"/>
      <c r="I230" s="615">
        <v>2011</v>
      </c>
      <c r="J230" s="825"/>
      <c r="K230" s="825">
        <v>2014</v>
      </c>
      <c r="L230" s="601" t="s">
        <v>1574</v>
      </c>
      <c r="M230" s="599" t="s">
        <v>17</v>
      </c>
      <c r="N230" s="601"/>
      <c r="O230" s="615" t="s">
        <v>21</v>
      </c>
      <c r="P230" s="602">
        <v>18</v>
      </c>
      <c r="Q230" s="602">
        <v>49</v>
      </c>
      <c r="R230" s="629">
        <v>30</v>
      </c>
      <c r="S230" s="629"/>
      <c r="T230" s="629"/>
      <c r="U230" s="604">
        <v>3158</v>
      </c>
      <c r="V230" s="796">
        <v>0</v>
      </c>
      <c r="W230" s="718" t="s">
        <v>2170</v>
      </c>
      <c r="X230" s="121">
        <f>0*0.26 + 3*0.26 + 9*0.45 + 15*0.09</f>
        <v>6.18</v>
      </c>
      <c r="Y230" s="442"/>
      <c r="Z230" s="473"/>
      <c r="AA230" s="442">
        <v>35</v>
      </c>
      <c r="AB230" s="446">
        <v>18</v>
      </c>
      <c r="AC230" s="446"/>
      <c r="AD230" s="446"/>
      <c r="AE230" s="446"/>
      <c r="AF230" s="446"/>
      <c r="AG230" s="446"/>
      <c r="AH230" s="446"/>
      <c r="AI230" s="447"/>
      <c r="AJ230" s="447"/>
      <c r="AK230" s="447"/>
      <c r="AL230" s="447"/>
      <c r="AM230" s="442"/>
      <c r="AN230" s="442"/>
      <c r="AO230" s="442"/>
      <c r="AP230" s="442"/>
      <c r="AQ230" s="446"/>
      <c r="AR230" s="446"/>
      <c r="AS230" s="446"/>
      <c r="AT230" s="271"/>
      <c r="AU230" s="447"/>
      <c r="AV230" s="447"/>
      <c r="AW230" s="447"/>
      <c r="AX230" s="447"/>
      <c r="AY230" s="447"/>
      <c r="AZ230" s="447"/>
      <c r="BA230" s="271"/>
      <c r="BB230" s="271"/>
      <c r="BC230" s="447"/>
      <c r="BD230" s="447"/>
      <c r="BE230" s="442"/>
      <c r="BF230" s="442"/>
      <c r="BG230" s="447"/>
      <c r="BH230" s="447"/>
      <c r="BI230" s="35">
        <v>38</v>
      </c>
      <c r="BJ230" s="442">
        <v>21</v>
      </c>
      <c r="BK230" s="442">
        <v>16</v>
      </c>
      <c r="BL230" s="442">
        <v>11</v>
      </c>
      <c r="BM230" s="442">
        <v>17</v>
      </c>
      <c r="BN230" s="442">
        <v>7</v>
      </c>
      <c r="BO230" s="442"/>
      <c r="BP230" s="442"/>
      <c r="BQ230" s="271"/>
      <c r="BR230" s="271"/>
      <c r="BS230" s="271"/>
      <c r="BT230" s="271"/>
      <c r="BU230" s="271"/>
      <c r="BV230" s="454"/>
      <c r="BW230" s="454"/>
      <c r="BX230" s="573"/>
      <c r="BY230" s="854"/>
      <c r="BZ230" s="854"/>
      <c r="CA230" s="854"/>
      <c r="CB230" s="854">
        <v>0.57499999999999996</v>
      </c>
      <c r="CC230" s="854"/>
      <c r="CD230" s="854"/>
      <c r="CE230" s="854">
        <v>0.64900000000000002</v>
      </c>
      <c r="CF230" s="854"/>
      <c r="CG230" s="98"/>
      <c r="CH230" s="419" t="s">
        <v>2171</v>
      </c>
      <c r="CI230" s="406" t="s">
        <v>2166</v>
      </c>
      <c r="CJ230" s="23"/>
      <c r="CK230" s="641" t="s">
        <v>2172</v>
      </c>
      <c r="CL230" s="572"/>
      <c r="CM230" s="648"/>
      <c r="CR230" s="845" t="str">
        <f t="shared" si="26"/>
        <v>2011_ICRW</v>
      </c>
      <c r="CS230" s="648" t="str">
        <f t="shared" si="27"/>
        <v>national: UP, Raj, Pun, Haryana, Odisha, MadhyaP, Mah</v>
      </c>
      <c r="CT230" s="35" t="str">
        <f t="shared" si="21"/>
        <v/>
      </c>
      <c r="CU230" s="23" t="str">
        <f t="shared" si="22"/>
        <v>both</v>
      </c>
      <c r="CV230" s="23" t="str">
        <f t="shared" si="28"/>
        <v>I</v>
      </c>
      <c r="CW230" s="579" t="str">
        <f t="shared" si="23"/>
        <v>ICRW</v>
      </c>
      <c r="CX230" s="23" t="str">
        <f t="shared" si="24"/>
        <v/>
      </c>
      <c r="CY230" s="35" t="str">
        <f t="shared" si="29"/>
        <v>18-49</v>
      </c>
      <c r="CZ230" s="35">
        <f t="shared" si="30"/>
        <v>3158</v>
      </c>
      <c r="DA230" s="648" t="str">
        <f t="shared" si="25"/>
        <v>Priya N., Abhishek G., Ravi V., Aarushi K., Nizamuddin K., Dhanashri B., Shobhana B. &amp; Sanjay K. (2014), ‘Study on Masculinity, Intimate Partner Violence and Son Preference in India’. New Delhi, International Center for Research on Women.</v>
      </c>
    </row>
    <row r="231" spans="1:105" s="35" customFormat="1" ht="12" customHeight="1" thickBot="1" x14ac:dyDescent="0.25">
      <c r="A231" s="651"/>
      <c r="B231" s="540" t="s">
        <v>2169</v>
      </c>
      <c r="C231" s="521" t="s">
        <v>70</v>
      </c>
      <c r="D231" s="522" t="s">
        <v>1125</v>
      </c>
      <c r="E231" s="734" t="s">
        <v>14</v>
      </c>
      <c r="F231" s="704" t="s">
        <v>2689</v>
      </c>
      <c r="G231" s="524"/>
      <c r="H231" s="626"/>
      <c r="I231" s="617">
        <v>2011</v>
      </c>
      <c r="J231" s="826"/>
      <c r="K231" s="826">
        <v>2014</v>
      </c>
      <c r="L231" s="523" t="s">
        <v>1574</v>
      </c>
      <c r="M231" s="524" t="s">
        <v>289</v>
      </c>
      <c r="N231" s="523"/>
      <c r="O231" s="617" t="s">
        <v>21</v>
      </c>
      <c r="P231" s="608">
        <v>18</v>
      </c>
      <c r="Q231" s="608">
        <v>49</v>
      </c>
      <c r="R231" s="322">
        <v>30</v>
      </c>
      <c r="S231" s="322"/>
      <c r="T231" s="322"/>
      <c r="U231" s="610">
        <v>9205</v>
      </c>
      <c r="V231" s="797">
        <v>0</v>
      </c>
      <c r="W231" s="719" t="s">
        <v>2170</v>
      </c>
      <c r="X231" s="121">
        <f>0*0.26 + 3*0.26 + 9*0.45 + 15*0.09</f>
        <v>6.18</v>
      </c>
      <c r="Y231" s="442"/>
      <c r="Z231" s="473"/>
      <c r="AA231" s="442">
        <v>41</v>
      </c>
      <c r="AB231" s="446">
        <v>21</v>
      </c>
      <c r="AC231" s="446"/>
      <c r="AD231" s="446"/>
      <c r="AE231" s="446"/>
      <c r="AF231" s="446"/>
      <c r="AG231" s="446"/>
      <c r="AH231" s="446"/>
      <c r="AI231" s="447"/>
      <c r="AJ231" s="447"/>
      <c r="AK231" s="447"/>
      <c r="AL231" s="447"/>
      <c r="AM231" s="442"/>
      <c r="AN231" s="442"/>
      <c r="AO231" s="442"/>
      <c r="AP231" s="442"/>
      <c r="AQ231" s="446"/>
      <c r="AR231" s="446"/>
      <c r="AS231" s="446"/>
      <c r="AT231" s="271"/>
      <c r="AU231" s="447"/>
      <c r="AV231" s="447"/>
      <c r="AW231" s="447"/>
      <c r="AX231" s="447"/>
      <c r="AY231" s="447"/>
      <c r="AZ231" s="447"/>
      <c r="BA231" s="271"/>
      <c r="BB231" s="271"/>
      <c r="BC231" s="447"/>
      <c r="BD231" s="447"/>
      <c r="BE231" s="442"/>
      <c r="BF231" s="442"/>
      <c r="BG231" s="447"/>
      <c r="BH231" s="447"/>
      <c r="BI231" s="35">
        <v>33</v>
      </c>
      <c r="BJ231" s="442">
        <v>16</v>
      </c>
      <c r="BK231" s="442">
        <v>12</v>
      </c>
      <c r="BL231" s="442">
        <v>5</v>
      </c>
      <c r="BM231" s="442">
        <v>31</v>
      </c>
      <c r="BN231" s="442">
        <v>16</v>
      </c>
      <c r="BO231" s="442"/>
      <c r="BP231" s="442"/>
      <c r="BQ231" s="271"/>
      <c r="BR231" s="271"/>
      <c r="BS231" s="271"/>
      <c r="BT231" s="271"/>
      <c r="BU231" s="271">
        <v>12</v>
      </c>
      <c r="BV231" s="454">
        <v>0</v>
      </c>
      <c r="BW231" s="454"/>
      <c r="BX231" s="573"/>
      <c r="BY231" s="854"/>
      <c r="BZ231" s="854"/>
      <c r="CA231" s="854"/>
      <c r="CB231" s="854">
        <v>0.48799999999999999</v>
      </c>
      <c r="CC231" s="854"/>
      <c r="CD231" s="854"/>
      <c r="CE231" s="854">
        <v>0.65100000000000002</v>
      </c>
      <c r="CF231" s="854"/>
      <c r="CG231" s="98"/>
      <c r="CH231" s="419" t="s">
        <v>2171</v>
      </c>
      <c r="CI231" s="406" t="s">
        <v>2166</v>
      </c>
      <c r="CJ231" s="23"/>
      <c r="CK231" s="641" t="s">
        <v>2172</v>
      </c>
      <c r="CL231" s="572"/>
      <c r="CM231" s="648"/>
      <c r="CR231" s="845" t="str">
        <f t="shared" si="26"/>
        <v>2011_ICRW</v>
      </c>
      <c r="CS231" s="648" t="str">
        <f t="shared" si="27"/>
        <v>national: UP, Raj, Pun, Haryana, Odisha, MadhyaP, Mah</v>
      </c>
      <c r="CT231" s="35" t="str">
        <f t="shared" si="21"/>
        <v/>
      </c>
      <c r="CU231" s="23" t="str">
        <f t="shared" si="22"/>
        <v>both</v>
      </c>
      <c r="CV231" s="23" t="str">
        <f t="shared" si="28"/>
        <v>VII</v>
      </c>
      <c r="CW231" s="579" t="str">
        <f t="shared" si="23"/>
        <v>ICRW</v>
      </c>
      <c r="CX231" s="23" t="str">
        <f t="shared" si="24"/>
        <v/>
      </c>
      <c r="CY231" s="35" t="str">
        <f t="shared" si="29"/>
        <v>18-49</v>
      </c>
      <c r="CZ231" s="35">
        <f t="shared" si="30"/>
        <v>9205</v>
      </c>
      <c r="DA231" s="648" t="str">
        <f t="shared" si="25"/>
        <v>Priya N., Abhishek G., Ravi V., Aarushi K., Nizamuddin K., Dhanashri B., Shobhana B. &amp; Sanjay K. (2014), ‘Study on Masculinity, Intimate Partner Violence and Son Preference in India’. New Delhi, International Center for Research on Women.</v>
      </c>
    </row>
    <row r="232" spans="1:105" s="35" customFormat="1" ht="12" customHeight="1" thickBot="1" x14ac:dyDescent="0.25">
      <c r="A232" s="651"/>
      <c r="B232" s="537" t="s">
        <v>2456</v>
      </c>
      <c r="C232" s="521" t="s">
        <v>70</v>
      </c>
      <c r="D232" s="522" t="s">
        <v>1125</v>
      </c>
      <c r="E232" s="648" t="s">
        <v>2472</v>
      </c>
      <c r="F232" s="647" t="s">
        <v>2457</v>
      </c>
      <c r="G232" s="479">
        <v>1</v>
      </c>
      <c r="H232" s="478">
        <v>2</v>
      </c>
      <c r="I232" s="481">
        <v>2012</v>
      </c>
      <c r="J232" s="551"/>
      <c r="K232" s="551">
        <v>2015</v>
      </c>
      <c r="L232" s="493"/>
      <c r="M232" s="479" t="s">
        <v>18</v>
      </c>
      <c r="N232" s="493"/>
      <c r="O232" s="481"/>
      <c r="P232" s="98"/>
      <c r="Q232" s="98"/>
      <c r="R232" s="121">
        <v>40</v>
      </c>
      <c r="S232" s="121"/>
      <c r="T232" s="121"/>
      <c r="U232" s="393">
        <v>120</v>
      </c>
      <c r="V232" s="694">
        <v>0</v>
      </c>
      <c r="W232" s="717"/>
      <c r="X232" s="121"/>
      <c r="Y232" s="442"/>
      <c r="Z232" s="473"/>
      <c r="AA232" s="35">
        <v>66</v>
      </c>
      <c r="AB232" s="446"/>
      <c r="AC232" s="446"/>
      <c r="AD232" s="446"/>
      <c r="AE232" s="446"/>
      <c r="AF232" s="446"/>
      <c r="AG232" s="446"/>
      <c r="AH232" s="446"/>
      <c r="AI232" s="447"/>
      <c r="AJ232" s="447"/>
      <c r="AK232" s="447"/>
      <c r="AL232" s="447"/>
      <c r="AM232" s="442"/>
      <c r="AN232" s="442"/>
      <c r="AO232" s="442"/>
      <c r="AP232" s="442"/>
      <c r="AQ232" s="446"/>
      <c r="AR232" s="446"/>
      <c r="AS232" s="446"/>
      <c r="AT232" s="271"/>
      <c r="AU232" s="447"/>
      <c r="AV232" s="447"/>
      <c r="AW232" s="447"/>
      <c r="AX232" s="447"/>
      <c r="AY232" s="447"/>
      <c r="AZ232" s="447"/>
      <c r="BA232" s="271"/>
      <c r="BB232" s="271"/>
      <c r="BC232" s="447"/>
      <c r="BD232" s="447"/>
      <c r="BE232" s="442"/>
      <c r="BF232" s="442"/>
      <c r="BG232" s="447"/>
      <c r="BH232" s="447"/>
      <c r="BI232" s="35">
        <v>60</v>
      </c>
      <c r="BJ232" s="442"/>
      <c r="BK232" s="442"/>
      <c r="BL232" s="442"/>
      <c r="BM232" s="442">
        <v>20</v>
      </c>
      <c r="BN232" s="442"/>
      <c r="BO232" s="442"/>
      <c r="BP232" s="442"/>
      <c r="BQ232" s="271"/>
      <c r="BR232" s="271"/>
      <c r="BS232" s="271">
        <v>90</v>
      </c>
      <c r="BT232" s="271"/>
      <c r="BU232" s="271"/>
      <c r="BV232" s="454">
        <v>1</v>
      </c>
      <c r="BW232" s="454">
        <v>86.6</v>
      </c>
      <c r="BX232" s="573"/>
      <c r="BY232" s="854"/>
      <c r="BZ232" s="854"/>
      <c r="CA232" s="854"/>
      <c r="CB232" s="854"/>
      <c r="CC232" s="854"/>
      <c r="CD232" s="854"/>
      <c r="CE232" s="854"/>
      <c r="CF232" s="854"/>
      <c r="CG232" s="98"/>
      <c r="CH232" s="419" t="s">
        <v>2458</v>
      </c>
      <c r="CI232" s="406" t="s">
        <v>2454</v>
      </c>
      <c r="CJ232" s="23"/>
      <c r="CK232" s="641" t="s">
        <v>2459</v>
      </c>
      <c r="CL232" s="572"/>
      <c r="CM232" s="648"/>
      <c r="CR232" s="845" t="str">
        <f t="shared" si="26"/>
        <v>2012_Har</v>
      </c>
      <c r="CS232" s="648" t="str">
        <f t="shared" si="27"/>
        <v>Harayana: Hisar district</v>
      </c>
      <c r="CT232" s="35" t="str">
        <f t="shared" si="21"/>
        <v/>
      </c>
      <c r="CU232" s="23" t="str">
        <f t="shared" si="22"/>
        <v>urban</v>
      </c>
      <c r="CV232" s="23" t="str">
        <f t="shared" si="28"/>
        <v>II</v>
      </c>
      <c r="CW232" s="579" t="str">
        <f t="shared" si="23"/>
        <v/>
      </c>
      <c r="CX232" s="23" t="str">
        <f t="shared" si="24"/>
        <v/>
      </c>
      <c r="CY232" s="35">
        <f t="shared" si="29"/>
        <v>0</v>
      </c>
      <c r="CZ232" s="35">
        <f t="shared" si="30"/>
        <v>120</v>
      </c>
      <c r="DA232" s="648" t="str">
        <f t="shared" si="25"/>
        <v>Goel R., Dahiya M. &amp; Kothari D. (2015), ‘Extent and causes of domestic violence on slum women in Hisar’, International Journal of Social Science and Humanities Research 3(3):245-8.</v>
      </c>
    </row>
    <row r="233" spans="1:105" s="35" customFormat="1" ht="12" customHeight="1" x14ac:dyDescent="0.2">
      <c r="A233" s="651"/>
      <c r="B233" s="595" t="s">
        <v>1730</v>
      </c>
      <c r="C233" s="618" t="s">
        <v>70</v>
      </c>
      <c r="D233" s="619" t="s">
        <v>1125</v>
      </c>
      <c r="E233" s="706" t="s">
        <v>14</v>
      </c>
      <c r="F233" s="706" t="s">
        <v>2072</v>
      </c>
      <c r="G233" s="642">
        <v>0</v>
      </c>
      <c r="H233" s="598">
        <v>2</v>
      </c>
      <c r="I233" s="816" t="s">
        <v>1519</v>
      </c>
      <c r="J233" s="823">
        <v>2012</v>
      </c>
      <c r="K233" s="823"/>
      <c r="L233" s="621" t="s">
        <v>628</v>
      </c>
      <c r="M233" s="622" t="s">
        <v>18</v>
      </c>
      <c r="N233" s="621" t="s">
        <v>628</v>
      </c>
      <c r="O233" s="622" t="s">
        <v>763</v>
      </c>
      <c r="P233" s="622">
        <v>18</v>
      </c>
      <c r="Q233" s="622">
        <v>65</v>
      </c>
      <c r="R233" s="643">
        <v>36</v>
      </c>
      <c r="S233" s="643"/>
      <c r="T233" s="643"/>
      <c r="U233" s="623">
        <v>1125</v>
      </c>
      <c r="V233" s="798">
        <v>0</v>
      </c>
      <c r="W233" s="725" t="s">
        <v>2058</v>
      </c>
      <c r="X233" s="810">
        <v>8</v>
      </c>
      <c r="Y233" s="447"/>
      <c r="Z233" s="473"/>
      <c r="AA233" s="447"/>
      <c r="AB233" s="447"/>
      <c r="AC233" s="475"/>
      <c r="AD233" s="447"/>
      <c r="AE233" s="447"/>
      <c r="AF233" s="447"/>
      <c r="AG233" s="447"/>
      <c r="AH233" s="447"/>
      <c r="AI233" s="447"/>
      <c r="AJ233" s="447"/>
      <c r="AK233" s="447"/>
      <c r="AL233" s="447"/>
      <c r="AM233" s="637"/>
      <c r="AN233" s="447"/>
      <c r="AO233" s="447"/>
      <c r="AP233" s="447"/>
      <c r="AQ233" s="447"/>
      <c r="AR233" s="447"/>
      <c r="AS233" s="447"/>
      <c r="AT233" s="447"/>
      <c r="AU233" s="447"/>
      <c r="AV233" s="447"/>
      <c r="AW233" s="447"/>
      <c r="AX233" s="447"/>
      <c r="AY233" s="468"/>
      <c r="AZ233" s="468"/>
      <c r="BA233" s="447"/>
      <c r="BB233" s="447"/>
      <c r="BG233" s="447"/>
      <c r="BH233" s="447"/>
      <c r="BI233" s="447">
        <v>10.199999999999999</v>
      </c>
      <c r="BJ233" s="468">
        <v>3.2</v>
      </c>
      <c r="BM233" s="271"/>
      <c r="BN233" s="271"/>
      <c r="BO233" s="447"/>
      <c r="BP233" s="447"/>
      <c r="BQ233" s="447"/>
      <c r="BR233" s="271"/>
      <c r="BS233" s="271"/>
      <c r="BT233" s="271"/>
      <c r="BU233" s="271">
        <v>1</v>
      </c>
      <c r="BV233" s="454">
        <v>0</v>
      </c>
      <c r="BW233" s="454"/>
      <c r="BX233" s="573"/>
      <c r="BY233" s="854"/>
      <c r="BZ233" s="854"/>
      <c r="CA233" s="854"/>
      <c r="CB233" s="854"/>
      <c r="CC233" s="854"/>
      <c r="CD233" s="854"/>
      <c r="CE233" s="854"/>
      <c r="CF233" s="854"/>
      <c r="CG233" s="36"/>
      <c r="CH233" s="417"/>
      <c r="CI233" s="406"/>
      <c r="CJ233" s="23"/>
      <c r="CK233" s="417"/>
      <c r="CL233" s="417" t="s">
        <v>2008</v>
      </c>
      <c r="CM233" s="431"/>
      <c r="CN233" s="128"/>
      <c r="CO233" s="128"/>
      <c r="CP233" s="128"/>
      <c r="CQ233" s="128"/>
      <c r="CR233" s="845" t="str">
        <f t="shared" si="26"/>
        <v>2012_WAS</v>
      </c>
      <c r="CS233" s="648" t="str">
        <f t="shared" si="27"/>
        <v>national: Vijayawada, Patna, Delhi, Ahmadabad, Kochi, Mumbai, Bhubaneswar, Ludhiana, Chennai, Lucknow, Kolkota</v>
      </c>
      <c r="CT233" s="35" t="str">
        <f t="shared" si="21"/>
        <v/>
      </c>
      <c r="CU233" s="23" t="str">
        <f t="shared" si="22"/>
        <v>urban</v>
      </c>
      <c r="CV233" s="23" t="str">
        <f t="shared" si="28"/>
        <v>II</v>
      </c>
      <c r="CW233" s="579" t="str">
        <f t="shared" si="23"/>
        <v>WAS</v>
      </c>
      <c r="CX233" s="23" t="str">
        <f t="shared" si="24"/>
        <v/>
      </c>
      <c r="CY233" s="35" t="str">
        <f t="shared" si="29"/>
        <v>18-65</v>
      </c>
      <c r="CZ233" s="35">
        <f t="shared" si="30"/>
        <v>1125</v>
      </c>
      <c r="DA233" s="648">
        <f t="shared" si="25"/>
        <v>0</v>
      </c>
    </row>
    <row r="234" spans="1:105" s="35" customFormat="1" ht="12" customHeight="1" thickBot="1" x14ac:dyDescent="0.25">
      <c r="A234" s="651"/>
      <c r="B234" s="540" t="s">
        <v>1730</v>
      </c>
      <c r="C234" s="624" t="s">
        <v>70</v>
      </c>
      <c r="D234" s="625" t="s">
        <v>1125</v>
      </c>
      <c r="E234" s="707" t="s">
        <v>14</v>
      </c>
      <c r="F234" s="707" t="s">
        <v>2072</v>
      </c>
      <c r="G234" s="644">
        <v>0</v>
      </c>
      <c r="H234" s="319">
        <v>2</v>
      </c>
      <c r="I234" s="817" t="s">
        <v>1519</v>
      </c>
      <c r="J234" s="824">
        <v>2012</v>
      </c>
      <c r="K234" s="824"/>
      <c r="L234" s="627" t="s">
        <v>628</v>
      </c>
      <c r="M234" s="607" t="s">
        <v>289</v>
      </c>
      <c r="N234" s="627" t="s">
        <v>628</v>
      </c>
      <c r="O234" s="524" t="s">
        <v>642</v>
      </c>
      <c r="P234" s="608">
        <v>18</v>
      </c>
      <c r="Q234" s="607">
        <v>85</v>
      </c>
      <c r="R234" s="645">
        <v>37</v>
      </c>
      <c r="S234" s="645"/>
      <c r="T234" s="645"/>
      <c r="U234" s="628">
        <v>1313</v>
      </c>
      <c r="V234" s="802">
        <v>0</v>
      </c>
      <c r="W234" s="726" t="s">
        <v>2062</v>
      </c>
      <c r="X234" s="810">
        <v>7</v>
      </c>
      <c r="Y234" s="447"/>
      <c r="Z234" s="473"/>
      <c r="AA234" s="447"/>
      <c r="AB234" s="447"/>
      <c r="AC234" s="475"/>
      <c r="AD234" s="447"/>
      <c r="AE234" s="447"/>
      <c r="AF234" s="447"/>
      <c r="AG234" s="447"/>
      <c r="AH234" s="447"/>
      <c r="AI234" s="447"/>
      <c r="AJ234" s="447"/>
      <c r="AK234" s="447"/>
      <c r="AL234" s="447"/>
      <c r="AM234" s="447"/>
      <c r="AN234" s="447"/>
      <c r="AO234" s="447"/>
      <c r="AP234" s="447"/>
      <c r="AQ234" s="447"/>
      <c r="AR234" s="447"/>
      <c r="AS234" s="447"/>
      <c r="AT234" s="447"/>
      <c r="AU234" s="447"/>
      <c r="AV234" s="447"/>
      <c r="AW234" s="447"/>
      <c r="AX234" s="447"/>
      <c r="AY234" s="468"/>
      <c r="AZ234" s="468"/>
      <c r="BA234" s="447"/>
      <c r="BB234" s="447"/>
      <c r="BG234" s="447"/>
      <c r="BH234" s="447"/>
      <c r="BI234" s="447">
        <v>13.9</v>
      </c>
      <c r="BJ234" s="468">
        <v>2.6</v>
      </c>
      <c r="BM234" s="271"/>
      <c r="BN234" s="271"/>
      <c r="BO234" s="447"/>
      <c r="BP234" s="447"/>
      <c r="BQ234" s="447"/>
      <c r="BR234" s="271"/>
      <c r="BS234" s="271"/>
      <c r="BT234" s="271"/>
      <c r="BU234" s="271">
        <v>1</v>
      </c>
      <c r="BV234" s="454">
        <v>0</v>
      </c>
      <c r="BW234" s="454"/>
      <c r="BX234" s="573"/>
      <c r="BY234" s="854"/>
      <c r="BZ234" s="854"/>
      <c r="CA234" s="854"/>
      <c r="CB234" s="854"/>
      <c r="CC234" s="854"/>
      <c r="CD234" s="854"/>
      <c r="CE234" s="854"/>
      <c r="CF234" s="854"/>
      <c r="CG234" s="36"/>
      <c r="CH234" s="417"/>
      <c r="CI234" s="406"/>
      <c r="CJ234" s="23"/>
      <c r="CK234" s="417"/>
      <c r="CL234" s="417" t="s">
        <v>2007</v>
      </c>
      <c r="CM234" s="431"/>
      <c r="CN234" s="128"/>
      <c r="CO234" s="128"/>
      <c r="CP234" s="128"/>
      <c r="CQ234" s="128"/>
      <c r="CR234" s="845" t="str">
        <f t="shared" si="26"/>
        <v>2012_WAS</v>
      </c>
      <c r="CS234" s="648" t="str">
        <f t="shared" si="27"/>
        <v>national: Vijayawada, Patna, Delhi, Ahmadabad, Kochi, Mumbai, Bhubaneswar, Ludhiana, Chennai, Lucknow, Kolkota</v>
      </c>
      <c r="CT234" s="35" t="str">
        <f t="shared" si="21"/>
        <v/>
      </c>
      <c r="CU234" s="23" t="str">
        <f t="shared" si="22"/>
        <v>urban</v>
      </c>
      <c r="CV234" s="23" t="str">
        <f t="shared" si="28"/>
        <v>VII</v>
      </c>
      <c r="CW234" s="579" t="str">
        <f t="shared" si="23"/>
        <v>WAS</v>
      </c>
      <c r="CX234" s="23" t="str">
        <f t="shared" si="24"/>
        <v/>
      </c>
      <c r="CY234" s="35" t="str">
        <f t="shared" si="29"/>
        <v>18-85</v>
      </c>
      <c r="CZ234" s="35">
        <f t="shared" si="30"/>
        <v>1313</v>
      </c>
      <c r="DA234" s="648">
        <f t="shared" si="25"/>
        <v>0</v>
      </c>
    </row>
    <row r="235" spans="1:105" s="35" customFormat="1" ht="12" customHeight="1" x14ac:dyDescent="0.2">
      <c r="A235" s="651"/>
      <c r="B235" s="537" t="s">
        <v>2363</v>
      </c>
      <c r="C235" s="390" t="s">
        <v>70</v>
      </c>
      <c r="D235" s="36" t="s">
        <v>1125</v>
      </c>
      <c r="E235" s="665" t="s">
        <v>1644</v>
      </c>
      <c r="F235" s="665" t="s">
        <v>1997</v>
      </c>
      <c r="G235" s="480">
        <v>1</v>
      </c>
      <c r="H235" s="478">
        <v>2</v>
      </c>
      <c r="I235" s="166" t="s">
        <v>1519</v>
      </c>
      <c r="J235" s="571">
        <v>2012</v>
      </c>
      <c r="K235" s="571">
        <v>2015</v>
      </c>
      <c r="L235" s="494"/>
      <c r="M235" s="247" t="s">
        <v>18</v>
      </c>
      <c r="N235" s="494" t="s">
        <v>783</v>
      </c>
      <c r="O235" s="479" t="s">
        <v>1872</v>
      </c>
      <c r="P235" s="98">
        <v>18</v>
      </c>
      <c r="Q235" s="247">
        <v>39</v>
      </c>
      <c r="R235" s="291">
        <f>(0.5*(18+25)*545 + 0.5*(26+39)*592)/(545+592)</f>
        <v>27.227352682497802</v>
      </c>
      <c r="S235" s="291"/>
      <c r="T235" s="291">
        <f>(2.5*456 + 10*681)/1137</f>
        <v>6.9920844327176779</v>
      </c>
      <c r="U235" s="395">
        <v>1137</v>
      </c>
      <c r="V235" s="794">
        <v>0</v>
      </c>
      <c r="W235" s="720" t="s">
        <v>2055</v>
      </c>
      <c r="X235" s="291">
        <f>(0*178 + 9*959)/(178+959)</f>
        <v>7.5910290237467022</v>
      </c>
      <c r="Y235" s="447">
        <v>11.3</v>
      </c>
      <c r="Z235" s="473"/>
      <c r="AA235" s="447">
        <v>12.4</v>
      </c>
      <c r="AB235" s="447"/>
      <c r="AC235" s="636">
        <v>8.8000000000000007</v>
      </c>
      <c r="AD235" s="447"/>
      <c r="AE235" s="447">
        <v>6.4</v>
      </c>
      <c r="AF235" s="447"/>
      <c r="AG235" s="447"/>
      <c r="AH235" s="447"/>
      <c r="AI235" s="447">
        <v>0.7</v>
      </c>
      <c r="AJ235" s="447"/>
      <c r="AK235" s="447"/>
      <c r="AL235" s="447"/>
      <c r="AM235" s="447">
        <v>16.7</v>
      </c>
      <c r="AN235" s="447"/>
      <c r="AO235" s="447">
        <v>8</v>
      </c>
      <c r="AP235" s="447"/>
      <c r="AQ235" s="447">
        <v>6.1</v>
      </c>
      <c r="AR235" s="447"/>
      <c r="AS235" s="447">
        <v>5.7</v>
      </c>
      <c r="AT235" s="447"/>
      <c r="AU235" s="447">
        <v>5.5</v>
      </c>
      <c r="AV235" s="447"/>
      <c r="AW235" s="447">
        <v>1.5</v>
      </c>
      <c r="AX235" s="447"/>
      <c r="AY235" s="447"/>
      <c r="AZ235" s="447"/>
      <c r="BA235" s="447"/>
      <c r="BB235" s="447"/>
      <c r="BC235" s="447"/>
      <c r="BD235" s="447"/>
      <c r="BE235" s="447"/>
      <c r="BF235" s="447"/>
      <c r="BG235" s="447"/>
      <c r="BH235" s="447"/>
      <c r="BI235" s="447">
        <v>16.8</v>
      </c>
      <c r="BJ235" s="447"/>
      <c r="BK235" s="447"/>
      <c r="BL235" s="447"/>
      <c r="BM235" s="454">
        <v>4.7</v>
      </c>
      <c r="BN235" s="271"/>
      <c r="BO235" s="447">
        <v>1.9</v>
      </c>
      <c r="BP235" s="447"/>
      <c r="BQ235" s="447"/>
      <c r="BR235" s="271"/>
      <c r="BS235" s="454">
        <v>21.2</v>
      </c>
      <c r="BT235" s="271"/>
      <c r="BU235" s="271"/>
      <c r="BV235" s="454">
        <v>0</v>
      </c>
      <c r="BW235" s="454"/>
      <c r="BX235" s="573"/>
      <c r="BY235" s="854"/>
      <c r="BZ235" s="854"/>
      <c r="CA235" s="854"/>
      <c r="CB235" s="854"/>
      <c r="CC235" s="854"/>
      <c r="CD235" s="854"/>
      <c r="CE235" s="854"/>
      <c r="CF235" s="854"/>
      <c r="CG235" s="36"/>
      <c r="CH235" s="419" t="s">
        <v>1874</v>
      </c>
      <c r="CI235" s="406" t="s">
        <v>1868</v>
      </c>
      <c r="CJ235" s="23"/>
      <c r="CK235" s="417" t="s">
        <v>1873</v>
      </c>
      <c r="CL235" s="417"/>
      <c r="CM235" s="433" t="s">
        <v>2046</v>
      </c>
      <c r="CN235" s="128"/>
      <c r="CO235" s="128"/>
      <c r="CP235" s="128"/>
      <c r="CQ235" s="128"/>
      <c r="CR235" s="845" t="str">
        <f t="shared" si="26"/>
        <v>2012_Mum1</v>
      </c>
      <c r="CS235" s="648" t="str">
        <f t="shared" si="27"/>
        <v>Mumbai: urban slums</v>
      </c>
      <c r="CT235" s="35">
        <f t="shared" si="21"/>
        <v>2012</v>
      </c>
      <c r="CU235" s="23" t="str">
        <f t="shared" si="22"/>
        <v>urban</v>
      </c>
      <c r="CV235" s="23" t="str">
        <f t="shared" si="28"/>
        <v>II</v>
      </c>
      <c r="CW235" s="579" t="str">
        <f t="shared" si="23"/>
        <v/>
      </c>
      <c r="CX235" s="23" t="str">
        <f t="shared" si="24"/>
        <v>y</v>
      </c>
      <c r="CY235" s="35" t="str">
        <f t="shared" si="29"/>
        <v>18-39</v>
      </c>
      <c r="CZ235" s="35">
        <f t="shared" si="30"/>
        <v>1137</v>
      </c>
      <c r="DA235" s="648" t="str">
        <f t="shared" si="25"/>
        <v xml:space="preserve">Begum S., Donta B., Nair S. &amp; Prakasam C.P. (2015), ‘Socio-demographic factors associated with domestic violence in urban slums, Mumbai, Maharashtra, India’, Indian Journal of Medical Research 141(6):783-8. </v>
      </c>
    </row>
    <row r="236" spans="1:105" s="35" customFormat="1" ht="12" customHeight="1" x14ac:dyDescent="0.2">
      <c r="A236" s="651"/>
      <c r="B236" s="537" t="s">
        <v>2361</v>
      </c>
      <c r="C236" s="390" t="s">
        <v>70</v>
      </c>
      <c r="D236" s="36" t="s">
        <v>1125</v>
      </c>
      <c r="E236" s="665" t="s">
        <v>1644</v>
      </c>
      <c r="F236" s="665" t="s">
        <v>1997</v>
      </c>
      <c r="G236" s="480">
        <v>1</v>
      </c>
      <c r="H236" s="478">
        <v>2</v>
      </c>
      <c r="I236" s="481">
        <v>2012</v>
      </c>
      <c r="J236" s="571"/>
      <c r="K236" s="571">
        <v>2015</v>
      </c>
      <c r="L236" s="494"/>
      <c r="M236" s="247" t="s">
        <v>18</v>
      </c>
      <c r="N236" s="494"/>
      <c r="O236" s="479" t="s">
        <v>1536</v>
      </c>
      <c r="P236" s="98">
        <v>15</v>
      </c>
      <c r="Q236" s="247">
        <v>35</v>
      </c>
      <c r="R236" s="291"/>
      <c r="S236" s="291"/>
      <c r="T236" s="291"/>
      <c r="U236" s="395">
        <v>1061</v>
      </c>
      <c r="V236" s="794">
        <v>1</v>
      </c>
      <c r="W236" s="720" t="s">
        <v>2362</v>
      </c>
      <c r="X236" s="121"/>
      <c r="Y236" s="447"/>
      <c r="Z236" s="473"/>
      <c r="AA236" s="447"/>
      <c r="AB236" s="447"/>
      <c r="AC236" s="636"/>
      <c r="AD236" s="447"/>
      <c r="AE236" s="447"/>
      <c r="AF236" s="447"/>
      <c r="AG236" s="447"/>
      <c r="AH236" s="447"/>
      <c r="AI236" s="447"/>
      <c r="AJ236" s="447"/>
      <c r="AK236" s="447"/>
      <c r="AL236" s="447"/>
      <c r="AM236" s="447"/>
      <c r="AN236" s="447"/>
      <c r="AO236" s="447"/>
      <c r="AP236" s="447"/>
      <c r="AQ236" s="447"/>
      <c r="AR236" s="447"/>
      <c r="AS236" s="447"/>
      <c r="AT236" s="447"/>
      <c r="AU236" s="447"/>
      <c r="AV236" s="447"/>
      <c r="AW236" s="447"/>
      <c r="AX236" s="447"/>
      <c r="AY236" s="447"/>
      <c r="AZ236" s="447"/>
      <c r="BA236" s="447"/>
      <c r="BB236" s="447"/>
      <c r="BC236" s="447"/>
      <c r="BD236" s="447"/>
      <c r="BE236" s="447"/>
      <c r="BF236" s="447"/>
      <c r="BG236" s="447"/>
      <c r="BH236" s="447"/>
      <c r="BI236" s="447"/>
      <c r="BJ236" s="447"/>
      <c r="BK236" s="447"/>
      <c r="BL236" s="447"/>
      <c r="BM236" s="454">
        <v>34</v>
      </c>
      <c r="BN236" s="454">
        <v>28.4</v>
      </c>
      <c r="BO236" s="447"/>
      <c r="BP236" s="447"/>
      <c r="BQ236" s="447"/>
      <c r="BR236" s="271"/>
      <c r="BS236" s="454"/>
      <c r="BT236" s="271"/>
      <c r="BU236" s="271"/>
      <c r="BV236" s="454">
        <v>1</v>
      </c>
      <c r="BW236" s="454"/>
      <c r="BX236" s="573"/>
      <c r="BY236" s="854"/>
      <c r="BZ236" s="854"/>
      <c r="CA236" s="854"/>
      <c r="CB236" s="854"/>
      <c r="CC236" s="854"/>
      <c r="CD236" s="854"/>
      <c r="CE236" s="854"/>
      <c r="CF236" s="854"/>
      <c r="CG236" s="36"/>
      <c r="CH236" s="419" t="s">
        <v>2365</v>
      </c>
      <c r="CI236" s="406" t="s">
        <v>2358</v>
      </c>
      <c r="CJ236" s="23"/>
      <c r="CK236" s="417" t="s">
        <v>2364</v>
      </c>
      <c r="CL236" s="417"/>
      <c r="CM236" s="433" t="s">
        <v>2366</v>
      </c>
      <c r="CN236" s="128"/>
      <c r="CO236" s="128"/>
      <c r="CP236" s="128"/>
      <c r="CQ236" s="128"/>
      <c r="CR236" s="845" t="str">
        <f t="shared" si="26"/>
        <v>2012_Mum2</v>
      </c>
      <c r="CS236" s="648" t="str">
        <f t="shared" si="27"/>
        <v>Mumbai: urban slums</v>
      </c>
      <c r="CT236" s="35" t="str">
        <f t="shared" si="21"/>
        <v/>
      </c>
      <c r="CU236" s="23" t="str">
        <f t="shared" si="22"/>
        <v>urban</v>
      </c>
      <c r="CV236" s="23" t="str">
        <f t="shared" si="28"/>
        <v>II</v>
      </c>
      <c r="CW236" s="579" t="str">
        <f t="shared" si="23"/>
        <v/>
      </c>
      <c r="CX236" s="23" t="str">
        <f t="shared" si="24"/>
        <v/>
      </c>
      <c r="CY236" s="35" t="str">
        <f t="shared" si="29"/>
        <v>15-35</v>
      </c>
      <c r="CZ236" s="35">
        <f t="shared" si="30"/>
        <v>1061</v>
      </c>
      <c r="DA236" s="648" t="str">
        <f t="shared" si="25"/>
        <v xml:space="preserve">Silverman J.G., Balaiah D., Decker M.R., Boyce S.C., Ritter J., Naik D.D., Nair S., Saggurti N. &amp; Raj A. (2016), ‘Family violence and maltreatment of women during the perinatal period: associations with infant morbidity in Indian slum communities’, Maternal and Child Health Journal 20(1):149-57. </v>
      </c>
    </row>
    <row r="237" spans="1:105" s="35" customFormat="1" ht="12" customHeight="1" x14ac:dyDescent="0.2">
      <c r="A237" s="651"/>
      <c r="B237" s="558" t="s">
        <v>2479</v>
      </c>
      <c r="C237" s="97" t="s">
        <v>70</v>
      </c>
      <c r="D237" s="237" t="s">
        <v>1125</v>
      </c>
      <c r="E237" s="647" t="s">
        <v>1652</v>
      </c>
      <c r="F237" s="647" t="s">
        <v>1607</v>
      </c>
      <c r="G237" s="480">
        <v>0</v>
      </c>
      <c r="H237" s="478">
        <v>2</v>
      </c>
      <c r="I237" s="481">
        <v>2012</v>
      </c>
      <c r="J237" s="571"/>
      <c r="K237" s="571">
        <v>2015</v>
      </c>
      <c r="L237" s="494"/>
      <c r="M237" s="247" t="s">
        <v>18</v>
      </c>
      <c r="N237" s="494"/>
      <c r="O237" s="479" t="s">
        <v>21</v>
      </c>
      <c r="P237" s="98">
        <v>18</v>
      </c>
      <c r="Q237" s="247">
        <v>49</v>
      </c>
      <c r="R237" s="291">
        <v>32</v>
      </c>
      <c r="S237" s="291"/>
      <c r="T237" s="291"/>
      <c r="U237" s="395">
        <f>136+26</f>
        <v>162</v>
      </c>
      <c r="V237" s="794">
        <v>0</v>
      </c>
      <c r="W237" s="720" t="s">
        <v>2482</v>
      </c>
      <c r="X237" s="121">
        <f>3.9*0.068 + 8*0.358 + 11.5*0.432 + 15*0.142</f>
        <v>10.2272</v>
      </c>
      <c r="Y237" s="447"/>
      <c r="Z237" s="473"/>
      <c r="AA237" s="447"/>
      <c r="AB237" s="447"/>
      <c r="AC237" s="636"/>
      <c r="AD237" s="447"/>
      <c r="AE237" s="447"/>
      <c r="AF237" s="447"/>
      <c r="AG237" s="447"/>
      <c r="AH237" s="447"/>
      <c r="AI237" s="447"/>
      <c r="AJ237" s="447"/>
      <c r="AK237" s="447"/>
      <c r="AL237" s="447"/>
      <c r="AM237" s="447"/>
      <c r="AN237" s="447"/>
      <c r="AO237" s="447"/>
      <c r="AP237" s="447"/>
      <c r="AQ237" s="447"/>
      <c r="AR237" s="447"/>
      <c r="AS237" s="447"/>
      <c r="AT237" s="447"/>
      <c r="AU237" s="447"/>
      <c r="AV237" s="447"/>
      <c r="AW237" s="447"/>
      <c r="AX237" s="447"/>
      <c r="AY237" s="447"/>
      <c r="AZ237" s="447"/>
      <c r="BA237" s="447"/>
      <c r="BB237" s="447"/>
      <c r="BC237" s="447"/>
      <c r="BD237" s="447"/>
      <c r="BE237" s="447"/>
      <c r="BF237" s="447"/>
      <c r="BG237" s="447"/>
      <c r="BH237" s="447"/>
      <c r="BJ237" s="447">
        <v>16</v>
      </c>
      <c r="BK237" s="447"/>
      <c r="BL237" s="447"/>
      <c r="BM237" s="454"/>
      <c r="BN237" s="271"/>
      <c r="BO237" s="447"/>
      <c r="BP237" s="447"/>
      <c r="BQ237" s="447"/>
      <c r="BR237" s="271"/>
      <c r="BS237" s="454"/>
      <c r="BT237" s="271"/>
      <c r="BU237" s="271"/>
      <c r="BV237" s="454"/>
      <c r="BW237" s="454"/>
      <c r="BX237" s="573"/>
      <c r="BY237" s="854"/>
      <c r="BZ237" s="854"/>
      <c r="CA237" s="854"/>
      <c r="CB237" s="854"/>
      <c r="CC237" s="854"/>
      <c r="CD237" s="854"/>
      <c r="CE237" s="854"/>
      <c r="CF237" s="854"/>
      <c r="CG237" s="36"/>
      <c r="CH237" s="419" t="s">
        <v>2481</v>
      </c>
      <c r="CI237" s="638" t="s">
        <v>2480</v>
      </c>
      <c r="CJ237" s="23"/>
      <c r="CK237" s="417" t="s">
        <v>2483</v>
      </c>
      <c r="CL237" s="417"/>
      <c r="CM237" s="433"/>
      <c r="CN237" s="128"/>
      <c r="CO237" s="128"/>
      <c r="CP237" s="128"/>
      <c r="CQ237" s="128"/>
      <c r="CR237" s="845" t="str">
        <f t="shared" si="26"/>
        <v>2012_Pun2</v>
      </c>
      <c r="CS237" s="648" t="str">
        <f t="shared" si="27"/>
        <v>Maharashtra: Pune</v>
      </c>
      <c r="CT237" s="35" t="str">
        <f t="shared" si="21"/>
        <v/>
      </c>
      <c r="CU237" s="23" t="str">
        <f t="shared" si="22"/>
        <v>urban</v>
      </c>
      <c r="CV237" s="23" t="str">
        <f t="shared" si="28"/>
        <v>II</v>
      </c>
      <c r="CW237" s="579" t="str">
        <f t="shared" si="23"/>
        <v/>
      </c>
      <c r="CX237" s="23" t="str">
        <f t="shared" si="24"/>
        <v/>
      </c>
      <c r="CY237" s="35" t="str">
        <f t="shared" si="29"/>
        <v>18-49</v>
      </c>
      <c r="CZ237" s="35">
        <f t="shared" si="30"/>
        <v>162</v>
      </c>
      <c r="DA237" s="648" t="str">
        <f t="shared" si="25"/>
        <v>Ramadugu S., Jayaram P.V., Srivastava K., Chatterjee K. &amp; Madhusudan T. (2015), ‘Understanding intimate partner violence and its correlates’, Industrial Psychiatry Journal 24(2):172-8.</v>
      </c>
    </row>
    <row r="238" spans="1:105" s="35" customFormat="1" ht="12" customHeight="1" x14ac:dyDescent="0.2">
      <c r="A238" s="651"/>
      <c r="B238" s="558" t="s">
        <v>2417</v>
      </c>
      <c r="C238" s="97" t="s">
        <v>70</v>
      </c>
      <c r="D238" s="237" t="s">
        <v>1125</v>
      </c>
      <c r="E238" s="647" t="s">
        <v>1652</v>
      </c>
      <c r="F238" s="647"/>
      <c r="G238" s="479">
        <v>0</v>
      </c>
      <c r="H238" s="478">
        <v>6</v>
      </c>
      <c r="I238" s="37">
        <v>2012</v>
      </c>
      <c r="J238" s="571">
        <v>2012</v>
      </c>
      <c r="K238" s="827">
        <v>2015</v>
      </c>
      <c r="L238" s="423" t="s">
        <v>2679</v>
      </c>
      <c r="M238" s="479" t="s">
        <v>18</v>
      </c>
      <c r="N238" s="494"/>
      <c r="O238" s="479" t="s">
        <v>1967</v>
      </c>
      <c r="P238" s="98">
        <v>18</v>
      </c>
      <c r="Q238" s="98">
        <v>30</v>
      </c>
      <c r="R238" s="526">
        <f>19*0.172 + 23*0.692 + 28*0.137</f>
        <v>23.019999999999996</v>
      </c>
      <c r="S238" s="526"/>
      <c r="T238" s="526">
        <v>3.9</v>
      </c>
      <c r="U238" s="395">
        <v>1081</v>
      </c>
      <c r="V238" s="794">
        <v>0</v>
      </c>
      <c r="W238" s="720" t="s">
        <v>2565</v>
      </c>
      <c r="X238" s="291"/>
      <c r="Y238" s="447"/>
      <c r="Z238" s="473"/>
      <c r="AA238" s="447"/>
      <c r="AB238" s="447"/>
      <c r="AC238" s="636"/>
      <c r="AD238" s="447"/>
      <c r="AE238" s="447"/>
      <c r="AF238" s="447"/>
      <c r="AG238" s="447"/>
      <c r="AH238" s="447"/>
      <c r="AI238" s="447"/>
      <c r="AJ238" s="447"/>
      <c r="AK238" s="447"/>
      <c r="AL238" s="447"/>
      <c r="AM238" s="447"/>
      <c r="AN238" s="447"/>
      <c r="AO238" s="447"/>
      <c r="AP238" s="447"/>
      <c r="AQ238" s="447"/>
      <c r="AR238" s="447"/>
      <c r="AS238" s="447"/>
      <c r="AT238" s="447"/>
      <c r="AU238" s="447"/>
      <c r="AV238" s="447"/>
      <c r="AW238" s="447"/>
      <c r="AX238" s="447"/>
      <c r="AY238" s="447"/>
      <c r="AZ238" s="447"/>
      <c r="BA238" s="447"/>
      <c r="BB238" s="447"/>
      <c r="BC238" s="447"/>
      <c r="BD238" s="447"/>
      <c r="BE238" s="447"/>
      <c r="BF238" s="447"/>
      <c r="BG238" s="447"/>
      <c r="BH238" s="447"/>
      <c r="BI238" s="447">
        <f>35.9</f>
        <v>35.9</v>
      </c>
      <c r="BJ238" s="447">
        <f>(8.7+10.3)/2</f>
        <v>9.5</v>
      </c>
      <c r="BK238" s="447"/>
      <c r="BL238" s="447"/>
      <c r="BM238" s="454">
        <v>31.7</v>
      </c>
      <c r="BN238" s="454">
        <v>3.7</v>
      </c>
      <c r="BO238" s="447"/>
      <c r="BP238" s="447"/>
      <c r="BQ238" s="447"/>
      <c r="BR238" s="271"/>
      <c r="BS238" s="454"/>
      <c r="BT238" s="271"/>
      <c r="BU238" s="271">
        <v>6</v>
      </c>
      <c r="BV238" s="454">
        <v>0</v>
      </c>
      <c r="BW238" s="454"/>
      <c r="BX238" s="573"/>
      <c r="BY238" s="854"/>
      <c r="BZ238" s="854"/>
      <c r="CA238" s="854"/>
      <c r="CB238" s="854"/>
      <c r="CC238" s="854"/>
      <c r="CD238" s="854"/>
      <c r="CE238" s="854">
        <v>0.64</v>
      </c>
      <c r="CF238" s="854"/>
      <c r="CG238" s="36"/>
      <c r="CH238" s="419" t="s">
        <v>2402</v>
      </c>
      <c r="CI238" s="638" t="s">
        <v>2403</v>
      </c>
      <c r="CJ238" s="23"/>
      <c r="CK238" s="417" t="s">
        <v>2404</v>
      </c>
      <c r="CL238" s="417"/>
      <c r="CM238" s="580" t="s">
        <v>2057</v>
      </c>
      <c r="CN238" s="431" t="s">
        <v>1966</v>
      </c>
      <c r="CO238" s="128"/>
      <c r="CP238" s="128"/>
      <c r="CQ238" s="128"/>
      <c r="CR238" s="845" t="str">
        <f t="shared" si="26"/>
        <v>2012_CHARM</v>
      </c>
      <c r="CS238" s="648" t="str">
        <f t="shared" si="27"/>
        <v xml:space="preserve">Maharashtra: </v>
      </c>
      <c r="CT238" s="35" t="str">
        <f t="shared" si="21"/>
        <v/>
      </c>
      <c r="CU238" s="23" t="str">
        <f t="shared" si="22"/>
        <v>rural</v>
      </c>
      <c r="CV238" s="23" t="str">
        <f t="shared" si="28"/>
        <v>II</v>
      </c>
      <c r="CW238" s="579" t="str">
        <f t="shared" si="23"/>
        <v>CHARM</v>
      </c>
      <c r="CX238" s="23" t="str">
        <f t="shared" si="24"/>
        <v/>
      </c>
      <c r="CY238" s="35" t="str">
        <f t="shared" si="29"/>
        <v>18-30</v>
      </c>
      <c r="CZ238" s="35">
        <f t="shared" si="30"/>
        <v>1081</v>
      </c>
      <c r="DA238" s="648" t="str">
        <f t="shared" si="25"/>
        <v>Raj A., Ghule M., Ritter J., Battala M., Gajanan V., Nair S., Dasgupta A., Silverman J.G., Balaiah D. &amp; Saggurti N. (2016) ‘Cluster randomized controlled trial evaluation of a gender equity and family planning intervention for married men and couples in rural India’. PLoS ONE 11(5):1-20.</v>
      </c>
    </row>
    <row r="239" spans="1:105" s="35" customFormat="1" ht="12" customHeight="1" x14ac:dyDescent="0.2">
      <c r="A239" s="651"/>
      <c r="B239" s="558" t="s">
        <v>2417</v>
      </c>
      <c r="C239" s="97" t="s">
        <v>70</v>
      </c>
      <c r="D239" s="237" t="s">
        <v>1125</v>
      </c>
      <c r="E239" s="647" t="s">
        <v>1652</v>
      </c>
      <c r="F239" s="647"/>
      <c r="G239" s="479">
        <v>0</v>
      </c>
      <c r="H239" s="478">
        <v>6</v>
      </c>
      <c r="I239" s="37">
        <v>2012</v>
      </c>
      <c r="J239" s="571">
        <v>2012</v>
      </c>
      <c r="K239" s="827">
        <v>2015</v>
      </c>
      <c r="L239" s="423" t="s">
        <v>2679</v>
      </c>
      <c r="M239" s="479" t="s">
        <v>289</v>
      </c>
      <c r="N239" s="494"/>
      <c r="O239" s="479" t="s">
        <v>1967</v>
      </c>
      <c r="P239" s="98">
        <v>18</v>
      </c>
      <c r="Q239" s="98">
        <v>30</v>
      </c>
      <c r="R239" s="526">
        <f>19*0.172 + 23*0.692 + 28*0.137</f>
        <v>23.019999999999996</v>
      </c>
      <c r="S239" s="526"/>
      <c r="T239" s="526">
        <v>3.9</v>
      </c>
      <c r="U239" s="395">
        <v>1081</v>
      </c>
      <c r="V239" s="794">
        <v>0</v>
      </c>
      <c r="W239" s="720" t="s">
        <v>2565</v>
      </c>
      <c r="X239" s="291"/>
      <c r="Y239" s="447"/>
      <c r="Z239" s="473"/>
      <c r="AA239" s="447"/>
      <c r="AB239" s="447"/>
      <c r="AC239" s="636"/>
      <c r="AD239" s="447"/>
      <c r="AE239" s="447"/>
      <c r="AF239" s="447"/>
      <c r="AG239" s="447"/>
      <c r="AH239" s="447"/>
      <c r="AI239" s="447"/>
      <c r="AJ239" s="447"/>
      <c r="AK239" s="447"/>
      <c r="AL239" s="447"/>
      <c r="AM239" s="447"/>
      <c r="AN239" s="447"/>
      <c r="AO239" s="447"/>
      <c r="AP239" s="447"/>
      <c r="AQ239" s="447"/>
      <c r="AR239" s="447"/>
      <c r="AS239" s="447"/>
      <c r="AT239" s="447"/>
      <c r="AU239" s="447"/>
      <c r="AV239" s="447"/>
      <c r="AW239" s="447"/>
      <c r="AX239" s="447"/>
      <c r="AY239" s="447"/>
      <c r="AZ239" s="447"/>
      <c r="BA239" s="447"/>
      <c r="BB239" s="447"/>
      <c r="BC239" s="447"/>
      <c r="BD239" s="447"/>
      <c r="BE239" s="447"/>
      <c r="BF239" s="447"/>
      <c r="BG239" s="447"/>
      <c r="BH239" s="447"/>
      <c r="BK239" s="447"/>
      <c r="BL239" s="447"/>
      <c r="BO239" s="447"/>
      <c r="BP239" s="447"/>
      <c r="BQ239" s="447"/>
      <c r="BR239" s="271"/>
      <c r="BS239" s="454"/>
      <c r="BT239" s="271"/>
      <c r="BU239" s="271">
        <v>6</v>
      </c>
      <c r="BV239" s="454">
        <v>0</v>
      </c>
      <c r="BW239" s="454"/>
      <c r="BX239" s="573"/>
      <c r="BY239" s="854"/>
      <c r="BZ239" s="854"/>
      <c r="CA239" s="854"/>
      <c r="CB239" s="854"/>
      <c r="CC239" s="854"/>
      <c r="CD239" s="854"/>
      <c r="CE239" s="854">
        <v>0.61</v>
      </c>
      <c r="CF239" s="854"/>
      <c r="CG239" s="36"/>
      <c r="CH239" s="419" t="s">
        <v>2402</v>
      </c>
      <c r="CI239" s="638" t="s">
        <v>2403</v>
      </c>
      <c r="CJ239" s="23"/>
      <c r="CK239" s="417" t="s">
        <v>2404</v>
      </c>
      <c r="CL239" s="417"/>
      <c r="CM239" s="580" t="s">
        <v>2057</v>
      </c>
      <c r="CN239" s="431" t="s">
        <v>1966</v>
      </c>
      <c r="CO239" s="128"/>
      <c r="CP239" s="128"/>
      <c r="CQ239" s="128"/>
      <c r="CR239" s="845" t="str">
        <f t="shared" si="26"/>
        <v>2012_CHARM</v>
      </c>
      <c r="CS239" s="648" t="str">
        <f t="shared" si="27"/>
        <v xml:space="preserve">Maharashtra: </v>
      </c>
      <c r="CT239" s="35" t="str">
        <f t="shared" si="21"/>
        <v/>
      </c>
      <c r="CU239" s="23" t="str">
        <f t="shared" si="22"/>
        <v>rural</v>
      </c>
      <c r="CV239" s="23" t="str">
        <f t="shared" si="28"/>
        <v>VII</v>
      </c>
      <c r="CW239" s="579" t="str">
        <f t="shared" si="23"/>
        <v>CHARM</v>
      </c>
      <c r="CX239" s="23" t="str">
        <f t="shared" si="24"/>
        <v/>
      </c>
      <c r="CY239" s="35" t="str">
        <f t="shared" si="29"/>
        <v>18-30</v>
      </c>
      <c r="CZ239" s="35">
        <f t="shared" si="30"/>
        <v>1081</v>
      </c>
      <c r="DA239" s="648" t="str">
        <f t="shared" si="25"/>
        <v>Raj A., Ghule M., Ritter J., Battala M., Gajanan V., Nair S., Dasgupta A., Silverman J.G., Balaiah D. &amp; Saggurti N. (2016) ‘Cluster randomized controlled trial evaluation of a gender equity and family planning intervention for married men and couples in rural India’. PLoS ONE 11(5):1-20.</v>
      </c>
    </row>
    <row r="240" spans="1:105" s="35" customFormat="1" ht="12" customHeight="1" x14ac:dyDescent="0.2">
      <c r="A240" s="651"/>
      <c r="B240" s="558" t="s">
        <v>2418</v>
      </c>
      <c r="C240" s="97" t="s">
        <v>70</v>
      </c>
      <c r="D240" s="237" t="s">
        <v>1125</v>
      </c>
      <c r="E240" s="647" t="s">
        <v>1652</v>
      </c>
      <c r="F240" s="647"/>
      <c r="G240" s="479">
        <v>0</v>
      </c>
      <c r="H240" s="478">
        <v>6</v>
      </c>
      <c r="I240" s="37">
        <v>2013</v>
      </c>
      <c r="J240" s="571">
        <v>2013</v>
      </c>
      <c r="K240" s="827">
        <v>2015</v>
      </c>
      <c r="L240" s="423" t="s">
        <v>2679</v>
      </c>
      <c r="M240" s="479" t="s">
        <v>18</v>
      </c>
      <c r="N240" s="494"/>
      <c r="O240" s="479" t="s">
        <v>2406</v>
      </c>
      <c r="P240" s="98">
        <f>18+1</f>
        <v>19</v>
      </c>
      <c r="Q240" s="98">
        <f>30+1</f>
        <v>31</v>
      </c>
      <c r="R240" s="526">
        <f>(19*0.172 + 23*0.692 + 28*0.137) +1</f>
        <v>24.019999999999996</v>
      </c>
      <c r="S240" s="526"/>
      <c r="T240" s="526">
        <f>3.9 + 1</f>
        <v>4.9000000000000004</v>
      </c>
      <c r="U240" s="395">
        <v>533</v>
      </c>
      <c r="V240" s="794">
        <v>0</v>
      </c>
      <c r="W240" s="720" t="s">
        <v>2567</v>
      </c>
      <c r="X240" s="121"/>
      <c r="Y240" s="447"/>
      <c r="Z240" s="473"/>
      <c r="AA240" s="447"/>
      <c r="AB240" s="447"/>
      <c r="AC240" s="636"/>
      <c r="AD240" s="447"/>
      <c r="AE240" s="447"/>
      <c r="AF240" s="447"/>
      <c r="AG240" s="447"/>
      <c r="AH240" s="447"/>
      <c r="AI240" s="447"/>
      <c r="AJ240" s="447"/>
      <c r="AK240" s="447"/>
      <c r="AL240" s="447"/>
      <c r="AM240" s="447"/>
      <c r="AN240" s="447"/>
      <c r="AO240" s="447"/>
      <c r="AP240" s="447"/>
      <c r="AQ240" s="447"/>
      <c r="AR240" s="447"/>
      <c r="AS240" s="447"/>
      <c r="AT240" s="447"/>
      <c r="AU240" s="447"/>
      <c r="AV240" s="447"/>
      <c r="AW240" s="447"/>
      <c r="AX240" s="447"/>
      <c r="AY240" s="447"/>
      <c r="AZ240" s="447"/>
      <c r="BA240" s="447"/>
      <c r="BB240" s="447"/>
      <c r="BC240" s="447"/>
      <c r="BD240" s="447"/>
      <c r="BE240" s="447"/>
      <c r="BF240" s="447"/>
      <c r="BG240" s="447"/>
      <c r="BH240" s="447"/>
      <c r="BJ240" s="447">
        <v>19.5</v>
      </c>
      <c r="BK240" s="447"/>
      <c r="BL240" s="447"/>
      <c r="BM240" s="447"/>
      <c r="BN240" s="454"/>
      <c r="BO240" s="447"/>
      <c r="BP240" s="447"/>
      <c r="BQ240" s="447"/>
      <c r="BR240" s="271"/>
      <c r="BS240" s="454"/>
      <c r="BT240" s="271"/>
      <c r="BU240" s="271">
        <v>6</v>
      </c>
      <c r="BV240" s="454">
        <v>0</v>
      </c>
      <c r="BW240" s="454"/>
      <c r="BX240" s="573"/>
      <c r="BY240" s="854"/>
      <c r="BZ240" s="854"/>
      <c r="CA240" s="854"/>
      <c r="CB240" s="854"/>
      <c r="CC240" s="854"/>
      <c r="CD240" s="854"/>
      <c r="CE240" s="854">
        <v>0.44</v>
      </c>
      <c r="CF240" s="854"/>
      <c r="CG240" s="36"/>
      <c r="CH240" s="419" t="s">
        <v>2402</v>
      </c>
      <c r="CI240" s="638" t="s">
        <v>2403</v>
      </c>
      <c r="CJ240" s="23"/>
      <c r="CK240" s="417" t="s">
        <v>2404</v>
      </c>
      <c r="CL240" s="417"/>
      <c r="CM240" s="580" t="s">
        <v>2426</v>
      </c>
      <c r="CN240" s="128"/>
      <c r="CO240" s="128"/>
      <c r="CP240" s="128"/>
      <c r="CQ240" s="128"/>
      <c r="CR240" s="845" t="str">
        <f t="shared" si="26"/>
        <v>2013_CHARM</v>
      </c>
      <c r="CS240" s="648" t="str">
        <f t="shared" si="27"/>
        <v xml:space="preserve">Maharashtra: </v>
      </c>
      <c r="CT240" s="35" t="str">
        <f t="shared" si="21"/>
        <v/>
      </c>
      <c r="CU240" s="23" t="str">
        <f t="shared" si="22"/>
        <v>rural</v>
      </c>
      <c r="CV240" s="23" t="str">
        <f t="shared" si="28"/>
        <v>II</v>
      </c>
      <c r="CW240" s="579" t="str">
        <f t="shared" si="23"/>
        <v>CHARM</v>
      </c>
      <c r="CX240" s="23" t="str">
        <f t="shared" si="24"/>
        <v/>
      </c>
      <c r="CY240" s="35" t="str">
        <f t="shared" si="29"/>
        <v>19-31</v>
      </c>
      <c r="CZ240" s="35">
        <f t="shared" si="30"/>
        <v>533</v>
      </c>
      <c r="DA240" s="648" t="str">
        <f t="shared" si="25"/>
        <v>Raj A., Ghule M., Ritter J., Battala M., Gajanan V., Nair S., Dasgupta A., Silverman J.G., Balaiah D. &amp; Saggurti N. (2016) ‘Cluster randomized controlled trial evaluation of a gender equity and family planning intervention for married men and couples in rural India’. PLoS ONE 11(5):1-20.</v>
      </c>
    </row>
    <row r="241" spans="1:105" s="35" customFormat="1" ht="12" customHeight="1" x14ac:dyDescent="0.2">
      <c r="A241" s="651"/>
      <c r="B241" s="558" t="s">
        <v>2419</v>
      </c>
      <c r="C241" s="97" t="s">
        <v>70</v>
      </c>
      <c r="D241" s="237" t="s">
        <v>1125</v>
      </c>
      <c r="E241" s="647" t="s">
        <v>1652</v>
      </c>
      <c r="F241" s="647"/>
      <c r="G241" s="479">
        <v>0</v>
      </c>
      <c r="H241" s="478">
        <v>6</v>
      </c>
      <c r="I241" s="37">
        <v>2014</v>
      </c>
      <c r="J241" s="571">
        <v>2014</v>
      </c>
      <c r="K241" s="827">
        <v>2015</v>
      </c>
      <c r="L241" s="423" t="s">
        <v>2679</v>
      </c>
      <c r="M241" s="479" t="s">
        <v>18</v>
      </c>
      <c r="N241" s="494"/>
      <c r="O241" s="479" t="s">
        <v>2405</v>
      </c>
      <c r="P241" s="98">
        <f>18+2</f>
        <v>20</v>
      </c>
      <c r="Q241" s="98">
        <f>30+2</f>
        <v>32</v>
      </c>
      <c r="R241" s="526">
        <f>(19*0.172 + 23*0.692 + 28*0.137) +2</f>
        <v>25.019999999999996</v>
      </c>
      <c r="S241" s="526"/>
      <c r="T241" s="526">
        <f>3.9 + 2</f>
        <v>5.9</v>
      </c>
      <c r="U241" s="395">
        <v>531</v>
      </c>
      <c r="V241" s="794">
        <v>0</v>
      </c>
      <c r="W241" s="720" t="s">
        <v>2566</v>
      </c>
      <c r="X241" s="121"/>
      <c r="Y241" s="447"/>
      <c r="Z241" s="473"/>
      <c r="AA241" s="447"/>
      <c r="AB241" s="447"/>
      <c r="AC241" s="636"/>
      <c r="AD241" s="447"/>
      <c r="AE241" s="447"/>
      <c r="AF241" s="447"/>
      <c r="AG241" s="447"/>
      <c r="AH241" s="447"/>
      <c r="AI241" s="447"/>
      <c r="AJ241" s="447"/>
      <c r="AK241" s="447"/>
      <c r="AL241" s="447"/>
      <c r="AM241" s="447"/>
      <c r="AN241" s="447"/>
      <c r="AO241" s="447"/>
      <c r="AP241" s="447"/>
      <c r="AQ241" s="447"/>
      <c r="AR241" s="447"/>
      <c r="AS241" s="447"/>
      <c r="AT241" s="447"/>
      <c r="AU241" s="447"/>
      <c r="AV241" s="447"/>
      <c r="AW241" s="447"/>
      <c r="AX241" s="447"/>
      <c r="AY241" s="447"/>
      <c r="AZ241" s="447"/>
      <c r="BA241" s="447"/>
      <c r="BB241" s="447"/>
      <c r="BC241" s="447"/>
      <c r="BD241" s="447"/>
      <c r="BE241" s="447"/>
      <c r="BF241" s="447"/>
      <c r="BG241" s="447"/>
      <c r="BH241" s="447"/>
      <c r="BJ241" s="447">
        <v>19.399999999999999</v>
      </c>
      <c r="BK241" s="447"/>
      <c r="BL241" s="447"/>
      <c r="BM241" s="447"/>
      <c r="BN241" s="454"/>
      <c r="BO241" s="447"/>
      <c r="BP241" s="447"/>
      <c r="BQ241" s="447"/>
      <c r="BR241" s="271"/>
      <c r="BS241" s="454"/>
      <c r="BT241" s="271"/>
      <c r="BU241" s="271">
        <v>6</v>
      </c>
      <c r="BV241" s="454">
        <v>0</v>
      </c>
      <c r="BW241" s="454"/>
      <c r="BX241" s="573"/>
      <c r="BY241" s="854"/>
      <c r="BZ241" s="854"/>
      <c r="CA241" s="854"/>
      <c r="CB241" s="854"/>
      <c r="CC241" s="854"/>
      <c r="CD241" s="854"/>
      <c r="CE241" s="854">
        <v>0.34</v>
      </c>
      <c r="CF241" s="854"/>
      <c r="CG241" s="36"/>
      <c r="CH241" s="837" t="s">
        <v>2426</v>
      </c>
      <c r="CI241" s="638" t="s">
        <v>2564</v>
      </c>
      <c r="CJ241" s="23"/>
      <c r="CK241" s="417" t="s">
        <v>2563</v>
      </c>
      <c r="CL241" s="417"/>
      <c r="CM241" s="580"/>
      <c r="CN241" s="128"/>
      <c r="CO241" s="128"/>
      <c r="CP241" s="128"/>
      <c r="CQ241" s="128"/>
      <c r="CR241" s="845" t="str">
        <f t="shared" si="26"/>
        <v>2014_CHARM</v>
      </c>
      <c r="CS241" s="648" t="str">
        <f t="shared" si="27"/>
        <v xml:space="preserve">Maharashtra: </v>
      </c>
      <c r="CT241" s="35" t="str">
        <f t="shared" si="21"/>
        <v/>
      </c>
      <c r="CU241" s="23" t="str">
        <f t="shared" si="22"/>
        <v>rural</v>
      </c>
      <c r="CV241" s="23" t="str">
        <f t="shared" si="28"/>
        <v>II</v>
      </c>
      <c r="CW241" s="579" t="str">
        <f t="shared" si="23"/>
        <v>CHARM</v>
      </c>
      <c r="CX241" s="23" t="str">
        <f t="shared" si="24"/>
        <v/>
      </c>
      <c r="CY241" s="35" t="str">
        <f t="shared" si="29"/>
        <v>20-32</v>
      </c>
      <c r="CZ241" s="35">
        <f t="shared" si="30"/>
        <v>531</v>
      </c>
      <c r="DA241" s="648" t="str">
        <f t="shared" si="25"/>
        <v>Shakya H.B., Fleming P., Saggurti N., Donta B., Silverman J. &amp; Raj A. (2017), ‘Longitudinal associations of intimate partner violence attitudes and perpetration: Dyadic couples data from a randomized controlled trial in rural India’, Social Science &amp; Medicine 179:97-105.</v>
      </c>
    </row>
    <row r="242" spans="1:105" s="35" customFormat="1" ht="12" customHeight="1" x14ac:dyDescent="0.2">
      <c r="A242" s="651"/>
      <c r="B242" s="558" t="s">
        <v>2443</v>
      </c>
      <c r="C242" s="97" t="s">
        <v>70</v>
      </c>
      <c r="D242" s="237" t="s">
        <v>1125</v>
      </c>
      <c r="E242" s="647" t="s">
        <v>1581</v>
      </c>
      <c r="F242" s="647" t="s">
        <v>2444</v>
      </c>
      <c r="G242" s="479">
        <v>0</v>
      </c>
      <c r="H242" s="478">
        <v>6</v>
      </c>
      <c r="I242" s="37" t="s">
        <v>1519</v>
      </c>
      <c r="J242" s="571">
        <v>2013</v>
      </c>
      <c r="K242" s="827">
        <v>2014</v>
      </c>
      <c r="L242" s="423"/>
      <c r="M242" s="479" t="s">
        <v>15</v>
      </c>
      <c r="N242" s="494"/>
      <c r="O242" s="479" t="s">
        <v>763</v>
      </c>
      <c r="P242" s="98">
        <v>18</v>
      </c>
      <c r="Q242" s="98">
        <v>65</v>
      </c>
      <c r="R242" s="526">
        <v>35.619999999999997</v>
      </c>
      <c r="S242" s="526">
        <v>18.75</v>
      </c>
      <c r="T242" s="526">
        <v>16.87</v>
      </c>
      <c r="U242" s="395">
        <v>580</v>
      </c>
      <c r="V242" s="794">
        <v>0</v>
      </c>
      <c r="W242" s="720" t="s">
        <v>2445</v>
      </c>
      <c r="X242" s="121">
        <v>3.59</v>
      </c>
      <c r="Y242" s="447"/>
      <c r="Z242" s="473"/>
      <c r="AA242" s="447"/>
      <c r="AB242" s="447"/>
      <c r="AC242" s="636"/>
      <c r="AD242" s="447"/>
      <c r="AE242" s="447"/>
      <c r="AF242" s="447"/>
      <c r="AG242" s="447"/>
      <c r="AH242" s="447"/>
      <c r="AI242" s="447"/>
      <c r="AJ242" s="447"/>
      <c r="AK242" s="447"/>
      <c r="AL242" s="447"/>
      <c r="AM242" s="447"/>
      <c r="AN242" s="447"/>
      <c r="AO242" s="447"/>
      <c r="AP242" s="447"/>
      <c r="AQ242" s="447"/>
      <c r="AR242" s="447"/>
      <c r="AS242" s="447"/>
      <c r="AT242" s="447"/>
      <c r="AU242" s="447"/>
      <c r="AV242" s="447"/>
      <c r="AW242" s="447"/>
      <c r="AX242" s="447"/>
      <c r="AY242" s="447"/>
      <c r="AZ242" s="447"/>
      <c r="BA242" s="447"/>
      <c r="BB242" s="447"/>
      <c r="BC242" s="447"/>
      <c r="BD242" s="447"/>
      <c r="BE242" s="447"/>
      <c r="BF242" s="447"/>
      <c r="BG242" s="447"/>
      <c r="BH242" s="447"/>
      <c r="BI242" s="447">
        <v>56.37</v>
      </c>
      <c r="BJ242" s="447"/>
      <c r="BK242" s="447"/>
      <c r="BL242" s="447"/>
      <c r="BM242" s="454"/>
      <c r="BN242" s="271"/>
      <c r="BO242" s="447"/>
      <c r="BP242" s="447"/>
      <c r="BQ242" s="447"/>
      <c r="BR242" s="271"/>
      <c r="BS242" s="454">
        <v>66.55</v>
      </c>
      <c r="BT242" s="271"/>
      <c r="BU242" s="271"/>
      <c r="BV242" s="454">
        <v>1</v>
      </c>
      <c r="BW242" s="454"/>
      <c r="BX242" s="573"/>
      <c r="BY242" s="854"/>
      <c r="BZ242" s="854"/>
      <c r="CA242" s="854"/>
      <c r="CB242" s="854"/>
      <c r="CC242" s="854"/>
      <c r="CD242" s="854"/>
      <c r="CE242" s="854"/>
      <c r="CF242" s="854"/>
      <c r="CG242" s="36"/>
      <c r="CH242" s="419" t="s">
        <v>2568</v>
      </c>
      <c r="CI242" s="638" t="s">
        <v>2564</v>
      </c>
      <c r="CJ242" s="23"/>
      <c r="CK242" s="417" t="s">
        <v>2569</v>
      </c>
      <c r="CL242" s="417"/>
      <c r="CM242" s="580"/>
      <c r="CN242" s="128"/>
      <c r="CO242" s="128"/>
      <c r="CP242" s="128"/>
      <c r="CQ242" s="128"/>
      <c r="CR242" s="845" t="str">
        <f t="shared" si="26"/>
        <v>2013_Bank</v>
      </c>
      <c r="CS242" s="648" t="str">
        <f t="shared" si="27"/>
        <v>West Bengal: Bankura</v>
      </c>
      <c r="CT242" s="35" t="str">
        <f t="shared" si="21"/>
        <v/>
      </c>
      <c r="CU242" s="23" t="str">
        <f t="shared" si="22"/>
        <v>rural</v>
      </c>
      <c r="CV242" s="23" t="str">
        <f t="shared" si="28"/>
        <v>III</v>
      </c>
      <c r="CW242" s="579" t="str">
        <f t="shared" si="23"/>
        <v/>
      </c>
      <c r="CX242" s="23" t="str">
        <f t="shared" si="24"/>
        <v/>
      </c>
      <c r="CY242" s="35" t="str">
        <f t="shared" si="29"/>
        <v>18-65</v>
      </c>
      <c r="CZ242" s="35">
        <f t="shared" si="30"/>
        <v>580</v>
      </c>
      <c r="DA242" s="648" t="str">
        <f t="shared" si="25"/>
        <v>Dutta P. (2014), “Study of women’s empowerment in the district of Bankura”, PhD thesis: University of Burdwan</v>
      </c>
    </row>
    <row r="243" spans="1:105" s="35" customFormat="1" ht="12" customHeight="1" x14ac:dyDescent="0.2">
      <c r="A243" s="664"/>
      <c r="B243" s="537" t="s">
        <v>2229</v>
      </c>
      <c r="C243" s="390" t="s">
        <v>70</v>
      </c>
      <c r="D243" s="36" t="s">
        <v>1125</v>
      </c>
      <c r="E243" s="647" t="s">
        <v>1650</v>
      </c>
      <c r="F243" s="665" t="s">
        <v>2265</v>
      </c>
      <c r="G243" s="480"/>
      <c r="H243" s="478">
        <v>6</v>
      </c>
      <c r="I243" s="166">
        <v>2013</v>
      </c>
      <c r="J243" s="571">
        <v>2013</v>
      </c>
      <c r="K243" s="571">
        <v>2014</v>
      </c>
      <c r="L243" s="494"/>
      <c r="M243" s="247" t="s">
        <v>18</v>
      </c>
      <c r="N243" s="494"/>
      <c r="O243" s="479" t="s">
        <v>2266</v>
      </c>
      <c r="P243" s="98">
        <v>21</v>
      </c>
      <c r="Q243" s="247">
        <v>60</v>
      </c>
      <c r="R243" s="291">
        <v>36</v>
      </c>
      <c r="S243" s="291">
        <f>17*0.096 + 21*0.762 + 28*0.142</f>
        <v>21.61</v>
      </c>
      <c r="T243" s="291">
        <f>0.5*0.348 + 15.5*0.318 + 25.5*0.275 + 35.5*0.059</f>
        <v>14.21</v>
      </c>
      <c r="U243" s="395">
        <v>150</v>
      </c>
      <c r="V243" s="794">
        <v>0</v>
      </c>
      <c r="W243" s="720"/>
      <c r="X243" s="291">
        <f>6*0.593 + 12*0.36 + 15*0.046</f>
        <v>8.5679999999999996</v>
      </c>
      <c r="Y243" s="447"/>
      <c r="Z243" s="473"/>
      <c r="AA243" s="447"/>
      <c r="AB243" s="447"/>
      <c r="AC243" s="636"/>
      <c r="AD243" s="447"/>
      <c r="AE243" s="447"/>
      <c r="AF243" s="447"/>
      <c r="AG243" s="447"/>
      <c r="AH243" s="447"/>
      <c r="AI243" s="447"/>
      <c r="AJ243" s="447"/>
      <c r="AL243" s="447"/>
      <c r="AM243" s="447">
        <f>100*52/150</f>
        <v>34.666666666666664</v>
      </c>
      <c r="AN243" s="447"/>
      <c r="AO243" s="447">
        <f>100*(12+10)/150</f>
        <v>14.666666666666666</v>
      </c>
      <c r="AP243" s="447"/>
      <c r="AQ243" s="447">
        <f>100*(15+6)/150</f>
        <v>14</v>
      </c>
      <c r="AR243" s="447"/>
      <c r="AS243" s="447"/>
      <c r="AT243" s="447"/>
      <c r="AU243" s="447">
        <f>100*8/150</f>
        <v>5.333333333333333</v>
      </c>
      <c r="AV243" s="447"/>
      <c r="AW243" s="447"/>
      <c r="AX243" s="447"/>
      <c r="AY243" s="447"/>
      <c r="AZ243" s="447"/>
      <c r="BA243" s="447"/>
      <c r="BB243" s="447"/>
      <c r="BC243" s="447"/>
      <c r="BD243" s="447"/>
      <c r="BE243" s="447"/>
      <c r="BF243" s="447"/>
      <c r="BG243" s="447"/>
      <c r="BH243" s="447"/>
      <c r="BI243" s="447"/>
      <c r="BJ243" s="447"/>
      <c r="BK243" s="447"/>
      <c r="BL243" s="447"/>
      <c r="BM243" s="447">
        <f>100*6/150</f>
        <v>4</v>
      </c>
      <c r="BN243" s="271"/>
      <c r="BO243" s="447">
        <f>100*(3+2)/150</f>
        <v>3.3333333333333335</v>
      </c>
      <c r="BP243" s="447"/>
      <c r="BQ243" s="447"/>
      <c r="BR243" s="271"/>
      <c r="BS243" s="454">
        <v>47.3</v>
      </c>
      <c r="BT243" s="271"/>
      <c r="BU243" s="271"/>
      <c r="BV243" s="454">
        <v>1</v>
      </c>
      <c r="BW243" s="454"/>
      <c r="BX243" s="573"/>
      <c r="BY243" s="854"/>
      <c r="BZ243" s="854"/>
      <c r="CA243" s="854"/>
      <c r="CB243" s="854"/>
      <c r="CC243" s="854"/>
      <c r="CD243" s="854"/>
      <c r="CE243" s="854"/>
      <c r="CF243" s="854"/>
      <c r="CG243" s="36"/>
      <c r="CH243" s="419" t="s">
        <v>2269</v>
      </c>
      <c r="CI243" s="638" t="s">
        <v>2268</v>
      </c>
      <c r="CJ243" s="23"/>
      <c r="CK243" s="641" t="s">
        <v>2267</v>
      </c>
      <c r="CL243" s="417"/>
      <c r="CM243" s="431"/>
      <c r="CN243" s="128"/>
      <c r="CO243" s="128"/>
      <c r="CP243" s="128"/>
      <c r="CQ243" s="128"/>
      <c r="CR243" s="845" t="str">
        <f t="shared" si="26"/>
        <v>2013_Kar</v>
      </c>
      <c r="CS243" s="648" t="str">
        <f t="shared" si="27"/>
        <v>Karnataka: Davangere district</v>
      </c>
      <c r="CT243" s="35">
        <f t="shared" si="21"/>
        <v>2013</v>
      </c>
      <c r="CU243" s="23" t="str">
        <f t="shared" si="22"/>
        <v>rural</v>
      </c>
      <c r="CV243" s="23" t="str">
        <f t="shared" si="28"/>
        <v>II</v>
      </c>
      <c r="CW243" s="579" t="str">
        <f t="shared" si="23"/>
        <v/>
      </c>
      <c r="CX243" s="23" t="str">
        <f t="shared" si="24"/>
        <v/>
      </c>
      <c r="CY243" s="35" t="str">
        <f t="shared" si="29"/>
        <v>21-60</v>
      </c>
      <c r="CZ243" s="35">
        <f t="shared" si="30"/>
        <v>150</v>
      </c>
      <c r="DA243" s="648" t="str">
        <f t="shared" si="25"/>
        <v>Rashmi R., Anurupa M.S. &amp; Shubha D.B. (2014), ‘A study on domestic violence among the anganwadi workers and its mental impact on their children’, Medica Innovatica 3(1):190-9.</v>
      </c>
    </row>
    <row r="244" spans="1:105" x14ac:dyDescent="0.2">
      <c r="B244" s="541" t="s">
        <v>2261</v>
      </c>
      <c r="C244" s="390" t="s">
        <v>70</v>
      </c>
      <c r="D244" s="36" t="s">
        <v>1125</v>
      </c>
      <c r="E244" s="647" t="s">
        <v>1756</v>
      </c>
      <c r="F244" s="48" t="s">
        <v>2264</v>
      </c>
      <c r="H244" s="478">
        <v>2</v>
      </c>
      <c r="I244" s="481">
        <v>2013</v>
      </c>
      <c r="J244" s="551"/>
      <c r="K244" s="827">
        <v>2016</v>
      </c>
      <c r="M244" s="586" t="s">
        <v>18</v>
      </c>
      <c r="O244" s="586" t="s">
        <v>603</v>
      </c>
      <c r="P244" s="1">
        <v>18</v>
      </c>
      <c r="Q244" s="1">
        <v>60</v>
      </c>
      <c r="R244" s="3">
        <v>35.65</v>
      </c>
      <c r="T244" s="17">
        <f>(0*(1+9) + 5.5*(32+77) + 15.5*(26+65) + 25.5*(18+42) + 35.5*(6+24))/300</f>
        <v>15.35</v>
      </c>
      <c r="U244" s="4">
        <v>300</v>
      </c>
      <c r="V244" s="504">
        <v>0</v>
      </c>
      <c r="W244" s="630" t="s">
        <v>2526</v>
      </c>
      <c r="X244" s="39">
        <f>(0*13 + 3*10 + 3.9*20 + 9*69 + 12*83 + 15*105)/300</f>
        <v>11</v>
      </c>
      <c r="Y244" s="454">
        <f>100*46/300</f>
        <v>15.333333333333334</v>
      </c>
      <c r="AA244" s="452">
        <v>22.67</v>
      </c>
      <c r="AC244" s="454">
        <f>100*44/300</f>
        <v>14.666666666666666</v>
      </c>
      <c r="AE244" s="454">
        <f>100*10/300</f>
        <v>3.3333333333333335</v>
      </c>
      <c r="AK244" s="452"/>
      <c r="AM244" s="452">
        <f>100*48/300</f>
        <v>16</v>
      </c>
      <c r="AO244" s="452">
        <f>100*27/300</f>
        <v>9</v>
      </c>
      <c r="AQ244" s="452">
        <f>100*23/300</f>
        <v>7.666666666666667</v>
      </c>
      <c r="AU244" s="452">
        <f>100*14/300</f>
        <v>4.666666666666667</v>
      </c>
      <c r="AW244" s="743">
        <f>100*1/300</f>
        <v>0.33333333333333331</v>
      </c>
      <c r="BA244" s="452">
        <f>100*21/300</f>
        <v>7</v>
      </c>
      <c r="BE244" s="739"/>
      <c r="BF244" s="739"/>
      <c r="BI244" s="452">
        <v>16</v>
      </c>
      <c r="BJ244" s="739"/>
      <c r="BK244" s="452">
        <v>7.67</v>
      </c>
      <c r="BL244" s="739"/>
      <c r="BM244" s="454">
        <f>100*21/300</f>
        <v>7</v>
      </c>
      <c r="BO244" s="452"/>
      <c r="BQ244" s="452"/>
      <c r="BS244" s="452">
        <v>27.67</v>
      </c>
      <c r="BV244" s="440">
        <v>1</v>
      </c>
      <c r="BW244" s="452">
        <v>91.67</v>
      </c>
      <c r="BX244" s="573">
        <v>0.01</v>
      </c>
      <c r="BY244" s="854"/>
      <c r="BZ244" s="854"/>
      <c r="CA244" s="854"/>
      <c r="CB244" s="854"/>
      <c r="CC244" s="854"/>
      <c r="CD244" s="854"/>
      <c r="CE244" s="854"/>
      <c r="CF244" s="854"/>
      <c r="CH244" s="424" t="s">
        <v>2262</v>
      </c>
      <c r="CI244" s="638" t="s">
        <v>2204</v>
      </c>
      <c r="CK244" s="48" t="s">
        <v>2263</v>
      </c>
      <c r="CR244" s="845" t="str">
        <f t="shared" si="26"/>
        <v>2013_Chan</v>
      </c>
      <c r="CS244" s="648" t="str">
        <f t="shared" si="27"/>
        <v>Chandigarh: Daddu Majra colony</v>
      </c>
      <c r="CT244" s="35" t="str">
        <f t="shared" si="21"/>
        <v/>
      </c>
      <c r="CU244" s="23" t="str">
        <f t="shared" si="22"/>
        <v>urban</v>
      </c>
      <c r="CV244" s="23" t="str">
        <f t="shared" si="28"/>
        <v>II</v>
      </c>
      <c r="CW244" s="579" t="str">
        <f t="shared" si="23"/>
        <v/>
      </c>
      <c r="CX244" s="23" t="str">
        <f t="shared" si="24"/>
        <v/>
      </c>
      <c r="CY244" s="35" t="str">
        <f t="shared" si="29"/>
        <v>18-60</v>
      </c>
      <c r="CZ244" s="35">
        <f t="shared" si="30"/>
        <v>300</v>
      </c>
      <c r="DA244" s="648" t="str">
        <f t="shared" si="25"/>
        <v>Kaur M., Kapoor D., Kaur J., Gautam P., Sharma S., Saini S.K. &amp; Bamania S.K. (2016), ‘Domestic violence among married females: prevalence and related factors’, International Journal of Indian Psychology 4(1):5-18.</v>
      </c>
    </row>
    <row r="245" spans="1:105" s="35" customFormat="1" ht="12" customHeight="1" x14ac:dyDescent="0.2">
      <c r="A245" s="664"/>
      <c r="B245" s="537" t="s">
        <v>2192</v>
      </c>
      <c r="C245" s="390" t="s">
        <v>70</v>
      </c>
      <c r="D245" s="36" t="s">
        <v>1125</v>
      </c>
      <c r="E245" s="647" t="s">
        <v>2193</v>
      </c>
      <c r="F245" s="647" t="s">
        <v>2194</v>
      </c>
      <c r="G245" s="480"/>
      <c r="H245" s="478">
        <v>6</v>
      </c>
      <c r="I245" s="481">
        <v>2013</v>
      </c>
      <c r="J245" s="166"/>
      <c r="K245" s="571">
        <v>2015</v>
      </c>
      <c r="L245" s="494"/>
      <c r="M245" s="247" t="s">
        <v>78</v>
      </c>
      <c r="N245" s="494"/>
      <c r="O245" s="738"/>
      <c r="P245" s="98"/>
      <c r="Q245" s="247"/>
      <c r="R245" s="291">
        <v>24.7</v>
      </c>
      <c r="S245" s="291"/>
      <c r="T245" s="291"/>
      <c r="U245" s="395">
        <v>202</v>
      </c>
      <c r="V245" s="794">
        <v>0</v>
      </c>
      <c r="W245" s="720"/>
      <c r="X245" s="291">
        <f>5.5*0.228 + 12*0.772</f>
        <v>10.517999999999999</v>
      </c>
      <c r="Y245" s="447"/>
      <c r="Z245" s="473"/>
      <c r="AA245" s="447"/>
      <c r="AB245" s="447"/>
      <c r="AC245" s="636"/>
      <c r="AD245" s="447"/>
      <c r="AE245" s="447"/>
      <c r="AF245" s="447"/>
      <c r="AG245" s="447"/>
      <c r="AH245" s="447"/>
      <c r="AI245" s="447"/>
      <c r="AJ245" s="447"/>
      <c r="AL245" s="447"/>
      <c r="AM245" s="447"/>
      <c r="AN245" s="447"/>
      <c r="AO245" s="447"/>
      <c r="AP245" s="447"/>
      <c r="AQ245" s="447"/>
      <c r="AR245" s="447"/>
      <c r="AS245" s="447"/>
      <c r="AT245" s="447"/>
      <c r="AU245" s="447"/>
      <c r="AV245" s="447"/>
      <c r="AW245" s="447"/>
      <c r="AX245" s="447"/>
      <c r="AY245" s="447"/>
      <c r="AZ245" s="447"/>
      <c r="BA245" s="447"/>
      <c r="BB245" s="447"/>
      <c r="BC245" s="447"/>
      <c r="BD245" s="447"/>
      <c r="BE245" s="447"/>
      <c r="BF245" s="447"/>
      <c r="BG245" s="447"/>
      <c r="BH245" s="447"/>
      <c r="BI245" s="447">
        <v>10.4</v>
      </c>
      <c r="BJ245" s="447"/>
      <c r="BK245" s="447"/>
      <c r="BL245" s="447"/>
      <c r="BM245" s="454"/>
      <c r="BN245" s="271"/>
      <c r="BO245" s="447"/>
      <c r="BP245" s="447"/>
      <c r="BQ245" s="447"/>
      <c r="BR245" s="271"/>
      <c r="BS245" s="271"/>
      <c r="BT245" s="271"/>
      <c r="BU245" s="271"/>
      <c r="BV245" s="454">
        <v>0</v>
      </c>
      <c r="BW245" s="454"/>
      <c r="BX245" s="573"/>
      <c r="BY245" s="854"/>
      <c r="BZ245" s="854"/>
      <c r="CA245" s="854"/>
      <c r="CB245" s="854"/>
      <c r="CC245" s="854"/>
      <c r="CD245" s="854"/>
      <c r="CE245" s="854"/>
      <c r="CF245" s="854"/>
      <c r="CG245" s="36"/>
      <c r="CH245" s="419" t="s">
        <v>2195</v>
      </c>
      <c r="CI245" s="406" t="s">
        <v>2177</v>
      </c>
      <c r="CJ245" s="23"/>
      <c r="CK245" s="641" t="s">
        <v>2196</v>
      </c>
      <c r="CL245" s="417"/>
      <c r="CM245" s="431"/>
      <c r="CN245" s="128"/>
      <c r="CO245" s="128"/>
      <c r="CP245" s="128"/>
      <c r="CQ245" s="128"/>
      <c r="CR245" s="845" t="str">
        <f t="shared" si="26"/>
        <v>2013_KeTN</v>
      </c>
      <c r="CS245" s="648" t="str">
        <f t="shared" si="27"/>
        <v>Kerala and Tamil Nadu: coastal communities</v>
      </c>
      <c r="CT245" s="35" t="str">
        <f t="shared" si="21"/>
        <v/>
      </c>
      <c r="CU245" s="23" t="str">
        <f t="shared" si="22"/>
        <v>rural</v>
      </c>
      <c r="CV245" s="23" t="str">
        <f t="shared" si="28"/>
        <v>IV</v>
      </c>
      <c r="CW245" s="579" t="str">
        <f t="shared" si="23"/>
        <v/>
      </c>
      <c r="CX245" s="23" t="str">
        <f t="shared" si="24"/>
        <v/>
      </c>
      <c r="CY245" s="35">
        <f t="shared" si="29"/>
        <v>0</v>
      </c>
      <c r="CZ245" s="35">
        <f t="shared" si="30"/>
        <v>202</v>
      </c>
      <c r="DA245" s="648" t="str">
        <f t="shared" si="25"/>
        <v>George C., Lalitha A.R.N., Antony A., Kumar A.V. &amp; Jacob K.S. (2016), ‘Antenatal depression in coastal South India: Prevalence and risk factors in the community’, International Journal of Social Psychiatry 62(2): 141-7.</v>
      </c>
    </row>
    <row r="246" spans="1:105" x14ac:dyDescent="0.2">
      <c r="B246" s="541" t="s">
        <v>2200</v>
      </c>
      <c r="C246" s="390" t="s">
        <v>70</v>
      </c>
      <c r="D246" s="36" t="s">
        <v>1125</v>
      </c>
      <c r="E246" s="48" t="s">
        <v>1652</v>
      </c>
      <c r="F246" s="48" t="s">
        <v>2690</v>
      </c>
      <c r="H246" s="478">
        <v>6</v>
      </c>
      <c r="I246" s="481">
        <v>2013</v>
      </c>
      <c r="J246" s="551">
        <v>2013</v>
      </c>
      <c r="K246" s="827">
        <v>2014</v>
      </c>
      <c r="M246" s="586" t="s">
        <v>18</v>
      </c>
      <c r="O246" s="1" t="s">
        <v>2197</v>
      </c>
      <c r="P246" s="1">
        <v>15</v>
      </c>
      <c r="Q246" s="1">
        <v>40</v>
      </c>
      <c r="R246" s="3">
        <f>17*0.0488 + 25.5*0.6298 + 35.5*0.3213</f>
        <v>28.295649999999995</v>
      </c>
      <c r="U246" s="4">
        <v>389</v>
      </c>
      <c r="V246" s="504">
        <v>0</v>
      </c>
      <c r="X246" s="121"/>
      <c r="Y246" s="454"/>
      <c r="AB246" s="739">
        <f>100*261/389</f>
        <v>67.095115681233935</v>
      </c>
      <c r="AK246" s="452"/>
      <c r="AM246" s="452"/>
      <c r="AN246" s="739">
        <f>100*66/389</f>
        <v>16.966580976863753</v>
      </c>
      <c r="AO246" s="452"/>
      <c r="AQ246" s="452"/>
      <c r="AR246" s="739">
        <f>100*(16+12)/389</f>
        <v>7.1979434447300772</v>
      </c>
      <c r="AS246" s="452"/>
      <c r="AU246" s="452"/>
      <c r="AW246" s="452"/>
      <c r="AY246" s="739"/>
      <c r="AZ246" s="739"/>
      <c r="BC246" s="452"/>
      <c r="BD246" s="739">
        <f>100*58/389</f>
        <v>14.910025706940875</v>
      </c>
      <c r="BE246" s="739"/>
      <c r="BF246" s="739"/>
      <c r="BI246" s="452"/>
      <c r="BJ246" s="739">
        <f>100*66/389</f>
        <v>16.966580976863753</v>
      </c>
      <c r="BK246" s="739"/>
      <c r="BL246" s="739">
        <f>100*12/389</f>
        <v>3.0848329048843186</v>
      </c>
      <c r="BM246" s="452"/>
      <c r="BO246" s="452"/>
      <c r="BQ246" s="452">
        <v>68.12</v>
      </c>
      <c r="BU246" s="440">
        <v>1</v>
      </c>
      <c r="BV246" s="440">
        <v>0</v>
      </c>
      <c r="BW246" s="452"/>
      <c r="BX246" s="573"/>
      <c r="BY246" s="854"/>
      <c r="BZ246" s="854"/>
      <c r="CA246" s="854"/>
      <c r="CB246" s="854"/>
      <c r="CC246" s="854"/>
      <c r="CD246" s="854"/>
      <c r="CE246" s="854"/>
      <c r="CF246" s="854"/>
      <c r="CH246" s="424" t="s">
        <v>2198</v>
      </c>
      <c r="CI246" s="638" t="s">
        <v>2177</v>
      </c>
      <c r="CK246" s="48" t="s">
        <v>2199</v>
      </c>
      <c r="CR246" s="845" t="str">
        <f t="shared" si="26"/>
        <v>2013_Mah</v>
      </c>
      <c r="CS246" s="648" t="str">
        <f t="shared" si="27"/>
        <v>Maharashtra: Sawangi Village, Wardha</v>
      </c>
      <c r="CT246" s="35">
        <f t="shared" si="21"/>
        <v>2013</v>
      </c>
      <c r="CU246" s="23" t="str">
        <f t="shared" si="22"/>
        <v>rural</v>
      </c>
      <c r="CV246" s="23" t="str">
        <f t="shared" si="28"/>
        <v>II</v>
      </c>
      <c r="CW246" s="579" t="str">
        <f t="shared" si="23"/>
        <v/>
      </c>
      <c r="CX246" s="23" t="str">
        <f t="shared" si="24"/>
        <v/>
      </c>
      <c r="CY246" s="35" t="str">
        <f t="shared" si="29"/>
        <v>15-40</v>
      </c>
      <c r="CZ246" s="35">
        <f t="shared" si="30"/>
        <v>389</v>
      </c>
      <c r="DA246" s="648" t="str">
        <f t="shared" si="25"/>
        <v>Khapre M.P., Mudey A.B., Meshram R.D., Nayak S.C. &amp; Wagh V.V. (2014), ‘Domestic violence against married women in rural area of Wardha District: a community based cross sectional study’, National Journal of Community Medicine 5(4):355-8.</v>
      </c>
    </row>
    <row r="247" spans="1:105" x14ac:dyDescent="0.2">
      <c r="B247" s="541" t="s">
        <v>2308</v>
      </c>
      <c r="C247" s="390" t="s">
        <v>70</v>
      </c>
      <c r="D247" s="36" t="s">
        <v>1125</v>
      </c>
      <c r="E247" s="48" t="s">
        <v>1652</v>
      </c>
      <c r="F247" s="48" t="s">
        <v>1607</v>
      </c>
      <c r="H247" s="478"/>
      <c r="I247" s="481">
        <v>2013</v>
      </c>
      <c r="J247" s="551">
        <v>2013</v>
      </c>
      <c r="K247" s="827">
        <v>2014</v>
      </c>
      <c r="M247" s="586" t="s">
        <v>78</v>
      </c>
      <c r="R247" s="3">
        <v>23</v>
      </c>
      <c r="U247" s="4">
        <v>404</v>
      </c>
      <c r="V247" s="504">
        <v>1</v>
      </c>
      <c r="W247" s="630" t="s">
        <v>2205</v>
      </c>
      <c r="X247" s="121">
        <f>(3*(23+114) + 12*(14+253))/404</f>
        <v>8.9480198019801982</v>
      </c>
      <c r="Y247" s="454"/>
      <c r="AK247" s="452"/>
      <c r="AM247" s="452"/>
      <c r="AN247" s="739"/>
      <c r="AO247" s="452"/>
      <c r="AQ247" s="452"/>
      <c r="AR247" s="739"/>
      <c r="AS247" s="452"/>
      <c r="AU247" s="452"/>
      <c r="AW247" s="452"/>
      <c r="AY247" s="739"/>
      <c r="AZ247" s="739"/>
      <c r="BC247" s="452"/>
      <c r="BD247" s="739"/>
      <c r="BE247" s="739"/>
      <c r="BF247" s="739"/>
      <c r="BI247" s="452"/>
      <c r="BJ247" s="739">
        <v>9.15</v>
      </c>
      <c r="BK247" s="739"/>
      <c r="BL247" s="739"/>
      <c r="BM247" s="452"/>
      <c r="BO247" s="452"/>
      <c r="BU247" s="440">
        <v>9</v>
      </c>
      <c r="BV247" s="440">
        <v>1</v>
      </c>
      <c r="BW247" s="452">
        <v>95</v>
      </c>
      <c r="BX247" s="573">
        <f>1/37</f>
        <v>2.7027027027027029E-2</v>
      </c>
      <c r="BY247" s="854"/>
      <c r="BZ247" s="854"/>
      <c r="CA247" s="854"/>
      <c r="CB247" s="854"/>
      <c r="CC247" s="854"/>
      <c r="CD247" s="854"/>
      <c r="CE247" s="854"/>
      <c r="CF247" s="854"/>
      <c r="CH247" s="424" t="s">
        <v>2203</v>
      </c>
      <c r="CI247" s="638" t="s">
        <v>2204</v>
      </c>
      <c r="CK247" s="48" t="s">
        <v>2206</v>
      </c>
      <c r="CR247" s="845" t="str">
        <f t="shared" si="26"/>
        <v>2013_Pun1</v>
      </c>
      <c r="CS247" s="648" t="str">
        <f t="shared" si="27"/>
        <v>Maharashtra: Pune</v>
      </c>
      <c r="CT247" s="35" t="str">
        <f t="shared" si="21"/>
        <v/>
      </c>
      <c r="CU247" s="23" t="str">
        <f t="shared" si="22"/>
        <v>both</v>
      </c>
      <c r="CV247" s="23" t="str">
        <f t="shared" si="28"/>
        <v>IV</v>
      </c>
      <c r="CW247" s="579" t="str">
        <f t="shared" si="23"/>
        <v/>
      </c>
      <c r="CX247" s="23" t="str">
        <f t="shared" si="24"/>
        <v/>
      </c>
      <c r="CY247" s="35">
        <f t="shared" si="29"/>
        <v>0</v>
      </c>
      <c r="CZ247" s="35">
        <f t="shared" si="30"/>
        <v>404</v>
      </c>
      <c r="DA247" s="648" t="str">
        <f t="shared" si="25"/>
        <v>Salvi P., Pardeshi G., Bhosale R. &amp; Chandanwale A. (2014), ‘Magnitude and risk factors for physical domestic violence during pregnancy’, International Journal of Scientific Study 2(9):69-73.</v>
      </c>
    </row>
    <row r="248" spans="1:105" x14ac:dyDescent="0.2">
      <c r="B248" s="541" t="s">
        <v>2309</v>
      </c>
      <c r="C248" s="390" t="s">
        <v>70</v>
      </c>
      <c r="D248" s="36" t="s">
        <v>1125</v>
      </c>
      <c r="E248" s="48" t="s">
        <v>1652</v>
      </c>
      <c r="F248" s="48" t="s">
        <v>1607</v>
      </c>
      <c r="H248" s="478">
        <v>2</v>
      </c>
      <c r="I248" s="481">
        <v>2013</v>
      </c>
      <c r="J248" s="551">
        <v>2013</v>
      </c>
      <c r="K248" s="827">
        <v>2015</v>
      </c>
      <c r="M248" s="586" t="s">
        <v>18</v>
      </c>
      <c r="N248" s="499" t="s">
        <v>2313</v>
      </c>
      <c r="O248" s="1" t="s">
        <v>1894</v>
      </c>
      <c r="P248" s="1">
        <v>18</v>
      </c>
      <c r="R248" s="3">
        <v>35</v>
      </c>
      <c r="S248" s="3">
        <v>15</v>
      </c>
      <c r="U248" s="4">
        <v>630</v>
      </c>
      <c r="V248" s="504">
        <v>0</v>
      </c>
      <c r="W248" s="630" t="s">
        <v>2314</v>
      </c>
      <c r="X248" s="121">
        <f>0*0.11 + 4*0.22 + 9*0.28 + 12*0.39</f>
        <v>8.08</v>
      </c>
      <c r="Y248" s="271">
        <v>24</v>
      </c>
      <c r="AA248" s="440">
        <v>60</v>
      </c>
      <c r="AC248" s="440">
        <v>15</v>
      </c>
      <c r="AE248" s="440">
        <v>9</v>
      </c>
      <c r="AG248" s="440">
        <v>1</v>
      </c>
      <c r="AI248" s="452"/>
      <c r="AK248" s="452"/>
      <c r="AM248" s="452">
        <v>36</v>
      </c>
      <c r="AN248" s="739"/>
      <c r="AO248" s="452">
        <v>2</v>
      </c>
      <c r="AQ248" s="452">
        <f>14+4</f>
        <v>18</v>
      </c>
      <c r="AR248" s="739"/>
      <c r="AS248" s="452">
        <v>0.5</v>
      </c>
      <c r="AU248" s="452">
        <v>0.5</v>
      </c>
      <c r="AW248" s="452">
        <f>0.5 + 0.5</f>
        <v>1</v>
      </c>
      <c r="AY248" s="739"/>
      <c r="AZ248" s="739"/>
      <c r="BA248" s="452">
        <v>0.5</v>
      </c>
      <c r="BC248" s="452">
        <v>1</v>
      </c>
      <c r="BD248" s="739"/>
      <c r="BE248" s="739"/>
      <c r="BF248" s="739"/>
      <c r="BI248" s="452"/>
      <c r="BJ248" s="739"/>
      <c r="BK248" s="739"/>
      <c r="BL248" s="739"/>
      <c r="BM248" s="452">
        <v>7</v>
      </c>
      <c r="BO248" s="452"/>
      <c r="BV248" s="440">
        <v>1</v>
      </c>
      <c r="BW248" s="452"/>
      <c r="BX248" s="573"/>
      <c r="BY248" s="854"/>
      <c r="BZ248" s="854"/>
      <c r="CA248" s="854"/>
      <c r="CB248" s="854"/>
      <c r="CC248" s="854"/>
      <c r="CD248" s="854"/>
      <c r="CE248" s="854"/>
      <c r="CF248" s="854"/>
      <c r="CH248" s="424" t="s">
        <v>2312</v>
      </c>
      <c r="CI248" s="638" t="s">
        <v>2311</v>
      </c>
      <c r="CK248" s="48" t="s">
        <v>2310</v>
      </c>
      <c r="CR248" s="845" t="str">
        <f t="shared" ref="CR248:CR265" si="31">B248</f>
        <v>2013_Pun2</v>
      </c>
      <c r="CS248" s="648" t="str">
        <f t="shared" si="27"/>
        <v>Maharashtra: Pune</v>
      </c>
      <c r="CT248" s="35">
        <f t="shared" si="21"/>
        <v>2013</v>
      </c>
      <c r="CU248" s="23" t="str">
        <f t="shared" si="22"/>
        <v>urban</v>
      </c>
      <c r="CV248" s="23" t="str">
        <f t="shared" si="28"/>
        <v>II</v>
      </c>
      <c r="CW248" s="579" t="str">
        <f t="shared" si="23"/>
        <v/>
      </c>
      <c r="CX248" s="23" t="str">
        <f t="shared" si="24"/>
        <v/>
      </c>
      <c r="CY248" s="35" t="str">
        <f t="shared" si="29"/>
        <v>18+</v>
      </c>
      <c r="CZ248" s="35">
        <f t="shared" si="30"/>
        <v>630</v>
      </c>
      <c r="DA248" s="648" t="str">
        <f t="shared" si="25"/>
        <v>Kalokhe A.S., Stephenson R., Kelley M.E., Dunkle K.L., Paranjape A., Solas V., Karve L., del Rio C. &amp; Sahay S. (2016), ‘The Development and Validation of the Indian Family Violence and Control Scale’, PLoS ONE 11(1):1-15.</v>
      </c>
    </row>
    <row r="249" spans="1:105" x14ac:dyDescent="0.2">
      <c r="B249" s="541" t="s">
        <v>2328</v>
      </c>
      <c r="C249" s="390" t="s">
        <v>70</v>
      </c>
      <c r="D249" s="36" t="s">
        <v>1125</v>
      </c>
      <c r="E249" s="48" t="s">
        <v>2323</v>
      </c>
      <c r="H249" s="478"/>
      <c r="I249" s="481">
        <v>2013</v>
      </c>
      <c r="J249" s="551"/>
      <c r="K249" s="827">
        <v>2016</v>
      </c>
      <c r="M249" s="586" t="s">
        <v>18</v>
      </c>
      <c r="O249" s="586" t="s">
        <v>2324</v>
      </c>
      <c r="P249" s="98">
        <v>18</v>
      </c>
      <c r="Q249" s="98">
        <v>35</v>
      </c>
      <c r="U249" s="4">
        <v>2249</v>
      </c>
      <c r="V249" s="504">
        <v>0</v>
      </c>
      <c r="W249" s="630" t="s">
        <v>2325</v>
      </c>
      <c r="X249" s="121"/>
      <c r="Y249" s="454"/>
      <c r="AB249" s="452"/>
      <c r="AK249" s="452"/>
      <c r="AM249" s="452"/>
      <c r="AN249" s="739"/>
      <c r="AO249" s="452"/>
      <c r="AQ249" s="452"/>
      <c r="AR249" s="739"/>
      <c r="AS249" s="452"/>
      <c r="AU249" s="452"/>
      <c r="AW249" s="452"/>
      <c r="AY249" s="452"/>
      <c r="AZ249" s="452"/>
      <c r="BC249" s="742"/>
      <c r="BD249" s="452"/>
      <c r="BE249" s="452"/>
      <c r="BF249" s="452"/>
      <c r="BI249" s="452">
        <f>(8.9*650 + 1.8*1148 + 0*451)/2249</f>
        <v>3.4910626945309025</v>
      </c>
      <c r="BJ249" s="452"/>
      <c r="BK249" s="452"/>
      <c r="BL249" s="452"/>
      <c r="BM249" s="452">
        <f>(4*650 + 1.5*1148 + 2.4*451)/2249</f>
        <v>2.4030235660293462</v>
      </c>
      <c r="BP249" s="447"/>
      <c r="BQ249" s="452"/>
      <c r="BR249" s="452"/>
      <c r="BS249" s="452">
        <v>26.4</v>
      </c>
      <c r="BV249" s="454">
        <v>0</v>
      </c>
      <c r="BW249" s="452"/>
      <c r="BX249" s="573"/>
      <c r="BY249" s="854"/>
      <c r="BZ249" s="854"/>
      <c r="CA249" s="854"/>
      <c r="CB249" s="854"/>
      <c r="CC249" s="854"/>
      <c r="CD249" s="854"/>
      <c r="CE249" s="854"/>
      <c r="CF249" s="854"/>
      <c r="CH249" s="424" t="s">
        <v>2326</v>
      </c>
      <c r="CI249" s="638" t="s">
        <v>2318</v>
      </c>
      <c r="CK249" s="48" t="s">
        <v>2327</v>
      </c>
      <c r="CR249" s="845" t="str">
        <f t="shared" si="31"/>
        <v>2013_ASM</v>
      </c>
      <c r="CS249" s="648" t="str">
        <f t="shared" si="27"/>
        <v xml:space="preserve">Assam, Sikkim and Meghalaya: </v>
      </c>
      <c r="CT249" s="35" t="str">
        <f t="shared" si="21"/>
        <v/>
      </c>
      <c r="CU249" s="23" t="str">
        <f t="shared" si="22"/>
        <v>both</v>
      </c>
      <c r="CV249" s="23" t="str">
        <f t="shared" si="28"/>
        <v>II</v>
      </c>
      <c r="CW249" s="579" t="str">
        <f t="shared" si="23"/>
        <v/>
      </c>
      <c r="CX249" s="23" t="str">
        <f t="shared" si="24"/>
        <v/>
      </c>
      <c r="CY249" s="35" t="str">
        <f t="shared" si="29"/>
        <v>18-35</v>
      </c>
      <c r="CZ249" s="35">
        <f t="shared" si="30"/>
        <v>2249</v>
      </c>
      <c r="DA249" s="648" t="str">
        <f t="shared" si="25"/>
        <v>Borah P.K., Kundu A.S. &amp; Mahanta J. (2017), ‘Dimension and socio-demographic correlates of domestic violence: a study from Northeast India’, Community Mental Health Journal 53(4):496-9.</v>
      </c>
    </row>
    <row r="250" spans="1:105" x14ac:dyDescent="0.2">
      <c r="B250" s="541" t="s">
        <v>2585</v>
      </c>
      <c r="C250" s="390" t="s">
        <v>70</v>
      </c>
      <c r="D250" s="36" t="s">
        <v>1125</v>
      </c>
      <c r="E250" s="48" t="s">
        <v>2581</v>
      </c>
      <c r="H250" s="478">
        <v>6</v>
      </c>
      <c r="I250" s="481">
        <v>2014</v>
      </c>
      <c r="J250" s="551">
        <v>2014</v>
      </c>
      <c r="K250" s="827">
        <v>2014</v>
      </c>
      <c r="L250" s="490" t="s">
        <v>2586</v>
      </c>
      <c r="M250" s="586" t="s">
        <v>78</v>
      </c>
      <c r="O250" s="586" t="s">
        <v>2588</v>
      </c>
      <c r="P250" s="98">
        <v>15</v>
      </c>
      <c r="Q250" s="98"/>
      <c r="R250" s="3">
        <v>25</v>
      </c>
      <c r="U250" s="4">
        <v>11151</v>
      </c>
      <c r="V250" s="504">
        <v>1</v>
      </c>
      <c r="W250" s="630" t="s">
        <v>2587</v>
      </c>
      <c r="X250" s="121"/>
      <c r="Y250" s="454"/>
      <c r="AB250" s="452"/>
      <c r="AK250" s="452"/>
      <c r="AM250" s="452">
        <v>39</v>
      </c>
      <c r="AN250" s="739"/>
      <c r="AO250" s="452">
        <v>20</v>
      </c>
      <c r="AQ250" s="452">
        <v>14</v>
      </c>
      <c r="AR250" s="739"/>
      <c r="AS250" s="452"/>
      <c r="AU250" s="452">
        <f>0.5*12</f>
        <v>6</v>
      </c>
      <c r="AW250" s="452">
        <v>4</v>
      </c>
      <c r="AY250" s="452"/>
      <c r="AZ250" s="452"/>
      <c r="BC250" s="452">
        <f>0.5*12</f>
        <v>6</v>
      </c>
      <c r="BD250" s="452"/>
      <c r="BE250" s="452"/>
      <c r="BF250" s="452"/>
      <c r="BI250" s="452">
        <v>45</v>
      </c>
      <c r="BJ250" s="452"/>
      <c r="BK250" s="452">
        <v>28</v>
      </c>
      <c r="BL250" s="452"/>
      <c r="BM250" s="452">
        <v>16</v>
      </c>
      <c r="BP250" s="447"/>
      <c r="BQ250" s="452"/>
      <c r="BR250" s="452"/>
      <c r="BS250" s="452"/>
      <c r="BV250" s="454">
        <v>0</v>
      </c>
      <c r="BW250" s="452"/>
      <c r="BX250" s="573"/>
      <c r="BY250" s="854"/>
      <c r="BZ250" s="854"/>
      <c r="CA250" s="854"/>
      <c r="CB250" s="854"/>
      <c r="CC250" s="854"/>
      <c r="CD250" s="854"/>
      <c r="CE250" s="854"/>
      <c r="CF250" s="854"/>
      <c r="CH250" s="424" t="s">
        <v>2590</v>
      </c>
      <c r="CI250" s="638" t="s">
        <v>2582</v>
      </c>
      <c r="CK250" s="48" t="s">
        <v>2589</v>
      </c>
      <c r="CR250" s="845" t="str">
        <f t="shared" si="31"/>
        <v>2014_Bih</v>
      </c>
      <c r="CS250" s="648" t="str">
        <f t="shared" si="27"/>
        <v xml:space="preserve">Bihar: </v>
      </c>
      <c r="CT250" s="35">
        <f t="shared" si="21"/>
        <v>2014</v>
      </c>
      <c r="CU250" s="23" t="str">
        <f t="shared" si="22"/>
        <v>rural</v>
      </c>
      <c r="CV250" s="23" t="str">
        <f t="shared" si="28"/>
        <v>IV</v>
      </c>
      <c r="CW250" s="579" t="str">
        <f t="shared" si="23"/>
        <v>ANANYA</v>
      </c>
      <c r="CX250" s="23" t="str">
        <f t="shared" si="24"/>
        <v/>
      </c>
      <c r="CY250" s="35" t="str">
        <f t="shared" si="29"/>
        <v>15-30+</v>
      </c>
      <c r="CZ250" s="35">
        <f t="shared" si="30"/>
        <v>11151</v>
      </c>
      <c r="DA250" s="648" t="str">
        <f t="shared" si="25"/>
        <v>Mathematica Policy Research (2014), ‘Midline findings from the evaluation of the Ananya program in Bihar’, Final report, Mathematica Policy Research: Princeton NJ.</v>
      </c>
    </row>
    <row r="251" spans="1:105" x14ac:dyDescent="0.2">
      <c r="B251" s="541" t="s">
        <v>2427</v>
      </c>
      <c r="C251" s="390" t="s">
        <v>70</v>
      </c>
      <c r="D251" s="36" t="s">
        <v>1125</v>
      </c>
      <c r="E251" s="48" t="s">
        <v>1752</v>
      </c>
      <c r="H251" s="478">
        <v>2</v>
      </c>
      <c r="I251" s="481">
        <v>2014</v>
      </c>
      <c r="J251" s="551">
        <v>2014</v>
      </c>
      <c r="K251" s="827">
        <v>2016</v>
      </c>
      <c r="M251" s="586" t="s">
        <v>78</v>
      </c>
      <c r="O251" s="586" t="s">
        <v>546</v>
      </c>
      <c r="P251" s="98">
        <v>15</v>
      </c>
      <c r="Q251" s="98">
        <v>45</v>
      </c>
      <c r="R251" s="3">
        <f>(17.5*43 + 23*220 + 28*112 + 38*26)/401</f>
        <v>24.779301745635909</v>
      </c>
      <c r="U251" s="4">
        <v>401</v>
      </c>
      <c r="V251" s="504">
        <v>1</v>
      </c>
      <c r="W251" s="630" t="s">
        <v>2430</v>
      </c>
      <c r="X251" s="121">
        <f>(0*84 + 3*51 + 8*178 + 11.5*40 + 15*48)/401</f>
        <v>6.8753117206982548</v>
      </c>
      <c r="Y251" s="454"/>
      <c r="AA251" s="452">
        <v>32.700000000000003</v>
      </c>
      <c r="AK251" s="452">
        <v>2.4900000000000002</v>
      </c>
      <c r="AM251" s="452">
        <v>19.45</v>
      </c>
      <c r="AN251" s="739"/>
      <c r="AO251" s="452"/>
      <c r="AQ251" s="452">
        <v>9.4</v>
      </c>
      <c r="AR251" s="739"/>
      <c r="AS251" s="452">
        <v>9.4</v>
      </c>
      <c r="AU251" s="452">
        <v>4.9800000000000004</v>
      </c>
      <c r="AW251" s="452">
        <v>0.99</v>
      </c>
      <c r="AY251" s="452"/>
      <c r="AZ251" s="452"/>
      <c r="BD251" s="452"/>
      <c r="BE251" s="452"/>
      <c r="BF251" s="452"/>
      <c r="BI251" s="452">
        <v>22.4</v>
      </c>
      <c r="BJ251" s="452"/>
      <c r="BK251" s="452"/>
      <c r="BL251" s="452"/>
      <c r="BO251" s="452">
        <v>38.4</v>
      </c>
      <c r="BP251" s="447"/>
      <c r="BQ251" s="452"/>
      <c r="BR251" s="452"/>
      <c r="BS251" s="452">
        <v>48.63</v>
      </c>
      <c r="BV251" s="454">
        <v>0</v>
      </c>
      <c r="BW251" s="452"/>
      <c r="BX251" s="573">
        <v>4.6100000000000002E-2</v>
      </c>
      <c r="BY251" s="854"/>
      <c r="BZ251" s="854"/>
      <c r="CA251" s="854"/>
      <c r="CB251" s="854"/>
      <c r="CC251" s="854"/>
      <c r="CD251" s="854"/>
      <c r="CE251" s="854"/>
      <c r="CF251" s="854"/>
      <c r="CH251" s="424" t="s">
        <v>2428</v>
      </c>
      <c r="CI251" s="638" t="s">
        <v>2429</v>
      </c>
      <c r="CK251" s="48" t="s">
        <v>2431</v>
      </c>
      <c r="CR251" s="845" t="str">
        <f t="shared" si="31"/>
        <v>2014_Del</v>
      </c>
      <c r="CS251" s="648" t="str">
        <f t="shared" si="27"/>
        <v xml:space="preserve">Delhi: </v>
      </c>
      <c r="CT251" s="35">
        <f t="shared" si="21"/>
        <v>2014</v>
      </c>
      <c r="CU251" s="23" t="str">
        <f t="shared" si="22"/>
        <v>urban</v>
      </c>
      <c r="CV251" s="23" t="str">
        <f t="shared" si="28"/>
        <v>IV</v>
      </c>
      <c r="CW251" s="579" t="str">
        <f t="shared" si="23"/>
        <v/>
      </c>
      <c r="CX251" s="23" t="str">
        <f t="shared" si="24"/>
        <v/>
      </c>
      <c r="CY251" s="35" t="str">
        <f t="shared" si="29"/>
        <v>15-45</v>
      </c>
      <c r="CZ251" s="35">
        <f t="shared" si="30"/>
        <v>401</v>
      </c>
      <c r="DA251" s="648" t="str">
        <f t="shared" si="25"/>
        <v>Mundhra R., Singh N., Kaushik S. &amp; Mendiratta A. (2016), ‘Intimate Partner Violence: associated factors and acceptability of contraception among the women’, Indian Journal of Community Medicine 41(3):203-7.</v>
      </c>
    </row>
    <row r="252" spans="1:105" x14ac:dyDescent="0.2">
      <c r="B252" s="541" t="s">
        <v>2441</v>
      </c>
      <c r="C252" s="390" t="s">
        <v>70</v>
      </c>
      <c r="D252" s="36" t="s">
        <v>1125</v>
      </c>
      <c r="E252" s="48" t="s">
        <v>1644</v>
      </c>
      <c r="H252" s="478">
        <v>2</v>
      </c>
      <c r="I252" s="481">
        <v>2014</v>
      </c>
      <c r="J252" s="551"/>
      <c r="K252" s="827">
        <v>2017</v>
      </c>
      <c r="M252" s="586" t="s">
        <v>78</v>
      </c>
      <c r="O252" s="586"/>
      <c r="P252" s="98"/>
      <c r="Q252" s="98"/>
      <c r="U252" s="4">
        <v>200</v>
      </c>
      <c r="V252" s="504">
        <v>1</v>
      </c>
      <c r="W252" s="630" t="s">
        <v>2284</v>
      </c>
      <c r="X252" s="121"/>
      <c r="Y252" s="454"/>
      <c r="AB252" s="452"/>
      <c r="AK252" s="452"/>
      <c r="AM252" s="452"/>
      <c r="AN252" s="739"/>
      <c r="AO252" s="452"/>
      <c r="AQ252" s="452"/>
      <c r="AR252" s="739"/>
      <c r="AS252" s="452"/>
      <c r="AU252" s="452"/>
      <c r="AW252" s="452"/>
      <c r="AY252" s="452"/>
      <c r="AZ252" s="452"/>
      <c r="BC252" s="742"/>
      <c r="BD252" s="452"/>
      <c r="BE252" s="452"/>
      <c r="BF252" s="452"/>
      <c r="BI252" s="452"/>
      <c r="BJ252" s="452"/>
      <c r="BK252" s="452"/>
      <c r="BL252" s="452"/>
      <c r="BM252" s="452"/>
      <c r="BN252" s="744">
        <f>0.88*BT252</f>
        <v>11</v>
      </c>
      <c r="BP252" s="447"/>
      <c r="BQ252" s="452"/>
      <c r="BR252" s="452"/>
      <c r="BT252" s="452">
        <v>12.5</v>
      </c>
      <c r="BU252" s="440">
        <v>9</v>
      </c>
      <c r="BV252" s="454">
        <v>1</v>
      </c>
      <c r="BW252" s="452">
        <v>72</v>
      </c>
      <c r="BX252" s="573">
        <v>0.02</v>
      </c>
      <c r="BY252" s="854"/>
      <c r="BZ252" s="854"/>
      <c r="CA252" s="854"/>
      <c r="CB252" s="854"/>
      <c r="CC252" s="854"/>
      <c r="CD252" s="854"/>
      <c r="CE252" s="854"/>
      <c r="CF252" s="854"/>
      <c r="CH252" s="424" t="s">
        <v>2283</v>
      </c>
      <c r="CI252" s="638" t="s">
        <v>2268</v>
      </c>
      <c r="CK252" s="48" t="s">
        <v>2285</v>
      </c>
      <c r="CR252" s="845" t="str">
        <f t="shared" si="31"/>
        <v>2014_Mum1</v>
      </c>
      <c r="CS252" s="648" t="str">
        <f t="shared" si="27"/>
        <v xml:space="preserve">Mumbai: </v>
      </c>
      <c r="CT252" s="35" t="str">
        <f t="shared" si="21"/>
        <v/>
      </c>
      <c r="CU252" s="23" t="str">
        <f t="shared" si="22"/>
        <v>urban</v>
      </c>
      <c r="CV252" s="23" t="str">
        <f t="shared" si="28"/>
        <v>IV</v>
      </c>
      <c r="CW252" s="579" t="str">
        <f t="shared" si="23"/>
        <v/>
      </c>
      <c r="CX252" s="23" t="str">
        <f t="shared" si="24"/>
        <v/>
      </c>
      <c r="CY252" s="35">
        <f t="shared" si="29"/>
        <v>0</v>
      </c>
      <c r="CZ252" s="35">
        <f t="shared" si="30"/>
        <v>200</v>
      </c>
      <c r="DA252" s="648" t="str">
        <f t="shared" si="25"/>
        <v xml:space="preserve">Jagtap V.R. &amp; Samant P.Y. (2017), ‘Association of adverse pregnancy outcome and domestic/intimate partner violence’, International Journal of Reproduction, Contraception, Obstetrics and Gynecology 6(6):2527-31. </v>
      </c>
    </row>
    <row r="253" spans="1:105" x14ac:dyDescent="0.2">
      <c r="B253" s="541" t="s">
        <v>2440</v>
      </c>
      <c r="C253" s="390" t="s">
        <v>70</v>
      </c>
      <c r="D253" s="36" t="s">
        <v>1125</v>
      </c>
      <c r="E253" s="48" t="s">
        <v>1644</v>
      </c>
      <c r="F253" s="48" t="s">
        <v>2442</v>
      </c>
      <c r="G253" s="1">
        <v>1</v>
      </c>
      <c r="H253" s="478">
        <v>2</v>
      </c>
      <c r="I253" s="481">
        <v>2014</v>
      </c>
      <c r="J253" s="551">
        <v>2014</v>
      </c>
      <c r="K253" s="827">
        <v>2015</v>
      </c>
      <c r="M253" s="586" t="s">
        <v>18</v>
      </c>
      <c r="N253" s="499" t="s">
        <v>783</v>
      </c>
      <c r="O253" s="586" t="s">
        <v>1925</v>
      </c>
      <c r="P253" s="98">
        <v>15</v>
      </c>
      <c r="Q253" s="98">
        <v>25</v>
      </c>
      <c r="R253" s="3">
        <v>21.68</v>
      </c>
      <c r="U253" s="4">
        <v>150</v>
      </c>
      <c r="V253" s="504">
        <v>0</v>
      </c>
      <c r="X253" s="121">
        <v>6.4</v>
      </c>
      <c r="Y253" s="454">
        <v>27.3</v>
      </c>
      <c r="AA253" s="440">
        <v>38</v>
      </c>
      <c r="AB253" s="452"/>
      <c r="AE253" s="452">
        <v>16.7</v>
      </c>
      <c r="AK253" s="452"/>
      <c r="AM253" s="452">
        <v>36</v>
      </c>
      <c r="AN253" s="739"/>
      <c r="AO253" s="452">
        <v>17</v>
      </c>
      <c r="AQ253" s="452">
        <v>15</v>
      </c>
      <c r="AR253" s="739"/>
      <c r="AS253" s="452">
        <v>12</v>
      </c>
      <c r="AU253" s="452">
        <f>0.5*17</f>
        <v>8.5</v>
      </c>
      <c r="AW253" s="452"/>
      <c r="AY253" s="452"/>
      <c r="AZ253" s="452"/>
      <c r="BC253" s="452">
        <f>0.5*17</f>
        <v>8.5</v>
      </c>
      <c r="BD253" s="452"/>
      <c r="BE253" s="452"/>
      <c r="BF253" s="452"/>
      <c r="BI253" s="452"/>
      <c r="BJ253" s="452"/>
      <c r="BK253" s="452">
        <v>16</v>
      </c>
      <c r="BL253" s="452"/>
      <c r="BM253" s="452">
        <v>11</v>
      </c>
      <c r="BN253" s="744"/>
      <c r="BP253" s="447"/>
      <c r="BQ253" s="452"/>
      <c r="BR253" s="452"/>
      <c r="BT253" s="452"/>
      <c r="BV253" s="454">
        <v>1</v>
      </c>
      <c r="BW253" s="452">
        <f>100*36/(36+9)</f>
        <v>80</v>
      </c>
      <c r="BX253" s="573"/>
      <c r="BY253" s="854"/>
      <c r="BZ253" s="854"/>
      <c r="CA253" s="854"/>
      <c r="CB253" s="854"/>
      <c r="CC253" s="854"/>
      <c r="CD253" s="854"/>
      <c r="CE253" s="854"/>
      <c r="CF253" s="854"/>
      <c r="CH253" s="424" t="s">
        <v>2619</v>
      </c>
      <c r="CI253" s="638" t="s">
        <v>2620</v>
      </c>
      <c r="CK253" s="48" t="s">
        <v>2618</v>
      </c>
      <c r="CR253" s="845" t="str">
        <f t="shared" si="31"/>
        <v>2014_Mum2</v>
      </c>
      <c r="CS253" s="648" t="str">
        <f t="shared" si="27"/>
        <v>Mumbai: 2 communities in north east Mumbai</v>
      </c>
      <c r="CT253" s="35">
        <f t="shared" si="21"/>
        <v>2014</v>
      </c>
      <c r="CU253" s="23" t="str">
        <f t="shared" si="22"/>
        <v>urban</v>
      </c>
      <c r="CV253" s="23" t="str">
        <f t="shared" si="28"/>
        <v>II</v>
      </c>
      <c r="CW253" s="579" t="str">
        <f t="shared" si="23"/>
        <v/>
      </c>
      <c r="CX253" s="23" t="str">
        <f t="shared" si="24"/>
        <v>y</v>
      </c>
      <c r="CY253" s="35" t="str">
        <f t="shared" si="29"/>
        <v>15-25</v>
      </c>
      <c r="CZ253" s="35">
        <f t="shared" si="30"/>
        <v>150</v>
      </c>
      <c r="DA253" s="648" t="str">
        <f t="shared" si="25"/>
        <v xml:space="preserve">Brault M.A. (2015), "Married young women’s sexual and reproductive health in low-income communities in Mumbai, India". Doctoral Dissertation 756. </v>
      </c>
    </row>
    <row r="254" spans="1:105" x14ac:dyDescent="0.2">
      <c r="B254" s="537" t="s">
        <v>2580</v>
      </c>
      <c r="C254" s="551" t="s">
        <v>70</v>
      </c>
      <c r="D254" s="527" t="s">
        <v>1125</v>
      </c>
      <c r="E254" s="647" t="s">
        <v>2581</v>
      </c>
      <c r="F254" s="48" t="s">
        <v>2691</v>
      </c>
      <c r="H254" s="478">
        <v>6</v>
      </c>
      <c r="I254" s="740">
        <v>2015</v>
      </c>
      <c r="J254" s="827">
        <v>2015</v>
      </c>
      <c r="K254" s="827">
        <v>2017</v>
      </c>
      <c r="M254" s="586" t="s">
        <v>17</v>
      </c>
      <c r="O254" s="586" t="s">
        <v>1872</v>
      </c>
      <c r="P254" s="1">
        <v>18</v>
      </c>
      <c r="Q254" s="586">
        <v>39</v>
      </c>
      <c r="R254" s="3">
        <v>25</v>
      </c>
      <c r="U254" s="4">
        <v>1153</v>
      </c>
      <c r="V254" s="504">
        <v>1</v>
      </c>
      <c r="W254" s="630" t="s">
        <v>2628</v>
      </c>
      <c r="X254" s="121">
        <v>4.5</v>
      </c>
      <c r="Y254" s="454"/>
      <c r="AB254" s="452">
        <v>84.7</v>
      </c>
      <c r="AK254" s="452"/>
      <c r="AM254" s="452"/>
      <c r="AN254" s="739"/>
      <c r="AO254" s="452"/>
      <c r="AQ254" s="452"/>
      <c r="AR254" s="739"/>
      <c r="AS254" s="452"/>
      <c r="AU254" s="452"/>
      <c r="AW254" s="452"/>
      <c r="AY254" s="739"/>
      <c r="AZ254" s="739"/>
      <c r="BC254" s="452"/>
      <c r="BD254" s="739"/>
      <c r="BE254" s="739"/>
      <c r="BF254" s="739"/>
      <c r="BJ254" s="452">
        <v>16.399999999999999</v>
      </c>
      <c r="BK254" s="739"/>
      <c r="BL254" s="739"/>
      <c r="BM254" s="452"/>
      <c r="BO254" s="452"/>
      <c r="BP254" s="452">
        <v>50.7</v>
      </c>
      <c r="BR254" s="452">
        <v>66.7</v>
      </c>
      <c r="BT254" s="452">
        <v>88.9</v>
      </c>
      <c r="BU254" s="440">
        <v>12</v>
      </c>
      <c r="BV254" s="440">
        <v>0</v>
      </c>
      <c r="BW254" s="452"/>
      <c r="BX254" s="573">
        <v>7.0000000000000001E-3</v>
      </c>
      <c r="BY254" s="854"/>
      <c r="BZ254" s="854"/>
      <c r="CA254" s="854">
        <v>0.33600000000000002</v>
      </c>
      <c r="CB254" s="854"/>
      <c r="CC254" s="854"/>
      <c r="CD254" s="854">
        <v>0.40899999999999997</v>
      </c>
      <c r="CE254" s="854">
        <v>0.88700000000000001</v>
      </c>
      <c r="CF254" s="854">
        <v>0.878</v>
      </c>
      <c r="CH254" s="424" t="s">
        <v>2583</v>
      </c>
      <c r="CI254" s="638" t="s">
        <v>2582</v>
      </c>
      <c r="CK254" s="48" t="s">
        <v>2584</v>
      </c>
      <c r="CR254" s="845" t="str">
        <f t="shared" si="31"/>
        <v>2015_Bih</v>
      </c>
      <c r="CS254" s="648" t="str">
        <f t="shared" si="27"/>
        <v>Bihar: Phulwarisharif block, Patna</v>
      </c>
      <c r="CT254" s="35" t="str">
        <f t="shared" si="21"/>
        <v/>
      </c>
      <c r="CU254" s="23" t="str">
        <f t="shared" si="22"/>
        <v>rural</v>
      </c>
      <c r="CV254" s="23" t="str">
        <f t="shared" si="28"/>
        <v>I</v>
      </c>
      <c r="CW254" s="579" t="str">
        <f t="shared" si="23"/>
        <v/>
      </c>
      <c r="CX254" s="23" t="str">
        <f t="shared" si="24"/>
        <v/>
      </c>
      <c r="CY254" s="35" t="str">
        <f t="shared" si="29"/>
        <v>18-39</v>
      </c>
      <c r="CZ254" s="35">
        <f t="shared" si="30"/>
        <v>1153</v>
      </c>
      <c r="DA254" s="648" t="str">
        <f t="shared" si="25"/>
        <v xml:space="preserve">Jejeebhoy S.J., Santhya K.G., Singh S.K., Zavier A.J.F., Pandey N., Acharya R., Saxena K., Gogoi A., Joshi M. &amp; Ojha S. (2017) ‘Feasibility of screening and referring women experiencing marital violence by engaging frontline workers: Evidence from rural Bihar’. New Delhi: Population Council. </v>
      </c>
    </row>
    <row r="255" spans="1:105" x14ac:dyDescent="0.2">
      <c r="B255" s="537" t="s">
        <v>2629</v>
      </c>
      <c r="C255" s="551" t="s">
        <v>70</v>
      </c>
      <c r="D255" s="527" t="s">
        <v>1125</v>
      </c>
      <c r="E255" s="647" t="s">
        <v>2581</v>
      </c>
      <c r="F255" s="48" t="s">
        <v>2691</v>
      </c>
      <c r="H255" s="478">
        <v>6</v>
      </c>
      <c r="I255" s="740">
        <v>2016</v>
      </c>
      <c r="J255" s="827">
        <v>2016</v>
      </c>
      <c r="K255" s="827">
        <v>2017</v>
      </c>
      <c r="M255" s="586" t="s">
        <v>17</v>
      </c>
      <c r="O255" s="586" t="s">
        <v>2245</v>
      </c>
      <c r="P255" s="1">
        <f>18+1</f>
        <v>19</v>
      </c>
      <c r="Q255" s="586">
        <f>39+1</f>
        <v>40</v>
      </c>
      <c r="R255" s="3">
        <f>25+1</f>
        <v>26</v>
      </c>
      <c r="U255" s="4">
        <v>1081</v>
      </c>
      <c r="V255" s="504">
        <v>1</v>
      </c>
      <c r="W255" s="630" t="s">
        <v>2627</v>
      </c>
      <c r="X255" s="121">
        <v>4.5</v>
      </c>
      <c r="Y255" s="454"/>
      <c r="AB255" s="452"/>
      <c r="AK255" s="452"/>
      <c r="AM255" s="452"/>
      <c r="AN255" s="739"/>
      <c r="AO255" s="452"/>
      <c r="AQ255" s="452"/>
      <c r="AR255" s="739"/>
      <c r="AS255" s="452"/>
      <c r="AU255" s="452"/>
      <c r="AW255" s="452"/>
      <c r="AY255" s="739"/>
      <c r="AZ255" s="739"/>
      <c r="BC255" s="452"/>
      <c r="BD255" s="739"/>
      <c r="BE255" s="739"/>
      <c r="BF255" s="739"/>
      <c r="BI255" s="452">
        <f>100*418/1081</f>
        <v>38.66790009250694</v>
      </c>
      <c r="BK255" s="739"/>
      <c r="BL255" s="739"/>
      <c r="BM255" s="452"/>
      <c r="BO255" s="452"/>
      <c r="BP255" s="452"/>
      <c r="BR255" s="452"/>
      <c r="BT255" s="452"/>
      <c r="BW255" s="452"/>
      <c r="BX255" s="573">
        <f>0.01*(2.2*225 + 0.5*195 + 1.6*64)/(225+195+64)</f>
        <v>1.4357438016528926E-2</v>
      </c>
      <c r="BY255" s="854"/>
      <c r="BZ255" s="854"/>
      <c r="CA255" s="854"/>
      <c r="CB255" s="854"/>
      <c r="CC255" s="854"/>
      <c r="CD255" s="854"/>
      <c r="CE255" s="854"/>
      <c r="CF255" s="854"/>
      <c r="CH255" s="424" t="s">
        <v>2583</v>
      </c>
      <c r="CI255" s="638" t="s">
        <v>2582</v>
      </c>
      <c r="CK255" s="48" t="s">
        <v>2584</v>
      </c>
      <c r="CR255" s="845" t="str">
        <f t="shared" si="31"/>
        <v>2016_Bih</v>
      </c>
      <c r="CS255" s="648" t="str">
        <f t="shared" si="27"/>
        <v>Bihar: Phulwarisharif block, Patna</v>
      </c>
      <c r="CT255" s="35" t="str">
        <f t="shared" si="21"/>
        <v/>
      </c>
      <c r="CU255" s="23" t="str">
        <f t="shared" si="22"/>
        <v>rural</v>
      </c>
      <c r="CV255" s="23" t="str">
        <f t="shared" si="28"/>
        <v>I</v>
      </c>
      <c r="CW255" s="579" t="str">
        <f t="shared" si="23"/>
        <v/>
      </c>
      <c r="CX255" s="23" t="str">
        <f t="shared" si="24"/>
        <v/>
      </c>
      <c r="CY255" s="35" t="str">
        <f t="shared" si="29"/>
        <v>19-40</v>
      </c>
      <c r="CZ255" s="35">
        <f t="shared" si="30"/>
        <v>1081</v>
      </c>
      <c r="DA255" s="648" t="str">
        <f t="shared" si="25"/>
        <v xml:space="preserve">Jejeebhoy S.J., Santhya K.G., Singh S.K., Zavier A.J.F., Pandey N., Acharya R., Saxena K., Gogoi A., Joshi M. &amp; Ojha S. (2017) ‘Feasibility of screening and referring women experiencing marital violence by engaging frontline workers: Evidence from rural Bihar’. New Delhi: Population Council. </v>
      </c>
    </row>
    <row r="256" spans="1:105" s="35" customFormat="1" ht="12" customHeight="1" x14ac:dyDescent="0.2">
      <c r="A256" s="651"/>
      <c r="B256" s="537" t="s">
        <v>1709</v>
      </c>
      <c r="C256" s="390" t="s">
        <v>70</v>
      </c>
      <c r="D256" s="36" t="s">
        <v>1125</v>
      </c>
      <c r="E256" s="647" t="s">
        <v>14</v>
      </c>
      <c r="F256" s="647"/>
      <c r="G256" s="98">
        <v>0</v>
      </c>
      <c r="H256" s="97"/>
      <c r="I256" s="533" t="s">
        <v>1522</v>
      </c>
      <c r="J256" s="128">
        <v>2015</v>
      </c>
      <c r="K256" s="128">
        <v>2015</v>
      </c>
      <c r="L256" s="494" t="s">
        <v>244</v>
      </c>
      <c r="M256" s="247" t="s">
        <v>17</v>
      </c>
      <c r="N256" s="494" t="s">
        <v>783</v>
      </c>
      <c r="O256" s="479" t="s">
        <v>19</v>
      </c>
      <c r="P256" s="98">
        <v>15</v>
      </c>
      <c r="Q256" s="98">
        <v>49</v>
      </c>
      <c r="R256" s="167"/>
      <c r="S256" s="167"/>
      <c r="T256" s="167"/>
      <c r="U256" s="700">
        <v>699686</v>
      </c>
      <c r="V256" s="692">
        <v>0</v>
      </c>
      <c r="W256" s="700"/>
      <c r="X256" s="121">
        <f>0*0.186 + 5*0.299 + 15*0.515</f>
        <v>9.2200000000000006</v>
      </c>
      <c r="Y256" s="271"/>
      <c r="Z256" s="271"/>
      <c r="AA256" s="271"/>
      <c r="AB256" s="271"/>
      <c r="AC256" s="271"/>
      <c r="AD256" s="271"/>
      <c r="AE256" s="271"/>
      <c r="AF256" s="271"/>
      <c r="AG256" s="271"/>
      <c r="AH256" s="271"/>
      <c r="AI256" s="271"/>
      <c r="AJ256" s="271"/>
      <c r="AK256" s="271"/>
      <c r="AL256" s="271"/>
      <c r="AM256" s="271"/>
      <c r="AN256" s="271"/>
      <c r="AO256" s="271"/>
      <c r="AP256" s="271"/>
      <c r="AQ256" s="271"/>
      <c r="AR256" s="271"/>
      <c r="AS256" s="271"/>
      <c r="AT256" s="271"/>
      <c r="AU256" s="271"/>
      <c r="AV256" s="271"/>
      <c r="AW256" s="271"/>
      <c r="AX256" s="271"/>
      <c r="AY256" s="440"/>
      <c r="AZ256" s="440"/>
      <c r="BA256" s="271"/>
      <c r="BB256" s="271"/>
      <c r="BC256" s="440"/>
      <c r="BD256" s="440"/>
      <c r="BE256" s="477"/>
      <c r="BF256" s="477"/>
      <c r="BG256" s="271"/>
      <c r="BH256" s="271"/>
      <c r="BI256" s="454">
        <v>28.8</v>
      </c>
      <c r="BJ256" s="477">
        <v>3.3</v>
      </c>
      <c r="BK256" s="477"/>
      <c r="BL256" s="477"/>
      <c r="BM256" s="271"/>
      <c r="BN256" s="271"/>
      <c r="BO256" s="271"/>
      <c r="BP256" s="271"/>
      <c r="BQ256" s="271"/>
      <c r="BR256" s="271"/>
      <c r="BS256" s="271"/>
      <c r="BT256" s="271"/>
      <c r="BU256" s="271">
        <v>9</v>
      </c>
      <c r="BV256" s="454">
        <v>0</v>
      </c>
      <c r="BW256" s="454"/>
      <c r="BX256" s="573"/>
      <c r="BY256" s="854"/>
      <c r="BZ256" s="854"/>
      <c r="CA256" s="854"/>
      <c r="CB256" s="854"/>
      <c r="CC256" s="854"/>
      <c r="CD256" s="854"/>
      <c r="CE256" s="854"/>
      <c r="CF256" s="854"/>
      <c r="CG256" s="36"/>
      <c r="CH256" s="419" t="s">
        <v>1523</v>
      </c>
      <c r="CI256" s="406"/>
      <c r="CJ256" s="23"/>
      <c r="CK256" s="417"/>
      <c r="CL256" s="572"/>
      <c r="CM256" s="431"/>
      <c r="CN256" s="128"/>
      <c r="CO256" s="128"/>
      <c r="CP256" s="128"/>
      <c r="CQ256" s="128"/>
      <c r="CR256" s="845" t="str">
        <f t="shared" si="31"/>
        <v>2015_DHS</v>
      </c>
      <c r="CS256" s="648" t="str">
        <f t="shared" si="27"/>
        <v xml:space="preserve">national: </v>
      </c>
      <c r="CT256" s="35" t="str">
        <f t="shared" si="21"/>
        <v/>
      </c>
      <c r="CU256" s="23" t="str">
        <f t="shared" si="22"/>
        <v>both</v>
      </c>
      <c r="CV256" s="23" t="str">
        <f t="shared" si="28"/>
        <v>I</v>
      </c>
      <c r="CW256" s="579" t="str">
        <f t="shared" si="23"/>
        <v>DHS</v>
      </c>
      <c r="CX256" s="23" t="str">
        <f t="shared" si="24"/>
        <v>y</v>
      </c>
      <c r="CY256" s="35" t="str">
        <f t="shared" si="29"/>
        <v>15-49</v>
      </c>
      <c r="CZ256" s="35">
        <f t="shared" si="30"/>
        <v>699686</v>
      </c>
      <c r="DA256" s="648">
        <f t="shared" si="25"/>
        <v>0</v>
      </c>
    </row>
    <row r="257" spans="1:105" x14ac:dyDescent="0.2">
      <c r="B257" s="537" t="s">
        <v>2279</v>
      </c>
      <c r="C257" s="390" t="s">
        <v>70</v>
      </c>
      <c r="D257" s="36" t="s">
        <v>1125</v>
      </c>
      <c r="E257" s="665" t="s">
        <v>1661</v>
      </c>
      <c r="F257" s="48" t="s">
        <v>2280</v>
      </c>
      <c r="H257" s="478"/>
      <c r="I257" s="740">
        <v>2015</v>
      </c>
      <c r="J257" s="827">
        <v>2015</v>
      </c>
      <c r="K257" s="827">
        <v>2017</v>
      </c>
      <c r="M257" s="586" t="s">
        <v>15</v>
      </c>
      <c r="O257" s="479" t="s">
        <v>19</v>
      </c>
      <c r="P257" s="98">
        <v>15</v>
      </c>
      <c r="Q257" s="98">
        <v>49</v>
      </c>
      <c r="R257" s="3">
        <f>17*0.0316 + 22*0.1 + 27*0.1583 + 32*0.2667 + 37*0.165 + 42*0.1417 + 47*0.1367</f>
        <v>34.027000000000001</v>
      </c>
      <c r="S257" s="167"/>
      <c r="U257" s="4">
        <v>600</v>
      </c>
      <c r="V257" s="504">
        <v>0</v>
      </c>
      <c r="X257" s="121">
        <f>0*0.3383 + 3.9*0.265 + 9*0.2333 + 12*0.105 + 15*0.0584</f>
        <v>5.2692000000000005</v>
      </c>
      <c r="Y257" s="454"/>
      <c r="AB257" s="452"/>
      <c r="AK257" s="452"/>
      <c r="AM257" s="452"/>
      <c r="AN257" s="739"/>
      <c r="AO257" s="452"/>
      <c r="AQ257" s="452"/>
      <c r="AR257" s="739"/>
      <c r="AS257" s="452"/>
      <c r="AU257" s="452"/>
      <c r="AW257" s="452"/>
      <c r="AY257" s="739"/>
      <c r="AZ257" s="739"/>
      <c r="BC257" s="452"/>
      <c r="BD257" s="739"/>
      <c r="BE257" s="739"/>
      <c r="BF257" s="739"/>
      <c r="BI257" s="452">
        <v>38.5</v>
      </c>
      <c r="BJ257" s="739"/>
      <c r="BK257" s="739"/>
      <c r="BL257" s="739"/>
      <c r="BM257" s="452"/>
      <c r="BO257" s="452"/>
      <c r="BR257" s="452"/>
      <c r="BW257" s="452"/>
      <c r="BX257" s="573"/>
      <c r="BY257" s="854"/>
      <c r="BZ257" s="854"/>
      <c r="CA257" s="854"/>
      <c r="CB257" s="854"/>
      <c r="CC257" s="854"/>
      <c r="CD257" s="854"/>
      <c r="CE257" s="854"/>
      <c r="CF257" s="854"/>
      <c r="CH257" s="424" t="s">
        <v>2282</v>
      </c>
      <c r="CI257" s="638" t="s">
        <v>2268</v>
      </c>
      <c r="CK257" s="48" t="s">
        <v>2281</v>
      </c>
      <c r="CR257" s="845" t="str">
        <f t="shared" si="31"/>
        <v>2015_Guj</v>
      </c>
      <c r="CS257" s="648" t="str">
        <f t="shared" si="27"/>
        <v>Gujarat: Surendranagar district</v>
      </c>
      <c r="CT257" s="35" t="str">
        <f t="shared" si="21"/>
        <v/>
      </c>
      <c r="CU257" s="23" t="str">
        <f t="shared" si="22"/>
        <v>both</v>
      </c>
      <c r="CV257" s="23" t="str">
        <f t="shared" si="28"/>
        <v>III</v>
      </c>
      <c r="CW257" s="579" t="str">
        <f t="shared" si="23"/>
        <v/>
      </c>
      <c r="CX257" s="23" t="str">
        <f t="shared" si="24"/>
        <v/>
      </c>
      <c r="CY257" s="35" t="str">
        <f t="shared" si="29"/>
        <v>15-49</v>
      </c>
      <c r="CZ257" s="35">
        <f t="shared" si="30"/>
        <v>600</v>
      </c>
      <c r="DA257" s="648" t="str">
        <f t="shared" si="25"/>
        <v>Vachhani P.V., Bhimani N.R., Purani S.K. &amp; Kartha G.P. (2017), ‘Epidemiology of domestic violence among married women: a community based cross-sectional study’, International Journal of Community Medicine and Public Health 4(4):1353-9.</v>
      </c>
    </row>
    <row r="258" spans="1:105" x14ac:dyDescent="0.2">
      <c r="B258" s="541" t="s">
        <v>2286</v>
      </c>
      <c r="C258" s="390" t="s">
        <v>70</v>
      </c>
      <c r="D258" s="36" t="s">
        <v>1125</v>
      </c>
      <c r="E258" s="48" t="s">
        <v>1652</v>
      </c>
      <c r="F258" s="48" t="s">
        <v>2692</v>
      </c>
      <c r="I258" s="166">
        <v>2015</v>
      </c>
      <c r="J258" s="571">
        <v>2015</v>
      </c>
      <c r="K258" s="571">
        <v>2016</v>
      </c>
      <c r="M258" s="586" t="s">
        <v>18</v>
      </c>
      <c r="O258" s="586" t="s">
        <v>2287</v>
      </c>
      <c r="P258" s="1">
        <v>20</v>
      </c>
      <c r="R258" s="3">
        <v>31</v>
      </c>
      <c r="U258" s="4">
        <v>400</v>
      </c>
      <c r="V258" s="504">
        <v>0</v>
      </c>
      <c r="W258" s="630" t="s">
        <v>2290</v>
      </c>
      <c r="X258" s="39">
        <f>0*0.1575 + 6*0.7625 + 15*0.08</f>
        <v>5.7749999999999995</v>
      </c>
      <c r="Y258" s="454">
        <f>100*79/400</f>
        <v>19.75</v>
      </c>
      <c r="AA258" s="452">
        <f>100*(39+48+1+25)/400</f>
        <v>28.25</v>
      </c>
      <c r="AC258" s="452">
        <f>100*113/400</f>
        <v>28.25</v>
      </c>
      <c r="AE258" s="452">
        <f>100*47/400</f>
        <v>11.75</v>
      </c>
      <c r="AI258" s="452">
        <f>100*39/400</f>
        <v>9.75</v>
      </c>
      <c r="AM258" s="452">
        <f>100*120/400</f>
        <v>30</v>
      </c>
      <c r="AQ258" s="452">
        <f>100*94/400</f>
        <v>23.5</v>
      </c>
      <c r="AU258" s="452">
        <f>0.5*100*65/400</f>
        <v>8.125</v>
      </c>
      <c r="AW258" s="452">
        <f>100*50/400</f>
        <v>12.5</v>
      </c>
      <c r="AY258" s="452">
        <f>100*78/400</f>
        <v>19.5</v>
      </c>
      <c r="BC258" s="452">
        <f>0.5*100*65/400</f>
        <v>8.125</v>
      </c>
      <c r="BI258" s="440">
        <f>100*(43+48+4+25)/400</f>
        <v>30</v>
      </c>
      <c r="BM258" s="452">
        <f>100*31/400</f>
        <v>7.75</v>
      </c>
      <c r="BO258" s="447">
        <f>100*20/400</f>
        <v>5</v>
      </c>
      <c r="BS258" s="452">
        <v>40.25</v>
      </c>
      <c r="BV258" s="440">
        <v>0</v>
      </c>
      <c r="BX258" s="573"/>
      <c r="BY258" s="854"/>
      <c r="BZ258" s="854"/>
      <c r="CA258" s="854"/>
      <c r="CB258" s="854"/>
      <c r="CC258" s="854"/>
      <c r="CD258" s="854"/>
      <c r="CE258" s="854"/>
      <c r="CF258" s="854"/>
      <c r="CH258" s="424" t="s">
        <v>2289</v>
      </c>
      <c r="CI258" s="638" t="s">
        <v>2268</v>
      </c>
      <c r="CK258" s="48" t="s">
        <v>2288</v>
      </c>
      <c r="CR258" s="845" t="str">
        <f t="shared" si="31"/>
        <v>2015_Mah</v>
      </c>
      <c r="CS258" s="648" t="str">
        <f t="shared" si="27"/>
        <v>Maharashtra: Nerpinglai, Amravati district</v>
      </c>
      <c r="CT258" s="35">
        <f t="shared" si="21"/>
        <v>2015</v>
      </c>
      <c r="CU258" s="23" t="str">
        <f t="shared" si="22"/>
        <v>both</v>
      </c>
      <c r="CV258" s="23" t="str">
        <f t="shared" si="28"/>
        <v>II</v>
      </c>
      <c r="CW258" s="579" t="str">
        <f t="shared" si="23"/>
        <v/>
      </c>
      <c r="CX258" s="23" t="str">
        <f t="shared" si="24"/>
        <v/>
      </c>
      <c r="CY258" s="35" t="str">
        <f t="shared" si="29"/>
        <v>20-40+</v>
      </c>
      <c r="CZ258" s="35">
        <f t="shared" si="30"/>
        <v>400</v>
      </c>
      <c r="DA258" s="648" t="str">
        <f t="shared" si="25"/>
        <v>Jawarkar A.K., Shemar H., Wasnik V.R. &amp; Chavan M.S. (2016), ‘Domestic violence against women: a crossectional study in rural area of Amravati district of Maharashtra, India’, International Journal of Research in Medical Sciences 4(7):2713-8.</v>
      </c>
    </row>
    <row r="259" spans="1:105" x14ac:dyDescent="0.2">
      <c r="B259" s="541" t="s">
        <v>2497</v>
      </c>
      <c r="C259" s="390" t="s">
        <v>70</v>
      </c>
      <c r="D259" s="36" t="s">
        <v>1125</v>
      </c>
      <c r="E259" s="48" t="s">
        <v>1644</v>
      </c>
      <c r="F259" s="48" t="s">
        <v>2498</v>
      </c>
      <c r="G259" s="1">
        <v>1</v>
      </c>
      <c r="H259">
        <v>2</v>
      </c>
      <c r="I259" s="166">
        <v>2015</v>
      </c>
      <c r="J259" s="571">
        <v>2015</v>
      </c>
      <c r="K259" s="571">
        <v>2017</v>
      </c>
      <c r="L259" s="490" t="s">
        <v>2499</v>
      </c>
      <c r="M259" s="586" t="s">
        <v>17</v>
      </c>
      <c r="O259" s="586" t="s">
        <v>2505</v>
      </c>
      <c r="P259" s="98">
        <v>9</v>
      </c>
      <c r="Q259" s="247">
        <v>48</v>
      </c>
      <c r="R259" s="3">
        <v>18.04</v>
      </c>
      <c r="S259" s="3">
        <v>18.04</v>
      </c>
      <c r="U259" s="4">
        <v>6316</v>
      </c>
      <c r="V259" s="692">
        <v>0</v>
      </c>
      <c r="W259" s="700" t="s">
        <v>2452</v>
      </c>
      <c r="X259" s="39">
        <f>0*(0.309+0.056) + 2.5*0.199 + 6.5*0.278 + 9.5*0.103 + 11.5*0.033 + 15*(0.009+0.007+0.005)</f>
        <v>3.9775</v>
      </c>
      <c r="Y259" s="454">
        <v>8</v>
      </c>
      <c r="AE259" s="452"/>
      <c r="AI259" s="452"/>
      <c r="AM259" s="452">
        <v>23.5</v>
      </c>
      <c r="AN259" s="739"/>
      <c r="AO259" s="452"/>
      <c r="AQ259" s="452">
        <v>16.3</v>
      </c>
      <c r="AS259" s="452">
        <v>12.3</v>
      </c>
      <c r="AU259" s="452">
        <v>10.1</v>
      </c>
      <c r="AW259" s="452">
        <v>4</v>
      </c>
      <c r="BI259" s="452">
        <v>18.5</v>
      </c>
      <c r="BK259" s="452">
        <v>12.4</v>
      </c>
      <c r="BM259" s="452">
        <v>16.2</v>
      </c>
      <c r="BO259" s="447"/>
      <c r="BQ259" s="452">
        <v>19.2</v>
      </c>
      <c r="BS259" s="452">
        <v>20</v>
      </c>
      <c r="BV259" s="440">
        <v>1</v>
      </c>
      <c r="BW259" s="452"/>
      <c r="BX259" s="573"/>
      <c r="BY259" s="854"/>
      <c r="BZ259" s="854"/>
      <c r="CA259" s="854"/>
      <c r="CB259" s="854"/>
      <c r="CC259" s="854"/>
      <c r="CD259" s="854"/>
      <c r="CE259" s="854"/>
      <c r="CF259" s="854"/>
      <c r="CH259" s="424" t="s">
        <v>2500</v>
      </c>
      <c r="CI259" s="638" t="s">
        <v>2501</v>
      </c>
      <c r="CK259" s="48" t="s">
        <v>2506</v>
      </c>
      <c r="CR259" s="845" t="str">
        <f t="shared" si="31"/>
        <v>2015_Mum</v>
      </c>
      <c r="CS259" s="648" t="str">
        <f t="shared" si="27"/>
        <v>Mumbai: Shivaji Nagar</v>
      </c>
      <c r="CT259" s="35">
        <f t="shared" si="21"/>
        <v>2015</v>
      </c>
      <c r="CU259" s="23" t="str">
        <f t="shared" si="22"/>
        <v>urban</v>
      </c>
      <c r="CV259" s="23" t="str">
        <f t="shared" si="28"/>
        <v>I</v>
      </c>
      <c r="CW259" s="579" t="str">
        <f t="shared" si="23"/>
        <v>Apnalaya</v>
      </c>
      <c r="CX259" s="23" t="str">
        <f t="shared" si="24"/>
        <v/>
      </c>
      <c r="CY259" s="35" t="str">
        <f t="shared" si="29"/>
        <v xml:space="preserve"> 9-48</v>
      </c>
      <c r="CZ259" s="35">
        <f t="shared" si="30"/>
        <v>6316</v>
      </c>
      <c r="DA259" s="648" t="str">
        <f t="shared" si="25"/>
        <v>Kumar A., Singh A., Wagh R., Chatterjee S. &amp; Ochaney S. (2017), ‘Life on the margin: charting realities’, in Kumar A. &amp; Mehta A. (editors), Apnalaya studies, Series – I</v>
      </c>
    </row>
    <row r="260" spans="1:105" s="35" customFormat="1" ht="12" customHeight="1" x14ac:dyDescent="0.2">
      <c r="A260" s="664"/>
      <c r="B260" s="537" t="s">
        <v>2125</v>
      </c>
      <c r="C260" s="390" t="s">
        <v>70</v>
      </c>
      <c r="D260" s="36" t="s">
        <v>1125</v>
      </c>
      <c r="E260" s="665" t="s">
        <v>2129</v>
      </c>
      <c r="F260" s="665" t="s">
        <v>2126</v>
      </c>
      <c r="G260" s="480"/>
      <c r="H260" s="478">
        <v>6</v>
      </c>
      <c r="I260" s="166">
        <v>2015</v>
      </c>
      <c r="J260" s="571">
        <v>2015</v>
      </c>
      <c r="K260" s="571">
        <v>2016</v>
      </c>
      <c r="L260" s="494"/>
      <c r="M260" s="247" t="s">
        <v>18</v>
      </c>
      <c r="N260" s="494" t="s">
        <v>783</v>
      </c>
      <c r="O260" s="479" t="s">
        <v>21</v>
      </c>
      <c r="P260" s="98">
        <v>18</v>
      </c>
      <c r="Q260" s="247">
        <v>49</v>
      </c>
      <c r="R260" s="291">
        <v>33.9</v>
      </c>
      <c r="S260" s="291">
        <v>20.8</v>
      </c>
      <c r="T260" s="291">
        <f>2*0.19 + 7*0.21 + 15*0.6</f>
        <v>10.85</v>
      </c>
      <c r="U260" s="395">
        <v>310</v>
      </c>
      <c r="V260" s="794">
        <v>0</v>
      </c>
      <c r="W260" s="720" t="s">
        <v>2130</v>
      </c>
      <c r="X260" s="291">
        <f>0*0.235 + 3.9*0.223 + 9.1*0.381 + 12*0.161</f>
        <v>6.2688000000000006</v>
      </c>
      <c r="Y260" s="447"/>
      <c r="Z260" s="473"/>
      <c r="AA260" s="447"/>
      <c r="AB260" s="447"/>
      <c r="AC260" s="636"/>
      <c r="AD260" s="447"/>
      <c r="AE260" s="447"/>
      <c r="AF260" s="447"/>
      <c r="AG260" s="447"/>
      <c r="AH260" s="447"/>
      <c r="AI260" s="447"/>
      <c r="AJ260" s="447"/>
      <c r="AL260" s="447"/>
      <c r="AM260" s="447"/>
      <c r="AN260" s="447"/>
      <c r="AO260" s="447"/>
      <c r="AP260" s="447"/>
      <c r="AQ260" s="447"/>
      <c r="AR260" s="447"/>
      <c r="AS260" s="447"/>
      <c r="AT260" s="447"/>
      <c r="AU260" s="447"/>
      <c r="AV260" s="447"/>
      <c r="AW260" s="447"/>
      <c r="AX260" s="447"/>
      <c r="AY260" s="447"/>
      <c r="AZ260" s="447"/>
      <c r="BA260" s="447"/>
      <c r="BB260" s="447"/>
      <c r="BC260" s="447"/>
      <c r="BD260" s="447"/>
      <c r="BE260" s="447"/>
      <c r="BF260" s="447"/>
      <c r="BG260" s="447"/>
      <c r="BH260" s="447"/>
      <c r="BI260" s="447">
        <v>40</v>
      </c>
      <c r="BJ260" s="447"/>
      <c r="BK260" s="447"/>
      <c r="BL260" s="447"/>
      <c r="BM260" s="447">
        <v>13.5</v>
      </c>
      <c r="BN260" s="271"/>
      <c r="BP260" s="447"/>
      <c r="BQ260" s="447"/>
      <c r="BR260" s="271"/>
      <c r="BS260" s="271"/>
      <c r="BT260" s="271"/>
      <c r="BU260" s="271"/>
      <c r="BV260" s="454">
        <v>1</v>
      </c>
      <c r="BW260" s="454">
        <v>64.2</v>
      </c>
      <c r="BX260" s="573"/>
      <c r="BY260" s="854"/>
      <c r="BZ260" s="854"/>
      <c r="CA260" s="854"/>
      <c r="CB260" s="854"/>
      <c r="CC260" s="854"/>
      <c r="CD260" s="854"/>
      <c r="CE260" s="854"/>
      <c r="CF260" s="854"/>
      <c r="CG260" s="36"/>
      <c r="CH260" s="419" t="s">
        <v>2127</v>
      </c>
      <c r="CI260" s="406" t="s">
        <v>2113</v>
      </c>
      <c r="CJ260" s="23"/>
      <c r="CK260" s="641" t="s">
        <v>2128</v>
      </c>
      <c r="CL260" s="417"/>
      <c r="CM260" s="431"/>
      <c r="CN260" s="128"/>
      <c r="CO260" s="128"/>
      <c r="CP260" s="128"/>
      <c r="CQ260" s="128"/>
      <c r="CR260" s="845" t="str">
        <f t="shared" si="31"/>
        <v>2015_Pud</v>
      </c>
      <c r="CS260" s="648" t="str">
        <f t="shared" ref="CS260:CS265" si="32">E260 &amp; ": " &amp; F260</f>
        <v>Pondicherry: Ramanathapuram village</v>
      </c>
      <c r="CT260" s="35" t="str">
        <f t="shared" si="21"/>
        <v/>
      </c>
      <c r="CU260" s="23" t="str">
        <f t="shared" si="22"/>
        <v>rural</v>
      </c>
      <c r="CV260" s="23" t="str">
        <f t="shared" ref="CV260:CV265" si="33">M260</f>
        <v>II</v>
      </c>
      <c r="CW260" s="579" t="str">
        <f t="shared" si="23"/>
        <v/>
      </c>
      <c r="CX260" s="23" t="str">
        <f t="shared" si="24"/>
        <v>y</v>
      </c>
      <c r="CY260" s="35" t="str">
        <f t="shared" ref="CY260:CY265" si="34">O260</f>
        <v>18-49</v>
      </c>
      <c r="CZ260" s="35">
        <f t="shared" ref="CZ260:CZ265" si="35">U260</f>
        <v>310</v>
      </c>
      <c r="DA260" s="648" t="str">
        <f t="shared" si="25"/>
        <v>George J., Nair D., Premkumar N.R., Saravanan N., Chinnakali P. &amp; Roy G. (2016), ‘The prevalence of domestic violence and its associated factors among married women in a rural area of Puducherry, South India’. Journal of Family Medicine and Primary Care 5(3):672-6.</v>
      </c>
    </row>
    <row r="261" spans="1:105" s="35" customFormat="1" ht="12" customHeight="1" x14ac:dyDescent="0.2">
      <c r="A261" s="664"/>
      <c r="B261" s="537" t="s">
        <v>2335</v>
      </c>
      <c r="C261" s="390" t="s">
        <v>70</v>
      </c>
      <c r="D261" s="36" t="s">
        <v>1125</v>
      </c>
      <c r="E261" s="648" t="s">
        <v>2340</v>
      </c>
      <c r="F261" s="665" t="s">
        <v>2644</v>
      </c>
      <c r="G261" s="480">
        <v>1</v>
      </c>
      <c r="H261" s="478">
        <v>2</v>
      </c>
      <c r="I261" s="166">
        <v>2016</v>
      </c>
      <c r="J261" s="571">
        <v>2016</v>
      </c>
      <c r="K261" s="571">
        <v>2017</v>
      </c>
      <c r="L261" s="494"/>
      <c r="M261" s="247" t="s">
        <v>15</v>
      </c>
      <c r="N261" s="494" t="s">
        <v>783</v>
      </c>
      <c r="O261" s="479" t="s">
        <v>19</v>
      </c>
      <c r="P261" s="98">
        <v>15</v>
      </c>
      <c r="Q261" s="98">
        <v>49</v>
      </c>
      <c r="R261" s="291">
        <v>34.54</v>
      </c>
      <c r="S261" s="291"/>
      <c r="T261" s="291"/>
      <c r="U261" s="395">
        <v>100</v>
      </c>
      <c r="V261" s="794">
        <v>0</v>
      </c>
      <c r="W261" s="720" t="s">
        <v>2339</v>
      </c>
      <c r="X261" s="291">
        <f>0*0.19 + 5*0.15 + 9*0.19 + 12*0.22 + 15*0.25</f>
        <v>8.85</v>
      </c>
      <c r="Y261" s="447">
        <v>21</v>
      </c>
      <c r="Z261" s="446">
        <v>18</v>
      </c>
      <c r="AA261" s="447">
        <v>35</v>
      </c>
      <c r="AB261" s="447"/>
      <c r="AC261" s="636">
        <v>9</v>
      </c>
      <c r="AD261" s="447">
        <v>9</v>
      </c>
      <c r="AE261" s="447">
        <v>6</v>
      </c>
      <c r="AF261" s="447">
        <v>1</v>
      </c>
      <c r="AG261" s="447"/>
      <c r="AH261" s="447"/>
      <c r="AI261" s="447">
        <v>7</v>
      </c>
      <c r="AJ261" s="447">
        <v>6</v>
      </c>
      <c r="AL261" s="447"/>
      <c r="AM261" s="447">
        <v>34</v>
      </c>
      <c r="AN261" s="447">
        <v>14</v>
      </c>
      <c r="AO261" s="447">
        <v>16</v>
      </c>
      <c r="AP261" s="447">
        <v>12</v>
      </c>
      <c r="AQ261" s="447">
        <v>13</v>
      </c>
      <c r="AR261" s="447">
        <v>10</v>
      </c>
      <c r="AS261" s="447">
        <v>21</v>
      </c>
      <c r="AT261" s="447">
        <v>15</v>
      </c>
      <c r="AU261" s="447">
        <v>11</v>
      </c>
      <c r="AV261" s="447">
        <v>6</v>
      </c>
      <c r="AW261" s="447">
        <v>4</v>
      </c>
      <c r="AX261" s="447">
        <v>4</v>
      </c>
      <c r="AY261" s="447"/>
      <c r="AZ261" s="447"/>
      <c r="BA261" s="447"/>
      <c r="BB261" s="447"/>
      <c r="BC261" s="447"/>
      <c r="BD261" s="447"/>
      <c r="BE261" s="447"/>
      <c r="BF261" s="447"/>
      <c r="BG261" s="447"/>
      <c r="BH261" s="447"/>
      <c r="BI261" s="447">
        <v>34</v>
      </c>
      <c r="BJ261" s="447"/>
      <c r="BK261" s="447"/>
      <c r="BL261" s="447"/>
      <c r="BM261" s="35">
        <v>15</v>
      </c>
      <c r="BN261" s="271">
        <v>11</v>
      </c>
      <c r="BO261" s="447">
        <v>4</v>
      </c>
      <c r="BP261" s="447">
        <v>4</v>
      </c>
      <c r="BQ261" s="447">
        <v>35</v>
      </c>
      <c r="BR261" s="271">
        <v>26</v>
      </c>
      <c r="BS261" s="271">
        <v>35</v>
      </c>
      <c r="BT261" s="271"/>
      <c r="BU261" s="271">
        <v>12</v>
      </c>
      <c r="BV261" s="454">
        <v>1</v>
      </c>
      <c r="BW261" s="454"/>
      <c r="BX261" s="573"/>
      <c r="BY261" s="854"/>
      <c r="BZ261" s="854"/>
      <c r="CA261" s="854"/>
      <c r="CB261" s="854"/>
      <c r="CC261" s="854"/>
      <c r="CD261" s="854"/>
      <c r="CE261" s="854"/>
      <c r="CF261" s="854"/>
      <c r="CG261" s="36"/>
      <c r="CH261" s="419" t="s">
        <v>2338</v>
      </c>
      <c r="CI261" s="406" t="s">
        <v>2337</v>
      </c>
      <c r="CJ261" s="23"/>
      <c r="CK261" s="641" t="s">
        <v>2336</v>
      </c>
      <c r="CL261" s="417"/>
      <c r="CM261" s="431"/>
      <c r="CN261" s="128"/>
      <c r="CO261" s="128"/>
      <c r="CP261" s="128"/>
      <c r="CQ261" s="128"/>
      <c r="CR261" s="845" t="str">
        <f t="shared" si="31"/>
        <v>2016_Bhub</v>
      </c>
      <c r="CS261" s="648" t="str">
        <f t="shared" si="32"/>
        <v>Orissa: Niladri Vihar, Bhubaneswar</v>
      </c>
      <c r="CT261" s="35">
        <f t="shared" ref="CT261:CT265" si="36">IF((J261&gt;0)*(SUM(AG261:AX261)&gt;0)*(A261=""),J261,"")</f>
        <v>2016</v>
      </c>
      <c r="CU261" s="23" t="str">
        <f t="shared" ref="CU261:CU265" si="37">IF(H261=6,"rural",IF(H261=2,"urban","both"))</f>
        <v>urban</v>
      </c>
      <c r="CV261" s="23" t="str">
        <f t="shared" si="33"/>
        <v>III</v>
      </c>
      <c r="CW261" s="579" t="str">
        <f t="shared" ref="CW261:CW265" si="38">IF(L261&lt;&gt;"",L261,"")</f>
        <v/>
      </c>
      <c r="CX261" s="23" t="str">
        <f t="shared" ref="CX261:CX265" si="39">IF(N261="CTS","y","")</f>
        <v>y</v>
      </c>
      <c r="CY261" s="35" t="str">
        <f t="shared" si="34"/>
        <v>15-49</v>
      </c>
      <c r="CZ261" s="35">
        <f t="shared" si="35"/>
        <v>100</v>
      </c>
      <c r="DA261" s="648" t="str">
        <f t="shared" si="25"/>
        <v>Mohapatra I. &amp; Mistry C. (2017), ‘Domestic violence among ever married women of reproductive age group in a slum area of Bhubaneswar’, Journal of Medical Science and Clinical research 5(3):19593-8.</v>
      </c>
    </row>
    <row r="262" spans="1:105" s="35" customFormat="1" ht="12" customHeight="1" x14ac:dyDescent="0.2">
      <c r="A262" s="651"/>
      <c r="B262" s="537" t="s">
        <v>2141</v>
      </c>
      <c r="C262" s="390" t="s">
        <v>70</v>
      </c>
      <c r="D262" s="36" t="s">
        <v>1125</v>
      </c>
      <c r="E262" s="647" t="s">
        <v>1650</v>
      </c>
      <c r="F262" s="647" t="s">
        <v>2142</v>
      </c>
      <c r="G262" s="98"/>
      <c r="H262" s="97">
        <v>6</v>
      </c>
      <c r="I262" s="533">
        <v>2016</v>
      </c>
      <c r="J262" s="571">
        <v>2016</v>
      </c>
      <c r="K262" s="571">
        <v>2017</v>
      </c>
      <c r="L262" s="494"/>
      <c r="M262" s="247" t="s">
        <v>15</v>
      </c>
      <c r="N262" s="494"/>
      <c r="O262" s="479" t="s">
        <v>19</v>
      </c>
      <c r="P262" s="98">
        <v>15</v>
      </c>
      <c r="Q262" s="98">
        <v>49</v>
      </c>
      <c r="R262" s="167">
        <v>26.32</v>
      </c>
      <c r="S262" s="121"/>
      <c r="T262" s="121">
        <f>(2*(34+30) + 7.5*(32+38) + 13*(20+32))/186</f>
        <v>7.145161290322581</v>
      </c>
      <c r="U262" s="170">
        <v>186</v>
      </c>
      <c r="V262" s="692">
        <v>0</v>
      </c>
      <c r="W262" s="700"/>
      <c r="X262" s="121">
        <f>0*0.289 + 5*0.34 + 9*0.219 + 12*0.096 + 15*0.06</f>
        <v>5.7230000000000008</v>
      </c>
      <c r="Y262" s="271"/>
      <c r="Z262" s="271"/>
      <c r="AA262" s="271"/>
      <c r="AB262" s="271"/>
      <c r="AC262" s="271"/>
      <c r="AD262" s="271"/>
      <c r="AE262" s="271"/>
      <c r="AF262" s="271"/>
      <c r="AG262" s="271"/>
      <c r="AH262" s="271"/>
      <c r="AI262" s="271"/>
      <c r="AJ262" s="271"/>
      <c r="AK262" s="271"/>
      <c r="AL262" s="271"/>
      <c r="AM262" s="271"/>
      <c r="AN262" s="271"/>
      <c r="AO262" s="271"/>
      <c r="AP262" s="271"/>
      <c r="AQ262" s="271"/>
      <c r="AR262" s="271"/>
      <c r="AS262" s="271"/>
      <c r="AT262" s="271"/>
      <c r="AU262" s="271"/>
      <c r="AV262" s="271"/>
      <c r="AW262" s="271"/>
      <c r="AX262" s="271"/>
      <c r="AY262" s="440"/>
      <c r="AZ262" s="440"/>
      <c r="BA262" s="271"/>
      <c r="BB262" s="271"/>
      <c r="BC262" s="440"/>
      <c r="BD262" s="440"/>
      <c r="BE262" s="454"/>
      <c r="BF262" s="454"/>
      <c r="BG262" s="271"/>
      <c r="BH262" s="271"/>
      <c r="BI262" s="454">
        <f>100*(32+14+5)/186</f>
        <v>27.419354838709676</v>
      </c>
      <c r="BJ262" s="454">
        <f>100*(32)/186</f>
        <v>17.204301075268816</v>
      </c>
      <c r="BK262" s="454"/>
      <c r="BL262" s="454"/>
      <c r="BM262" s="271"/>
      <c r="BN262" s="271"/>
      <c r="BO262" s="454">
        <f>100*(9 + 12)/186</f>
        <v>11.290322580645162</v>
      </c>
      <c r="BP262" s="454">
        <f>100*(4 + 12)/186</f>
        <v>8.6021505376344081</v>
      </c>
      <c r="BQ262" s="271"/>
      <c r="BR262" s="271"/>
      <c r="BS262" s="271"/>
      <c r="BT262" s="271"/>
      <c r="BU262" s="271">
        <v>12</v>
      </c>
      <c r="BV262" s="454">
        <v>1</v>
      </c>
      <c r="BW262" s="454">
        <v>83</v>
      </c>
      <c r="BX262" s="573"/>
      <c r="BY262" s="854"/>
      <c r="BZ262" s="854"/>
      <c r="CA262" s="854"/>
      <c r="CB262" s="854"/>
      <c r="CC262" s="854"/>
      <c r="CD262" s="854"/>
      <c r="CE262" s="854"/>
      <c r="CF262" s="854"/>
      <c r="CG262" s="36"/>
      <c r="CH262" s="419" t="s">
        <v>2144</v>
      </c>
      <c r="CI262" s="406" t="s">
        <v>2113</v>
      </c>
      <c r="CJ262" s="23"/>
      <c r="CK262" s="417" t="s">
        <v>2143</v>
      </c>
      <c r="CL262" s="572"/>
      <c r="CM262" s="431"/>
      <c r="CN262" s="128"/>
      <c r="CO262" s="128"/>
      <c r="CP262" s="128"/>
      <c r="CQ262" s="128"/>
      <c r="CR262" s="845" t="str">
        <f t="shared" si="31"/>
        <v>2016_Jav</v>
      </c>
      <c r="CS262" s="648" t="str">
        <f t="shared" si="32"/>
        <v>Karnataka: Javarnahalli, BG Nagara, Mandya</v>
      </c>
      <c r="CT262" s="35" t="str">
        <f t="shared" si="36"/>
        <v/>
      </c>
      <c r="CU262" s="23" t="str">
        <f t="shared" si="37"/>
        <v>rural</v>
      </c>
      <c r="CV262" s="23" t="str">
        <f t="shared" si="33"/>
        <v>III</v>
      </c>
      <c r="CW262" s="579" t="str">
        <f t="shared" si="38"/>
        <v/>
      </c>
      <c r="CX262" s="23" t="str">
        <f t="shared" si="39"/>
        <v/>
      </c>
      <c r="CY262" s="35" t="str">
        <f t="shared" si="34"/>
        <v>15-49</v>
      </c>
      <c r="CZ262" s="35">
        <f t="shared" si="35"/>
        <v>186</v>
      </c>
      <c r="DA262" s="648" t="str">
        <f t="shared" si="25"/>
        <v>Ramaiah R. &amp; Jayarama S. (2017), ‘Domestic violence among ever married women of reproductive age group in a rural area of Karnataka: a cross sectional study’. National Journal of Community Medicine 8(3):139-42.</v>
      </c>
    </row>
    <row r="263" spans="1:105" s="35" customFormat="1" ht="12" customHeight="1" x14ac:dyDescent="0.2">
      <c r="A263" s="651"/>
      <c r="B263" s="537" t="s">
        <v>2449</v>
      </c>
      <c r="C263" s="390" t="s">
        <v>70</v>
      </c>
      <c r="D263" s="36" t="s">
        <v>1125</v>
      </c>
      <c r="E263" s="647" t="s">
        <v>211</v>
      </c>
      <c r="F263" s="647" t="s">
        <v>2451</v>
      </c>
      <c r="G263" s="98">
        <v>0</v>
      </c>
      <c r="H263" s="97">
        <v>6</v>
      </c>
      <c r="I263" s="533">
        <v>2016</v>
      </c>
      <c r="J263" s="571">
        <v>2016</v>
      </c>
      <c r="K263" s="571">
        <v>2016</v>
      </c>
      <c r="L263" s="494"/>
      <c r="M263" s="247" t="s">
        <v>18</v>
      </c>
      <c r="N263" s="494" t="s">
        <v>783</v>
      </c>
      <c r="O263" s="479" t="s">
        <v>2450</v>
      </c>
      <c r="P263" s="98">
        <v>21</v>
      </c>
      <c r="Q263" s="98">
        <v>50</v>
      </c>
      <c r="R263" s="167"/>
      <c r="T263" s="167"/>
      <c r="U263" s="170">
        <v>200</v>
      </c>
      <c r="V263" s="692">
        <v>0</v>
      </c>
      <c r="W263" s="700" t="s">
        <v>2452</v>
      </c>
      <c r="X263" s="121">
        <f>0*0.295 + 3.9*0.25 + 9.1*(1 - 0.295 - 0.25)</f>
        <v>5.1154999999999999</v>
      </c>
      <c r="Y263" s="454">
        <v>56.5</v>
      </c>
      <c r="Z263" s="271"/>
      <c r="AA263" s="271">
        <v>59</v>
      </c>
      <c r="AB263" s="271"/>
      <c r="AC263" s="271"/>
      <c r="AD263" s="271"/>
      <c r="AE263" s="271">
        <v>19</v>
      </c>
      <c r="AF263" s="271"/>
      <c r="AG263" s="271"/>
      <c r="AH263" s="271"/>
      <c r="AI263" s="271"/>
      <c r="AJ263" s="271"/>
      <c r="AK263" s="454">
        <f>100*5/200</f>
        <v>2.5</v>
      </c>
      <c r="AL263" s="271"/>
      <c r="AM263" s="271">
        <f>100*108/200</f>
        <v>54</v>
      </c>
      <c r="AN263" s="271"/>
      <c r="AO263" s="454">
        <f>100*61/200 + 100*57/200 - (100*(61/200)*(57/200))</f>
        <v>50.307500000000005</v>
      </c>
      <c r="AP263" s="271"/>
      <c r="AQ263" s="454">
        <f>100*93/200</f>
        <v>46.5</v>
      </c>
      <c r="AR263" s="271"/>
      <c r="AS263" s="454">
        <f>100*46/200</f>
        <v>23</v>
      </c>
      <c r="AT263" s="271"/>
      <c r="AU263" s="454">
        <f>100*64/200</f>
        <v>32</v>
      </c>
      <c r="AV263" s="271"/>
      <c r="AW263" s="454">
        <f>100*(31+1)/200</f>
        <v>16</v>
      </c>
      <c r="AX263" s="271"/>
      <c r="AY263" s="440"/>
      <c r="AZ263" s="440"/>
      <c r="BA263" s="271"/>
      <c r="BB263" s="271"/>
      <c r="BC263" s="440"/>
      <c r="BD263" s="440"/>
      <c r="BE263" s="454"/>
      <c r="BF263" s="454"/>
      <c r="BG263" s="271"/>
      <c r="BH263" s="271"/>
      <c r="BI263" s="454">
        <v>54</v>
      </c>
      <c r="BJ263" s="454"/>
      <c r="BK263" s="454">
        <v>57</v>
      </c>
      <c r="BL263" s="454"/>
      <c r="BM263" s="271">
        <v>41</v>
      </c>
      <c r="BN263" s="271"/>
      <c r="BO263" s="271"/>
      <c r="BP263" s="271"/>
      <c r="BQ263" s="271"/>
      <c r="BR263" s="271"/>
      <c r="BS263" s="271">
        <v>76</v>
      </c>
      <c r="BT263" s="271"/>
      <c r="BU263" s="271"/>
      <c r="BV263" s="454">
        <v>0</v>
      </c>
      <c r="BW263" s="454"/>
      <c r="BX263" s="573"/>
      <c r="BY263" s="854"/>
      <c r="BZ263" s="854"/>
      <c r="CA263" s="854"/>
      <c r="CB263" s="854"/>
      <c r="CC263" s="854"/>
      <c r="CD263" s="854"/>
      <c r="CE263" s="854"/>
      <c r="CF263" s="854"/>
      <c r="CG263" s="36"/>
      <c r="CH263" s="419" t="s">
        <v>2453</v>
      </c>
      <c r="CI263" s="406" t="s">
        <v>2454</v>
      </c>
      <c r="CJ263" s="23"/>
      <c r="CK263" s="417" t="s">
        <v>2455</v>
      </c>
      <c r="CL263" s="572"/>
      <c r="CM263" s="431"/>
      <c r="CN263" s="128"/>
      <c r="CO263" s="128"/>
      <c r="CP263" s="128"/>
      <c r="CQ263" s="128"/>
      <c r="CR263" s="845" t="str">
        <f t="shared" si="31"/>
        <v>2016_TN</v>
      </c>
      <c r="CS263" s="648" t="str">
        <f t="shared" si="32"/>
        <v>Tamil Nadu: Tirunelveli: Patthamadai village</v>
      </c>
      <c r="CT263" s="35">
        <f t="shared" si="36"/>
        <v>2016</v>
      </c>
      <c r="CU263" s="23" t="str">
        <f t="shared" si="37"/>
        <v>rural</v>
      </c>
      <c r="CV263" s="23" t="str">
        <f t="shared" si="33"/>
        <v>II</v>
      </c>
      <c r="CW263" s="579" t="str">
        <f t="shared" si="38"/>
        <v/>
      </c>
      <c r="CX263" s="23" t="str">
        <f t="shared" si="39"/>
        <v>y</v>
      </c>
      <c r="CY263" s="35" t="str">
        <f t="shared" si="34"/>
        <v>21-50</v>
      </c>
      <c r="CZ263" s="35">
        <f t="shared" si="35"/>
        <v>200</v>
      </c>
      <c r="DA263" s="648" t="str">
        <f t="shared" si="25"/>
        <v>Vijayalakshmi M. &amp; Sunitha K. (2016), ‘Domestic violence among women in a rural area of Tamilnadu’, Indian Journal of Applied Research 6(9):524:5.</v>
      </c>
    </row>
    <row r="264" spans="1:105" s="35" customFormat="1" ht="12" customHeight="1" x14ac:dyDescent="0.2">
      <c r="A264" s="651"/>
      <c r="B264" s="862" t="s">
        <v>2659</v>
      </c>
      <c r="C264" s="863" t="s">
        <v>70</v>
      </c>
      <c r="D264" s="864" t="s">
        <v>1125</v>
      </c>
      <c r="E264" s="865" t="s">
        <v>14</v>
      </c>
      <c r="F264" s="866" t="s">
        <v>2072</v>
      </c>
      <c r="G264" s="867">
        <v>0</v>
      </c>
      <c r="H264" s="868">
        <v>2</v>
      </c>
      <c r="I264" s="869">
        <v>2017</v>
      </c>
      <c r="J264" s="870">
        <v>2017</v>
      </c>
      <c r="K264" s="870">
        <v>2017</v>
      </c>
      <c r="L264" s="871" t="s">
        <v>628</v>
      </c>
      <c r="M264" s="872" t="s">
        <v>18</v>
      </c>
      <c r="N264" s="871" t="s">
        <v>628</v>
      </c>
      <c r="O264" s="873" t="s">
        <v>756</v>
      </c>
      <c r="P264" s="867">
        <v>18</v>
      </c>
      <c r="Q264" s="867">
        <v>70</v>
      </c>
      <c r="R264" s="874">
        <v>38</v>
      </c>
      <c r="S264" s="875"/>
      <c r="T264" s="874"/>
      <c r="U264" s="876">
        <v>1096</v>
      </c>
      <c r="V264" s="877">
        <v>0</v>
      </c>
      <c r="W264" s="878" t="s">
        <v>2526</v>
      </c>
      <c r="X264" s="879">
        <v>9</v>
      </c>
      <c r="Y264" s="454"/>
      <c r="Z264" s="271"/>
      <c r="AA264" s="271"/>
      <c r="AB264" s="271"/>
      <c r="AC264" s="271"/>
      <c r="AD264" s="271"/>
      <c r="AE264" s="271"/>
      <c r="AF264" s="271"/>
      <c r="AG264" s="271"/>
      <c r="AH264" s="271"/>
      <c r="AI264" s="271"/>
      <c r="AJ264" s="271"/>
      <c r="AK264" s="454"/>
      <c r="AL264" s="271"/>
      <c r="AM264" s="271"/>
      <c r="AN264" s="271"/>
      <c r="AO264" s="454"/>
      <c r="AP264" s="271"/>
      <c r="AQ264" s="454"/>
      <c r="AR264" s="271"/>
      <c r="AS264" s="454"/>
      <c r="AT264" s="271"/>
      <c r="AU264" s="454"/>
      <c r="AV264" s="271"/>
      <c r="AW264" s="454"/>
      <c r="AX264" s="271"/>
      <c r="AY264" s="440"/>
      <c r="AZ264" s="440"/>
      <c r="BA264" s="271"/>
      <c r="BB264" s="271"/>
      <c r="BC264" s="440"/>
      <c r="BD264" s="440"/>
      <c r="BE264" s="454"/>
      <c r="BF264" s="454"/>
      <c r="BG264" s="271"/>
      <c r="BH264" s="271"/>
      <c r="BI264" s="454">
        <v>11</v>
      </c>
      <c r="BJ264" s="477">
        <v>5</v>
      </c>
      <c r="BK264" s="454"/>
      <c r="BL264" s="454"/>
      <c r="BM264" s="271"/>
      <c r="BN264" s="271"/>
      <c r="BO264" s="271"/>
      <c r="BP264" s="271"/>
      <c r="BQ264" s="271"/>
      <c r="BR264" s="271"/>
      <c r="BS264" s="271"/>
      <c r="BT264" s="271"/>
      <c r="BU264" s="271">
        <v>1</v>
      </c>
      <c r="BV264" s="454">
        <v>0</v>
      </c>
      <c r="BW264" s="454"/>
      <c r="BX264" s="573"/>
      <c r="BY264" s="854"/>
      <c r="BZ264" s="854"/>
      <c r="CA264" s="854"/>
      <c r="CB264" s="854"/>
      <c r="CC264" s="854"/>
      <c r="CD264" s="854"/>
      <c r="CE264" s="854"/>
      <c r="CF264" s="854"/>
      <c r="CG264" s="36"/>
      <c r="CH264" s="419" t="s">
        <v>2761</v>
      </c>
      <c r="CI264" s="406" t="s">
        <v>2762</v>
      </c>
      <c r="CJ264" s="23"/>
      <c r="CK264" s="417" t="s">
        <v>2763</v>
      </c>
      <c r="CL264" s="572"/>
      <c r="CM264" s="431"/>
      <c r="CN264" s="128"/>
      <c r="CO264" s="128"/>
      <c r="CP264" s="128"/>
      <c r="CQ264" s="128"/>
      <c r="CR264" s="845" t="str">
        <f t="shared" si="31"/>
        <v>2017_WAS</v>
      </c>
      <c r="CS264" s="648" t="str">
        <f t="shared" si="32"/>
        <v>national: Vijayawada, Patna, Delhi, Ahmadabad, Kochi, Mumbai, Bhubaneswar, Ludhiana, Chennai, Lucknow, Kolkota</v>
      </c>
      <c r="CT264" s="35" t="str">
        <f t="shared" si="36"/>
        <v/>
      </c>
      <c r="CU264" s="23" t="str">
        <f t="shared" si="37"/>
        <v>urban</v>
      </c>
      <c r="CV264" s="23" t="str">
        <f t="shared" si="33"/>
        <v>II</v>
      </c>
      <c r="CW264" s="579" t="str">
        <f t="shared" si="38"/>
        <v>WAS</v>
      </c>
      <c r="CX264" s="23" t="str">
        <f t="shared" si="39"/>
        <v/>
      </c>
      <c r="CY264" s="35" t="str">
        <f t="shared" si="34"/>
        <v>18-70</v>
      </c>
      <c r="CZ264" s="35">
        <f t="shared" si="35"/>
        <v>1096</v>
      </c>
      <c r="DA264" s="648" t="str">
        <f t="shared" si="25"/>
        <v xml:space="preserve">Simister J. (2018), 'Gender-Based Violence is a growing problem in India', Medical Research Archives 6(1).  </v>
      </c>
    </row>
    <row r="265" spans="1:105" s="35" customFormat="1" ht="12" customHeight="1" x14ac:dyDescent="0.2">
      <c r="A265" s="651"/>
      <c r="B265" s="880" t="s">
        <v>2659</v>
      </c>
      <c r="C265" s="881" t="s">
        <v>70</v>
      </c>
      <c r="D265" s="376" t="s">
        <v>1125</v>
      </c>
      <c r="E265" s="882" t="s">
        <v>14</v>
      </c>
      <c r="F265" s="883" t="s">
        <v>2072</v>
      </c>
      <c r="G265" s="884">
        <v>0</v>
      </c>
      <c r="H265" s="885">
        <v>2</v>
      </c>
      <c r="I265" s="886">
        <v>2017</v>
      </c>
      <c r="J265" s="887">
        <v>2017</v>
      </c>
      <c r="K265" s="887">
        <v>2017</v>
      </c>
      <c r="L265" s="888" t="s">
        <v>628</v>
      </c>
      <c r="M265" s="251" t="s">
        <v>289</v>
      </c>
      <c r="N265" s="888" t="s">
        <v>628</v>
      </c>
      <c r="O265" s="889" t="s">
        <v>763</v>
      </c>
      <c r="P265" s="884">
        <v>18</v>
      </c>
      <c r="Q265" s="884">
        <v>65</v>
      </c>
      <c r="R265" s="890">
        <v>37</v>
      </c>
      <c r="S265" s="891"/>
      <c r="T265" s="890"/>
      <c r="U265" s="892">
        <v>1322</v>
      </c>
      <c r="V265" s="893">
        <v>0</v>
      </c>
      <c r="W265" s="894" t="s">
        <v>2526</v>
      </c>
      <c r="X265" s="895">
        <v>9</v>
      </c>
      <c r="Y265" s="454"/>
      <c r="Z265" s="271"/>
      <c r="AA265" s="271"/>
      <c r="AB265" s="271"/>
      <c r="AC265" s="271"/>
      <c r="AD265" s="271"/>
      <c r="AE265" s="271"/>
      <c r="AF265" s="271"/>
      <c r="AG265" s="271"/>
      <c r="AH265" s="271"/>
      <c r="AI265" s="271"/>
      <c r="AJ265" s="271"/>
      <c r="AK265" s="454"/>
      <c r="AL265" s="271"/>
      <c r="AM265" s="271"/>
      <c r="AN265" s="271"/>
      <c r="AO265" s="454"/>
      <c r="AP265" s="271"/>
      <c r="AQ265" s="454"/>
      <c r="AR265" s="271"/>
      <c r="AS265" s="454"/>
      <c r="AT265" s="271"/>
      <c r="AU265" s="454"/>
      <c r="AV265" s="271"/>
      <c r="AW265" s="454"/>
      <c r="AX265" s="271"/>
      <c r="AY265" s="440"/>
      <c r="AZ265" s="440"/>
      <c r="BA265" s="271"/>
      <c r="BB265" s="271"/>
      <c r="BC265" s="440"/>
      <c r="BD265" s="440"/>
      <c r="BE265" s="454"/>
      <c r="BF265" s="454"/>
      <c r="BG265" s="271"/>
      <c r="BH265" s="271"/>
      <c r="BI265" s="454">
        <v>15</v>
      </c>
      <c r="BJ265" s="477">
        <v>5</v>
      </c>
      <c r="BK265" s="454"/>
      <c r="BL265" s="454"/>
      <c r="BM265" s="271"/>
      <c r="BN265" s="271"/>
      <c r="BO265" s="271"/>
      <c r="BP265" s="271"/>
      <c r="BQ265" s="271"/>
      <c r="BR265" s="271"/>
      <c r="BS265" s="271"/>
      <c r="BT265" s="271"/>
      <c r="BU265" s="271">
        <v>1</v>
      </c>
      <c r="BV265" s="454">
        <v>0</v>
      </c>
      <c r="BW265" s="454"/>
      <c r="BX265" s="573"/>
      <c r="BY265" s="854"/>
      <c r="BZ265" s="854"/>
      <c r="CA265" s="854"/>
      <c r="CB265" s="854"/>
      <c r="CC265" s="854"/>
      <c r="CD265" s="854"/>
      <c r="CE265" s="854"/>
      <c r="CF265" s="854"/>
      <c r="CG265" s="36"/>
      <c r="CH265" s="419" t="s">
        <v>2761</v>
      </c>
      <c r="CI265" s="406" t="s">
        <v>2762</v>
      </c>
      <c r="CJ265" s="23"/>
      <c r="CK265" s="417" t="s">
        <v>2763</v>
      </c>
      <c r="CL265" s="572"/>
      <c r="CM265" s="431"/>
      <c r="CN265" s="128"/>
      <c r="CO265" s="128"/>
      <c r="CP265" s="128"/>
      <c r="CQ265" s="128"/>
      <c r="CR265" s="845" t="str">
        <f t="shared" si="31"/>
        <v>2017_WAS</v>
      </c>
      <c r="CS265" s="648" t="str">
        <f t="shared" si="32"/>
        <v>national: Vijayawada, Patna, Delhi, Ahmadabad, Kochi, Mumbai, Bhubaneswar, Ludhiana, Chennai, Lucknow, Kolkota</v>
      </c>
      <c r="CT265" s="35" t="str">
        <f t="shared" si="36"/>
        <v/>
      </c>
      <c r="CU265" s="23" t="str">
        <f t="shared" si="37"/>
        <v>urban</v>
      </c>
      <c r="CV265" s="23" t="str">
        <f t="shared" si="33"/>
        <v>VII</v>
      </c>
      <c r="CW265" s="579" t="str">
        <f t="shared" si="38"/>
        <v>WAS</v>
      </c>
      <c r="CX265" s="23" t="str">
        <f t="shared" si="39"/>
        <v/>
      </c>
      <c r="CY265" s="35" t="str">
        <f t="shared" si="34"/>
        <v>18-65</v>
      </c>
      <c r="CZ265" s="35">
        <f t="shared" si="35"/>
        <v>1322</v>
      </c>
      <c r="DA265" s="648" t="str">
        <f t="shared" ref="DA265" si="40">CK265</f>
        <v xml:space="preserve">Simister J. (2018), 'Gender-Based Violence is a growing problem in India', Medical Research Archives 6(1).  </v>
      </c>
    </row>
    <row r="266" spans="1:105" s="35" customFormat="1" ht="12" customHeight="1" x14ac:dyDescent="0.2">
      <c r="A266" s="651"/>
      <c r="B266" s="417"/>
      <c r="C266" s="97" t="s">
        <v>71</v>
      </c>
      <c r="D266" s="169" t="s">
        <v>1125</v>
      </c>
      <c r="E266" s="647" t="s">
        <v>76</v>
      </c>
      <c r="F266" s="647"/>
      <c r="G266" s="98"/>
      <c r="H266" s="97"/>
      <c r="I266" s="166">
        <v>2000</v>
      </c>
      <c r="J266" s="128"/>
      <c r="K266" s="128"/>
      <c r="L266" s="493" t="s">
        <v>243</v>
      </c>
      <c r="M266" s="98" t="s">
        <v>78</v>
      </c>
      <c r="N266" s="494" t="s">
        <v>783</v>
      </c>
      <c r="O266" s="98"/>
      <c r="P266" s="98"/>
      <c r="Q266" s="98"/>
      <c r="R266" s="167"/>
      <c r="S266" s="167"/>
      <c r="T266" s="167"/>
      <c r="U266" s="393">
        <v>765</v>
      </c>
      <c r="V266" s="694"/>
      <c r="W266" s="711"/>
      <c r="X266" s="167"/>
      <c r="Y266" s="446"/>
      <c r="Z266" s="446"/>
      <c r="AA266" s="446"/>
      <c r="AB266" s="446"/>
      <c r="AC266" s="446"/>
      <c r="AD266" s="446"/>
      <c r="AE266" s="446"/>
      <c r="AF266" s="446"/>
      <c r="AG266" s="446"/>
      <c r="AH266" s="446"/>
      <c r="AI266" s="446"/>
      <c r="AJ266" s="446"/>
      <c r="AK266" s="446"/>
      <c r="AL266" s="446"/>
      <c r="AM266" s="446"/>
      <c r="AN266" s="446"/>
      <c r="AO266" s="446"/>
      <c r="AP266" s="446"/>
      <c r="AQ266" s="446"/>
      <c r="AR266" s="446"/>
      <c r="AS266" s="446"/>
      <c r="AT266" s="446"/>
      <c r="AU266" s="446"/>
      <c r="AV266" s="446"/>
      <c r="AW266" s="446"/>
      <c r="AX266" s="446"/>
      <c r="AY266" s="446"/>
      <c r="AZ266" s="446"/>
      <c r="BA266" s="446"/>
      <c r="BB266" s="446"/>
      <c r="BC266" s="446"/>
      <c r="BD266" s="446"/>
      <c r="BE266" s="445"/>
      <c r="BF266" s="445"/>
      <c r="BG266" s="446"/>
      <c r="BH266" s="446"/>
      <c r="BI266" s="442">
        <v>11</v>
      </c>
      <c r="BJ266" s="445">
        <v>2</v>
      </c>
      <c r="BK266" s="445"/>
      <c r="BL266" s="445"/>
      <c r="BM266" s="445"/>
      <c r="BN266" s="445"/>
      <c r="BO266" s="445"/>
      <c r="BP266" s="445"/>
      <c r="BQ266" s="271"/>
      <c r="BR266" s="271"/>
      <c r="BS266" s="271"/>
      <c r="BT266" s="271"/>
      <c r="BU266" s="271"/>
      <c r="BV266" s="454"/>
      <c r="BW266" s="454"/>
      <c r="BX266" s="756"/>
      <c r="BY266" s="850"/>
      <c r="BZ266" s="850"/>
      <c r="CA266" s="850"/>
      <c r="CB266" s="850"/>
      <c r="CC266" s="850"/>
      <c r="CD266" s="850"/>
      <c r="CE266" s="850"/>
      <c r="CF266" s="850"/>
      <c r="CG266" s="169" t="s">
        <v>523</v>
      </c>
      <c r="CH266" s="426"/>
      <c r="CI266" s="406"/>
      <c r="CJ266" s="23"/>
      <c r="CK266" s="417" t="s">
        <v>1176</v>
      </c>
      <c r="CL266" s="572"/>
      <c r="CM266" s="648"/>
      <c r="CR266" s="406"/>
      <c r="CS266" s="648"/>
      <c r="CU266" s="23"/>
      <c r="CV266" s="23"/>
      <c r="CW266" s="23"/>
      <c r="CX266" s="23"/>
      <c r="DA266" s="648"/>
    </row>
    <row r="267" spans="1:105" s="35" customFormat="1" ht="12" customHeight="1" x14ac:dyDescent="0.2">
      <c r="A267" s="651"/>
      <c r="B267" s="537"/>
      <c r="C267" s="390" t="s">
        <v>71</v>
      </c>
      <c r="D267" s="169" t="s">
        <v>1125</v>
      </c>
      <c r="E267" s="647" t="s">
        <v>684</v>
      </c>
      <c r="F267" s="647"/>
      <c r="G267" s="98"/>
      <c r="H267" s="97"/>
      <c r="I267" s="533">
        <v>2001</v>
      </c>
      <c r="J267" s="571"/>
      <c r="K267" s="571"/>
      <c r="L267" s="493" t="s">
        <v>628</v>
      </c>
      <c r="M267" s="237" t="s">
        <v>17</v>
      </c>
      <c r="N267" s="493"/>
      <c r="O267" s="98"/>
      <c r="P267" s="98"/>
      <c r="Q267" s="237"/>
      <c r="R267" s="254"/>
      <c r="S267" s="254"/>
      <c r="T267" s="254"/>
      <c r="U267" s="395">
        <v>464</v>
      </c>
      <c r="V267" s="794"/>
      <c r="W267" s="712"/>
      <c r="X267" s="167"/>
      <c r="Y267" s="447"/>
      <c r="Z267" s="447"/>
      <c r="AA267" s="447"/>
      <c r="AB267" s="447"/>
      <c r="AC267" s="447"/>
      <c r="AD267" s="447"/>
      <c r="AE267" s="447"/>
      <c r="AF267" s="447"/>
      <c r="AG267" s="447"/>
      <c r="AH267" s="447"/>
      <c r="AI267" s="447"/>
      <c r="AJ267" s="447"/>
      <c r="AK267" s="447"/>
      <c r="AL267" s="447"/>
      <c r="AM267" s="447"/>
      <c r="AN267" s="447"/>
      <c r="AO267" s="447"/>
      <c r="AP267" s="447"/>
      <c r="AQ267" s="447"/>
      <c r="AR267" s="447"/>
      <c r="AS267" s="447"/>
      <c r="AT267" s="447"/>
      <c r="AU267" s="447"/>
      <c r="AV267" s="447"/>
      <c r="AW267" s="447"/>
      <c r="AX267" s="447"/>
      <c r="AY267" s="447"/>
      <c r="AZ267" s="447"/>
      <c r="BA267" s="447"/>
      <c r="BB267" s="447"/>
      <c r="BC267" s="447">
        <v>5</v>
      </c>
      <c r="BD267" s="447"/>
      <c r="BE267" s="447"/>
      <c r="BF267" s="447"/>
      <c r="BG267" s="447"/>
      <c r="BH267" s="447"/>
      <c r="BJ267" s="447"/>
      <c r="BK267" s="447"/>
      <c r="BL267" s="447"/>
      <c r="BM267" s="447"/>
      <c r="BN267" s="447"/>
      <c r="BO267" s="447"/>
      <c r="BP267" s="447"/>
      <c r="BQ267" s="444"/>
      <c r="BR267" s="445"/>
      <c r="BS267" s="442"/>
      <c r="BT267" s="445"/>
      <c r="BU267" s="445"/>
      <c r="BV267" s="445"/>
      <c r="BW267" s="445"/>
      <c r="BX267" s="756"/>
      <c r="BY267" s="850"/>
      <c r="BZ267" s="850"/>
      <c r="CA267" s="850"/>
      <c r="CB267" s="850"/>
      <c r="CC267" s="850"/>
      <c r="CD267" s="850"/>
      <c r="CE267" s="850"/>
      <c r="CF267" s="850"/>
      <c r="CG267" s="169" t="s">
        <v>237</v>
      </c>
      <c r="CH267" s="419" t="s">
        <v>1530</v>
      </c>
      <c r="CI267" s="406"/>
      <c r="CJ267" s="23"/>
      <c r="CK267" s="648"/>
      <c r="CL267" s="417" t="s">
        <v>1532</v>
      </c>
      <c r="CM267" s="648"/>
      <c r="CR267" s="406"/>
      <c r="CS267" s="648"/>
      <c r="CU267" s="23"/>
      <c r="CV267" s="23"/>
      <c r="CW267" s="23"/>
      <c r="CX267" s="23"/>
      <c r="DA267" s="648"/>
    </row>
    <row r="268" spans="1:105" s="35" customFormat="1" ht="12" customHeight="1" x14ac:dyDescent="0.2">
      <c r="A268" s="651"/>
      <c r="B268" s="537"/>
      <c r="C268" s="390" t="s">
        <v>71</v>
      </c>
      <c r="D268" s="169" t="s">
        <v>1125</v>
      </c>
      <c r="E268" s="647" t="s">
        <v>684</v>
      </c>
      <c r="F268" s="647"/>
      <c r="G268" s="98"/>
      <c r="H268" s="97"/>
      <c r="I268" s="533">
        <v>2002</v>
      </c>
      <c r="J268" s="571"/>
      <c r="K268" s="571"/>
      <c r="L268" s="493" t="s">
        <v>628</v>
      </c>
      <c r="M268" s="237" t="s">
        <v>17</v>
      </c>
      <c r="N268" s="493"/>
      <c r="O268" s="98"/>
      <c r="P268" s="98"/>
      <c r="Q268" s="237"/>
      <c r="R268" s="254"/>
      <c r="S268" s="254"/>
      <c r="T268" s="254"/>
      <c r="U268" s="395">
        <v>372</v>
      </c>
      <c r="V268" s="794"/>
      <c r="W268" s="712"/>
      <c r="X268" s="167"/>
      <c r="Y268" s="447"/>
      <c r="Z268" s="447"/>
      <c r="AA268" s="447"/>
      <c r="AB268" s="447"/>
      <c r="AC268" s="447"/>
      <c r="AD268" s="447"/>
      <c r="AE268" s="447"/>
      <c r="AF268" s="447"/>
      <c r="AG268" s="447"/>
      <c r="AH268" s="447"/>
      <c r="AI268" s="447"/>
      <c r="AJ268" s="447"/>
      <c r="AK268" s="447"/>
      <c r="AL268" s="447"/>
      <c r="AM268" s="447"/>
      <c r="AN268" s="447"/>
      <c r="AO268" s="447"/>
      <c r="AP268" s="447"/>
      <c r="AQ268" s="447"/>
      <c r="AR268" s="447"/>
      <c r="AS268" s="447"/>
      <c r="AT268" s="447"/>
      <c r="AU268" s="447"/>
      <c r="AV268" s="447"/>
      <c r="AW268" s="447"/>
      <c r="AX268" s="447"/>
      <c r="AY268" s="447"/>
      <c r="AZ268" s="447"/>
      <c r="BA268" s="447"/>
      <c r="BB268" s="447"/>
      <c r="BC268" s="447">
        <v>6</v>
      </c>
      <c r="BD268" s="447"/>
      <c r="BE268" s="447"/>
      <c r="BF268" s="447"/>
      <c r="BG268" s="447"/>
      <c r="BH268" s="447"/>
      <c r="BJ268" s="447"/>
      <c r="BK268" s="447"/>
      <c r="BL268" s="447"/>
      <c r="BM268" s="447"/>
      <c r="BN268" s="447"/>
      <c r="BO268" s="447"/>
      <c r="BP268" s="447"/>
      <c r="BQ268" s="444"/>
      <c r="BR268" s="445"/>
      <c r="BS268" s="442"/>
      <c r="BT268" s="445"/>
      <c r="BU268" s="445"/>
      <c r="BV268" s="445"/>
      <c r="BW268" s="445"/>
      <c r="BX268" s="756"/>
      <c r="BY268" s="850"/>
      <c r="BZ268" s="850"/>
      <c r="CA268" s="850"/>
      <c r="CB268" s="850"/>
      <c r="CC268" s="850"/>
      <c r="CD268" s="850"/>
      <c r="CE268" s="850"/>
      <c r="CF268" s="850"/>
      <c r="CG268" s="169" t="s">
        <v>237</v>
      </c>
      <c r="CH268" s="419" t="s">
        <v>1530</v>
      </c>
      <c r="CI268" s="405"/>
      <c r="CJ268" s="23"/>
      <c r="CK268" s="648"/>
      <c r="CL268" s="417" t="s">
        <v>1532</v>
      </c>
      <c r="CM268" s="648"/>
      <c r="CR268" s="406"/>
      <c r="CS268" s="648"/>
      <c r="CU268" s="23"/>
      <c r="CV268" s="23"/>
      <c r="CW268" s="23"/>
      <c r="CX268" s="23"/>
      <c r="DA268" s="648"/>
    </row>
    <row r="269" spans="1:105" s="35" customFormat="1" ht="12" customHeight="1" x14ac:dyDescent="0.2">
      <c r="A269" s="651"/>
      <c r="B269" s="537"/>
      <c r="C269" s="97" t="s">
        <v>156</v>
      </c>
      <c r="D269" s="278" t="s">
        <v>1125</v>
      </c>
      <c r="E269" s="469" t="s">
        <v>573</v>
      </c>
      <c r="F269" s="469"/>
      <c r="G269" s="98"/>
      <c r="H269" s="166"/>
      <c r="I269" s="166">
        <v>2005</v>
      </c>
      <c r="J269" s="166"/>
      <c r="K269" s="166"/>
      <c r="L269" s="493" t="s">
        <v>794</v>
      </c>
      <c r="M269" s="98" t="s">
        <v>18</v>
      </c>
      <c r="N269" s="493"/>
      <c r="O269" s="98"/>
      <c r="P269" s="98"/>
      <c r="Q269" s="98"/>
      <c r="R269" s="167"/>
      <c r="S269" s="167"/>
      <c r="T269" s="167"/>
      <c r="U269" s="393">
        <v>2400</v>
      </c>
      <c r="V269" s="694"/>
      <c r="W269" s="711"/>
      <c r="X269" s="167"/>
      <c r="Y269" s="446"/>
      <c r="Z269" s="446"/>
      <c r="AA269" s="446"/>
      <c r="AB269" s="446"/>
      <c r="AC269" s="446"/>
      <c r="AD269" s="446"/>
      <c r="AE269" s="446"/>
      <c r="AF269" s="446"/>
      <c r="AG269" s="446"/>
      <c r="AH269" s="446"/>
      <c r="AI269" s="446"/>
      <c r="AJ269" s="446"/>
      <c r="AK269" s="446"/>
      <c r="AL269" s="446"/>
      <c r="AM269" s="446"/>
      <c r="AN269" s="446"/>
      <c r="AO269" s="446"/>
      <c r="AP269" s="446"/>
      <c r="AQ269" s="446"/>
      <c r="AR269" s="446"/>
      <c r="AS269" s="446"/>
      <c r="AT269" s="446"/>
      <c r="AU269" s="446"/>
      <c r="AV269" s="446"/>
      <c r="AW269" s="446"/>
      <c r="AX269" s="446"/>
      <c r="AY269" s="446"/>
      <c r="AZ269" s="446"/>
      <c r="BA269" s="446"/>
      <c r="BB269" s="446"/>
      <c r="BC269" s="446"/>
      <c r="BD269" s="446"/>
      <c r="BE269" s="445"/>
      <c r="BF269" s="445"/>
      <c r="BG269" s="446"/>
      <c r="BH269" s="446"/>
      <c r="BI269" s="445"/>
      <c r="BJ269" s="445">
        <v>15</v>
      </c>
      <c r="BK269" s="445"/>
      <c r="BL269" s="445"/>
      <c r="BM269" s="445"/>
      <c r="BN269" s="445"/>
      <c r="BO269" s="445"/>
      <c r="BP269" s="445"/>
      <c r="BQ269" s="444"/>
      <c r="BR269" s="444"/>
      <c r="BS269" s="442">
        <v>42.4</v>
      </c>
      <c r="BT269" s="445"/>
      <c r="BU269" s="445"/>
      <c r="BV269" s="445"/>
      <c r="BW269" s="445"/>
      <c r="BX269" s="756"/>
      <c r="BY269" s="850"/>
      <c r="BZ269" s="850"/>
      <c r="CA269" s="850"/>
      <c r="CB269" s="850"/>
      <c r="CC269" s="850"/>
      <c r="CD269" s="850"/>
      <c r="CE269" s="850"/>
      <c r="CF269" s="850"/>
      <c r="CG269" s="278" t="s">
        <v>968</v>
      </c>
      <c r="CH269" s="419" t="s">
        <v>574</v>
      </c>
      <c r="CI269" s="407"/>
      <c r="CJ269" s="23"/>
      <c r="CK269" s="682" t="s">
        <v>575</v>
      </c>
      <c r="CL269" s="572"/>
      <c r="CM269" s="648"/>
      <c r="CR269" s="406"/>
      <c r="CS269" s="648"/>
      <c r="CU269" s="23"/>
      <c r="CV269" s="23"/>
      <c r="CW269" s="23"/>
      <c r="CX269" s="23"/>
      <c r="DA269" s="648"/>
    </row>
    <row r="270" spans="1:105" s="35" customFormat="1" ht="12" customHeight="1" x14ac:dyDescent="0.2">
      <c r="A270" s="651"/>
      <c r="B270" s="537"/>
      <c r="C270" s="97" t="s">
        <v>156</v>
      </c>
      <c r="D270" s="237" t="s">
        <v>1125</v>
      </c>
      <c r="E270" s="469" t="s">
        <v>572</v>
      </c>
      <c r="F270" s="469"/>
      <c r="G270" s="98"/>
      <c r="H270" s="166"/>
      <c r="I270" s="166">
        <v>2005</v>
      </c>
      <c r="J270" s="166"/>
      <c r="K270" s="166"/>
      <c r="L270" s="493"/>
      <c r="M270" s="98" t="s">
        <v>18</v>
      </c>
      <c r="N270" s="493"/>
      <c r="O270" s="98"/>
      <c r="P270" s="98"/>
      <c r="Q270" s="98"/>
      <c r="R270" s="167"/>
      <c r="S270" s="167"/>
      <c r="T270" s="167"/>
      <c r="U270" s="393">
        <v>1040</v>
      </c>
      <c r="V270" s="694"/>
      <c r="W270" s="711"/>
      <c r="X270" s="167"/>
      <c r="Y270" s="446"/>
      <c r="Z270" s="446"/>
      <c r="AA270" s="446"/>
      <c r="AB270" s="446"/>
      <c r="AC270" s="446"/>
      <c r="AD270" s="446"/>
      <c r="AE270" s="446"/>
      <c r="AF270" s="446"/>
      <c r="AG270" s="446"/>
      <c r="AH270" s="446"/>
      <c r="AI270" s="446"/>
      <c r="AJ270" s="446"/>
      <c r="AK270" s="446"/>
      <c r="AL270" s="446"/>
      <c r="AM270" s="446"/>
      <c r="AN270" s="446"/>
      <c r="AO270" s="446"/>
      <c r="AP270" s="446"/>
      <c r="AQ270" s="446"/>
      <c r="AR270" s="446"/>
      <c r="AS270" s="446"/>
      <c r="AT270" s="446"/>
      <c r="AU270" s="446"/>
      <c r="AV270" s="446"/>
      <c r="AW270" s="446"/>
      <c r="AX270" s="446"/>
      <c r="AY270" s="446"/>
      <c r="AZ270" s="446"/>
      <c r="BA270" s="446"/>
      <c r="BB270" s="446"/>
      <c r="BC270" s="446"/>
      <c r="BD270" s="446"/>
      <c r="BE270" s="445"/>
      <c r="BF270" s="445"/>
      <c r="BG270" s="446"/>
      <c r="BH270" s="446"/>
      <c r="BI270" s="445"/>
      <c r="BJ270" s="445"/>
      <c r="BK270" s="445"/>
      <c r="BL270" s="445"/>
      <c r="BM270" s="445"/>
      <c r="BN270" s="445"/>
      <c r="BO270" s="445"/>
      <c r="BP270" s="445"/>
      <c r="BQ270" s="444"/>
      <c r="BR270" s="444"/>
      <c r="BS270" s="442">
        <v>38</v>
      </c>
      <c r="BT270" s="445">
        <v>15</v>
      </c>
      <c r="BU270" s="445"/>
      <c r="BV270" s="445"/>
      <c r="BW270" s="445"/>
      <c r="BX270" s="756"/>
      <c r="BY270" s="850"/>
      <c r="BZ270" s="850"/>
      <c r="CA270" s="850"/>
      <c r="CB270" s="850"/>
      <c r="CC270" s="850"/>
      <c r="CD270" s="850"/>
      <c r="CE270" s="850"/>
      <c r="CF270" s="850"/>
      <c r="CG270" s="237" t="s">
        <v>967</v>
      </c>
      <c r="CH270" s="419" t="s">
        <v>570</v>
      </c>
      <c r="CI270" s="407"/>
      <c r="CJ270" s="23"/>
      <c r="CK270" s="682" t="s">
        <v>571</v>
      </c>
      <c r="CL270" s="572"/>
      <c r="CM270" s="648"/>
      <c r="CR270" s="406"/>
      <c r="CS270" s="648"/>
      <c r="CU270" s="23"/>
      <c r="CV270" s="23"/>
      <c r="CW270" s="23"/>
      <c r="CX270" s="23"/>
      <c r="DA270" s="648"/>
    </row>
    <row r="271" spans="1:105" s="35" customFormat="1" ht="12" customHeight="1" x14ac:dyDescent="0.2">
      <c r="A271" s="651"/>
      <c r="B271" s="537"/>
      <c r="C271" s="97" t="s">
        <v>156</v>
      </c>
      <c r="D271" s="169" t="s">
        <v>1125</v>
      </c>
      <c r="E271" s="647" t="s">
        <v>14</v>
      </c>
      <c r="F271" s="647"/>
      <c r="G271" s="98"/>
      <c r="H271" s="97"/>
      <c r="I271" s="166">
        <v>2005</v>
      </c>
      <c r="J271" s="571"/>
      <c r="K271" s="571"/>
      <c r="L271" s="493"/>
      <c r="M271" s="98"/>
      <c r="N271" s="493"/>
      <c r="O271" s="98" t="s">
        <v>227</v>
      </c>
      <c r="P271" s="98">
        <v>14</v>
      </c>
      <c r="Q271" s="98"/>
      <c r="R271" s="167"/>
      <c r="S271" s="167"/>
      <c r="T271" s="167"/>
      <c r="U271" s="393">
        <v>386</v>
      </c>
      <c r="V271" s="694"/>
      <c r="W271" s="711"/>
      <c r="X271" s="167"/>
      <c r="Y271" s="446"/>
      <c r="Z271" s="446"/>
      <c r="AA271" s="446"/>
      <c r="AB271" s="446"/>
      <c r="AC271" s="446"/>
      <c r="AD271" s="446"/>
      <c r="AE271" s="446"/>
      <c r="AF271" s="446"/>
      <c r="AG271" s="446"/>
      <c r="AH271" s="446"/>
      <c r="AI271" s="446"/>
      <c r="AJ271" s="446"/>
      <c r="AK271" s="446"/>
      <c r="AL271" s="446"/>
      <c r="AM271" s="446"/>
      <c r="AN271" s="446"/>
      <c r="AO271" s="446"/>
      <c r="AP271" s="446"/>
      <c r="AQ271" s="446"/>
      <c r="AR271" s="446"/>
      <c r="AS271" s="446"/>
      <c r="AT271" s="446"/>
      <c r="AU271" s="446"/>
      <c r="AV271" s="446"/>
      <c r="AW271" s="446"/>
      <c r="AX271" s="446"/>
      <c r="AY271" s="446"/>
      <c r="AZ271" s="446"/>
      <c r="BA271" s="446"/>
      <c r="BB271" s="446"/>
      <c r="BC271" s="446"/>
      <c r="BD271" s="446"/>
      <c r="BE271" s="442"/>
      <c r="BF271" s="442"/>
      <c r="BG271" s="446"/>
      <c r="BH271" s="446"/>
      <c r="BI271" s="442">
        <v>27.2</v>
      </c>
      <c r="BJ271" s="442"/>
      <c r="BK271" s="442"/>
      <c r="BL271" s="442"/>
      <c r="BM271" s="442"/>
      <c r="BN271" s="442"/>
      <c r="BO271" s="442"/>
      <c r="BP271" s="442"/>
      <c r="BQ271" s="442"/>
      <c r="BR271" s="442"/>
      <c r="BS271" s="442">
        <v>36.799999999999997</v>
      </c>
      <c r="BT271" s="446"/>
      <c r="BU271" s="446"/>
      <c r="BV271" s="442"/>
      <c r="BW271" s="442"/>
      <c r="BX271" s="756"/>
      <c r="BY271" s="850"/>
      <c r="BZ271" s="850"/>
      <c r="CA271" s="850"/>
      <c r="CB271" s="850"/>
      <c r="CC271" s="850"/>
      <c r="CD271" s="850"/>
      <c r="CE271" s="850"/>
      <c r="CF271" s="850"/>
      <c r="CG271" s="169" t="s">
        <v>957</v>
      </c>
      <c r="CH271" s="419"/>
      <c r="CI271" s="407"/>
      <c r="CJ271" s="23"/>
      <c r="CK271" s="682" t="s">
        <v>1164</v>
      </c>
      <c r="CL271" s="572"/>
      <c r="CM271" s="431"/>
      <c r="CN271" s="128"/>
      <c r="CO271" s="128"/>
      <c r="CP271" s="128"/>
      <c r="CQ271" s="128"/>
      <c r="CR271" s="406"/>
      <c r="CS271" s="431"/>
      <c r="CU271" s="23"/>
      <c r="CV271" s="23"/>
      <c r="CW271" s="23"/>
      <c r="CX271" s="23"/>
      <c r="DA271" s="648"/>
    </row>
    <row r="272" spans="1:105" s="35" customFormat="1" ht="12" customHeight="1" x14ac:dyDescent="0.2">
      <c r="A272" s="651"/>
      <c r="B272" s="537"/>
      <c r="C272" s="97" t="s">
        <v>156</v>
      </c>
      <c r="D272" s="237" t="s">
        <v>1125</v>
      </c>
      <c r="E272" s="647" t="s">
        <v>351</v>
      </c>
      <c r="F272" s="647"/>
      <c r="G272" s="98"/>
      <c r="H272" s="97"/>
      <c r="I272" s="166" t="s">
        <v>551</v>
      </c>
      <c r="J272" s="571"/>
      <c r="K272" s="571"/>
      <c r="L272" s="493"/>
      <c r="M272" s="98" t="s">
        <v>18</v>
      </c>
      <c r="N272" s="493"/>
      <c r="O272" s="98"/>
      <c r="P272" s="98"/>
      <c r="Q272" s="98"/>
      <c r="R272" s="167"/>
      <c r="S272" s="167"/>
      <c r="T272" s="167"/>
      <c r="U272" s="393">
        <v>1000</v>
      </c>
      <c r="V272" s="694"/>
      <c r="W272" s="711"/>
      <c r="X272" s="167"/>
      <c r="Y272" s="446"/>
      <c r="Z272" s="446"/>
      <c r="AA272" s="446"/>
      <c r="AB272" s="446"/>
      <c r="AC272" s="446"/>
      <c r="AD272" s="446"/>
      <c r="AE272" s="446"/>
      <c r="AF272" s="446"/>
      <c r="AG272" s="446"/>
      <c r="AH272" s="446"/>
      <c r="AI272" s="446"/>
      <c r="AJ272" s="446"/>
      <c r="AK272" s="446"/>
      <c r="AL272" s="446"/>
      <c r="AM272" s="446"/>
      <c r="AN272" s="446"/>
      <c r="AO272" s="446"/>
      <c r="AP272" s="446"/>
      <c r="AQ272" s="446"/>
      <c r="AR272" s="446"/>
      <c r="AS272" s="446"/>
      <c r="AT272" s="446"/>
      <c r="AU272" s="446"/>
      <c r="AV272" s="446"/>
      <c r="AW272" s="446"/>
      <c r="AX272" s="446"/>
      <c r="AY272" s="446"/>
      <c r="AZ272" s="446"/>
      <c r="BA272" s="446"/>
      <c r="BB272" s="446"/>
      <c r="BC272" s="446"/>
      <c r="BD272" s="446"/>
      <c r="BE272" s="445"/>
      <c r="BF272" s="445"/>
      <c r="BG272" s="446"/>
      <c r="BH272" s="446"/>
      <c r="BI272" s="445"/>
      <c r="BJ272" s="445"/>
      <c r="BK272" s="445"/>
      <c r="BL272" s="445"/>
      <c r="BM272" s="445"/>
      <c r="BN272" s="445"/>
      <c r="BO272" s="445"/>
      <c r="BP272" s="445"/>
      <c r="BQ272" s="444"/>
      <c r="BR272" s="444"/>
      <c r="BS272" s="442">
        <v>59</v>
      </c>
      <c r="BT272" s="445"/>
      <c r="BU272" s="445"/>
      <c r="BV272" s="445"/>
      <c r="BW272" s="445"/>
      <c r="BX272" s="756"/>
      <c r="BY272" s="850"/>
      <c r="BZ272" s="850"/>
      <c r="CA272" s="850"/>
      <c r="CB272" s="850"/>
      <c r="CC272" s="850"/>
      <c r="CD272" s="850"/>
      <c r="CE272" s="850"/>
      <c r="CF272" s="850"/>
      <c r="CG272" s="237" t="s">
        <v>966</v>
      </c>
      <c r="CH272" s="419" t="s">
        <v>568</v>
      </c>
      <c r="CI272" s="407"/>
      <c r="CJ272" s="23"/>
      <c r="CK272" s="682" t="s">
        <v>569</v>
      </c>
      <c r="CL272" s="572"/>
      <c r="CM272" s="648"/>
      <c r="CR272" s="406"/>
      <c r="CS272" s="648"/>
      <c r="CU272" s="23"/>
      <c r="CV272" s="23"/>
      <c r="CW272" s="23"/>
      <c r="CX272" s="23"/>
      <c r="DA272" s="648"/>
    </row>
    <row r="273" spans="1:105" s="35" customFormat="1" ht="12" customHeight="1" x14ac:dyDescent="0.2">
      <c r="A273" s="651"/>
      <c r="B273" s="537"/>
      <c r="C273" s="97" t="s">
        <v>157</v>
      </c>
      <c r="D273" s="169" t="s">
        <v>1125</v>
      </c>
      <c r="E273" s="647" t="s">
        <v>14</v>
      </c>
      <c r="F273" s="647"/>
      <c r="G273" s="98"/>
      <c r="H273" s="97"/>
      <c r="I273" s="166">
        <v>2008</v>
      </c>
      <c r="J273" s="571"/>
      <c r="K273" s="571"/>
      <c r="L273" s="493"/>
      <c r="M273" s="98" t="s">
        <v>17</v>
      </c>
      <c r="N273" s="493"/>
      <c r="O273" s="98" t="s">
        <v>103</v>
      </c>
      <c r="P273" s="98">
        <v>18</v>
      </c>
      <c r="Q273" s="98">
        <v>74</v>
      </c>
      <c r="R273" s="167"/>
      <c r="S273" s="167"/>
      <c r="T273" s="167"/>
      <c r="U273" s="393">
        <v>1700</v>
      </c>
      <c r="V273" s="694"/>
      <c r="W273" s="711"/>
      <c r="X273" s="167"/>
      <c r="Y273" s="446"/>
      <c r="Z273" s="446"/>
      <c r="AA273" s="446"/>
      <c r="AB273" s="446"/>
      <c r="AC273" s="446"/>
      <c r="AD273" s="446"/>
      <c r="AE273" s="446"/>
      <c r="AF273" s="446"/>
      <c r="AG273" s="446"/>
      <c r="AH273" s="446"/>
      <c r="AI273" s="446"/>
      <c r="AJ273" s="446"/>
      <c r="AK273" s="446"/>
      <c r="AL273" s="446"/>
      <c r="AM273" s="446"/>
      <c r="AN273" s="446"/>
      <c r="AO273" s="446"/>
      <c r="AP273" s="446"/>
      <c r="AQ273" s="446"/>
      <c r="AR273" s="446"/>
      <c r="AS273" s="446"/>
      <c r="AT273" s="446"/>
      <c r="AU273" s="446"/>
      <c r="AV273" s="446"/>
      <c r="AW273" s="446"/>
      <c r="AX273" s="446"/>
      <c r="AY273" s="446"/>
      <c r="AZ273" s="446"/>
      <c r="BA273" s="446"/>
      <c r="BB273" s="446"/>
      <c r="BC273" s="446"/>
      <c r="BD273" s="446"/>
      <c r="BE273" s="446"/>
      <c r="BF273" s="446"/>
      <c r="BG273" s="446"/>
      <c r="BH273" s="446"/>
      <c r="BI273" s="446"/>
      <c r="BJ273" s="446"/>
      <c r="BK273" s="446"/>
      <c r="BL273" s="446"/>
      <c r="BM273" s="446"/>
      <c r="BN273" s="446"/>
      <c r="BO273" s="446"/>
      <c r="BP273" s="446"/>
      <c r="BQ273" s="444"/>
      <c r="BR273" s="445"/>
      <c r="BS273" s="442">
        <v>12</v>
      </c>
      <c r="BT273" s="271"/>
      <c r="BU273" s="271"/>
      <c r="BV273" s="454"/>
      <c r="BW273" s="454"/>
      <c r="BX273" s="756"/>
      <c r="BY273" s="850"/>
      <c r="BZ273" s="850"/>
      <c r="CA273" s="850"/>
      <c r="CB273" s="850"/>
      <c r="CC273" s="850"/>
      <c r="CD273" s="850"/>
      <c r="CE273" s="850"/>
      <c r="CF273" s="850"/>
      <c r="CG273" s="168" t="s">
        <v>560</v>
      </c>
      <c r="CH273" s="419" t="s">
        <v>655</v>
      </c>
      <c r="CI273" s="404">
        <v>40994</v>
      </c>
      <c r="CJ273" s="23"/>
      <c r="CK273" s="683" t="s">
        <v>1105</v>
      </c>
      <c r="CL273" s="572"/>
      <c r="CM273" s="648"/>
      <c r="CR273" s="406"/>
      <c r="CS273" s="648"/>
      <c r="CU273" s="23"/>
      <c r="CV273" s="23"/>
      <c r="CW273" s="23"/>
      <c r="CX273" s="23"/>
      <c r="DA273" s="648"/>
    </row>
    <row r="274" spans="1:105" s="35" customFormat="1" ht="12" customHeight="1" x14ac:dyDescent="0.2">
      <c r="A274" s="651"/>
      <c r="B274" s="537"/>
      <c r="C274" s="186" t="s">
        <v>158</v>
      </c>
      <c r="D274" s="169" t="s">
        <v>1130</v>
      </c>
      <c r="E274" s="647" t="s">
        <v>14</v>
      </c>
      <c r="F274" s="647"/>
      <c r="G274" s="237"/>
      <c r="H274" s="186"/>
      <c r="I274" s="166">
        <v>1995</v>
      </c>
      <c r="J274" s="390"/>
      <c r="K274" s="390"/>
      <c r="L274" s="493"/>
      <c r="M274" s="237" t="s">
        <v>17</v>
      </c>
      <c r="N274" s="493"/>
      <c r="O274" s="98"/>
      <c r="P274" s="98"/>
      <c r="Q274" s="98"/>
      <c r="R274" s="167"/>
      <c r="S274" s="167"/>
      <c r="T274" s="167"/>
      <c r="U274" s="393">
        <v>679</v>
      </c>
      <c r="V274" s="694"/>
      <c r="W274" s="711"/>
      <c r="X274" s="254"/>
      <c r="Y274" s="446"/>
      <c r="Z274" s="446"/>
      <c r="AA274" s="446"/>
      <c r="AB274" s="446"/>
      <c r="AC274" s="446"/>
      <c r="AD274" s="446"/>
      <c r="AE274" s="446"/>
      <c r="AF274" s="446"/>
      <c r="AG274" s="446"/>
      <c r="AH274" s="446"/>
      <c r="AI274" s="446"/>
      <c r="AJ274" s="446"/>
      <c r="AK274" s="446"/>
      <c r="AL274" s="446"/>
      <c r="AM274" s="446"/>
      <c r="AN274" s="446"/>
      <c r="AO274" s="446"/>
      <c r="AP274" s="446"/>
      <c r="AQ274" s="446"/>
      <c r="AR274" s="446"/>
      <c r="AS274" s="446"/>
      <c r="AT274" s="446"/>
      <c r="AU274" s="446"/>
      <c r="AV274" s="446"/>
      <c r="AW274" s="446"/>
      <c r="AX274" s="446"/>
      <c r="AY274" s="446"/>
      <c r="AZ274" s="446"/>
      <c r="BA274" s="446"/>
      <c r="BB274" s="446"/>
      <c r="BC274" s="446"/>
      <c r="BD274" s="446"/>
      <c r="BE274" s="446"/>
      <c r="BF274" s="446"/>
      <c r="BG274" s="446"/>
      <c r="BH274" s="446"/>
      <c r="BI274" s="445">
        <v>7</v>
      </c>
      <c r="BJ274" s="446"/>
      <c r="BK274" s="446"/>
      <c r="BL274" s="446"/>
      <c r="BM274" s="446"/>
      <c r="BN274" s="446"/>
      <c r="BO274" s="446"/>
      <c r="BP274" s="446"/>
      <c r="BQ274" s="444"/>
      <c r="BR274" s="445"/>
      <c r="BS274" s="442">
        <v>18</v>
      </c>
      <c r="BT274" s="271"/>
      <c r="BU274" s="271"/>
      <c r="BV274" s="454"/>
      <c r="BW274" s="454"/>
      <c r="BX274" s="756"/>
      <c r="BY274" s="850"/>
      <c r="BZ274" s="850"/>
      <c r="CA274" s="850"/>
      <c r="CB274" s="850"/>
      <c r="CC274" s="850"/>
      <c r="CD274" s="850"/>
      <c r="CE274" s="850"/>
      <c r="CF274" s="850"/>
      <c r="CG274" s="169" t="s">
        <v>768</v>
      </c>
      <c r="CH274" s="417" t="s">
        <v>769</v>
      </c>
      <c r="CI274" s="406"/>
      <c r="CJ274" s="23"/>
      <c r="CK274" s="648"/>
      <c r="CL274" s="572"/>
      <c r="CM274" s="648"/>
      <c r="CR274" s="406"/>
      <c r="CS274" s="648"/>
      <c r="CU274" s="23"/>
      <c r="CV274" s="23"/>
      <c r="CW274" s="23"/>
      <c r="CX274" s="23"/>
      <c r="DA274" s="648"/>
    </row>
    <row r="275" spans="1:105" s="35" customFormat="1" ht="12" customHeight="1" x14ac:dyDescent="0.2">
      <c r="A275" s="651"/>
      <c r="B275" s="537"/>
      <c r="C275" s="186" t="s">
        <v>158</v>
      </c>
      <c r="D275" s="169" t="s">
        <v>1130</v>
      </c>
      <c r="E275" s="647" t="s">
        <v>858</v>
      </c>
      <c r="F275" s="647"/>
      <c r="G275" s="237"/>
      <c r="H275" s="186"/>
      <c r="I275" s="166">
        <v>2002</v>
      </c>
      <c r="J275" s="390"/>
      <c r="K275" s="390"/>
      <c r="L275" s="493"/>
      <c r="M275" s="98"/>
      <c r="N275" s="493"/>
      <c r="O275" s="98" t="s">
        <v>227</v>
      </c>
      <c r="P275" s="98">
        <v>14</v>
      </c>
      <c r="Q275" s="98"/>
      <c r="R275" s="167"/>
      <c r="S275" s="167"/>
      <c r="T275" s="167"/>
      <c r="U275" s="393">
        <v>2615</v>
      </c>
      <c r="V275" s="694"/>
      <c r="W275" s="711"/>
      <c r="X275" s="254"/>
      <c r="Y275" s="446"/>
      <c r="Z275" s="446"/>
      <c r="AA275" s="446"/>
      <c r="AB275" s="446"/>
      <c r="AC275" s="446"/>
      <c r="AD275" s="446"/>
      <c r="AE275" s="446"/>
      <c r="AF275" s="446"/>
      <c r="AG275" s="446"/>
      <c r="AH275" s="446"/>
      <c r="AI275" s="446"/>
      <c r="AJ275" s="446"/>
      <c r="AK275" s="446"/>
      <c r="AL275" s="446"/>
      <c r="AM275" s="446"/>
      <c r="AN275" s="446"/>
      <c r="AO275" s="446"/>
      <c r="AP275" s="446"/>
      <c r="AQ275" s="446"/>
      <c r="AR275" s="446"/>
      <c r="AS275" s="446"/>
      <c r="AT275" s="446"/>
      <c r="AU275" s="446"/>
      <c r="AV275" s="446"/>
      <c r="AW275" s="446"/>
      <c r="AX275" s="446"/>
      <c r="AY275" s="446"/>
      <c r="AZ275" s="446"/>
      <c r="BA275" s="446"/>
      <c r="BB275" s="446"/>
      <c r="BC275" s="446"/>
      <c r="BD275" s="446"/>
      <c r="BE275" s="442"/>
      <c r="BF275" s="442"/>
      <c r="BG275" s="446"/>
      <c r="BH275" s="446"/>
      <c r="BI275" s="442"/>
      <c r="BJ275" s="442"/>
      <c r="BK275" s="442"/>
      <c r="BL275" s="442"/>
      <c r="BM275" s="442"/>
      <c r="BN275" s="442"/>
      <c r="BO275" s="442"/>
      <c r="BP275" s="442"/>
      <c r="BQ275" s="442"/>
      <c r="BR275" s="442"/>
      <c r="BS275" s="442">
        <v>39</v>
      </c>
      <c r="BT275" s="446"/>
      <c r="BU275" s="446"/>
      <c r="BV275" s="442"/>
      <c r="BW275" s="442"/>
      <c r="BX275" s="756"/>
      <c r="BY275" s="850"/>
      <c r="BZ275" s="850"/>
      <c r="CA275" s="850"/>
      <c r="CB275" s="850"/>
      <c r="CC275" s="850"/>
      <c r="CD275" s="850"/>
      <c r="CE275" s="850"/>
      <c r="CF275" s="850"/>
      <c r="CG275" s="169" t="s">
        <v>957</v>
      </c>
      <c r="CH275" s="417"/>
      <c r="CI275" s="406"/>
      <c r="CJ275" s="23"/>
      <c r="CK275" s="417" t="s">
        <v>1044</v>
      </c>
      <c r="CL275" s="572"/>
      <c r="CM275" s="648"/>
      <c r="CR275" s="406"/>
      <c r="CS275" s="648"/>
      <c r="CU275" s="23"/>
      <c r="CV275" s="23"/>
      <c r="CW275" s="23"/>
      <c r="CX275" s="23"/>
      <c r="DA275" s="648"/>
    </row>
    <row r="276" spans="1:105" s="35" customFormat="1" ht="12" customHeight="1" x14ac:dyDescent="0.2">
      <c r="A276" s="651"/>
      <c r="B276" s="537"/>
      <c r="C276" s="186" t="s">
        <v>158</v>
      </c>
      <c r="D276" s="169" t="s">
        <v>1130</v>
      </c>
      <c r="E276" s="647" t="s">
        <v>14</v>
      </c>
      <c r="F276" s="647"/>
      <c r="G276" s="237"/>
      <c r="H276" s="186"/>
      <c r="I276" s="166">
        <v>2003</v>
      </c>
      <c r="J276" s="390"/>
      <c r="K276" s="390"/>
      <c r="L276" s="493"/>
      <c r="M276" s="237"/>
      <c r="N276" s="493"/>
      <c r="O276" s="98" t="s">
        <v>603</v>
      </c>
      <c r="P276" s="98">
        <v>18</v>
      </c>
      <c r="Q276" s="98">
        <v>60</v>
      </c>
      <c r="R276" s="167"/>
      <c r="S276" s="167"/>
      <c r="T276" s="167"/>
      <c r="U276" s="393"/>
      <c r="V276" s="694"/>
      <c r="W276" s="711"/>
      <c r="X276" s="254"/>
      <c r="Y276" s="446"/>
      <c r="Z276" s="446"/>
      <c r="AA276" s="446"/>
      <c r="AB276" s="446"/>
      <c r="AC276" s="446"/>
      <c r="AD276" s="446"/>
      <c r="AE276" s="446"/>
      <c r="AF276" s="446"/>
      <c r="AG276" s="446"/>
      <c r="AH276" s="446"/>
      <c r="AI276" s="446"/>
      <c r="AJ276" s="446"/>
      <c r="AK276" s="446"/>
      <c r="AL276" s="446"/>
      <c r="AM276" s="446"/>
      <c r="AN276" s="446"/>
      <c r="AO276" s="446"/>
      <c r="AP276" s="446"/>
      <c r="AQ276" s="446"/>
      <c r="AR276" s="446"/>
      <c r="AS276" s="446"/>
      <c r="AT276" s="446"/>
      <c r="AU276" s="446"/>
      <c r="AV276" s="446"/>
      <c r="AW276" s="446"/>
      <c r="AX276" s="446"/>
      <c r="AY276" s="446"/>
      <c r="AZ276" s="446"/>
      <c r="BA276" s="446"/>
      <c r="BB276" s="446"/>
      <c r="BC276" s="446"/>
      <c r="BD276" s="446"/>
      <c r="BE276" s="445"/>
      <c r="BF276" s="445"/>
      <c r="BG276" s="446"/>
      <c r="BH276" s="446"/>
      <c r="BI276" s="442">
        <v>13</v>
      </c>
      <c r="BJ276" s="445">
        <v>1.4</v>
      </c>
      <c r="BK276" s="445"/>
      <c r="BL276" s="445"/>
      <c r="BM276" s="445"/>
      <c r="BN276" s="445"/>
      <c r="BO276" s="445"/>
      <c r="BP276" s="445"/>
      <c r="BQ276" s="444"/>
      <c r="BR276" s="444"/>
      <c r="BS276" s="446"/>
      <c r="BT276" s="446"/>
      <c r="BU276" s="446"/>
      <c r="BV276" s="442"/>
      <c r="BW276" s="442"/>
      <c r="BX276" s="756"/>
      <c r="BY276" s="850"/>
      <c r="BZ276" s="850"/>
      <c r="CA276" s="850"/>
      <c r="CB276" s="850"/>
      <c r="CC276" s="850"/>
      <c r="CD276" s="850"/>
      <c r="CE276" s="850"/>
      <c r="CF276" s="850"/>
      <c r="CG276" s="169"/>
      <c r="CH276" s="419" t="s">
        <v>1121</v>
      </c>
      <c r="CI276" s="406"/>
      <c r="CJ276" s="23"/>
      <c r="CK276" s="648"/>
      <c r="CL276" s="572"/>
      <c r="CM276" s="648"/>
      <c r="CR276" s="406"/>
      <c r="CS276" s="648"/>
      <c r="CU276" s="23"/>
      <c r="CV276" s="23"/>
      <c r="CW276" s="23"/>
      <c r="CX276" s="23"/>
      <c r="DA276" s="648"/>
    </row>
    <row r="277" spans="1:105" s="35" customFormat="1" ht="12" customHeight="1" x14ac:dyDescent="0.2">
      <c r="A277" s="651"/>
      <c r="B277" s="537"/>
      <c r="C277" s="97" t="s">
        <v>110</v>
      </c>
      <c r="D277" s="169" t="s">
        <v>1125</v>
      </c>
      <c r="E277" s="647" t="s">
        <v>543</v>
      </c>
      <c r="F277" s="647"/>
      <c r="G277" s="98"/>
      <c r="H277" s="97"/>
      <c r="I277" s="166">
        <v>1994</v>
      </c>
      <c r="J277" s="571"/>
      <c r="K277" s="571"/>
      <c r="L277" s="493" t="s">
        <v>783</v>
      </c>
      <c r="M277" s="98" t="s">
        <v>18</v>
      </c>
      <c r="N277" s="494" t="s">
        <v>783</v>
      </c>
      <c r="O277" s="98"/>
      <c r="P277" s="98"/>
      <c r="Q277" s="98"/>
      <c r="R277" s="167"/>
      <c r="S277" s="167"/>
      <c r="T277" s="167"/>
      <c r="U277" s="393">
        <v>2410</v>
      </c>
      <c r="V277" s="694"/>
      <c r="W277" s="711"/>
      <c r="X277" s="167"/>
      <c r="Y277" s="446"/>
      <c r="Z277" s="446"/>
      <c r="AA277" s="446"/>
      <c r="AB277" s="446"/>
      <c r="AC277" s="446"/>
      <c r="AD277" s="446"/>
      <c r="AE277" s="446"/>
      <c r="AF277" s="446"/>
      <c r="AG277" s="446"/>
      <c r="AH277" s="446"/>
      <c r="AI277" s="446"/>
      <c r="AJ277" s="446"/>
      <c r="AK277" s="446"/>
      <c r="AL277" s="446"/>
      <c r="AM277" s="446"/>
      <c r="AN277" s="446"/>
      <c r="AO277" s="446"/>
      <c r="AP277" s="446"/>
      <c r="AQ277" s="446"/>
      <c r="AR277" s="446"/>
      <c r="AS277" s="446"/>
      <c r="AT277" s="446"/>
      <c r="AU277" s="446"/>
      <c r="AV277" s="446"/>
      <c r="AW277" s="446"/>
      <c r="AX277" s="446"/>
      <c r="AY277" s="446"/>
      <c r="AZ277" s="446"/>
      <c r="BA277" s="446"/>
      <c r="BB277" s="446"/>
      <c r="BC277" s="446"/>
      <c r="BD277" s="446"/>
      <c r="BE277" s="445"/>
      <c r="BF277" s="445"/>
      <c r="BG277" s="446"/>
      <c r="BH277" s="446"/>
      <c r="BI277" s="445"/>
      <c r="BJ277" s="445">
        <v>52</v>
      </c>
      <c r="BK277" s="445"/>
      <c r="BL277" s="445"/>
      <c r="BM277" s="445"/>
      <c r="BN277" s="445"/>
      <c r="BO277" s="445"/>
      <c r="BP277" s="445"/>
      <c r="BQ277" s="444"/>
      <c r="BR277" s="444"/>
      <c r="BS277" s="442">
        <v>69</v>
      </c>
      <c r="BT277" s="271"/>
      <c r="BU277" s="271"/>
      <c r="BV277" s="454"/>
      <c r="BW277" s="454"/>
      <c r="BX277" s="756"/>
      <c r="BY277" s="850"/>
      <c r="BZ277" s="850"/>
      <c r="CA277" s="850"/>
      <c r="CB277" s="850"/>
      <c r="CC277" s="850"/>
      <c r="CD277" s="850"/>
      <c r="CE277" s="850"/>
      <c r="CF277" s="850"/>
      <c r="CG277" s="169" t="s">
        <v>523</v>
      </c>
      <c r="CH277" s="426"/>
      <c r="CI277" s="406"/>
      <c r="CJ277" s="23"/>
      <c r="CK277" s="648" t="s">
        <v>1175</v>
      </c>
      <c r="CL277" s="572"/>
      <c r="CM277" s="648"/>
      <c r="CR277" s="406"/>
      <c r="CS277" s="648"/>
      <c r="CU277" s="23"/>
      <c r="CV277" s="23"/>
      <c r="CW277" s="23"/>
      <c r="CX277" s="23"/>
      <c r="DA277" s="648"/>
    </row>
    <row r="278" spans="1:105" s="35" customFormat="1" ht="12" customHeight="1" x14ac:dyDescent="0.2">
      <c r="A278" s="651"/>
      <c r="B278" s="537"/>
      <c r="C278" s="97" t="s">
        <v>110</v>
      </c>
      <c r="D278" s="169" t="s">
        <v>1125</v>
      </c>
      <c r="E278" s="647" t="s">
        <v>112</v>
      </c>
      <c r="F278" s="647"/>
      <c r="G278" s="98"/>
      <c r="H278" s="97"/>
      <c r="I278" s="166">
        <v>1997</v>
      </c>
      <c r="J278" s="571"/>
      <c r="K278" s="571"/>
      <c r="L278" s="493"/>
      <c r="M278" s="98" t="s">
        <v>18</v>
      </c>
      <c r="N278" s="493"/>
      <c r="O278" s="98"/>
      <c r="P278" s="98"/>
      <c r="Q278" s="98"/>
      <c r="R278" s="167"/>
      <c r="S278" s="167"/>
      <c r="T278" s="167"/>
      <c r="U278" s="393">
        <v>1826</v>
      </c>
      <c r="V278" s="694"/>
      <c r="W278" s="711"/>
      <c r="X278" s="167"/>
      <c r="Y278" s="446"/>
      <c r="Z278" s="446"/>
      <c r="AA278" s="446"/>
      <c r="AB278" s="446"/>
      <c r="AC278" s="446"/>
      <c r="AD278" s="446"/>
      <c r="AE278" s="446"/>
      <c r="AF278" s="446"/>
      <c r="AG278" s="446"/>
      <c r="AH278" s="446"/>
      <c r="AI278" s="446"/>
      <c r="AJ278" s="446"/>
      <c r="AK278" s="446"/>
      <c r="AL278" s="446"/>
      <c r="AM278" s="446"/>
      <c r="AN278" s="446"/>
      <c r="AO278" s="446"/>
      <c r="AP278" s="446"/>
      <c r="AQ278" s="446"/>
      <c r="AR278" s="446"/>
      <c r="AS278" s="446"/>
      <c r="AT278" s="446"/>
      <c r="AU278" s="446"/>
      <c r="AV278" s="446"/>
      <c r="AW278" s="446"/>
      <c r="AX278" s="446"/>
      <c r="AY278" s="446"/>
      <c r="AZ278" s="446"/>
      <c r="BA278" s="446"/>
      <c r="BB278" s="446"/>
      <c r="BC278" s="446"/>
      <c r="BD278" s="446"/>
      <c r="BE278" s="445"/>
      <c r="BF278" s="445"/>
      <c r="BG278" s="446"/>
      <c r="BH278" s="446"/>
      <c r="BI278" s="445"/>
      <c r="BJ278" s="445">
        <v>32</v>
      </c>
      <c r="BK278" s="445"/>
      <c r="BL278" s="445"/>
      <c r="BM278" s="445"/>
      <c r="BN278" s="445"/>
      <c r="BO278" s="445"/>
      <c r="BP278" s="445"/>
      <c r="BQ278" s="444"/>
      <c r="BR278" s="444"/>
      <c r="BS278" s="442"/>
      <c r="BT278" s="271"/>
      <c r="BU278" s="271"/>
      <c r="BV278" s="454"/>
      <c r="BW278" s="454"/>
      <c r="BX278" s="756"/>
      <c r="BY278" s="850"/>
      <c r="BZ278" s="850"/>
      <c r="CA278" s="850"/>
      <c r="CB278" s="850"/>
      <c r="CC278" s="850"/>
      <c r="CD278" s="850"/>
      <c r="CE278" s="850"/>
      <c r="CF278" s="850"/>
      <c r="CG278" s="169" t="s">
        <v>523</v>
      </c>
      <c r="CH278" s="417"/>
      <c r="CI278" s="406"/>
      <c r="CJ278" s="23"/>
      <c r="CK278" s="426" t="s">
        <v>1041</v>
      </c>
      <c r="CL278" s="572"/>
      <c r="CM278" s="648"/>
      <c r="CR278" s="406"/>
      <c r="CS278" s="648"/>
      <c r="CU278" s="23"/>
      <c r="CV278" s="23"/>
      <c r="CW278" s="23"/>
      <c r="CX278" s="23"/>
      <c r="DA278" s="648"/>
    </row>
    <row r="279" spans="1:105" s="35" customFormat="1" ht="12" customHeight="1" x14ac:dyDescent="0.2">
      <c r="A279" s="651"/>
      <c r="B279" s="537"/>
      <c r="C279" s="97" t="s">
        <v>110</v>
      </c>
      <c r="D279" s="169" t="s">
        <v>1125</v>
      </c>
      <c r="E279" s="647" t="s">
        <v>14</v>
      </c>
      <c r="F279" s="647"/>
      <c r="G279" s="98"/>
      <c r="H279" s="97"/>
      <c r="I279" s="166">
        <v>1998</v>
      </c>
      <c r="J279" s="571"/>
      <c r="K279" s="571"/>
      <c r="L279" s="493"/>
      <c r="M279" s="98" t="s">
        <v>15</v>
      </c>
      <c r="N279" s="493"/>
      <c r="O279" s="98"/>
      <c r="P279" s="98"/>
      <c r="Q279" s="98"/>
      <c r="R279" s="167"/>
      <c r="S279" s="167"/>
      <c r="T279" s="167"/>
      <c r="U279" s="393">
        <v>849</v>
      </c>
      <c r="V279" s="694"/>
      <c r="W279" s="711"/>
      <c r="X279" s="167"/>
      <c r="Y279" s="446"/>
      <c r="Z279" s="446"/>
      <c r="AA279" s="446"/>
      <c r="AB279" s="446"/>
      <c r="AC279" s="446"/>
      <c r="AD279" s="446"/>
      <c r="AE279" s="446"/>
      <c r="AF279" s="446"/>
      <c r="AG279" s="446"/>
      <c r="AH279" s="446"/>
      <c r="AI279" s="446"/>
      <c r="AJ279" s="446"/>
      <c r="AK279" s="446"/>
      <c r="AL279" s="446"/>
      <c r="AM279" s="446"/>
      <c r="AN279" s="446"/>
      <c r="AO279" s="446"/>
      <c r="AP279" s="446"/>
      <c r="AQ279" s="446"/>
      <c r="AR279" s="446"/>
      <c r="AS279" s="446"/>
      <c r="AT279" s="446"/>
      <c r="AU279" s="446"/>
      <c r="AV279" s="446"/>
      <c r="AW279" s="446"/>
      <c r="AX279" s="446"/>
      <c r="AY279" s="446"/>
      <c r="AZ279" s="446"/>
      <c r="BA279" s="446"/>
      <c r="BB279" s="446"/>
      <c r="BC279" s="446"/>
      <c r="BD279" s="446"/>
      <c r="BE279" s="445"/>
      <c r="BF279" s="445"/>
      <c r="BG279" s="446"/>
      <c r="BH279" s="446"/>
      <c r="BI279" s="445">
        <v>4</v>
      </c>
      <c r="BJ279" s="445"/>
      <c r="BK279" s="445"/>
      <c r="BL279" s="445"/>
      <c r="BM279" s="445"/>
      <c r="BN279" s="445"/>
      <c r="BO279" s="445"/>
      <c r="BP279" s="445"/>
      <c r="BQ279" s="444"/>
      <c r="BR279" s="444"/>
      <c r="BS279" s="442">
        <v>11</v>
      </c>
      <c r="BT279" s="445">
        <v>4</v>
      </c>
      <c r="BU279" s="445"/>
      <c r="BV279" s="445"/>
      <c r="BW279" s="445"/>
      <c r="BX279" s="756"/>
      <c r="BY279" s="850"/>
      <c r="BZ279" s="850"/>
      <c r="CA279" s="850"/>
      <c r="CB279" s="850"/>
      <c r="CC279" s="850"/>
      <c r="CD279" s="850"/>
      <c r="CE279" s="850"/>
      <c r="CF279" s="850"/>
      <c r="CG279" s="169" t="s">
        <v>226</v>
      </c>
      <c r="CH279" s="419" t="s">
        <v>280</v>
      </c>
      <c r="CI279" s="407"/>
      <c r="CJ279" s="23"/>
      <c r="CK279" s="648"/>
      <c r="CL279" s="572"/>
      <c r="CM279" s="648"/>
      <c r="CR279" s="406"/>
      <c r="CS279" s="648"/>
      <c r="CU279" s="23"/>
      <c r="CV279" s="23"/>
      <c r="CW279" s="23"/>
      <c r="CX279" s="23"/>
      <c r="DA279" s="648"/>
    </row>
    <row r="280" spans="1:105" s="35" customFormat="1" ht="12" customHeight="1" x14ac:dyDescent="0.2">
      <c r="A280" s="651"/>
      <c r="B280" s="537"/>
      <c r="C280" s="97" t="s">
        <v>110</v>
      </c>
      <c r="D280" s="169" t="s">
        <v>1125</v>
      </c>
      <c r="E280" s="647" t="s">
        <v>14</v>
      </c>
      <c r="F280" s="647"/>
      <c r="G280" s="98"/>
      <c r="H280" s="97"/>
      <c r="I280" s="166">
        <v>2004</v>
      </c>
      <c r="J280" s="571"/>
      <c r="K280" s="571"/>
      <c r="L280" s="495"/>
      <c r="M280" s="98" t="s">
        <v>17</v>
      </c>
      <c r="N280" s="495"/>
      <c r="O280" s="247"/>
      <c r="P280" s="247"/>
      <c r="Q280" s="98"/>
      <c r="R280" s="167"/>
      <c r="S280" s="167"/>
      <c r="T280" s="167"/>
      <c r="U280" s="393">
        <v>2996</v>
      </c>
      <c r="V280" s="694"/>
      <c r="W280" s="711"/>
      <c r="X280" s="167"/>
      <c r="Y280" s="446"/>
      <c r="Z280" s="446"/>
      <c r="AA280" s="446"/>
      <c r="AB280" s="446"/>
      <c r="AC280" s="446"/>
      <c r="AD280" s="446"/>
      <c r="AE280" s="446"/>
      <c r="AF280" s="446"/>
      <c r="AG280" s="446"/>
      <c r="AH280" s="446"/>
      <c r="AI280" s="446"/>
      <c r="AJ280" s="446"/>
      <c r="AK280" s="446"/>
      <c r="AL280" s="446"/>
      <c r="AM280" s="446"/>
      <c r="AN280" s="446"/>
      <c r="AO280" s="446"/>
      <c r="AP280" s="446"/>
      <c r="AQ280" s="446"/>
      <c r="AR280" s="446"/>
      <c r="AS280" s="446"/>
      <c r="AT280" s="446"/>
      <c r="AU280" s="446"/>
      <c r="AV280" s="446"/>
      <c r="AW280" s="446"/>
      <c r="AX280" s="446"/>
      <c r="AY280" s="446"/>
      <c r="AZ280" s="446"/>
      <c r="BA280" s="446"/>
      <c r="BB280" s="446"/>
      <c r="BC280" s="446"/>
      <c r="BD280" s="446"/>
      <c r="BE280" s="446"/>
      <c r="BF280" s="446"/>
      <c r="BG280" s="446"/>
      <c r="BH280" s="446"/>
      <c r="BI280" s="445"/>
      <c r="BJ280" s="446"/>
      <c r="BK280" s="446"/>
      <c r="BL280" s="446"/>
      <c r="BM280" s="446"/>
      <c r="BN280" s="446"/>
      <c r="BO280" s="446"/>
      <c r="BP280" s="446"/>
      <c r="BQ280" s="444"/>
      <c r="BR280" s="445"/>
      <c r="BS280" s="442"/>
      <c r="BT280" s="445">
        <v>5.7</v>
      </c>
      <c r="BU280" s="445"/>
      <c r="BV280" s="445"/>
      <c r="BW280" s="445"/>
      <c r="BX280" s="756"/>
      <c r="BY280" s="850"/>
      <c r="BZ280" s="850"/>
      <c r="CA280" s="850"/>
      <c r="CB280" s="850"/>
      <c r="CC280" s="850"/>
      <c r="CD280" s="850"/>
      <c r="CE280" s="850"/>
      <c r="CF280" s="850"/>
      <c r="CG280" s="169" t="s">
        <v>969</v>
      </c>
      <c r="CH280" s="417"/>
      <c r="CI280" s="406"/>
      <c r="CJ280" s="23"/>
      <c r="CK280" s="648" t="s">
        <v>749</v>
      </c>
      <c r="CL280" s="572" t="s">
        <v>547</v>
      </c>
      <c r="CM280" s="648"/>
      <c r="CR280" s="406"/>
      <c r="CS280" s="648"/>
      <c r="CU280" s="23"/>
      <c r="CV280" s="23"/>
      <c r="CW280" s="23"/>
      <c r="CX280" s="23"/>
      <c r="DA280" s="648"/>
    </row>
    <row r="281" spans="1:105" s="35" customFormat="1" ht="12" customHeight="1" x14ac:dyDescent="0.2">
      <c r="A281" s="651"/>
      <c r="B281" s="537"/>
      <c r="C281" s="97" t="s">
        <v>110</v>
      </c>
      <c r="D281" s="237" t="s">
        <v>1125</v>
      </c>
      <c r="E281" s="647" t="s">
        <v>14</v>
      </c>
      <c r="F281" s="647"/>
      <c r="G281" s="98"/>
      <c r="H281" s="97"/>
      <c r="I281" s="166" t="s">
        <v>239</v>
      </c>
      <c r="J281" s="571"/>
      <c r="K281" s="571"/>
      <c r="L281" s="495"/>
      <c r="M281" s="247" t="s">
        <v>15</v>
      </c>
      <c r="N281" s="495"/>
      <c r="O281" s="98"/>
      <c r="P281" s="98"/>
      <c r="Q281" s="98"/>
      <c r="R281" s="167"/>
      <c r="S281" s="167"/>
      <c r="T281" s="167"/>
      <c r="U281" s="393">
        <v>2544</v>
      </c>
      <c r="V281" s="694"/>
      <c r="W281" s="711"/>
      <c r="X281" s="167"/>
      <c r="Y281" s="446"/>
      <c r="Z281" s="446"/>
      <c r="AA281" s="446"/>
      <c r="AB281" s="446"/>
      <c r="AC281" s="446"/>
      <c r="AD281" s="446"/>
      <c r="AE281" s="446"/>
      <c r="AF281" s="446"/>
      <c r="AG281" s="446"/>
      <c r="AH281" s="446"/>
      <c r="AI281" s="446"/>
      <c r="AJ281" s="446"/>
      <c r="AK281" s="446"/>
      <c r="AL281" s="446"/>
      <c r="AM281" s="446"/>
      <c r="AN281" s="446"/>
      <c r="AO281" s="446"/>
      <c r="AP281" s="446"/>
      <c r="AQ281" s="446"/>
      <c r="AR281" s="446"/>
      <c r="AS281" s="446"/>
      <c r="AT281" s="446"/>
      <c r="AU281" s="446"/>
      <c r="AV281" s="446"/>
      <c r="AW281" s="446"/>
      <c r="AX281" s="446"/>
      <c r="AY281" s="446"/>
      <c r="AZ281" s="446"/>
      <c r="BA281" s="446"/>
      <c r="BB281" s="446"/>
      <c r="BC281" s="446"/>
      <c r="BD281" s="446"/>
      <c r="BE281" s="445"/>
      <c r="BF281" s="445"/>
      <c r="BG281" s="446"/>
      <c r="BH281" s="446"/>
      <c r="BI281" s="445"/>
      <c r="BJ281" s="445">
        <v>6</v>
      </c>
      <c r="BK281" s="445"/>
      <c r="BL281" s="445"/>
      <c r="BM281" s="445"/>
      <c r="BN281" s="445"/>
      <c r="BO281" s="445"/>
      <c r="BP281" s="445"/>
      <c r="BQ281" s="444"/>
      <c r="BR281" s="444"/>
      <c r="BS281" s="442">
        <v>13</v>
      </c>
      <c r="BT281" s="445">
        <v>6</v>
      </c>
      <c r="BU281" s="445"/>
      <c r="BV281" s="445"/>
      <c r="BW281" s="445"/>
      <c r="BX281" s="756"/>
      <c r="BY281" s="850"/>
      <c r="BZ281" s="850"/>
      <c r="CA281" s="850"/>
      <c r="CB281" s="850"/>
      <c r="CC281" s="850"/>
      <c r="CD281" s="850"/>
      <c r="CE281" s="850"/>
      <c r="CF281" s="850"/>
      <c r="CG281" s="237" t="s">
        <v>971</v>
      </c>
      <c r="CH281" s="417"/>
      <c r="CI281" s="406"/>
      <c r="CJ281" s="23"/>
      <c r="CK281" s="684" t="s">
        <v>677</v>
      </c>
      <c r="CL281" s="692"/>
      <c r="CM281" s="648"/>
      <c r="CR281" s="406"/>
      <c r="CS281" s="648"/>
      <c r="CU281" s="23"/>
      <c r="CV281" s="23"/>
      <c r="CW281" s="23"/>
      <c r="CX281" s="23"/>
      <c r="DA281" s="648"/>
    </row>
    <row r="282" spans="1:105" s="35" customFormat="1" ht="12" customHeight="1" x14ac:dyDescent="0.2">
      <c r="A282" s="651"/>
      <c r="B282" s="537"/>
      <c r="C282" s="97" t="s">
        <v>110</v>
      </c>
      <c r="D282" s="169" t="s">
        <v>1125</v>
      </c>
      <c r="E282" s="647" t="s">
        <v>113</v>
      </c>
      <c r="F282" s="647"/>
      <c r="G282" s="98"/>
      <c r="H282" s="97"/>
      <c r="I282" s="166" t="s">
        <v>235</v>
      </c>
      <c r="J282" s="571"/>
      <c r="K282" s="571"/>
      <c r="L282" s="495"/>
      <c r="M282" s="98"/>
      <c r="N282" s="495"/>
      <c r="O282" s="98"/>
      <c r="P282" s="98"/>
      <c r="Q282" s="98"/>
      <c r="R282" s="167"/>
      <c r="S282" s="167"/>
      <c r="T282" s="167"/>
      <c r="U282" s="393">
        <v>4212</v>
      </c>
      <c r="V282" s="694"/>
      <c r="W282" s="711"/>
      <c r="X282" s="167"/>
      <c r="Y282" s="446"/>
      <c r="Z282" s="446"/>
      <c r="AA282" s="446"/>
      <c r="AB282" s="446"/>
      <c r="AC282" s="446"/>
      <c r="AD282" s="446"/>
      <c r="AE282" s="446"/>
      <c r="AF282" s="446"/>
      <c r="AG282" s="446"/>
      <c r="AH282" s="446"/>
      <c r="AI282" s="446"/>
      <c r="AJ282" s="446"/>
      <c r="AK282" s="446"/>
      <c r="AL282" s="446"/>
      <c r="AM282" s="446"/>
      <c r="AN282" s="446"/>
      <c r="AO282" s="446"/>
      <c r="AP282" s="446"/>
      <c r="AQ282" s="446"/>
      <c r="AR282" s="446"/>
      <c r="AS282" s="446"/>
      <c r="AT282" s="446"/>
      <c r="AU282" s="446"/>
      <c r="AV282" s="446"/>
      <c r="AW282" s="446"/>
      <c r="AX282" s="446"/>
      <c r="AY282" s="446"/>
      <c r="AZ282" s="446"/>
      <c r="BA282" s="446"/>
      <c r="BB282" s="446"/>
      <c r="BC282" s="446"/>
      <c r="BD282" s="446"/>
      <c r="BE282" s="442"/>
      <c r="BF282" s="442"/>
      <c r="BG282" s="446"/>
      <c r="BH282" s="446"/>
      <c r="BI282" s="442"/>
      <c r="BJ282" s="442"/>
      <c r="BK282" s="442"/>
      <c r="BL282" s="442"/>
      <c r="BM282" s="442"/>
      <c r="BN282" s="442"/>
      <c r="BO282" s="442"/>
      <c r="BP282" s="442"/>
      <c r="BQ282" s="442"/>
      <c r="BR282" s="442"/>
      <c r="BS282" s="442"/>
      <c r="BT282" s="445">
        <v>23.3</v>
      </c>
      <c r="BU282" s="445"/>
      <c r="BV282" s="445"/>
      <c r="BW282" s="445"/>
      <c r="BX282" s="756"/>
      <c r="BY282" s="850"/>
      <c r="BZ282" s="850"/>
      <c r="CA282" s="850"/>
      <c r="CB282" s="850"/>
      <c r="CC282" s="850"/>
      <c r="CD282" s="850"/>
      <c r="CE282" s="850"/>
      <c r="CF282" s="850"/>
      <c r="CG282" s="168" t="s">
        <v>236</v>
      </c>
      <c r="CH282" s="422" t="s">
        <v>670</v>
      </c>
      <c r="CI282" s="406"/>
      <c r="CJ282" s="23"/>
      <c r="CK282" s="648"/>
      <c r="CL282" s="572"/>
      <c r="CM282" s="431"/>
      <c r="CN282" s="128"/>
      <c r="CO282" s="128"/>
      <c r="CP282" s="128"/>
      <c r="CQ282" s="128"/>
      <c r="CR282" s="406"/>
      <c r="CS282" s="431"/>
      <c r="CU282" s="23"/>
      <c r="CV282" s="23"/>
      <c r="CW282" s="23"/>
      <c r="CX282" s="23"/>
      <c r="DA282" s="648"/>
    </row>
    <row r="283" spans="1:105" s="35" customFormat="1" ht="12" customHeight="1" x14ac:dyDescent="0.2">
      <c r="A283" s="651"/>
      <c r="B283" s="537"/>
      <c r="C283" s="97" t="s">
        <v>159</v>
      </c>
      <c r="D283" s="169" t="s">
        <v>1130</v>
      </c>
      <c r="E283" s="647" t="s">
        <v>798</v>
      </c>
      <c r="F283" s="647"/>
      <c r="G283" s="98"/>
      <c r="H283" s="97"/>
      <c r="I283" s="166">
        <v>2004</v>
      </c>
      <c r="J283" s="571"/>
      <c r="K283" s="571"/>
      <c r="L283" s="495"/>
      <c r="M283" s="98" t="s">
        <v>15</v>
      </c>
      <c r="N283" s="495"/>
      <c r="O283" s="98"/>
      <c r="P283" s="98"/>
      <c r="Q283" s="98"/>
      <c r="R283" s="167"/>
      <c r="S283" s="167"/>
      <c r="T283" s="167"/>
      <c r="U283" s="393">
        <v>542</v>
      </c>
      <c r="V283" s="694"/>
      <c r="W283" s="711"/>
      <c r="X283" s="167"/>
      <c r="Y283" s="446"/>
      <c r="Z283" s="446"/>
      <c r="AA283" s="446"/>
      <c r="AB283" s="446"/>
      <c r="AC283" s="446"/>
      <c r="AD283" s="446"/>
      <c r="AE283" s="446"/>
      <c r="AF283" s="446"/>
      <c r="AG283" s="446"/>
      <c r="AH283" s="446"/>
      <c r="AI283" s="446"/>
      <c r="AJ283" s="446"/>
      <c r="AK283" s="446"/>
      <c r="AL283" s="446"/>
      <c r="AM283" s="446"/>
      <c r="AN283" s="446"/>
      <c r="AO283" s="446"/>
      <c r="AP283" s="446"/>
      <c r="AQ283" s="446"/>
      <c r="AR283" s="446"/>
      <c r="AS283" s="446"/>
      <c r="AT283" s="446"/>
      <c r="AU283" s="446"/>
      <c r="AV283" s="446"/>
      <c r="AW283" s="446"/>
      <c r="AX283" s="446"/>
      <c r="AY283" s="446"/>
      <c r="AZ283" s="446"/>
      <c r="BA283" s="446"/>
      <c r="BB283" s="446"/>
      <c r="BC283" s="446"/>
      <c r="BD283" s="446"/>
      <c r="BE283" s="445"/>
      <c r="BF283" s="445"/>
      <c r="BG283" s="446"/>
      <c r="BH283" s="446"/>
      <c r="BI283" s="442">
        <v>14.1</v>
      </c>
      <c r="BJ283" s="445">
        <v>5.2</v>
      </c>
      <c r="BK283" s="445"/>
      <c r="BL283" s="445"/>
      <c r="BM283" s="445"/>
      <c r="BN283" s="445"/>
      <c r="BO283" s="445"/>
      <c r="BP283" s="445"/>
      <c r="BQ283" s="444"/>
      <c r="BR283" s="444"/>
      <c r="BS283" s="446"/>
      <c r="BT283" s="446"/>
      <c r="BU283" s="446"/>
      <c r="BV283" s="442"/>
      <c r="BW283" s="442"/>
      <c r="BX283" s="756"/>
      <c r="BY283" s="850"/>
      <c r="BZ283" s="850"/>
      <c r="CA283" s="850"/>
      <c r="CB283" s="850"/>
      <c r="CC283" s="850"/>
      <c r="CD283" s="850"/>
      <c r="CE283" s="850"/>
      <c r="CF283" s="850"/>
      <c r="CG283" s="169" t="s">
        <v>957</v>
      </c>
      <c r="CH283" s="417"/>
      <c r="CI283" s="406"/>
      <c r="CJ283" s="23"/>
      <c r="CK283" s="417" t="s">
        <v>1044</v>
      </c>
      <c r="CL283" s="572"/>
      <c r="CM283" s="648"/>
      <c r="CR283" s="406"/>
      <c r="CS283" s="648"/>
      <c r="CU283" s="23"/>
      <c r="CV283" s="23"/>
      <c r="CW283" s="23"/>
      <c r="CX283" s="23"/>
      <c r="DA283" s="648"/>
    </row>
    <row r="284" spans="1:105" s="35" customFormat="1" ht="12" customHeight="1" x14ac:dyDescent="0.2">
      <c r="A284" s="651"/>
      <c r="B284" s="537"/>
      <c r="C284" s="97" t="s">
        <v>159</v>
      </c>
      <c r="D284" s="169" t="s">
        <v>1130</v>
      </c>
      <c r="E284" s="647" t="s">
        <v>850</v>
      </c>
      <c r="F284" s="647"/>
      <c r="G284" s="237"/>
      <c r="H284" s="186"/>
      <c r="I284" s="253">
        <v>2005</v>
      </c>
      <c r="J284" s="390"/>
      <c r="K284" s="390"/>
      <c r="L284" s="495"/>
      <c r="M284" s="237" t="s">
        <v>17</v>
      </c>
      <c r="N284" s="495"/>
      <c r="O284" s="98" t="s">
        <v>233</v>
      </c>
      <c r="P284" s="98">
        <v>15</v>
      </c>
      <c r="Q284" s="98">
        <v>39</v>
      </c>
      <c r="R284" s="167"/>
      <c r="S284" s="167"/>
      <c r="T284" s="167"/>
      <c r="U284" s="393">
        <v>444</v>
      </c>
      <c r="V284" s="694"/>
      <c r="W284" s="711"/>
      <c r="X284" s="254"/>
      <c r="Y284" s="446"/>
      <c r="Z284" s="446"/>
      <c r="AA284" s="446"/>
      <c r="AB284" s="446"/>
      <c r="AC284" s="446"/>
      <c r="AD284" s="446"/>
      <c r="AE284" s="446"/>
      <c r="AF284" s="446"/>
      <c r="AG284" s="446"/>
      <c r="AH284" s="446"/>
      <c r="AI284" s="446"/>
      <c r="AJ284" s="446"/>
      <c r="AK284" s="446"/>
      <c r="AL284" s="446"/>
      <c r="AM284" s="446"/>
      <c r="AN284" s="446"/>
      <c r="AO284" s="446"/>
      <c r="AP284" s="446"/>
      <c r="AQ284" s="446"/>
      <c r="AR284" s="446"/>
      <c r="AS284" s="446"/>
      <c r="AT284" s="446"/>
      <c r="AU284" s="446"/>
      <c r="AV284" s="446"/>
      <c r="AW284" s="446"/>
      <c r="AX284" s="446"/>
      <c r="AY284" s="446"/>
      <c r="AZ284" s="446"/>
      <c r="BA284" s="446"/>
      <c r="BB284" s="446"/>
      <c r="BC284" s="446"/>
      <c r="BD284" s="446"/>
      <c r="BE284" s="446"/>
      <c r="BF284" s="446"/>
      <c r="BG284" s="446"/>
      <c r="BH284" s="446"/>
      <c r="BI284" s="446"/>
      <c r="BJ284" s="446"/>
      <c r="BK284" s="446"/>
      <c r="BL284" s="446"/>
      <c r="BM284" s="446"/>
      <c r="BN284" s="446"/>
      <c r="BO284" s="446"/>
      <c r="BP284" s="446"/>
      <c r="BQ284" s="442">
        <v>27.4</v>
      </c>
      <c r="BR284" s="445">
        <v>19.899999999999999</v>
      </c>
      <c r="BS284" s="446"/>
      <c r="BT284" s="446"/>
      <c r="BU284" s="446"/>
      <c r="BV284" s="442"/>
      <c r="BW284" s="442"/>
      <c r="BX284" s="756"/>
      <c r="BY284" s="850"/>
      <c r="BZ284" s="850"/>
      <c r="CA284" s="850"/>
      <c r="CB284" s="850"/>
      <c r="CC284" s="850"/>
      <c r="CD284" s="850"/>
      <c r="CE284" s="850"/>
      <c r="CF284" s="850"/>
      <c r="CG284" s="169" t="s">
        <v>957</v>
      </c>
      <c r="CH284" s="417"/>
      <c r="CI284" s="406"/>
      <c r="CJ284" s="23"/>
      <c r="CK284" s="417" t="s">
        <v>1044</v>
      </c>
      <c r="CL284" s="572"/>
      <c r="CM284" s="648"/>
      <c r="CR284" s="406"/>
      <c r="CS284" s="648"/>
      <c r="CU284" s="23"/>
      <c r="CV284" s="23"/>
      <c r="CW284" s="23"/>
      <c r="CX284" s="23"/>
      <c r="DA284" s="648"/>
    </row>
    <row r="285" spans="1:105" s="97" customFormat="1" ht="12" customHeight="1" x14ac:dyDescent="0.2">
      <c r="A285" s="651"/>
      <c r="B285" s="537"/>
      <c r="C285" s="97" t="s">
        <v>159</v>
      </c>
      <c r="D285" s="169" t="s">
        <v>1130</v>
      </c>
      <c r="E285" s="647" t="s">
        <v>14</v>
      </c>
      <c r="F285" s="647"/>
      <c r="G285" s="98"/>
      <c r="I285" s="253">
        <v>2006</v>
      </c>
      <c r="J285" s="571"/>
      <c r="K285" s="571"/>
      <c r="L285" s="493"/>
      <c r="M285" s="98" t="s">
        <v>17</v>
      </c>
      <c r="N285" s="493"/>
      <c r="O285" s="98" t="s">
        <v>233</v>
      </c>
      <c r="P285" s="98">
        <v>15</v>
      </c>
      <c r="Q285" s="98">
        <v>39</v>
      </c>
      <c r="R285" s="167"/>
      <c r="S285" s="167"/>
      <c r="T285" s="167"/>
      <c r="U285" s="393">
        <v>25000</v>
      </c>
      <c r="V285" s="694"/>
      <c r="W285" s="711"/>
      <c r="X285" s="167"/>
      <c r="Y285" s="446"/>
      <c r="Z285" s="446"/>
      <c r="AA285" s="446"/>
      <c r="AB285" s="446"/>
      <c r="AC285" s="446"/>
      <c r="AD285" s="446"/>
      <c r="AE285" s="446"/>
      <c r="AF285" s="446"/>
      <c r="AG285" s="446"/>
      <c r="AH285" s="446"/>
      <c r="AI285" s="446"/>
      <c r="AJ285" s="446"/>
      <c r="AK285" s="446"/>
      <c r="AL285" s="446"/>
      <c r="AM285" s="446"/>
      <c r="AN285" s="446"/>
      <c r="AO285" s="446"/>
      <c r="AP285" s="446"/>
      <c r="AQ285" s="446"/>
      <c r="AR285" s="446"/>
      <c r="AS285" s="446"/>
      <c r="AT285" s="446"/>
      <c r="AU285" s="446"/>
      <c r="AV285" s="446"/>
      <c r="AW285" s="446"/>
      <c r="AX285" s="446"/>
      <c r="AY285" s="446"/>
      <c r="AZ285" s="446"/>
      <c r="BA285" s="446"/>
      <c r="BB285" s="446"/>
      <c r="BC285" s="446"/>
      <c r="BD285" s="446"/>
      <c r="BE285" s="442"/>
      <c r="BF285" s="442"/>
      <c r="BG285" s="446"/>
      <c r="BH285" s="446"/>
      <c r="BI285" s="445">
        <v>12.2</v>
      </c>
      <c r="BJ285" s="442">
        <v>1.7</v>
      </c>
      <c r="BK285" s="442"/>
      <c r="BL285" s="442"/>
      <c r="BM285" s="442"/>
      <c r="BN285" s="442"/>
      <c r="BO285" s="442"/>
      <c r="BP285" s="442"/>
      <c r="BQ285" s="444"/>
      <c r="BR285" s="445"/>
      <c r="BS285" s="271"/>
      <c r="BT285" s="271"/>
      <c r="BU285" s="271"/>
      <c r="BV285" s="454"/>
      <c r="BW285" s="454"/>
      <c r="BX285" s="756"/>
      <c r="BY285" s="850"/>
      <c r="BZ285" s="850"/>
      <c r="CA285" s="850"/>
      <c r="CB285" s="850"/>
      <c r="CC285" s="850"/>
      <c r="CD285" s="850"/>
      <c r="CE285" s="850"/>
      <c r="CF285" s="850"/>
      <c r="CG285" s="169" t="s">
        <v>773</v>
      </c>
      <c r="CH285" s="417"/>
      <c r="CI285" s="406"/>
      <c r="CJ285" s="23"/>
      <c r="CK285" s="417" t="s">
        <v>1065</v>
      </c>
      <c r="CL285" s="572" t="s">
        <v>761</v>
      </c>
      <c r="CM285" s="648"/>
      <c r="CN285" s="35"/>
      <c r="CO285" s="35"/>
      <c r="CP285" s="35"/>
      <c r="CQ285" s="35"/>
      <c r="CR285" s="406"/>
      <c r="CS285" s="648"/>
      <c r="CU285" s="98"/>
      <c r="CV285" s="98"/>
      <c r="CW285" s="98"/>
      <c r="CX285" s="98"/>
      <c r="DA285" s="647"/>
    </row>
    <row r="286" spans="1:105" s="128" customFormat="1" ht="13.5" customHeight="1" x14ac:dyDescent="0.2">
      <c r="A286" s="651"/>
      <c r="B286" s="537"/>
      <c r="C286" s="97" t="s">
        <v>160</v>
      </c>
      <c r="D286" s="169" t="s">
        <v>1132</v>
      </c>
      <c r="E286" s="647" t="s">
        <v>14</v>
      </c>
      <c r="F286" s="647"/>
      <c r="G286" s="98"/>
      <c r="H286" s="97"/>
      <c r="I286" s="253" t="s">
        <v>589</v>
      </c>
      <c r="J286" s="571"/>
      <c r="K286" s="571"/>
      <c r="L286" s="493" t="s">
        <v>1123</v>
      </c>
      <c r="M286" s="98"/>
      <c r="N286" s="493"/>
      <c r="O286" s="237" t="s">
        <v>1646</v>
      </c>
      <c r="P286" s="98">
        <v>15</v>
      </c>
      <c r="Q286" s="98"/>
      <c r="R286" s="167"/>
      <c r="S286" s="167"/>
      <c r="T286" s="167"/>
      <c r="U286" s="393"/>
      <c r="V286" s="694"/>
      <c r="W286" s="711"/>
      <c r="X286" s="167"/>
      <c r="Y286" s="446"/>
      <c r="Z286" s="446"/>
      <c r="AA286" s="446"/>
      <c r="AB286" s="446"/>
      <c r="AC286" s="446"/>
      <c r="AD286" s="446"/>
      <c r="AE286" s="446"/>
      <c r="AF286" s="446"/>
      <c r="AG286" s="446"/>
      <c r="AH286" s="446"/>
      <c r="AI286" s="446"/>
      <c r="AJ286" s="446"/>
      <c r="AK286" s="446"/>
      <c r="AL286" s="446"/>
      <c r="AM286" s="446"/>
      <c r="AN286" s="446"/>
      <c r="AO286" s="446"/>
      <c r="AP286" s="446"/>
      <c r="AQ286" s="446"/>
      <c r="AR286" s="446"/>
      <c r="AS286" s="446"/>
      <c r="AT286" s="446"/>
      <c r="AU286" s="446"/>
      <c r="AV286" s="446"/>
      <c r="AW286" s="446"/>
      <c r="AX286" s="446"/>
      <c r="AY286" s="446"/>
      <c r="AZ286" s="446"/>
      <c r="BA286" s="446"/>
      <c r="BB286" s="446"/>
      <c r="BC286" s="446"/>
      <c r="BD286" s="446"/>
      <c r="BE286" s="442"/>
      <c r="BF286" s="442"/>
      <c r="BG286" s="446"/>
      <c r="BH286" s="446"/>
      <c r="BI286" s="442">
        <v>17</v>
      </c>
      <c r="BJ286" s="442">
        <v>6.5</v>
      </c>
      <c r="BK286" s="442"/>
      <c r="BL286" s="442"/>
      <c r="BM286" s="442"/>
      <c r="BN286" s="442"/>
      <c r="BO286" s="442"/>
      <c r="BP286" s="442"/>
      <c r="BQ286" s="444"/>
      <c r="BR286" s="444"/>
      <c r="BS286" s="442"/>
      <c r="BT286" s="442"/>
      <c r="BU286" s="442"/>
      <c r="BV286" s="442"/>
      <c r="BW286" s="442"/>
      <c r="BX286" s="757"/>
      <c r="BY286" s="850"/>
      <c r="BZ286" s="850"/>
      <c r="CA286" s="850"/>
      <c r="CB286" s="850"/>
      <c r="CC286" s="850"/>
      <c r="CD286" s="850"/>
      <c r="CE286" s="850"/>
      <c r="CF286" s="850"/>
      <c r="CG286" s="169"/>
      <c r="CH286" s="419" t="s">
        <v>1158</v>
      </c>
      <c r="CI286" s="406"/>
      <c r="CJ286" s="23"/>
      <c r="CK286" s="417"/>
      <c r="CL286" s="572"/>
      <c r="CM286" s="431"/>
      <c r="CR286" s="406"/>
      <c r="CS286" s="431"/>
      <c r="CU286" s="23"/>
      <c r="CV286" s="23"/>
      <c r="CW286" s="23"/>
      <c r="CX286" s="23"/>
      <c r="DA286" s="431"/>
    </row>
    <row r="287" spans="1:105" s="35" customFormat="1" ht="12" customHeight="1" x14ac:dyDescent="0.2">
      <c r="A287" s="651"/>
      <c r="B287" s="537"/>
      <c r="C287" s="97" t="s">
        <v>72</v>
      </c>
      <c r="D287" s="169" t="s">
        <v>1125</v>
      </c>
      <c r="E287" s="647" t="s">
        <v>77</v>
      </c>
      <c r="F287" s="647"/>
      <c r="G287" s="98"/>
      <c r="H287" s="97"/>
      <c r="I287" s="166">
        <v>2001</v>
      </c>
      <c r="J287" s="571"/>
      <c r="K287" s="571"/>
      <c r="L287" s="493" t="s">
        <v>243</v>
      </c>
      <c r="M287" s="98" t="s">
        <v>15</v>
      </c>
      <c r="N287" s="494" t="s">
        <v>783</v>
      </c>
      <c r="O287" s="237" t="s">
        <v>1646</v>
      </c>
      <c r="P287" s="98">
        <v>15</v>
      </c>
      <c r="Q287" s="98"/>
      <c r="R287" s="167"/>
      <c r="S287" s="167"/>
      <c r="T287" s="167"/>
      <c r="U287" s="393">
        <v>1276</v>
      </c>
      <c r="V287" s="694"/>
      <c r="W287" s="711"/>
      <c r="X287" s="167"/>
      <c r="Y287" s="446"/>
      <c r="Z287" s="446"/>
      <c r="AA287" s="446"/>
      <c r="AB287" s="446"/>
      <c r="AC287" s="446"/>
      <c r="AD287" s="446"/>
      <c r="AE287" s="446"/>
      <c r="AF287" s="446"/>
      <c r="AG287" s="446"/>
      <c r="AH287" s="446"/>
      <c r="AI287" s="446"/>
      <c r="AJ287" s="446"/>
      <c r="AK287" s="446"/>
      <c r="AL287" s="446"/>
      <c r="AM287" s="446"/>
      <c r="AN287" s="446"/>
      <c r="AO287" s="446"/>
      <c r="AP287" s="446"/>
      <c r="AQ287" s="446"/>
      <c r="AR287" s="446"/>
      <c r="AS287" s="446"/>
      <c r="AT287" s="446"/>
      <c r="AU287" s="446"/>
      <c r="AV287" s="446"/>
      <c r="AW287" s="446"/>
      <c r="AX287" s="446"/>
      <c r="AY287" s="446"/>
      <c r="AZ287" s="446"/>
      <c r="BA287" s="446"/>
      <c r="BB287" s="446"/>
      <c r="BC287" s="446"/>
      <c r="BD287" s="446"/>
      <c r="BE287" s="445"/>
      <c r="BF287" s="445"/>
      <c r="BG287" s="446"/>
      <c r="BH287" s="446"/>
      <c r="BI287" s="442">
        <v>13</v>
      </c>
      <c r="BJ287" s="445">
        <v>3</v>
      </c>
      <c r="BK287" s="445"/>
      <c r="BL287" s="445"/>
      <c r="BM287" s="445"/>
      <c r="BN287" s="445"/>
      <c r="BO287" s="445"/>
      <c r="BP287" s="445"/>
      <c r="BQ287" s="444"/>
      <c r="BR287" s="444"/>
      <c r="BS287" s="442"/>
      <c r="BT287" s="445"/>
      <c r="BU287" s="445"/>
      <c r="BV287" s="445"/>
      <c r="BW287" s="445"/>
      <c r="BX287" s="756"/>
      <c r="BY287" s="850"/>
      <c r="BZ287" s="850"/>
      <c r="CA287" s="850"/>
      <c r="CB287" s="850"/>
      <c r="CC287" s="850"/>
      <c r="CD287" s="850"/>
      <c r="CE287" s="850"/>
      <c r="CF287" s="850"/>
      <c r="CG287" s="169" t="s">
        <v>523</v>
      </c>
      <c r="CH287" s="417"/>
      <c r="CI287" s="406"/>
      <c r="CJ287" s="23"/>
      <c r="CK287" s="426" t="s">
        <v>1041</v>
      </c>
      <c r="CL287" s="572"/>
      <c r="CM287" s="648"/>
      <c r="CR287" s="406"/>
      <c r="CS287" s="648"/>
      <c r="CU287" s="23"/>
      <c r="CV287" s="23"/>
      <c r="CW287" s="23"/>
      <c r="CX287" s="23"/>
      <c r="DA287" s="648"/>
    </row>
    <row r="288" spans="1:105" s="35" customFormat="1" ht="12" customHeight="1" x14ac:dyDescent="0.2">
      <c r="A288" s="651"/>
      <c r="B288" s="537"/>
      <c r="C288" s="97" t="s">
        <v>72</v>
      </c>
      <c r="D288" s="169" t="s">
        <v>1125</v>
      </c>
      <c r="E288" s="647"/>
      <c r="F288" s="647"/>
      <c r="G288" s="98"/>
      <c r="H288" s="97"/>
      <c r="I288" s="166">
        <v>2001</v>
      </c>
      <c r="J288" s="571"/>
      <c r="K288" s="571"/>
      <c r="L288" s="493"/>
      <c r="M288" s="98"/>
      <c r="N288" s="493"/>
      <c r="O288" s="237" t="s">
        <v>603</v>
      </c>
      <c r="P288" s="237">
        <v>18</v>
      </c>
      <c r="Q288" s="98">
        <v>60</v>
      </c>
      <c r="R288" s="167"/>
      <c r="S288" s="167"/>
      <c r="T288" s="167"/>
      <c r="U288" s="393">
        <v>211</v>
      </c>
      <c r="V288" s="694"/>
      <c r="W288" s="711"/>
      <c r="X288" s="167"/>
      <c r="Y288" s="446"/>
      <c r="Z288" s="446"/>
      <c r="AA288" s="446"/>
      <c r="AB288" s="446"/>
      <c r="AC288" s="446"/>
      <c r="AD288" s="446"/>
      <c r="AE288" s="446"/>
      <c r="AF288" s="446"/>
      <c r="AG288" s="446"/>
      <c r="AH288" s="446"/>
      <c r="AI288" s="446"/>
      <c r="AJ288" s="446"/>
      <c r="AK288" s="446"/>
      <c r="AL288" s="446"/>
      <c r="AM288" s="446"/>
      <c r="AN288" s="446"/>
      <c r="AO288" s="446"/>
      <c r="AP288" s="446"/>
      <c r="AQ288" s="446"/>
      <c r="AR288" s="446"/>
      <c r="AS288" s="446"/>
      <c r="AT288" s="446"/>
      <c r="AU288" s="446"/>
      <c r="AV288" s="446"/>
      <c r="AW288" s="446"/>
      <c r="AX288" s="446"/>
      <c r="AY288" s="446"/>
      <c r="AZ288" s="446"/>
      <c r="BA288" s="446"/>
      <c r="BB288" s="446"/>
      <c r="BC288" s="446"/>
      <c r="BD288" s="446"/>
      <c r="BE288" s="442"/>
      <c r="BF288" s="442"/>
      <c r="BG288" s="446"/>
      <c r="BH288" s="446"/>
      <c r="BI288" s="442"/>
      <c r="BJ288" s="442"/>
      <c r="BK288" s="442"/>
      <c r="BL288" s="442"/>
      <c r="BM288" s="442"/>
      <c r="BN288" s="442"/>
      <c r="BO288" s="442"/>
      <c r="BP288" s="442"/>
      <c r="BQ288" s="442"/>
      <c r="BR288" s="442"/>
      <c r="BS288" s="442">
        <v>51.7</v>
      </c>
      <c r="BT288" s="446"/>
      <c r="BU288" s="446"/>
      <c r="BV288" s="442"/>
      <c r="BW288" s="442"/>
      <c r="BX288" s="756"/>
      <c r="BY288" s="850"/>
      <c r="BZ288" s="850"/>
      <c r="CA288" s="850"/>
      <c r="CB288" s="850"/>
      <c r="CC288" s="850"/>
      <c r="CD288" s="850"/>
      <c r="CE288" s="850"/>
      <c r="CF288" s="850"/>
      <c r="CG288" s="169" t="s">
        <v>957</v>
      </c>
      <c r="CH288" s="417"/>
      <c r="CI288" s="406"/>
      <c r="CJ288" s="23"/>
      <c r="CK288" s="417" t="s">
        <v>1044</v>
      </c>
      <c r="CL288" s="572"/>
      <c r="CM288" s="648"/>
      <c r="CR288" s="406"/>
      <c r="CS288" s="648"/>
      <c r="CU288" s="23"/>
      <c r="CV288" s="23"/>
      <c r="CW288" s="23"/>
      <c r="CX288" s="23"/>
      <c r="DA288" s="648"/>
    </row>
    <row r="289" spans="1:105" s="35" customFormat="1" ht="12" customHeight="1" x14ac:dyDescent="0.2">
      <c r="A289" s="652"/>
      <c r="B289" s="469" t="s">
        <v>1799</v>
      </c>
      <c r="C289" s="390" t="s">
        <v>161</v>
      </c>
      <c r="D289" s="479" t="s">
        <v>1125</v>
      </c>
      <c r="E289" s="647" t="s">
        <v>14</v>
      </c>
      <c r="F289" s="647"/>
      <c r="G289" s="237"/>
      <c r="H289" s="186"/>
      <c r="I289" s="166">
        <v>2007</v>
      </c>
      <c r="J289" s="571">
        <v>2007</v>
      </c>
      <c r="K289" s="571"/>
      <c r="L289" s="494" t="s">
        <v>244</v>
      </c>
      <c r="M289" s="247" t="s">
        <v>1837</v>
      </c>
      <c r="N289" s="494" t="s">
        <v>783</v>
      </c>
      <c r="O289" s="247" t="s">
        <v>19</v>
      </c>
      <c r="P289" s="98">
        <v>15</v>
      </c>
      <c r="Q289" s="247">
        <v>49</v>
      </c>
      <c r="R289" s="552">
        <v>33.984185362265578</v>
      </c>
      <c r="S289" s="552"/>
      <c r="T289" s="552"/>
      <c r="U289" s="553">
        <v>3444</v>
      </c>
      <c r="V289" s="794"/>
      <c r="W289" s="712"/>
      <c r="X289" s="552">
        <v>10.305683281221258</v>
      </c>
      <c r="Y289" s="552">
        <v>14.779326364692208</v>
      </c>
      <c r="Z289" s="552">
        <v>11.382113821138221</v>
      </c>
      <c r="AA289" s="552">
        <v>18.699186991869851</v>
      </c>
      <c r="AB289" s="552">
        <v>18.699186991869851</v>
      </c>
      <c r="AC289" s="555"/>
      <c r="AD289" s="555"/>
      <c r="AE289" s="552">
        <v>13.327526132404202</v>
      </c>
      <c r="AF289" s="552">
        <v>10.540069686411142</v>
      </c>
      <c r="AG289" s="552">
        <v>0.66782810685249672</v>
      </c>
      <c r="AH289" s="554">
        <v>0.46457607433217235</v>
      </c>
      <c r="AI289" s="555"/>
      <c r="AJ289" s="555"/>
      <c r="AK289" s="552">
        <v>0.46457607433217152</v>
      </c>
      <c r="AL289" s="552">
        <v>0.31939605110336816</v>
      </c>
      <c r="AM289" s="552">
        <v>13.559814169570295</v>
      </c>
      <c r="AN289" s="552">
        <v>9.2334494773519094</v>
      </c>
      <c r="AO289" s="555"/>
      <c r="AP289" s="555"/>
      <c r="AQ289" s="552">
        <v>14.721254355400667</v>
      </c>
      <c r="AR289" s="552">
        <v>10.22067363530776</v>
      </c>
      <c r="AS289" s="552">
        <v>9.9303135888501846</v>
      </c>
      <c r="AT289" s="552">
        <v>6.9686411149825735</v>
      </c>
      <c r="AU289" s="552">
        <v>5.1393728222996549</v>
      </c>
      <c r="AV289" s="552">
        <v>3.7456445993031404</v>
      </c>
      <c r="AW289" s="552">
        <v>1.0743321718931496</v>
      </c>
      <c r="AX289" s="552">
        <v>0.8130081300812998</v>
      </c>
      <c r="AY289" s="555"/>
      <c r="AZ289" s="555"/>
      <c r="BA289" s="552"/>
      <c r="BB289" s="552"/>
      <c r="BC289" s="555"/>
      <c r="BD289" s="555"/>
      <c r="BE289" s="552"/>
      <c r="BF289" s="552"/>
      <c r="BG289" s="552"/>
      <c r="BH289" s="552"/>
      <c r="BI289" s="552">
        <v>19.599303135888466</v>
      </c>
      <c r="BJ289" s="552">
        <v>13.211382113821106</v>
      </c>
      <c r="BK289" s="552"/>
      <c r="BL289" s="552"/>
      <c r="BM289" s="552">
        <v>8.4785133565621376</v>
      </c>
      <c r="BN289" s="552">
        <v>7.0557491289198522</v>
      </c>
      <c r="BO289" s="555"/>
      <c r="BP289" s="555"/>
      <c r="BQ289" s="552"/>
      <c r="BR289" s="42"/>
      <c r="BS289" s="42"/>
      <c r="BT289" s="42"/>
      <c r="BU289" s="42">
        <v>12</v>
      </c>
      <c r="BV289" s="42"/>
      <c r="BW289" s="42"/>
      <c r="BX289" s="758"/>
      <c r="BY289" s="851"/>
      <c r="BZ289" s="851"/>
      <c r="CA289" s="851"/>
      <c r="CB289" s="851"/>
      <c r="CC289" s="851"/>
      <c r="CD289" s="851"/>
      <c r="CE289" s="851"/>
      <c r="CF289" s="851"/>
      <c r="CG289" s="97"/>
      <c r="CH289" s="647"/>
      <c r="CI289" s="97"/>
      <c r="CJ289" s="97"/>
      <c r="CK289" s="647"/>
      <c r="CL289" s="469" t="s">
        <v>1841</v>
      </c>
      <c r="CM289" s="647"/>
      <c r="CN289" s="97"/>
      <c r="CO289" s="97"/>
      <c r="CP289" s="97"/>
      <c r="CQ289" s="97"/>
      <c r="CR289" s="638"/>
      <c r="CS289" s="647"/>
      <c r="CU289" s="23"/>
      <c r="CV289" s="23"/>
      <c r="CW289" s="23"/>
      <c r="CX289" s="23"/>
      <c r="DA289" s="648"/>
    </row>
    <row r="290" spans="1:105" s="35" customFormat="1" ht="12" customHeight="1" x14ac:dyDescent="0.2">
      <c r="A290" s="651"/>
      <c r="B290" s="537"/>
      <c r="C290" s="97" t="s">
        <v>161</v>
      </c>
      <c r="D290" s="169" t="s">
        <v>1125</v>
      </c>
      <c r="E290" s="647" t="s">
        <v>14</v>
      </c>
      <c r="F290" s="647"/>
      <c r="G290" s="98"/>
      <c r="H290" s="97"/>
      <c r="I290" s="166">
        <v>2005</v>
      </c>
      <c r="J290" s="571"/>
      <c r="K290" s="571"/>
      <c r="L290" s="493"/>
      <c r="M290" s="98"/>
      <c r="N290" s="493"/>
      <c r="O290" s="98" t="s">
        <v>19</v>
      </c>
      <c r="P290" s="98">
        <v>15</v>
      </c>
      <c r="Q290" s="98">
        <v>49</v>
      </c>
      <c r="R290" s="167"/>
      <c r="S290" s="167"/>
      <c r="T290" s="167"/>
      <c r="U290" s="393">
        <v>262</v>
      </c>
      <c r="V290" s="694"/>
      <c r="W290" s="711"/>
      <c r="X290" s="167"/>
      <c r="Y290" s="446"/>
      <c r="Z290" s="446"/>
      <c r="AA290" s="446"/>
      <c r="AB290" s="446"/>
      <c r="AC290" s="446"/>
      <c r="AD290" s="446"/>
      <c r="AE290" s="446"/>
      <c r="AF290" s="446"/>
      <c r="AG290" s="446"/>
      <c r="AH290" s="446"/>
      <c r="AI290" s="446"/>
      <c r="AJ290" s="446"/>
      <c r="AK290" s="446"/>
      <c r="AL290" s="446"/>
      <c r="AM290" s="446"/>
      <c r="AN290" s="446"/>
      <c r="AO290" s="446"/>
      <c r="AP290" s="446"/>
      <c r="AQ290" s="446"/>
      <c r="AR290" s="446"/>
      <c r="AS290" s="446"/>
      <c r="AT290" s="446"/>
      <c r="AU290" s="446"/>
      <c r="AV290" s="446"/>
      <c r="AW290" s="446"/>
      <c r="AX290" s="446"/>
      <c r="AY290" s="446"/>
      <c r="AZ290" s="446"/>
      <c r="BA290" s="446"/>
      <c r="BB290" s="446"/>
      <c r="BC290" s="446"/>
      <c r="BD290" s="446"/>
      <c r="BE290" s="445"/>
      <c r="BF290" s="445"/>
      <c r="BG290" s="446"/>
      <c r="BH290" s="446"/>
      <c r="BI290" s="442">
        <v>42.5</v>
      </c>
      <c r="BJ290" s="445">
        <v>17.399999999999999</v>
      </c>
      <c r="BK290" s="445"/>
      <c r="BL290" s="445"/>
      <c r="BM290" s="445"/>
      <c r="BN290" s="445"/>
      <c r="BO290" s="445"/>
      <c r="BP290" s="445"/>
      <c r="BQ290" s="442"/>
      <c r="BR290" s="442"/>
      <c r="BS290" s="442"/>
      <c r="BT290" s="446"/>
      <c r="BU290" s="446"/>
      <c r="BV290" s="442"/>
      <c r="BW290" s="442"/>
      <c r="BX290" s="756"/>
      <c r="BY290" s="850"/>
      <c r="BZ290" s="850"/>
      <c r="CA290" s="850"/>
      <c r="CB290" s="850"/>
      <c r="CC290" s="850"/>
      <c r="CD290" s="850"/>
      <c r="CE290" s="850"/>
      <c r="CF290" s="850"/>
      <c r="CG290" s="169" t="s">
        <v>957</v>
      </c>
      <c r="CH290" s="417"/>
      <c r="CI290" s="406"/>
      <c r="CJ290" s="23"/>
      <c r="CK290" s="648" t="s">
        <v>1165</v>
      </c>
      <c r="CL290" s="572"/>
      <c r="CM290" s="431"/>
      <c r="CN290" s="128"/>
      <c r="CO290" s="128"/>
      <c r="CP290" s="128"/>
      <c r="CQ290" s="128"/>
      <c r="CR290" s="406"/>
      <c r="CS290" s="431"/>
      <c r="CU290" s="23"/>
      <c r="CV290" s="23"/>
      <c r="CW290" s="23"/>
      <c r="CX290" s="23"/>
      <c r="DA290" s="648"/>
    </row>
    <row r="291" spans="1:105" s="35" customFormat="1" ht="12" customHeight="1" x14ac:dyDescent="0.2">
      <c r="A291" s="652"/>
      <c r="B291" s="469" t="s">
        <v>1785</v>
      </c>
      <c r="C291" s="390" t="s">
        <v>162</v>
      </c>
      <c r="D291" s="237" t="s">
        <v>1125</v>
      </c>
      <c r="E291" s="647" t="s">
        <v>14</v>
      </c>
      <c r="F291" s="647"/>
      <c r="G291" s="237"/>
      <c r="H291" s="186"/>
      <c r="I291" s="166">
        <v>2000</v>
      </c>
      <c r="J291" s="571">
        <v>2000</v>
      </c>
      <c r="K291" s="571"/>
      <c r="L291" s="494" t="s">
        <v>244</v>
      </c>
      <c r="M291" s="247" t="s">
        <v>1837</v>
      </c>
      <c r="N291" s="494" t="s">
        <v>783</v>
      </c>
      <c r="O291" s="247" t="s">
        <v>19</v>
      </c>
      <c r="P291" s="98">
        <v>15</v>
      </c>
      <c r="Q291" s="247">
        <v>49</v>
      </c>
      <c r="R291" s="552">
        <v>29.712266301869644</v>
      </c>
      <c r="S291" s="552"/>
      <c r="T291" s="552"/>
      <c r="U291" s="553">
        <v>2403</v>
      </c>
      <c r="V291" s="794"/>
      <c r="W291" s="712"/>
      <c r="X291" s="552">
        <v>3.142165521753348</v>
      </c>
      <c r="Y291" s="552">
        <v>8.076602830974176</v>
      </c>
      <c r="Z291" s="552">
        <v>7.1786310517529346</v>
      </c>
      <c r="AA291" s="552">
        <v>18.318068276436321</v>
      </c>
      <c r="AB291" s="552">
        <v>16.889632107023406</v>
      </c>
      <c r="AC291" s="552">
        <v>9.4504579517069143</v>
      </c>
      <c r="AD291" s="555"/>
      <c r="AE291" s="552">
        <v>9.9916736053289181</v>
      </c>
      <c r="AF291" s="552">
        <v>9.269311064718142</v>
      </c>
      <c r="AG291" s="552">
        <v>3.2459425717852732</v>
      </c>
      <c r="AH291" s="552">
        <v>2.7500000000000067</v>
      </c>
      <c r="AI291" s="555"/>
      <c r="AJ291" s="555"/>
      <c r="AK291" s="552">
        <v>1.2484394506866399</v>
      </c>
      <c r="AL291" s="552">
        <v>0.99958350687213859</v>
      </c>
      <c r="AM291" s="552">
        <v>12.239800166527882</v>
      </c>
      <c r="AN291" s="552">
        <v>10.879533138807837</v>
      </c>
      <c r="AO291" s="555"/>
      <c r="AP291" s="555"/>
      <c r="AQ291" s="552">
        <v>10.204081632653056</v>
      </c>
      <c r="AR291" s="552">
        <v>8.924103419516257</v>
      </c>
      <c r="AS291" s="552">
        <v>6.5389421074552256</v>
      </c>
      <c r="AT291" s="552">
        <v>5.7916666666666723</v>
      </c>
      <c r="AU291" s="552">
        <v>6.4113238967527062</v>
      </c>
      <c r="AV291" s="552">
        <v>5.5833333333333321</v>
      </c>
      <c r="AW291" s="552">
        <v>0.58260507698709973</v>
      </c>
      <c r="AX291" s="552">
        <v>0.54121565362198121</v>
      </c>
      <c r="AY291" s="555"/>
      <c r="AZ291" s="555"/>
      <c r="BA291" s="552"/>
      <c r="BB291" s="552"/>
      <c r="BC291" s="555"/>
      <c r="BD291" s="555"/>
      <c r="BE291" s="552"/>
      <c r="BF291" s="552"/>
      <c r="BG291" s="552"/>
      <c r="BH291" s="552"/>
      <c r="BI291" s="552">
        <v>16.812317935913434</v>
      </c>
      <c r="BJ291" s="552">
        <v>15.029142381348867</v>
      </c>
      <c r="BK291" s="552"/>
      <c r="BL291" s="552"/>
      <c r="BM291" s="552">
        <v>3.7037037037037104</v>
      </c>
      <c r="BN291" s="552">
        <v>3.2486463973344488</v>
      </c>
      <c r="BO291" s="552">
        <v>1.3732833957553048</v>
      </c>
      <c r="BP291" s="552">
        <v>1.2078300708038323</v>
      </c>
      <c r="BQ291" s="552"/>
      <c r="BR291" s="42"/>
      <c r="BS291" s="42"/>
      <c r="BT291" s="42"/>
      <c r="BU291" s="42">
        <v>12</v>
      </c>
      <c r="BV291" s="42"/>
      <c r="BW291" s="42"/>
      <c r="BX291" s="758"/>
      <c r="BY291" s="851"/>
      <c r="BZ291" s="851"/>
      <c r="CA291" s="851"/>
      <c r="CB291" s="851"/>
      <c r="CC291" s="851"/>
      <c r="CD291" s="851"/>
      <c r="CE291" s="851"/>
      <c r="CF291" s="851"/>
      <c r="CG291" s="97"/>
      <c r="CH291" s="647"/>
      <c r="CI291" s="97"/>
      <c r="CJ291" s="97"/>
      <c r="CK291" s="647"/>
      <c r="CL291" s="469" t="s">
        <v>1841</v>
      </c>
      <c r="CM291" s="647"/>
      <c r="CN291" s="97"/>
      <c r="CO291" s="97"/>
      <c r="CP291" s="97"/>
      <c r="CQ291" s="97"/>
      <c r="CR291" s="638"/>
      <c r="CS291" s="647"/>
      <c r="CU291" s="23"/>
      <c r="CV291" s="23"/>
      <c r="CW291" s="23"/>
      <c r="CX291" s="23"/>
      <c r="DA291" s="648"/>
    </row>
    <row r="292" spans="1:105" s="35" customFormat="1" ht="12" customHeight="1" x14ac:dyDescent="0.2">
      <c r="A292" s="652"/>
      <c r="B292" s="469" t="s">
        <v>1786</v>
      </c>
      <c r="C292" s="390" t="s">
        <v>162</v>
      </c>
      <c r="D292" s="237" t="s">
        <v>1125</v>
      </c>
      <c r="E292" s="647" t="s">
        <v>14</v>
      </c>
      <c r="F292" s="647"/>
      <c r="G292" s="237"/>
      <c r="H292" s="186"/>
      <c r="I292" s="481" t="s">
        <v>235</v>
      </c>
      <c r="J292" s="571">
        <v>2005</v>
      </c>
      <c r="K292" s="571"/>
      <c r="L292" s="494" t="s">
        <v>244</v>
      </c>
      <c r="M292" s="247" t="s">
        <v>1837</v>
      </c>
      <c r="N292" s="494" t="s">
        <v>783</v>
      </c>
      <c r="O292" s="247" t="s">
        <v>19</v>
      </c>
      <c r="P292" s="98">
        <v>15</v>
      </c>
      <c r="Q292" s="247">
        <v>49</v>
      </c>
      <c r="R292" s="552">
        <v>30.531486375649287</v>
      </c>
      <c r="S292" s="552"/>
      <c r="T292" s="552"/>
      <c r="U292" s="553">
        <v>2294</v>
      </c>
      <c r="V292" s="794"/>
      <c r="W292" s="712"/>
      <c r="X292" s="552">
        <v>3.8559967178739147</v>
      </c>
      <c r="Y292" s="552">
        <v>11.436054124836328</v>
      </c>
      <c r="Z292" s="552">
        <v>9.1226538629419451</v>
      </c>
      <c r="AA292" s="552">
        <v>19.442022667829107</v>
      </c>
      <c r="AB292" s="552">
        <v>19.442022667829107</v>
      </c>
      <c r="AC292" s="552">
        <v>13.842794759825303</v>
      </c>
      <c r="AD292" s="552">
        <v>82.965299684542558</v>
      </c>
      <c r="AE292" s="552">
        <v>10.388476647752061</v>
      </c>
      <c r="AF292" s="552">
        <v>7.9912663755458508</v>
      </c>
      <c r="AG292" s="552">
        <v>2.1369385085041483</v>
      </c>
      <c r="AH292" s="552">
        <v>1.4391626689925845</v>
      </c>
      <c r="AI292" s="555"/>
      <c r="AJ292" s="555"/>
      <c r="AK292" s="552">
        <v>0.78465562336530215</v>
      </c>
      <c r="AL292" s="552">
        <v>0.43591979075850046</v>
      </c>
      <c r="AM292" s="552">
        <v>9.8953792502179603</v>
      </c>
      <c r="AN292" s="552">
        <v>6.6695727986050537</v>
      </c>
      <c r="AO292" s="555"/>
      <c r="AP292" s="555"/>
      <c r="AQ292" s="552">
        <v>7.8029642545771551</v>
      </c>
      <c r="AR292" s="552">
        <v>5.7105492589363536</v>
      </c>
      <c r="AS292" s="552">
        <v>3.5309503051438487</v>
      </c>
      <c r="AT292" s="552">
        <v>2.8334786399302501</v>
      </c>
      <c r="AU292" s="552">
        <v>4.0976460331299016</v>
      </c>
      <c r="AV292" s="552">
        <v>2.8770706190060999</v>
      </c>
      <c r="AW292" s="552">
        <v>1.1769834350479533</v>
      </c>
      <c r="AX292" s="552">
        <v>0.95902353966870035</v>
      </c>
      <c r="AY292" s="555"/>
      <c r="AZ292" s="555"/>
      <c r="BA292" s="552"/>
      <c r="BB292" s="552"/>
      <c r="BC292" s="555"/>
      <c r="BD292" s="555"/>
      <c r="BE292" s="552"/>
      <c r="BF292" s="552"/>
      <c r="BG292" s="552"/>
      <c r="BH292" s="552"/>
      <c r="BI292" s="552">
        <v>12.946817785527475</v>
      </c>
      <c r="BJ292" s="552">
        <v>9.2414995640802307</v>
      </c>
      <c r="BK292" s="552"/>
      <c r="BL292" s="552"/>
      <c r="BM292" s="552">
        <v>2.7474923680767551</v>
      </c>
      <c r="BN292" s="552">
        <v>1.9624945486262531</v>
      </c>
      <c r="BO292" s="552">
        <v>0.3055434308162373</v>
      </c>
      <c r="BP292" s="552">
        <v>0.13094718463553062</v>
      </c>
      <c r="BQ292" s="552"/>
      <c r="BR292" s="42"/>
      <c r="BS292" s="42"/>
      <c r="BT292" s="42"/>
      <c r="BU292" s="42">
        <v>12</v>
      </c>
      <c r="BV292" s="42"/>
      <c r="BW292" s="42"/>
      <c r="BX292" s="758"/>
      <c r="BY292" s="851"/>
      <c r="BZ292" s="851"/>
      <c r="CA292" s="851"/>
      <c r="CB292" s="851"/>
      <c r="CC292" s="851"/>
      <c r="CD292" s="851"/>
      <c r="CE292" s="851"/>
      <c r="CF292" s="851"/>
      <c r="CG292" s="97"/>
      <c r="CH292" s="647"/>
      <c r="CI292" s="97"/>
      <c r="CJ292" s="97"/>
      <c r="CK292" s="647"/>
      <c r="CL292" s="469" t="s">
        <v>1841</v>
      </c>
      <c r="CM292" s="647"/>
      <c r="CN292" s="97"/>
      <c r="CO292" s="97"/>
      <c r="CP292" s="97"/>
      <c r="CQ292" s="97"/>
      <c r="CR292" s="638"/>
      <c r="CS292" s="647"/>
      <c r="CU292" s="23"/>
      <c r="CV292" s="23"/>
      <c r="CW292" s="23"/>
      <c r="CX292" s="23"/>
      <c r="DA292" s="648"/>
    </row>
    <row r="293" spans="1:105" s="35" customFormat="1" ht="12" customHeight="1" x14ac:dyDescent="0.2">
      <c r="A293" s="647" t="s">
        <v>1464</v>
      </c>
      <c r="B293" s="469"/>
      <c r="C293" s="97" t="s">
        <v>162</v>
      </c>
      <c r="D293" s="169" t="s">
        <v>1125</v>
      </c>
      <c r="E293" s="647" t="s">
        <v>68</v>
      </c>
      <c r="F293" s="647"/>
      <c r="G293" s="98"/>
      <c r="H293" s="97"/>
      <c r="I293" s="166">
        <v>1996</v>
      </c>
      <c r="J293" s="571"/>
      <c r="K293" s="571"/>
      <c r="L293" s="493"/>
      <c r="M293" s="98" t="s">
        <v>15</v>
      </c>
      <c r="N293" s="493"/>
      <c r="O293" s="247"/>
      <c r="P293" s="247"/>
      <c r="Q293" s="98"/>
      <c r="R293" s="167"/>
      <c r="S293" s="167"/>
      <c r="T293" s="167"/>
      <c r="U293" s="393">
        <v>1374</v>
      </c>
      <c r="V293" s="694"/>
      <c r="W293" s="711"/>
      <c r="X293" s="167"/>
      <c r="Y293" s="446"/>
      <c r="Z293" s="446"/>
      <c r="AA293" s="446"/>
      <c r="AB293" s="446"/>
      <c r="AC293" s="446"/>
      <c r="AD293" s="446"/>
      <c r="AE293" s="446"/>
      <c r="AF293" s="446"/>
      <c r="AG293" s="446"/>
      <c r="AH293" s="446"/>
      <c r="AI293" s="446"/>
      <c r="AJ293" s="446"/>
      <c r="AK293" s="446"/>
      <c r="AL293" s="446"/>
      <c r="AM293" s="446"/>
      <c r="AN293" s="446"/>
      <c r="AO293" s="446"/>
      <c r="AP293" s="446"/>
      <c r="AQ293" s="446"/>
      <c r="AR293" s="446"/>
      <c r="AS293" s="446"/>
      <c r="AT293" s="446"/>
      <c r="AU293" s="446"/>
      <c r="AV293" s="446"/>
      <c r="AW293" s="446"/>
      <c r="AX293" s="446"/>
      <c r="AY293" s="446"/>
      <c r="AZ293" s="446"/>
      <c r="BA293" s="446"/>
      <c r="BB293" s="446"/>
      <c r="BC293" s="446"/>
      <c r="BD293" s="446"/>
      <c r="BE293" s="445"/>
      <c r="BF293" s="445"/>
      <c r="BG293" s="446"/>
      <c r="BH293" s="446"/>
      <c r="BI293" s="442">
        <v>16</v>
      </c>
      <c r="BJ293" s="445"/>
      <c r="BK293" s="445"/>
      <c r="BL293" s="445"/>
      <c r="BM293" s="445"/>
      <c r="BN293" s="445"/>
      <c r="BO293" s="445"/>
      <c r="BP293" s="445"/>
      <c r="BQ293" s="444"/>
      <c r="BR293" s="444"/>
      <c r="BS293" s="442"/>
      <c r="BT293" s="445"/>
      <c r="BU293" s="445"/>
      <c r="BV293" s="445"/>
      <c r="BW293" s="445"/>
      <c r="BX293" s="756"/>
      <c r="BY293" s="850"/>
      <c r="BZ293" s="850"/>
      <c r="CA293" s="850"/>
      <c r="CB293" s="850"/>
      <c r="CC293" s="850"/>
      <c r="CD293" s="850"/>
      <c r="CE293" s="850"/>
      <c r="CF293" s="850"/>
      <c r="CG293" s="168" t="s">
        <v>219</v>
      </c>
      <c r="CH293" s="422" t="s">
        <v>664</v>
      </c>
      <c r="CI293" s="406"/>
      <c r="CJ293" s="23"/>
      <c r="CK293" s="648" t="s">
        <v>1064</v>
      </c>
      <c r="CL293" s="572"/>
      <c r="CM293" s="648"/>
      <c r="CR293" s="406"/>
      <c r="CS293" s="648"/>
      <c r="CU293" s="23"/>
      <c r="CV293" s="23"/>
      <c r="CW293" s="23"/>
      <c r="CX293" s="23"/>
      <c r="DA293" s="648"/>
    </row>
    <row r="294" spans="1:105" s="35" customFormat="1" ht="12" customHeight="1" x14ac:dyDescent="0.2">
      <c r="A294" s="651"/>
      <c r="B294" s="537"/>
      <c r="C294" s="97" t="s">
        <v>388</v>
      </c>
      <c r="D294" s="169" t="s">
        <v>1125</v>
      </c>
      <c r="E294" s="647"/>
      <c r="F294" s="647"/>
      <c r="G294" s="98"/>
      <c r="H294" s="97"/>
      <c r="I294" s="166">
        <v>2006</v>
      </c>
      <c r="J294" s="571"/>
      <c r="K294" s="571"/>
      <c r="L294" s="493"/>
      <c r="M294" s="98"/>
      <c r="N294" s="493"/>
      <c r="O294" s="247" t="s">
        <v>19</v>
      </c>
      <c r="P294" s="98">
        <v>15</v>
      </c>
      <c r="Q294" s="98">
        <v>49</v>
      </c>
      <c r="R294" s="167"/>
      <c r="S294" s="167"/>
      <c r="T294" s="167"/>
      <c r="U294" s="393">
        <v>999999999</v>
      </c>
      <c r="V294" s="694"/>
      <c r="W294" s="711"/>
      <c r="X294" s="167"/>
      <c r="Y294" s="446"/>
      <c r="Z294" s="446"/>
      <c r="AA294" s="446"/>
      <c r="AB294" s="446"/>
      <c r="AC294" s="446"/>
      <c r="AD294" s="446"/>
      <c r="AE294" s="446"/>
      <c r="AF294" s="446"/>
      <c r="AG294" s="446"/>
      <c r="AH294" s="446"/>
      <c r="AI294" s="446"/>
      <c r="AJ294" s="446"/>
      <c r="AK294" s="446"/>
      <c r="AL294" s="446"/>
      <c r="AM294" s="446"/>
      <c r="AN294" s="446"/>
      <c r="AO294" s="446"/>
      <c r="AP294" s="446"/>
      <c r="AQ294" s="446"/>
      <c r="AR294" s="446"/>
      <c r="AS294" s="446"/>
      <c r="AT294" s="446"/>
      <c r="AU294" s="446"/>
      <c r="AV294" s="446"/>
      <c r="AW294" s="446"/>
      <c r="AX294" s="446"/>
      <c r="AY294" s="446"/>
      <c r="AZ294" s="446"/>
      <c r="BA294" s="446"/>
      <c r="BB294" s="446"/>
      <c r="BC294" s="446"/>
      <c r="BD294" s="446"/>
      <c r="BE294" s="442"/>
      <c r="BF294" s="442"/>
      <c r="BG294" s="446"/>
      <c r="BH294" s="446"/>
      <c r="BI294" s="442"/>
      <c r="BJ294" s="442"/>
      <c r="BK294" s="442"/>
      <c r="BL294" s="442"/>
      <c r="BM294" s="442"/>
      <c r="BN294" s="442"/>
      <c r="BO294" s="442"/>
      <c r="BP294" s="442"/>
      <c r="BQ294" s="442"/>
      <c r="BR294" s="442"/>
      <c r="BS294" s="442">
        <v>30</v>
      </c>
      <c r="BT294" s="446"/>
      <c r="BU294" s="446"/>
      <c r="BV294" s="442"/>
      <c r="BW294" s="442"/>
      <c r="BX294" s="756"/>
      <c r="BY294" s="850"/>
      <c r="BZ294" s="850"/>
      <c r="CA294" s="850"/>
      <c r="CB294" s="850"/>
      <c r="CC294" s="850"/>
      <c r="CD294" s="850"/>
      <c r="CE294" s="850"/>
      <c r="CF294" s="850"/>
      <c r="CG294" s="169" t="s">
        <v>958</v>
      </c>
      <c r="CH294" s="417"/>
      <c r="CI294" s="406"/>
      <c r="CJ294" s="23">
        <v>56</v>
      </c>
      <c r="CK294" s="417" t="s">
        <v>1047</v>
      </c>
      <c r="CL294" s="572"/>
      <c r="CM294" s="431"/>
      <c r="CN294" s="128"/>
      <c r="CO294" s="128"/>
      <c r="CP294" s="128"/>
      <c r="CQ294" s="128"/>
      <c r="CR294" s="406"/>
      <c r="CS294" s="431"/>
      <c r="CU294" s="23"/>
      <c r="CV294" s="23"/>
      <c r="CW294" s="23"/>
      <c r="CX294" s="23"/>
      <c r="DA294" s="648"/>
    </row>
    <row r="295" spans="1:105" s="35" customFormat="1" ht="12" customHeight="1" x14ac:dyDescent="0.2">
      <c r="A295" s="652"/>
      <c r="B295" s="469" t="s">
        <v>1800</v>
      </c>
      <c r="C295" s="390" t="s">
        <v>3</v>
      </c>
      <c r="D295" s="237" t="s">
        <v>1131</v>
      </c>
      <c r="E295" s="647" t="s">
        <v>14</v>
      </c>
      <c r="F295" s="647"/>
      <c r="G295" s="237"/>
      <c r="H295" s="186"/>
      <c r="I295" s="166">
        <v>2003</v>
      </c>
      <c r="J295" s="571">
        <v>2003</v>
      </c>
      <c r="K295" s="571"/>
      <c r="L295" s="494" t="s">
        <v>244</v>
      </c>
      <c r="M295" s="247" t="s">
        <v>1837</v>
      </c>
      <c r="N295" s="494" t="s">
        <v>783</v>
      </c>
      <c r="O295" s="247" t="s">
        <v>19</v>
      </c>
      <c r="P295" s="98">
        <v>15</v>
      </c>
      <c r="Q295" s="247">
        <v>49</v>
      </c>
      <c r="R295" s="552">
        <v>28.682709447415398</v>
      </c>
      <c r="S295" s="552"/>
      <c r="T295" s="552"/>
      <c r="U295" s="553">
        <v>4312</v>
      </c>
      <c r="V295" s="794"/>
      <c r="W295" s="712"/>
      <c r="X295" s="552">
        <v>7.0182413006840436</v>
      </c>
      <c r="Y295" s="552">
        <v>18.390538033395167</v>
      </c>
      <c r="Z295" s="552">
        <v>12.569832402234615</v>
      </c>
      <c r="AA295" s="552">
        <v>24.072356215213382</v>
      </c>
      <c r="AB295" s="552">
        <v>16.977611940298495</v>
      </c>
      <c r="AC295" s="552">
        <v>15.236549165120575</v>
      </c>
      <c r="AD295" s="555"/>
      <c r="AE295" s="555"/>
      <c r="AF295" s="555"/>
      <c r="AG295" s="552">
        <v>5.3571428571428523</v>
      </c>
      <c r="AH295" s="552">
        <v>3.5034802784222845</v>
      </c>
      <c r="AI295" s="555"/>
      <c r="AJ295" s="555"/>
      <c r="AK295" s="552">
        <v>2.2969837587007036</v>
      </c>
      <c r="AL295" s="552">
        <v>1.4617169373549872</v>
      </c>
      <c r="AM295" s="552">
        <v>31.879350348027902</v>
      </c>
      <c r="AN295" s="552">
        <v>19.135084863985121</v>
      </c>
      <c r="AO295" s="555"/>
      <c r="AP295" s="555"/>
      <c r="AQ295" s="552">
        <v>21.683673469387717</v>
      </c>
      <c r="AR295" s="552">
        <v>13.455728561468758</v>
      </c>
      <c r="AS295" s="552">
        <v>16.260728369287865</v>
      </c>
      <c r="AT295" s="552">
        <v>9.6721692629621039</v>
      </c>
      <c r="AU295" s="552">
        <v>10.461609835305044</v>
      </c>
      <c r="AV295" s="552">
        <v>6.0408921933085429</v>
      </c>
      <c r="AW295" s="552">
        <v>3.8756091900672991</v>
      </c>
      <c r="AX295" s="552">
        <v>2.392566782810698</v>
      </c>
      <c r="AY295" s="555"/>
      <c r="AZ295" s="555"/>
      <c r="BA295" s="552"/>
      <c r="BB295" s="552"/>
      <c r="BC295" s="555"/>
      <c r="BD295" s="555"/>
      <c r="BE295" s="552"/>
      <c r="BF295" s="552"/>
      <c r="BG295" s="552"/>
      <c r="BH295" s="552"/>
      <c r="BI295" s="552">
        <v>38.242115027829222</v>
      </c>
      <c r="BJ295" s="552">
        <v>23.979591836734642</v>
      </c>
      <c r="BK295" s="552"/>
      <c r="BL295" s="552"/>
      <c r="BM295" s="552">
        <v>13.43699234161058</v>
      </c>
      <c r="BN295" s="552">
        <v>10.271903323262821</v>
      </c>
      <c r="BO295" s="552">
        <v>3.4818941504178333</v>
      </c>
      <c r="BP295" s="552">
        <v>2.7177700348432037</v>
      </c>
      <c r="BQ295" s="552"/>
      <c r="BR295" s="42"/>
      <c r="BS295" s="42"/>
      <c r="BT295" s="42"/>
      <c r="BU295" s="42">
        <v>12</v>
      </c>
      <c r="BV295" s="42"/>
      <c r="BW295" s="42"/>
      <c r="BX295" s="758"/>
      <c r="BY295" s="851"/>
      <c r="BZ295" s="851"/>
      <c r="CA295" s="851"/>
      <c r="CB295" s="851"/>
      <c r="CC295" s="851"/>
      <c r="CD295" s="851"/>
      <c r="CE295" s="851"/>
      <c r="CF295" s="851"/>
      <c r="CG295" s="97"/>
      <c r="CH295" s="647"/>
      <c r="CI295" s="97"/>
      <c r="CJ295" s="97"/>
      <c r="CK295" s="647"/>
      <c r="CL295" s="469" t="s">
        <v>1841</v>
      </c>
      <c r="CM295" s="647"/>
      <c r="CN295" s="97"/>
      <c r="CO295" s="97"/>
      <c r="CP295" s="97"/>
      <c r="CQ295" s="97"/>
      <c r="CR295" s="638"/>
      <c r="CS295" s="647"/>
      <c r="CU295" s="23"/>
      <c r="CV295" s="23"/>
      <c r="CW295" s="23"/>
      <c r="CX295" s="23"/>
      <c r="DA295" s="648"/>
    </row>
    <row r="296" spans="1:105" s="35" customFormat="1" ht="12" customHeight="1" x14ac:dyDescent="0.2">
      <c r="A296" s="652"/>
      <c r="B296" s="469" t="s">
        <v>1801</v>
      </c>
      <c r="C296" s="390" t="s">
        <v>3</v>
      </c>
      <c r="D296" s="237" t="s">
        <v>1131</v>
      </c>
      <c r="E296" s="647" t="s">
        <v>14</v>
      </c>
      <c r="F296" s="647"/>
      <c r="G296" s="237"/>
      <c r="H296" s="186"/>
      <c r="I296" s="481" t="s">
        <v>589</v>
      </c>
      <c r="J296" s="571">
        <v>2009</v>
      </c>
      <c r="K296" s="571"/>
      <c r="L296" s="494" t="s">
        <v>244</v>
      </c>
      <c r="M296" s="247" t="s">
        <v>1837</v>
      </c>
      <c r="N296" s="494" t="s">
        <v>783</v>
      </c>
      <c r="O296" s="247" t="s">
        <v>19</v>
      </c>
      <c r="P296" s="98">
        <v>15</v>
      </c>
      <c r="Q296" s="247">
        <v>49</v>
      </c>
      <c r="R296" s="552">
        <v>28.978107896794288</v>
      </c>
      <c r="S296" s="552"/>
      <c r="T296" s="552"/>
      <c r="U296" s="553">
        <v>4901</v>
      </c>
      <c r="V296" s="794"/>
      <c r="W296" s="712"/>
      <c r="X296" s="552">
        <v>7.4058254325090491</v>
      </c>
      <c r="Y296" s="552">
        <v>16.500101978380499</v>
      </c>
      <c r="Z296" s="552">
        <v>14.44013869059758</v>
      </c>
      <c r="AA296" s="552">
        <v>28.533550887211884</v>
      </c>
      <c r="AB296" s="552">
        <v>28.533550887211884</v>
      </c>
      <c r="AC296" s="552">
        <v>21.129920456863154</v>
      </c>
      <c r="AD296" s="552">
        <v>18.866000407913571</v>
      </c>
      <c r="AE296" s="552">
        <v>14.542117071180902</v>
      </c>
      <c r="AF296" s="552">
        <v>12.482153783397901</v>
      </c>
      <c r="AG296" s="555"/>
      <c r="AH296" s="555"/>
      <c r="AI296" s="552">
        <v>4.0408163265306207</v>
      </c>
      <c r="AJ296" s="555"/>
      <c r="AK296" s="555"/>
      <c r="AL296" s="555"/>
      <c r="AM296" s="552">
        <v>31.687410732503498</v>
      </c>
      <c r="AN296" s="552">
        <v>25.484594980616251</v>
      </c>
      <c r="AO296" s="552">
        <v>8.5714285714285889</v>
      </c>
      <c r="AP296" s="552">
        <v>7.2244897959183669</v>
      </c>
      <c r="AQ296" s="552">
        <v>18.363599265455999</v>
      </c>
      <c r="AR296" s="552">
        <v>14.996939400122429</v>
      </c>
      <c r="AS296" s="552">
        <v>11.598938125382874</v>
      </c>
      <c r="AT296" s="552">
        <v>9.6181335511537629</v>
      </c>
      <c r="AU296" s="552">
        <v>13.880383751786095</v>
      </c>
      <c r="AV296" s="552">
        <v>10.838946723821184</v>
      </c>
      <c r="AW296" s="552">
        <v>3.185623851337565</v>
      </c>
      <c r="AX296" s="552">
        <v>2.7976312027772114</v>
      </c>
      <c r="AY296" s="555"/>
      <c r="AZ296" s="555"/>
      <c r="BA296" s="552"/>
      <c r="BB296" s="552"/>
      <c r="BC296" s="555"/>
      <c r="BD296" s="555"/>
      <c r="BE296" s="552"/>
      <c r="BF296" s="552"/>
      <c r="BG296" s="552"/>
      <c r="BH296" s="552"/>
      <c r="BI296" s="552">
        <v>36.33952254641904</v>
      </c>
      <c r="BJ296" s="552">
        <v>29.749030810038818</v>
      </c>
      <c r="BK296" s="552"/>
      <c r="BL296" s="552"/>
      <c r="BM296" s="552">
        <v>12.772903489083863</v>
      </c>
      <c r="BN296" s="552">
        <v>11.303815547847359</v>
      </c>
      <c r="BO296" s="552">
        <v>4.0807998367679934</v>
      </c>
      <c r="BP296" s="552">
        <v>3.6523158539073681</v>
      </c>
      <c r="BQ296" s="552"/>
      <c r="BR296" s="42"/>
      <c r="BS296" s="42"/>
      <c r="BT296" s="42"/>
      <c r="BU296" s="42">
        <v>12</v>
      </c>
      <c r="BV296" s="42"/>
      <c r="BW296" s="42"/>
      <c r="BX296" s="758"/>
      <c r="BY296" s="851"/>
      <c r="BZ296" s="851"/>
      <c r="CA296" s="851"/>
      <c r="CB296" s="851"/>
      <c r="CC296" s="851"/>
      <c r="CD296" s="851"/>
      <c r="CE296" s="851"/>
      <c r="CF296" s="851"/>
      <c r="CG296" s="97"/>
      <c r="CH296" s="647"/>
      <c r="CI296" s="97"/>
      <c r="CJ296" s="97"/>
      <c r="CK296" s="647"/>
      <c r="CL296" s="469" t="s">
        <v>1841</v>
      </c>
      <c r="CM296" s="647"/>
      <c r="CN296" s="97"/>
      <c r="CO296" s="97"/>
      <c r="CP296" s="97"/>
      <c r="CQ296" s="97"/>
      <c r="CR296" s="638"/>
      <c r="CS296" s="647"/>
      <c r="CU296" s="23"/>
      <c r="CV296" s="23"/>
      <c r="CW296" s="23"/>
      <c r="CX296" s="23"/>
      <c r="DA296" s="648"/>
    </row>
    <row r="297" spans="1:105" s="35" customFormat="1" ht="12" customHeight="1" x14ac:dyDescent="0.2">
      <c r="A297" s="651"/>
      <c r="B297" s="537"/>
      <c r="C297" s="390" t="s">
        <v>3</v>
      </c>
      <c r="D297" s="36" t="s">
        <v>1131</v>
      </c>
      <c r="E297" s="647" t="s">
        <v>14</v>
      </c>
      <c r="F297" s="647"/>
      <c r="G297" s="237"/>
      <c r="H297" s="186"/>
      <c r="I297" s="166">
        <v>2003</v>
      </c>
      <c r="J297" s="390"/>
      <c r="K297" s="390"/>
      <c r="L297" s="493"/>
      <c r="M297" s="98" t="s">
        <v>15</v>
      </c>
      <c r="N297" s="493"/>
      <c r="O297" s="237"/>
      <c r="P297" s="98"/>
      <c r="Q297" s="237"/>
      <c r="R297" s="254"/>
      <c r="S297" s="254"/>
      <c r="T297" s="254"/>
      <c r="U297" s="393">
        <v>3856</v>
      </c>
      <c r="V297" s="694"/>
      <c r="W297" s="711"/>
      <c r="X297" s="254"/>
      <c r="Y297" s="446"/>
      <c r="Z297" s="446"/>
      <c r="AA297" s="446"/>
      <c r="AB297" s="446"/>
      <c r="AC297" s="446"/>
      <c r="AD297" s="446"/>
      <c r="AE297" s="446"/>
      <c r="AF297" s="446"/>
      <c r="AG297" s="446"/>
      <c r="AH297" s="446"/>
      <c r="AI297" s="446"/>
      <c r="AJ297" s="446"/>
      <c r="AK297" s="446"/>
      <c r="AL297" s="446"/>
      <c r="AM297" s="446"/>
      <c r="AN297" s="446"/>
      <c r="AO297" s="446"/>
      <c r="AP297" s="446"/>
      <c r="AQ297" s="446"/>
      <c r="AR297" s="446"/>
      <c r="AS297" s="446"/>
      <c r="AT297" s="446"/>
      <c r="AU297" s="446"/>
      <c r="AV297" s="446"/>
      <c r="AW297" s="446"/>
      <c r="AX297" s="446"/>
      <c r="AY297" s="446"/>
      <c r="AZ297" s="446"/>
      <c r="BA297" s="446"/>
      <c r="BB297" s="446"/>
      <c r="BC297" s="446"/>
      <c r="BD297" s="446"/>
      <c r="BE297" s="442"/>
      <c r="BF297" s="442"/>
      <c r="BG297" s="446"/>
      <c r="BH297" s="446"/>
      <c r="BI297" s="445">
        <v>40</v>
      </c>
      <c r="BJ297" s="442">
        <v>24</v>
      </c>
      <c r="BK297" s="442"/>
      <c r="BL297" s="442"/>
      <c r="BM297" s="442"/>
      <c r="BN297" s="442"/>
      <c r="BO297" s="442"/>
      <c r="BP297" s="442"/>
      <c r="BQ297" s="444"/>
      <c r="BR297" s="444"/>
      <c r="BS297" s="442"/>
      <c r="BT297" s="445"/>
      <c r="BU297" s="445"/>
      <c r="BV297" s="445"/>
      <c r="BW297" s="445"/>
      <c r="BX297" s="756"/>
      <c r="BY297" s="850"/>
      <c r="BZ297" s="850"/>
      <c r="CA297" s="850"/>
      <c r="CB297" s="850"/>
      <c r="CC297" s="850"/>
      <c r="CD297" s="850"/>
      <c r="CE297" s="850"/>
      <c r="CF297" s="850"/>
      <c r="CG297" s="168" t="s">
        <v>219</v>
      </c>
      <c r="CH297" s="422" t="s">
        <v>664</v>
      </c>
      <c r="CI297" s="406"/>
      <c r="CJ297" s="23"/>
      <c r="CK297" s="648" t="s">
        <v>1064</v>
      </c>
      <c r="CL297" s="572"/>
      <c r="CM297" s="648"/>
      <c r="CR297" s="406"/>
      <c r="CS297" s="648"/>
      <c r="CU297" s="23"/>
      <c r="CV297" s="23"/>
      <c r="CW297" s="23"/>
      <c r="CX297" s="23"/>
      <c r="DA297" s="648"/>
    </row>
    <row r="298" spans="1:105" s="35" customFormat="1" ht="12" customHeight="1" x14ac:dyDescent="0.2">
      <c r="A298" s="651"/>
      <c r="B298" s="537"/>
      <c r="C298" s="390" t="s">
        <v>3</v>
      </c>
      <c r="D298" s="278" t="s">
        <v>1131</v>
      </c>
      <c r="E298" s="665" t="s">
        <v>14</v>
      </c>
      <c r="F298" s="665"/>
      <c r="G298" s="480"/>
      <c r="H298" s="246"/>
      <c r="I298" s="533">
        <v>2004</v>
      </c>
      <c r="J298" s="533"/>
      <c r="K298" s="533"/>
      <c r="L298" s="493" t="s">
        <v>628</v>
      </c>
      <c r="M298" s="237" t="s">
        <v>17</v>
      </c>
      <c r="N298" s="493"/>
      <c r="O298" s="247" t="s">
        <v>19</v>
      </c>
      <c r="P298" s="98">
        <v>15</v>
      </c>
      <c r="Q298" s="247">
        <v>49</v>
      </c>
      <c r="R298" s="254"/>
      <c r="S298" s="254"/>
      <c r="T298" s="254"/>
      <c r="U298" s="395">
        <v>1776</v>
      </c>
      <c r="V298" s="794"/>
      <c r="W298" s="712"/>
      <c r="X298" s="810"/>
      <c r="Y298" s="447"/>
      <c r="Z298" s="447"/>
      <c r="AA298" s="447"/>
      <c r="AB298" s="447"/>
      <c r="AC298" s="447"/>
      <c r="AD298" s="447"/>
      <c r="AE298" s="447"/>
      <c r="AF298" s="447"/>
      <c r="AG298" s="447"/>
      <c r="AH298" s="447"/>
      <c r="AI298" s="447"/>
      <c r="AJ298" s="447"/>
      <c r="AK298" s="447"/>
      <c r="AL298" s="447"/>
      <c r="AM298" s="447"/>
      <c r="AN298" s="447"/>
      <c r="AO298" s="447"/>
      <c r="AP298" s="447"/>
      <c r="AQ298" s="447"/>
      <c r="AR298" s="447"/>
      <c r="AS298" s="447"/>
      <c r="AT298" s="447"/>
      <c r="AU298" s="447"/>
      <c r="AV298" s="447"/>
      <c r="AW298" s="447"/>
      <c r="AX298" s="447"/>
      <c r="AY298" s="447"/>
      <c r="AZ298" s="447"/>
      <c r="BA298" s="447"/>
      <c r="BB298" s="447"/>
      <c r="BC298" s="447"/>
      <c r="BD298" s="447"/>
      <c r="BE298" s="271"/>
      <c r="BF298" s="271"/>
      <c r="BG298" s="447"/>
      <c r="BH298" s="447"/>
      <c r="BI298" s="445">
        <v>41</v>
      </c>
      <c r="BJ298" s="271"/>
      <c r="BK298" s="271"/>
      <c r="BL298" s="271"/>
      <c r="BM298" s="271"/>
      <c r="BN298" s="271"/>
      <c r="BO298" s="271"/>
      <c r="BP298" s="271"/>
      <c r="BQ298" s="271"/>
      <c r="BR298" s="271"/>
      <c r="BS298" s="271"/>
      <c r="BT298" s="271"/>
      <c r="BU298" s="271"/>
      <c r="BV298" s="454"/>
      <c r="BW298" s="454"/>
      <c r="BX298" s="756"/>
      <c r="BY298" s="850"/>
      <c r="BZ298" s="850"/>
      <c r="CA298" s="850"/>
      <c r="CB298" s="850"/>
      <c r="CC298" s="850"/>
      <c r="CD298" s="850"/>
      <c r="CE298" s="850"/>
      <c r="CF298" s="850"/>
      <c r="CG298" s="278" t="s">
        <v>970</v>
      </c>
      <c r="CH298" s="427" t="s">
        <v>1525</v>
      </c>
      <c r="CI298" s="408"/>
      <c r="CJ298" s="23"/>
      <c r="CK298" s="417" t="s">
        <v>955</v>
      </c>
      <c r="CL298" s="417" t="s">
        <v>1532</v>
      </c>
      <c r="CM298" s="648"/>
      <c r="CR298" s="406"/>
      <c r="CS298" s="648"/>
      <c r="CU298" s="23"/>
      <c r="CV298" s="23"/>
      <c r="CW298" s="23"/>
      <c r="CX298" s="23"/>
      <c r="DA298" s="648"/>
    </row>
    <row r="299" spans="1:105" s="35" customFormat="1" ht="12" customHeight="1" x14ac:dyDescent="0.2">
      <c r="A299" s="651"/>
      <c r="B299" s="537"/>
      <c r="C299" s="97" t="s">
        <v>3</v>
      </c>
      <c r="D299" s="169" t="s">
        <v>1131</v>
      </c>
      <c r="E299" s="647" t="s">
        <v>9</v>
      </c>
      <c r="F299" s="647"/>
      <c r="G299" s="98"/>
      <c r="H299" s="97"/>
      <c r="I299" s="166" t="s">
        <v>7</v>
      </c>
      <c r="J299" s="571"/>
      <c r="K299" s="571"/>
      <c r="L299" s="493"/>
      <c r="M299" s="98" t="s">
        <v>16</v>
      </c>
      <c r="N299" s="493"/>
      <c r="O299" s="247" t="s">
        <v>233</v>
      </c>
      <c r="P299" s="98">
        <v>15</v>
      </c>
      <c r="Q299" s="237">
        <v>39</v>
      </c>
      <c r="R299" s="254"/>
      <c r="S299" s="254"/>
      <c r="T299" s="254"/>
      <c r="U299" s="393">
        <v>612</v>
      </c>
      <c r="V299" s="694"/>
      <c r="W299" s="711"/>
      <c r="X299" s="167"/>
      <c r="Y299" s="446"/>
      <c r="Z299" s="446"/>
      <c r="AA299" s="446"/>
      <c r="AB299" s="446"/>
      <c r="AC299" s="446"/>
      <c r="AD299" s="446"/>
      <c r="AE299" s="446"/>
      <c r="AF299" s="446"/>
      <c r="AG299" s="446"/>
      <c r="AH299" s="446"/>
      <c r="AI299" s="446"/>
      <c r="AJ299" s="446"/>
      <c r="AK299" s="446"/>
      <c r="AL299" s="446"/>
      <c r="AM299" s="446"/>
      <c r="AN299" s="446"/>
      <c r="AO299" s="446"/>
      <c r="AP299" s="446"/>
      <c r="AQ299" s="446"/>
      <c r="AR299" s="446"/>
      <c r="AS299" s="446"/>
      <c r="AT299" s="446"/>
      <c r="AU299" s="446"/>
      <c r="AV299" s="446"/>
      <c r="AW299" s="446"/>
      <c r="AX299" s="446"/>
      <c r="AY299" s="446"/>
      <c r="AZ299" s="446"/>
      <c r="BA299" s="446"/>
      <c r="BB299" s="446"/>
      <c r="BC299" s="446"/>
      <c r="BD299" s="446"/>
      <c r="BE299" s="271"/>
      <c r="BF299" s="271"/>
      <c r="BG299" s="446"/>
      <c r="BH299" s="446"/>
      <c r="BI299" s="445">
        <v>42</v>
      </c>
      <c r="BJ299" s="271"/>
      <c r="BK299" s="271"/>
      <c r="BL299" s="271"/>
      <c r="BM299" s="271"/>
      <c r="BN299" s="271"/>
      <c r="BO299" s="271"/>
      <c r="BP299" s="271"/>
      <c r="BQ299" s="271"/>
      <c r="BR299" s="271"/>
      <c r="BS299" s="271"/>
      <c r="BT299" s="271"/>
      <c r="BU299" s="271"/>
      <c r="BV299" s="454"/>
      <c r="BW299" s="454"/>
      <c r="BX299" s="756"/>
      <c r="BY299" s="850"/>
      <c r="BZ299" s="850"/>
      <c r="CA299" s="850"/>
      <c r="CB299" s="850"/>
      <c r="CC299" s="850"/>
      <c r="CD299" s="850"/>
      <c r="CE299" s="850"/>
      <c r="CF299" s="850"/>
      <c r="CG299" s="169" t="s">
        <v>523</v>
      </c>
      <c r="CH299" s="428"/>
      <c r="CI299" s="408"/>
      <c r="CJ299" s="23"/>
      <c r="CK299" s="426" t="s">
        <v>1041</v>
      </c>
      <c r="CL299" s="572"/>
      <c r="CM299" s="648"/>
      <c r="CR299" s="406"/>
      <c r="CS299" s="648"/>
      <c r="CU299" s="23"/>
      <c r="CV299" s="23"/>
      <c r="CW299" s="23"/>
      <c r="CX299" s="23"/>
      <c r="DA299" s="648"/>
    </row>
    <row r="300" spans="1:105" s="35" customFormat="1" ht="12" customHeight="1" x14ac:dyDescent="0.2">
      <c r="A300" s="651"/>
      <c r="B300" s="537"/>
      <c r="C300" s="390" t="s">
        <v>502</v>
      </c>
      <c r="D300" s="237" t="s">
        <v>1134</v>
      </c>
      <c r="E300" s="647" t="s">
        <v>14</v>
      </c>
      <c r="F300" s="647"/>
      <c r="G300" s="237"/>
      <c r="H300" s="186"/>
      <c r="I300" s="533">
        <v>2008</v>
      </c>
      <c r="J300" s="390"/>
      <c r="K300" s="390"/>
      <c r="L300" s="494" t="s">
        <v>243</v>
      </c>
      <c r="M300" s="247" t="s">
        <v>17</v>
      </c>
      <c r="N300" s="494" t="s">
        <v>783</v>
      </c>
      <c r="O300" s="247"/>
      <c r="P300" s="98"/>
      <c r="Q300" s="247"/>
      <c r="R300" s="291"/>
      <c r="S300" s="291"/>
      <c r="T300" s="291"/>
      <c r="U300" s="393">
        <v>999999999</v>
      </c>
      <c r="V300" s="694"/>
      <c r="W300" s="711"/>
      <c r="X300" s="254"/>
      <c r="Y300" s="446"/>
      <c r="Z300" s="446"/>
      <c r="AA300" s="446"/>
      <c r="AB300" s="446"/>
      <c r="AC300" s="446"/>
      <c r="AD300" s="446"/>
      <c r="AE300" s="446"/>
      <c r="AF300" s="446"/>
      <c r="AG300" s="446"/>
      <c r="AH300" s="446"/>
      <c r="AI300" s="446"/>
      <c r="AJ300" s="446"/>
      <c r="AK300" s="446"/>
      <c r="AL300" s="446"/>
      <c r="AM300" s="446"/>
      <c r="AN300" s="446"/>
      <c r="AO300" s="446"/>
      <c r="AP300" s="446"/>
      <c r="AQ300" s="446"/>
      <c r="AR300" s="446"/>
      <c r="AS300" s="446"/>
      <c r="AT300" s="446"/>
      <c r="AU300" s="446"/>
      <c r="AV300" s="446"/>
      <c r="AW300" s="446"/>
      <c r="AX300" s="446"/>
      <c r="AY300" s="446"/>
      <c r="AZ300" s="446"/>
      <c r="BA300" s="446"/>
      <c r="BB300" s="446"/>
      <c r="BC300" s="446"/>
      <c r="BD300" s="446"/>
      <c r="BE300" s="442"/>
      <c r="BF300" s="442"/>
      <c r="BG300" s="446"/>
      <c r="BH300" s="446"/>
      <c r="BI300" s="442">
        <v>60</v>
      </c>
      <c r="BJ300" s="442">
        <v>32.4</v>
      </c>
      <c r="BK300" s="442"/>
      <c r="BL300" s="442"/>
      <c r="BM300" s="442"/>
      <c r="BN300" s="442"/>
      <c r="BO300" s="442"/>
      <c r="BP300" s="442"/>
      <c r="BQ300" s="442">
        <v>67.599999999999994</v>
      </c>
      <c r="BR300" s="442">
        <v>36.1</v>
      </c>
      <c r="BS300" s="446"/>
      <c r="BT300" s="446"/>
      <c r="BU300" s="446"/>
      <c r="BV300" s="442"/>
      <c r="BW300" s="442"/>
      <c r="BX300" s="757"/>
      <c r="BY300" s="850"/>
      <c r="BZ300" s="850"/>
      <c r="CA300" s="850"/>
      <c r="CB300" s="850"/>
      <c r="CC300" s="850"/>
      <c r="CD300" s="850"/>
      <c r="CE300" s="850"/>
      <c r="CF300" s="850"/>
      <c r="CG300" s="237" t="s">
        <v>876</v>
      </c>
      <c r="CH300" s="417"/>
      <c r="CI300" s="406"/>
      <c r="CJ300" s="23"/>
      <c r="CK300" s="417" t="s">
        <v>1069</v>
      </c>
      <c r="CL300" s="572"/>
      <c r="CM300" s="648"/>
      <c r="CR300" s="406"/>
      <c r="CS300" s="648"/>
      <c r="CU300" s="23"/>
      <c r="CV300" s="23"/>
      <c r="CW300" s="23"/>
      <c r="CX300" s="23"/>
      <c r="DA300" s="648"/>
    </row>
    <row r="301" spans="1:105" s="35" customFormat="1" ht="12" customHeight="1" x14ac:dyDescent="0.2">
      <c r="A301" s="651"/>
      <c r="B301" s="537"/>
      <c r="C301" s="186" t="s">
        <v>391</v>
      </c>
      <c r="D301" s="169" t="s">
        <v>1125</v>
      </c>
      <c r="E301" s="647" t="s">
        <v>14</v>
      </c>
      <c r="F301" s="647"/>
      <c r="G301" s="237"/>
      <c r="H301" s="186"/>
      <c r="I301" s="166"/>
      <c r="J301" s="390"/>
      <c r="K301" s="390"/>
      <c r="L301" s="493"/>
      <c r="M301" s="237" t="s">
        <v>17</v>
      </c>
      <c r="N301" s="493"/>
      <c r="O301" s="247" t="s">
        <v>566</v>
      </c>
      <c r="P301" s="247">
        <v>16</v>
      </c>
      <c r="Q301" s="98">
        <v>70</v>
      </c>
      <c r="R301" s="167"/>
      <c r="S301" s="167"/>
      <c r="T301" s="167"/>
      <c r="U301" s="393">
        <v>1600</v>
      </c>
      <c r="V301" s="694"/>
      <c r="W301" s="711"/>
      <c r="X301" s="254"/>
      <c r="Y301" s="446"/>
      <c r="Z301" s="446"/>
      <c r="AA301" s="446"/>
      <c r="AB301" s="446"/>
      <c r="AC301" s="446"/>
      <c r="AD301" s="446"/>
      <c r="AE301" s="446"/>
      <c r="AF301" s="446"/>
      <c r="AG301" s="446"/>
      <c r="AH301" s="446"/>
      <c r="AI301" s="446"/>
      <c r="AJ301" s="446"/>
      <c r="AK301" s="446"/>
      <c r="AL301" s="446"/>
      <c r="AM301" s="446"/>
      <c r="AN301" s="446"/>
      <c r="AO301" s="446"/>
      <c r="AP301" s="446"/>
      <c r="AQ301" s="446"/>
      <c r="AR301" s="446"/>
      <c r="AS301" s="446"/>
      <c r="AT301" s="446"/>
      <c r="AU301" s="446"/>
      <c r="AV301" s="446"/>
      <c r="AW301" s="446"/>
      <c r="AX301" s="446"/>
      <c r="AY301" s="446"/>
      <c r="AZ301" s="446"/>
      <c r="BA301" s="446"/>
      <c r="BB301" s="446"/>
      <c r="BC301" s="446"/>
      <c r="BD301" s="446"/>
      <c r="BE301" s="446"/>
      <c r="BF301" s="446"/>
      <c r="BG301" s="446"/>
      <c r="BH301" s="446"/>
      <c r="BI301" s="445"/>
      <c r="BJ301" s="446"/>
      <c r="BK301" s="446"/>
      <c r="BL301" s="446"/>
      <c r="BM301" s="446"/>
      <c r="BN301" s="446"/>
      <c r="BO301" s="446"/>
      <c r="BP301" s="446"/>
      <c r="BQ301" s="444"/>
      <c r="BR301" s="445"/>
      <c r="BS301" s="442">
        <v>29</v>
      </c>
      <c r="BT301" s="271"/>
      <c r="BU301" s="271"/>
      <c r="BV301" s="454"/>
      <c r="BW301" s="454"/>
      <c r="BX301" s="756"/>
      <c r="BY301" s="850"/>
      <c r="BZ301" s="850"/>
      <c r="CA301" s="850"/>
      <c r="CB301" s="850"/>
      <c r="CC301" s="850"/>
      <c r="CD301" s="850"/>
      <c r="CE301" s="850"/>
      <c r="CF301" s="850"/>
      <c r="CG301" s="169" t="s">
        <v>335</v>
      </c>
      <c r="CH301" s="419" t="s">
        <v>610</v>
      </c>
      <c r="CI301" s="404">
        <v>40994</v>
      </c>
      <c r="CJ301" s="23"/>
      <c r="CK301" s="417" t="s">
        <v>1094</v>
      </c>
      <c r="CL301" s="572"/>
      <c r="CM301" s="648"/>
      <c r="CR301" s="406"/>
      <c r="CS301" s="648"/>
      <c r="CU301" s="23"/>
      <c r="CV301" s="23"/>
      <c r="CW301" s="23"/>
      <c r="CX301" s="23"/>
      <c r="DA301" s="648"/>
    </row>
    <row r="302" spans="1:105" s="35" customFormat="1" ht="12" customHeight="1" x14ac:dyDescent="0.2">
      <c r="A302" s="651"/>
      <c r="B302" s="537"/>
      <c r="C302" s="97" t="s">
        <v>165</v>
      </c>
      <c r="D302" s="169" t="s">
        <v>1125</v>
      </c>
      <c r="E302" s="647" t="s">
        <v>544</v>
      </c>
      <c r="F302" s="647"/>
      <c r="G302" s="98"/>
      <c r="H302" s="97"/>
      <c r="I302" s="166">
        <v>2004</v>
      </c>
      <c r="J302" s="571"/>
      <c r="K302" s="571"/>
      <c r="L302" s="493"/>
      <c r="M302" s="98" t="s">
        <v>18</v>
      </c>
      <c r="N302" s="493"/>
      <c r="O302" s="247"/>
      <c r="P302" s="98"/>
      <c r="Q302" s="98"/>
      <c r="R302" s="167"/>
      <c r="S302" s="167"/>
      <c r="T302" s="167"/>
      <c r="U302" s="393">
        <v>417</v>
      </c>
      <c r="V302" s="694"/>
      <c r="W302" s="711"/>
      <c r="X302" s="167"/>
      <c r="Y302" s="446"/>
      <c r="Z302" s="446"/>
      <c r="AA302" s="446"/>
      <c r="AB302" s="446"/>
      <c r="AC302" s="446"/>
      <c r="AD302" s="446"/>
      <c r="AE302" s="446"/>
      <c r="AF302" s="446"/>
      <c r="AG302" s="446"/>
      <c r="AH302" s="446"/>
      <c r="AI302" s="446"/>
      <c r="AJ302" s="446"/>
      <c r="AK302" s="446"/>
      <c r="AL302" s="446"/>
      <c r="AM302" s="446"/>
      <c r="AN302" s="446"/>
      <c r="AO302" s="446"/>
      <c r="AP302" s="446"/>
      <c r="AQ302" s="446"/>
      <c r="AR302" s="446"/>
      <c r="AS302" s="446"/>
      <c r="AT302" s="446"/>
      <c r="AU302" s="446"/>
      <c r="AV302" s="446"/>
      <c r="AW302" s="446"/>
      <c r="AX302" s="446"/>
      <c r="AY302" s="446"/>
      <c r="AZ302" s="446"/>
      <c r="BA302" s="446"/>
      <c r="BB302" s="446"/>
      <c r="BC302" s="446"/>
      <c r="BD302" s="446"/>
      <c r="BE302" s="445"/>
      <c r="BF302" s="445"/>
      <c r="BG302" s="446"/>
      <c r="BH302" s="446"/>
      <c r="BI302" s="445"/>
      <c r="BJ302" s="445"/>
      <c r="BK302" s="445"/>
      <c r="BL302" s="445"/>
      <c r="BM302" s="445"/>
      <c r="BN302" s="445"/>
      <c r="BO302" s="445"/>
      <c r="BP302" s="445"/>
      <c r="BQ302" s="444"/>
      <c r="BR302" s="444"/>
      <c r="BS302" s="442">
        <v>22</v>
      </c>
      <c r="BT302" s="445">
        <v>9.1</v>
      </c>
      <c r="BU302" s="445"/>
      <c r="BV302" s="445"/>
      <c r="BW302" s="445"/>
      <c r="BX302" s="756"/>
      <c r="BY302" s="850"/>
      <c r="BZ302" s="850"/>
      <c r="CA302" s="850"/>
      <c r="CB302" s="850"/>
      <c r="CC302" s="850"/>
      <c r="CD302" s="850"/>
      <c r="CE302" s="850"/>
      <c r="CF302" s="850"/>
      <c r="CG302" s="169" t="s">
        <v>969</v>
      </c>
      <c r="CH302" s="417"/>
      <c r="CI302" s="406"/>
      <c r="CJ302" s="23"/>
      <c r="CK302" s="648" t="s">
        <v>749</v>
      </c>
      <c r="CL302" s="572" t="s">
        <v>547</v>
      </c>
      <c r="CM302" s="648"/>
      <c r="CR302" s="406"/>
      <c r="CS302" s="648"/>
      <c r="CU302" s="23"/>
      <c r="CV302" s="23"/>
      <c r="CW302" s="23"/>
      <c r="CX302" s="23"/>
      <c r="DA302" s="648"/>
    </row>
    <row r="303" spans="1:105" s="35" customFormat="1" ht="12" customHeight="1" x14ac:dyDescent="0.2">
      <c r="A303" s="651"/>
      <c r="B303" s="537"/>
      <c r="C303" s="97" t="s">
        <v>166</v>
      </c>
      <c r="D303" s="169" t="s">
        <v>1131</v>
      </c>
      <c r="E303" s="647" t="s">
        <v>14</v>
      </c>
      <c r="F303" s="647"/>
      <c r="G303" s="237"/>
      <c r="H303" s="186"/>
      <c r="I303" s="166">
        <v>2002</v>
      </c>
      <c r="J303" s="390"/>
      <c r="K303" s="390"/>
      <c r="L303" s="493" t="s">
        <v>578</v>
      </c>
      <c r="M303" s="237" t="s">
        <v>17</v>
      </c>
      <c r="N303" s="493"/>
      <c r="O303" s="247"/>
      <c r="P303" s="98"/>
      <c r="Q303" s="237"/>
      <c r="R303" s="254"/>
      <c r="S303" s="254"/>
      <c r="T303" s="254"/>
      <c r="U303" s="393">
        <f>1309+179</f>
        <v>1488</v>
      </c>
      <c r="V303" s="694"/>
      <c r="W303" s="711"/>
      <c r="X303" s="254"/>
      <c r="Y303" s="446"/>
      <c r="Z303" s="446"/>
      <c r="AA303" s="446"/>
      <c r="AB303" s="446"/>
      <c r="AC303" s="446"/>
      <c r="AD303" s="446"/>
      <c r="AE303" s="446"/>
      <c r="AF303" s="446"/>
      <c r="AG303" s="446"/>
      <c r="AH303" s="446"/>
      <c r="AI303" s="446"/>
      <c r="AJ303" s="446"/>
      <c r="AK303" s="446"/>
      <c r="AL303" s="446"/>
      <c r="AM303" s="446"/>
      <c r="AN303" s="446"/>
      <c r="AO303" s="446"/>
      <c r="AP303" s="446"/>
      <c r="AQ303" s="446"/>
      <c r="AR303" s="446"/>
      <c r="AS303" s="446"/>
      <c r="AT303" s="446"/>
      <c r="AU303" s="446"/>
      <c r="AV303" s="446"/>
      <c r="AW303" s="446"/>
      <c r="AX303" s="446"/>
      <c r="AY303" s="446"/>
      <c r="AZ303" s="446"/>
      <c r="BA303" s="446"/>
      <c r="BB303" s="446"/>
      <c r="BC303" s="446"/>
      <c r="BD303" s="446"/>
      <c r="BE303" s="446"/>
      <c r="BF303" s="446"/>
      <c r="BG303" s="446"/>
      <c r="BH303" s="446"/>
      <c r="BI303" s="445"/>
      <c r="BJ303" s="446">
        <v>16</v>
      </c>
      <c r="BK303" s="446"/>
      <c r="BL303" s="446"/>
      <c r="BM303" s="446"/>
      <c r="BN303" s="446"/>
      <c r="BO303" s="446"/>
      <c r="BP303" s="446"/>
      <c r="BQ303" s="444"/>
      <c r="BR303" s="445"/>
      <c r="BS303" s="442"/>
      <c r="BT303" s="271"/>
      <c r="BU303" s="271"/>
      <c r="BV303" s="454"/>
      <c r="BW303" s="454"/>
      <c r="BX303" s="756"/>
      <c r="BY303" s="850"/>
      <c r="BZ303" s="850"/>
      <c r="CA303" s="850"/>
      <c r="CB303" s="850"/>
      <c r="CC303" s="850"/>
      <c r="CD303" s="850"/>
      <c r="CE303" s="850"/>
      <c r="CF303" s="850"/>
      <c r="CG303" s="169" t="s">
        <v>576</v>
      </c>
      <c r="CH303" s="421" t="s">
        <v>1046</v>
      </c>
      <c r="CI303" s="407"/>
      <c r="CJ303" s="23"/>
      <c r="CK303" s="648"/>
      <c r="CL303" s="572"/>
      <c r="CM303" s="648"/>
      <c r="CR303" s="406"/>
      <c r="CS303" s="648"/>
      <c r="CU303" s="23"/>
      <c r="CV303" s="23"/>
      <c r="CW303" s="23"/>
      <c r="CX303" s="23"/>
      <c r="DA303" s="648"/>
    </row>
    <row r="304" spans="1:105" s="35" customFormat="1" ht="12" customHeight="1" x14ac:dyDescent="0.2">
      <c r="A304" s="652"/>
      <c r="B304" s="469" t="s">
        <v>1802</v>
      </c>
      <c r="C304" s="390" t="s">
        <v>167</v>
      </c>
      <c r="D304" s="237" t="s">
        <v>1131</v>
      </c>
      <c r="E304" s="647" t="s">
        <v>14</v>
      </c>
      <c r="F304" s="647"/>
      <c r="G304" s="237"/>
      <c r="H304" s="186"/>
      <c r="I304" s="481" t="s">
        <v>585</v>
      </c>
      <c r="J304" s="571">
        <v>2007</v>
      </c>
      <c r="K304" s="571"/>
      <c r="L304" s="494" t="s">
        <v>244</v>
      </c>
      <c r="M304" s="247" t="s">
        <v>1837</v>
      </c>
      <c r="N304" s="494" t="s">
        <v>783</v>
      </c>
      <c r="O304" s="247" t="s">
        <v>19</v>
      </c>
      <c r="P304" s="98">
        <v>15</v>
      </c>
      <c r="Q304" s="247">
        <v>49</v>
      </c>
      <c r="R304" s="552">
        <v>29.807156308851219</v>
      </c>
      <c r="S304" s="552"/>
      <c r="T304" s="552"/>
      <c r="U304" s="553">
        <v>3917</v>
      </c>
      <c r="V304" s="794"/>
      <c r="W304" s="712"/>
      <c r="X304" s="552">
        <v>3.3555429543521367</v>
      </c>
      <c r="Y304" s="552">
        <v>24.859478794072611</v>
      </c>
      <c r="Z304" s="552">
        <v>23.224322943280576</v>
      </c>
      <c r="AA304" s="552">
        <v>36.507531273934042</v>
      </c>
      <c r="AB304" s="552">
        <v>36.507531273934042</v>
      </c>
      <c r="AC304" s="552">
        <v>31.435137895812009</v>
      </c>
      <c r="AD304" s="552">
        <v>29.44330949948931</v>
      </c>
      <c r="AE304" s="552">
        <v>11.150895140664938</v>
      </c>
      <c r="AF304" s="552">
        <v>10.383631713555014</v>
      </c>
      <c r="AG304" s="555"/>
      <c r="AH304" s="555"/>
      <c r="AI304" s="552">
        <v>3.4358974358974357</v>
      </c>
      <c r="AJ304" s="555"/>
      <c r="AK304" s="555"/>
      <c r="AL304" s="555"/>
      <c r="AM304" s="552">
        <v>34.363822176801321</v>
      </c>
      <c r="AN304" s="552">
        <v>31.630045988758322</v>
      </c>
      <c r="AO304" s="552">
        <v>12.496792404413652</v>
      </c>
      <c r="AP304" s="552">
        <v>11.342057993328151</v>
      </c>
      <c r="AQ304" s="552">
        <v>19.125543339299355</v>
      </c>
      <c r="AR304" s="552">
        <v>18.000511378164152</v>
      </c>
      <c r="AS304" s="552">
        <v>9.5384615384615596</v>
      </c>
      <c r="AT304" s="552">
        <v>8.7435897435897676</v>
      </c>
      <c r="AU304" s="552">
        <v>16.854508196721326</v>
      </c>
      <c r="AV304" s="552">
        <v>15.240778688524587</v>
      </c>
      <c r="AW304" s="552">
        <v>5.4019457245263656</v>
      </c>
      <c r="AX304" s="552">
        <v>4.7875064004096259</v>
      </c>
      <c r="AY304" s="555"/>
      <c r="AZ304" s="555"/>
      <c r="BA304" s="552"/>
      <c r="BB304" s="552"/>
      <c r="BC304" s="555"/>
      <c r="BD304" s="555"/>
      <c r="BE304" s="552"/>
      <c r="BF304" s="552"/>
      <c r="BG304" s="552"/>
      <c r="BH304" s="552"/>
      <c r="BI304" s="552">
        <v>36.584120500382795</v>
      </c>
      <c r="BJ304" s="552">
        <v>33.877967832524874</v>
      </c>
      <c r="BK304" s="552"/>
      <c r="BL304" s="552"/>
      <c r="BM304" s="552">
        <v>8.8672475653511231</v>
      </c>
      <c r="BN304" s="552">
        <v>8.3546899026140409</v>
      </c>
      <c r="BO304" s="552">
        <v>5.8431573552024538</v>
      </c>
      <c r="BP304" s="552">
        <v>5.4331112250128291</v>
      </c>
      <c r="BQ304" s="552"/>
      <c r="BR304" s="42"/>
      <c r="BS304" s="42"/>
      <c r="BT304" s="42"/>
      <c r="BU304" s="42">
        <v>12</v>
      </c>
      <c r="BV304" s="42"/>
      <c r="BW304" s="42"/>
      <c r="BX304" s="758"/>
      <c r="BY304" s="851"/>
      <c r="BZ304" s="851"/>
      <c r="CA304" s="851"/>
      <c r="CB304" s="851"/>
      <c r="CC304" s="851"/>
      <c r="CD304" s="851"/>
      <c r="CE304" s="851"/>
      <c r="CF304" s="851"/>
      <c r="CG304" s="97"/>
      <c r="CH304" s="647"/>
      <c r="CI304" s="97"/>
      <c r="CJ304" s="97"/>
      <c r="CK304" s="647"/>
      <c r="CL304" s="469" t="s">
        <v>1841</v>
      </c>
      <c r="CM304" s="647"/>
      <c r="CN304" s="97"/>
      <c r="CO304" s="97"/>
      <c r="CP304" s="97"/>
      <c r="CQ304" s="97"/>
      <c r="CR304" s="638"/>
      <c r="CS304" s="647"/>
      <c r="CU304" s="23"/>
      <c r="CV304" s="23"/>
      <c r="CW304" s="23"/>
      <c r="CX304" s="23"/>
      <c r="DA304" s="648"/>
    </row>
    <row r="305" spans="1:105" s="35" customFormat="1" ht="12" customHeight="1" x14ac:dyDescent="0.2">
      <c r="A305" s="651"/>
      <c r="B305" s="537"/>
      <c r="C305" s="97" t="s">
        <v>262</v>
      </c>
      <c r="D305" s="169" t="s">
        <v>1130</v>
      </c>
      <c r="E305" s="647" t="s">
        <v>14</v>
      </c>
      <c r="F305" s="647"/>
      <c r="G305" s="98"/>
      <c r="H305" s="97"/>
      <c r="I305" s="166">
        <v>1999</v>
      </c>
      <c r="J305" s="571"/>
      <c r="K305" s="571"/>
      <c r="L305" s="493" t="s">
        <v>258</v>
      </c>
      <c r="M305" s="98" t="s">
        <v>18</v>
      </c>
      <c r="N305" s="494" t="s">
        <v>783</v>
      </c>
      <c r="O305" s="247" t="s">
        <v>1567</v>
      </c>
      <c r="P305" s="247">
        <v>19</v>
      </c>
      <c r="Q305" s="98"/>
      <c r="R305" s="167"/>
      <c r="S305" s="167"/>
      <c r="T305" s="167"/>
      <c r="U305" s="393">
        <v>1010</v>
      </c>
      <c r="V305" s="694"/>
      <c r="W305" s="711"/>
      <c r="X305" s="167"/>
      <c r="Y305" s="446"/>
      <c r="Z305" s="446"/>
      <c r="AA305" s="446"/>
      <c r="AB305" s="446"/>
      <c r="AC305" s="446"/>
      <c r="AD305" s="446"/>
      <c r="AE305" s="446"/>
      <c r="AF305" s="446"/>
      <c r="AG305" s="446"/>
      <c r="AH305" s="446"/>
      <c r="AI305" s="446"/>
      <c r="AJ305" s="446"/>
      <c r="AK305" s="446"/>
      <c r="AL305" s="446"/>
      <c r="AM305" s="446"/>
      <c r="AN305" s="446"/>
      <c r="AO305" s="446"/>
      <c r="AP305" s="446"/>
      <c r="AQ305" s="446"/>
      <c r="AR305" s="446"/>
      <c r="AS305" s="446"/>
      <c r="AT305" s="446"/>
      <c r="AU305" s="446"/>
      <c r="AV305" s="446"/>
      <c r="AW305" s="446"/>
      <c r="AX305" s="446"/>
      <c r="AY305" s="446"/>
      <c r="AZ305" s="446"/>
      <c r="BA305" s="446"/>
      <c r="BB305" s="446"/>
      <c r="BC305" s="446"/>
      <c r="BD305" s="446"/>
      <c r="BE305" s="445"/>
      <c r="BF305" s="445"/>
      <c r="BG305" s="446"/>
      <c r="BH305" s="446"/>
      <c r="BI305" s="442">
        <v>42</v>
      </c>
      <c r="BJ305" s="445"/>
      <c r="BK305" s="445"/>
      <c r="BL305" s="445"/>
      <c r="BM305" s="445"/>
      <c r="BN305" s="445"/>
      <c r="BO305" s="445"/>
      <c r="BP305" s="445"/>
      <c r="BQ305" s="271"/>
      <c r="BR305" s="271"/>
      <c r="BS305" s="271"/>
      <c r="BT305" s="271"/>
      <c r="BU305" s="271"/>
      <c r="BV305" s="454"/>
      <c r="BW305" s="454"/>
      <c r="BX305" s="756"/>
      <c r="BY305" s="850"/>
      <c r="BZ305" s="850"/>
      <c r="CA305" s="850"/>
      <c r="CB305" s="850"/>
      <c r="CC305" s="850"/>
      <c r="CD305" s="850"/>
      <c r="CE305" s="850"/>
      <c r="CF305" s="850"/>
      <c r="CG305" s="168" t="s">
        <v>261</v>
      </c>
      <c r="CH305" s="422" t="s">
        <v>673</v>
      </c>
      <c r="CI305" s="404">
        <v>40516</v>
      </c>
      <c r="CJ305" s="23"/>
      <c r="CK305" s="648" t="s">
        <v>754</v>
      </c>
      <c r="CL305" s="572"/>
      <c r="CM305" s="648"/>
      <c r="CR305" s="406"/>
      <c r="CS305" s="648"/>
      <c r="CU305" s="23"/>
      <c r="CV305" s="23"/>
      <c r="CW305" s="23"/>
      <c r="CX305" s="23"/>
      <c r="DA305" s="648"/>
    </row>
    <row r="306" spans="1:105" s="35" customFormat="1" ht="12" customHeight="1" x14ac:dyDescent="0.2">
      <c r="A306" s="651"/>
      <c r="B306" s="537"/>
      <c r="C306" s="97" t="s">
        <v>262</v>
      </c>
      <c r="D306" s="169" t="s">
        <v>1130</v>
      </c>
      <c r="E306" s="647" t="s">
        <v>14</v>
      </c>
      <c r="F306" s="647"/>
      <c r="G306" s="98"/>
      <c r="H306" s="97"/>
      <c r="I306" s="166">
        <v>2000</v>
      </c>
      <c r="J306" s="571"/>
      <c r="K306" s="571"/>
      <c r="L306" s="493"/>
      <c r="M306" s="237" t="s">
        <v>17</v>
      </c>
      <c r="N306" s="493"/>
      <c r="O306" s="247" t="s">
        <v>1580</v>
      </c>
      <c r="P306" s="247">
        <v>18</v>
      </c>
      <c r="Q306" s="98"/>
      <c r="R306" s="167"/>
      <c r="S306" s="167"/>
      <c r="T306" s="167"/>
      <c r="U306" s="393">
        <v>517</v>
      </c>
      <c r="V306" s="694"/>
      <c r="W306" s="711"/>
      <c r="X306" s="167"/>
      <c r="Y306" s="446"/>
      <c r="Z306" s="446"/>
      <c r="AA306" s="446"/>
      <c r="AB306" s="446"/>
      <c r="AC306" s="446"/>
      <c r="AD306" s="446"/>
      <c r="AE306" s="446"/>
      <c r="AF306" s="446"/>
      <c r="AG306" s="446"/>
      <c r="AH306" s="446"/>
      <c r="AI306" s="446"/>
      <c r="AJ306" s="446"/>
      <c r="AK306" s="446"/>
      <c r="AL306" s="446"/>
      <c r="AM306" s="446"/>
      <c r="AN306" s="446"/>
      <c r="AO306" s="446"/>
      <c r="AP306" s="446"/>
      <c r="AQ306" s="446"/>
      <c r="AR306" s="446"/>
      <c r="AS306" s="446"/>
      <c r="AT306" s="446"/>
      <c r="AU306" s="446"/>
      <c r="AV306" s="446"/>
      <c r="AW306" s="446"/>
      <c r="AX306" s="446"/>
      <c r="AY306" s="446"/>
      <c r="AZ306" s="446"/>
      <c r="BA306" s="446"/>
      <c r="BB306" s="446"/>
      <c r="BC306" s="446"/>
      <c r="BD306" s="446"/>
      <c r="BE306" s="446"/>
      <c r="BF306" s="446"/>
      <c r="BG306" s="446"/>
      <c r="BH306" s="446"/>
      <c r="BI306" s="442">
        <v>32.700000000000003</v>
      </c>
      <c r="BJ306" s="446"/>
      <c r="BK306" s="446"/>
      <c r="BL306" s="446"/>
      <c r="BM306" s="446"/>
      <c r="BN306" s="446"/>
      <c r="BO306" s="446"/>
      <c r="BP306" s="446"/>
      <c r="BQ306" s="444"/>
      <c r="BR306" s="445"/>
      <c r="BS306" s="442"/>
      <c r="BT306" s="271"/>
      <c r="BU306" s="271"/>
      <c r="BV306" s="454"/>
      <c r="BW306" s="454"/>
      <c r="BX306" s="756"/>
      <c r="BY306" s="850"/>
      <c r="BZ306" s="850"/>
      <c r="CA306" s="850"/>
      <c r="CB306" s="850"/>
      <c r="CC306" s="850"/>
      <c r="CD306" s="850"/>
      <c r="CE306" s="850"/>
      <c r="CF306" s="850"/>
      <c r="CG306" s="169" t="s">
        <v>973</v>
      </c>
      <c r="CH306" s="417"/>
      <c r="CI306" s="406"/>
      <c r="CJ306" s="23"/>
      <c r="CK306" s="648"/>
      <c r="CL306" s="572"/>
      <c r="CM306" s="648"/>
      <c r="CR306" s="406"/>
      <c r="CS306" s="648"/>
      <c r="CU306" s="23"/>
      <c r="CV306" s="23"/>
      <c r="CW306" s="23"/>
      <c r="CX306" s="23"/>
      <c r="DA306" s="648"/>
    </row>
    <row r="307" spans="1:105" s="35" customFormat="1" ht="12" customHeight="1" x14ac:dyDescent="0.2">
      <c r="A307" s="651"/>
      <c r="B307" s="537"/>
      <c r="C307" s="97" t="s">
        <v>394</v>
      </c>
      <c r="D307" s="169" t="s">
        <v>1130</v>
      </c>
      <c r="E307" s="647" t="s">
        <v>14</v>
      </c>
      <c r="F307" s="647"/>
      <c r="G307" s="98"/>
      <c r="H307" s="97"/>
      <c r="I307" s="166">
        <v>2000</v>
      </c>
      <c r="J307" s="571"/>
      <c r="K307" s="571"/>
      <c r="L307" s="493"/>
      <c r="M307" s="237" t="s">
        <v>17</v>
      </c>
      <c r="N307" s="493"/>
      <c r="O307" s="476" t="s">
        <v>1569</v>
      </c>
      <c r="P307" s="247">
        <v>18</v>
      </c>
      <c r="Q307" s="98"/>
      <c r="R307" s="167"/>
      <c r="S307" s="167"/>
      <c r="T307" s="167"/>
      <c r="U307" s="393">
        <v>999999999</v>
      </c>
      <c r="V307" s="694"/>
      <c r="W307" s="711"/>
      <c r="X307" s="167"/>
      <c r="Y307" s="446"/>
      <c r="Z307" s="446"/>
      <c r="AA307" s="446"/>
      <c r="AB307" s="446"/>
      <c r="AC307" s="446"/>
      <c r="AD307" s="446"/>
      <c r="AE307" s="446"/>
      <c r="AF307" s="446"/>
      <c r="AG307" s="446"/>
      <c r="AH307" s="446"/>
      <c r="AI307" s="446"/>
      <c r="AJ307" s="446"/>
      <c r="AK307" s="446"/>
      <c r="AL307" s="446"/>
      <c r="AM307" s="446"/>
      <c r="AN307" s="446"/>
      <c r="AO307" s="446"/>
      <c r="AP307" s="446"/>
      <c r="AQ307" s="446"/>
      <c r="AR307" s="446"/>
      <c r="AS307" s="446"/>
      <c r="AT307" s="446"/>
      <c r="AU307" s="446"/>
      <c r="AV307" s="446"/>
      <c r="AW307" s="446"/>
      <c r="AX307" s="446"/>
      <c r="AY307" s="446"/>
      <c r="AZ307" s="446"/>
      <c r="BA307" s="446"/>
      <c r="BB307" s="446"/>
      <c r="BC307" s="446"/>
      <c r="BD307" s="446"/>
      <c r="BE307" s="446"/>
      <c r="BF307" s="446"/>
      <c r="BG307" s="446"/>
      <c r="BH307" s="446"/>
      <c r="BI307" s="445"/>
      <c r="BJ307" s="446"/>
      <c r="BK307" s="446"/>
      <c r="BL307" s="446"/>
      <c r="BM307" s="446"/>
      <c r="BN307" s="446"/>
      <c r="BO307" s="446"/>
      <c r="BP307" s="446"/>
      <c r="BQ307" s="444"/>
      <c r="BR307" s="445"/>
      <c r="BS307" s="442">
        <v>23.9</v>
      </c>
      <c r="BT307" s="271"/>
      <c r="BU307" s="271"/>
      <c r="BV307" s="454"/>
      <c r="BW307" s="454"/>
      <c r="BX307" s="756"/>
      <c r="BY307" s="850"/>
      <c r="BZ307" s="850"/>
      <c r="CA307" s="850"/>
      <c r="CB307" s="850"/>
      <c r="CC307" s="850"/>
      <c r="CD307" s="850"/>
      <c r="CE307" s="850"/>
      <c r="CF307" s="850"/>
      <c r="CG307" s="169" t="s">
        <v>958</v>
      </c>
      <c r="CH307" s="417"/>
      <c r="CI307" s="406"/>
      <c r="CJ307" s="23"/>
      <c r="CK307" s="417" t="s">
        <v>1047</v>
      </c>
      <c r="CL307" s="572" t="s">
        <v>557</v>
      </c>
      <c r="CM307" s="648"/>
      <c r="CR307" s="406"/>
      <c r="CS307" s="648"/>
      <c r="CU307" s="23"/>
      <c r="CV307" s="23"/>
      <c r="CW307" s="23"/>
      <c r="CX307" s="23"/>
      <c r="DA307" s="648"/>
    </row>
    <row r="308" spans="1:105" s="35" customFormat="1" ht="12" customHeight="1" x14ac:dyDescent="0.2">
      <c r="A308" s="651"/>
      <c r="B308" s="537"/>
      <c r="C308" s="97" t="s">
        <v>394</v>
      </c>
      <c r="D308" s="169" t="s">
        <v>1130</v>
      </c>
      <c r="E308" s="647" t="s">
        <v>14</v>
      </c>
      <c r="F308" s="647"/>
      <c r="G308" s="98"/>
      <c r="H308" s="97"/>
      <c r="I308" s="166">
        <v>2006</v>
      </c>
      <c r="J308" s="571"/>
      <c r="K308" s="571"/>
      <c r="L308" s="493"/>
      <c r="M308" s="237"/>
      <c r="N308" s="493"/>
      <c r="O308" s="494" t="s">
        <v>1542</v>
      </c>
      <c r="P308" s="98"/>
      <c r="Q308" s="98"/>
      <c r="R308" s="167"/>
      <c r="S308" s="167"/>
      <c r="T308" s="167"/>
      <c r="U308" s="393"/>
      <c r="V308" s="694"/>
      <c r="W308" s="711"/>
      <c r="X308" s="167"/>
      <c r="Y308" s="446"/>
      <c r="Z308" s="446"/>
      <c r="AA308" s="446"/>
      <c r="AB308" s="446"/>
      <c r="AC308" s="446"/>
      <c r="AD308" s="446"/>
      <c r="AE308" s="446"/>
      <c r="AF308" s="446"/>
      <c r="AG308" s="446"/>
      <c r="AH308" s="446"/>
      <c r="AI308" s="446"/>
      <c r="AJ308" s="446"/>
      <c r="AK308" s="446"/>
      <c r="AL308" s="446"/>
      <c r="AM308" s="446"/>
      <c r="AN308" s="446"/>
      <c r="AO308" s="446"/>
      <c r="AP308" s="446"/>
      <c r="AQ308" s="446"/>
      <c r="AR308" s="446"/>
      <c r="AS308" s="446"/>
      <c r="AT308" s="446"/>
      <c r="AU308" s="446"/>
      <c r="AV308" s="446"/>
      <c r="AW308" s="446"/>
      <c r="AX308" s="446"/>
      <c r="AY308" s="446"/>
      <c r="AZ308" s="446"/>
      <c r="BA308" s="446"/>
      <c r="BB308" s="446"/>
      <c r="BC308" s="446"/>
      <c r="BD308" s="446"/>
      <c r="BE308" s="446"/>
      <c r="BF308" s="446"/>
      <c r="BG308" s="446"/>
      <c r="BH308" s="446"/>
      <c r="BI308" s="442">
        <v>17.7</v>
      </c>
      <c r="BJ308" s="446"/>
      <c r="BK308" s="446"/>
      <c r="BL308" s="446"/>
      <c r="BM308" s="446"/>
      <c r="BN308" s="446"/>
      <c r="BO308" s="446"/>
      <c r="BP308" s="446"/>
      <c r="BQ308" s="444"/>
      <c r="BR308" s="445"/>
      <c r="BS308" s="446"/>
      <c r="BT308" s="446"/>
      <c r="BU308" s="446"/>
      <c r="BV308" s="442"/>
      <c r="BW308" s="442"/>
      <c r="BX308" s="756"/>
      <c r="BY308" s="850"/>
      <c r="BZ308" s="850"/>
      <c r="CA308" s="850"/>
      <c r="CB308" s="850"/>
      <c r="CC308" s="850"/>
      <c r="CD308" s="850"/>
      <c r="CE308" s="850"/>
      <c r="CF308" s="850"/>
      <c r="CG308" s="169"/>
      <c r="CH308" s="419" t="s">
        <v>1158</v>
      </c>
      <c r="CI308" s="406"/>
      <c r="CJ308" s="23"/>
      <c r="CK308" s="648"/>
      <c r="CL308" s="572"/>
      <c r="CM308" s="431"/>
      <c r="CN308" s="128"/>
      <c r="CO308" s="128"/>
      <c r="CP308" s="128"/>
      <c r="CQ308" s="128"/>
      <c r="CR308" s="406"/>
      <c r="CS308" s="431"/>
      <c r="CU308" s="23"/>
      <c r="CV308" s="23"/>
      <c r="CW308" s="23"/>
      <c r="CX308" s="23"/>
      <c r="DA308" s="648"/>
    </row>
    <row r="309" spans="1:105" s="35" customFormat="1" ht="12" customHeight="1" x14ac:dyDescent="0.2">
      <c r="A309" s="651"/>
      <c r="B309" s="537"/>
      <c r="C309" s="97" t="s">
        <v>170</v>
      </c>
      <c r="D309" s="169" t="s">
        <v>1131</v>
      </c>
      <c r="E309" s="647" t="s">
        <v>618</v>
      </c>
      <c r="F309" s="647"/>
      <c r="G309" s="98"/>
      <c r="H309" s="97"/>
      <c r="I309" s="166">
        <v>2007</v>
      </c>
      <c r="J309" s="571"/>
      <c r="K309" s="571"/>
      <c r="L309" s="493"/>
      <c r="M309" s="237" t="s">
        <v>17</v>
      </c>
      <c r="N309" s="493"/>
      <c r="O309" s="494" t="s">
        <v>1542</v>
      </c>
      <c r="P309" s="98"/>
      <c r="Q309" s="98"/>
      <c r="R309" s="167"/>
      <c r="S309" s="167"/>
      <c r="T309" s="167"/>
      <c r="U309" s="397">
        <v>400</v>
      </c>
      <c r="V309" s="694"/>
      <c r="W309" s="713"/>
      <c r="X309" s="167"/>
      <c r="Y309" s="472"/>
      <c r="Z309" s="472"/>
      <c r="AA309" s="472"/>
      <c r="AB309" s="472"/>
      <c r="AC309" s="472"/>
      <c r="AD309" s="472"/>
      <c r="AE309" s="472"/>
      <c r="AF309" s="472"/>
      <c r="AG309" s="472"/>
      <c r="AH309" s="472"/>
      <c r="AI309" s="472"/>
      <c r="AJ309" s="472"/>
      <c r="AK309" s="472"/>
      <c r="AL309" s="472"/>
      <c r="AM309" s="472"/>
      <c r="AN309" s="472"/>
      <c r="AO309" s="472"/>
      <c r="AP309" s="472"/>
      <c r="AQ309" s="472"/>
      <c r="AR309" s="472"/>
      <c r="AS309" s="472"/>
      <c r="AT309" s="472"/>
      <c r="AU309" s="472"/>
      <c r="AV309" s="472"/>
      <c r="AW309" s="472"/>
      <c r="AX309" s="472"/>
      <c r="AY309" s="472"/>
      <c r="AZ309" s="472"/>
      <c r="BA309" s="472"/>
      <c r="BB309" s="472"/>
      <c r="BC309" s="472"/>
      <c r="BD309" s="472"/>
      <c r="BE309" s="446"/>
      <c r="BF309" s="446"/>
      <c r="BG309" s="472"/>
      <c r="BH309" s="472"/>
      <c r="BI309" s="445"/>
      <c r="BJ309" s="446"/>
      <c r="BK309" s="446"/>
      <c r="BL309" s="446"/>
      <c r="BM309" s="446"/>
      <c r="BN309" s="446"/>
      <c r="BO309" s="446"/>
      <c r="BP309" s="446"/>
      <c r="BQ309" s="444"/>
      <c r="BR309" s="445"/>
      <c r="BS309" s="442">
        <f>100-35</f>
        <v>65</v>
      </c>
      <c r="BT309" s="271"/>
      <c r="BU309" s="271"/>
      <c r="BV309" s="454"/>
      <c r="BW309" s="454"/>
      <c r="BX309" s="756"/>
      <c r="BY309" s="850"/>
      <c r="BZ309" s="850"/>
      <c r="CA309" s="850"/>
      <c r="CB309" s="850"/>
      <c r="CC309" s="850"/>
      <c r="CD309" s="850"/>
      <c r="CE309" s="850"/>
      <c r="CF309" s="850"/>
      <c r="CG309" s="169" t="s">
        <v>974</v>
      </c>
      <c r="CH309" s="419" t="s">
        <v>620</v>
      </c>
      <c r="CI309" s="404">
        <v>40508</v>
      </c>
      <c r="CJ309" s="23"/>
      <c r="CK309" s="431" t="s">
        <v>701</v>
      </c>
      <c r="CL309" s="572"/>
      <c r="CM309" s="648"/>
      <c r="CR309" s="406"/>
      <c r="CS309" s="648"/>
      <c r="CU309" s="23"/>
      <c r="CV309" s="23"/>
      <c r="CW309" s="23"/>
      <c r="CX309" s="23"/>
      <c r="DA309" s="648"/>
    </row>
    <row r="310" spans="1:105" s="35" customFormat="1" ht="12" customHeight="1" x14ac:dyDescent="0.2">
      <c r="A310" s="652"/>
      <c r="B310" s="469" t="s">
        <v>1803</v>
      </c>
      <c r="C310" s="390" t="s">
        <v>171</v>
      </c>
      <c r="D310" s="237" t="s">
        <v>1131</v>
      </c>
      <c r="E310" s="647" t="s">
        <v>14</v>
      </c>
      <c r="F310" s="647"/>
      <c r="G310" s="237"/>
      <c r="H310" s="186"/>
      <c r="I310" s="481" t="s">
        <v>631</v>
      </c>
      <c r="J310" s="571">
        <v>2004</v>
      </c>
      <c r="K310" s="571"/>
      <c r="L310" s="494" t="s">
        <v>244</v>
      </c>
      <c r="M310" s="247" t="s">
        <v>1837</v>
      </c>
      <c r="N310" s="494" t="s">
        <v>783</v>
      </c>
      <c r="O310" s="247" t="s">
        <v>19</v>
      </c>
      <c r="P310" s="98">
        <v>15</v>
      </c>
      <c r="Q310" s="247">
        <v>49</v>
      </c>
      <c r="R310" s="552">
        <v>27.736023251837942</v>
      </c>
      <c r="S310" s="552"/>
      <c r="T310" s="552"/>
      <c r="U310" s="553">
        <v>8292</v>
      </c>
      <c r="V310" s="794"/>
      <c r="W310" s="712"/>
      <c r="X310" s="552">
        <v>4.5759596477729287</v>
      </c>
      <c r="Y310" s="552">
        <v>11.13255337112529</v>
      </c>
      <c r="Z310" s="552">
        <v>8.5034424447397203</v>
      </c>
      <c r="AA310" s="552">
        <v>12.483415752020264</v>
      </c>
      <c r="AB310" s="552">
        <v>9.5566026338044647</v>
      </c>
      <c r="AC310" s="555"/>
      <c r="AD310" s="555"/>
      <c r="AE310" s="552">
        <v>4.4385478229405377</v>
      </c>
      <c r="AF310" s="552">
        <v>3.283041641520827</v>
      </c>
      <c r="AG310" s="552">
        <v>1.013635815132137</v>
      </c>
      <c r="AH310" s="552">
        <v>0.67583876418054556</v>
      </c>
      <c r="AI310" s="555"/>
      <c r="AJ310" s="555"/>
      <c r="AK310" s="552">
        <v>0.77220077220077077</v>
      </c>
      <c r="AL310" s="552">
        <v>0.56715337275250122</v>
      </c>
      <c r="AM310" s="552">
        <v>15.279787747226255</v>
      </c>
      <c r="AN310" s="552">
        <v>9.6128331926185044</v>
      </c>
      <c r="AO310" s="555"/>
      <c r="AP310" s="555"/>
      <c r="AQ310" s="552">
        <v>6.9352309733445816</v>
      </c>
      <c r="AR310" s="552">
        <v>4.8492159227985558</v>
      </c>
      <c r="AS310" s="552">
        <v>7.8880714027258501</v>
      </c>
      <c r="AT310" s="552">
        <v>5.1996622029195345</v>
      </c>
      <c r="AU310" s="552">
        <v>5.5475156777617203</v>
      </c>
      <c r="AV310" s="552">
        <v>3.8350217076700512</v>
      </c>
      <c r="AW310" s="552">
        <v>1.9063706563706566</v>
      </c>
      <c r="AX310" s="552">
        <v>1.460118257511769</v>
      </c>
      <c r="AY310" s="555"/>
      <c r="AZ310" s="555"/>
      <c r="BA310" s="552"/>
      <c r="BB310" s="552"/>
      <c r="BC310" s="555"/>
      <c r="BD310" s="555"/>
      <c r="BE310" s="552"/>
      <c r="BF310" s="552"/>
      <c r="BG310" s="552"/>
      <c r="BH310" s="552"/>
      <c r="BI310" s="552">
        <v>20.11577424023162</v>
      </c>
      <c r="BJ310" s="552">
        <v>13.133140376266265</v>
      </c>
      <c r="BK310" s="552"/>
      <c r="BL310" s="552"/>
      <c r="BM310" s="552">
        <v>12.895054282267777</v>
      </c>
      <c r="BN310" s="552">
        <v>10.561255280627643</v>
      </c>
      <c r="BO310" s="552">
        <v>3.9932440583906286</v>
      </c>
      <c r="BP310" s="552">
        <v>3.3671252715423585</v>
      </c>
      <c r="BQ310" s="552"/>
      <c r="BR310" s="42"/>
      <c r="BS310" s="42"/>
      <c r="BT310" s="42"/>
      <c r="BU310" s="42">
        <v>12</v>
      </c>
      <c r="BV310" s="42"/>
      <c r="BW310" s="42"/>
      <c r="BX310" s="758"/>
      <c r="BY310" s="851"/>
      <c r="BZ310" s="851"/>
      <c r="CA310" s="851"/>
      <c r="CB310" s="851"/>
      <c r="CC310" s="851"/>
      <c r="CD310" s="851"/>
      <c r="CE310" s="851"/>
      <c r="CF310" s="851"/>
      <c r="CG310" s="97"/>
      <c r="CH310" s="647"/>
      <c r="CI310" s="97"/>
      <c r="CJ310" s="97"/>
      <c r="CK310" s="647"/>
      <c r="CL310" s="469" t="s">
        <v>1841</v>
      </c>
      <c r="CM310" s="647"/>
      <c r="CN310" s="97"/>
      <c r="CO310" s="97"/>
      <c r="CP310" s="97"/>
      <c r="CQ310" s="97"/>
      <c r="CR310" s="638"/>
      <c r="CS310" s="647"/>
      <c r="CU310" s="23"/>
      <c r="CV310" s="23"/>
      <c r="CW310" s="23"/>
      <c r="CX310" s="23"/>
      <c r="DA310" s="648"/>
    </row>
    <row r="311" spans="1:105" s="35" customFormat="1" ht="12" customHeight="1" x14ac:dyDescent="0.2">
      <c r="A311" s="652"/>
      <c r="B311" s="469" t="s">
        <v>1804</v>
      </c>
      <c r="C311" s="390" t="s">
        <v>171</v>
      </c>
      <c r="D311" s="237" t="s">
        <v>1131</v>
      </c>
      <c r="E311" s="647" t="s">
        <v>14</v>
      </c>
      <c r="F311" s="647"/>
      <c r="G311" s="237"/>
      <c r="H311" s="186"/>
      <c r="I311" s="166">
        <v>2010</v>
      </c>
      <c r="J311" s="571">
        <v>2010</v>
      </c>
      <c r="K311" s="571"/>
      <c r="L311" s="494" t="s">
        <v>244</v>
      </c>
      <c r="M311" s="247" t="s">
        <v>1837</v>
      </c>
      <c r="N311" s="494" t="s">
        <v>783</v>
      </c>
      <c r="O311" s="247" t="s">
        <v>19</v>
      </c>
      <c r="P311" s="98">
        <v>15</v>
      </c>
      <c r="Q311" s="247">
        <v>49</v>
      </c>
      <c r="R311" s="552">
        <v>28.124326672458789</v>
      </c>
      <c r="S311" s="552"/>
      <c r="T311" s="552"/>
      <c r="U311" s="553">
        <v>5374</v>
      </c>
      <c r="V311" s="794"/>
      <c r="W311" s="712"/>
      <c r="X311" s="552">
        <v>5.3535621198957228</v>
      </c>
      <c r="Y311" s="552">
        <v>13.676963155935979</v>
      </c>
      <c r="Z311" s="552">
        <v>11.48120580573125</v>
      </c>
      <c r="AA311" s="552">
        <v>25.828061034611</v>
      </c>
      <c r="AB311" s="552">
        <v>25.828061034611</v>
      </c>
      <c r="AC311" s="552">
        <v>22.199478972832111</v>
      </c>
      <c r="AD311" s="552">
        <v>18.943059173799838</v>
      </c>
      <c r="AE311" s="552">
        <v>12.690733159657627</v>
      </c>
      <c r="AF311" s="552">
        <v>10.64384071455156</v>
      </c>
      <c r="AG311" s="552">
        <v>2.623743952363228</v>
      </c>
      <c r="AH311" s="552">
        <v>1.9352437662821007</v>
      </c>
      <c r="AI311" s="555"/>
      <c r="AJ311" s="555"/>
      <c r="AK311" s="555"/>
      <c r="AL311" s="555"/>
      <c r="AM311" s="552">
        <v>18.373045420699881</v>
      </c>
      <c r="AN311" s="552">
        <v>13.030528667163045</v>
      </c>
      <c r="AO311" s="552">
        <v>5.7595526561043968</v>
      </c>
      <c r="AP311" s="552">
        <v>4.6411929170550001</v>
      </c>
      <c r="AQ311" s="552">
        <v>9.2144452717795886</v>
      </c>
      <c r="AR311" s="552">
        <v>7.2784810126582133</v>
      </c>
      <c r="AS311" s="552">
        <v>9.0875232774674561</v>
      </c>
      <c r="AT311" s="552">
        <v>7.0577281191806334</v>
      </c>
      <c r="AU311" s="552">
        <v>8.1332588870277434</v>
      </c>
      <c r="AV311" s="552">
        <v>6.5326633165829211</v>
      </c>
      <c r="AW311" s="552">
        <v>3.9650037230081927</v>
      </c>
      <c r="AX311" s="552">
        <v>3.0528667163067804</v>
      </c>
      <c r="AY311" s="555"/>
      <c r="AZ311" s="555"/>
      <c r="BA311" s="552"/>
      <c r="BB311" s="552"/>
      <c r="BC311" s="555"/>
      <c r="BD311" s="555"/>
      <c r="BE311" s="552"/>
      <c r="BF311" s="552"/>
      <c r="BG311" s="552"/>
      <c r="BH311" s="552"/>
      <c r="BI311" s="552">
        <v>21.417938221064382</v>
      </c>
      <c r="BJ311" s="552">
        <v>15.556382582806116</v>
      </c>
      <c r="BK311" s="552"/>
      <c r="BL311" s="552"/>
      <c r="BM311" s="552">
        <v>15.668031261630023</v>
      </c>
      <c r="BN311" s="552">
        <v>13.118719761816182</v>
      </c>
      <c r="BO311" s="552">
        <v>6.6281884192887741</v>
      </c>
      <c r="BP311" s="552">
        <v>5.5483150251349862</v>
      </c>
      <c r="BQ311" s="552"/>
      <c r="BR311" s="42"/>
      <c r="BS311" s="42"/>
      <c r="BT311" s="42"/>
      <c r="BU311" s="42">
        <v>12</v>
      </c>
      <c r="BV311" s="42"/>
      <c r="BW311" s="42"/>
      <c r="BX311" s="758"/>
      <c r="BY311" s="851"/>
      <c r="BZ311" s="851"/>
      <c r="CA311" s="851"/>
      <c r="CB311" s="851"/>
      <c r="CC311" s="851"/>
      <c r="CD311" s="851"/>
      <c r="CE311" s="851"/>
      <c r="CF311" s="851"/>
      <c r="CG311" s="97"/>
      <c r="CH311" s="647"/>
      <c r="CI311" s="97"/>
      <c r="CJ311" s="97"/>
      <c r="CK311" s="647"/>
      <c r="CL311" s="469" t="s">
        <v>1841</v>
      </c>
      <c r="CM311" s="647"/>
      <c r="CN311" s="97"/>
      <c r="CO311" s="97"/>
      <c r="CP311" s="97"/>
      <c r="CQ311" s="97"/>
      <c r="CR311" s="638"/>
      <c r="CS311" s="647"/>
      <c r="CU311" s="23"/>
      <c r="CV311" s="23"/>
      <c r="CW311" s="23"/>
      <c r="CX311" s="23"/>
      <c r="DA311" s="648"/>
    </row>
    <row r="312" spans="1:105" s="35" customFormat="1" ht="12" customHeight="1" x14ac:dyDescent="0.2">
      <c r="A312" s="651"/>
      <c r="B312" s="537"/>
      <c r="C312" s="390" t="s">
        <v>171</v>
      </c>
      <c r="D312" s="36" t="s">
        <v>1131</v>
      </c>
      <c r="E312" s="647" t="s">
        <v>14</v>
      </c>
      <c r="F312" s="647"/>
      <c r="G312" s="237"/>
      <c r="H312" s="186"/>
      <c r="I312" s="533">
        <v>2000</v>
      </c>
      <c r="J312" s="390"/>
      <c r="K312" s="390"/>
      <c r="L312" s="494" t="s">
        <v>244</v>
      </c>
      <c r="M312" s="247" t="s">
        <v>15</v>
      </c>
      <c r="N312" s="494" t="s">
        <v>783</v>
      </c>
      <c r="O312" s="98" t="s">
        <v>19</v>
      </c>
      <c r="P312" s="98">
        <v>15</v>
      </c>
      <c r="Q312" s="247"/>
      <c r="R312" s="291"/>
      <c r="S312" s="291"/>
      <c r="T312" s="291"/>
      <c r="U312" s="395">
        <v>24918</v>
      </c>
      <c r="V312" s="794"/>
      <c r="W312" s="712"/>
      <c r="X312" s="254"/>
      <c r="Y312" s="447"/>
      <c r="Z312" s="447"/>
      <c r="AA312" s="447"/>
      <c r="AB312" s="447"/>
      <c r="AC312" s="447"/>
      <c r="AD312" s="447"/>
      <c r="AE312" s="447"/>
      <c r="AF312" s="447"/>
      <c r="AG312" s="447"/>
      <c r="AH312" s="447"/>
      <c r="AI312" s="447"/>
      <c r="AJ312" s="447"/>
      <c r="AK312" s="447"/>
      <c r="AL312" s="447"/>
      <c r="AM312" s="447"/>
      <c r="AN312" s="447"/>
      <c r="AO312" s="447"/>
      <c r="AP312" s="447"/>
      <c r="AQ312" s="447"/>
      <c r="AR312" s="447"/>
      <c r="AS312" s="447"/>
      <c r="AT312" s="447"/>
      <c r="AU312" s="447"/>
      <c r="AV312" s="447"/>
      <c r="AW312" s="447"/>
      <c r="AX312" s="447"/>
      <c r="AY312" s="447"/>
      <c r="AZ312" s="447"/>
      <c r="BA312" s="447"/>
      <c r="BB312" s="447"/>
      <c r="BC312" s="447"/>
      <c r="BD312" s="447"/>
      <c r="BE312" s="442"/>
      <c r="BF312" s="442"/>
      <c r="BG312" s="447"/>
      <c r="BH312" s="447"/>
      <c r="BI312" s="442">
        <v>13.17</v>
      </c>
      <c r="BJ312" s="442"/>
      <c r="BK312" s="442"/>
      <c r="BL312" s="442"/>
      <c r="BM312" s="442"/>
      <c r="BN312" s="442"/>
      <c r="BO312" s="442"/>
      <c r="BP312" s="442"/>
      <c r="BQ312" s="444"/>
      <c r="BR312" s="444"/>
      <c r="BS312" s="442">
        <v>20.61</v>
      </c>
      <c r="BT312" s="442"/>
      <c r="BU312" s="442"/>
      <c r="BV312" s="442"/>
      <c r="BW312" s="442"/>
      <c r="BX312" s="756"/>
      <c r="BY312" s="850"/>
      <c r="BZ312" s="850"/>
      <c r="CA312" s="850"/>
      <c r="CB312" s="850"/>
      <c r="CC312" s="850"/>
      <c r="CD312" s="850"/>
      <c r="CE312" s="850"/>
      <c r="CF312" s="850"/>
      <c r="CG312" s="36" t="s">
        <v>1003</v>
      </c>
      <c r="CH312" s="417"/>
      <c r="CI312" s="406"/>
      <c r="CJ312" s="23"/>
      <c r="CK312" s="417" t="s">
        <v>1042</v>
      </c>
      <c r="CL312" s="572"/>
      <c r="CM312" s="648"/>
      <c r="CR312" s="406"/>
      <c r="CS312" s="648"/>
      <c r="CU312" s="23"/>
      <c r="CV312" s="23"/>
      <c r="CW312" s="23"/>
      <c r="CX312" s="23"/>
      <c r="DA312" s="648"/>
    </row>
    <row r="313" spans="1:105" s="35" customFormat="1" ht="12" customHeight="1" x14ac:dyDescent="0.2">
      <c r="A313" s="651"/>
      <c r="B313" s="537"/>
      <c r="C313" s="97" t="s">
        <v>171</v>
      </c>
      <c r="D313" s="169" t="s">
        <v>1131</v>
      </c>
      <c r="E313" s="647" t="s">
        <v>14</v>
      </c>
      <c r="F313" s="647"/>
      <c r="G313" s="237"/>
      <c r="H313" s="186"/>
      <c r="I313" s="166">
        <v>2002</v>
      </c>
      <c r="J313" s="390"/>
      <c r="K313" s="390"/>
      <c r="L313" s="493" t="s">
        <v>578</v>
      </c>
      <c r="M313" s="237" t="s">
        <v>17</v>
      </c>
      <c r="N313" s="493"/>
      <c r="O313" s="98" t="s">
        <v>19</v>
      </c>
      <c r="P313" s="98">
        <v>15</v>
      </c>
      <c r="Q313" s="237"/>
      <c r="R313" s="254"/>
      <c r="S313" s="254"/>
      <c r="T313" s="254"/>
      <c r="U313" s="393">
        <f>1586+97</f>
        <v>1683</v>
      </c>
      <c r="V313" s="694"/>
      <c r="W313" s="711"/>
      <c r="X313" s="254"/>
      <c r="Y313" s="446"/>
      <c r="Z313" s="446"/>
      <c r="AA313" s="446"/>
      <c r="AB313" s="446"/>
      <c r="AC313" s="446"/>
      <c r="AD313" s="446"/>
      <c r="AE313" s="446"/>
      <c r="AF313" s="446"/>
      <c r="AG313" s="446"/>
      <c r="AH313" s="446"/>
      <c r="AI313" s="446"/>
      <c r="AJ313" s="446"/>
      <c r="AK313" s="446"/>
      <c r="AL313" s="446"/>
      <c r="AM313" s="446"/>
      <c r="AN313" s="446"/>
      <c r="AO313" s="446"/>
      <c r="AP313" s="446"/>
      <c r="AQ313" s="446"/>
      <c r="AR313" s="446"/>
      <c r="AS313" s="446"/>
      <c r="AT313" s="446"/>
      <c r="AU313" s="446"/>
      <c r="AV313" s="446"/>
      <c r="AW313" s="446"/>
      <c r="AX313" s="446"/>
      <c r="AY313" s="446"/>
      <c r="AZ313" s="446"/>
      <c r="BA313" s="446"/>
      <c r="BB313" s="446"/>
      <c r="BC313" s="446"/>
      <c r="BD313" s="446"/>
      <c r="BE313" s="446"/>
      <c r="BF313" s="446"/>
      <c r="BG313" s="446"/>
      <c r="BH313" s="446"/>
      <c r="BI313" s="445"/>
      <c r="BJ313" s="446">
        <v>11</v>
      </c>
      <c r="BK313" s="446"/>
      <c r="BL313" s="446"/>
      <c r="BM313" s="446"/>
      <c r="BN313" s="446"/>
      <c r="BO313" s="446"/>
      <c r="BP313" s="446"/>
      <c r="BQ313" s="444"/>
      <c r="BR313" s="445"/>
      <c r="BS313" s="271"/>
      <c r="BT313" s="271"/>
      <c r="BU313" s="271"/>
      <c r="BV313" s="454"/>
      <c r="BW313" s="454"/>
      <c r="BX313" s="756"/>
      <c r="BY313" s="850"/>
      <c r="BZ313" s="850"/>
      <c r="CA313" s="850"/>
      <c r="CB313" s="850"/>
      <c r="CC313" s="850"/>
      <c r="CD313" s="850"/>
      <c r="CE313" s="850"/>
      <c r="CF313" s="850"/>
      <c r="CG313" s="169" t="s">
        <v>576</v>
      </c>
      <c r="CH313" s="421" t="s">
        <v>1046</v>
      </c>
      <c r="CI313" s="404">
        <v>42453</v>
      </c>
      <c r="CJ313" s="23"/>
      <c r="CK313" s="648" t="s">
        <v>1172</v>
      </c>
      <c r="CL313" s="572"/>
      <c r="CM313" s="648"/>
      <c r="CR313" s="406"/>
      <c r="CS313" s="648"/>
      <c r="CU313" s="23"/>
      <c r="CV313" s="23"/>
      <c r="CW313" s="23"/>
      <c r="CX313" s="23"/>
      <c r="DA313" s="648"/>
    </row>
    <row r="314" spans="1:105" s="35" customFormat="1" ht="12" customHeight="1" x14ac:dyDescent="0.2">
      <c r="A314" s="648"/>
      <c r="B314" s="417"/>
      <c r="C314" s="97" t="s">
        <v>171</v>
      </c>
      <c r="D314" s="169" t="s">
        <v>1131</v>
      </c>
      <c r="E314" s="647" t="s">
        <v>14</v>
      </c>
      <c r="F314" s="647"/>
      <c r="G314" s="98"/>
      <c r="H314" s="97"/>
      <c r="I314" s="166">
        <v>2005</v>
      </c>
      <c r="J314" s="571"/>
      <c r="K314" s="571"/>
      <c r="L314" s="493"/>
      <c r="M314" s="98"/>
      <c r="N314" s="493"/>
      <c r="O314" s="247" t="s">
        <v>1561</v>
      </c>
      <c r="P314" s="247">
        <v>16</v>
      </c>
      <c r="Q314" s="98"/>
      <c r="R314" s="167"/>
      <c r="S314" s="167"/>
      <c r="T314" s="167"/>
      <c r="U314" s="393">
        <v>3546</v>
      </c>
      <c r="V314" s="694"/>
      <c r="W314" s="711"/>
      <c r="X314" s="167"/>
      <c r="Y314" s="446"/>
      <c r="Z314" s="446"/>
      <c r="AA314" s="446"/>
      <c r="AB314" s="446"/>
      <c r="AC314" s="446"/>
      <c r="AD314" s="446"/>
      <c r="AE314" s="446"/>
      <c r="AF314" s="446"/>
      <c r="AG314" s="446"/>
      <c r="AH314" s="446"/>
      <c r="AI314" s="446"/>
      <c r="AJ314" s="446"/>
      <c r="AK314" s="446"/>
      <c r="AL314" s="446"/>
      <c r="AM314" s="446"/>
      <c r="AN314" s="446"/>
      <c r="AO314" s="446"/>
      <c r="AP314" s="446"/>
      <c r="AQ314" s="446"/>
      <c r="AR314" s="446"/>
      <c r="AS314" s="446"/>
      <c r="AT314" s="446"/>
      <c r="AU314" s="446"/>
      <c r="AV314" s="446"/>
      <c r="AW314" s="446"/>
      <c r="AX314" s="446"/>
      <c r="AY314" s="446"/>
      <c r="AZ314" s="446"/>
      <c r="BA314" s="446"/>
      <c r="BB314" s="446"/>
      <c r="BC314" s="446"/>
      <c r="BD314" s="446"/>
      <c r="BE314" s="442"/>
      <c r="BF314" s="442"/>
      <c r="BG314" s="446"/>
      <c r="BH314" s="446"/>
      <c r="BI314" s="442"/>
      <c r="BJ314" s="442"/>
      <c r="BK314" s="442"/>
      <c r="BL314" s="442"/>
      <c r="BM314" s="442"/>
      <c r="BN314" s="442"/>
      <c r="BO314" s="442"/>
      <c r="BP314" s="442"/>
      <c r="BQ314" s="442"/>
      <c r="BR314" s="442"/>
      <c r="BS314" s="442">
        <v>30</v>
      </c>
      <c r="BT314" s="446"/>
      <c r="BU314" s="446"/>
      <c r="BV314" s="442"/>
      <c r="BW314" s="442"/>
      <c r="BX314" s="756"/>
      <c r="BY314" s="850"/>
      <c r="BZ314" s="850"/>
      <c r="CA314" s="850"/>
      <c r="CB314" s="850"/>
      <c r="CC314" s="850"/>
      <c r="CD314" s="850"/>
      <c r="CE314" s="850"/>
      <c r="CF314" s="850"/>
      <c r="CG314" s="168" t="s">
        <v>329</v>
      </c>
      <c r="CH314" s="417" t="s">
        <v>1086</v>
      </c>
      <c r="CI314" s="404"/>
      <c r="CJ314" s="23">
        <v>52</v>
      </c>
      <c r="CK314" s="417" t="s">
        <v>318</v>
      </c>
      <c r="CL314" s="572"/>
      <c r="CM314" s="431"/>
      <c r="CN314" s="128"/>
      <c r="CO314" s="128"/>
      <c r="CP314" s="128"/>
      <c r="CQ314" s="128"/>
      <c r="CR314" s="406"/>
      <c r="CS314" s="431"/>
      <c r="CU314" s="23"/>
      <c r="CV314" s="23"/>
      <c r="CW314" s="23"/>
      <c r="CX314" s="23"/>
      <c r="DA314" s="648"/>
    </row>
    <row r="315" spans="1:105" s="35" customFormat="1" ht="12" customHeight="1" x14ac:dyDescent="0.2">
      <c r="A315" s="651"/>
      <c r="B315" s="537"/>
      <c r="C315" s="97" t="s">
        <v>172</v>
      </c>
      <c r="D315" s="169" t="s">
        <v>1125</v>
      </c>
      <c r="E315" s="647" t="s">
        <v>14</v>
      </c>
      <c r="F315" s="647"/>
      <c r="G315" s="98"/>
      <c r="H315" s="97"/>
      <c r="I315" s="166">
        <v>1992</v>
      </c>
      <c r="J315" s="571"/>
      <c r="K315" s="571"/>
      <c r="L315" s="493"/>
      <c r="M315" s="98" t="s">
        <v>17</v>
      </c>
      <c r="N315" s="493"/>
      <c r="O315" s="476" t="s">
        <v>1742</v>
      </c>
      <c r="P315" s="247">
        <f>22-2*(3)</f>
        <v>16</v>
      </c>
      <c r="Q315" s="98"/>
      <c r="R315" s="167"/>
      <c r="S315" s="167"/>
      <c r="T315" s="167"/>
      <c r="U315" s="393">
        <v>713</v>
      </c>
      <c r="V315" s="694"/>
      <c r="W315" s="711"/>
      <c r="X315" s="167"/>
      <c r="Y315" s="446"/>
      <c r="Z315" s="446"/>
      <c r="AA315" s="446"/>
      <c r="AB315" s="446"/>
      <c r="AC315" s="446"/>
      <c r="AD315" s="446"/>
      <c r="AE315" s="446"/>
      <c r="AF315" s="446"/>
      <c r="AG315" s="446"/>
      <c r="AH315" s="446"/>
      <c r="AI315" s="446"/>
      <c r="AJ315" s="446"/>
      <c r="AK315" s="446"/>
      <c r="AL315" s="446"/>
      <c r="AM315" s="446"/>
      <c r="AN315" s="446"/>
      <c r="AO315" s="446"/>
      <c r="AP315" s="446"/>
      <c r="AQ315" s="446"/>
      <c r="AR315" s="446"/>
      <c r="AS315" s="446"/>
      <c r="AT315" s="446"/>
      <c r="AU315" s="446"/>
      <c r="AV315" s="446"/>
      <c r="AW315" s="446"/>
      <c r="AX315" s="446"/>
      <c r="AY315" s="446"/>
      <c r="AZ315" s="446"/>
      <c r="BA315" s="446"/>
      <c r="BB315" s="446"/>
      <c r="BC315" s="446"/>
      <c r="BD315" s="446"/>
      <c r="BE315" s="446"/>
      <c r="BF315" s="446"/>
      <c r="BG315" s="446"/>
      <c r="BH315" s="446"/>
      <c r="BI315" s="445"/>
      <c r="BJ315" s="446"/>
      <c r="BK315" s="446"/>
      <c r="BL315" s="446"/>
      <c r="BM315" s="446"/>
      <c r="BN315" s="446"/>
      <c r="BO315" s="446"/>
      <c r="BP315" s="446"/>
      <c r="BQ315" s="444"/>
      <c r="BR315" s="445"/>
      <c r="BS315" s="442">
        <v>39</v>
      </c>
      <c r="BT315" s="271"/>
      <c r="BU315" s="271"/>
      <c r="BV315" s="454"/>
      <c r="BW315" s="454"/>
      <c r="BX315" s="756"/>
      <c r="BY315" s="850"/>
      <c r="BZ315" s="850"/>
      <c r="CA315" s="850"/>
      <c r="CB315" s="850"/>
      <c r="CC315" s="850"/>
      <c r="CD315" s="850"/>
      <c r="CE315" s="850"/>
      <c r="CF315" s="850"/>
      <c r="CG315" s="168" t="s">
        <v>604</v>
      </c>
      <c r="CH315" s="419" t="s">
        <v>653</v>
      </c>
      <c r="CI315" s="409">
        <v>40994</v>
      </c>
      <c r="CJ315" s="23">
        <v>14</v>
      </c>
      <c r="CK315" s="417" t="s">
        <v>1071</v>
      </c>
      <c r="CL315" s="572" t="s">
        <v>606</v>
      </c>
      <c r="CM315" s="648"/>
      <c r="CR315" s="406"/>
      <c r="CS315" s="648"/>
      <c r="CU315" s="23"/>
      <c r="CV315" s="23"/>
      <c r="CW315" s="23"/>
      <c r="CX315" s="23"/>
      <c r="DA315" s="648"/>
    </row>
    <row r="316" spans="1:105" s="35" customFormat="1" ht="12" customHeight="1" x14ac:dyDescent="0.2">
      <c r="A316" s="651"/>
      <c r="B316" s="537"/>
      <c r="C316" s="97" t="s">
        <v>173</v>
      </c>
      <c r="D316" s="169" t="s">
        <v>1125</v>
      </c>
      <c r="E316" s="647" t="s">
        <v>14</v>
      </c>
      <c r="F316" s="647"/>
      <c r="G316" s="98"/>
      <c r="H316" s="97"/>
      <c r="I316" s="166">
        <v>2006</v>
      </c>
      <c r="J316" s="571"/>
      <c r="K316" s="571"/>
      <c r="L316" s="493" t="s">
        <v>243</v>
      </c>
      <c r="M316" s="247" t="s">
        <v>15</v>
      </c>
      <c r="N316" s="494" t="s">
        <v>783</v>
      </c>
      <c r="O316" s="247" t="s">
        <v>1624</v>
      </c>
      <c r="P316" s="247">
        <v>18</v>
      </c>
      <c r="Q316" s="98"/>
      <c r="R316" s="167"/>
      <c r="S316" s="167"/>
      <c r="T316" s="167"/>
      <c r="U316" s="393">
        <v>999999999</v>
      </c>
      <c r="V316" s="694"/>
      <c r="W316" s="711"/>
      <c r="X316" s="167"/>
      <c r="Y316" s="446"/>
      <c r="Z316" s="446"/>
      <c r="AA316" s="446"/>
      <c r="AB316" s="446"/>
      <c r="AC316" s="446"/>
      <c r="AD316" s="446"/>
      <c r="AE316" s="446"/>
      <c r="AF316" s="446"/>
      <c r="AG316" s="446"/>
      <c r="AH316" s="446"/>
      <c r="AI316" s="446"/>
      <c r="AJ316" s="446"/>
      <c r="AK316" s="446"/>
      <c r="AL316" s="446"/>
      <c r="AM316" s="446"/>
      <c r="AN316" s="446"/>
      <c r="AO316" s="446"/>
      <c r="AP316" s="446"/>
      <c r="AQ316" s="446"/>
      <c r="AR316" s="446"/>
      <c r="AS316" s="446"/>
      <c r="AT316" s="446"/>
      <c r="AU316" s="446"/>
      <c r="AV316" s="446"/>
      <c r="AW316" s="446"/>
      <c r="AX316" s="446"/>
      <c r="AY316" s="446"/>
      <c r="AZ316" s="446"/>
      <c r="BA316" s="446"/>
      <c r="BB316" s="446"/>
      <c r="BC316" s="446"/>
      <c r="BD316" s="446"/>
      <c r="BE316" s="445"/>
      <c r="BF316" s="445"/>
      <c r="BG316" s="446"/>
      <c r="BH316" s="446"/>
      <c r="BI316" s="445">
        <v>17.899999999999999</v>
      </c>
      <c r="BJ316" s="445">
        <v>5.7</v>
      </c>
      <c r="BK316" s="445"/>
      <c r="BL316" s="445"/>
      <c r="BM316" s="445"/>
      <c r="BN316" s="445"/>
      <c r="BO316" s="445"/>
      <c r="BP316" s="445"/>
      <c r="BQ316" s="444"/>
      <c r="BR316" s="444"/>
      <c r="BS316" s="446"/>
      <c r="BT316" s="446"/>
      <c r="BU316" s="446"/>
      <c r="BV316" s="442"/>
      <c r="BW316" s="442"/>
      <c r="BX316" s="756"/>
      <c r="BY316" s="850"/>
      <c r="BZ316" s="850"/>
      <c r="CA316" s="850"/>
      <c r="CB316" s="850"/>
      <c r="CC316" s="850"/>
      <c r="CD316" s="850"/>
      <c r="CE316" s="850"/>
      <c r="CF316" s="850"/>
      <c r="CG316" s="168" t="s">
        <v>882</v>
      </c>
      <c r="CH316" s="419" t="s">
        <v>1121</v>
      </c>
      <c r="CI316" s="407"/>
      <c r="CJ316" s="23"/>
      <c r="CK316" s="417" t="s">
        <v>1065</v>
      </c>
      <c r="CL316" s="572"/>
      <c r="CM316" s="648"/>
      <c r="CR316" s="406"/>
      <c r="CS316" s="648"/>
      <c r="CU316" s="23"/>
      <c r="CV316" s="23"/>
      <c r="CW316" s="23"/>
      <c r="CX316" s="23"/>
      <c r="DA316" s="648"/>
    </row>
    <row r="317" spans="1:105" s="35" customFormat="1" ht="12" customHeight="1" x14ac:dyDescent="0.2">
      <c r="A317" s="652"/>
      <c r="B317" s="469" t="s">
        <v>1805</v>
      </c>
      <c r="C317" s="390" t="s">
        <v>174</v>
      </c>
      <c r="D317" s="237" t="s">
        <v>1131</v>
      </c>
      <c r="E317" s="647" t="s">
        <v>14</v>
      </c>
      <c r="F317" s="647"/>
      <c r="G317" s="237"/>
      <c r="H317" s="186"/>
      <c r="I317" s="166">
        <v>2006</v>
      </c>
      <c r="J317" s="571">
        <v>2006</v>
      </c>
      <c r="K317" s="571"/>
      <c r="L317" s="494" t="s">
        <v>244</v>
      </c>
      <c r="M317" s="247" t="s">
        <v>1837</v>
      </c>
      <c r="N317" s="494" t="s">
        <v>783</v>
      </c>
      <c r="O317" s="247" t="s">
        <v>19</v>
      </c>
      <c r="P317" s="98">
        <v>15</v>
      </c>
      <c r="Q317" s="247">
        <v>49</v>
      </c>
      <c r="R317" s="552">
        <v>28.951322080765049</v>
      </c>
      <c r="S317" s="552"/>
      <c r="T317" s="552"/>
      <c r="U317" s="553">
        <v>9066</v>
      </c>
      <c r="V317" s="794"/>
      <c r="W317" s="712"/>
      <c r="X317" s="552">
        <v>1.383565604579887</v>
      </c>
      <c r="Y317" s="552">
        <v>6.7539092824664682</v>
      </c>
      <c r="Z317" s="552">
        <v>6.7539092824664682</v>
      </c>
      <c r="AA317" s="552">
        <v>10.158835208471249</v>
      </c>
      <c r="AB317" s="552">
        <v>10.158835208471249</v>
      </c>
      <c r="AC317" s="555"/>
      <c r="AD317" s="555"/>
      <c r="AE317" s="552">
        <v>4.8378168936122705</v>
      </c>
      <c r="AF317" s="552">
        <v>4.8378168936122705</v>
      </c>
      <c r="AG317" s="554">
        <v>0.14339289653651016</v>
      </c>
      <c r="AH317" s="554">
        <v>0.14339289653651016</v>
      </c>
      <c r="AI317" s="555"/>
      <c r="AJ317" s="555"/>
      <c r="AK317" s="555"/>
      <c r="AL317" s="555"/>
      <c r="AM317" s="552">
        <v>10.994242692648362</v>
      </c>
      <c r="AN317" s="552">
        <v>10.994242692648362</v>
      </c>
      <c r="AO317" s="555"/>
      <c r="AP317" s="555"/>
      <c r="AQ317" s="552">
        <v>4.7260653016048568</v>
      </c>
      <c r="AR317" s="552">
        <v>4.7260653016048568</v>
      </c>
      <c r="AS317" s="552">
        <v>7.7731092436974762</v>
      </c>
      <c r="AT317" s="552">
        <v>7.7731092436974762</v>
      </c>
      <c r="AU317" s="552">
        <v>2.4944812362030864</v>
      </c>
      <c r="AV317" s="552">
        <v>2.4944812362030864</v>
      </c>
      <c r="AW317" s="552">
        <v>0.66203243958954239</v>
      </c>
      <c r="AX317" s="552">
        <v>0.66203243958954239</v>
      </c>
      <c r="AY317" s="555"/>
      <c r="AZ317" s="555"/>
      <c r="BA317" s="552"/>
      <c r="BB317" s="552"/>
      <c r="BC317" s="555"/>
      <c r="BD317" s="555"/>
      <c r="BE317" s="552"/>
      <c r="BF317" s="552"/>
      <c r="BG317" s="552"/>
      <c r="BH317" s="552"/>
      <c r="BI317" s="552">
        <v>17.482903154643616</v>
      </c>
      <c r="BJ317" s="552">
        <v>15.477109762824018</v>
      </c>
      <c r="BK317" s="552"/>
      <c r="BL317" s="552"/>
      <c r="BM317" s="552">
        <v>3.0922142462727891</v>
      </c>
      <c r="BN317" s="552">
        <v>3.0922142462727891</v>
      </c>
      <c r="BO317" s="552">
        <v>0.8056505904425576</v>
      </c>
      <c r="BP317" s="552">
        <v>0.8056505904425576</v>
      </c>
      <c r="BQ317" s="552"/>
      <c r="BR317" s="42"/>
      <c r="BS317" s="42"/>
      <c r="BT317" s="42"/>
      <c r="BU317" s="42">
        <v>12</v>
      </c>
      <c r="BV317" s="42"/>
      <c r="BW317" s="42"/>
      <c r="BX317" s="758"/>
      <c r="BY317" s="851"/>
      <c r="BZ317" s="851"/>
      <c r="CA317" s="851"/>
      <c r="CB317" s="851"/>
      <c r="CC317" s="851"/>
      <c r="CD317" s="851"/>
      <c r="CE317" s="851"/>
      <c r="CF317" s="851"/>
      <c r="CG317" s="97"/>
      <c r="CH317" s="647"/>
      <c r="CI317" s="97"/>
      <c r="CJ317" s="97"/>
      <c r="CK317" s="647"/>
      <c r="CL317" s="469" t="s">
        <v>1841</v>
      </c>
      <c r="CM317" s="647"/>
      <c r="CN317" s="97"/>
      <c r="CO317" s="97"/>
      <c r="CP317" s="97"/>
      <c r="CQ317" s="97"/>
      <c r="CR317" s="638"/>
      <c r="CS317" s="647"/>
      <c r="CU317" s="23"/>
      <c r="CV317" s="23"/>
      <c r="CW317" s="23"/>
      <c r="CX317" s="23"/>
      <c r="DA317" s="648"/>
    </row>
    <row r="318" spans="1:105" s="35" customFormat="1" ht="12" customHeight="1" x14ac:dyDescent="0.2">
      <c r="A318" s="652"/>
      <c r="B318" s="469" t="s">
        <v>1806</v>
      </c>
      <c r="C318" s="390" t="s">
        <v>174</v>
      </c>
      <c r="D318" s="237" t="s">
        <v>1131</v>
      </c>
      <c r="E318" s="647" t="s">
        <v>14</v>
      </c>
      <c r="F318" s="647"/>
      <c r="G318" s="237"/>
      <c r="H318" s="186"/>
      <c r="I318" s="481" t="s">
        <v>1519</v>
      </c>
      <c r="J318" s="571">
        <v>2012</v>
      </c>
      <c r="K318" s="571"/>
      <c r="L318" s="494" t="s">
        <v>244</v>
      </c>
      <c r="M318" s="247" t="s">
        <v>1837</v>
      </c>
      <c r="N318" s="494" t="s">
        <v>783</v>
      </c>
      <c r="O318" s="247" t="s">
        <v>19</v>
      </c>
      <c r="P318" s="98">
        <v>15</v>
      </c>
      <c r="Q318" s="247">
        <v>49</v>
      </c>
      <c r="R318" s="552">
        <v>29.314840298399293</v>
      </c>
      <c r="S318" s="552"/>
      <c r="T318" s="552"/>
      <c r="U318" s="553">
        <v>3120</v>
      </c>
      <c r="V318" s="794"/>
      <c r="W318" s="712"/>
      <c r="X318" s="552">
        <v>1.8340940375280805</v>
      </c>
      <c r="Y318" s="552">
        <v>17.596153846153886</v>
      </c>
      <c r="Z318" s="552">
        <v>14.551282051282017</v>
      </c>
      <c r="AA318" s="552">
        <v>32.660256410256494</v>
      </c>
      <c r="AB318" s="552">
        <v>32.660256410256494</v>
      </c>
      <c r="AC318" s="552">
        <v>24.551282051282065</v>
      </c>
      <c r="AD318" s="552">
        <v>19.679487179487211</v>
      </c>
      <c r="AE318" s="552">
        <v>7.8525641025641129</v>
      </c>
      <c r="AF318" s="552">
        <v>6.0897435897435805</v>
      </c>
      <c r="AG318" s="552">
        <v>0.737179487179486</v>
      </c>
      <c r="AH318" s="552">
        <v>0.51282051282051311</v>
      </c>
      <c r="AI318" s="555"/>
      <c r="AJ318" s="552"/>
      <c r="AK318" s="555"/>
      <c r="AL318" s="555"/>
      <c r="AM318" s="552">
        <v>23.974358974358996</v>
      </c>
      <c r="AN318" s="552">
        <v>15.416666666666659</v>
      </c>
      <c r="AO318" s="552">
        <v>4.6153846153846008</v>
      </c>
      <c r="AP318" s="552">
        <v>3.3653846153846185</v>
      </c>
      <c r="AQ318" s="552">
        <v>7.7884615384615428</v>
      </c>
      <c r="AR318" s="552">
        <v>5.8653846153846008</v>
      </c>
      <c r="AS318" s="552">
        <v>7.4358974358974361</v>
      </c>
      <c r="AT318" s="552">
        <v>5.0320512820512784</v>
      </c>
      <c r="AU318" s="552">
        <v>4.1987179487179551</v>
      </c>
      <c r="AV318" s="552">
        <v>2.8525641025640955</v>
      </c>
      <c r="AW318" s="552">
        <v>1.3141025641025641</v>
      </c>
      <c r="AX318" s="552">
        <v>0.76923076923076972</v>
      </c>
      <c r="AY318" s="552"/>
      <c r="AZ318" s="552"/>
      <c r="BA318" s="552"/>
      <c r="BB318" s="552"/>
      <c r="BC318" s="552"/>
      <c r="BD318" s="552"/>
      <c r="BE318" s="552"/>
      <c r="BF318" s="552"/>
      <c r="BG318" s="552"/>
      <c r="BH318" s="552"/>
      <c r="BI318" s="552">
        <v>31.538461538461526</v>
      </c>
      <c r="BJ318" s="552">
        <v>20.000000000000011</v>
      </c>
      <c r="BK318" s="552"/>
      <c r="BL318" s="552"/>
      <c r="BM318" s="552">
        <v>12.115384615384604</v>
      </c>
      <c r="BN318" s="552">
        <v>10.384615384615422</v>
      </c>
      <c r="BO318" s="552">
        <v>4.5848028214171039</v>
      </c>
      <c r="BP318" s="552">
        <v>3.9756332157742951</v>
      </c>
      <c r="BQ318" s="552"/>
      <c r="BR318" s="42"/>
      <c r="BS318" s="42"/>
      <c r="BT318" s="42"/>
      <c r="BU318" s="42">
        <v>12</v>
      </c>
      <c r="BV318" s="42"/>
      <c r="BW318" s="42"/>
      <c r="BX318" s="758"/>
      <c r="BY318" s="851"/>
      <c r="BZ318" s="851"/>
      <c r="CA318" s="851"/>
      <c r="CB318" s="851"/>
      <c r="CC318" s="851"/>
      <c r="CD318" s="851"/>
      <c r="CE318" s="851"/>
      <c r="CF318" s="851"/>
      <c r="CG318" s="97"/>
      <c r="CH318" s="647"/>
      <c r="CI318" s="97"/>
      <c r="CJ318" s="97"/>
      <c r="CK318" s="647"/>
      <c r="CL318" s="469" t="s">
        <v>1841</v>
      </c>
      <c r="CM318" s="647"/>
      <c r="CN318" s="97"/>
      <c r="CO318" s="97"/>
      <c r="CP318" s="97"/>
      <c r="CQ318" s="97"/>
      <c r="CR318" s="638"/>
      <c r="CS318" s="647"/>
      <c r="CU318" s="23"/>
      <c r="CV318" s="23"/>
      <c r="CW318" s="23"/>
      <c r="CX318" s="23"/>
      <c r="DA318" s="648"/>
    </row>
    <row r="319" spans="1:105" s="35" customFormat="1" ht="12" customHeight="1" x14ac:dyDescent="0.2">
      <c r="A319" s="651"/>
      <c r="B319" s="537"/>
      <c r="C319" s="390" t="s">
        <v>175</v>
      </c>
      <c r="D319" s="36" t="s">
        <v>1130</v>
      </c>
      <c r="E319" s="647" t="s">
        <v>14</v>
      </c>
      <c r="F319" s="647"/>
      <c r="G319" s="237"/>
      <c r="H319" s="186"/>
      <c r="I319" s="533">
        <v>2010</v>
      </c>
      <c r="J319" s="390"/>
      <c r="K319" s="390"/>
      <c r="L319" s="494" t="s">
        <v>243</v>
      </c>
      <c r="M319" s="247"/>
      <c r="N319" s="494" t="s">
        <v>783</v>
      </c>
      <c r="O319" s="247" t="s">
        <v>19</v>
      </c>
      <c r="P319" s="98">
        <v>15</v>
      </c>
      <c r="Q319" s="247"/>
      <c r="R319" s="291"/>
      <c r="S319" s="291"/>
      <c r="T319" s="291"/>
      <c r="U319" s="395"/>
      <c r="V319" s="794"/>
      <c r="W319" s="712"/>
      <c r="X319" s="254"/>
      <c r="Y319" s="447"/>
      <c r="Z319" s="447"/>
      <c r="AA319" s="447"/>
      <c r="AB319" s="447"/>
      <c r="AC319" s="447"/>
      <c r="AD319" s="447"/>
      <c r="AE319" s="447"/>
      <c r="AF319" s="447"/>
      <c r="AG319" s="447"/>
      <c r="AH319" s="447"/>
      <c r="AI319" s="447"/>
      <c r="AJ319" s="447"/>
      <c r="AK319" s="447"/>
      <c r="AL319" s="447"/>
      <c r="AM319" s="447"/>
      <c r="AN319" s="447"/>
      <c r="AO319" s="447"/>
      <c r="AP319" s="447"/>
      <c r="AQ319" s="447"/>
      <c r="AR319" s="447"/>
      <c r="AS319" s="447"/>
      <c r="AT319" s="447"/>
      <c r="AU319" s="447"/>
      <c r="AV319" s="447"/>
      <c r="AW319" s="447"/>
      <c r="AX319" s="447"/>
      <c r="AY319" s="447"/>
      <c r="AZ319" s="447"/>
      <c r="BA319" s="447"/>
      <c r="BB319" s="447"/>
      <c r="BC319" s="447"/>
      <c r="BD319" s="447"/>
      <c r="BE319" s="442"/>
      <c r="BF319" s="442"/>
      <c r="BG319" s="447"/>
      <c r="BH319" s="447"/>
      <c r="BI319" s="442">
        <v>12</v>
      </c>
      <c r="BJ319" s="442">
        <v>3.9</v>
      </c>
      <c r="BK319" s="442"/>
      <c r="BL319" s="442"/>
      <c r="BM319" s="442"/>
      <c r="BN319" s="442"/>
      <c r="BO319" s="442"/>
      <c r="BP319" s="442"/>
      <c r="BQ319" s="442">
        <v>16</v>
      </c>
      <c r="BR319" s="442">
        <v>13.6</v>
      </c>
      <c r="BS319" s="447"/>
      <c r="BT319" s="447"/>
      <c r="BU319" s="447"/>
      <c r="BV319" s="550"/>
      <c r="BW319" s="550"/>
      <c r="BX319" s="757"/>
      <c r="BY319" s="850"/>
      <c r="BZ319" s="850"/>
      <c r="CA319" s="850"/>
      <c r="CB319" s="850"/>
      <c r="CC319" s="850"/>
      <c r="CD319" s="850"/>
      <c r="CE319" s="850"/>
      <c r="CF319" s="850"/>
      <c r="CG319" s="36"/>
      <c r="CH319" s="419" t="s">
        <v>1158</v>
      </c>
      <c r="CI319" s="406"/>
      <c r="CJ319" s="23"/>
      <c r="CK319" s="431"/>
      <c r="CL319" s="572"/>
      <c r="CM319" s="431"/>
      <c r="CN319" s="128"/>
      <c r="CO319" s="128"/>
      <c r="CP319" s="128"/>
      <c r="CQ319" s="128"/>
      <c r="CR319" s="406"/>
      <c r="CS319" s="431"/>
      <c r="CU319" s="23"/>
      <c r="CV319" s="23"/>
      <c r="CW319" s="23"/>
      <c r="CX319" s="23"/>
      <c r="DA319" s="648"/>
    </row>
    <row r="320" spans="1:105" s="35" customFormat="1" ht="12" customHeight="1" x14ac:dyDescent="0.2">
      <c r="A320" s="651"/>
      <c r="B320" s="537"/>
      <c r="C320" s="390" t="s">
        <v>1161</v>
      </c>
      <c r="D320" s="36"/>
      <c r="E320" s="647" t="s">
        <v>14</v>
      </c>
      <c r="F320" s="647"/>
      <c r="G320" s="237"/>
      <c r="H320" s="186"/>
      <c r="I320" s="533">
        <v>2007</v>
      </c>
      <c r="J320" s="390"/>
      <c r="K320" s="390"/>
      <c r="L320" s="494" t="s">
        <v>244</v>
      </c>
      <c r="M320" s="247" t="s">
        <v>17</v>
      </c>
      <c r="N320" s="494" t="s">
        <v>783</v>
      </c>
      <c r="O320" s="98" t="s">
        <v>1536</v>
      </c>
      <c r="P320" s="98">
        <v>15</v>
      </c>
      <c r="Q320" s="247"/>
      <c r="R320" s="291"/>
      <c r="S320" s="291"/>
      <c r="T320" s="291"/>
      <c r="U320" s="170"/>
      <c r="V320" s="692"/>
      <c r="W320" s="700"/>
      <c r="X320" s="254"/>
      <c r="Y320" s="271"/>
      <c r="Z320" s="271"/>
      <c r="AA320" s="271"/>
      <c r="AB320" s="271"/>
      <c r="AC320" s="271"/>
      <c r="AD320" s="271"/>
      <c r="AE320" s="271"/>
      <c r="AF320" s="271"/>
      <c r="AG320" s="271"/>
      <c r="AH320" s="271"/>
      <c r="AI320" s="271"/>
      <c r="AJ320" s="271"/>
      <c r="AK320" s="271"/>
      <c r="AL320" s="271"/>
      <c r="AM320" s="271"/>
      <c r="AN320" s="271"/>
      <c r="AO320" s="271"/>
      <c r="AP320" s="271"/>
      <c r="AQ320" s="271"/>
      <c r="AR320" s="271"/>
      <c r="AS320" s="271"/>
      <c r="AT320" s="271"/>
      <c r="AU320" s="271"/>
      <c r="AV320" s="271"/>
      <c r="AW320" s="271"/>
      <c r="AX320" s="271"/>
      <c r="AY320" s="271"/>
      <c r="AZ320" s="271"/>
      <c r="BA320" s="271"/>
      <c r="BB320" s="271"/>
      <c r="BC320" s="271"/>
      <c r="BD320" s="271"/>
      <c r="BE320" s="442"/>
      <c r="BF320" s="442"/>
      <c r="BG320" s="271"/>
      <c r="BH320" s="271"/>
      <c r="BI320" s="442"/>
      <c r="BJ320" s="442"/>
      <c r="BK320" s="442"/>
      <c r="BL320" s="442"/>
      <c r="BM320" s="442"/>
      <c r="BN320" s="442"/>
      <c r="BO320" s="442"/>
      <c r="BP320" s="442"/>
      <c r="BQ320" s="444"/>
      <c r="BR320" s="444"/>
      <c r="BS320" s="447"/>
      <c r="BT320" s="447"/>
      <c r="BU320" s="447"/>
      <c r="BV320" s="550"/>
      <c r="BW320" s="550"/>
      <c r="BX320" s="757"/>
      <c r="BY320" s="850"/>
      <c r="BZ320" s="850"/>
      <c r="CA320" s="850"/>
      <c r="CB320" s="850"/>
      <c r="CC320" s="850"/>
      <c r="CD320" s="850"/>
      <c r="CE320" s="850"/>
      <c r="CF320" s="850"/>
      <c r="CG320" s="36"/>
      <c r="CH320" s="419" t="s">
        <v>1158</v>
      </c>
      <c r="CI320" s="406"/>
      <c r="CJ320" s="23"/>
      <c r="CK320" s="431"/>
      <c r="CL320" s="572"/>
      <c r="CM320" s="431"/>
      <c r="CN320" s="128"/>
      <c r="CO320" s="128"/>
      <c r="CP320" s="128"/>
      <c r="CQ320" s="128"/>
      <c r="CR320" s="406"/>
      <c r="CS320" s="431"/>
      <c r="CU320" s="23"/>
      <c r="CV320" s="23"/>
      <c r="CW320" s="23"/>
      <c r="CX320" s="23"/>
      <c r="DA320" s="648"/>
    </row>
    <row r="321" spans="1:105" s="35" customFormat="1" ht="12" customHeight="1" x14ac:dyDescent="0.2">
      <c r="A321" s="651"/>
      <c r="B321" s="537"/>
      <c r="C321" s="97" t="s">
        <v>50</v>
      </c>
      <c r="D321" s="169" t="s">
        <v>1132</v>
      </c>
      <c r="E321" s="647" t="s">
        <v>54</v>
      </c>
      <c r="F321" s="647"/>
      <c r="G321" s="98"/>
      <c r="H321" s="97"/>
      <c r="I321" s="166">
        <v>1996</v>
      </c>
      <c r="J321" s="571"/>
      <c r="K321" s="571"/>
      <c r="L321" s="493"/>
      <c r="M321" s="98" t="s">
        <v>15</v>
      </c>
      <c r="N321" s="493"/>
      <c r="O321" s="494" t="s">
        <v>1776</v>
      </c>
      <c r="P321" s="98"/>
      <c r="Q321" s="98"/>
      <c r="R321" s="121">
        <v>28.27</v>
      </c>
      <c r="S321" s="121"/>
      <c r="T321" s="121"/>
      <c r="U321" s="393">
        <v>650</v>
      </c>
      <c r="V321" s="694"/>
      <c r="W321" s="711"/>
      <c r="X321" s="167"/>
      <c r="Y321" s="446"/>
      <c r="Z321" s="446"/>
      <c r="AA321" s="446"/>
      <c r="AB321" s="446"/>
      <c r="AC321" s="446"/>
      <c r="AD321" s="446"/>
      <c r="AE321" s="446"/>
      <c r="AF321" s="446"/>
      <c r="AG321" s="446"/>
      <c r="AH321" s="446"/>
      <c r="AI321" s="446"/>
      <c r="AJ321" s="446"/>
      <c r="AK321" s="446"/>
      <c r="AL321" s="446"/>
      <c r="AM321" s="446"/>
      <c r="AN321" s="446"/>
      <c r="AO321" s="446"/>
      <c r="AP321" s="446"/>
      <c r="AQ321" s="446"/>
      <c r="AR321" s="446"/>
      <c r="AS321" s="446"/>
      <c r="AT321" s="446"/>
      <c r="AU321" s="446"/>
      <c r="AV321" s="446"/>
      <c r="AW321" s="446"/>
      <c r="AX321" s="446"/>
      <c r="AY321" s="446"/>
      <c r="AZ321" s="446"/>
      <c r="BA321" s="446"/>
      <c r="BB321" s="446"/>
      <c r="BC321" s="446"/>
      <c r="BD321" s="446"/>
      <c r="BE321" s="445"/>
      <c r="BF321" s="445"/>
      <c r="BG321" s="446"/>
      <c r="BH321" s="446"/>
      <c r="BI321" s="442">
        <v>27</v>
      </c>
      <c r="BJ321" s="445"/>
      <c r="BK321" s="445"/>
      <c r="BL321" s="445"/>
      <c r="BM321" s="445"/>
      <c r="BN321" s="445"/>
      <c r="BO321" s="445"/>
      <c r="BP321" s="445"/>
      <c r="BQ321" s="444"/>
      <c r="BR321" s="444"/>
      <c r="BS321" s="442"/>
      <c r="BT321" s="445"/>
      <c r="BU321" s="445"/>
      <c r="BV321" s="445"/>
      <c r="BW321" s="445"/>
      <c r="BX321" s="756"/>
      <c r="BY321" s="850"/>
      <c r="BZ321" s="850"/>
      <c r="CA321" s="850"/>
      <c r="CB321" s="850"/>
      <c r="CC321" s="850"/>
      <c r="CD321" s="850"/>
      <c r="CE321" s="850"/>
      <c r="CF321" s="850"/>
      <c r="CG321" s="169" t="s">
        <v>523</v>
      </c>
      <c r="CH321" s="417"/>
      <c r="CI321" s="406"/>
      <c r="CJ321" s="23"/>
      <c r="CK321" s="426" t="s">
        <v>1041</v>
      </c>
      <c r="CL321" s="572"/>
      <c r="CM321" s="648"/>
      <c r="CR321" s="406"/>
      <c r="CS321" s="648"/>
      <c r="CU321" s="23"/>
      <c r="CV321" s="23"/>
      <c r="CW321" s="23"/>
      <c r="CX321" s="23"/>
      <c r="DA321" s="648"/>
    </row>
    <row r="322" spans="1:105" s="35" customFormat="1" ht="12" customHeight="1" x14ac:dyDescent="0.2">
      <c r="A322" s="651"/>
      <c r="B322" s="537"/>
      <c r="C322" s="97" t="s">
        <v>50</v>
      </c>
      <c r="D322" s="169" t="s">
        <v>1132</v>
      </c>
      <c r="E322" s="647" t="s">
        <v>55</v>
      </c>
      <c r="F322" s="647"/>
      <c r="G322" s="98"/>
      <c r="H322" s="97"/>
      <c r="I322" s="166">
        <v>1996</v>
      </c>
      <c r="J322" s="571"/>
      <c r="K322" s="571"/>
      <c r="L322" s="493"/>
      <c r="M322" s="98" t="s">
        <v>15</v>
      </c>
      <c r="N322" s="493"/>
      <c r="O322" s="494" t="s">
        <v>1776</v>
      </c>
      <c r="P322" s="98"/>
      <c r="Q322" s="98"/>
      <c r="R322" s="121">
        <v>28.27</v>
      </c>
      <c r="S322" s="121"/>
      <c r="T322" s="121"/>
      <c r="U322" s="393">
        <v>1064</v>
      </c>
      <c r="V322" s="694"/>
      <c r="W322" s="711"/>
      <c r="X322" s="167"/>
      <c r="Y322" s="446"/>
      <c r="Z322" s="446"/>
      <c r="AA322" s="446"/>
      <c r="AB322" s="446"/>
      <c r="AC322" s="446"/>
      <c r="AD322" s="446"/>
      <c r="AE322" s="446"/>
      <c r="AF322" s="446"/>
      <c r="AG322" s="446"/>
      <c r="AH322" s="446"/>
      <c r="AI322" s="446"/>
      <c r="AJ322" s="446"/>
      <c r="AK322" s="446"/>
      <c r="AL322" s="446"/>
      <c r="AM322" s="446"/>
      <c r="AN322" s="446"/>
      <c r="AO322" s="446"/>
      <c r="AP322" s="446"/>
      <c r="AQ322" s="446"/>
      <c r="AR322" s="446"/>
      <c r="AS322" s="446"/>
      <c r="AT322" s="446"/>
      <c r="AU322" s="446"/>
      <c r="AV322" s="446"/>
      <c r="AW322" s="446"/>
      <c r="AX322" s="446"/>
      <c r="AY322" s="446"/>
      <c r="AZ322" s="446"/>
      <c r="BA322" s="446"/>
      <c r="BB322" s="446"/>
      <c r="BC322" s="446"/>
      <c r="BD322" s="446"/>
      <c r="BE322" s="445"/>
      <c r="BF322" s="445"/>
      <c r="BG322" s="446"/>
      <c r="BH322" s="446"/>
      <c r="BI322" s="442">
        <v>17</v>
      </c>
      <c r="BJ322" s="445"/>
      <c r="BK322" s="445"/>
      <c r="BL322" s="445"/>
      <c r="BM322" s="445"/>
      <c r="BN322" s="445"/>
      <c r="BO322" s="445"/>
      <c r="BP322" s="445"/>
      <c r="BQ322" s="444"/>
      <c r="BR322" s="444"/>
      <c r="BS322" s="442"/>
      <c r="BT322" s="445"/>
      <c r="BU322" s="445"/>
      <c r="BV322" s="445"/>
      <c r="BW322" s="445"/>
      <c r="BX322" s="756"/>
      <c r="BY322" s="850"/>
      <c r="BZ322" s="850"/>
      <c r="CA322" s="850"/>
      <c r="CB322" s="850"/>
      <c r="CC322" s="850"/>
      <c r="CD322" s="850"/>
      <c r="CE322" s="850"/>
      <c r="CF322" s="850"/>
      <c r="CG322" s="169" t="s">
        <v>523</v>
      </c>
      <c r="CH322" s="417"/>
      <c r="CI322" s="406"/>
      <c r="CJ322" s="23"/>
      <c r="CK322" s="426" t="s">
        <v>1041</v>
      </c>
      <c r="CL322" s="572"/>
      <c r="CM322" s="648"/>
      <c r="CR322" s="406"/>
      <c r="CS322" s="648"/>
      <c r="CU322" s="23"/>
      <c r="CV322" s="23"/>
      <c r="CW322" s="23"/>
      <c r="CX322" s="23"/>
      <c r="DA322" s="648"/>
    </row>
    <row r="323" spans="1:105" s="35" customFormat="1" ht="12" customHeight="1" x14ac:dyDescent="0.2">
      <c r="A323" s="651"/>
      <c r="B323" s="537"/>
      <c r="C323" s="97" t="s">
        <v>50</v>
      </c>
      <c r="D323" s="169" t="s">
        <v>1132</v>
      </c>
      <c r="E323" s="647"/>
      <c r="F323" s="647"/>
      <c r="G323" s="98"/>
      <c r="H323" s="97"/>
      <c r="I323" s="166">
        <v>1999</v>
      </c>
      <c r="J323" s="571"/>
      <c r="K323" s="571"/>
      <c r="L323" s="493"/>
      <c r="M323" s="98" t="s">
        <v>15</v>
      </c>
      <c r="N323" s="493"/>
      <c r="O323" s="494" t="s">
        <v>1778</v>
      </c>
      <c r="P323" s="98">
        <v>10</v>
      </c>
      <c r="Q323" s="98"/>
      <c r="R323" s="167"/>
      <c r="S323" s="167"/>
      <c r="T323" s="167"/>
      <c r="U323" s="393">
        <v>2418</v>
      </c>
      <c r="V323" s="694"/>
      <c r="W323" s="711"/>
      <c r="X323" s="167"/>
      <c r="Y323" s="446"/>
      <c r="Z323" s="446"/>
      <c r="AA323" s="446"/>
      <c r="AB323" s="446"/>
      <c r="AC323" s="446"/>
      <c r="AD323" s="446"/>
      <c r="AE323" s="446"/>
      <c r="AF323" s="446"/>
      <c r="AG323" s="446"/>
      <c r="AH323" s="446"/>
      <c r="AI323" s="446"/>
      <c r="AJ323" s="446"/>
      <c r="AK323" s="446"/>
      <c r="AL323" s="446"/>
      <c r="AM323" s="446"/>
      <c r="AN323" s="446"/>
      <c r="AO323" s="446"/>
      <c r="AP323" s="446"/>
      <c r="AQ323" s="446"/>
      <c r="AR323" s="446"/>
      <c r="AS323" s="446"/>
      <c r="AT323" s="446"/>
      <c r="AU323" s="446"/>
      <c r="AV323" s="446"/>
      <c r="AW323" s="446"/>
      <c r="AX323" s="446"/>
      <c r="AY323" s="446"/>
      <c r="AZ323" s="446"/>
      <c r="BA323" s="446"/>
      <c r="BB323" s="446"/>
      <c r="BC323" s="446"/>
      <c r="BD323" s="446"/>
      <c r="BE323" s="445"/>
      <c r="BF323" s="445"/>
      <c r="BG323" s="446"/>
      <c r="BH323" s="446"/>
      <c r="BI323" s="445">
        <v>6.7</v>
      </c>
      <c r="BJ323" s="445"/>
      <c r="BK323" s="445"/>
      <c r="BL323" s="445"/>
      <c r="BM323" s="445"/>
      <c r="BN323" s="445"/>
      <c r="BO323" s="445"/>
      <c r="BP323" s="445"/>
      <c r="BQ323" s="444"/>
      <c r="BR323" s="444"/>
      <c r="BS323" s="446"/>
      <c r="BT323" s="446"/>
      <c r="BU323" s="446"/>
      <c r="BV323" s="442"/>
      <c r="BW323" s="442"/>
      <c r="BX323" s="756"/>
      <c r="BY323" s="850"/>
      <c r="BZ323" s="850"/>
      <c r="CA323" s="850"/>
      <c r="CB323" s="850"/>
      <c r="CC323" s="850"/>
      <c r="CD323" s="850"/>
      <c r="CE323" s="850"/>
      <c r="CF323" s="850"/>
      <c r="CG323" s="169" t="s">
        <v>957</v>
      </c>
      <c r="CH323" s="417"/>
      <c r="CI323" s="406"/>
      <c r="CJ323" s="23"/>
      <c r="CK323" s="417" t="s">
        <v>1044</v>
      </c>
      <c r="CL323" s="572"/>
      <c r="CM323" s="648"/>
      <c r="CR323" s="406"/>
      <c r="CS323" s="648"/>
      <c r="CU323" s="23"/>
      <c r="CV323" s="23"/>
      <c r="CW323" s="23"/>
      <c r="CX323" s="23"/>
      <c r="DA323" s="648"/>
    </row>
    <row r="324" spans="1:105" s="35" customFormat="1" ht="12" customHeight="1" x14ac:dyDescent="0.2">
      <c r="A324" s="651"/>
      <c r="B324" s="537"/>
      <c r="C324" s="97" t="s">
        <v>50</v>
      </c>
      <c r="D324" s="169" t="s">
        <v>1132</v>
      </c>
      <c r="E324" s="647" t="s">
        <v>859</v>
      </c>
      <c r="F324" s="647"/>
      <c r="G324" s="237"/>
      <c r="H324" s="186"/>
      <c r="I324" s="166">
        <v>2001</v>
      </c>
      <c r="J324" s="390"/>
      <c r="K324" s="390"/>
      <c r="L324" s="493"/>
      <c r="M324" s="98"/>
      <c r="N324" s="493"/>
      <c r="O324" s="247" t="s">
        <v>1625</v>
      </c>
      <c r="P324" s="247">
        <v>19</v>
      </c>
      <c r="Q324" s="98"/>
      <c r="R324" s="167"/>
      <c r="S324" s="167"/>
      <c r="T324" s="167"/>
      <c r="U324" s="393">
        <v>1255</v>
      </c>
      <c r="V324" s="694"/>
      <c r="W324" s="711"/>
      <c r="X324" s="254"/>
      <c r="Y324" s="446"/>
      <c r="Z324" s="446"/>
      <c r="AA324" s="446"/>
      <c r="AB324" s="446"/>
      <c r="AC324" s="446"/>
      <c r="AD324" s="446"/>
      <c r="AE324" s="446"/>
      <c r="AF324" s="446"/>
      <c r="AG324" s="446"/>
      <c r="AH324" s="446"/>
      <c r="AI324" s="446"/>
      <c r="AJ324" s="446"/>
      <c r="AK324" s="446"/>
      <c r="AL324" s="446"/>
      <c r="AM324" s="446"/>
      <c r="AN324" s="446"/>
      <c r="AO324" s="446"/>
      <c r="AP324" s="446"/>
      <c r="AQ324" s="446"/>
      <c r="AR324" s="446"/>
      <c r="AS324" s="446"/>
      <c r="AT324" s="446"/>
      <c r="AU324" s="446"/>
      <c r="AV324" s="446"/>
      <c r="AW324" s="446"/>
      <c r="AX324" s="446"/>
      <c r="AY324" s="446"/>
      <c r="AZ324" s="446"/>
      <c r="BA324" s="446"/>
      <c r="BB324" s="446"/>
      <c r="BC324" s="446"/>
      <c r="BD324" s="446"/>
      <c r="BE324" s="442"/>
      <c r="BF324" s="442"/>
      <c r="BG324" s="446"/>
      <c r="BH324" s="446"/>
      <c r="BI324" s="442"/>
      <c r="BJ324" s="442"/>
      <c r="BK324" s="442"/>
      <c r="BL324" s="442"/>
      <c r="BM324" s="442"/>
      <c r="BN324" s="442"/>
      <c r="BO324" s="442"/>
      <c r="BP324" s="442"/>
      <c r="BQ324" s="442"/>
      <c r="BR324" s="442"/>
      <c r="BS324" s="442">
        <v>14</v>
      </c>
      <c r="BT324" s="446"/>
      <c r="BU324" s="446"/>
      <c r="BV324" s="442"/>
      <c r="BW324" s="442"/>
      <c r="BX324" s="756"/>
      <c r="BY324" s="850"/>
      <c r="BZ324" s="850"/>
      <c r="CA324" s="850"/>
      <c r="CB324" s="850"/>
      <c r="CC324" s="850"/>
      <c r="CD324" s="850"/>
      <c r="CE324" s="850"/>
      <c r="CF324" s="850"/>
      <c r="CG324" s="169" t="s">
        <v>957</v>
      </c>
      <c r="CH324" s="417"/>
      <c r="CI324" s="406"/>
      <c r="CJ324" s="23"/>
      <c r="CK324" s="417" t="s">
        <v>1044</v>
      </c>
      <c r="CL324" s="572"/>
      <c r="CM324" s="648"/>
      <c r="CR324" s="406"/>
      <c r="CS324" s="648"/>
      <c r="CU324" s="23"/>
      <c r="CV324" s="23"/>
      <c r="CW324" s="23"/>
      <c r="CX324" s="23"/>
      <c r="DA324" s="648"/>
    </row>
    <row r="325" spans="1:105" s="35" customFormat="1" ht="12" customHeight="1" x14ac:dyDescent="0.2">
      <c r="A325" s="651"/>
      <c r="B325" s="537"/>
      <c r="C325" s="97" t="s">
        <v>50</v>
      </c>
      <c r="D325" s="169" t="s">
        <v>1132</v>
      </c>
      <c r="E325" s="647" t="s">
        <v>804</v>
      </c>
      <c r="F325" s="647"/>
      <c r="G325" s="98"/>
      <c r="H325" s="97"/>
      <c r="I325" s="166">
        <v>2002</v>
      </c>
      <c r="J325" s="571"/>
      <c r="K325" s="571"/>
      <c r="L325" s="493"/>
      <c r="M325" s="98" t="s">
        <v>78</v>
      </c>
      <c r="N325" s="493"/>
      <c r="O325" s="247" t="s">
        <v>1538</v>
      </c>
      <c r="P325" s="247">
        <v>13</v>
      </c>
      <c r="Q325" s="98"/>
      <c r="R325" s="167"/>
      <c r="S325" s="167"/>
      <c r="T325" s="167"/>
      <c r="U325" s="393">
        <v>1780</v>
      </c>
      <c r="V325" s="694"/>
      <c r="W325" s="711"/>
      <c r="X325" s="167"/>
      <c r="Y325" s="446"/>
      <c r="Z325" s="446"/>
      <c r="AA325" s="446"/>
      <c r="AB325" s="446"/>
      <c r="AC325" s="446"/>
      <c r="AD325" s="446"/>
      <c r="AE325" s="446"/>
      <c r="AF325" s="446"/>
      <c r="AG325" s="446"/>
      <c r="AH325" s="446"/>
      <c r="AI325" s="446"/>
      <c r="AJ325" s="446"/>
      <c r="AK325" s="446"/>
      <c r="AL325" s="446"/>
      <c r="AM325" s="446"/>
      <c r="AN325" s="446"/>
      <c r="AO325" s="446"/>
      <c r="AP325" s="446"/>
      <c r="AQ325" s="446"/>
      <c r="AR325" s="446"/>
      <c r="AS325" s="446"/>
      <c r="AT325" s="446"/>
      <c r="AU325" s="446"/>
      <c r="AV325" s="446"/>
      <c r="AW325" s="446"/>
      <c r="AX325" s="446"/>
      <c r="AY325" s="446"/>
      <c r="AZ325" s="446"/>
      <c r="BA325" s="446"/>
      <c r="BB325" s="446"/>
      <c r="BC325" s="446"/>
      <c r="BD325" s="446"/>
      <c r="BE325" s="444"/>
      <c r="BF325" s="444"/>
      <c r="BG325" s="446"/>
      <c r="BH325" s="446"/>
      <c r="BI325" s="446"/>
      <c r="BJ325" s="444"/>
      <c r="BK325" s="444"/>
      <c r="BL325" s="444"/>
      <c r="BM325" s="444"/>
      <c r="BN325" s="444"/>
      <c r="BO325" s="444"/>
      <c r="BP325" s="444"/>
      <c r="BQ325" s="442">
        <v>26.3</v>
      </c>
      <c r="BR325" s="445">
        <v>9</v>
      </c>
      <c r="BS325" s="446"/>
      <c r="BT325" s="271"/>
      <c r="BU325" s="271"/>
      <c r="BV325" s="454"/>
      <c r="BW325" s="454"/>
      <c r="BX325" s="756"/>
      <c r="BY325" s="850"/>
      <c r="BZ325" s="850"/>
      <c r="CA325" s="850"/>
      <c r="CB325" s="850"/>
      <c r="CC325" s="850"/>
      <c r="CD325" s="850"/>
      <c r="CE325" s="850"/>
      <c r="CF325" s="850"/>
      <c r="CG325" s="169" t="s">
        <v>975</v>
      </c>
      <c r="CH325" s="427" t="s">
        <v>874</v>
      </c>
      <c r="CI325" s="406"/>
      <c r="CJ325" s="23"/>
      <c r="CK325" s="648" t="s">
        <v>806</v>
      </c>
      <c r="CL325" s="572"/>
      <c r="CM325" s="648"/>
      <c r="CR325" s="406"/>
      <c r="CS325" s="648"/>
      <c r="CU325" s="23"/>
      <c r="CV325" s="23"/>
      <c r="CW325" s="23"/>
      <c r="CX325" s="23"/>
      <c r="DA325" s="648"/>
    </row>
    <row r="326" spans="1:105" s="35" customFormat="1" ht="12" customHeight="1" x14ac:dyDescent="0.2">
      <c r="A326" s="651"/>
      <c r="B326" s="537"/>
      <c r="C326" s="97" t="s">
        <v>50</v>
      </c>
      <c r="D326" s="169" t="s">
        <v>1132</v>
      </c>
      <c r="E326" s="647" t="s">
        <v>14</v>
      </c>
      <c r="F326" s="647"/>
      <c r="G326" s="98"/>
      <c r="H326" s="97"/>
      <c r="I326" s="166">
        <v>2003</v>
      </c>
      <c r="J326" s="571"/>
      <c r="K326" s="571"/>
      <c r="L326" s="493"/>
      <c r="M326" s="98" t="s">
        <v>18</v>
      </c>
      <c r="N326" s="493"/>
      <c r="O326" s="247" t="s">
        <v>1733</v>
      </c>
      <c r="P326" s="247">
        <v>20</v>
      </c>
      <c r="Q326" s="98"/>
      <c r="R326" s="167"/>
      <c r="S326" s="167"/>
      <c r="T326" s="167"/>
      <c r="U326" s="393">
        <v>34184</v>
      </c>
      <c r="V326" s="694"/>
      <c r="W326" s="711"/>
      <c r="X326" s="167"/>
      <c r="Y326" s="446"/>
      <c r="Z326" s="446"/>
      <c r="AA326" s="446"/>
      <c r="AB326" s="446"/>
      <c r="AC326" s="446"/>
      <c r="AD326" s="446"/>
      <c r="AE326" s="446"/>
      <c r="AF326" s="446"/>
      <c r="AG326" s="446"/>
      <c r="AH326" s="446"/>
      <c r="AI326" s="446"/>
      <c r="AJ326" s="446"/>
      <c r="AK326" s="446"/>
      <c r="AL326" s="446"/>
      <c r="AM326" s="446"/>
      <c r="AN326" s="446"/>
      <c r="AO326" s="446"/>
      <c r="AP326" s="446"/>
      <c r="AQ326" s="446"/>
      <c r="AR326" s="446"/>
      <c r="AS326" s="446"/>
      <c r="AT326" s="446"/>
      <c r="AU326" s="446"/>
      <c r="AV326" s="446"/>
      <c r="AW326" s="446"/>
      <c r="AX326" s="446"/>
      <c r="AY326" s="446"/>
      <c r="AZ326" s="446"/>
      <c r="BA326" s="446"/>
      <c r="BB326" s="446"/>
      <c r="BC326" s="446"/>
      <c r="BD326" s="446"/>
      <c r="BE326" s="445"/>
      <c r="BF326" s="445"/>
      <c r="BG326" s="446"/>
      <c r="BH326" s="446"/>
      <c r="BI326" s="445"/>
      <c r="BJ326" s="445">
        <v>9</v>
      </c>
      <c r="BK326" s="445"/>
      <c r="BL326" s="445"/>
      <c r="BM326" s="445"/>
      <c r="BN326" s="445"/>
      <c r="BO326" s="445"/>
      <c r="BP326" s="445"/>
      <c r="BQ326" s="271"/>
      <c r="BR326" s="271"/>
      <c r="BS326" s="271"/>
      <c r="BT326" s="271"/>
      <c r="BU326" s="271"/>
      <c r="BV326" s="454"/>
      <c r="BW326" s="454"/>
      <c r="BX326" s="756"/>
      <c r="BY326" s="850"/>
      <c r="BZ326" s="850"/>
      <c r="CA326" s="850"/>
      <c r="CB326" s="850"/>
      <c r="CC326" s="850"/>
      <c r="CD326" s="850"/>
      <c r="CE326" s="850"/>
      <c r="CF326" s="850"/>
      <c r="CG326" s="169" t="s">
        <v>523</v>
      </c>
      <c r="CH326" s="417"/>
      <c r="CI326" s="406"/>
      <c r="CJ326" s="23"/>
      <c r="CK326" s="426" t="s">
        <v>1041</v>
      </c>
      <c r="CL326" s="572"/>
      <c r="CM326" s="648"/>
      <c r="CR326" s="406"/>
      <c r="CS326" s="648"/>
      <c r="CU326" s="23"/>
      <c r="CV326" s="23"/>
      <c r="CW326" s="23"/>
      <c r="CX326" s="23"/>
      <c r="DA326" s="648"/>
    </row>
    <row r="327" spans="1:105" s="35" customFormat="1" ht="12" customHeight="1" x14ac:dyDescent="0.2">
      <c r="A327" s="651"/>
      <c r="B327" s="537"/>
      <c r="C327" s="97" t="s">
        <v>50</v>
      </c>
      <c r="D327" s="169" t="s">
        <v>1132</v>
      </c>
      <c r="E327" s="647"/>
      <c r="F327" s="647"/>
      <c r="G327" s="98"/>
      <c r="H327" s="97"/>
      <c r="I327" s="166">
        <v>2004</v>
      </c>
      <c r="J327" s="571"/>
      <c r="K327" s="571"/>
      <c r="L327" s="493"/>
      <c r="M327" s="98"/>
      <c r="N327" s="493"/>
      <c r="O327" s="247" t="s">
        <v>1733</v>
      </c>
      <c r="P327" s="247">
        <v>20</v>
      </c>
      <c r="Q327" s="98"/>
      <c r="R327" s="167"/>
      <c r="S327" s="167"/>
      <c r="T327" s="167"/>
      <c r="U327" s="393">
        <v>1641</v>
      </c>
      <c r="V327" s="694"/>
      <c r="W327" s="711"/>
      <c r="X327" s="167"/>
      <c r="Y327" s="446"/>
      <c r="Z327" s="446"/>
      <c r="AA327" s="446"/>
      <c r="AB327" s="446"/>
      <c r="AC327" s="446"/>
      <c r="AD327" s="446"/>
      <c r="AE327" s="446"/>
      <c r="AF327" s="446"/>
      <c r="AG327" s="446"/>
      <c r="AH327" s="446"/>
      <c r="AI327" s="446"/>
      <c r="AJ327" s="446"/>
      <c r="AK327" s="446"/>
      <c r="AL327" s="446"/>
      <c r="AM327" s="446"/>
      <c r="AN327" s="446"/>
      <c r="AO327" s="446"/>
      <c r="AP327" s="446"/>
      <c r="AQ327" s="446"/>
      <c r="AR327" s="446"/>
      <c r="AS327" s="446"/>
      <c r="AT327" s="446"/>
      <c r="AU327" s="446"/>
      <c r="AV327" s="446"/>
      <c r="AW327" s="446"/>
      <c r="AX327" s="446"/>
      <c r="AY327" s="446"/>
      <c r="AZ327" s="446"/>
      <c r="BA327" s="446"/>
      <c r="BB327" s="446"/>
      <c r="BC327" s="446"/>
      <c r="BD327" s="446"/>
      <c r="BE327" s="442"/>
      <c r="BF327" s="442"/>
      <c r="BG327" s="446"/>
      <c r="BH327" s="446"/>
      <c r="BI327" s="442"/>
      <c r="BJ327" s="442"/>
      <c r="BK327" s="442"/>
      <c r="BL327" s="442"/>
      <c r="BM327" s="442"/>
      <c r="BN327" s="442"/>
      <c r="BO327" s="442"/>
      <c r="BP327" s="442"/>
      <c r="BQ327" s="442"/>
      <c r="BR327" s="442"/>
      <c r="BS327" s="442">
        <v>35.799999999999997</v>
      </c>
      <c r="BT327" s="446"/>
      <c r="BU327" s="446"/>
      <c r="BV327" s="442"/>
      <c r="BW327" s="442"/>
      <c r="BX327" s="756"/>
      <c r="BY327" s="850"/>
      <c r="BZ327" s="850"/>
      <c r="CA327" s="850"/>
      <c r="CB327" s="850"/>
      <c r="CC327" s="850"/>
      <c r="CD327" s="850"/>
      <c r="CE327" s="850"/>
      <c r="CF327" s="850"/>
      <c r="CG327" s="169" t="s">
        <v>957</v>
      </c>
      <c r="CH327" s="417"/>
      <c r="CI327" s="406"/>
      <c r="CJ327" s="23"/>
      <c r="CK327" s="417" t="s">
        <v>1044</v>
      </c>
      <c r="CL327" s="572"/>
      <c r="CM327" s="431"/>
      <c r="CN327" s="128"/>
      <c r="CO327" s="128"/>
      <c r="CP327" s="128"/>
      <c r="CQ327" s="128"/>
      <c r="CR327" s="406"/>
      <c r="CS327" s="431"/>
      <c r="CU327" s="23"/>
      <c r="CV327" s="23"/>
      <c r="CW327" s="23"/>
      <c r="CX327" s="23"/>
      <c r="DA327" s="648"/>
    </row>
    <row r="328" spans="1:105" s="35" customFormat="1" ht="12" customHeight="1" x14ac:dyDescent="0.2">
      <c r="A328" s="651"/>
      <c r="B328" s="537"/>
      <c r="C328" s="97" t="s">
        <v>50</v>
      </c>
      <c r="D328" s="237" t="s">
        <v>1132</v>
      </c>
      <c r="E328" s="647" t="s">
        <v>14</v>
      </c>
      <c r="F328" s="647"/>
      <c r="G328" s="237"/>
      <c r="H328" s="186"/>
      <c r="I328" s="166">
        <v>2006</v>
      </c>
      <c r="J328" s="390"/>
      <c r="K328" s="390"/>
      <c r="L328" s="494" t="s">
        <v>681</v>
      </c>
      <c r="M328" s="237" t="s">
        <v>18</v>
      </c>
      <c r="N328" s="494"/>
      <c r="O328" s="247" t="s">
        <v>1536</v>
      </c>
      <c r="P328" s="247">
        <v>15</v>
      </c>
      <c r="Q328" s="98"/>
      <c r="R328" s="167"/>
      <c r="S328" s="167"/>
      <c r="T328" s="167"/>
      <c r="U328" s="397">
        <v>83159</v>
      </c>
      <c r="V328" s="694"/>
      <c r="W328" s="713"/>
      <c r="X328" s="254"/>
      <c r="Y328" s="472"/>
      <c r="Z328" s="472"/>
      <c r="AA328" s="472"/>
      <c r="AB328" s="472"/>
      <c r="AC328" s="472"/>
      <c r="AD328" s="472"/>
      <c r="AE328" s="472"/>
      <c r="AF328" s="472"/>
      <c r="AG328" s="472"/>
      <c r="AH328" s="472"/>
      <c r="AI328" s="472"/>
      <c r="AJ328" s="472"/>
      <c r="AK328" s="472"/>
      <c r="AL328" s="472"/>
      <c r="AM328" s="472"/>
      <c r="AN328" s="472"/>
      <c r="AO328" s="472"/>
      <c r="AP328" s="472"/>
      <c r="AQ328" s="472"/>
      <c r="AR328" s="472"/>
      <c r="AS328" s="472"/>
      <c r="AT328" s="472"/>
      <c r="AU328" s="472"/>
      <c r="AV328" s="472"/>
      <c r="AW328" s="472"/>
      <c r="AX328" s="472"/>
      <c r="AY328" s="472"/>
      <c r="AZ328" s="472"/>
      <c r="BA328" s="472"/>
      <c r="BB328" s="472"/>
      <c r="BC328" s="472"/>
      <c r="BD328" s="472"/>
      <c r="BE328" s="455"/>
      <c r="BF328" s="455"/>
      <c r="BG328" s="472"/>
      <c r="BH328" s="472"/>
      <c r="BI328" s="442">
        <v>20.8</v>
      </c>
      <c r="BJ328" s="455">
        <v>10.199999999999999</v>
      </c>
      <c r="BK328" s="455"/>
      <c r="BL328" s="455"/>
      <c r="BM328" s="455"/>
      <c r="BN328" s="455"/>
      <c r="BO328" s="455"/>
      <c r="BP328" s="455"/>
      <c r="BQ328" s="271"/>
      <c r="BR328" s="271"/>
      <c r="BS328" s="271"/>
      <c r="BT328" s="271"/>
      <c r="BU328" s="271"/>
      <c r="BV328" s="454"/>
      <c r="BW328" s="454"/>
      <c r="BX328" s="756"/>
      <c r="BY328" s="850"/>
      <c r="BZ328" s="850"/>
      <c r="CA328" s="850"/>
      <c r="CB328" s="850"/>
      <c r="CC328" s="850"/>
      <c r="CD328" s="850"/>
      <c r="CE328" s="850"/>
      <c r="CF328" s="850"/>
      <c r="CG328" s="237" t="s">
        <v>334</v>
      </c>
      <c r="CH328" s="419" t="s">
        <v>682</v>
      </c>
      <c r="CI328" s="404">
        <v>40994</v>
      </c>
      <c r="CJ328" s="23"/>
      <c r="CK328" s="648" t="s">
        <v>1102</v>
      </c>
      <c r="CL328" s="572"/>
      <c r="CM328" s="648"/>
      <c r="CR328" s="406"/>
      <c r="CS328" s="648"/>
      <c r="CU328" s="23"/>
      <c r="CV328" s="23"/>
      <c r="CW328" s="23"/>
      <c r="CX328" s="23"/>
      <c r="DA328" s="648"/>
    </row>
    <row r="329" spans="1:105" s="35" customFormat="1" ht="12" customHeight="1" x14ac:dyDescent="0.2">
      <c r="A329" s="651"/>
      <c r="B329" s="537"/>
      <c r="C329" s="97" t="s">
        <v>50</v>
      </c>
      <c r="D329" s="169" t="s">
        <v>1132</v>
      </c>
      <c r="E329" s="647" t="s">
        <v>739</v>
      </c>
      <c r="F329" s="647"/>
      <c r="G329" s="237"/>
      <c r="H329" s="186"/>
      <c r="I329" s="166" t="s">
        <v>74</v>
      </c>
      <c r="J329" s="390"/>
      <c r="K329" s="390"/>
      <c r="L329" s="493"/>
      <c r="M329" s="98" t="s">
        <v>78</v>
      </c>
      <c r="N329" s="493"/>
      <c r="O329" s="247" t="s">
        <v>1722</v>
      </c>
      <c r="P329" s="98">
        <v>16</v>
      </c>
      <c r="Q329" s="98"/>
      <c r="R329" s="167"/>
      <c r="S329" s="167"/>
      <c r="T329" s="167"/>
      <c r="U329" s="393">
        <v>914</v>
      </c>
      <c r="V329" s="694"/>
      <c r="W329" s="711"/>
      <c r="X329" s="254"/>
      <c r="Y329" s="446"/>
      <c r="Z329" s="446"/>
      <c r="AA329" s="446"/>
      <c r="AB329" s="446"/>
      <c r="AC329" s="446"/>
      <c r="AD329" s="446"/>
      <c r="AE329" s="446"/>
      <c r="AF329" s="446"/>
      <c r="AG329" s="446"/>
      <c r="AH329" s="446"/>
      <c r="AI329" s="446"/>
      <c r="AJ329" s="446"/>
      <c r="AK329" s="446"/>
      <c r="AL329" s="446"/>
      <c r="AM329" s="446"/>
      <c r="AN329" s="446"/>
      <c r="AO329" s="446"/>
      <c r="AP329" s="446"/>
      <c r="AQ329" s="446"/>
      <c r="AR329" s="446"/>
      <c r="AS329" s="446"/>
      <c r="AT329" s="446"/>
      <c r="AU329" s="446"/>
      <c r="AV329" s="446"/>
      <c r="AW329" s="446"/>
      <c r="AX329" s="446"/>
      <c r="AY329" s="446"/>
      <c r="AZ329" s="446"/>
      <c r="BA329" s="446"/>
      <c r="BB329" s="446"/>
      <c r="BC329" s="446"/>
      <c r="BD329" s="446"/>
      <c r="BE329" s="444"/>
      <c r="BF329" s="444"/>
      <c r="BG329" s="446"/>
      <c r="BH329" s="446"/>
      <c r="BI329" s="446"/>
      <c r="BJ329" s="444"/>
      <c r="BK329" s="444"/>
      <c r="BL329" s="444"/>
      <c r="BM329" s="444"/>
      <c r="BN329" s="444"/>
      <c r="BO329" s="444"/>
      <c r="BP329" s="444"/>
      <c r="BQ329" s="446"/>
      <c r="BR329" s="446"/>
      <c r="BS329" s="442">
        <v>12.1</v>
      </c>
      <c r="BT329" s="271"/>
      <c r="BU329" s="271"/>
      <c r="BV329" s="454"/>
      <c r="BW329" s="454"/>
      <c r="BX329" s="756"/>
      <c r="BY329" s="850"/>
      <c r="BZ329" s="850"/>
      <c r="CA329" s="850"/>
      <c r="CB329" s="850"/>
      <c r="CC329" s="850"/>
      <c r="CD329" s="850"/>
      <c r="CE329" s="850"/>
      <c r="CF329" s="850"/>
      <c r="CG329" s="169" t="s">
        <v>976</v>
      </c>
      <c r="CH329" s="419" t="s">
        <v>299</v>
      </c>
      <c r="CI329" s="404">
        <v>40515</v>
      </c>
      <c r="CJ329" s="23">
        <v>1112</v>
      </c>
      <c r="CK329" s="682" t="s">
        <v>738</v>
      </c>
      <c r="CL329" s="572" t="s">
        <v>300</v>
      </c>
      <c r="CM329" s="648"/>
      <c r="CR329" s="406"/>
      <c r="CS329" s="648"/>
      <c r="CU329" s="23"/>
      <c r="CV329" s="23"/>
      <c r="CW329" s="23"/>
      <c r="CX329" s="23"/>
      <c r="DA329" s="648"/>
    </row>
    <row r="330" spans="1:105" s="35" customFormat="1" ht="12" customHeight="1" x14ac:dyDescent="0.2">
      <c r="A330" s="652"/>
      <c r="B330" s="469" t="s">
        <v>1807</v>
      </c>
      <c r="C330" s="390" t="s">
        <v>396</v>
      </c>
      <c r="D330" s="479" t="s">
        <v>1125</v>
      </c>
      <c r="E330" s="647" t="s">
        <v>14</v>
      </c>
      <c r="F330" s="647"/>
      <c r="G330" s="237"/>
      <c r="H330" s="186"/>
      <c r="I330" s="166">
        <v>2005</v>
      </c>
      <c r="J330" s="571">
        <v>2005</v>
      </c>
      <c r="K330" s="571"/>
      <c r="L330" s="494" t="s">
        <v>244</v>
      </c>
      <c r="M330" s="247" t="s">
        <v>1837</v>
      </c>
      <c r="N330" s="494" t="s">
        <v>783</v>
      </c>
      <c r="O330" s="247" t="s">
        <v>19</v>
      </c>
      <c r="P330" s="98">
        <v>15</v>
      </c>
      <c r="Q330" s="247">
        <v>49</v>
      </c>
      <c r="R330" s="552">
        <v>33.010108613829573</v>
      </c>
      <c r="S330" s="552"/>
      <c r="T330" s="552"/>
      <c r="U330" s="553">
        <v>4591</v>
      </c>
      <c r="V330" s="794"/>
      <c r="W330" s="712"/>
      <c r="X330" s="552">
        <v>11.416722677779267</v>
      </c>
      <c r="Y330" s="552">
        <v>16.532345894140672</v>
      </c>
      <c r="Z330" s="552">
        <v>11.409691629955951</v>
      </c>
      <c r="AA330" s="552">
        <v>22.108473099542564</v>
      </c>
      <c r="AB330" s="552">
        <v>12.432432432432435</v>
      </c>
      <c r="AC330" s="552">
        <v>15.857111740361553</v>
      </c>
      <c r="AD330" s="555"/>
      <c r="AE330" s="552">
        <v>9.9782135076252629</v>
      </c>
      <c r="AF330" s="552">
        <v>6.8276619099890201</v>
      </c>
      <c r="AG330" s="552">
        <v>2.636165577342052</v>
      </c>
      <c r="AH330" s="552">
        <v>1.4007441453272056</v>
      </c>
      <c r="AI330" s="555"/>
      <c r="AJ330" s="555"/>
      <c r="AK330" s="555"/>
      <c r="AL330" s="555"/>
      <c r="AM330" s="552">
        <v>18.340230886517102</v>
      </c>
      <c r="AN330" s="552">
        <v>9.8675496688741671</v>
      </c>
      <c r="AO330" s="552">
        <v>8.1952920662598121</v>
      </c>
      <c r="AP330" s="552">
        <v>63.636363636363633</v>
      </c>
      <c r="AQ330" s="552">
        <v>18.20954040514048</v>
      </c>
      <c r="AR330" s="552">
        <v>10.72923551443049</v>
      </c>
      <c r="AS330" s="552">
        <v>9.677419354838726</v>
      </c>
      <c r="AT330" s="552">
        <v>5.367355917289923</v>
      </c>
      <c r="AU330" s="552">
        <v>5.0555676617999401</v>
      </c>
      <c r="AV330" s="552">
        <v>2.6506024096385543</v>
      </c>
      <c r="AW330" s="552">
        <v>2.745098039215677</v>
      </c>
      <c r="AX330" s="552">
        <v>1.3773502404897273</v>
      </c>
      <c r="AY330" s="555"/>
      <c r="AZ330" s="555"/>
      <c r="BA330" s="552"/>
      <c r="BB330" s="552"/>
      <c r="BC330" s="555"/>
      <c r="BD330" s="555"/>
      <c r="BE330" s="552"/>
      <c r="BF330" s="552"/>
      <c r="BG330" s="552"/>
      <c r="BH330" s="552"/>
      <c r="BI330" s="552">
        <v>22.282727074711438</v>
      </c>
      <c r="BJ330" s="552">
        <v>12.674825174825195</v>
      </c>
      <c r="BK330" s="552"/>
      <c r="BL330" s="552"/>
      <c r="BM330" s="552">
        <v>3.8344226579520719</v>
      </c>
      <c r="BN330" s="552">
        <v>2.1881838074398243</v>
      </c>
      <c r="BO330" s="552">
        <v>1.6561342340379184</v>
      </c>
      <c r="BP330" s="552">
        <v>0.98231827111984049</v>
      </c>
      <c r="BQ330" s="552"/>
      <c r="BR330" s="42"/>
      <c r="BS330" s="42"/>
      <c r="BT330" s="42"/>
      <c r="BU330" s="42">
        <v>12</v>
      </c>
      <c r="BV330" s="42"/>
      <c r="BW330" s="42"/>
      <c r="BX330" s="758"/>
      <c r="BY330" s="851"/>
      <c r="BZ330" s="851"/>
      <c r="CA330" s="851"/>
      <c r="CB330" s="851"/>
      <c r="CC330" s="851"/>
      <c r="CD330" s="851"/>
      <c r="CE330" s="851"/>
      <c r="CF330" s="851"/>
      <c r="CG330" s="97"/>
      <c r="CH330" s="647"/>
      <c r="CI330" s="97"/>
      <c r="CJ330" s="97"/>
      <c r="CK330" s="647"/>
      <c r="CL330" s="469" t="s">
        <v>1841</v>
      </c>
      <c r="CM330" s="647"/>
      <c r="CN330" s="97"/>
      <c r="CO330" s="97"/>
      <c r="CP330" s="97"/>
      <c r="CQ330" s="97"/>
      <c r="CR330" s="638"/>
      <c r="CS330" s="647"/>
      <c r="CU330" s="23"/>
      <c r="CV330" s="23"/>
      <c r="CW330" s="23"/>
      <c r="CX330" s="23"/>
      <c r="DA330" s="648"/>
    </row>
    <row r="331" spans="1:105" s="35" customFormat="1" ht="12" customHeight="1" x14ac:dyDescent="0.2">
      <c r="A331" s="651"/>
      <c r="B331" s="537"/>
      <c r="C331" s="97" t="s">
        <v>396</v>
      </c>
      <c r="D331" s="169" t="s">
        <v>1125</v>
      </c>
      <c r="E331" s="647" t="s">
        <v>14</v>
      </c>
      <c r="F331" s="647"/>
      <c r="G331" s="98"/>
      <c r="H331" s="97"/>
      <c r="I331" s="166">
        <v>1997</v>
      </c>
      <c r="J331" s="571"/>
      <c r="K331" s="571"/>
      <c r="L331" s="493" t="s">
        <v>248</v>
      </c>
      <c r="M331" s="98" t="s">
        <v>15</v>
      </c>
      <c r="N331" s="493"/>
      <c r="O331" s="476" t="s">
        <v>1713</v>
      </c>
      <c r="P331" s="98"/>
      <c r="Q331" s="98"/>
      <c r="R331" s="167"/>
      <c r="S331" s="167"/>
      <c r="T331" s="167"/>
      <c r="U331" s="393">
        <v>4790</v>
      </c>
      <c r="V331" s="694"/>
      <c r="W331" s="711"/>
      <c r="X331" s="167"/>
      <c r="Y331" s="446"/>
      <c r="Z331" s="446"/>
      <c r="AA331" s="446"/>
      <c r="AB331" s="446"/>
      <c r="AC331" s="446"/>
      <c r="AD331" s="446"/>
      <c r="AE331" s="446"/>
      <c r="AF331" s="446"/>
      <c r="AG331" s="446"/>
      <c r="AH331" s="446"/>
      <c r="AI331" s="446"/>
      <c r="AJ331" s="446"/>
      <c r="AK331" s="446"/>
      <c r="AL331" s="446"/>
      <c r="AM331" s="446"/>
      <c r="AN331" s="446"/>
      <c r="AO331" s="446"/>
      <c r="AP331" s="446"/>
      <c r="AQ331" s="446"/>
      <c r="AR331" s="446"/>
      <c r="AS331" s="446"/>
      <c r="AT331" s="446"/>
      <c r="AU331" s="446"/>
      <c r="AV331" s="446"/>
      <c r="AW331" s="446"/>
      <c r="AX331" s="446"/>
      <c r="AY331" s="446"/>
      <c r="AZ331" s="446"/>
      <c r="BA331" s="446"/>
      <c r="BB331" s="446"/>
      <c r="BC331" s="446"/>
      <c r="BD331" s="446"/>
      <c r="BE331" s="445"/>
      <c r="BF331" s="445"/>
      <c r="BG331" s="446"/>
      <c r="BH331" s="446"/>
      <c r="BI331" s="442">
        <v>15</v>
      </c>
      <c r="BJ331" s="445">
        <v>8</v>
      </c>
      <c r="BK331" s="445"/>
      <c r="BL331" s="445"/>
      <c r="BM331" s="445"/>
      <c r="BN331" s="445"/>
      <c r="BO331" s="445"/>
      <c r="BP331" s="445"/>
      <c r="BQ331" s="444"/>
      <c r="BR331" s="444"/>
      <c r="BS331" s="442"/>
      <c r="BT331" s="445"/>
      <c r="BU331" s="445"/>
      <c r="BV331" s="445"/>
      <c r="BW331" s="445"/>
      <c r="BX331" s="756"/>
      <c r="BY331" s="850"/>
      <c r="BZ331" s="850"/>
      <c r="CA331" s="850"/>
      <c r="CB331" s="850"/>
      <c r="CC331" s="850"/>
      <c r="CD331" s="850"/>
      <c r="CE331" s="850"/>
      <c r="CF331" s="850"/>
      <c r="CG331" s="169" t="s">
        <v>523</v>
      </c>
      <c r="CH331" s="417"/>
      <c r="CI331" s="406"/>
      <c r="CJ331" s="23"/>
      <c r="CK331" s="426" t="s">
        <v>1041</v>
      </c>
      <c r="CL331" s="572"/>
      <c r="CM331" s="648"/>
      <c r="CR331" s="406"/>
      <c r="CS331" s="648"/>
      <c r="CU331" s="23"/>
      <c r="CV331" s="23"/>
      <c r="CW331" s="23"/>
      <c r="CX331" s="23"/>
      <c r="DA331" s="648"/>
    </row>
    <row r="332" spans="1:105" s="35" customFormat="1" ht="12" customHeight="1" x14ac:dyDescent="0.2">
      <c r="A332" s="651"/>
      <c r="B332" s="537"/>
      <c r="C332" s="390" t="s">
        <v>179</v>
      </c>
      <c r="D332" s="237" t="s">
        <v>1131</v>
      </c>
      <c r="E332" s="647" t="s">
        <v>14</v>
      </c>
      <c r="F332" s="647"/>
      <c r="G332" s="237"/>
      <c r="H332" s="186"/>
      <c r="I332" s="533" t="s">
        <v>510</v>
      </c>
      <c r="J332" s="390"/>
      <c r="K332" s="390"/>
      <c r="L332" s="494"/>
      <c r="M332" s="247"/>
      <c r="N332" s="494"/>
      <c r="O332" s="98" t="s">
        <v>19</v>
      </c>
      <c r="P332" s="98">
        <v>15</v>
      </c>
      <c r="Q332" s="247"/>
      <c r="R332" s="291"/>
      <c r="S332" s="291"/>
      <c r="T332" s="291"/>
      <c r="U332" s="393">
        <v>999999999</v>
      </c>
      <c r="V332" s="694"/>
      <c r="W332" s="711"/>
      <c r="X332" s="254"/>
      <c r="Y332" s="446"/>
      <c r="Z332" s="446"/>
      <c r="AA332" s="446"/>
      <c r="AB332" s="446"/>
      <c r="AC332" s="446"/>
      <c r="AD332" s="446"/>
      <c r="AE332" s="446"/>
      <c r="AF332" s="446"/>
      <c r="AG332" s="446"/>
      <c r="AH332" s="446"/>
      <c r="AI332" s="446"/>
      <c r="AJ332" s="446"/>
      <c r="AK332" s="446"/>
      <c r="AL332" s="446"/>
      <c r="AM332" s="446"/>
      <c r="AN332" s="446"/>
      <c r="AO332" s="446"/>
      <c r="AP332" s="446"/>
      <c r="AQ332" s="446"/>
      <c r="AR332" s="446"/>
      <c r="AS332" s="446"/>
      <c r="AT332" s="446"/>
      <c r="AU332" s="446"/>
      <c r="AV332" s="446"/>
      <c r="AW332" s="446"/>
      <c r="AX332" s="446"/>
      <c r="AY332" s="446"/>
      <c r="AZ332" s="446"/>
      <c r="BA332" s="446"/>
      <c r="BB332" s="446"/>
      <c r="BC332" s="446"/>
      <c r="BD332" s="446"/>
      <c r="BE332" s="442"/>
      <c r="BF332" s="442"/>
      <c r="BG332" s="446"/>
      <c r="BH332" s="446"/>
      <c r="BI332" s="442"/>
      <c r="BJ332" s="442">
        <v>6.4</v>
      </c>
      <c r="BK332" s="442"/>
      <c r="BL332" s="442"/>
      <c r="BM332" s="442"/>
      <c r="BN332" s="442"/>
      <c r="BO332" s="442"/>
      <c r="BP332" s="442"/>
      <c r="BQ332" s="442"/>
      <c r="BR332" s="442">
        <v>11.5</v>
      </c>
      <c r="BS332" s="446"/>
      <c r="BT332" s="446"/>
      <c r="BU332" s="446"/>
      <c r="BV332" s="442"/>
      <c r="BW332" s="442"/>
      <c r="BX332" s="757"/>
      <c r="BY332" s="850"/>
      <c r="BZ332" s="850"/>
      <c r="CA332" s="850"/>
      <c r="CB332" s="850"/>
      <c r="CC332" s="850"/>
      <c r="CD332" s="850"/>
      <c r="CE332" s="850"/>
      <c r="CF332" s="850"/>
      <c r="CG332" s="237" t="s">
        <v>876</v>
      </c>
      <c r="CH332" s="417"/>
      <c r="CI332" s="406"/>
      <c r="CJ332" s="23"/>
      <c r="CK332" s="417" t="s">
        <v>1069</v>
      </c>
      <c r="CL332" s="572"/>
      <c r="CM332" s="431"/>
      <c r="CN332" s="128"/>
      <c r="CO332" s="128"/>
      <c r="CP332" s="128"/>
      <c r="CQ332" s="128"/>
      <c r="CR332" s="406"/>
      <c r="CS332" s="431"/>
      <c r="CU332" s="23"/>
      <c r="CV332" s="23"/>
      <c r="CW332" s="23"/>
      <c r="CX332" s="23"/>
      <c r="DA332" s="648"/>
    </row>
    <row r="333" spans="1:105" s="35" customFormat="1" ht="12" customHeight="1" x14ac:dyDescent="0.2">
      <c r="A333" s="651"/>
      <c r="B333" s="537"/>
      <c r="C333" s="97" t="s">
        <v>180</v>
      </c>
      <c r="D333" s="169" t="s">
        <v>1131</v>
      </c>
      <c r="E333" s="647" t="s">
        <v>14</v>
      </c>
      <c r="F333" s="647"/>
      <c r="G333" s="237"/>
      <c r="H333" s="186"/>
      <c r="I333" s="166">
        <v>2002</v>
      </c>
      <c r="J333" s="390"/>
      <c r="K333" s="390"/>
      <c r="L333" s="493" t="s">
        <v>578</v>
      </c>
      <c r="M333" s="237" t="s">
        <v>17</v>
      </c>
      <c r="N333" s="493"/>
      <c r="O333" s="247" t="s">
        <v>763</v>
      </c>
      <c r="P333" s="247">
        <v>18</v>
      </c>
      <c r="Q333" s="237"/>
      <c r="R333" s="254"/>
      <c r="S333" s="254"/>
      <c r="T333" s="254"/>
      <c r="U333" s="393">
        <f>1374+97</f>
        <v>1471</v>
      </c>
      <c r="V333" s="694"/>
      <c r="W333" s="711"/>
      <c r="X333" s="254"/>
      <c r="Y333" s="446"/>
      <c r="Z333" s="446"/>
      <c r="AA333" s="446"/>
      <c r="AB333" s="446"/>
      <c r="AC333" s="446"/>
      <c r="AD333" s="446"/>
      <c r="AE333" s="446"/>
      <c r="AF333" s="446"/>
      <c r="AG333" s="446"/>
      <c r="AH333" s="446"/>
      <c r="AI333" s="446"/>
      <c r="AJ333" s="446"/>
      <c r="AK333" s="446"/>
      <c r="AL333" s="446"/>
      <c r="AM333" s="446"/>
      <c r="AN333" s="446"/>
      <c r="AO333" s="446"/>
      <c r="AP333" s="446"/>
      <c r="AQ333" s="446"/>
      <c r="AR333" s="446"/>
      <c r="AS333" s="446"/>
      <c r="AT333" s="446"/>
      <c r="AU333" s="446"/>
      <c r="AV333" s="446"/>
      <c r="AW333" s="446"/>
      <c r="AX333" s="446"/>
      <c r="AY333" s="446"/>
      <c r="AZ333" s="446"/>
      <c r="BA333" s="446"/>
      <c r="BB333" s="446"/>
      <c r="BC333" s="446"/>
      <c r="BD333" s="446"/>
      <c r="BE333" s="445"/>
      <c r="BF333" s="445"/>
      <c r="BG333" s="446"/>
      <c r="BH333" s="446"/>
      <c r="BI333" s="271"/>
      <c r="BJ333" s="445">
        <v>11</v>
      </c>
      <c r="BK333" s="445"/>
      <c r="BL333" s="445"/>
      <c r="BM333" s="445"/>
      <c r="BN333" s="445"/>
      <c r="BO333" s="445"/>
      <c r="BP333" s="445"/>
      <c r="BQ333" s="271"/>
      <c r="BR333" s="271"/>
      <c r="BS333" s="271"/>
      <c r="BT333" s="271"/>
      <c r="BU333" s="271"/>
      <c r="BV333" s="454"/>
      <c r="BW333" s="454"/>
      <c r="BX333" s="756"/>
      <c r="BY333" s="850"/>
      <c r="BZ333" s="850"/>
      <c r="CA333" s="850"/>
      <c r="CB333" s="850"/>
      <c r="CC333" s="850"/>
      <c r="CD333" s="850"/>
      <c r="CE333" s="850"/>
      <c r="CF333" s="850"/>
      <c r="CG333" s="169" t="s">
        <v>576</v>
      </c>
      <c r="CH333" s="421" t="s">
        <v>1046</v>
      </c>
      <c r="CI333" s="406"/>
      <c r="CJ333" s="23"/>
      <c r="CK333" s="417"/>
      <c r="CL333" s="572"/>
      <c r="CM333" s="648"/>
      <c r="CR333" s="406"/>
      <c r="CS333" s="648"/>
      <c r="CU333" s="23"/>
      <c r="CV333" s="23"/>
      <c r="CW333" s="23"/>
      <c r="CX333" s="23"/>
      <c r="DA333" s="648"/>
    </row>
    <row r="334" spans="1:105" s="35" customFormat="1" ht="12" customHeight="1" x14ac:dyDescent="0.2">
      <c r="A334" s="651"/>
      <c r="B334" s="537"/>
      <c r="C334" s="97" t="s">
        <v>180</v>
      </c>
      <c r="D334" s="169" t="s">
        <v>1131</v>
      </c>
      <c r="E334" s="647" t="s">
        <v>14</v>
      </c>
      <c r="F334" s="647"/>
      <c r="G334" s="237"/>
      <c r="H334" s="186"/>
      <c r="I334" s="166">
        <v>2004</v>
      </c>
      <c r="J334" s="390"/>
      <c r="K334" s="390"/>
      <c r="L334" s="493" t="s">
        <v>258</v>
      </c>
      <c r="M334" s="237"/>
      <c r="N334" s="494" t="s">
        <v>783</v>
      </c>
      <c r="O334" s="247" t="s">
        <v>763</v>
      </c>
      <c r="P334" s="247">
        <v>18</v>
      </c>
      <c r="Q334" s="237"/>
      <c r="R334" s="254"/>
      <c r="S334" s="254"/>
      <c r="T334" s="254"/>
      <c r="U334" s="393">
        <v>1976</v>
      </c>
      <c r="V334" s="694"/>
      <c r="W334" s="711"/>
      <c r="X334" s="254"/>
      <c r="Y334" s="446"/>
      <c r="Z334" s="446"/>
      <c r="AA334" s="446"/>
      <c r="AB334" s="446"/>
      <c r="AC334" s="446"/>
      <c r="AD334" s="446"/>
      <c r="AE334" s="446"/>
      <c r="AF334" s="446"/>
      <c r="AG334" s="446"/>
      <c r="AH334" s="446"/>
      <c r="AI334" s="446"/>
      <c r="AJ334" s="446"/>
      <c r="AK334" s="446"/>
      <c r="AL334" s="446"/>
      <c r="AM334" s="446"/>
      <c r="AN334" s="446"/>
      <c r="AO334" s="446"/>
      <c r="AP334" s="446"/>
      <c r="AQ334" s="446"/>
      <c r="AR334" s="446"/>
      <c r="AS334" s="446"/>
      <c r="AT334" s="446"/>
      <c r="AU334" s="446"/>
      <c r="AV334" s="446"/>
      <c r="AW334" s="446"/>
      <c r="AX334" s="446"/>
      <c r="AY334" s="446"/>
      <c r="AZ334" s="446"/>
      <c r="BA334" s="446"/>
      <c r="BB334" s="446"/>
      <c r="BC334" s="446"/>
      <c r="BD334" s="446"/>
      <c r="BE334" s="442"/>
      <c r="BF334" s="442"/>
      <c r="BG334" s="446"/>
      <c r="BH334" s="446"/>
      <c r="BI334" s="442">
        <v>36</v>
      </c>
      <c r="BJ334" s="442">
        <v>15</v>
      </c>
      <c r="BK334" s="442"/>
      <c r="BL334" s="442"/>
      <c r="BM334" s="442"/>
      <c r="BN334" s="442"/>
      <c r="BO334" s="442"/>
      <c r="BP334" s="442"/>
      <c r="BQ334" s="442">
        <v>40</v>
      </c>
      <c r="BR334" s="445">
        <v>18</v>
      </c>
      <c r="BS334" s="446"/>
      <c r="BT334" s="446"/>
      <c r="BU334" s="446"/>
      <c r="BV334" s="442"/>
      <c r="BW334" s="442"/>
      <c r="BX334" s="756"/>
      <c r="BY334" s="850"/>
      <c r="BZ334" s="850"/>
      <c r="CA334" s="850"/>
      <c r="CB334" s="850"/>
      <c r="CC334" s="850"/>
      <c r="CD334" s="850"/>
      <c r="CE334" s="850"/>
      <c r="CF334" s="850"/>
      <c r="CG334" s="169" t="s">
        <v>770</v>
      </c>
      <c r="CH334" s="417"/>
      <c r="CI334" s="406"/>
      <c r="CJ334" s="23"/>
      <c r="CK334" s="417" t="s">
        <v>1065</v>
      </c>
      <c r="CL334" s="572"/>
      <c r="CM334" s="431"/>
      <c r="CN334" s="128"/>
      <c r="CO334" s="128"/>
      <c r="CP334" s="128"/>
      <c r="CQ334" s="128"/>
      <c r="CR334" s="406"/>
      <c r="CS334" s="431"/>
      <c r="CU334" s="23"/>
      <c r="CV334" s="23"/>
      <c r="CW334" s="23"/>
      <c r="CX334" s="23"/>
      <c r="DA334" s="648"/>
    </row>
    <row r="335" spans="1:105" s="35" customFormat="1" ht="12" customHeight="1" x14ac:dyDescent="0.2">
      <c r="A335" s="651"/>
      <c r="B335" s="537"/>
      <c r="C335" s="97" t="s">
        <v>180</v>
      </c>
      <c r="D335" s="169" t="s">
        <v>1131</v>
      </c>
      <c r="E335" s="647" t="s">
        <v>14</v>
      </c>
      <c r="F335" s="647"/>
      <c r="G335" s="237"/>
      <c r="H335" s="186"/>
      <c r="I335" s="166">
        <v>2011</v>
      </c>
      <c r="J335" s="390"/>
      <c r="K335" s="390"/>
      <c r="L335" s="494" t="s">
        <v>244</v>
      </c>
      <c r="M335" s="237" t="s">
        <v>17</v>
      </c>
      <c r="N335" s="494" t="s">
        <v>783</v>
      </c>
      <c r="O335" s="247" t="s">
        <v>19</v>
      </c>
      <c r="P335" s="98">
        <v>15</v>
      </c>
      <c r="Q335" s="247"/>
      <c r="R335" s="291"/>
      <c r="S335" s="291"/>
      <c r="T335" s="291"/>
      <c r="U335" s="170"/>
      <c r="V335" s="692"/>
      <c r="W335" s="700"/>
      <c r="X335" s="254"/>
      <c r="Y335" s="271"/>
      <c r="Z335" s="271"/>
      <c r="AA335" s="271"/>
      <c r="AB335" s="271"/>
      <c r="AC335" s="271"/>
      <c r="AD335" s="271"/>
      <c r="AE335" s="271"/>
      <c r="AF335" s="271"/>
      <c r="AG335" s="271"/>
      <c r="AH335" s="271"/>
      <c r="AI335" s="271"/>
      <c r="AJ335" s="271"/>
      <c r="AK335" s="271"/>
      <c r="AL335" s="271"/>
      <c r="AM335" s="271"/>
      <c r="AN335" s="271"/>
      <c r="AO335" s="271"/>
      <c r="AP335" s="271"/>
      <c r="AQ335" s="271"/>
      <c r="AR335" s="271"/>
      <c r="AS335" s="271"/>
      <c r="AT335" s="271"/>
      <c r="AU335" s="271"/>
      <c r="AV335" s="271"/>
      <c r="AW335" s="271"/>
      <c r="AX335" s="271"/>
      <c r="AY335" s="271"/>
      <c r="AZ335" s="271"/>
      <c r="BA335" s="271"/>
      <c r="BB335" s="271"/>
      <c r="BC335" s="271"/>
      <c r="BD335" s="271"/>
      <c r="BE335" s="445"/>
      <c r="BF335" s="445"/>
      <c r="BG335" s="271"/>
      <c r="BH335" s="271"/>
      <c r="BI335" s="445"/>
      <c r="BJ335" s="445"/>
      <c r="BK335" s="445"/>
      <c r="BL335" s="445"/>
      <c r="BM335" s="445"/>
      <c r="BN335" s="445"/>
      <c r="BO335" s="445"/>
      <c r="BP335" s="445"/>
      <c r="BQ335" s="444"/>
      <c r="BR335" s="444"/>
      <c r="BS335" s="446"/>
      <c r="BT335" s="446"/>
      <c r="BU335" s="446"/>
      <c r="BV335" s="442"/>
      <c r="BW335" s="442"/>
      <c r="BX335" s="756"/>
      <c r="BY335" s="850"/>
      <c r="BZ335" s="850"/>
      <c r="CA335" s="850"/>
      <c r="CB335" s="850"/>
      <c r="CC335" s="850"/>
      <c r="CD335" s="850"/>
      <c r="CE335" s="850"/>
      <c r="CF335" s="850"/>
      <c r="CG335" s="169"/>
      <c r="CH335" s="419" t="s">
        <v>1158</v>
      </c>
      <c r="CI335" s="406"/>
      <c r="CJ335" s="23"/>
      <c r="CK335" s="417"/>
      <c r="CL335" s="572"/>
      <c r="CM335" s="648"/>
      <c r="CR335" s="406"/>
      <c r="CS335" s="648"/>
      <c r="CU335" s="23"/>
      <c r="CV335" s="23"/>
      <c r="CW335" s="23"/>
      <c r="CX335" s="23"/>
      <c r="DA335" s="648"/>
    </row>
    <row r="336" spans="1:105" s="35" customFormat="1" ht="12" customHeight="1" x14ac:dyDescent="0.2">
      <c r="A336" s="651"/>
      <c r="B336" s="537"/>
      <c r="C336" s="186" t="s">
        <v>397</v>
      </c>
      <c r="D336" s="169" t="s">
        <v>1125</v>
      </c>
      <c r="E336" s="647"/>
      <c r="F336" s="647"/>
      <c r="G336" s="237"/>
      <c r="H336" s="186"/>
      <c r="I336" s="166">
        <v>2005</v>
      </c>
      <c r="J336" s="390"/>
      <c r="K336" s="390"/>
      <c r="L336" s="493" t="s">
        <v>783</v>
      </c>
      <c r="M336" s="237" t="s">
        <v>15</v>
      </c>
      <c r="N336" s="494" t="s">
        <v>783</v>
      </c>
      <c r="O336" s="98" t="s">
        <v>19</v>
      </c>
      <c r="P336" s="98"/>
      <c r="Q336" s="237"/>
      <c r="R336" s="254"/>
      <c r="S336" s="254"/>
      <c r="T336" s="254"/>
      <c r="U336" s="393">
        <v>286</v>
      </c>
      <c r="V336" s="694"/>
      <c r="W336" s="711"/>
      <c r="X336" s="254"/>
      <c r="Y336" s="446"/>
      <c r="Z336" s="446"/>
      <c r="AA336" s="446"/>
      <c r="AB336" s="446"/>
      <c r="AC336" s="446"/>
      <c r="AD336" s="446"/>
      <c r="AE336" s="446"/>
      <c r="AF336" s="446"/>
      <c r="AG336" s="446"/>
      <c r="AH336" s="446"/>
      <c r="AI336" s="446"/>
      <c r="AJ336" s="446"/>
      <c r="AK336" s="446"/>
      <c r="AL336" s="446"/>
      <c r="AM336" s="446"/>
      <c r="AN336" s="446"/>
      <c r="AO336" s="446"/>
      <c r="AP336" s="446"/>
      <c r="AQ336" s="446"/>
      <c r="AR336" s="446"/>
      <c r="AS336" s="446"/>
      <c r="AT336" s="446"/>
      <c r="AU336" s="446"/>
      <c r="AV336" s="446"/>
      <c r="AW336" s="446"/>
      <c r="AX336" s="446"/>
      <c r="AY336" s="446"/>
      <c r="AZ336" s="446"/>
      <c r="BA336" s="446"/>
      <c r="BB336" s="446"/>
      <c r="BC336" s="446"/>
      <c r="BD336" s="446"/>
      <c r="BE336" s="445"/>
      <c r="BF336" s="445"/>
      <c r="BG336" s="446"/>
      <c r="BH336" s="446"/>
      <c r="BI336" s="445">
        <v>27</v>
      </c>
      <c r="BJ336" s="445"/>
      <c r="BK336" s="445"/>
      <c r="BL336" s="445"/>
      <c r="BM336" s="445"/>
      <c r="BN336" s="445"/>
      <c r="BO336" s="445"/>
      <c r="BP336" s="445"/>
      <c r="BQ336" s="444"/>
      <c r="BR336" s="444"/>
      <c r="BS336" s="446"/>
      <c r="BT336" s="446"/>
      <c r="BU336" s="446"/>
      <c r="BV336" s="442"/>
      <c r="BW336" s="442"/>
      <c r="BX336" s="756"/>
      <c r="BY336" s="850"/>
      <c r="BZ336" s="850"/>
      <c r="CA336" s="850"/>
      <c r="CB336" s="850"/>
      <c r="CC336" s="850"/>
      <c r="CD336" s="850"/>
      <c r="CE336" s="850"/>
      <c r="CF336" s="850"/>
      <c r="CG336" s="169" t="s">
        <v>957</v>
      </c>
      <c r="CH336" s="417"/>
      <c r="CI336" s="406"/>
      <c r="CJ336" s="23"/>
      <c r="CK336" s="417" t="s">
        <v>1044</v>
      </c>
      <c r="CL336" s="572"/>
      <c r="CM336" s="648"/>
      <c r="CR336" s="406"/>
      <c r="CS336" s="648"/>
      <c r="CU336" s="23"/>
      <c r="CV336" s="23"/>
      <c r="CW336" s="23"/>
      <c r="CX336" s="23"/>
      <c r="DA336" s="648"/>
    </row>
    <row r="337" spans="1:105" s="35" customFormat="1" ht="12" customHeight="1" x14ac:dyDescent="0.2">
      <c r="A337" s="651"/>
      <c r="B337" s="537"/>
      <c r="C337" s="97" t="s">
        <v>4</v>
      </c>
      <c r="D337" s="169" t="s">
        <v>1131</v>
      </c>
      <c r="E337" s="647" t="s">
        <v>14</v>
      </c>
      <c r="F337" s="647"/>
      <c r="G337" s="237"/>
      <c r="H337" s="186"/>
      <c r="I337" s="166">
        <v>2002</v>
      </c>
      <c r="J337" s="390"/>
      <c r="K337" s="390"/>
      <c r="L337" s="493" t="s">
        <v>578</v>
      </c>
      <c r="M337" s="237" t="s">
        <v>17</v>
      </c>
      <c r="N337" s="493"/>
      <c r="O337" s="237" t="s">
        <v>643</v>
      </c>
      <c r="P337" s="237"/>
      <c r="Q337" s="237"/>
      <c r="R337" s="254"/>
      <c r="S337" s="254"/>
      <c r="T337" s="254"/>
      <c r="U337" s="393">
        <f>1382+83</f>
        <v>1465</v>
      </c>
      <c r="V337" s="694"/>
      <c r="W337" s="711"/>
      <c r="X337" s="254"/>
      <c r="Y337" s="446"/>
      <c r="Z337" s="446"/>
      <c r="AA337" s="446"/>
      <c r="AB337" s="446"/>
      <c r="AC337" s="446"/>
      <c r="AD337" s="446"/>
      <c r="AE337" s="446"/>
      <c r="AF337" s="446"/>
      <c r="AG337" s="446"/>
      <c r="AH337" s="446"/>
      <c r="AI337" s="446"/>
      <c r="AJ337" s="446"/>
      <c r="AK337" s="446"/>
      <c r="AL337" s="446"/>
      <c r="AM337" s="446"/>
      <c r="AN337" s="446"/>
      <c r="AO337" s="446"/>
      <c r="AP337" s="446"/>
      <c r="AQ337" s="446"/>
      <c r="AR337" s="446"/>
      <c r="AS337" s="446"/>
      <c r="AT337" s="446"/>
      <c r="AU337" s="446"/>
      <c r="AV337" s="446"/>
      <c r="AW337" s="446"/>
      <c r="AX337" s="446"/>
      <c r="AY337" s="446"/>
      <c r="AZ337" s="446"/>
      <c r="BA337" s="446"/>
      <c r="BB337" s="446"/>
      <c r="BC337" s="446"/>
      <c r="BD337" s="446"/>
      <c r="BE337" s="445"/>
      <c r="BF337" s="445"/>
      <c r="BG337" s="446"/>
      <c r="BH337" s="446"/>
      <c r="BI337" s="271"/>
      <c r="BJ337" s="445">
        <v>17</v>
      </c>
      <c r="BK337" s="445"/>
      <c r="BL337" s="445"/>
      <c r="BM337" s="445"/>
      <c r="BN337" s="445"/>
      <c r="BO337" s="445"/>
      <c r="BP337" s="445"/>
      <c r="BQ337" s="271"/>
      <c r="BR337" s="271"/>
      <c r="BS337" s="271"/>
      <c r="BT337" s="271"/>
      <c r="BU337" s="271"/>
      <c r="BV337" s="454"/>
      <c r="BW337" s="454"/>
      <c r="BX337" s="756"/>
      <c r="BY337" s="850"/>
      <c r="BZ337" s="850"/>
      <c r="CA337" s="850"/>
      <c r="CB337" s="850"/>
      <c r="CC337" s="850"/>
      <c r="CD337" s="850"/>
      <c r="CE337" s="850"/>
      <c r="CF337" s="850"/>
      <c r="CG337" s="169" t="s">
        <v>576</v>
      </c>
      <c r="CH337" s="421" t="s">
        <v>1046</v>
      </c>
      <c r="CI337" s="406"/>
      <c r="CJ337" s="23"/>
      <c r="CK337" s="417"/>
      <c r="CL337" s="572"/>
      <c r="CM337" s="648"/>
      <c r="CR337" s="406"/>
      <c r="CS337" s="648"/>
      <c r="CU337" s="23"/>
      <c r="CV337" s="23"/>
      <c r="CW337" s="23"/>
      <c r="CX337" s="23"/>
      <c r="DA337" s="648"/>
    </row>
    <row r="338" spans="1:105" s="35" customFormat="1" ht="12" customHeight="1" x14ac:dyDescent="0.2">
      <c r="A338" s="651"/>
      <c r="B338" s="537"/>
      <c r="C338" s="97" t="s">
        <v>4</v>
      </c>
      <c r="D338" s="169" t="s">
        <v>1131</v>
      </c>
      <c r="E338" s="647" t="s">
        <v>1162</v>
      </c>
      <c r="F338" s="647"/>
      <c r="G338" s="98"/>
      <c r="H338" s="97"/>
      <c r="I338" s="166">
        <v>2002</v>
      </c>
      <c r="J338" s="571"/>
      <c r="K338" s="571"/>
      <c r="L338" s="493" t="s">
        <v>243</v>
      </c>
      <c r="M338" s="98" t="s">
        <v>15</v>
      </c>
      <c r="N338" s="494" t="s">
        <v>783</v>
      </c>
      <c r="O338" s="237" t="s">
        <v>644</v>
      </c>
      <c r="P338" s="237"/>
      <c r="Q338" s="98"/>
      <c r="R338" s="167"/>
      <c r="S338" s="167"/>
      <c r="T338" s="167"/>
      <c r="U338" s="393">
        <v>1367</v>
      </c>
      <c r="V338" s="694"/>
      <c r="W338" s="711"/>
      <c r="X338" s="167"/>
      <c r="Y338" s="446"/>
      <c r="Z338" s="446"/>
      <c r="AA338" s="446"/>
      <c r="AB338" s="446"/>
      <c r="AC338" s="446"/>
      <c r="AD338" s="446"/>
      <c r="AE338" s="446"/>
      <c r="AF338" s="446"/>
      <c r="AG338" s="446"/>
      <c r="AH338" s="446"/>
      <c r="AI338" s="446"/>
      <c r="AJ338" s="446"/>
      <c r="AK338" s="446"/>
      <c r="AL338" s="446"/>
      <c r="AM338" s="446"/>
      <c r="AN338" s="446"/>
      <c r="AO338" s="446"/>
      <c r="AP338" s="446"/>
      <c r="AQ338" s="446"/>
      <c r="AR338" s="446"/>
      <c r="AS338" s="446"/>
      <c r="AT338" s="446"/>
      <c r="AU338" s="446"/>
      <c r="AV338" s="446"/>
      <c r="AW338" s="446"/>
      <c r="AX338" s="446"/>
      <c r="AY338" s="446"/>
      <c r="AZ338" s="446"/>
      <c r="BA338" s="446"/>
      <c r="BB338" s="446"/>
      <c r="BC338" s="446"/>
      <c r="BD338" s="446"/>
      <c r="BE338" s="445"/>
      <c r="BF338" s="445"/>
      <c r="BG338" s="446"/>
      <c r="BH338" s="446"/>
      <c r="BI338" s="445">
        <v>30.6</v>
      </c>
      <c r="BJ338" s="445">
        <v>15.9</v>
      </c>
      <c r="BK338" s="445"/>
      <c r="BL338" s="445"/>
      <c r="BM338" s="445"/>
      <c r="BN338" s="445"/>
      <c r="BO338" s="445"/>
      <c r="BP338" s="445"/>
      <c r="BQ338" s="444"/>
      <c r="BR338" s="444"/>
      <c r="BS338" s="442"/>
      <c r="BT338" s="445"/>
      <c r="BU338" s="445"/>
      <c r="BV338" s="445"/>
      <c r="BW338" s="445"/>
      <c r="BX338" s="756"/>
      <c r="BY338" s="850"/>
      <c r="BZ338" s="850"/>
      <c r="CA338" s="850"/>
      <c r="CB338" s="850"/>
      <c r="CC338" s="850"/>
      <c r="CD338" s="850"/>
      <c r="CE338" s="850"/>
      <c r="CF338" s="850"/>
      <c r="CG338" s="168" t="s">
        <v>219</v>
      </c>
      <c r="CH338" s="422" t="s">
        <v>664</v>
      </c>
      <c r="CI338" s="406"/>
      <c r="CJ338" s="23"/>
      <c r="CK338" s="648" t="s">
        <v>1064</v>
      </c>
      <c r="CL338" s="572"/>
      <c r="CM338" s="648"/>
      <c r="CR338" s="406"/>
      <c r="CS338" s="648"/>
      <c r="CU338" s="23"/>
      <c r="CV338" s="23"/>
      <c r="CW338" s="23"/>
      <c r="CX338" s="23"/>
      <c r="DA338" s="648"/>
    </row>
    <row r="339" spans="1:105" s="35" customFormat="1" ht="12" customHeight="1" x14ac:dyDescent="0.2">
      <c r="A339" s="652"/>
      <c r="B339" s="469" t="s">
        <v>1808</v>
      </c>
      <c r="C339" s="390" t="s">
        <v>181</v>
      </c>
      <c r="D339" s="479" t="s">
        <v>1125</v>
      </c>
      <c r="E339" s="647" t="s">
        <v>14</v>
      </c>
      <c r="F339" s="647"/>
      <c r="G339" s="237"/>
      <c r="H339" s="186"/>
      <c r="I339" s="166">
        <v>2011</v>
      </c>
      <c r="J339" s="571">
        <v>2011</v>
      </c>
      <c r="K339" s="571"/>
      <c r="L339" s="494" t="s">
        <v>244</v>
      </c>
      <c r="M339" s="247" t="s">
        <v>1837</v>
      </c>
      <c r="N339" s="494" t="s">
        <v>783</v>
      </c>
      <c r="O339" s="247" t="s">
        <v>19</v>
      </c>
      <c r="P339" s="98">
        <v>15</v>
      </c>
      <c r="Q339" s="247">
        <v>49</v>
      </c>
      <c r="R339" s="552">
        <v>28.734416916522047</v>
      </c>
      <c r="S339" s="552"/>
      <c r="T339" s="552"/>
      <c r="U339" s="553">
        <v>3505</v>
      </c>
      <c r="V339" s="794"/>
      <c r="W339" s="712"/>
      <c r="X339" s="552">
        <v>4.5612719955811611</v>
      </c>
      <c r="Y339" s="552">
        <v>9.2439372325249671</v>
      </c>
      <c r="Z339" s="552">
        <v>5.6205420827389503</v>
      </c>
      <c r="AA339" s="552">
        <v>17.546362339514996</v>
      </c>
      <c r="AB339" s="552">
        <v>17.546362339514996</v>
      </c>
      <c r="AC339" s="552">
        <v>14.693295292439355</v>
      </c>
      <c r="AD339" s="552">
        <v>9.3580599144079812</v>
      </c>
      <c r="AE339" s="552">
        <v>5.1640513552068334</v>
      </c>
      <c r="AF339" s="552">
        <v>3.1669044222539267</v>
      </c>
      <c r="AG339" s="552">
        <v>2.0256776034236799</v>
      </c>
      <c r="AH339" s="552">
        <v>1.112696148359485</v>
      </c>
      <c r="AI339" s="555"/>
      <c r="AJ339" s="555"/>
      <c r="AK339" s="555"/>
      <c r="AL339" s="555"/>
      <c r="AM339" s="552">
        <v>20.656205420827391</v>
      </c>
      <c r="AN339" s="552">
        <v>9.3009985734664653</v>
      </c>
      <c r="AO339" s="552">
        <v>9.9286733238231033</v>
      </c>
      <c r="AP339" s="552">
        <v>4.8502139800285367</v>
      </c>
      <c r="AQ339" s="552">
        <v>15.492154065620502</v>
      </c>
      <c r="AR339" s="552">
        <v>7.9029957203994341</v>
      </c>
      <c r="AS339" s="552">
        <v>8.6162624821683238</v>
      </c>
      <c r="AT339" s="552">
        <v>4.1654778887303898</v>
      </c>
      <c r="AU339" s="552">
        <v>10.499286733238232</v>
      </c>
      <c r="AV339" s="552">
        <v>4.9928673323823345</v>
      </c>
      <c r="AW339" s="552">
        <v>3.024251069900139</v>
      </c>
      <c r="AX339" s="552">
        <v>1.4550641940085611</v>
      </c>
      <c r="AY339" s="555"/>
      <c r="AZ339" s="555"/>
      <c r="BA339" s="552"/>
      <c r="BB339" s="552"/>
      <c r="BC339" s="555"/>
      <c r="BD339" s="555"/>
      <c r="BE339" s="552"/>
      <c r="BF339" s="552"/>
      <c r="BG339" s="552"/>
      <c r="BH339" s="552"/>
      <c r="BI339" s="552">
        <v>23.338088445078437</v>
      </c>
      <c r="BJ339" s="552">
        <v>11.58345221112693</v>
      </c>
      <c r="BK339" s="552"/>
      <c r="BL339" s="552"/>
      <c r="BM339" s="552">
        <v>14.293865905848797</v>
      </c>
      <c r="BN339" s="552">
        <v>8.6447931526390906</v>
      </c>
      <c r="BO339" s="552">
        <v>3.7089871611982912</v>
      </c>
      <c r="BP339" s="552">
        <v>2.1968616262482126</v>
      </c>
      <c r="BQ339" s="552"/>
      <c r="BR339" s="42"/>
      <c r="BS339" s="42"/>
      <c r="BT339" s="42"/>
      <c r="BU339" s="42">
        <v>12</v>
      </c>
      <c r="BV339" s="42"/>
      <c r="BW339" s="42"/>
      <c r="BX339" s="758"/>
      <c r="BY339" s="851"/>
      <c r="BZ339" s="851"/>
      <c r="CA339" s="851"/>
      <c r="CB339" s="851"/>
      <c r="CC339" s="851"/>
      <c r="CD339" s="851"/>
      <c r="CE339" s="851"/>
      <c r="CF339" s="851"/>
      <c r="CG339" s="97"/>
      <c r="CH339" s="647"/>
      <c r="CI339" s="97"/>
      <c r="CJ339" s="97"/>
      <c r="CK339" s="647"/>
      <c r="CL339" s="469" t="s">
        <v>1841</v>
      </c>
      <c r="CM339" s="647"/>
      <c r="CN339" s="97"/>
      <c r="CO339" s="97"/>
      <c r="CP339" s="97"/>
      <c r="CQ339" s="97"/>
      <c r="CR339" s="638"/>
      <c r="CS339" s="647"/>
      <c r="CU339" s="23"/>
      <c r="CV339" s="23"/>
      <c r="CW339" s="23"/>
      <c r="CX339" s="23"/>
      <c r="DA339" s="648"/>
    </row>
    <row r="340" spans="1:105" s="35" customFormat="1" ht="12" customHeight="1" x14ac:dyDescent="0.2">
      <c r="A340" s="651"/>
      <c r="B340" s="537"/>
      <c r="C340" s="97" t="s">
        <v>181</v>
      </c>
      <c r="D340" s="237" t="s">
        <v>1125</v>
      </c>
      <c r="E340" s="647" t="s">
        <v>14</v>
      </c>
      <c r="F340" s="647"/>
      <c r="G340" s="98"/>
      <c r="H340" s="97"/>
      <c r="I340" s="166">
        <v>2005</v>
      </c>
      <c r="J340" s="571"/>
      <c r="K340" s="571"/>
      <c r="L340" s="493"/>
      <c r="M340" s="98" t="s">
        <v>17</v>
      </c>
      <c r="N340" s="493"/>
      <c r="O340" s="98"/>
      <c r="P340" s="98"/>
      <c r="Q340" s="98"/>
      <c r="R340" s="167"/>
      <c r="S340" s="167"/>
      <c r="T340" s="167"/>
      <c r="U340" s="393">
        <v>587</v>
      </c>
      <c r="V340" s="694"/>
      <c r="W340" s="711"/>
      <c r="X340" s="167"/>
      <c r="Y340" s="446"/>
      <c r="Z340" s="446"/>
      <c r="AA340" s="446"/>
      <c r="AB340" s="446"/>
      <c r="AC340" s="446"/>
      <c r="AD340" s="446"/>
      <c r="AE340" s="446"/>
      <c r="AF340" s="446"/>
      <c r="AG340" s="446"/>
      <c r="AH340" s="446"/>
      <c r="AI340" s="446"/>
      <c r="AJ340" s="446"/>
      <c r="AK340" s="446"/>
      <c r="AL340" s="446"/>
      <c r="AM340" s="446"/>
      <c r="AN340" s="446"/>
      <c r="AO340" s="446"/>
      <c r="AP340" s="446"/>
      <c r="AQ340" s="446"/>
      <c r="AR340" s="446"/>
      <c r="AS340" s="446"/>
      <c r="AT340" s="446"/>
      <c r="AU340" s="446"/>
      <c r="AV340" s="446"/>
      <c r="AW340" s="446"/>
      <c r="AX340" s="446"/>
      <c r="AY340" s="446"/>
      <c r="AZ340" s="446"/>
      <c r="BA340" s="446"/>
      <c r="BB340" s="446"/>
      <c r="BC340" s="446"/>
      <c r="BD340" s="446"/>
      <c r="BE340" s="446"/>
      <c r="BF340" s="446"/>
      <c r="BG340" s="446"/>
      <c r="BH340" s="446"/>
      <c r="BI340" s="445"/>
      <c r="BJ340" s="446"/>
      <c r="BK340" s="446"/>
      <c r="BL340" s="446"/>
      <c r="BM340" s="446"/>
      <c r="BN340" s="446"/>
      <c r="BO340" s="446"/>
      <c r="BP340" s="446"/>
      <c r="BQ340" s="444"/>
      <c r="BR340" s="445"/>
      <c r="BS340" s="442">
        <v>35</v>
      </c>
      <c r="BT340" s="271"/>
      <c r="BU340" s="271"/>
      <c r="BV340" s="454"/>
      <c r="BW340" s="454"/>
      <c r="BX340" s="756"/>
      <c r="BY340" s="850"/>
      <c r="BZ340" s="850"/>
      <c r="CA340" s="850"/>
      <c r="CB340" s="850"/>
      <c r="CC340" s="850"/>
      <c r="CD340" s="850"/>
      <c r="CE340" s="850"/>
      <c r="CF340" s="850"/>
      <c r="CG340" s="237" t="s">
        <v>977</v>
      </c>
      <c r="CH340" s="417" t="s">
        <v>668</v>
      </c>
      <c r="CI340" s="406"/>
      <c r="CJ340" s="23"/>
      <c r="CK340" s="648" t="s">
        <v>549</v>
      </c>
      <c r="CL340" s="572"/>
      <c r="CM340" s="648"/>
      <c r="CR340" s="406"/>
      <c r="CS340" s="648"/>
      <c r="CU340" s="23"/>
      <c r="CV340" s="23"/>
      <c r="CW340" s="23"/>
      <c r="CX340" s="23"/>
      <c r="DA340" s="648"/>
    </row>
    <row r="341" spans="1:105" s="35" customFormat="1" ht="12" customHeight="1" x14ac:dyDescent="0.2">
      <c r="A341" s="651"/>
      <c r="B341" s="537"/>
      <c r="C341" s="97" t="s">
        <v>93</v>
      </c>
      <c r="D341" s="169" t="s">
        <v>1130</v>
      </c>
      <c r="E341" s="647" t="s">
        <v>14</v>
      </c>
      <c r="F341" s="647"/>
      <c r="G341" s="98"/>
      <c r="H341" s="97"/>
      <c r="I341" s="166">
        <v>1986</v>
      </c>
      <c r="J341" s="571"/>
      <c r="K341" s="571"/>
      <c r="L341" s="493"/>
      <c r="M341" s="98" t="s">
        <v>17</v>
      </c>
      <c r="N341" s="493"/>
      <c r="O341" s="98"/>
      <c r="P341" s="98"/>
      <c r="Q341" s="98"/>
      <c r="R341" s="167"/>
      <c r="S341" s="167"/>
      <c r="T341" s="167"/>
      <c r="U341" s="393">
        <v>989</v>
      </c>
      <c r="V341" s="694"/>
      <c r="W341" s="711"/>
      <c r="X341" s="167"/>
      <c r="Y341" s="446"/>
      <c r="Z341" s="446"/>
      <c r="AA341" s="446"/>
      <c r="AB341" s="446"/>
      <c r="AC341" s="446"/>
      <c r="AD341" s="446"/>
      <c r="AE341" s="446"/>
      <c r="AF341" s="446"/>
      <c r="AG341" s="446"/>
      <c r="AH341" s="446"/>
      <c r="AI341" s="446"/>
      <c r="AJ341" s="446"/>
      <c r="AK341" s="446"/>
      <c r="AL341" s="446"/>
      <c r="AM341" s="446"/>
      <c r="AN341" s="446"/>
      <c r="AO341" s="446"/>
      <c r="AP341" s="446"/>
      <c r="AQ341" s="446"/>
      <c r="AR341" s="446"/>
      <c r="AS341" s="446"/>
      <c r="AT341" s="446"/>
      <c r="AU341" s="446"/>
      <c r="AV341" s="446"/>
      <c r="AW341" s="446"/>
      <c r="AX341" s="446"/>
      <c r="AY341" s="446"/>
      <c r="AZ341" s="446"/>
      <c r="BA341" s="446"/>
      <c r="BB341" s="446"/>
      <c r="BC341" s="446"/>
      <c r="BD341" s="446"/>
      <c r="BE341" s="446"/>
      <c r="BF341" s="446"/>
      <c r="BG341" s="446"/>
      <c r="BH341" s="446"/>
      <c r="BI341" s="442">
        <v>21</v>
      </c>
      <c r="BJ341" s="446"/>
      <c r="BK341" s="446"/>
      <c r="BL341" s="446"/>
      <c r="BM341" s="446"/>
      <c r="BN341" s="446"/>
      <c r="BO341" s="446"/>
      <c r="BP341" s="446"/>
      <c r="BQ341" s="444"/>
      <c r="BR341" s="445"/>
      <c r="BS341" s="442"/>
      <c r="BT341" s="445"/>
      <c r="BU341" s="445"/>
      <c r="BV341" s="445"/>
      <c r="BW341" s="445"/>
      <c r="BX341" s="761"/>
      <c r="BY341" s="856"/>
      <c r="BZ341" s="856"/>
      <c r="CA341" s="856"/>
      <c r="CB341" s="856"/>
      <c r="CC341" s="856"/>
      <c r="CD341" s="856"/>
      <c r="CE341" s="856"/>
      <c r="CF341" s="856"/>
      <c r="CG341" s="169" t="s">
        <v>523</v>
      </c>
      <c r="CH341" s="417"/>
      <c r="CI341" s="406"/>
      <c r="CJ341" s="23"/>
      <c r="CK341" s="426" t="s">
        <v>1041</v>
      </c>
      <c r="CL341" s="572"/>
      <c r="CM341" s="648"/>
      <c r="CN341" s="126"/>
      <c r="CO341" s="126"/>
      <c r="CP341" s="126"/>
      <c r="CQ341" s="126"/>
      <c r="CR341" s="406"/>
      <c r="CS341" s="648"/>
      <c r="CU341" s="23"/>
      <c r="CV341" s="23"/>
      <c r="CW341" s="23"/>
      <c r="CX341" s="23"/>
      <c r="DA341" s="648"/>
    </row>
    <row r="342" spans="1:105" s="35" customFormat="1" ht="12" customHeight="1" x14ac:dyDescent="0.2">
      <c r="A342" s="651"/>
      <c r="B342" s="537"/>
      <c r="C342" s="97" t="s">
        <v>182</v>
      </c>
      <c r="D342" s="237" t="s">
        <v>1134</v>
      </c>
      <c r="E342" s="647" t="s">
        <v>14</v>
      </c>
      <c r="F342" s="647"/>
      <c r="G342" s="98"/>
      <c r="H342" s="97"/>
      <c r="I342" s="166">
        <v>2001</v>
      </c>
      <c r="J342" s="571"/>
      <c r="K342" s="571"/>
      <c r="L342" s="493"/>
      <c r="M342" s="98" t="s">
        <v>17</v>
      </c>
      <c r="N342" s="493"/>
      <c r="O342" s="98" t="s">
        <v>567</v>
      </c>
      <c r="P342" s="98"/>
      <c r="Q342" s="98"/>
      <c r="R342" s="167"/>
      <c r="S342" s="167"/>
      <c r="T342" s="167"/>
      <c r="U342" s="393">
        <v>2526</v>
      </c>
      <c r="V342" s="694"/>
      <c r="W342" s="711"/>
      <c r="X342" s="167"/>
      <c r="Y342" s="446"/>
      <c r="Z342" s="446"/>
      <c r="AA342" s="446"/>
      <c r="AB342" s="446"/>
      <c r="AC342" s="446"/>
      <c r="AD342" s="446"/>
      <c r="AE342" s="446"/>
      <c r="AF342" s="446"/>
      <c r="AG342" s="446"/>
      <c r="AH342" s="446"/>
      <c r="AI342" s="446"/>
      <c r="AJ342" s="446"/>
      <c r="AK342" s="446"/>
      <c r="AL342" s="446"/>
      <c r="AM342" s="446"/>
      <c r="AN342" s="446"/>
      <c r="AO342" s="446"/>
      <c r="AP342" s="446"/>
      <c r="AQ342" s="446"/>
      <c r="AR342" s="446"/>
      <c r="AS342" s="446"/>
      <c r="AT342" s="446"/>
      <c r="AU342" s="446"/>
      <c r="AV342" s="446"/>
      <c r="AW342" s="446"/>
      <c r="AX342" s="446"/>
      <c r="AY342" s="446"/>
      <c r="AZ342" s="446"/>
      <c r="BA342" s="446"/>
      <c r="BB342" s="446"/>
      <c r="BC342" s="446"/>
      <c r="BD342" s="446"/>
      <c r="BE342" s="446"/>
      <c r="BF342" s="446"/>
      <c r="BG342" s="446"/>
      <c r="BH342" s="446"/>
      <c r="BI342" s="444"/>
      <c r="BJ342" s="446"/>
      <c r="BK342" s="446"/>
      <c r="BL342" s="446"/>
      <c r="BM342" s="446"/>
      <c r="BN342" s="446"/>
      <c r="BO342" s="446"/>
      <c r="BP342" s="446"/>
      <c r="BQ342" s="444"/>
      <c r="BR342" s="445"/>
      <c r="BS342" s="442">
        <v>21.2</v>
      </c>
      <c r="BT342" s="445">
        <v>3</v>
      </c>
      <c r="BU342" s="445"/>
      <c r="BV342" s="445"/>
      <c r="BW342" s="445"/>
      <c r="BX342" s="756"/>
      <c r="BY342" s="850"/>
      <c r="BZ342" s="850"/>
      <c r="CA342" s="850"/>
      <c r="CB342" s="850"/>
      <c r="CC342" s="850"/>
      <c r="CD342" s="850"/>
      <c r="CE342" s="850"/>
      <c r="CF342" s="850"/>
      <c r="CG342" s="98" t="s">
        <v>268</v>
      </c>
      <c r="CH342" s="422" t="s">
        <v>779</v>
      </c>
      <c r="CI342" s="407"/>
      <c r="CJ342" s="23"/>
      <c r="CK342" s="417"/>
      <c r="CL342" s="572"/>
      <c r="CM342" s="648"/>
      <c r="CR342" s="406"/>
      <c r="CS342" s="648"/>
      <c r="CU342" s="23"/>
      <c r="CV342" s="23"/>
      <c r="CW342" s="23"/>
      <c r="CX342" s="23"/>
      <c r="DA342" s="648"/>
    </row>
    <row r="343" spans="1:105" s="35" customFormat="1" ht="12" customHeight="1" x14ac:dyDescent="0.2">
      <c r="A343" s="651"/>
      <c r="B343" s="537"/>
      <c r="C343" s="97" t="s">
        <v>182</v>
      </c>
      <c r="D343" s="237" t="s">
        <v>1134</v>
      </c>
      <c r="E343" s="647" t="s">
        <v>255</v>
      </c>
      <c r="F343" s="647"/>
      <c r="G343" s="98"/>
      <c r="H343" s="97"/>
      <c r="I343" s="166">
        <v>2002</v>
      </c>
      <c r="J343" s="571"/>
      <c r="K343" s="571"/>
      <c r="L343" s="493" t="s">
        <v>243</v>
      </c>
      <c r="M343" s="98" t="s">
        <v>15</v>
      </c>
      <c r="N343" s="494" t="s">
        <v>783</v>
      </c>
      <c r="O343" s="98" t="s">
        <v>559</v>
      </c>
      <c r="P343" s="98"/>
      <c r="Q343" s="98"/>
      <c r="R343" s="167"/>
      <c r="S343" s="167"/>
      <c r="T343" s="167"/>
      <c r="U343" s="393">
        <v>1309</v>
      </c>
      <c r="V343" s="694"/>
      <c r="W343" s="711"/>
      <c r="X343" s="167"/>
      <c r="Y343" s="446"/>
      <c r="Z343" s="446"/>
      <c r="AA343" s="446"/>
      <c r="AB343" s="446"/>
      <c r="AC343" s="446"/>
      <c r="AD343" s="446"/>
      <c r="AE343" s="446"/>
      <c r="AF343" s="446"/>
      <c r="AG343" s="446"/>
      <c r="AH343" s="446"/>
      <c r="AI343" s="446"/>
      <c r="AJ343" s="446"/>
      <c r="AK343" s="446"/>
      <c r="AL343" s="446"/>
      <c r="AM343" s="446"/>
      <c r="AN343" s="446"/>
      <c r="AO343" s="446"/>
      <c r="AP343" s="446"/>
      <c r="AQ343" s="446"/>
      <c r="AR343" s="446"/>
      <c r="AS343" s="446"/>
      <c r="AT343" s="446"/>
      <c r="AU343" s="446"/>
      <c r="AV343" s="446"/>
      <c r="AW343" s="446"/>
      <c r="AX343" s="446"/>
      <c r="AY343" s="446"/>
      <c r="AZ343" s="446"/>
      <c r="BA343" s="446"/>
      <c r="BB343" s="446"/>
      <c r="BC343" s="446"/>
      <c r="BD343" s="446"/>
      <c r="BE343" s="445"/>
      <c r="BF343" s="445"/>
      <c r="BG343" s="446"/>
      <c r="BH343" s="446"/>
      <c r="BI343" s="442">
        <v>30.2</v>
      </c>
      <c r="BJ343" s="445">
        <v>5.3</v>
      </c>
      <c r="BK343" s="445"/>
      <c r="BL343" s="445"/>
      <c r="BM343" s="445"/>
      <c r="BN343" s="445"/>
      <c r="BO343" s="445"/>
      <c r="BP343" s="445"/>
      <c r="BQ343" s="444"/>
      <c r="BR343" s="444"/>
      <c r="BS343" s="442"/>
      <c r="BT343" s="445"/>
      <c r="BU343" s="445"/>
      <c r="BV343" s="445"/>
      <c r="BW343" s="445"/>
      <c r="BX343" s="756"/>
      <c r="BY343" s="850"/>
      <c r="BZ343" s="850"/>
      <c r="CA343" s="850"/>
      <c r="CB343" s="850"/>
      <c r="CC343" s="850"/>
      <c r="CD343" s="850"/>
      <c r="CE343" s="850"/>
      <c r="CF343" s="850"/>
      <c r="CG343" s="237" t="s">
        <v>523</v>
      </c>
      <c r="CH343" s="417"/>
      <c r="CI343" s="406"/>
      <c r="CJ343" s="23"/>
      <c r="CK343" s="426" t="s">
        <v>1041</v>
      </c>
      <c r="CL343" s="572"/>
      <c r="CM343" s="648"/>
      <c r="CR343" s="406"/>
      <c r="CS343" s="648"/>
      <c r="CU343" s="23"/>
      <c r="CV343" s="23"/>
      <c r="CW343" s="23"/>
      <c r="CX343" s="23"/>
      <c r="DA343" s="648"/>
    </row>
    <row r="344" spans="1:105" s="35" customFormat="1" ht="12" customHeight="1" x14ac:dyDescent="0.2">
      <c r="A344" s="651"/>
      <c r="B344" s="537"/>
      <c r="C344" s="97" t="s">
        <v>182</v>
      </c>
      <c r="D344" s="237" t="s">
        <v>1134</v>
      </c>
      <c r="E344" s="647" t="s">
        <v>256</v>
      </c>
      <c r="F344" s="647"/>
      <c r="G344" s="98"/>
      <c r="H344" s="97"/>
      <c r="I344" s="166">
        <v>2002</v>
      </c>
      <c r="J344" s="571"/>
      <c r="K344" s="571"/>
      <c r="L344" s="493"/>
      <c r="M344" s="98" t="s">
        <v>15</v>
      </c>
      <c r="N344" s="493"/>
      <c r="O344" s="98"/>
      <c r="P344" s="98"/>
      <c r="Q344" s="98"/>
      <c r="R344" s="167"/>
      <c r="S344" s="167"/>
      <c r="T344" s="167"/>
      <c r="U344" s="393">
        <v>1360</v>
      </c>
      <c r="V344" s="694"/>
      <c r="W344" s="711"/>
      <c r="X344" s="167"/>
      <c r="Y344" s="446"/>
      <c r="Z344" s="446"/>
      <c r="AA344" s="446"/>
      <c r="AB344" s="446"/>
      <c r="AC344" s="446"/>
      <c r="AD344" s="446"/>
      <c r="AE344" s="446"/>
      <c r="AF344" s="446"/>
      <c r="AG344" s="446"/>
      <c r="AH344" s="446"/>
      <c r="AI344" s="446"/>
      <c r="AJ344" s="446"/>
      <c r="AK344" s="446"/>
      <c r="AL344" s="446"/>
      <c r="AM344" s="446"/>
      <c r="AN344" s="446"/>
      <c r="AO344" s="446"/>
      <c r="AP344" s="446"/>
      <c r="AQ344" s="446"/>
      <c r="AR344" s="446"/>
      <c r="AS344" s="446"/>
      <c r="AT344" s="446"/>
      <c r="AU344" s="446"/>
      <c r="AV344" s="446"/>
      <c r="AW344" s="446"/>
      <c r="AX344" s="446"/>
      <c r="AY344" s="446"/>
      <c r="AZ344" s="446"/>
      <c r="BA344" s="446"/>
      <c r="BB344" s="446"/>
      <c r="BC344" s="446"/>
      <c r="BD344" s="446"/>
      <c r="BE344" s="445"/>
      <c r="BF344" s="445"/>
      <c r="BG344" s="446"/>
      <c r="BH344" s="446"/>
      <c r="BI344" s="442">
        <v>34</v>
      </c>
      <c r="BJ344" s="445"/>
      <c r="BK344" s="445"/>
      <c r="BL344" s="445"/>
      <c r="BM344" s="445"/>
      <c r="BN344" s="445"/>
      <c r="BO344" s="445"/>
      <c r="BP344" s="445"/>
      <c r="BQ344" s="444"/>
      <c r="BR344" s="444"/>
      <c r="BS344" s="442"/>
      <c r="BT344" s="445"/>
      <c r="BU344" s="445"/>
      <c r="BV344" s="445"/>
      <c r="BW344" s="445"/>
      <c r="BX344" s="756"/>
      <c r="BY344" s="850"/>
      <c r="BZ344" s="850"/>
      <c r="CA344" s="850"/>
      <c r="CB344" s="850"/>
      <c r="CC344" s="850"/>
      <c r="CD344" s="850"/>
      <c r="CE344" s="850"/>
      <c r="CF344" s="850"/>
      <c r="CG344" s="237" t="s">
        <v>523</v>
      </c>
      <c r="CH344" s="417"/>
      <c r="CI344" s="406"/>
      <c r="CJ344" s="23"/>
      <c r="CK344" s="426" t="s">
        <v>1041</v>
      </c>
      <c r="CL344" s="572"/>
      <c r="CM344" s="648"/>
      <c r="CR344" s="406"/>
      <c r="CS344" s="648"/>
      <c r="CU344" s="23"/>
      <c r="CV344" s="23"/>
      <c r="CW344" s="23"/>
      <c r="CX344" s="23"/>
      <c r="DA344" s="648"/>
    </row>
    <row r="345" spans="1:105" s="35" customFormat="1" ht="12" customHeight="1" x14ac:dyDescent="0.2">
      <c r="A345" s="651"/>
      <c r="B345" s="537"/>
      <c r="C345" s="97" t="s">
        <v>182</v>
      </c>
      <c r="D345" s="169" t="s">
        <v>1134</v>
      </c>
      <c r="E345" s="647"/>
      <c r="F345" s="647"/>
      <c r="G345" s="98"/>
      <c r="H345" s="97"/>
      <c r="I345" s="166">
        <v>2004</v>
      </c>
      <c r="J345" s="571"/>
      <c r="K345" s="571"/>
      <c r="L345" s="493"/>
      <c r="M345" s="98" t="s">
        <v>15</v>
      </c>
      <c r="N345" s="493"/>
      <c r="O345" s="98"/>
      <c r="P345" s="98"/>
      <c r="Q345" s="98"/>
      <c r="R345" s="167"/>
      <c r="S345" s="167"/>
      <c r="T345" s="167"/>
      <c r="U345" s="393">
        <v>174</v>
      </c>
      <c r="V345" s="694"/>
      <c r="W345" s="711"/>
      <c r="X345" s="167"/>
      <c r="Y345" s="446"/>
      <c r="Z345" s="446"/>
      <c r="AA345" s="446"/>
      <c r="AB345" s="446"/>
      <c r="AC345" s="446"/>
      <c r="AD345" s="446"/>
      <c r="AE345" s="446"/>
      <c r="AF345" s="446"/>
      <c r="AG345" s="446"/>
      <c r="AH345" s="446"/>
      <c r="AI345" s="446"/>
      <c r="AJ345" s="446"/>
      <c r="AK345" s="446"/>
      <c r="AL345" s="446"/>
      <c r="AM345" s="446"/>
      <c r="AN345" s="446"/>
      <c r="AO345" s="446"/>
      <c r="AP345" s="446"/>
      <c r="AQ345" s="446"/>
      <c r="AR345" s="446"/>
      <c r="AS345" s="446"/>
      <c r="AT345" s="446"/>
      <c r="AU345" s="446"/>
      <c r="AV345" s="446"/>
      <c r="AW345" s="446"/>
      <c r="AX345" s="446"/>
      <c r="AY345" s="446"/>
      <c r="AZ345" s="446"/>
      <c r="BA345" s="446"/>
      <c r="BB345" s="446"/>
      <c r="BC345" s="446"/>
      <c r="BD345" s="446"/>
      <c r="BE345" s="445"/>
      <c r="BF345" s="445"/>
      <c r="BG345" s="446"/>
      <c r="BH345" s="446"/>
      <c r="BI345" s="445">
        <v>21.3</v>
      </c>
      <c r="BJ345" s="445"/>
      <c r="BK345" s="445"/>
      <c r="BL345" s="445"/>
      <c r="BM345" s="445"/>
      <c r="BN345" s="445"/>
      <c r="BO345" s="445"/>
      <c r="BP345" s="445"/>
      <c r="BQ345" s="444"/>
      <c r="BR345" s="444"/>
      <c r="BS345" s="442">
        <v>44.3</v>
      </c>
      <c r="BT345" s="446"/>
      <c r="BU345" s="446"/>
      <c r="BV345" s="442"/>
      <c r="BW345" s="442"/>
      <c r="BX345" s="756"/>
      <c r="BY345" s="850"/>
      <c r="BZ345" s="850"/>
      <c r="CA345" s="850"/>
      <c r="CB345" s="850"/>
      <c r="CC345" s="850"/>
      <c r="CD345" s="850"/>
      <c r="CE345" s="850"/>
      <c r="CF345" s="850"/>
      <c r="CG345" s="169" t="s">
        <v>957</v>
      </c>
      <c r="CH345" s="417"/>
      <c r="CI345" s="406"/>
      <c r="CJ345" s="23"/>
      <c r="CK345" s="648" t="s">
        <v>1177</v>
      </c>
      <c r="CL345" s="572"/>
      <c r="CM345" s="648"/>
      <c r="CR345" s="406"/>
      <c r="CS345" s="648"/>
      <c r="CU345" s="23"/>
      <c r="CV345" s="23"/>
      <c r="CW345" s="23"/>
      <c r="CX345" s="23"/>
      <c r="DA345" s="648"/>
    </row>
    <row r="346" spans="1:105" s="35" customFormat="1" ht="12" customHeight="1" x14ac:dyDescent="0.2">
      <c r="A346" s="652"/>
      <c r="B346" s="469" t="s">
        <v>1830</v>
      </c>
      <c r="C346" s="390" t="s">
        <v>51</v>
      </c>
      <c r="D346" s="237" t="s">
        <v>1132</v>
      </c>
      <c r="E346" s="647" t="s">
        <v>14</v>
      </c>
      <c r="F346" s="647"/>
      <c r="G346" s="237"/>
      <c r="H346" s="186"/>
      <c r="I346" s="481" t="s">
        <v>331</v>
      </c>
      <c r="J346" s="571">
        <v>1998</v>
      </c>
      <c r="K346" s="571"/>
      <c r="L346" s="494" t="s">
        <v>244</v>
      </c>
      <c r="M346" s="247" t="s">
        <v>1837</v>
      </c>
      <c r="N346" s="494" t="s">
        <v>783</v>
      </c>
      <c r="O346" s="247" t="s">
        <v>19</v>
      </c>
      <c r="P346" s="98">
        <v>15</v>
      </c>
      <c r="Q346" s="247">
        <v>49</v>
      </c>
      <c r="R346" s="552">
        <v>28.1897364402842</v>
      </c>
      <c r="S346" s="552"/>
      <c r="T346" s="552"/>
      <c r="U346" s="553">
        <v>8454</v>
      </c>
      <c r="V346" s="794"/>
      <c r="W346" s="712"/>
      <c r="X346" s="552">
        <v>5.6521190381294319</v>
      </c>
      <c r="Y346" s="552">
        <v>27.803433984606308</v>
      </c>
      <c r="Z346" s="552">
        <v>12.596006144393252</v>
      </c>
      <c r="AA346" s="555"/>
      <c r="AB346" s="555"/>
      <c r="AC346" s="555"/>
      <c r="AD346" s="555"/>
      <c r="AE346" s="552">
        <v>17.281899109792374</v>
      </c>
      <c r="AF346" s="552">
        <v>6.969589397704409</v>
      </c>
      <c r="AG346" s="552">
        <v>9.1480033179286977</v>
      </c>
      <c r="AH346" s="552">
        <v>2.8824571766095661</v>
      </c>
      <c r="AI346" s="555"/>
      <c r="AJ346" s="555"/>
      <c r="AK346" s="555"/>
      <c r="AL346" s="555"/>
      <c r="AM346" s="552">
        <v>17.311802422227441</v>
      </c>
      <c r="AN346" s="552">
        <v>6.2973484848484862</v>
      </c>
      <c r="AO346" s="555"/>
      <c r="AP346" s="555"/>
      <c r="AQ346" s="552">
        <v>22.594786729857869</v>
      </c>
      <c r="AR346" s="552">
        <v>9.1489361702127763</v>
      </c>
      <c r="AS346" s="552">
        <v>19.732322634134722</v>
      </c>
      <c r="AT346" s="552">
        <v>7.0339283603262865</v>
      </c>
      <c r="AU346" s="552">
        <v>9.57799905168328</v>
      </c>
      <c r="AV346" s="552">
        <v>3.2162705451105595</v>
      </c>
      <c r="AW346" s="552">
        <v>7.2156398104265254</v>
      </c>
      <c r="AX346" s="552">
        <v>2.4935003545261121</v>
      </c>
      <c r="AY346" s="555"/>
      <c r="AZ346" s="555"/>
      <c r="BA346" s="552"/>
      <c r="BB346" s="552"/>
      <c r="BC346" s="555"/>
      <c r="BD346" s="555"/>
      <c r="BE346" s="552"/>
      <c r="BF346" s="552"/>
      <c r="BG346" s="552"/>
      <c r="BH346" s="552"/>
      <c r="BI346" s="552">
        <v>27.300686065767696</v>
      </c>
      <c r="BJ346" s="552">
        <v>11.197732104890132</v>
      </c>
      <c r="BK346" s="552"/>
      <c r="BL346" s="552"/>
      <c r="BM346" s="552">
        <v>9.48714911761226</v>
      </c>
      <c r="BN346" s="552">
        <v>3.2132309509746024</v>
      </c>
      <c r="BO346" s="552">
        <v>5.6899004267424891</v>
      </c>
      <c r="BP346" s="552">
        <v>2.2098794611202925</v>
      </c>
      <c r="BQ346" s="552"/>
      <c r="BR346" s="42"/>
      <c r="BS346" s="42"/>
      <c r="BT346" s="42"/>
      <c r="BU346" s="42">
        <v>12</v>
      </c>
      <c r="BV346" s="42"/>
      <c r="BW346" s="42"/>
      <c r="BX346" s="758"/>
      <c r="BY346" s="851"/>
      <c r="BZ346" s="851"/>
      <c r="CA346" s="851"/>
      <c r="CB346" s="851"/>
      <c r="CC346" s="851"/>
      <c r="CD346" s="851"/>
      <c r="CE346" s="851"/>
      <c r="CF346" s="851"/>
      <c r="CG346" s="97"/>
      <c r="CH346" s="647"/>
      <c r="CI346" s="97"/>
      <c r="CJ346" s="97"/>
      <c r="CK346" s="647"/>
      <c r="CL346" s="469" t="s">
        <v>1841</v>
      </c>
      <c r="CM346" s="647"/>
      <c r="CN346" s="97"/>
      <c r="CO346" s="97"/>
      <c r="CP346" s="97"/>
      <c r="CQ346" s="97"/>
      <c r="CR346" s="638"/>
      <c r="CS346" s="647"/>
      <c r="CU346" s="23"/>
      <c r="CV346" s="23"/>
      <c r="CW346" s="23"/>
      <c r="CX346" s="23"/>
      <c r="DA346" s="648"/>
    </row>
    <row r="347" spans="1:105" s="35" customFormat="1" ht="12" customHeight="1" x14ac:dyDescent="0.2">
      <c r="A347" s="651"/>
      <c r="B347" s="537"/>
      <c r="C347" s="97" t="s">
        <v>51</v>
      </c>
      <c r="D347" s="169" t="s">
        <v>1132</v>
      </c>
      <c r="E347" s="647" t="s">
        <v>52</v>
      </c>
      <c r="F347" s="647"/>
      <c r="G347" s="98"/>
      <c r="H347" s="97"/>
      <c r="I347" s="166">
        <v>1995</v>
      </c>
      <c r="J347" s="571"/>
      <c r="K347" s="571"/>
      <c r="L347" s="496" t="s">
        <v>794</v>
      </c>
      <c r="M347" s="98" t="s">
        <v>15</v>
      </c>
      <c r="N347" s="496"/>
      <c r="O347" s="98"/>
      <c r="P347" s="98"/>
      <c r="Q347" s="98"/>
      <c r="R347" s="167"/>
      <c r="S347" s="167"/>
      <c r="T347" s="167"/>
      <c r="U347" s="393">
        <v>360</v>
      </c>
      <c r="V347" s="694"/>
      <c r="W347" s="711"/>
      <c r="X347" s="167"/>
      <c r="Y347" s="446"/>
      <c r="Z347" s="446"/>
      <c r="AA347" s="446"/>
      <c r="AB347" s="446"/>
      <c r="AC347" s="446"/>
      <c r="AD347" s="446"/>
      <c r="AE347" s="446"/>
      <c r="AF347" s="446"/>
      <c r="AG347" s="446"/>
      <c r="AH347" s="446"/>
      <c r="AI347" s="446"/>
      <c r="AJ347" s="446"/>
      <c r="AK347" s="446"/>
      <c r="AL347" s="446"/>
      <c r="AM347" s="446"/>
      <c r="AN347" s="446"/>
      <c r="AO347" s="446"/>
      <c r="AP347" s="446"/>
      <c r="AQ347" s="446"/>
      <c r="AR347" s="446"/>
      <c r="AS347" s="446"/>
      <c r="AT347" s="446"/>
      <c r="AU347" s="446"/>
      <c r="AV347" s="446"/>
      <c r="AW347" s="446"/>
      <c r="AX347" s="446"/>
      <c r="AY347" s="446"/>
      <c r="AZ347" s="446"/>
      <c r="BA347" s="446"/>
      <c r="BB347" s="446"/>
      <c r="BC347" s="446"/>
      <c r="BD347" s="446"/>
      <c r="BE347" s="445"/>
      <c r="BF347" s="445"/>
      <c r="BG347" s="446"/>
      <c r="BH347" s="446"/>
      <c r="BI347" s="442">
        <v>52</v>
      </c>
      <c r="BJ347" s="445">
        <v>27</v>
      </c>
      <c r="BK347" s="445"/>
      <c r="BL347" s="445"/>
      <c r="BM347" s="445"/>
      <c r="BN347" s="445"/>
      <c r="BO347" s="445"/>
      <c r="BP347" s="445"/>
      <c r="BQ347" s="444"/>
      <c r="BR347" s="444"/>
      <c r="BS347" s="442"/>
      <c r="BT347" s="445"/>
      <c r="BU347" s="445"/>
      <c r="BV347" s="445"/>
      <c r="BW347" s="445"/>
      <c r="BX347" s="756"/>
      <c r="BY347" s="850"/>
      <c r="BZ347" s="850"/>
      <c r="CA347" s="850"/>
      <c r="CB347" s="850"/>
      <c r="CC347" s="850"/>
      <c r="CD347" s="850"/>
      <c r="CE347" s="850"/>
      <c r="CF347" s="850"/>
      <c r="CG347" s="169" t="s">
        <v>523</v>
      </c>
      <c r="CH347" s="417"/>
      <c r="CI347" s="406"/>
      <c r="CJ347" s="23"/>
      <c r="CK347" s="426" t="s">
        <v>1041</v>
      </c>
      <c r="CL347" s="572"/>
      <c r="CM347" s="648"/>
      <c r="CR347" s="406"/>
      <c r="CS347" s="648"/>
      <c r="CU347" s="23"/>
      <c r="CV347" s="23"/>
      <c r="CW347" s="23"/>
      <c r="CX347" s="23"/>
      <c r="DA347" s="648"/>
    </row>
    <row r="348" spans="1:105" s="35" customFormat="1" ht="12" customHeight="1" x14ac:dyDescent="0.2">
      <c r="A348" s="651"/>
      <c r="B348" s="537"/>
      <c r="C348" s="97" t="s">
        <v>51</v>
      </c>
      <c r="D348" s="169" t="s">
        <v>1132</v>
      </c>
      <c r="E348" s="647" t="s">
        <v>53</v>
      </c>
      <c r="F348" s="647"/>
      <c r="G348" s="98"/>
      <c r="H348" s="97"/>
      <c r="I348" s="166">
        <v>1997</v>
      </c>
      <c r="J348" s="571"/>
      <c r="K348" s="571"/>
      <c r="L348" s="493"/>
      <c r="M348" s="98" t="s">
        <v>15</v>
      </c>
      <c r="N348" s="493"/>
      <c r="O348" s="98" t="s">
        <v>116</v>
      </c>
      <c r="P348" s="98"/>
      <c r="Q348" s="98"/>
      <c r="R348" s="167"/>
      <c r="S348" s="167"/>
      <c r="T348" s="167"/>
      <c r="U348" s="393">
        <v>378</v>
      </c>
      <c r="V348" s="694"/>
      <c r="W348" s="711"/>
      <c r="X348" s="167"/>
      <c r="Y348" s="446"/>
      <c r="Z348" s="446"/>
      <c r="AA348" s="446"/>
      <c r="AB348" s="446"/>
      <c r="AC348" s="446"/>
      <c r="AD348" s="446"/>
      <c r="AE348" s="446"/>
      <c r="AF348" s="446"/>
      <c r="AG348" s="446"/>
      <c r="AH348" s="446"/>
      <c r="AI348" s="446"/>
      <c r="AJ348" s="446"/>
      <c r="AK348" s="446"/>
      <c r="AL348" s="446"/>
      <c r="AM348" s="446"/>
      <c r="AN348" s="446"/>
      <c r="AO348" s="446"/>
      <c r="AP348" s="446"/>
      <c r="AQ348" s="446"/>
      <c r="AR348" s="446"/>
      <c r="AS348" s="446"/>
      <c r="AT348" s="446"/>
      <c r="AU348" s="446"/>
      <c r="AV348" s="446"/>
      <c r="AW348" s="446"/>
      <c r="AX348" s="446"/>
      <c r="AY348" s="446"/>
      <c r="AZ348" s="446"/>
      <c r="BA348" s="446"/>
      <c r="BB348" s="446"/>
      <c r="BC348" s="446"/>
      <c r="BD348" s="446"/>
      <c r="BE348" s="445"/>
      <c r="BF348" s="445"/>
      <c r="BG348" s="446"/>
      <c r="BH348" s="446"/>
      <c r="BI348" s="442">
        <v>69</v>
      </c>
      <c r="BJ348" s="445">
        <v>33</v>
      </c>
      <c r="BK348" s="445"/>
      <c r="BL348" s="445"/>
      <c r="BM348" s="445"/>
      <c r="BN348" s="445"/>
      <c r="BO348" s="445"/>
      <c r="BP348" s="445"/>
      <c r="BQ348" s="444"/>
      <c r="BR348" s="444"/>
      <c r="BS348" s="442"/>
      <c r="BT348" s="445"/>
      <c r="BU348" s="445"/>
      <c r="BV348" s="445"/>
      <c r="BW348" s="445"/>
      <c r="BX348" s="756"/>
      <c r="BY348" s="850"/>
      <c r="BZ348" s="850"/>
      <c r="CA348" s="850"/>
      <c r="CB348" s="850"/>
      <c r="CC348" s="850"/>
      <c r="CD348" s="850"/>
      <c r="CE348" s="850"/>
      <c r="CF348" s="850"/>
      <c r="CG348" s="169" t="s">
        <v>523</v>
      </c>
      <c r="CH348" s="417"/>
      <c r="CI348" s="406"/>
      <c r="CJ348" s="23"/>
      <c r="CK348" s="426" t="s">
        <v>1041</v>
      </c>
      <c r="CL348" s="572"/>
      <c r="CM348" s="648"/>
      <c r="CR348" s="406"/>
      <c r="CS348" s="648"/>
      <c r="CU348" s="23"/>
      <c r="CV348" s="23"/>
      <c r="CW348" s="23"/>
      <c r="CX348" s="23"/>
      <c r="DA348" s="648"/>
    </row>
    <row r="349" spans="1:105" s="35" customFormat="1" ht="12" customHeight="1" x14ac:dyDescent="0.2">
      <c r="A349" s="651"/>
      <c r="B349" s="537"/>
      <c r="C349" s="97" t="s">
        <v>51</v>
      </c>
      <c r="D349" s="169" t="s">
        <v>1132</v>
      </c>
      <c r="E349" s="647" t="s">
        <v>14</v>
      </c>
      <c r="F349" s="647"/>
      <c r="G349" s="237"/>
      <c r="H349" s="186"/>
      <c r="I349" s="166">
        <v>1998</v>
      </c>
      <c r="J349" s="390"/>
      <c r="K349" s="390"/>
      <c r="L349" s="493"/>
      <c r="M349" s="237" t="s">
        <v>15</v>
      </c>
      <c r="N349" s="493"/>
      <c r="O349" s="98" t="s">
        <v>238</v>
      </c>
      <c r="P349" s="98"/>
      <c r="Q349" s="98"/>
      <c r="R349" s="167"/>
      <c r="S349" s="167"/>
      <c r="T349" s="167"/>
      <c r="U349" s="393">
        <v>8507</v>
      </c>
      <c r="V349" s="694"/>
      <c r="W349" s="711"/>
      <c r="X349" s="254"/>
      <c r="Y349" s="446"/>
      <c r="Z349" s="446"/>
      <c r="AA349" s="446"/>
      <c r="AB349" s="446"/>
      <c r="AC349" s="446"/>
      <c r="AD349" s="446"/>
      <c r="AE349" s="446"/>
      <c r="AF349" s="446"/>
      <c r="AG349" s="446"/>
      <c r="AH349" s="446"/>
      <c r="AI349" s="446"/>
      <c r="AJ349" s="446"/>
      <c r="AK349" s="446"/>
      <c r="AL349" s="446"/>
      <c r="AM349" s="446"/>
      <c r="AN349" s="446"/>
      <c r="AO349" s="446"/>
      <c r="AP349" s="446"/>
      <c r="AQ349" s="446"/>
      <c r="AR349" s="446"/>
      <c r="AS349" s="446"/>
      <c r="AT349" s="446"/>
      <c r="AU349" s="446"/>
      <c r="AV349" s="446"/>
      <c r="AW349" s="446"/>
      <c r="AX349" s="446"/>
      <c r="AY349" s="446"/>
      <c r="AZ349" s="446"/>
      <c r="BA349" s="446"/>
      <c r="BB349" s="446"/>
      <c r="BC349" s="446"/>
      <c r="BD349" s="446"/>
      <c r="BE349" s="445"/>
      <c r="BF349" s="445"/>
      <c r="BG349" s="446"/>
      <c r="BH349" s="446"/>
      <c r="BI349" s="442">
        <v>30</v>
      </c>
      <c r="BJ349" s="445">
        <v>13</v>
      </c>
      <c r="BK349" s="445"/>
      <c r="BL349" s="445"/>
      <c r="BM349" s="445"/>
      <c r="BN349" s="445"/>
      <c r="BO349" s="445"/>
      <c r="BP349" s="445"/>
      <c r="BQ349" s="444"/>
      <c r="BR349" s="444"/>
      <c r="BS349" s="442"/>
      <c r="BT349" s="445"/>
      <c r="BU349" s="445"/>
      <c r="BV349" s="445"/>
      <c r="BW349" s="445"/>
      <c r="BX349" s="756"/>
      <c r="BY349" s="850"/>
      <c r="BZ349" s="850"/>
      <c r="CA349" s="850"/>
      <c r="CB349" s="850"/>
      <c r="CC349" s="850"/>
      <c r="CD349" s="850"/>
      <c r="CE349" s="850"/>
      <c r="CF349" s="850"/>
      <c r="CG349" s="169" t="s">
        <v>523</v>
      </c>
      <c r="CH349" s="417"/>
      <c r="CI349" s="406"/>
      <c r="CJ349" s="23"/>
      <c r="CK349" s="426" t="s">
        <v>1041</v>
      </c>
      <c r="CL349" s="572"/>
      <c r="CM349" s="648"/>
      <c r="CR349" s="406"/>
      <c r="CS349" s="648"/>
      <c r="CU349" s="23"/>
      <c r="CV349" s="23"/>
      <c r="CW349" s="23"/>
      <c r="CX349" s="23"/>
      <c r="DA349" s="648"/>
    </row>
    <row r="350" spans="1:105" s="35" customFormat="1" ht="12" customHeight="1" x14ac:dyDescent="0.2">
      <c r="A350" s="651"/>
      <c r="B350" s="537"/>
      <c r="C350" s="97" t="s">
        <v>51</v>
      </c>
      <c r="D350" s="169" t="s">
        <v>1132</v>
      </c>
      <c r="E350" s="647" t="s">
        <v>14</v>
      </c>
      <c r="F350" s="647"/>
      <c r="G350" s="237"/>
      <c r="H350" s="186"/>
      <c r="I350" s="166">
        <v>2006</v>
      </c>
      <c r="J350" s="390"/>
      <c r="K350" s="390"/>
      <c r="L350" s="493" t="s">
        <v>1123</v>
      </c>
      <c r="M350" s="237" t="s">
        <v>17</v>
      </c>
      <c r="N350" s="493"/>
      <c r="O350" s="98"/>
      <c r="P350" s="98"/>
      <c r="Q350" s="98"/>
      <c r="R350" s="167"/>
      <c r="S350" s="167"/>
      <c r="T350" s="167"/>
      <c r="U350" s="401"/>
      <c r="V350" s="801"/>
      <c r="W350" s="723"/>
      <c r="X350" s="254"/>
      <c r="Y350" s="445"/>
      <c r="Z350" s="445"/>
      <c r="AA350" s="445"/>
      <c r="AB350" s="445"/>
      <c r="AC350" s="445"/>
      <c r="AD350" s="445"/>
      <c r="AE350" s="445"/>
      <c r="AF350" s="445"/>
      <c r="AG350" s="445"/>
      <c r="AH350" s="445"/>
      <c r="AI350" s="445"/>
      <c r="AJ350" s="445"/>
      <c r="AK350" s="445"/>
      <c r="AL350" s="445"/>
      <c r="AM350" s="445"/>
      <c r="AN350" s="445"/>
      <c r="AO350" s="445"/>
      <c r="AP350" s="445"/>
      <c r="AQ350" s="445"/>
      <c r="AR350" s="445"/>
      <c r="AS350" s="445"/>
      <c r="AT350" s="445"/>
      <c r="AU350" s="445"/>
      <c r="AV350" s="445"/>
      <c r="AW350" s="445"/>
      <c r="AX350" s="445"/>
      <c r="AY350" s="445"/>
      <c r="AZ350" s="445"/>
      <c r="BA350" s="445"/>
      <c r="BB350" s="445"/>
      <c r="BC350" s="445"/>
      <c r="BD350" s="445"/>
      <c r="BE350" s="445"/>
      <c r="BF350" s="445"/>
      <c r="BG350" s="445"/>
      <c r="BH350" s="445"/>
      <c r="BI350" s="442">
        <v>27</v>
      </c>
      <c r="BJ350" s="445">
        <v>8</v>
      </c>
      <c r="BK350" s="445"/>
      <c r="BL350" s="445"/>
      <c r="BM350" s="445"/>
      <c r="BN350" s="445"/>
      <c r="BO350" s="445"/>
      <c r="BP350" s="445"/>
      <c r="BQ350" s="442">
        <v>29.3</v>
      </c>
      <c r="BR350" s="445">
        <v>9.3000000000000007</v>
      </c>
      <c r="BS350" s="446"/>
      <c r="BT350" s="446"/>
      <c r="BU350" s="446"/>
      <c r="BV350" s="442"/>
      <c r="BW350" s="442"/>
      <c r="BX350" s="756"/>
      <c r="BY350" s="850"/>
      <c r="BZ350" s="850"/>
      <c r="CA350" s="850"/>
      <c r="CB350" s="850"/>
      <c r="CC350" s="850"/>
      <c r="CD350" s="850"/>
      <c r="CE350" s="850"/>
      <c r="CF350" s="850"/>
      <c r="CG350" s="169" t="s">
        <v>876</v>
      </c>
      <c r="CH350" s="417"/>
      <c r="CI350" s="406"/>
      <c r="CJ350" s="23"/>
      <c r="CK350" s="417" t="s">
        <v>1069</v>
      </c>
      <c r="CL350" s="572"/>
      <c r="CM350" s="648"/>
      <c r="CR350" s="406"/>
      <c r="CS350" s="648"/>
      <c r="CU350" s="23"/>
      <c r="CV350" s="23"/>
      <c r="CW350" s="23"/>
      <c r="CX350" s="23"/>
      <c r="DA350" s="648"/>
    </row>
    <row r="351" spans="1:105" s="35" customFormat="1" ht="12" customHeight="1" x14ac:dyDescent="0.2">
      <c r="A351" s="651"/>
      <c r="B351" s="537"/>
      <c r="C351" s="97" t="s">
        <v>183</v>
      </c>
      <c r="D351" s="169" t="s">
        <v>1131</v>
      </c>
      <c r="E351" s="647" t="s">
        <v>14</v>
      </c>
      <c r="F351" s="647"/>
      <c r="G351" s="237"/>
      <c r="H351" s="186"/>
      <c r="I351" s="166">
        <v>2006</v>
      </c>
      <c r="J351" s="390"/>
      <c r="K351" s="390"/>
      <c r="L351" s="493" t="s">
        <v>425</v>
      </c>
      <c r="M351" s="237" t="s">
        <v>17</v>
      </c>
      <c r="N351" s="493"/>
      <c r="O351" s="98"/>
      <c r="P351" s="98"/>
      <c r="Q351" s="256"/>
      <c r="R351" s="587"/>
      <c r="S351" s="587"/>
      <c r="T351" s="587"/>
      <c r="U351" s="393">
        <v>11629</v>
      </c>
      <c r="V351" s="694"/>
      <c r="W351" s="711"/>
      <c r="X351" s="254"/>
      <c r="Y351" s="446"/>
      <c r="Z351" s="446"/>
      <c r="AA351" s="446"/>
      <c r="AB351" s="446"/>
      <c r="AC351" s="446"/>
      <c r="AD351" s="446"/>
      <c r="AE351" s="446"/>
      <c r="AF351" s="446"/>
      <c r="AG351" s="446"/>
      <c r="AH351" s="446"/>
      <c r="AI351" s="446"/>
      <c r="AJ351" s="446"/>
      <c r="AK351" s="446"/>
      <c r="AL351" s="446"/>
      <c r="AM351" s="446"/>
      <c r="AN351" s="446"/>
      <c r="AO351" s="446"/>
      <c r="AP351" s="446"/>
      <c r="AQ351" s="446"/>
      <c r="AR351" s="446"/>
      <c r="AS351" s="446"/>
      <c r="AT351" s="446"/>
      <c r="AU351" s="446"/>
      <c r="AV351" s="446"/>
      <c r="AW351" s="446"/>
      <c r="AX351" s="446"/>
      <c r="AY351" s="446"/>
      <c r="AZ351" s="446"/>
      <c r="BA351" s="446"/>
      <c r="BB351" s="446"/>
      <c r="BC351" s="446"/>
      <c r="BD351" s="446"/>
      <c r="BE351" s="446"/>
      <c r="BF351" s="446"/>
      <c r="BG351" s="446"/>
      <c r="BH351" s="446"/>
      <c r="BI351" s="445"/>
      <c r="BJ351" s="446"/>
      <c r="BK351" s="446"/>
      <c r="BL351" s="446"/>
      <c r="BM351" s="446"/>
      <c r="BN351" s="446"/>
      <c r="BO351" s="446"/>
      <c r="BP351" s="446"/>
      <c r="BQ351" s="444"/>
      <c r="BR351" s="445"/>
      <c r="BS351" s="442">
        <f>100*(508+106)/(508+106+1308+70)</f>
        <v>30.823293172690764</v>
      </c>
      <c r="BT351" s="271"/>
      <c r="BU351" s="271"/>
      <c r="BV351" s="454"/>
      <c r="BW351" s="454"/>
      <c r="BX351" s="756"/>
      <c r="BY351" s="850"/>
      <c r="BZ351" s="850"/>
      <c r="CA351" s="850"/>
      <c r="CB351" s="850"/>
      <c r="CC351" s="850"/>
      <c r="CD351" s="850"/>
      <c r="CE351" s="850"/>
      <c r="CF351" s="850"/>
      <c r="CG351" s="169" t="s">
        <v>978</v>
      </c>
      <c r="CH351" s="419" t="s">
        <v>611</v>
      </c>
      <c r="CI351" s="405">
        <v>40505</v>
      </c>
      <c r="CJ351" s="36">
        <v>488</v>
      </c>
      <c r="CK351" s="685" t="s">
        <v>588</v>
      </c>
      <c r="CL351" s="572" t="s">
        <v>596</v>
      </c>
      <c r="CM351" s="648"/>
      <c r="CR351" s="406"/>
      <c r="CS351" s="648"/>
      <c r="CU351" s="23"/>
      <c r="CV351" s="23"/>
      <c r="CW351" s="23"/>
      <c r="CX351" s="23"/>
      <c r="DA351" s="648"/>
    </row>
    <row r="352" spans="1:105" s="35" customFormat="1" ht="12" customHeight="1" x14ac:dyDescent="0.2">
      <c r="A352" s="652"/>
      <c r="B352" s="469" t="s">
        <v>1809</v>
      </c>
      <c r="C352" s="390" t="s">
        <v>5</v>
      </c>
      <c r="D352" s="237" t="s">
        <v>1131</v>
      </c>
      <c r="E352" s="647" t="s">
        <v>14</v>
      </c>
      <c r="F352" s="647"/>
      <c r="G352" s="237"/>
      <c r="H352" s="186"/>
      <c r="I352" s="166">
        <v>2008</v>
      </c>
      <c r="J352" s="571">
        <v>2008</v>
      </c>
      <c r="K352" s="571"/>
      <c r="L352" s="494" t="s">
        <v>244</v>
      </c>
      <c r="M352" s="247" t="s">
        <v>1837</v>
      </c>
      <c r="N352" s="494" t="s">
        <v>783</v>
      </c>
      <c r="O352" s="247" t="s">
        <v>19</v>
      </c>
      <c r="P352" s="98">
        <v>15</v>
      </c>
      <c r="Q352" s="247">
        <v>49</v>
      </c>
      <c r="R352" s="552">
        <v>29.357592073115654</v>
      </c>
      <c r="S352" s="552"/>
      <c r="T352" s="552"/>
      <c r="U352" s="553">
        <v>19242</v>
      </c>
      <c r="V352" s="794"/>
      <c r="W352" s="712"/>
      <c r="X352" s="552">
        <v>5.4203645007923971</v>
      </c>
      <c r="Y352" s="552">
        <v>13.823758773069891</v>
      </c>
      <c r="Z352" s="552">
        <v>12.674811541460864</v>
      </c>
      <c r="AA352" s="552">
        <v>22.545095389093877</v>
      </c>
      <c r="AB352" s="552">
        <v>22.545095389093877</v>
      </c>
      <c r="AC352" s="552">
        <v>16.83127144193784</v>
      </c>
      <c r="AD352" s="552">
        <v>15.136708597567406</v>
      </c>
      <c r="AE352" s="552">
        <v>6.3156799500572349</v>
      </c>
      <c r="AF352" s="552">
        <v>5.4676932681302644</v>
      </c>
      <c r="AG352" s="552">
        <v>1.3631633714880327</v>
      </c>
      <c r="AH352" s="552">
        <v>0.9417273673257015</v>
      </c>
      <c r="AI352" s="555"/>
      <c r="AJ352" s="555"/>
      <c r="AK352" s="555"/>
      <c r="AL352" s="555"/>
      <c r="AM352" s="552">
        <v>16.253443526170798</v>
      </c>
      <c r="AN352" s="552">
        <v>13.659753625448324</v>
      </c>
      <c r="AO352" s="552">
        <v>4.1831425598335228</v>
      </c>
      <c r="AP352" s="552">
        <v>3.4495317377731411</v>
      </c>
      <c r="AQ352" s="552">
        <v>5.4821595755747436</v>
      </c>
      <c r="AR352" s="552">
        <v>4.5823364194320177</v>
      </c>
      <c r="AS352" s="552">
        <v>4.1679675304402179</v>
      </c>
      <c r="AT352" s="552">
        <v>3.2417525236757307</v>
      </c>
      <c r="AU352" s="552">
        <v>5.9380692167577287</v>
      </c>
      <c r="AV352" s="552">
        <v>4.77751756440282</v>
      </c>
      <c r="AW352" s="552">
        <v>1.0454048993602745</v>
      </c>
      <c r="AX352" s="552">
        <v>0.69693659957351417</v>
      </c>
      <c r="AY352" s="555"/>
      <c r="AZ352" s="555"/>
      <c r="BA352" s="552"/>
      <c r="BB352" s="552"/>
      <c r="BC352" s="555"/>
      <c r="BD352" s="555"/>
      <c r="BE352" s="552"/>
      <c r="BF352" s="552"/>
      <c r="BG352" s="552"/>
      <c r="BH352" s="552"/>
      <c r="BI352" s="552">
        <v>17.622908221598607</v>
      </c>
      <c r="BJ352" s="552">
        <v>14.95166822575615</v>
      </c>
      <c r="BK352" s="552"/>
      <c r="BL352" s="552"/>
      <c r="BM352" s="552">
        <v>3.5836887548111864</v>
      </c>
      <c r="BN352" s="552">
        <v>2.9647352543430818</v>
      </c>
      <c r="BO352" s="552">
        <v>2.4571815294913919</v>
      </c>
      <c r="BP352" s="552">
        <v>2.0250924046020029</v>
      </c>
      <c r="BQ352" s="552"/>
      <c r="BR352" s="42"/>
      <c r="BS352" s="42"/>
      <c r="BT352" s="42"/>
      <c r="BU352" s="42">
        <v>12</v>
      </c>
      <c r="BV352" s="42"/>
      <c r="BW352" s="42"/>
      <c r="BX352" s="758"/>
      <c r="BY352" s="851"/>
      <c r="BZ352" s="851"/>
      <c r="CA352" s="851"/>
      <c r="CB352" s="851"/>
      <c r="CC352" s="851"/>
      <c r="CD352" s="851"/>
      <c r="CE352" s="851"/>
      <c r="CF352" s="851"/>
      <c r="CG352" s="97"/>
      <c r="CH352" s="647"/>
      <c r="CI352" s="97"/>
      <c r="CJ352" s="97"/>
      <c r="CK352" s="647"/>
      <c r="CL352" s="469" t="s">
        <v>1841</v>
      </c>
      <c r="CM352" s="647"/>
      <c r="CN352" s="97"/>
      <c r="CO352" s="97"/>
      <c r="CP352" s="97"/>
      <c r="CQ352" s="97"/>
      <c r="CR352" s="638"/>
      <c r="CS352" s="647"/>
      <c r="CU352" s="23"/>
      <c r="CV352" s="23"/>
      <c r="CW352" s="23"/>
      <c r="CX352" s="23"/>
      <c r="DA352" s="648"/>
    </row>
    <row r="353" spans="1:105" s="35" customFormat="1" ht="12" customHeight="1" x14ac:dyDescent="0.2">
      <c r="A353" s="652"/>
      <c r="B353" s="469" t="s">
        <v>1810</v>
      </c>
      <c r="C353" s="390" t="s">
        <v>5</v>
      </c>
      <c r="D353" s="237" t="s">
        <v>1131</v>
      </c>
      <c r="E353" s="647" t="s">
        <v>14</v>
      </c>
      <c r="F353" s="647"/>
      <c r="G353" s="237"/>
      <c r="H353" s="186"/>
      <c r="I353" s="166">
        <v>2013</v>
      </c>
      <c r="J353" s="571">
        <v>2013</v>
      </c>
      <c r="K353" s="571"/>
      <c r="L353" s="494" t="s">
        <v>244</v>
      </c>
      <c r="M353" s="247" t="s">
        <v>1837</v>
      </c>
      <c r="N353" s="494" t="s">
        <v>783</v>
      </c>
      <c r="O353" s="247" t="s">
        <v>19</v>
      </c>
      <c r="P353" s="98">
        <v>15</v>
      </c>
      <c r="Q353" s="247">
        <v>49</v>
      </c>
      <c r="R353" s="552">
        <v>28.986769134904989</v>
      </c>
      <c r="S353" s="552"/>
      <c r="T353" s="552"/>
      <c r="U353" s="553">
        <v>22280</v>
      </c>
      <c r="V353" s="794"/>
      <c r="W353" s="712"/>
      <c r="X353" s="552">
        <v>6.194435202129406</v>
      </c>
      <c r="Y353" s="552">
        <v>11.578002244668861</v>
      </c>
      <c r="Z353" s="552">
        <v>9.0505050505050129</v>
      </c>
      <c r="AA353" s="552">
        <v>20.097863171125905</v>
      </c>
      <c r="AB353" s="552">
        <v>20.097863171125905</v>
      </c>
      <c r="AC353" s="552">
        <v>16.451149425287355</v>
      </c>
      <c r="AD353" s="552">
        <v>13.716774425287323</v>
      </c>
      <c r="AE353" s="552">
        <v>6.0054799443022189</v>
      </c>
      <c r="AF353" s="552">
        <v>4.6893949602479612</v>
      </c>
      <c r="AG353" s="552">
        <v>0.82663192416550602</v>
      </c>
      <c r="AH353" s="552">
        <v>0.56606316546116098</v>
      </c>
      <c r="AI353" s="555"/>
      <c r="AJ353" s="552"/>
      <c r="AK353" s="555"/>
      <c r="AL353" s="555"/>
      <c r="AM353" s="552">
        <v>13.38720538720535</v>
      </c>
      <c r="AN353" s="552">
        <v>8.6015712682379348</v>
      </c>
      <c r="AO353" s="552">
        <v>2.9909731890241043</v>
      </c>
      <c r="AP353" s="552">
        <v>2.1242196973099188</v>
      </c>
      <c r="AQ353" s="552">
        <v>6.9250460322450422</v>
      </c>
      <c r="AR353" s="552">
        <v>4.7020254187811483</v>
      </c>
      <c r="AS353" s="552">
        <v>3.5616438356164384</v>
      </c>
      <c r="AT353" s="552">
        <v>2.3894004042218935</v>
      </c>
      <c r="AU353" s="552">
        <v>5.5949708127525595</v>
      </c>
      <c r="AV353" s="552">
        <v>3.7000449034575666</v>
      </c>
      <c r="AW353" s="552">
        <v>0.74130649654056957</v>
      </c>
      <c r="AX353" s="552">
        <v>0.48072603108994549</v>
      </c>
      <c r="AY353" s="552"/>
      <c r="AZ353" s="552"/>
      <c r="BA353" s="552"/>
      <c r="BB353" s="552"/>
      <c r="BC353" s="552"/>
      <c r="BD353" s="552"/>
      <c r="BE353" s="552"/>
      <c r="BF353" s="552"/>
      <c r="BG353" s="552"/>
      <c r="BH353" s="552"/>
      <c r="BI353" s="552">
        <v>15.758527827647985</v>
      </c>
      <c r="BJ353" s="552">
        <v>10.107719928186677</v>
      </c>
      <c r="BK353" s="552"/>
      <c r="BL353" s="552"/>
      <c r="BM353" s="552">
        <v>4.7826477456439846</v>
      </c>
      <c r="BN353" s="552">
        <v>3.7542662116040928</v>
      </c>
      <c r="BO353" s="552">
        <v>1.380457754395424</v>
      </c>
      <c r="BP353" s="552">
        <v>1.1601241062997514</v>
      </c>
      <c r="BQ353" s="552"/>
      <c r="BR353" s="42"/>
      <c r="BS353" s="42"/>
      <c r="BT353" s="42"/>
      <c r="BU353" s="42">
        <v>12</v>
      </c>
      <c r="BV353" s="42"/>
      <c r="BW353" s="42"/>
      <c r="BX353" s="758"/>
      <c r="BY353" s="851"/>
      <c r="BZ353" s="851"/>
      <c r="CA353" s="851"/>
      <c r="CB353" s="851"/>
      <c r="CC353" s="851"/>
      <c r="CD353" s="851"/>
      <c r="CE353" s="851"/>
      <c r="CF353" s="851"/>
      <c r="CG353" s="97"/>
      <c r="CH353" s="647"/>
      <c r="CI353" s="97"/>
      <c r="CJ353" s="97"/>
      <c r="CK353" s="647"/>
      <c r="CL353" s="469" t="s">
        <v>1841</v>
      </c>
      <c r="CM353" s="647"/>
      <c r="CN353" s="97"/>
      <c r="CO353" s="97"/>
      <c r="CP353" s="97"/>
      <c r="CQ353" s="97"/>
      <c r="CR353" s="638"/>
      <c r="CS353" s="647"/>
      <c r="CU353" s="23"/>
      <c r="CV353" s="23"/>
      <c r="CW353" s="23"/>
      <c r="CX353" s="23"/>
      <c r="DA353" s="648"/>
    </row>
    <row r="354" spans="1:105" s="35" customFormat="1" ht="12" customHeight="1" x14ac:dyDescent="0.2">
      <c r="A354" s="651"/>
      <c r="B354" s="537"/>
      <c r="C354" s="97" t="s">
        <v>5</v>
      </c>
      <c r="D354" s="169" t="s">
        <v>1131</v>
      </c>
      <c r="E354" s="647"/>
      <c r="F354" s="647"/>
      <c r="G354" s="98"/>
      <c r="H354" s="97"/>
      <c r="I354" s="166">
        <v>1993</v>
      </c>
      <c r="J354" s="571"/>
      <c r="K354" s="571"/>
      <c r="L354" s="493"/>
      <c r="M354" s="98" t="s">
        <v>17</v>
      </c>
      <c r="N354" s="493"/>
      <c r="O354" s="98"/>
      <c r="P354" s="98"/>
      <c r="Q354" s="98"/>
      <c r="R354" s="167"/>
      <c r="S354" s="167"/>
      <c r="T354" s="167"/>
      <c r="U354" s="393">
        <v>1000</v>
      </c>
      <c r="V354" s="694"/>
      <c r="W354" s="711"/>
      <c r="X354" s="167"/>
      <c r="Y354" s="446"/>
      <c r="Z354" s="446"/>
      <c r="AA354" s="446"/>
      <c r="AB354" s="446"/>
      <c r="AC354" s="446"/>
      <c r="AD354" s="446"/>
      <c r="AE354" s="446"/>
      <c r="AF354" s="446"/>
      <c r="AG354" s="446"/>
      <c r="AH354" s="446"/>
      <c r="AI354" s="446"/>
      <c r="AJ354" s="446"/>
      <c r="AK354" s="446"/>
      <c r="AL354" s="446"/>
      <c r="AM354" s="446"/>
      <c r="AN354" s="446"/>
      <c r="AO354" s="446"/>
      <c r="AP354" s="446"/>
      <c r="AQ354" s="446"/>
      <c r="AR354" s="446"/>
      <c r="AS354" s="446"/>
      <c r="AT354" s="446"/>
      <c r="AU354" s="446"/>
      <c r="AV354" s="446"/>
      <c r="AW354" s="446"/>
      <c r="AX354" s="446"/>
      <c r="AY354" s="446"/>
      <c r="AZ354" s="446"/>
      <c r="BA354" s="446"/>
      <c r="BB354" s="446"/>
      <c r="BC354" s="446"/>
      <c r="BD354" s="446"/>
      <c r="BE354" s="446"/>
      <c r="BF354" s="446"/>
      <c r="BG354" s="446"/>
      <c r="BH354" s="446"/>
      <c r="BI354" s="445"/>
      <c r="BJ354" s="446"/>
      <c r="BK354" s="446"/>
      <c r="BL354" s="446"/>
      <c r="BM354" s="446"/>
      <c r="BN354" s="446"/>
      <c r="BO354" s="446"/>
      <c r="BP354" s="446"/>
      <c r="BQ354" s="444"/>
      <c r="BR354" s="445"/>
      <c r="BS354" s="442">
        <v>31</v>
      </c>
      <c r="BT354" s="271"/>
      <c r="BU354" s="271"/>
      <c r="BV354" s="454"/>
      <c r="BW354" s="454"/>
      <c r="BX354" s="756"/>
      <c r="BY354" s="850"/>
      <c r="BZ354" s="850"/>
      <c r="CA354" s="850"/>
      <c r="CB354" s="850"/>
      <c r="CC354" s="850"/>
      <c r="CD354" s="850"/>
      <c r="CE354" s="850"/>
      <c r="CF354" s="850"/>
      <c r="CG354" s="168" t="s">
        <v>218</v>
      </c>
      <c r="CH354" s="417"/>
      <c r="CI354" s="406"/>
      <c r="CJ354" s="23"/>
      <c r="CK354" s="417" t="s">
        <v>1059</v>
      </c>
      <c r="CL354" s="572"/>
      <c r="CM354" s="648"/>
      <c r="CR354" s="406"/>
      <c r="CS354" s="648"/>
      <c r="CU354" s="23"/>
      <c r="CV354" s="23"/>
      <c r="CW354" s="23"/>
      <c r="CX354" s="23"/>
      <c r="DA354" s="648"/>
    </row>
    <row r="355" spans="1:105" s="35" customFormat="1" ht="12" customHeight="1" x14ac:dyDescent="0.2">
      <c r="A355" s="651"/>
      <c r="B355" s="537"/>
      <c r="C355" s="97" t="s">
        <v>5</v>
      </c>
      <c r="D355" s="169" t="s">
        <v>1131</v>
      </c>
      <c r="E355" s="647" t="s">
        <v>802</v>
      </c>
      <c r="F355" s="647"/>
      <c r="G355" s="98"/>
      <c r="H355" s="97"/>
      <c r="I355" s="166">
        <v>2000</v>
      </c>
      <c r="J355" s="571"/>
      <c r="K355" s="571"/>
      <c r="L355" s="493"/>
      <c r="M355" s="98" t="s">
        <v>17</v>
      </c>
      <c r="N355" s="493"/>
      <c r="O355" s="98"/>
      <c r="P355" s="98"/>
      <c r="Q355" s="98"/>
      <c r="R355" s="167"/>
      <c r="S355" s="167"/>
      <c r="T355" s="167"/>
      <c r="U355" s="393">
        <v>308</v>
      </c>
      <c r="V355" s="694"/>
      <c r="W355" s="711"/>
      <c r="X355" s="167"/>
      <c r="Y355" s="446"/>
      <c r="Z355" s="446"/>
      <c r="AA355" s="446"/>
      <c r="AB355" s="446"/>
      <c r="AC355" s="446"/>
      <c r="AD355" s="446"/>
      <c r="AE355" s="446"/>
      <c r="AF355" s="446"/>
      <c r="AG355" s="446"/>
      <c r="AH355" s="446"/>
      <c r="AI355" s="446"/>
      <c r="AJ355" s="446"/>
      <c r="AK355" s="446"/>
      <c r="AL355" s="446"/>
      <c r="AM355" s="446"/>
      <c r="AN355" s="446"/>
      <c r="AO355" s="446"/>
      <c r="AP355" s="446"/>
      <c r="AQ355" s="446"/>
      <c r="AR355" s="446"/>
      <c r="AS355" s="446"/>
      <c r="AT355" s="446"/>
      <c r="AU355" s="446"/>
      <c r="AV355" s="446"/>
      <c r="AW355" s="446"/>
      <c r="AX355" s="446"/>
      <c r="AY355" s="446"/>
      <c r="AZ355" s="446"/>
      <c r="BA355" s="446"/>
      <c r="BB355" s="446"/>
      <c r="BC355" s="446"/>
      <c r="BD355" s="446"/>
      <c r="BE355" s="446"/>
      <c r="BF355" s="446"/>
      <c r="BG355" s="446"/>
      <c r="BH355" s="446"/>
      <c r="BI355" s="445"/>
      <c r="BJ355" s="446"/>
      <c r="BK355" s="446"/>
      <c r="BL355" s="446"/>
      <c r="BM355" s="446"/>
      <c r="BN355" s="446"/>
      <c r="BO355" s="446"/>
      <c r="BP355" s="446"/>
      <c r="BQ355" s="444"/>
      <c r="BR355" s="445"/>
      <c r="BS355" s="442">
        <v>78.8</v>
      </c>
      <c r="BT355" s="271"/>
      <c r="BU355" s="271"/>
      <c r="BV355" s="454"/>
      <c r="BW355" s="454"/>
      <c r="BX355" s="756"/>
      <c r="BY355" s="850"/>
      <c r="BZ355" s="850"/>
      <c r="CA355" s="850"/>
      <c r="CB355" s="850"/>
      <c r="CC355" s="850"/>
      <c r="CD355" s="850"/>
      <c r="CE355" s="850"/>
      <c r="CF355" s="850"/>
      <c r="CG355" s="168" t="s">
        <v>979</v>
      </c>
      <c r="CH355" s="419" t="s">
        <v>801</v>
      </c>
      <c r="CI355" s="404">
        <v>40527</v>
      </c>
      <c r="CJ355" s="23"/>
      <c r="CK355" s="648" t="s">
        <v>1117</v>
      </c>
      <c r="CL355" s="572"/>
      <c r="CM355" s="648"/>
      <c r="CR355" s="406"/>
      <c r="CS355" s="648"/>
      <c r="CU355" s="23"/>
      <c r="CV355" s="23"/>
      <c r="CW355" s="23"/>
      <c r="CX355" s="23"/>
      <c r="DA355" s="648"/>
    </row>
    <row r="356" spans="1:105" s="35" customFormat="1" ht="12" customHeight="1" x14ac:dyDescent="0.2">
      <c r="A356" s="651"/>
      <c r="B356" s="537"/>
      <c r="C356" s="97" t="s">
        <v>5</v>
      </c>
      <c r="D356" s="169" t="s">
        <v>1131</v>
      </c>
      <c r="E356" s="647" t="s">
        <v>798</v>
      </c>
      <c r="F356" s="647"/>
      <c r="G356" s="98"/>
      <c r="H356" s="97"/>
      <c r="I356" s="166">
        <v>2002</v>
      </c>
      <c r="J356" s="571"/>
      <c r="K356" s="571"/>
      <c r="L356" s="493"/>
      <c r="M356" s="98"/>
      <c r="N356" s="493"/>
      <c r="O356" s="98"/>
      <c r="P356" s="98"/>
      <c r="Q356" s="98"/>
      <c r="R356" s="167"/>
      <c r="S356" s="167"/>
      <c r="T356" s="167"/>
      <c r="U356" s="393">
        <v>300</v>
      </c>
      <c r="V356" s="694"/>
      <c r="W356" s="711"/>
      <c r="X356" s="167"/>
      <c r="Y356" s="446"/>
      <c r="Z356" s="446"/>
      <c r="AA356" s="446"/>
      <c r="AB356" s="446"/>
      <c r="AC356" s="446"/>
      <c r="AD356" s="446"/>
      <c r="AE356" s="446"/>
      <c r="AF356" s="446"/>
      <c r="AG356" s="446"/>
      <c r="AH356" s="446"/>
      <c r="AI356" s="446"/>
      <c r="AJ356" s="446"/>
      <c r="AK356" s="446"/>
      <c r="AL356" s="446"/>
      <c r="AM356" s="446"/>
      <c r="AN356" s="446"/>
      <c r="AO356" s="446"/>
      <c r="AP356" s="446"/>
      <c r="AQ356" s="446"/>
      <c r="AR356" s="446"/>
      <c r="AS356" s="446"/>
      <c r="AT356" s="446"/>
      <c r="AU356" s="446"/>
      <c r="AV356" s="446"/>
      <c r="AW356" s="446"/>
      <c r="AX356" s="446"/>
      <c r="AY356" s="446"/>
      <c r="AZ356" s="446"/>
      <c r="BA356" s="446"/>
      <c r="BB356" s="446"/>
      <c r="BC356" s="446"/>
      <c r="BD356" s="446"/>
      <c r="BE356" s="445"/>
      <c r="BF356" s="445"/>
      <c r="BG356" s="446"/>
      <c r="BH356" s="446"/>
      <c r="BI356" s="445">
        <v>40</v>
      </c>
      <c r="BJ356" s="445">
        <v>15.8</v>
      </c>
      <c r="BK356" s="445"/>
      <c r="BL356" s="445"/>
      <c r="BM356" s="445"/>
      <c r="BN356" s="445"/>
      <c r="BO356" s="445"/>
      <c r="BP356" s="445"/>
      <c r="BQ356" s="444"/>
      <c r="BR356" s="444"/>
      <c r="BS356" s="446"/>
      <c r="BT356" s="446"/>
      <c r="BU356" s="446"/>
      <c r="BV356" s="442"/>
      <c r="BW356" s="442"/>
      <c r="BX356" s="756"/>
      <c r="BY356" s="850"/>
      <c r="BZ356" s="850"/>
      <c r="CA356" s="850"/>
      <c r="CB356" s="850"/>
      <c r="CC356" s="850"/>
      <c r="CD356" s="850"/>
      <c r="CE356" s="850"/>
      <c r="CF356" s="850"/>
      <c r="CG356" s="169" t="s">
        <v>957</v>
      </c>
      <c r="CH356" s="417"/>
      <c r="CI356" s="406"/>
      <c r="CJ356" s="23"/>
      <c r="CK356" s="417" t="s">
        <v>1044</v>
      </c>
      <c r="CL356" s="572"/>
      <c r="CM356" s="648"/>
      <c r="CR356" s="406"/>
      <c r="CS356" s="648"/>
      <c r="CU356" s="23"/>
      <c r="CV356" s="23"/>
      <c r="CW356" s="23"/>
      <c r="CX356" s="23"/>
      <c r="DA356" s="648"/>
    </row>
    <row r="357" spans="1:105" s="35" customFormat="1" ht="12" customHeight="1" x14ac:dyDescent="0.2">
      <c r="A357" s="651"/>
      <c r="B357" s="537"/>
      <c r="C357" s="97" t="s">
        <v>5</v>
      </c>
      <c r="D357" s="169" t="s">
        <v>1131</v>
      </c>
      <c r="E357" s="647" t="s">
        <v>344</v>
      </c>
      <c r="F357" s="647"/>
      <c r="G357" s="98"/>
      <c r="H357" s="97"/>
      <c r="I357" s="166">
        <v>2004</v>
      </c>
      <c r="J357" s="571"/>
      <c r="K357" s="571"/>
      <c r="L357" s="493"/>
      <c r="M357" s="98" t="s">
        <v>17</v>
      </c>
      <c r="N357" s="493"/>
      <c r="O357" s="98" t="s">
        <v>566</v>
      </c>
      <c r="P357" s="98"/>
      <c r="Q357" s="98"/>
      <c r="R357" s="167"/>
      <c r="S357" s="167"/>
      <c r="T357" s="167"/>
      <c r="U357" s="394">
        <v>581</v>
      </c>
      <c r="V357" s="727"/>
      <c r="W357" s="714"/>
      <c r="X357" s="167"/>
      <c r="Y357" s="442"/>
      <c r="Z357" s="442"/>
      <c r="AA357" s="442"/>
      <c r="AB357" s="442"/>
      <c r="AC357" s="442"/>
      <c r="AD357" s="442"/>
      <c r="AE357" s="442"/>
      <c r="AF357" s="442"/>
      <c r="AG357" s="442"/>
      <c r="AH357" s="442"/>
      <c r="AI357" s="442"/>
      <c r="AJ357" s="442"/>
      <c r="AK357" s="442"/>
      <c r="AL357" s="442"/>
      <c r="AM357" s="442"/>
      <c r="AN357" s="442"/>
      <c r="AO357" s="442"/>
      <c r="AP357" s="442"/>
      <c r="AQ357" s="442"/>
      <c r="AR357" s="442"/>
      <c r="AS357" s="442"/>
      <c r="AT357" s="442"/>
      <c r="AU357" s="442"/>
      <c r="AV357" s="442"/>
      <c r="AW357" s="442"/>
      <c r="AX357" s="442"/>
      <c r="AY357" s="442"/>
      <c r="AZ357" s="442"/>
      <c r="BA357" s="442"/>
      <c r="BB357" s="442"/>
      <c r="BC357" s="442"/>
      <c r="BD357" s="442"/>
      <c r="BE357" s="442"/>
      <c r="BF357" s="442"/>
      <c r="BG357" s="442"/>
      <c r="BH357" s="442"/>
      <c r="BI357" s="445"/>
      <c r="BJ357" s="442"/>
      <c r="BK357" s="442"/>
      <c r="BL357" s="442"/>
      <c r="BM357" s="442"/>
      <c r="BN357" s="442"/>
      <c r="BO357" s="442"/>
      <c r="BP357" s="442"/>
      <c r="BQ357" s="444"/>
      <c r="BR357" s="445"/>
      <c r="BS357" s="442">
        <v>34.200000000000003</v>
      </c>
      <c r="BT357" s="271"/>
      <c r="BU357" s="271"/>
      <c r="BV357" s="454"/>
      <c r="BW357" s="454"/>
      <c r="BX357" s="756"/>
      <c r="BY357" s="850"/>
      <c r="BZ357" s="850"/>
      <c r="CA357" s="850"/>
      <c r="CB357" s="850"/>
      <c r="CC357" s="850"/>
      <c r="CD357" s="850"/>
      <c r="CE357" s="850"/>
      <c r="CF357" s="850"/>
      <c r="CG357" s="168" t="s">
        <v>346</v>
      </c>
      <c r="CH357" s="419" t="s">
        <v>723</v>
      </c>
      <c r="CI357" s="406"/>
      <c r="CJ357" s="23"/>
      <c r="CK357" s="648"/>
      <c r="CL357" s="572" t="s">
        <v>724</v>
      </c>
      <c r="CM357" s="648"/>
      <c r="CR357" s="406"/>
      <c r="CS357" s="648"/>
      <c r="CU357" s="23"/>
      <c r="CV357" s="23"/>
      <c r="CW357" s="23"/>
      <c r="CX357" s="23"/>
      <c r="DA357" s="648"/>
    </row>
    <row r="358" spans="1:105" s="35" customFormat="1" ht="12" customHeight="1" x14ac:dyDescent="0.2">
      <c r="A358" s="651"/>
      <c r="B358" s="537"/>
      <c r="C358" s="390" t="s">
        <v>5</v>
      </c>
      <c r="D358" s="169" t="s">
        <v>1131</v>
      </c>
      <c r="E358" s="665" t="s">
        <v>14</v>
      </c>
      <c r="F358" s="665"/>
      <c r="G358" s="480"/>
      <c r="H358" s="246"/>
      <c r="I358" s="533">
        <v>2005</v>
      </c>
      <c r="J358" s="533"/>
      <c r="K358" s="533"/>
      <c r="L358" s="493" t="s">
        <v>628</v>
      </c>
      <c r="M358" s="247" t="s">
        <v>18</v>
      </c>
      <c r="N358" s="493"/>
      <c r="O358" s="98" t="s">
        <v>19</v>
      </c>
      <c r="P358" s="98"/>
      <c r="Q358" s="247"/>
      <c r="R358" s="291"/>
      <c r="S358" s="291"/>
      <c r="T358" s="291"/>
      <c r="U358" s="395">
        <v>1353</v>
      </c>
      <c r="V358" s="794"/>
      <c r="W358" s="712"/>
      <c r="X358" s="810"/>
      <c r="Y358" s="447"/>
      <c r="Z358" s="447"/>
      <c r="AA358" s="447"/>
      <c r="AB358" s="447"/>
      <c r="AC358" s="447"/>
      <c r="AD358" s="447"/>
      <c r="AE358" s="447"/>
      <c r="AF358" s="447"/>
      <c r="AG358" s="447"/>
      <c r="AH358" s="447"/>
      <c r="AI358" s="447"/>
      <c r="AJ358" s="447"/>
      <c r="AK358" s="447"/>
      <c r="AL358" s="447"/>
      <c r="AM358" s="447"/>
      <c r="AN358" s="447"/>
      <c r="AO358" s="447"/>
      <c r="AP358" s="447"/>
      <c r="AQ358" s="447"/>
      <c r="AR358" s="447"/>
      <c r="AS358" s="447"/>
      <c r="AT358" s="447"/>
      <c r="AU358" s="447"/>
      <c r="AV358" s="447"/>
      <c r="AW358" s="447"/>
      <c r="AX358" s="447"/>
      <c r="AY358" s="447"/>
      <c r="AZ358" s="447"/>
      <c r="BA358" s="447"/>
      <c r="BB358" s="447"/>
      <c r="BC358" s="447"/>
      <c r="BD358" s="447"/>
      <c r="BE358" s="447"/>
      <c r="BF358" s="447"/>
      <c r="BG358" s="447"/>
      <c r="BH358" s="447"/>
      <c r="BI358" s="447">
        <v>9</v>
      </c>
      <c r="BJ358" s="447"/>
      <c r="BK358" s="447"/>
      <c r="BL358" s="447"/>
      <c r="BM358" s="447"/>
      <c r="BN358" s="447"/>
      <c r="BO358" s="447"/>
      <c r="BP358" s="447"/>
      <c r="BQ358" s="271"/>
      <c r="BR358" s="271"/>
      <c r="BS358" s="271"/>
      <c r="BT358" s="271"/>
      <c r="BU358" s="271"/>
      <c r="BV358" s="454"/>
      <c r="BW358" s="454"/>
      <c r="BX358" s="756"/>
      <c r="BY358" s="850"/>
      <c r="BZ358" s="850"/>
      <c r="CA358" s="850"/>
      <c r="CB358" s="850"/>
      <c r="CC358" s="850"/>
      <c r="CD358" s="850"/>
      <c r="CE358" s="850"/>
      <c r="CF358" s="850"/>
      <c r="CG358" s="169" t="s">
        <v>343</v>
      </c>
      <c r="CH358" s="419" t="s">
        <v>1526</v>
      </c>
      <c r="CI358" s="406"/>
      <c r="CJ358" s="23"/>
      <c r="CK358" s="648"/>
      <c r="CL358" s="417" t="s">
        <v>1532</v>
      </c>
      <c r="CM358" s="648"/>
      <c r="CR358" s="406"/>
      <c r="CS358" s="648"/>
      <c r="CU358" s="23"/>
      <c r="CV358" s="23"/>
      <c r="CW358" s="23"/>
      <c r="CX358" s="23"/>
      <c r="DA358" s="648"/>
    </row>
    <row r="359" spans="1:105" s="35" customFormat="1" ht="12" customHeight="1" x14ac:dyDescent="0.2">
      <c r="A359" s="651"/>
      <c r="B359" s="537"/>
      <c r="C359" s="390" t="s">
        <v>5</v>
      </c>
      <c r="D359" s="169" t="s">
        <v>1131</v>
      </c>
      <c r="E359" s="647" t="s">
        <v>14</v>
      </c>
      <c r="F359" s="647"/>
      <c r="G359" s="98"/>
      <c r="H359" s="97"/>
      <c r="I359" s="533">
        <v>2005</v>
      </c>
      <c r="J359" s="571"/>
      <c r="K359" s="571"/>
      <c r="L359" s="493"/>
      <c r="M359" s="98"/>
      <c r="N359" s="493"/>
      <c r="O359" s="247" t="s">
        <v>19</v>
      </c>
      <c r="P359" s="247"/>
      <c r="Q359" s="98"/>
      <c r="R359" s="167"/>
      <c r="S359" s="167"/>
      <c r="T359" s="167"/>
      <c r="U359" s="394">
        <v>431</v>
      </c>
      <c r="V359" s="727"/>
      <c r="W359" s="714"/>
      <c r="X359" s="167"/>
      <c r="Y359" s="442"/>
      <c r="Z359" s="442"/>
      <c r="AA359" s="442"/>
      <c r="AB359" s="442"/>
      <c r="AC359" s="442"/>
      <c r="AD359" s="442"/>
      <c r="AE359" s="442"/>
      <c r="AF359" s="442"/>
      <c r="AG359" s="442"/>
      <c r="AH359" s="442"/>
      <c r="AI359" s="442"/>
      <c r="AJ359" s="442"/>
      <c r="AK359" s="442"/>
      <c r="AL359" s="442"/>
      <c r="AM359" s="442"/>
      <c r="AN359" s="442"/>
      <c r="AO359" s="442"/>
      <c r="AP359" s="442"/>
      <c r="AQ359" s="442"/>
      <c r="AR359" s="442"/>
      <c r="AS359" s="442"/>
      <c r="AT359" s="442"/>
      <c r="AU359" s="442"/>
      <c r="AV359" s="442"/>
      <c r="AW359" s="442"/>
      <c r="AX359" s="442"/>
      <c r="AY359" s="442"/>
      <c r="AZ359" s="442"/>
      <c r="BA359" s="442"/>
      <c r="BB359" s="442"/>
      <c r="BC359" s="442"/>
      <c r="BD359" s="442"/>
      <c r="BE359" s="445"/>
      <c r="BF359" s="445"/>
      <c r="BG359" s="442"/>
      <c r="BH359" s="442"/>
      <c r="BI359" s="445">
        <v>31.3</v>
      </c>
      <c r="BJ359" s="445"/>
      <c r="BK359" s="445"/>
      <c r="BL359" s="445"/>
      <c r="BM359" s="445"/>
      <c r="BN359" s="445"/>
      <c r="BO359" s="445"/>
      <c r="BP359" s="445"/>
      <c r="BQ359" s="444"/>
      <c r="BR359" s="444"/>
      <c r="BS359" s="442"/>
      <c r="BT359" s="442"/>
      <c r="BU359" s="442"/>
      <c r="BV359" s="442"/>
      <c r="BW359" s="442"/>
      <c r="BX359" s="756"/>
      <c r="BY359" s="850"/>
      <c r="BZ359" s="850"/>
      <c r="CA359" s="850"/>
      <c r="CB359" s="850"/>
      <c r="CC359" s="850"/>
      <c r="CD359" s="850"/>
      <c r="CE359" s="850"/>
      <c r="CF359" s="850"/>
      <c r="CG359" s="169" t="s">
        <v>957</v>
      </c>
      <c r="CH359" s="417"/>
      <c r="CI359" s="406"/>
      <c r="CJ359" s="23"/>
      <c r="CK359" s="417" t="s">
        <v>1044</v>
      </c>
      <c r="CL359" s="572"/>
      <c r="CM359" s="431"/>
      <c r="CN359" s="128"/>
      <c r="CO359" s="128"/>
      <c r="CP359" s="128"/>
      <c r="CQ359" s="128"/>
      <c r="CR359" s="406"/>
      <c r="CS359" s="431"/>
      <c r="CU359" s="23"/>
      <c r="CV359" s="23"/>
      <c r="CW359" s="23"/>
      <c r="CX359" s="23"/>
      <c r="DA359" s="648"/>
    </row>
    <row r="360" spans="1:105" s="35" customFormat="1" ht="12" customHeight="1" x14ac:dyDescent="0.2">
      <c r="A360" s="651"/>
      <c r="B360" s="537"/>
      <c r="C360" s="97" t="s">
        <v>94</v>
      </c>
      <c r="D360" s="169" t="s">
        <v>1130</v>
      </c>
      <c r="E360" s="647" t="s">
        <v>527</v>
      </c>
      <c r="F360" s="647"/>
      <c r="G360" s="237"/>
      <c r="H360" s="186"/>
      <c r="I360" s="166">
        <v>1989</v>
      </c>
      <c r="J360" s="390"/>
      <c r="K360" s="390"/>
      <c r="L360" s="493"/>
      <c r="M360" s="98" t="s">
        <v>15</v>
      </c>
      <c r="N360" s="493"/>
      <c r="O360" s="98" t="s">
        <v>21</v>
      </c>
      <c r="P360" s="98"/>
      <c r="Q360" s="98"/>
      <c r="R360" s="167"/>
      <c r="S360" s="167"/>
      <c r="T360" s="167"/>
      <c r="U360" s="393">
        <v>111</v>
      </c>
      <c r="V360" s="694"/>
      <c r="W360" s="711"/>
      <c r="X360" s="254"/>
      <c r="Y360" s="446"/>
      <c r="Z360" s="446"/>
      <c r="AA360" s="446"/>
      <c r="AB360" s="446"/>
      <c r="AC360" s="446"/>
      <c r="AD360" s="446"/>
      <c r="AE360" s="446"/>
      <c r="AF360" s="446"/>
      <c r="AG360" s="446"/>
      <c r="AH360" s="446"/>
      <c r="AI360" s="446"/>
      <c r="AJ360" s="446"/>
      <c r="AK360" s="446"/>
      <c r="AL360" s="446"/>
      <c r="AM360" s="446"/>
      <c r="AN360" s="446"/>
      <c r="AO360" s="446"/>
      <c r="AP360" s="446"/>
      <c r="AQ360" s="446"/>
      <c r="AR360" s="446"/>
      <c r="AS360" s="446"/>
      <c r="AT360" s="446"/>
      <c r="AU360" s="446"/>
      <c r="AV360" s="446"/>
      <c r="AW360" s="446"/>
      <c r="AX360" s="446"/>
      <c r="AY360" s="446"/>
      <c r="AZ360" s="446"/>
      <c r="BA360" s="446"/>
      <c r="BB360" s="446"/>
      <c r="BC360" s="446"/>
      <c r="BD360" s="446"/>
      <c r="BE360" s="445"/>
      <c r="BF360" s="445"/>
      <c r="BG360" s="446"/>
      <c r="BH360" s="446"/>
      <c r="BI360" s="442">
        <v>18</v>
      </c>
      <c r="BJ360" s="445"/>
      <c r="BK360" s="445"/>
      <c r="BL360" s="445"/>
      <c r="BM360" s="445"/>
      <c r="BN360" s="445"/>
      <c r="BO360" s="445"/>
      <c r="BP360" s="445"/>
      <c r="BQ360" s="444"/>
      <c r="BR360" s="444"/>
      <c r="BS360" s="442"/>
      <c r="BT360" s="445"/>
      <c r="BU360" s="445"/>
      <c r="BV360" s="445"/>
      <c r="BW360" s="445"/>
      <c r="BX360" s="756"/>
      <c r="BY360" s="850"/>
      <c r="BZ360" s="850"/>
      <c r="CA360" s="850"/>
      <c r="CB360" s="850"/>
      <c r="CC360" s="850"/>
      <c r="CD360" s="850"/>
      <c r="CE360" s="850"/>
      <c r="CF360" s="850"/>
      <c r="CG360" s="169" t="s">
        <v>523</v>
      </c>
      <c r="CH360" s="426"/>
      <c r="CI360" s="406"/>
      <c r="CJ360" s="23"/>
      <c r="CK360" s="648" t="s">
        <v>1181</v>
      </c>
      <c r="CL360" s="572"/>
      <c r="CM360" s="648"/>
      <c r="CR360" s="406"/>
      <c r="CS360" s="648"/>
      <c r="CU360" s="23"/>
      <c r="CV360" s="23"/>
      <c r="CW360" s="23"/>
      <c r="CX360" s="23"/>
      <c r="DA360" s="648"/>
    </row>
    <row r="361" spans="1:105" s="35" customFormat="1" ht="12" customHeight="1" x14ac:dyDescent="0.2">
      <c r="A361" s="651"/>
      <c r="B361" s="537"/>
      <c r="C361" s="97" t="s">
        <v>94</v>
      </c>
      <c r="D361" s="169" t="s">
        <v>1130</v>
      </c>
      <c r="E361" s="647" t="s">
        <v>14</v>
      </c>
      <c r="F361" s="647"/>
      <c r="G361" s="98"/>
      <c r="H361" s="97"/>
      <c r="I361" s="166">
        <v>2003</v>
      </c>
      <c r="J361" s="571"/>
      <c r="K361" s="571"/>
      <c r="L361" s="493" t="s">
        <v>258</v>
      </c>
      <c r="M361" s="98" t="s">
        <v>15</v>
      </c>
      <c r="N361" s="494" t="s">
        <v>783</v>
      </c>
      <c r="O361" s="98"/>
      <c r="P361" s="98"/>
      <c r="Q361" s="98"/>
      <c r="R361" s="167"/>
      <c r="S361" s="167"/>
      <c r="T361" s="167"/>
      <c r="U361" s="393">
        <v>2143</v>
      </c>
      <c r="V361" s="694"/>
      <c r="W361" s="711"/>
      <c r="X361" s="167"/>
      <c r="Y361" s="446"/>
      <c r="Z361" s="446"/>
      <c r="AA361" s="446"/>
      <c r="AB361" s="446"/>
      <c r="AC361" s="446"/>
      <c r="AD361" s="446"/>
      <c r="AE361" s="446"/>
      <c r="AF361" s="446"/>
      <c r="AG361" s="446"/>
      <c r="AH361" s="446"/>
      <c r="AI361" s="446"/>
      <c r="AJ361" s="446"/>
      <c r="AK361" s="446"/>
      <c r="AL361" s="446"/>
      <c r="AM361" s="446"/>
      <c r="AN361" s="446"/>
      <c r="AO361" s="446"/>
      <c r="AP361" s="446"/>
      <c r="AQ361" s="446"/>
      <c r="AR361" s="446"/>
      <c r="AS361" s="446"/>
      <c r="AT361" s="446"/>
      <c r="AU361" s="446"/>
      <c r="AV361" s="446"/>
      <c r="AW361" s="446"/>
      <c r="AX361" s="446"/>
      <c r="AY361" s="446"/>
      <c r="AZ361" s="446"/>
      <c r="BA361" s="446"/>
      <c r="BB361" s="446"/>
      <c r="BC361" s="446"/>
      <c r="BD361" s="446"/>
      <c r="BE361" s="445"/>
      <c r="BF361" s="445"/>
      <c r="BG361" s="446"/>
      <c r="BH361" s="446"/>
      <c r="BI361" s="442">
        <v>27</v>
      </c>
      <c r="BJ361" s="445">
        <v>6</v>
      </c>
      <c r="BK361" s="445"/>
      <c r="BL361" s="445"/>
      <c r="BM361" s="445"/>
      <c r="BN361" s="445"/>
      <c r="BO361" s="445"/>
      <c r="BP361" s="445"/>
      <c r="BQ361" s="444"/>
      <c r="BR361" s="444"/>
      <c r="BS361" s="442"/>
      <c r="BT361" s="445"/>
      <c r="BU361" s="445"/>
      <c r="BV361" s="445"/>
      <c r="BW361" s="445"/>
      <c r="BX361" s="756"/>
      <c r="BY361" s="850"/>
      <c r="BZ361" s="850"/>
      <c r="CA361" s="850"/>
      <c r="CB361" s="850"/>
      <c r="CC361" s="850"/>
      <c r="CD361" s="850"/>
      <c r="CE361" s="850"/>
      <c r="CF361" s="850"/>
      <c r="CG361" s="169" t="s">
        <v>523</v>
      </c>
      <c r="CH361" s="417"/>
      <c r="CI361" s="406"/>
      <c r="CJ361" s="23"/>
      <c r="CK361" s="426" t="s">
        <v>1041</v>
      </c>
      <c r="CL361" s="572"/>
      <c r="CM361" s="648"/>
      <c r="CR361" s="406"/>
      <c r="CS361" s="648"/>
      <c r="CU361" s="23"/>
      <c r="CV361" s="23"/>
      <c r="CW361" s="23"/>
      <c r="CX361" s="23"/>
      <c r="DA361" s="648"/>
    </row>
    <row r="362" spans="1:105" s="35" customFormat="1" ht="12" customHeight="1" x14ac:dyDescent="0.2">
      <c r="A362" s="651"/>
      <c r="B362" s="537"/>
      <c r="C362" s="97" t="s">
        <v>94</v>
      </c>
      <c r="D362" s="169" t="s">
        <v>1130</v>
      </c>
      <c r="E362" s="647" t="s">
        <v>14</v>
      </c>
      <c r="F362" s="647"/>
      <c r="G362" s="98"/>
      <c r="H362" s="97"/>
      <c r="I362" s="166">
        <v>2008</v>
      </c>
      <c r="J362" s="571"/>
      <c r="K362" s="571"/>
      <c r="L362" s="493"/>
      <c r="M362" s="98" t="s">
        <v>17</v>
      </c>
      <c r="N362" s="493"/>
      <c r="O362" s="98"/>
      <c r="P362" s="98"/>
      <c r="Q362" s="98"/>
      <c r="R362" s="167"/>
      <c r="S362" s="167"/>
      <c r="T362" s="167"/>
      <c r="U362" s="401"/>
      <c r="V362" s="801"/>
      <c r="W362" s="723"/>
      <c r="X362" s="167"/>
      <c r="Y362" s="445"/>
      <c r="Z362" s="445"/>
      <c r="AA362" s="445"/>
      <c r="AB362" s="445"/>
      <c r="AC362" s="445"/>
      <c r="AD362" s="445"/>
      <c r="AE362" s="445"/>
      <c r="AF362" s="445"/>
      <c r="AG362" s="445"/>
      <c r="AH362" s="445"/>
      <c r="AI362" s="445"/>
      <c r="AJ362" s="445"/>
      <c r="AK362" s="445"/>
      <c r="AL362" s="445"/>
      <c r="AM362" s="445"/>
      <c r="AN362" s="445"/>
      <c r="AO362" s="445"/>
      <c r="AP362" s="445"/>
      <c r="AQ362" s="445"/>
      <c r="AR362" s="445"/>
      <c r="AS362" s="445"/>
      <c r="AT362" s="445"/>
      <c r="AU362" s="445"/>
      <c r="AV362" s="445"/>
      <c r="AW362" s="445"/>
      <c r="AX362" s="445"/>
      <c r="AY362" s="445"/>
      <c r="AZ362" s="445"/>
      <c r="BA362" s="445"/>
      <c r="BB362" s="445"/>
      <c r="BC362" s="445"/>
      <c r="BD362" s="445"/>
      <c r="BE362" s="446"/>
      <c r="BF362" s="446"/>
      <c r="BG362" s="445"/>
      <c r="BH362" s="445"/>
      <c r="BI362" s="442">
        <v>13.9</v>
      </c>
      <c r="BJ362" s="446"/>
      <c r="BK362" s="446"/>
      <c r="BL362" s="446"/>
      <c r="BM362" s="446"/>
      <c r="BN362" s="446"/>
      <c r="BO362" s="446"/>
      <c r="BP362" s="446"/>
      <c r="BQ362" s="445">
        <v>26.8</v>
      </c>
      <c r="BR362" s="445">
        <v>5.5</v>
      </c>
      <c r="BS362" s="446"/>
      <c r="BT362" s="446"/>
      <c r="BU362" s="446"/>
      <c r="BV362" s="442"/>
      <c r="BW362" s="442"/>
      <c r="BX362" s="756"/>
      <c r="BY362" s="850"/>
      <c r="BZ362" s="850"/>
      <c r="CA362" s="850"/>
      <c r="CB362" s="850"/>
      <c r="CC362" s="850"/>
      <c r="CD362" s="850"/>
      <c r="CE362" s="850"/>
      <c r="CF362" s="850"/>
      <c r="CG362" s="169" t="s">
        <v>876</v>
      </c>
      <c r="CH362" s="419" t="s">
        <v>1049</v>
      </c>
      <c r="CI362" s="409">
        <v>40994</v>
      </c>
      <c r="CJ362" s="23"/>
      <c r="CK362" s="417" t="s">
        <v>1069</v>
      </c>
      <c r="CL362" s="572"/>
      <c r="CM362" s="648"/>
      <c r="CR362" s="406"/>
      <c r="CS362" s="648"/>
      <c r="CU362" s="23"/>
      <c r="CV362" s="23"/>
      <c r="CW362" s="23"/>
      <c r="CX362" s="23"/>
      <c r="DA362" s="648"/>
    </row>
    <row r="363" spans="1:105" s="35" customFormat="1" ht="12" customHeight="1" x14ac:dyDescent="0.2">
      <c r="A363" s="651"/>
      <c r="B363" s="537"/>
      <c r="C363" s="97" t="s">
        <v>184</v>
      </c>
      <c r="D363" s="278" t="s">
        <v>1125</v>
      </c>
      <c r="E363" s="647" t="s">
        <v>515</v>
      </c>
      <c r="F363" s="647"/>
      <c r="G363" s="98"/>
      <c r="H363" s="97"/>
      <c r="I363" s="166">
        <v>1999</v>
      </c>
      <c r="J363" s="571"/>
      <c r="K363" s="571"/>
      <c r="L363" s="493"/>
      <c r="M363" s="98"/>
      <c r="N363" s="493"/>
      <c r="O363" s="247" t="s">
        <v>19</v>
      </c>
      <c r="P363" s="247"/>
      <c r="Q363" s="98"/>
      <c r="R363" s="167"/>
      <c r="S363" s="167"/>
      <c r="T363" s="167"/>
      <c r="U363" s="393">
        <v>150</v>
      </c>
      <c r="V363" s="694"/>
      <c r="W363" s="711"/>
      <c r="X363" s="167"/>
      <c r="Y363" s="446"/>
      <c r="Z363" s="446"/>
      <c r="AA363" s="446"/>
      <c r="AB363" s="446"/>
      <c r="AC363" s="446"/>
      <c r="AD363" s="446"/>
      <c r="AE363" s="446"/>
      <c r="AF363" s="446"/>
      <c r="AG363" s="446"/>
      <c r="AH363" s="446"/>
      <c r="AI363" s="446"/>
      <c r="AJ363" s="446"/>
      <c r="AK363" s="446"/>
      <c r="AL363" s="446"/>
      <c r="AM363" s="446"/>
      <c r="AN363" s="446"/>
      <c r="AO363" s="446"/>
      <c r="AP363" s="446"/>
      <c r="AQ363" s="446"/>
      <c r="AR363" s="446"/>
      <c r="AS363" s="446"/>
      <c r="AT363" s="446"/>
      <c r="AU363" s="446"/>
      <c r="AV363" s="446"/>
      <c r="AW363" s="446"/>
      <c r="AX363" s="446"/>
      <c r="AY363" s="446"/>
      <c r="AZ363" s="446"/>
      <c r="BA363" s="446"/>
      <c r="BB363" s="446"/>
      <c r="BC363" s="446"/>
      <c r="BD363" s="446"/>
      <c r="BE363" s="442"/>
      <c r="BF363" s="442"/>
      <c r="BG363" s="446"/>
      <c r="BH363" s="446"/>
      <c r="BI363" s="442"/>
      <c r="BJ363" s="442"/>
      <c r="BK363" s="442"/>
      <c r="BL363" s="442"/>
      <c r="BM363" s="442"/>
      <c r="BN363" s="442"/>
      <c r="BO363" s="442"/>
      <c r="BP363" s="442"/>
      <c r="BQ363" s="442"/>
      <c r="BR363" s="442"/>
      <c r="BS363" s="442">
        <v>34</v>
      </c>
      <c r="BT363" s="446"/>
      <c r="BU363" s="446"/>
      <c r="BV363" s="442"/>
      <c r="BW363" s="442"/>
      <c r="BX363" s="756"/>
      <c r="BY363" s="850"/>
      <c r="BZ363" s="850"/>
      <c r="CA363" s="850"/>
      <c r="CB363" s="850"/>
      <c r="CC363" s="850"/>
      <c r="CD363" s="850"/>
      <c r="CE363" s="850"/>
      <c r="CF363" s="850"/>
      <c r="CG363" s="278" t="s">
        <v>980</v>
      </c>
      <c r="CH363" s="419" t="s">
        <v>516</v>
      </c>
      <c r="CI363" s="406"/>
      <c r="CJ363" s="23"/>
      <c r="CK363" s="648" t="s">
        <v>517</v>
      </c>
      <c r="CL363" s="572"/>
      <c r="CM363" s="648"/>
      <c r="CR363" s="406"/>
      <c r="CS363" s="648"/>
      <c r="CU363" s="23"/>
      <c r="CV363" s="23"/>
      <c r="CW363" s="23"/>
      <c r="CX363" s="23"/>
      <c r="DA363" s="648"/>
    </row>
    <row r="364" spans="1:105" s="35" customFormat="1" ht="12" customHeight="1" x14ac:dyDescent="0.2">
      <c r="A364" s="651"/>
      <c r="B364" s="537"/>
      <c r="C364" s="97" t="s">
        <v>184</v>
      </c>
      <c r="D364" s="169" t="s">
        <v>1125</v>
      </c>
      <c r="E364" s="647" t="s">
        <v>856</v>
      </c>
      <c r="F364" s="647"/>
      <c r="G364" s="98"/>
      <c r="H364" s="97"/>
      <c r="I364" s="166">
        <v>2003</v>
      </c>
      <c r="J364" s="571"/>
      <c r="K364" s="571"/>
      <c r="L364" s="493"/>
      <c r="M364" s="98"/>
      <c r="N364" s="493"/>
      <c r="O364" s="98"/>
      <c r="P364" s="98"/>
      <c r="Q364" s="98"/>
      <c r="R364" s="167"/>
      <c r="S364" s="167"/>
      <c r="T364" s="167"/>
      <c r="U364" s="393">
        <v>307</v>
      </c>
      <c r="V364" s="694"/>
      <c r="W364" s="711"/>
      <c r="X364" s="167"/>
      <c r="Y364" s="446"/>
      <c r="Z364" s="446"/>
      <c r="AA364" s="446"/>
      <c r="AB364" s="446"/>
      <c r="AC364" s="446"/>
      <c r="AD364" s="446"/>
      <c r="AE364" s="446"/>
      <c r="AF364" s="446"/>
      <c r="AG364" s="446"/>
      <c r="AH364" s="446"/>
      <c r="AI364" s="446"/>
      <c r="AJ364" s="446"/>
      <c r="AK364" s="446"/>
      <c r="AL364" s="446"/>
      <c r="AM364" s="446"/>
      <c r="AN364" s="446"/>
      <c r="AO364" s="446"/>
      <c r="AP364" s="446"/>
      <c r="AQ364" s="446"/>
      <c r="AR364" s="446"/>
      <c r="AS364" s="446"/>
      <c r="AT364" s="446"/>
      <c r="AU364" s="446"/>
      <c r="AV364" s="446"/>
      <c r="AW364" s="446"/>
      <c r="AX364" s="446"/>
      <c r="AY364" s="446"/>
      <c r="AZ364" s="446"/>
      <c r="BA364" s="446"/>
      <c r="BB364" s="446"/>
      <c r="BC364" s="446"/>
      <c r="BD364" s="446"/>
      <c r="BE364" s="442"/>
      <c r="BF364" s="442"/>
      <c r="BG364" s="446"/>
      <c r="BH364" s="446"/>
      <c r="BI364" s="442"/>
      <c r="BJ364" s="442"/>
      <c r="BK364" s="442"/>
      <c r="BL364" s="442"/>
      <c r="BM364" s="442"/>
      <c r="BN364" s="442"/>
      <c r="BO364" s="442"/>
      <c r="BP364" s="442"/>
      <c r="BQ364" s="442"/>
      <c r="BR364" s="442"/>
      <c r="BS364" s="442">
        <v>55.9</v>
      </c>
      <c r="BT364" s="446"/>
      <c r="BU364" s="446"/>
      <c r="BV364" s="442"/>
      <c r="BW364" s="442"/>
      <c r="BX364" s="756"/>
      <c r="BY364" s="850"/>
      <c r="BZ364" s="850"/>
      <c r="CA364" s="850"/>
      <c r="CB364" s="850"/>
      <c r="CC364" s="850"/>
      <c r="CD364" s="850"/>
      <c r="CE364" s="850"/>
      <c r="CF364" s="850"/>
      <c r="CG364" s="169" t="s">
        <v>957</v>
      </c>
      <c r="CH364" s="417"/>
      <c r="CI364" s="406"/>
      <c r="CJ364" s="23"/>
      <c r="CK364" s="417" t="s">
        <v>1044</v>
      </c>
      <c r="CL364" s="572"/>
      <c r="CM364" s="648"/>
      <c r="CR364" s="406"/>
      <c r="CS364" s="648"/>
      <c r="CU364" s="23"/>
      <c r="CV364" s="23"/>
      <c r="CW364" s="23"/>
      <c r="CX364" s="23"/>
      <c r="DA364" s="648"/>
    </row>
    <row r="365" spans="1:105" s="35" customFormat="1" ht="12" customHeight="1" x14ac:dyDescent="0.2">
      <c r="A365" s="651"/>
      <c r="B365" s="537"/>
      <c r="C365" s="97" t="s">
        <v>184</v>
      </c>
      <c r="D365" s="169" t="s">
        <v>1125</v>
      </c>
      <c r="E365" s="647" t="s">
        <v>1969</v>
      </c>
      <c r="F365" s="647"/>
      <c r="G365" s="98"/>
      <c r="H365" s="97"/>
      <c r="I365" s="166">
        <v>2011</v>
      </c>
      <c r="J365" s="571"/>
      <c r="K365" s="571"/>
      <c r="L365" s="493"/>
      <c r="M365" s="98"/>
      <c r="N365" s="493"/>
      <c r="O365" s="98"/>
      <c r="P365" s="98"/>
      <c r="Q365" s="98"/>
      <c r="R365" s="167"/>
      <c r="S365" s="167"/>
      <c r="T365" s="167"/>
      <c r="U365" s="393"/>
      <c r="V365" s="694"/>
      <c r="W365" s="711"/>
      <c r="X365" s="167"/>
      <c r="Y365" s="446"/>
      <c r="Z365" s="446"/>
      <c r="AA365" s="446"/>
      <c r="AB365" s="446"/>
      <c r="AC365" s="446"/>
      <c r="AD365" s="446"/>
      <c r="AE365" s="446"/>
      <c r="AF365" s="446"/>
      <c r="AG365" s="446"/>
      <c r="AH365" s="446"/>
      <c r="AI365" s="446"/>
      <c r="AJ365" s="446"/>
      <c r="AK365" s="446"/>
      <c r="AL365" s="446"/>
      <c r="AM365" s="446"/>
      <c r="AN365" s="446"/>
      <c r="AO365" s="446"/>
      <c r="AP365" s="446"/>
      <c r="AQ365" s="446"/>
      <c r="AR365" s="446"/>
      <c r="AS365" s="446"/>
      <c r="AT365" s="446"/>
      <c r="AU365" s="446"/>
      <c r="AV365" s="446"/>
      <c r="AW365" s="446"/>
      <c r="AX365" s="446"/>
      <c r="AY365" s="446"/>
      <c r="AZ365" s="446"/>
      <c r="BA365" s="446"/>
      <c r="BB365" s="446"/>
      <c r="BC365" s="446"/>
      <c r="BD365" s="446"/>
      <c r="BE365" s="442"/>
      <c r="BF365" s="442"/>
      <c r="BG365" s="446"/>
      <c r="BH365" s="446"/>
      <c r="BI365" s="442"/>
      <c r="BJ365" s="442"/>
      <c r="BK365" s="442"/>
      <c r="BL365" s="442"/>
      <c r="BM365" s="442"/>
      <c r="BN365" s="442"/>
      <c r="BO365" s="442"/>
      <c r="BP365" s="442"/>
      <c r="BQ365" s="442"/>
      <c r="BR365" s="442"/>
      <c r="BS365" s="442"/>
      <c r="BT365" s="446"/>
      <c r="BU365" s="446"/>
      <c r="BV365" s="442"/>
      <c r="BW365" s="442"/>
      <c r="BX365" s="756"/>
      <c r="BY365" s="850"/>
      <c r="BZ365" s="850"/>
      <c r="CA365" s="850"/>
      <c r="CB365" s="850"/>
      <c r="CC365" s="850"/>
      <c r="CD365" s="850"/>
      <c r="CE365" s="850"/>
      <c r="CF365" s="850"/>
      <c r="CG365" s="169"/>
      <c r="CH365" s="417" t="s">
        <v>1968</v>
      </c>
      <c r="CI365" s="406"/>
      <c r="CJ365" s="23"/>
      <c r="CK365" s="417"/>
      <c r="CL365" s="572"/>
      <c r="CM365" s="648"/>
      <c r="CR365" s="406"/>
      <c r="CS365" s="648"/>
      <c r="CU365" s="23"/>
      <c r="CV365" s="23"/>
      <c r="CW365" s="23"/>
      <c r="CX365" s="23"/>
      <c r="DA365" s="648"/>
    </row>
    <row r="366" spans="1:105" s="35" customFormat="1" ht="12" customHeight="1" x14ac:dyDescent="0.2">
      <c r="A366" s="651"/>
      <c r="B366" s="537"/>
      <c r="C366" s="97" t="s">
        <v>73</v>
      </c>
      <c r="D366" s="169" t="s">
        <v>1134</v>
      </c>
      <c r="E366" s="647" t="s">
        <v>1113</v>
      </c>
      <c r="F366" s="647"/>
      <c r="G366" s="237"/>
      <c r="H366" s="186"/>
      <c r="I366" s="166">
        <v>1982</v>
      </c>
      <c r="J366" s="390"/>
      <c r="K366" s="390"/>
      <c r="L366" s="493"/>
      <c r="M366" s="98" t="s">
        <v>15</v>
      </c>
      <c r="N366" s="493"/>
      <c r="O366" s="247" t="s">
        <v>19</v>
      </c>
      <c r="P366" s="247"/>
      <c r="Q366" s="98"/>
      <c r="R366" s="167"/>
      <c r="S366" s="167"/>
      <c r="T366" s="167"/>
      <c r="U366" s="393">
        <v>628</v>
      </c>
      <c r="V366" s="694"/>
      <c r="W366" s="711"/>
      <c r="X366" s="254"/>
      <c r="Y366" s="446"/>
      <c r="Z366" s="446"/>
      <c r="AA366" s="446"/>
      <c r="AB366" s="446"/>
      <c r="AC366" s="446"/>
      <c r="AD366" s="446"/>
      <c r="AE366" s="446"/>
      <c r="AF366" s="446"/>
      <c r="AG366" s="446"/>
      <c r="AH366" s="446"/>
      <c r="AI366" s="446"/>
      <c r="AJ366" s="446"/>
      <c r="AK366" s="446"/>
      <c r="AL366" s="446"/>
      <c r="AM366" s="446"/>
      <c r="AN366" s="446"/>
      <c r="AO366" s="446"/>
      <c r="AP366" s="446"/>
      <c r="AQ366" s="446"/>
      <c r="AR366" s="446"/>
      <c r="AS366" s="446"/>
      <c r="AT366" s="446"/>
      <c r="AU366" s="446"/>
      <c r="AV366" s="446"/>
      <c r="AW366" s="446"/>
      <c r="AX366" s="446"/>
      <c r="AY366" s="446"/>
      <c r="AZ366" s="446"/>
      <c r="BA366" s="446"/>
      <c r="BB366" s="446"/>
      <c r="BC366" s="446"/>
      <c r="BD366" s="446"/>
      <c r="BE366" s="445"/>
      <c r="BF366" s="445"/>
      <c r="BG366" s="446"/>
      <c r="BH366" s="446"/>
      <c r="BI366" s="442">
        <v>67</v>
      </c>
      <c r="BJ366" s="445"/>
      <c r="BK366" s="445"/>
      <c r="BL366" s="445"/>
      <c r="BM366" s="445"/>
      <c r="BN366" s="445"/>
      <c r="BO366" s="445"/>
      <c r="BP366" s="445"/>
      <c r="BQ366" s="444"/>
      <c r="BR366" s="444"/>
      <c r="BS366" s="442"/>
      <c r="BT366" s="445"/>
      <c r="BU366" s="445"/>
      <c r="BV366" s="445"/>
      <c r="BW366" s="445"/>
      <c r="BX366" s="756"/>
      <c r="BY366" s="850"/>
      <c r="BZ366" s="850"/>
      <c r="CA366" s="850"/>
      <c r="CB366" s="850"/>
      <c r="CC366" s="850"/>
      <c r="CD366" s="850"/>
      <c r="CE366" s="850"/>
      <c r="CF366" s="850"/>
      <c r="CG366" s="169" t="s">
        <v>523</v>
      </c>
      <c r="CH366" s="426"/>
      <c r="CI366" s="406"/>
      <c r="CJ366" s="23"/>
      <c r="CK366" s="648" t="s">
        <v>1178</v>
      </c>
      <c r="CL366" s="572"/>
      <c r="CM366" s="648"/>
      <c r="CR366" s="406"/>
      <c r="CS366" s="648"/>
      <c r="CU366" s="23"/>
      <c r="CV366" s="23"/>
      <c r="CW366" s="23"/>
      <c r="CX366" s="23"/>
      <c r="DA366" s="648"/>
    </row>
    <row r="367" spans="1:105" s="35" customFormat="1" ht="12" customHeight="1" x14ac:dyDescent="0.2">
      <c r="A367" s="651"/>
      <c r="B367" s="537"/>
      <c r="C367" s="97" t="s">
        <v>73</v>
      </c>
      <c r="D367" s="237" t="s">
        <v>1134</v>
      </c>
      <c r="E367" s="647" t="s">
        <v>529</v>
      </c>
      <c r="F367" s="647"/>
      <c r="G367" s="237"/>
      <c r="H367" s="186"/>
      <c r="I367" s="166">
        <v>1984</v>
      </c>
      <c r="J367" s="390"/>
      <c r="K367" s="390"/>
      <c r="L367" s="493"/>
      <c r="M367" s="98" t="s">
        <v>15</v>
      </c>
      <c r="N367" s="493"/>
      <c r="O367" s="237" t="s">
        <v>19</v>
      </c>
      <c r="P367" s="237"/>
      <c r="Q367" s="98"/>
      <c r="R367" s="167"/>
      <c r="S367" s="167"/>
      <c r="T367" s="167"/>
      <c r="U367" s="393">
        <v>298</v>
      </c>
      <c r="V367" s="694"/>
      <c r="W367" s="711"/>
      <c r="X367" s="254"/>
      <c r="Y367" s="446"/>
      <c r="Z367" s="446"/>
      <c r="AA367" s="446"/>
      <c r="AB367" s="446"/>
      <c r="AC367" s="446"/>
      <c r="AD367" s="446"/>
      <c r="AE367" s="446"/>
      <c r="AF367" s="446"/>
      <c r="AG367" s="446"/>
      <c r="AH367" s="446"/>
      <c r="AI367" s="446"/>
      <c r="AJ367" s="446"/>
      <c r="AK367" s="446"/>
      <c r="AL367" s="446"/>
      <c r="AM367" s="446"/>
      <c r="AN367" s="446"/>
      <c r="AO367" s="446"/>
      <c r="AP367" s="446"/>
      <c r="AQ367" s="446"/>
      <c r="AR367" s="446"/>
      <c r="AS367" s="446"/>
      <c r="AT367" s="446"/>
      <c r="AU367" s="446"/>
      <c r="AV367" s="446"/>
      <c r="AW367" s="446"/>
      <c r="AX367" s="446"/>
      <c r="AY367" s="446"/>
      <c r="AZ367" s="446"/>
      <c r="BA367" s="446"/>
      <c r="BB367" s="446"/>
      <c r="BC367" s="446"/>
      <c r="BD367" s="446"/>
      <c r="BE367" s="445"/>
      <c r="BF367" s="445"/>
      <c r="BG367" s="446"/>
      <c r="BH367" s="446"/>
      <c r="BI367" s="445"/>
      <c r="BJ367" s="445"/>
      <c r="BK367" s="445"/>
      <c r="BL367" s="445"/>
      <c r="BM367" s="445"/>
      <c r="BN367" s="445"/>
      <c r="BO367" s="445"/>
      <c r="BP367" s="445"/>
      <c r="BQ367" s="444"/>
      <c r="BR367" s="444"/>
      <c r="BS367" s="442">
        <v>56</v>
      </c>
      <c r="BT367" s="445"/>
      <c r="BU367" s="445"/>
      <c r="BV367" s="445"/>
      <c r="BW367" s="445"/>
      <c r="BX367" s="756"/>
      <c r="BY367" s="850"/>
      <c r="BZ367" s="850"/>
      <c r="CA367" s="850"/>
      <c r="CB367" s="850"/>
      <c r="CC367" s="850"/>
      <c r="CD367" s="850"/>
      <c r="CE367" s="850"/>
      <c r="CF367" s="850"/>
      <c r="CG367" s="98" t="s">
        <v>218</v>
      </c>
      <c r="CH367" s="417"/>
      <c r="CI367" s="406"/>
      <c r="CJ367" s="23"/>
      <c r="CK367" s="648" t="s">
        <v>1179</v>
      </c>
      <c r="CL367" s="572"/>
      <c r="CM367" s="648"/>
      <c r="CR367" s="406"/>
      <c r="CS367" s="648"/>
      <c r="CU367" s="23"/>
      <c r="CV367" s="23"/>
      <c r="CW367" s="23"/>
      <c r="CX367" s="23"/>
      <c r="DA367" s="648"/>
    </row>
    <row r="368" spans="1:105" s="35" customFormat="1" ht="12" customHeight="1" x14ac:dyDescent="0.2">
      <c r="A368" s="651"/>
      <c r="B368" s="537"/>
      <c r="C368" s="97" t="s">
        <v>73</v>
      </c>
      <c r="D368" s="237" t="s">
        <v>1134</v>
      </c>
      <c r="E368" s="647" t="s">
        <v>530</v>
      </c>
      <c r="F368" s="647"/>
      <c r="G368" s="237"/>
      <c r="H368" s="186"/>
      <c r="I368" s="166">
        <v>1984</v>
      </c>
      <c r="J368" s="390"/>
      <c r="K368" s="390"/>
      <c r="L368" s="493"/>
      <c r="M368" s="237" t="s">
        <v>15</v>
      </c>
      <c r="N368" s="493"/>
      <c r="O368" s="237" t="s">
        <v>234</v>
      </c>
      <c r="P368" s="237"/>
      <c r="Q368" s="98"/>
      <c r="R368" s="167"/>
      <c r="S368" s="167"/>
      <c r="T368" s="167"/>
      <c r="U368" s="393">
        <v>99</v>
      </c>
      <c r="V368" s="694"/>
      <c r="W368" s="711"/>
      <c r="X368" s="254"/>
      <c r="Y368" s="446"/>
      <c r="Z368" s="446"/>
      <c r="AA368" s="446"/>
      <c r="AB368" s="446"/>
      <c r="AC368" s="446"/>
      <c r="AD368" s="446"/>
      <c r="AE368" s="446"/>
      <c r="AF368" s="446"/>
      <c r="AG368" s="446"/>
      <c r="AH368" s="446"/>
      <c r="AI368" s="446"/>
      <c r="AJ368" s="446"/>
      <c r="AK368" s="446"/>
      <c r="AL368" s="446"/>
      <c r="AM368" s="446"/>
      <c r="AN368" s="446"/>
      <c r="AO368" s="446"/>
      <c r="AP368" s="446"/>
      <c r="AQ368" s="446"/>
      <c r="AR368" s="446"/>
      <c r="AS368" s="446"/>
      <c r="AT368" s="446"/>
      <c r="AU368" s="446"/>
      <c r="AV368" s="446"/>
      <c r="AW368" s="446"/>
      <c r="AX368" s="446"/>
      <c r="AY368" s="446"/>
      <c r="AZ368" s="446"/>
      <c r="BA368" s="446"/>
      <c r="BB368" s="446"/>
      <c r="BC368" s="446"/>
      <c r="BD368" s="446"/>
      <c r="BE368" s="445"/>
      <c r="BF368" s="445"/>
      <c r="BG368" s="446"/>
      <c r="BH368" s="446"/>
      <c r="BI368" s="445"/>
      <c r="BJ368" s="445"/>
      <c r="BK368" s="445"/>
      <c r="BL368" s="445"/>
      <c r="BM368" s="445"/>
      <c r="BN368" s="445"/>
      <c r="BO368" s="445"/>
      <c r="BP368" s="445"/>
      <c r="BQ368" s="444"/>
      <c r="BR368" s="444"/>
      <c r="BS368" s="442">
        <v>62</v>
      </c>
      <c r="BT368" s="445"/>
      <c r="BU368" s="445"/>
      <c r="BV368" s="445"/>
      <c r="BW368" s="445"/>
      <c r="BX368" s="756"/>
      <c r="BY368" s="850"/>
      <c r="BZ368" s="850"/>
      <c r="CA368" s="850"/>
      <c r="CB368" s="850"/>
      <c r="CC368" s="850"/>
      <c r="CD368" s="850"/>
      <c r="CE368" s="850"/>
      <c r="CF368" s="850"/>
      <c r="CG368" s="237" t="s">
        <v>524</v>
      </c>
      <c r="CH368" s="417"/>
      <c r="CI368" s="406"/>
      <c r="CJ368" s="23"/>
      <c r="CK368" s="648" t="s">
        <v>1180</v>
      </c>
      <c r="CL368" s="572" t="s">
        <v>528</v>
      </c>
      <c r="CM368" s="648"/>
      <c r="CR368" s="406"/>
      <c r="CS368" s="648"/>
      <c r="CU368" s="23"/>
      <c r="CV368" s="23"/>
      <c r="CW368" s="23"/>
      <c r="CX368" s="23"/>
      <c r="DA368" s="648"/>
    </row>
    <row r="369" spans="1:105" s="35" customFormat="1" ht="12" customHeight="1" x14ac:dyDescent="0.2">
      <c r="A369" s="651"/>
      <c r="B369" s="537"/>
      <c r="C369" s="97" t="s">
        <v>56</v>
      </c>
      <c r="D369" s="169" t="s">
        <v>1132</v>
      </c>
      <c r="E369" s="647" t="s">
        <v>14</v>
      </c>
      <c r="F369" s="647"/>
      <c r="G369" s="98"/>
      <c r="H369" s="97"/>
      <c r="I369" s="166">
        <v>2004</v>
      </c>
      <c r="J369" s="571"/>
      <c r="K369" s="571"/>
      <c r="L369" s="493" t="s">
        <v>1123</v>
      </c>
      <c r="M369" s="98" t="s">
        <v>15</v>
      </c>
      <c r="N369" s="493"/>
      <c r="O369" s="237" t="s">
        <v>20</v>
      </c>
      <c r="P369" s="237"/>
      <c r="Q369" s="98"/>
      <c r="R369" s="167"/>
      <c r="S369" s="167"/>
      <c r="T369" s="167"/>
      <c r="U369" s="393">
        <v>5070</v>
      </c>
      <c r="V369" s="694"/>
      <c r="W369" s="711"/>
      <c r="X369" s="167"/>
      <c r="Y369" s="446"/>
      <c r="Z369" s="446"/>
      <c r="AA369" s="446"/>
      <c r="AB369" s="446"/>
      <c r="AC369" s="446"/>
      <c r="AD369" s="446"/>
      <c r="AE369" s="446"/>
      <c r="AF369" s="446"/>
      <c r="AG369" s="446"/>
      <c r="AH369" s="446"/>
      <c r="AI369" s="446"/>
      <c r="AJ369" s="446"/>
      <c r="AK369" s="446"/>
      <c r="AL369" s="446"/>
      <c r="AM369" s="446"/>
      <c r="AN369" s="446"/>
      <c r="AO369" s="446"/>
      <c r="AP369" s="446"/>
      <c r="AQ369" s="446"/>
      <c r="AR369" s="446"/>
      <c r="AS369" s="446"/>
      <c r="AT369" s="446"/>
      <c r="AU369" s="446"/>
      <c r="AV369" s="446"/>
      <c r="AW369" s="446"/>
      <c r="AX369" s="446"/>
      <c r="AY369" s="446"/>
      <c r="AZ369" s="446"/>
      <c r="BA369" s="446"/>
      <c r="BB369" s="446"/>
      <c r="BC369" s="446"/>
      <c r="BD369" s="446"/>
      <c r="BE369" s="445"/>
      <c r="BF369" s="445"/>
      <c r="BG369" s="446"/>
      <c r="BH369" s="446"/>
      <c r="BI369" s="445">
        <v>19.3</v>
      </c>
      <c r="BJ369" s="445">
        <v>6.6</v>
      </c>
      <c r="BK369" s="445"/>
      <c r="BL369" s="445"/>
      <c r="BM369" s="445"/>
      <c r="BN369" s="445"/>
      <c r="BO369" s="445"/>
      <c r="BP369" s="445"/>
      <c r="BQ369" s="444"/>
      <c r="BR369" s="444"/>
      <c r="BS369" s="442"/>
      <c r="BT369" s="445"/>
      <c r="BU369" s="445"/>
      <c r="BV369" s="445"/>
      <c r="BW369" s="445"/>
      <c r="BX369" s="756"/>
      <c r="BY369" s="850"/>
      <c r="BZ369" s="850"/>
      <c r="CA369" s="850"/>
      <c r="CB369" s="850"/>
      <c r="CC369" s="850"/>
      <c r="CD369" s="850"/>
      <c r="CE369" s="850"/>
      <c r="CF369" s="850"/>
      <c r="CG369" s="169" t="s">
        <v>523</v>
      </c>
      <c r="CH369" s="417"/>
      <c r="CI369" s="406"/>
      <c r="CJ369" s="23"/>
      <c r="CK369" s="426" t="s">
        <v>1041</v>
      </c>
      <c r="CL369" s="572"/>
      <c r="CM369" s="648"/>
      <c r="CR369" s="406"/>
      <c r="CS369" s="648"/>
      <c r="CU369" s="23"/>
      <c r="CV369" s="23"/>
      <c r="CW369" s="23"/>
      <c r="CX369" s="23"/>
      <c r="DA369" s="648"/>
    </row>
    <row r="370" spans="1:105" s="35" customFormat="1" ht="12" customHeight="1" x14ac:dyDescent="0.2">
      <c r="A370" s="651"/>
      <c r="B370" s="537"/>
      <c r="C370" s="97" t="s">
        <v>56</v>
      </c>
      <c r="D370" s="169" t="s">
        <v>1132</v>
      </c>
      <c r="E370" s="647" t="s">
        <v>14</v>
      </c>
      <c r="F370" s="647"/>
      <c r="G370" s="98"/>
      <c r="H370" s="97"/>
      <c r="I370" s="166">
        <v>2008</v>
      </c>
      <c r="J370" s="571"/>
      <c r="K370" s="571"/>
      <c r="L370" s="493" t="s">
        <v>1123</v>
      </c>
      <c r="M370" s="247" t="s">
        <v>15</v>
      </c>
      <c r="N370" s="493"/>
      <c r="O370" s="247" t="s">
        <v>19</v>
      </c>
      <c r="P370" s="247"/>
      <c r="Q370" s="98"/>
      <c r="R370" s="167"/>
      <c r="S370" s="167"/>
      <c r="T370" s="167"/>
      <c r="U370" s="170"/>
      <c r="V370" s="692"/>
      <c r="W370" s="700"/>
      <c r="X370" s="167"/>
      <c r="Y370" s="271"/>
      <c r="Z370" s="271"/>
      <c r="AA370" s="271"/>
      <c r="AB370" s="271"/>
      <c r="AC370" s="271"/>
      <c r="AD370" s="271"/>
      <c r="AE370" s="271"/>
      <c r="AF370" s="271"/>
      <c r="AG370" s="271"/>
      <c r="AH370" s="271"/>
      <c r="AI370" s="271"/>
      <c r="AJ370" s="271"/>
      <c r="AK370" s="271"/>
      <c r="AL370" s="271"/>
      <c r="AM370" s="271"/>
      <c r="AN370" s="271"/>
      <c r="AO370" s="271"/>
      <c r="AP370" s="271"/>
      <c r="AQ370" s="271"/>
      <c r="AR370" s="271"/>
      <c r="AS370" s="271"/>
      <c r="AT370" s="271"/>
      <c r="AU370" s="271"/>
      <c r="AV370" s="271"/>
      <c r="AW370" s="271"/>
      <c r="AX370" s="271"/>
      <c r="AY370" s="271"/>
      <c r="AZ370" s="271"/>
      <c r="BA370" s="271"/>
      <c r="BB370" s="271"/>
      <c r="BC370" s="271"/>
      <c r="BD370" s="271"/>
      <c r="BE370" s="445"/>
      <c r="BF370" s="445"/>
      <c r="BG370" s="271"/>
      <c r="BH370" s="271"/>
      <c r="BI370" s="442">
        <v>17.899999999999999</v>
      </c>
      <c r="BJ370" s="445">
        <v>6.7</v>
      </c>
      <c r="BK370" s="445"/>
      <c r="BL370" s="445"/>
      <c r="BM370" s="445"/>
      <c r="BN370" s="445"/>
      <c r="BO370" s="445"/>
      <c r="BP370" s="445"/>
      <c r="BQ370" s="444"/>
      <c r="BR370" s="444"/>
      <c r="BS370" s="446"/>
      <c r="BT370" s="446"/>
      <c r="BU370" s="446"/>
      <c r="BV370" s="442"/>
      <c r="BW370" s="442"/>
      <c r="BX370" s="756"/>
      <c r="BY370" s="850"/>
      <c r="BZ370" s="850"/>
      <c r="CA370" s="850"/>
      <c r="CB370" s="850"/>
      <c r="CC370" s="850"/>
      <c r="CD370" s="850"/>
      <c r="CE370" s="850"/>
      <c r="CF370" s="850"/>
      <c r="CG370" s="169"/>
      <c r="CH370" s="419" t="s">
        <v>1158</v>
      </c>
      <c r="CI370" s="406"/>
      <c r="CJ370" s="23"/>
      <c r="CK370" s="426"/>
      <c r="CL370" s="572"/>
      <c r="CM370" s="648"/>
      <c r="CR370" s="406"/>
      <c r="CS370" s="648"/>
      <c r="CU370" s="23"/>
      <c r="CV370" s="23"/>
      <c r="CW370" s="23"/>
      <c r="CX370" s="23"/>
      <c r="DA370" s="648"/>
    </row>
    <row r="371" spans="1:105" s="35" customFormat="1" ht="12" customHeight="1" x14ac:dyDescent="0.2">
      <c r="A371" s="651"/>
      <c r="B371" s="537"/>
      <c r="C371" s="97" t="s">
        <v>56</v>
      </c>
      <c r="D371" s="169" t="s">
        <v>1132</v>
      </c>
      <c r="E371" s="647" t="s">
        <v>230</v>
      </c>
      <c r="F371" s="647"/>
      <c r="G371" s="98"/>
      <c r="H371" s="97"/>
      <c r="I371" s="166" t="s">
        <v>26</v>
      </c>
      <c r="J371" s="571"/>
      <c r="K371" s="571"/>
      <c r="L371" s="493" t="s">
        <v>1123</v>
      </c>
      <c r="M371" s="98" t="s">
        <v>15</v>
      </c>
      <c r="N371" s="493"/>
      <c r="O371" s="247"/>
      <c r="P371" s="247"/>
      <c r="Q371" s="98"/>
      <c r="R371" s="167"/>
      <c r="S371" s="167"/>
      <c r="T371" s="167"/>
      <c r="U371" s="393">
        <v>5940</v>
      </c>
      <c r="V371" s="694"/>
      <c r="W371" s="711"/>
      <c r="X371" s="167"/>
      <c r="Y371" s="446"/>
      <c r="Z371" s="446"/>
      <c r="AA371" s="446"/>
      <c r="AB371" s="446"/>
      <c r="AC371" s="446"/>
      <c r="AD371" s="446"/>
      <c r="AE371" s="446"/>
      <c r="AF371" s="446"/>
      <c r="AG371" s="446"/>
      <c r="AH371" s="446"/>
      <c r="AI371" s="446"/>
      <c r="AJ371" s="446"/>
      <c r="AK371" s="446"/>
      <c r="AL371" s="446"/>
      <c r="AM371" s="446"/>
      <c r="AN371" s="446"/>
      <c r="AO371" s="446"/>
      <c r="AP371" s="446"/>
      <c r="AQ371" s="446"/>
      <c r="AR371" s="446"/>
      <c r="AS371" s="446"/>
      <c r="AT371" s="446"/>
      <c r="AU371" s="446"/>
      <c r="AV371" s="446"/>
      <c r="AW371" s="446"/>
      <c r="AX371" s="446"/>
      <c r="AY371" s="446"/>
      <c r="AZ371" s="446"/>
      <c r="BA371" s="446"/>
      <c r="BB371" s="446"/>
      <c r="BC371" s="446"/>
      <c r="BD371" s="446"/>
      <c r="BE371" s="445"/>
      <c r="BF371" s="445"/>
      <c r="BG371" s="446"/>
      <c r="BH371" s="446"/>
      <c r="BI371" s="442">
        <v>10</v>
      </c>
      <c r="BJ371" s="445"/>
      <c r="BK371" s="445"/>
      <c r="BL371" s="445"/>
      <c r="BM371" s="445"/>
      <c r="BN371" s="445"/>
      <c r="BO371" s="445"/>
      <c r="BP371" s="445"/>
      <c r="BQ371" s="444"/>
      <c r="BR371" s="444"/>
      <c r="BS371" s="442"/>
      <c r="BT371" s="445"/>
      <c r="BU371" s="445"/>
      <c r="BV371" s="445"/>
      <c r="BW371" s="445"/>
      <c r="BX371" s="756"/>
      <c r="BY371" s="850"/>
      <c r="BZ371" s="850"/>
      <c r="CA371" s="850"/>
      <c r="CB371" s="850"/>
      <c r="CC371" s="850"/>
      <c r="CD371" s="850"/>
      <c r="CE371" s="850"/>
      <c r="CF371" s="850"/>
      <c r="CG371" s="169" t="s">
        <v>523</v>
      </c>
      <c r="CH371" s="417"/>
      <c r="CI371" s="406"/>
      <c r="CJ371" s="23"/>
      <c r="CK371" s="426" t="s">
        <v>1041</v>
      </c>
      <c r="CL371" s="572"/>
      <c r="CM371" s="648"/>
      <c r="CR371" s="406"/>
      <c r="CS371" s="648"/>
      <c r="CU371" s="23"/>
      <c r="CV371" s="23"/>
      <c r="CW371" s="23"/>
      <c r="CX371" s="23"/>
      <c r="DA371" s="648"/>
    </row>
    <row r="372" spans="1:105" s="35" customFormat="1" ht="12" customHeight="1" x14ac:dyDescent="0.2">
      <c r="A372" s="652"/>
      <c r="B372" s="469" t="s">
        <v>1811</v>
      </c>
      <c r="C372" s="390" t="s">
        <v>57</v>
      </c>
      <c r="D372" s="479" t="s">
        <v>1132</v>
      </c>
      <c r="E372" s="647" t="s">
        <v>14</v>
      </c>
      <c r="F372" s="647"/>
      <c r="G372" s="237"/>
      <c r="H372" s="186"/>
      <c r="I372" s="166">
        <v>2000</v>
      </c>
      <c r="J372" s="571">
        <v>2000</v>
      </c>
      <c r="K372" s="571"/>
      <c r="L372" s="494" t="s">
        <v>244</v>
      </c>
      <c r="M372" s="247" t="s">
        <v>1837</v>
      </c>
      <c r="N372" s="494" t="s">
        <v>783</v>
      </c>
      <c r="O372" s="247" t="s">
        <v>19</v>
      </c>
      <c r="P372" s="98">
        <v>15</v>
      </c>
      <c r="Q372" s="247">
        <v>49</v>
      </c>
      <c r="R372" s="552">
        <v>29.409259059727692</v>
      </c>
      <c r="S372" s="552"/>
      <c r="T372" s="552"/>
      <c r="U372" s="553">
        <v>18196</v>
      </c>
      <c r="V372" s="794"/>
      <c r="W372" s="712"/>
      <c r="X372" s="552">
        <v>8.3237079337715212</v>
      </c>
      <c r="Y372" s="555"/>
      <c r="Z372" s="555"/>
      <c r="AA372" s="555"/>
      <c r="AB372" s="555"/>
      <c r="AC372" s="552">
        <v>28.467435063144535</v>
      </c>
      <c r="AD372" s="555"/>
      <c r="AE372" s="555"/>
      <c r="AF372" s="555"/>
      <c r="AG372" s="555"/>
      <c r="AH372" s="555"/>
      <c r="AI372" s="555"/>
      <c r="AJ372" s="555"/>
      <c r="AK372" s="555"/>
      <c r="AL372" s="555"/>
      <c r="AM372" s="555"/>
      <c r="AN372" s="555"/>
      <c r="AO372" s="555"/>
      <c r="AP372" s="555"/>
      <c r="AQ372" s="552">
        <v>42.685205539678989</v>
      </c>
      <c r="AR372" s="552">
        <v>42.435281779544098</v>
      </c>
      <c r="AS372" s="555"/>
      <c r="AT372" s="555"/>
      <c r="AU372" s="555"/>
      <c r="AV372" s="555"/>
      <c r="AW372" s="555"/>
      <c r="AX372" s="555"/>
      <c r="AY372" s="555"/>
      <c r="AZ372" s="555"/>
      <c r="BA372" s="555"/>
      <c r="BB372" s="555"/>
      <c r="BC372" s="555"/>
      <c r="BD372" s="555"/>
      <c r="BE372" s="552"/>
      <c r="BF372" s="552"/>
      <c r="BG372" s="555"/>
      <c r="BH372" s="555"/>
      <c r="BI372" s="552">
        <v>42.685205539678989</v>
      </c>
      <c r="BJ372" s="552">
        <v>42.435281779544098</v>
      </c>
      <c r="BK372" s="552"/>
      <c r="BL372" s="552"/>
      <c r="BM372" s="555"/>
      <c r="BN372" s="555"/>
      <c r="BO372" s="555"/>
      <c r="BP372" s="555"/>
      <c r="BQ372" s="552"/>
      <c r="BR372" s="42"/>
      <c r="BS372" s="42"/>
      <c r="BT372" s="42"/>
      <c r="BU372" s="42">
        <v>12</v>
      </c>
      <c r="BV372" s="42"/>
      <c r="BW372" s="42"/>
      <c r="BX372" s="758"/>
      <c r="BY372" s="851"/>
      <c r="BZ372" s="851"/>
      <c r="CA372" s="851"/>
      <c r="CB372" s="851"/>
      <c r="CC372" s="851"/>
      <c r="CD372" s="851"/>
      <c r="CE372" s="851"/>
      <c r="CF372" s="851"/>
      <c r="CG372" s="97"/>
      <c r="CH372" s="647"/>
      <c r="CI372" s="97"/>
      <c r="CJ372" s="97"/>
      <c r="CK372" s="647"/>
      <c r="CL372" s="469" t="s">
        <v>1841</v>
      </c>
      <c r="CM372" s="647"/>
      <c r="CN372" s="97"/>
      <c r="CO372" s="97"/>
      <c r="CP372" s="97"/>
      <c r="CQ372" s="97"/>
      <c r="CR372" s="638"/>
      <c r="CS372" s="647"/>
      <c r="CU372" s="23"/>
      <c r="CV372" s="23"/>
      <c r="CW372" s="23"/>
      <c r="CX372" s="23"/>
      <c r="DA372" s="648"/>
    </row>
    <row r="373" spans="1:105" s="35" customFormat="1" ht="12" customHeight="1" x14ac:dyDescent="0.2">
      <c r="A373" s="652"/>
      <c r="B373" s="469" t="s">
        <v>1812</v>
      </c>
      <c r="C373" s="390" t="s">
        <v>57</v>
      </c>
      <c r="D373" s="479" t="s">
        <v>1132</v>
      </c>
      <c r="E373" s="647" t="s">
        <v>14</v>
      </c>
      <c r="F373" s="647"/>
      <c r="G373" s="237"/>
      <c r="H373" s="186"/>
      <c r="I373" s="481" t="s">
        <v>1835</v>
      </c>
      <c r="J373" s="571">
        <v>2006</v>
      </c>
      <c r="K373" s="571"/>
      <c r="L373" s="494" t="s">
        <v>244</v>
      </c>
      <c r="M373" s="247" t="s">
        <v>1837</v>
      </c>
      <c r="N373" s="494" t="s">
        <v>783</v>
      </c>
      <c r="O373" s="247" t="s">
        <v>19</v>
      </c>
      <c r="P373" s="98">
        <v>15</v>
      </c>
      <c r="Q373" s="247">
        <v>49</v>
      </c>
      <c r="R373" s="552">
        <v>30.244381482904327</v>
      </c>
      <c r="S373" s="552"/>
      <c r="T373" s="552"/>
      <c r="U373" s="553">
        <v>22919</v>
      </c>
      <c r="V373" s="794"/>
      <c r="W373" s="712"/>
      <c r="X373" s="552">
        <v>8.9781502112947145</v>
      </c>
      <c r="Y373" s="552">
        <v>24.852742266242117</v>
      </c>
      <c r="Z373" s="552">
        <v>11.736986779527864</v>
      </c>
      <c r="AA373" s="552">
        <v>34.050351236964843</v>
      </c>
      <c r="AB373" s="552">
        <v>34.050351236964843</v>
      </c>
      <c r="AC373" s="555"/>
      <c r="AD373" s="555"/>
      <c r="AE373" s="552">
        <v>13.216108905275155</v>
      </c>
      <c r="AF373" s="552">
        <v>6.2262751428945782</v>
      </c>
      <c r="AG373" s="552">
        <v>3.0677256065630827</v>
      </c>
      <c r="AH373" s="552">
        <v>0.99493803456100505</v>
      </c>
      <c r="AI373" s="555"/>
      <c r="AJ373" s="555"/>
      <c r="AK373" s="552">
        <v>2.0463371002225372</v>
      </c>
      <c r="AL373" s="552">
        <v>0.53667262969588447</v>
      </c>
      <c r="AM373" s="552">
        <v>27.442509927128423</v>
      </c>
      <c r="AN373" s="552">
        <v>8.9104158484966742</v>
      </c>
      <c r="AO373" s="555"/>
      <c r="AP373" s="555"/>
      <c r="AQ373" s="552">
        <v>33.203891967363496</v>
      </c>
      <c r="AR373" s="552">
        <v>11.579911863519374</v>
      </c>
      <c r="AS373" s="552">
        <v>24.100013090718637</v>
      </c>
      <c r="AT373" s="552">
        <v>7.4878910852205953</v>
      </c>
      <c r="AU373" s="552">
        <v>18.418641183400794</v>
      </c>
      <c r="AV373" s="552">
        <v>5.4108303879216351</v>
      </c>
      <c r="AW373" s="552">
        <v>4.33720219914479</v>
      </c>
      <c r="AX373" s="552">
        <v>1.3526485731739244</v>
      </c>
      <c r="AY373" s="555"/>
      <c r="AZ373" s="555"/>
      <c r="BA373" s="552"/>
      <c r="BB373" s="552"/>
      <c r="BC373" s="555"/>
      <c r="BD373" s="555"/>
      <c r="BE373" s="552"/>
      <c r="BF373" s="552"/>
      <c r="BG373" s="552"/>
      <c r="BH373" s="552"/>
      <c r="BI373" s="552">
        <v>40.577686635542442</v>
      </c>
      <c r="BJ373" s="552">
        <v>14.507613770234332</v>
      </c>
      <c r="BK373" s="552"/>
      <c r="BL373" s="552"/>
      <c r="BM373" s="552">
        <v>9.5252639846409011</v>
      </c>
      <c r="BN373" s="552">
        <v>3.516886290252208</v>
      </c>
      <c r="BO373" s="552">
        <v>5.4025747327078104</v>
      </c>
      <c r="BP373" s="552">
        <v>2.1950687322714559</v>
      </c>
      <c r="BQ373" s="552"/>
      <c r="BR373" s="42"/>
      <c r="BS373" s="42"/>
      <c r="BT373" s="42"/>
      <c r="BU373" s="42">
        <v>12</v>
      </c>
      <c r="BV373" s="42"/>
      <c r="BW373" s="42"/>
      <c r="BX373" s="758"/>
      <c r="BY373" s="851"/>
      <c r="BZ373" s="851"/>
      <c r="CA373" s="851"/>
      <c r="CB373" s="851"/>
      <c r="CC373" s="851"/>
      <c r="CD373" s="851"/>
      <c r="CE373" s="851"/>
      <c r="CF373" s="851"/>
      <c r="CG373" s="97"/>
      <c r="CH373" s="647"/>
      <c r="CI373" s="97"/>
      <c r="CJ373" s="97"/>
      <c r="CK373" s="647"/>
      <c r="CL373" s="469" t="s">
        <v>1841</v>
      </c>
      <c r="CM373" s="647"/>
      <c r="CN373" s="97"/>
      <c r="CO373" s="97"/>
      <c r="CP373" s="97"/>
      <c r="CQ373" s="97"/>
      <c r="CR373" s="638"/>
      <c r="CS373" s="647"/>
      <c r="CU373" s="23"/>
      <c r="CV373" s="23"/>
      <c r="CW373" s="23"/>
      <c r="CX373" s="23"/>
      <c r="DA373" s="648"/>
    </row>
    <row r="374" spans="1:105" s="35" customFormat="1" ht="12" customHeight="1" x14ac:dyDescent="0.2">
      <c r="A374" s="651"/>
      <c r="B374" s="537"/>
      <c r="C374" s="97" t="s">
        <v>57</v>
      </c>
      <c r="D374" s="237" t="s">
        <v>1132</v>
      </c>
      <c r="E374" s="647" t="s">
        <v>945</v>
      </c>
      <c r="F374" s="647"/>
      <c r="G374" s="98"/>
      <c r="H374" s="97"/>
      <c r="I374" s="166">
        <v>1997</v>
      </c>
      <c r="J374" s="571"/>
      <c r="K374" s="571"/>
      <c r="L374" s="493"/>
      <c r="M374" s="98" t="s">
        <v>18</v>
      </c>
      <c r="N374" s="493"/>
      <c r="O374" s="98"/>
      <c r="P374" s="98"/>
      <c r="Q374" s="98"/>
      <c r="R374" s="167"/>
      <c r="S374" s="167"/>
      <c r="T374" s="167"/>
      <c r="U374" s="393">
        <v>359</v>
      </c>
      <c r="V374" s="694"/>
      <c r="W374" s="711"/>
      <c r="X374" s="167"/>
      <c r="Y374" s="446"/>
      <c r="Z374" s="446"/>
      <c r="AA374" s="446"/>
      <c r="AB374" s="446"/>
      <c r="AC374" s="446"/>
      <c r="AD374" s="446"/>
      <c r="AE374" s="446"/>
      <c r="AF374" s="446"/>
      <c r="AG374" s="446"/>
      <c r="AH374" s="446"/>
      <c r="AI374" s="446"/>
      <c r="AJ374" s="446"/>
      <c r="AK374" s="446"/>
      <c r="AL374" s="446"/>
      <c r="AM374" s="446"/>
      <c r="AN374" s="446"/>
      <c r="AO374" s="446"/>
      <c r="AP374" s="446"/>
      <c r="AQ374" s="446"/>
      <c r="AR374" s="446"/>
      <c r="AS374" s="446"/>
      <c r="AT374" s="446"/>
      <c r="AU374" s="446"/>
      <c r="AV374" s="446"/>
      <c r="AW374" s="446"/>
      <c r="AX374" s="446"/>
      <c r="AY374" s="446"/>
      <c r="AZ374" s="446"/>
      <c r="BA374" s="446"/>
      <c r="BB374" s="446"/>
      <c r="BC374" s="446"/>
      <c r="BD374" s="446"/>
      <c r="BE374" s="445"/>
      <c r="BF374" s="445"/>
      <c r="BG374" s="446"/>
      <c r="BH374" s="446"/>
      <c r="BI374" s="445"/>
      <c r="BJ374" s="445">
        <v>31</v>
      </c>
      <c r="BK374" s="445"/>
      <c r="BL374" s="445"/>
      <c r="BM374" s="445"/>
      <c r="BN374" s="445"/>
      <c r="BO374" s="445"/>
      <c r="BP374" s="445"/>
      <c r="BQ374" s="271"/>
      <c r="BR374" s="271"/>
      <c r="BS374" s="271"/>
      <c r="BT374" s="271"/>
      <c r="BU374" s="271"/>
      <c r="BV374" s="454"/>
      <c r="BW374" s="454"/>
      <c r="BX374" s="756"/>
      <c r="BY374" s="850"/>
      <c r="BZ374" s="850"/>
      <c r="CA374" s="850"/>
      <c r="CB374" s="850"/>
      <c r="CC374" s="850"/>
      <c r="CD374" s="850"/>
      <c r="CE374" s="850"/>
      <c r="CF374" s="850"/>
      <c r="CG374" s="98" t="s">
        <v>218</v>
      </c>
      <c r="CH374" s="417"/>
      <c r="CI374" s="406"/>
      <c r="CJ374" s="23"/>
      <c r="CK374" s="417" t="s">
        <v>1059</v>
      </c>
      <c r="CL374" s="572"/>
      <c r="CM374" s="648"/>
      <c r="CR374" s="406"/>
      <c r="CS374" s="648"/>
      <c r="CU374" s="23"/>
      <c r="CV374" s="23"/>
      <c r="CW374" s="23"/>
      <c r="CX374" s="23"/>
      <c r="DA374" s="648"/>
    </row>
    <row r="375" spans="1:105" s="35" customFormat="1" ht="12" customHeight="1" x14ac:dyDescent="0.2">
      <c r="A375" s="651"/>
      <c r="B375" s="537"/>
      <c r="C375" s="97" t="s">
        <v>57</v>
      </c>
      <c r="D375" s="169" t="s">
        <v>1132</v>
      </c>
      <c r="E375" s="647" t="s">
        <v>61</v>
      </c>
      <c r="F375" s="647"/>
      <c r="G375" s="98"/>
      <c r="H375" s="97"/>
      <c r="I375" s="166">
        <v>2001</v>
      </c>
      <c r="J375" s="571"/>
      <c r="K375" s="571"/>
      <c r="L375" s="493" t="s">
        <v>243</v>
      </c>
      <c r="M375" s="98" t="s">
        <v>15</v>
      </c>
      <c r="N375" s="494" t="s">
        <v>783</v>
      </c>
      <c r="O375" s="237" t="s">
        <v>577</v>
      </c>
      <c r="P375" s="237"/>
      <c r="Q375" s="98"/>
      <c r="R375" s="167"/>
      <c r="S375" s="167"/>
      <c r="T375" s="167"/>
      <c r="U375" s="393">
        <v>1497</v>
      </c>
      <c r="V375" s="694"/>
      <c r="W375" s="711"/>
      <c r="X375" s="167"/>
      <c r="Y375" s="446"/>
      <c r="Z375" s="446"/>
      <c r="AA375" s="446"/>
      <c r="AB375" s="446"/>
      <c r="AC375" s="446"/>
      <c r="AD375" s="446"/>
      <c r="AE375" s="446"/>
      <c r="AF375" s="446"/>
      <c r="AG375" s="446"/>
      <c r="AH375" s="446"/>
      <c r="AI375" s="446"/>
      <c r="AJ375" s="446"/>
      <c r="AK375" s="446"/>
      <c r="AL375" s="446"/>
      <c r="AM375" s="446"/>
      <c r="AN375" s="446"/>
      <c r="AO375" s="446"/>
      <c r="AP375" s="446"/>
      <c r="AQ375" s="446"/>
      <c r="AR375" s="446"/>
      <c r="AS375" s="446"/>
      <c r="AT375" s="446"/>
      <c r="AU375" s="446"/>
      <c r="AV375" s="446"/>
      <c r="AW375" s="446"/>
      <c r="AX375" s="446"/>
      <c r="AY375" s="446"/>
      <c r="AZ375" s="446"/>
      <c r="BA375" s="446"/>
      <c r="BB375" s="446"/>
      <c r="BC375" s="446"/>
      <c r="BD375" s="446"/>
      <c r="BE375" s="445"/>
      <c r="BF375" s="445"/>
      <c r="BG375" s="446"/>
      <c r="BH375" s="446"/>
      <c r="BI375" s="442">
        <v>62</v>
      </c>
      <c r="BJ375" s="445">
        <v>25</v>
      </c>
      <c r="BK375" s="445"/>
      <c r="BL375" s="445"/>
      <c r="BM375" s="445"/>
      <c r="BN375" s="445"/>
      <c r="BO375" s="445"/>
      <c r="BP375" s="445"/>
      <c r="BQ375" s="444"/>
      <c r="BR375" s="444"/>
      <c r="BS375" s="442"/>
      <c r="BT375" s="445"/>
      <c r="BU375" s="445"/>
      <c r="BV375" s="445"/>
      <c r="BW375" s="445"/>
      <c r="BX375" s="756"/>
      <c r="BY375" s="850"/>
      <c r="BZ375" s="850"/>
      <c r="CA375" s="850"/>
      <c r="CB375" s="850"/>
      <c r="CC375" s="850"/>
      <c r="CD375" s="850"/>
      <c r="CE375" s="850"/>
      <c r="CF375" s="850"/>
      <c r="CG375" s="169" t="s">
        <v>523</v>
      </c>
      <c r="CH375" s="417"/>
      <c r="CI375" s="406"/>
      <c r="CJ375" s="23"/>
      <c r="CK375" s="426" t="s">
        <v>1041</v>
      </c>
      <c r="CL375" s="572"/>
      <c r="CM375" s="648"/>
      <c r="CR375" s="406"/>
      <c r="CS375" s="648"/>
      <c r="CU375" s="23"/>
      <c r="CV375" s="23"/>
      <c r="CW375" s="23"/>
      <c r="CX375" s="23"/>
      <c r="DA375" s="648"/>
    </row>
    <row r="376" spans="1:105" s="35" customFormat="1" ht="12" customHeight="1" x14ac:dyDescent="0.2">
      <c r="A376" s="651"/>
      <c r="B376" s="537"/>
      <c r="C376" s="97" t="s">
        <v>57</v>
      </c>
      <c r="D376" s="169" t="s">
        <v>1132</v>
      </c>
      <c r="E376" s="647" t="s">
        <v>60</v>
      </c>
      <c r="F376" s="647"/>
      <c r="G376" s="98"/>
      <c r="H376" s="97"/>
      <c r="I376" s="166">
        <v>2001</v>
      </c>
      <c r="J376" s="571"/>
      <c r="K376" s="571"/>
      <c r="L376" s="493" t="s">
        <v>243</v>
      </c>
      <c r="M376" s="98" t="s">
        <v>15</v>
      </c>
      <c r="N376" s="494" t="s">
        <v>783</v>
      </c>
      <c r="O376" s="247" t="s">
        <v>19</v>
      </c>
      <c r="P376" s="247"/>
      <c r="Q376" s="98"/>
      <c r="R376" s="167"/>
      <c r="S376" s="167"/>
      <c r="T376" s="167"/>
      <c r="U376" s="393">
        <v>1019</v>
      </c>
      <c r="V376" s="694"/>
      <c r="W376" s="711"/>
      <c r="X376" s="167"/>
      <c r="Y376" s="446"/>
      <c r="Z376" s="446"/>
      <c r="AA376" s="446"/>
      <c r="AB376" s="446"/>
      <c r="AC376" s="446"/>
      <c r="AD376" s="446"/>
      <c r="AE376" s="446"/>
      <c r="AF376" s="446"/>
      <c r="AG376" s="446"/>
      <c r="AH376" s="446"/>
      <c r="AI376" s="446"/>
      <c r="AJ376" s="446"/>
      <c r="AK376" s="446"/>
      <c r="AL376" s="446"/>
      <c r="AM376" s="446"/>
      <c r="AN376" s="446"/>
      <c r="AO376" s="446"/>
      <c r="AP376" s="446"/>
      <c r="AQ376" s="446"/>
      <c r="AR376" s="446"/>
      <c r="AS376" s="446"/>
      <c r="AT376" s="446"/>
      <c r="AU376" s="446"/>
      <c r="AV376" s="446"/>
      <c r="AW376" s="446"/>
      <c r="AX376" s="446"/>
      <c r="AY376" s="446"/>
      <c r="AZ376" s="446"/>
      <c r="BA376" s="446"/>
      <c r="BB376" s="446"/>
      <c r="BC376" s="446"/>
      <c r="BD376" s="446"/>
      <c r="BE376" s="445"/>
      <c r="BF376" s="445"/>
      <c r="BG376" s="446"/>
      <c r="BH376" s="446"/>
      <c r="BI376" s="442">
        <v>50</v>
      </c>
      <c r="BJ376" s="445">
        <v>17</v>
      </c>
      <c r="BK376" s="445"/>
      <c r="BL376" s="445"/>
      <c r="BM376" s="445"/>
      <c r="BN376" s="445"/>
      <c r="BO376" s="445"/>
      <c r="BP376" s="445"/>
      <c r="BQ376" s="444"/>
      <c r="BR376" s="444"/>
      <c r="BS376" s="442"/>
      <c r="BT376" s="445"/>
      <c r="BU376" s="445"/>
      <c r="BV376" s="445"/>
      <c r="BW376" s="445"/>
      <c r="BX376" s="756"/>
      <c r="BY376" s="850"/>
      <c r="BZ376" s="850"/>
      <c r="CA376" s="850"/>
      <c r="CB376" s="850"/>
      <c r="CC376" s="850"/>
      <c r="CD376" s="850"/>
      <c r="CE376" s="850"/>
      <c r="CF376" s="850"/>
      <c r="CG376" s="169" t="s">
        <v>523</v>
      </c>
      <c r="CH376" s="417"/>
      <c r="CI376" s="406"/>
      <c r="CJ376" s="23"/>
      <c r="CK376" s="426" t="s">
        <v>1041</v>
      </c>
      <c r="CL376" s="572"/>
      <c r="CM376" s="648"/>
      <c r="CR376" s="406"/>
      <c r="CS376" s="648"/>
      <c r="CU376" s="23"/>
      <c r="CV376" s="23"/>
      <c r="CW376" s="23"/>
      <c r="CX376" s="23"/>
      <c r="DA376" s="648"/>
    </row>
    <row r="377" spans="1:105" s="35" customFormat="1" ht="12" customHeight="1" x14ac:dyDescent="0.2">
      <c r="A377" s="651"/>
      <c r="B377" s="537"/>
      <c r="C377" s="390" t="s">
        <v>57</v>
      </c>
      <c r="D377" s="237" t="s">
        <v>1132</v>
      </c>
      <c r="E377" s="647" t="s">
        <v>14</v>
      </c>
      <c r="F377" s="647"/>
      <c r="G377" s="237"/>
      <c r="H377" s="186"/>
      <c r="I377" s="533">
        <v>2009</v>
      </c>
      <c r="J377" s="390"/>
      <c r="K377" s="390"/>
      <c r="L377" s="494" t="s">
        <v>244</v>
      </c>
      <c r="M377" s="247" t="s">
        <v>17</v>
      </c>
      <c r="N377" s="494" t="s">
        <v>783</v>
      </c>
      <c r="O377" s="98" t="s">
        <v>103</v>
      </c>
      <c r="P377" s="98"/>
      <c r="Q377" s="247"/>
      <c r="R377" s="291"/>
      <c r="S377" s="291"/>
      <c r="T377" s="291"/>
      <c r="U377" s="401"/>
      <c r="V377" s="801"/>
      <c r="W377" s="723"/>
      <c r="X377" s="254"/>
      <c r="Y377" s="445"/>
      <c r="Z377" s="445"/>
      <c r="AA377" s="445"/>
      <c r="AB377" s="445"/>
      <c r="AC377" s="445"/>
      <c r="AD377" s="445"/>
      <c r="AE377" s="445"/>
      <c r="AF377" s="445"/>
      <c r="AG377" s="445"/>
      <c r="AH377" s="445"/>
      <c r="AI377" s="445"/>
      <c r="AJ377" s="445"/>
      <c r="AK377" s="445"/>
      <c r="AL377" s="445"/>
      <c r="AM377" s="445"/>
      <c r="AN377" s="445"/>
      <c r="AO377" s="445"/>
      <c r="AP377" s="445"/>
      <c r="AQ377" s="445"/>
      <c r="AR377" s="445"/>
      <c r="AS377" s="445"/>
      <c r="AT377" s="445"/>
      <c r="AU377" s="445"/>
      <c r="AV377" s="445"/>
      <c r="AW377" s="445"/>
      <c r="AX377" s="445"/>
      <c r="AY377" s="445"/>
      <c r="AZ377" s="445"/>
      <c r="BA377" s="445"/>
      <c r="BB377" s="445"/>
      <c r="BC377" s="445"/>
      <c r="BD377" s="445"/>
      <c r="BE377" s="445"/>
      <c r="BF377" s="445"/>
      <c r="BG377" s="445"/>
      <c r="BH377" s="445"/>
      <c r="BI377" s="445">
        <v>31.2</v>
      </c>
      <c r="BJ377" s="445">
        <v>11.2</v>
      </c>
      <c r="BK377" s="445"/>
      <c r="BL377" s="445"/>
      <c r="BM377" s="445"/>
      <c r="BN377" s="445"/>
      <c r="BO377" s="445"/>
      <c r="BP377" s="445"/>
      <c r="BQ377" s="442">
        <v>38.799999999999997</v>
      </c>
      <c r="BR377" s="445">
        <v>14.2</v>
      </c>
      <c r="BS377" s="447"/>
      <c r="BT377" s="447"/>
      <c r="BU377" s="447"/>
      <c r="BV377" s="550"/>
      <c r="BW377" s="550"/>
      <c r="BX377" s="756"/>
      <c r="BY377" s="850"/>
      <c r="BZ377" s="850"/>
      <c r="CA377" s="850"/>
      <c r="CB377" s="850"/>
      <c r="CC377" s="850"/>
      <c r="CD377" s="850"/>
      <c r="CE377" s="850"/>
      <c r="CF377" s="850"/>
      <c r="CG377" s="237" t="s">
        <v>876</v>
      </c>
      <c r="CH377" s="417"/>
      <c r="CI377" s="406"/>
      <c r="CJ377" s="23"/>
      <c r="CK377" s="417" t="s">
        <v>1069</v>
      </c>
      <c r="CL377" s="572"/>
      <c r="CM377" s="648"/>
      <c r="CR377" s="406"/>
      <c r="CS377" s="648"/>
      <c r="CU377" s="23"/>
      <c r="CV377" s="23"/>
      <c r="CW377" s="23"/>
      <c r="CX377" s="23"/>
      <c r="DA377" s="648"/>
    </row>
    <row r="378" spans="1:105" s="35" customFormat="1" ht="12" customHeight="1" x14ac:dyDescent="0.2">
      <c r="A378" s="651"/>
      <c r="B378" s="537"/>
      <c r="C378" s="390" t="s">
        <v>57</v>
      </c>
      <c r="D378" s="237" t="s">
        <v>1132</v>
      </c>
      <c r="E378" s="647" t="s">
        <v>14</v>
      </c>
      <c r="F378" s="647"/>
      <c r="G378" s="237"/>
      <c r="H378" s="186"/>
      <c r="I378" s="533">
        <v>2011</v>
      </c>
      <c r="J378" s="390"/>
      <c r="K378" s="390"/>
      <c r="L378" s="494" t="s">
        <v>244</v>
      </c>
      <c r="M378" s="247" t="s">
        <v>15</v>
      </c>
      <c r="N378" s="494" t="s">
        <v>783</v>
      </c>
      <c r="O378" s="98" t="s">
        <v>103</v>
      </c>
      <c r="P378" s="98"/>
      <c r="Q378" s="247"/>
      <c r="R378" s="291"/>
      <c r="S378" s="291"/>
      <c r="T378" s="291"/>
      <c r="U378" s="170"/>
      <c r="V378" s="692"/>
      <c r="W378" s="700"/>
      <c r="X378" s="254"/>
      <c r="Y378" s="271"/>
      <c r="Z378" s="271"/>
      <c r="AA378" s="271"/>
      <c r="AB378" s="271"/>
      <c r="AC378" s="271"/>
      <c r="AD378" s="271"/>
      <c r="AE378" s="271"/>
      <c r="AF378" s="271"/>
      <c r="AG378" s="271"/>
      <c r="AH378" s="271"/>
      <c r="AI378" s="271"/>
      <c r="AJ378" s="271"/>
      <c r="AK378" s="271"/>
      <c r="AL378" s="271"/>
      <c r="AM378" s="271"/>
      <c r="AN378" s="271"/>
      <c r="AO378" s="271"/>
      <c r="AP378" s="271"/>
      <c r="AQ378" s="271"/>
      <c r="AR378" s="271"/>
      <c r="AS378" s="271"/>
      <c r="AT378" s="271"/>
      <c r="AU378" s="271"/>
      <c r="AV378" s="271"/>
      <c r="AW378" s="271"/>
      <c r="AX378" s="271"/>
      <c r="AY378" s="271"/>
      <c r="AZ378" s="271"/>
      <c r="BA378" s="271"/>
      <c r="BB378" s="271"/>
      <c r="BC378" s="271"/>
      <c r="BD378" s="271"/>
      <c r="BE378" s="445"/>
      <c r="BF378" s="445"/>
      <c r="BG378" s="271"/>
      <c r="BH378" s="271"/>
      <c r="BI378" s="445">
        <v>38</v>
      </c>
      <c r="BJ378" s="445">
        <v>12.6</v>
      </c>
      <c r="BK378" s="445"/>
      <c r="BL378" s="445"/>
      <c r="BM378" s="445"/>
      <c r="BN378" s="445"/>
      <c r="BO378" s="445"/>
      <c r="BP378" s="445"/>
      <c r="BQ378" s="444"/>
      <c r="BR378" s="444"/>
      <c r="BS378" s="447"/>
      <c r="BT378" s="447"/>
      <c r="BU378" s="447"/>
      <c r="BV378" s="550"/>
      <c r="BW378" s="550"/>
      <c r="BX378" s="756"/>
      <c r="BY378" s="850"/>
      <c r="BZ378" s="850"/>
      <c r="CA378" s="850"/>
      <c r="CB378" s="850"/>
      <c r="CC378" s="850"/>
      <c r="CD378" s="850"/>
      <c r="CE378" s="850"/>
      <c r="CF378" s="850"/>
      <c r="CG378" s="36"/>
      <c r="CH378" s="417"/>
      <c r="CI378" s="406"/>
      <c r="CJ378" s="23"/>
      <c r="CK378" s="417"/>
      <c r="CL378" s="572"/>
      <c r="CM378" s="648"/>
      <c r="CR378" s="406"/>
      <c r="CS378" s="648"/>
      <c r="CU378" s="23"/>
      <c r="CV378" s="23"/>
      <c r="CW378" s="23"/>
      <c r="CX378" s="23"/>
      <c r="DA378" s="648"/>
    </row>
    <row r="379" spans="1:105" s="35" customFormat="1" ht="12" customHeight="1" x14ac:dyDescent="0.2">
      <c r="A379" s="652"/>
      <c r="B379" s="469" t="s">
        <v>1782</v>
      </c>
      <c r="C379" s="390" t="s">
        <v>79</v>
      </c>
      <c r="D379" s="479" t="s">
        <v>1125</v>
      </c>
      <c r="E379" s="647" t="s">
        <v>14</v>
      </c>
      <c r="F379" s="647"/>
      <c r="G379" s="237"/>
      <c r="H379" s="186"/>
      <c r="I379" s="166">
        <v>2008</v>
      </c>
      <c r="J379" s="571">
        <v>2008</v>
      </c>
      <c r="K379" s="571"/>
      <c r="L379" s="494" t="s">
        <v>244</v>
      </c>
      <c r="M379" s="247" t="s">
        <v>1838</v>
      </c>
      <c r="N379" s="494" t="s">
        <v>783</v>
      </c>
      <c r="O379" s="247" t="s">
        <v>19</v>
      </c>
      <c r="P379" s="98">
        <v>15</v>
      </c>
      <c r="Q379" s="247">
        <v>49</v>
      </c>
      <c r="R379" s="552">
        <v>29.927394438722931</v>
      </c>
      <c r="S379" s="552"/>
      <c r="T379" s="552"/>
      <c r="U379" s="553">
        <v>8478</v>
      </c>
      <c r="V379" s="794"/>
      <c r="W379" s="712"/>
      <c r="X379" s="552">
        <v>10.561939090775324</v>
      </c>
      <c r="Y379" s="552">
        <v>7.0535503656522787</v>
      </c>
      <c r="Z379" s="552">
        <v>4.6473224817173735</v>
      </c>
      <c r="AA379" s="552">
        <v>23.484312337815485</v>
      </c>
      <c r="AB379" s="552">
        <v>23.484312337815485</v>
      </c>
      <c r="AC379" s="552">
        <v>10.852896071723459</v>
      </c>
      <c r="AD379" s="552">
        <v>7.4790609885572819</v>
      </c>
      <c r="AE379" s="552">
        <v>6.298655343241335</v>
      </c>
      <c r="AF379" s="552">
        <v>3.9749941023826452</v>
      </c>
      <c r="AG379" s="552">
        <v>2.2649522236640247</v>
      </c>
      <c r="AH379" s="552">
        <v>1.1560693641618469</v>
      </c>
      <c r="AI379" s="555"/>
      <c r="AJ379" s="552"/>
      <c r="AK379" s="555"/>
      <c r="AL379" s="555"/>
      <c r="AM379" s="552">
        <v>7.5135645199339693</v>
      </c>
      <c r="AN379" s="552">
        <v>3.4913894786506265</v>
      </c>
      <c r="AO379" s="552">
        <v>3.4324133050247738</v>
      </c>
      <c r="AP379" s="552">
        <v>1.8754423213021909</v>
      </c>
      <c r="AQ379" s="552">
        <v>7.3737612081170303</v>
      </c>
      <c r="AR379" s="552">
        <v>3.952336007550723</v>
      </c>
      <c r="AS379" s="552">
        <v>4.3770646531382775</v>
      </c>
      <c r="AT379" s="552">
        <v>2.3360075507314733</v>
      </c>
      <c r="AU379" s="552">
        <v>2.9959896201934342</v>
      </c>
      <c r="AV379" s="552">
        <v>1.6277423920736016</v>
      </c>
      <c r="AW379" s="552">
        <v>1.8166804293971901</v>
      </c>
      <c r="AX379" s="552">
        <v>0.92013684086351299</v>
      </c>
      <c r="AY379" s="552"/>
      <c r="AZ379" s="552"/>
      <c r="BA379" s="552"/>
      <c r="BB379" s="552"/>
      <c r="BC379" s="552"/>
      <c r="BD379" s="552"/>
      <c r="BE379" s="552"/>
      <c r="BF379" s="552"/>
      <c r="BG379" s="552"/>
      <c r="BH379" s="552"/>
      <c r="BI379" s="552">
        <v>13.647086577022845</v>
      </c>
      <c r="BJ379" s="552">
        <v>6.6171266808209301</v>
      </c>
      <c r="BK379" s="552"/>
      <c r="BL379" s="552"/>
      <c r="BM379" s="552">
        <v>7.136117008728462</v>
      </c>
      <c r="BN379" s="552">
        <v>4.2580797357867404</v>
      </c>
      <c r="BO379" s="552">
        <v>2.1467327199811308</v>
      </c>
      <c r="BP379" s="552">
        <v>1.4861995753715502</v>
      </c>
      <c r="BQ379" s="552"/>
      <c r="BR379" s="42"/>
      <c r="BS379" s="42"/>
      <c r="BT379" s="42"/>
      <c r="BU379" s="42">
        <v>12</v>
      </c>
      <c r="BV379" s="42"/>
      <c r="BW379" s="42"/>
      <c r="BX379" s="758"/>
      <c r="BY379" s="851"/>
      <c r="BZ379" s="851"/>
      <c r="CA379" s="851"/>
      <c r="CB379" s="851"/>
      <c r="CC379" s="851"/>
      <c r="CD379" s="851"/>
      <c r="CE379" s="851"/>
      <c r="CF379" s="851"/>
      <c r="CG379" s="97"/>
      <c r="CH379" s="647"/>
      <c r="CI379" s="97"/>
      <c r="CJ379" s="97"/>
      <c r="CK379" s="647"/>
      <c r="CL379" s="469" t="s">
        <v>1841</v>
      </c>
      <c r="CM379" s="647"/>
      <c r="CN379" s="97"/>
      <c r="CO379" s="97"/>
      <c r="CP379" s="97"/>
      <c r="CQ379" s="97"/>
      <c r="CR379" s="638"/>
      <c r="CS379" s="647"/>
      <c r="CU379" s="23"/>
      <c r="CV379" s="23"/>
      <c r="CW379" s="23"/>
      <c r="CX379" s="23"/>
      <c r="DA379" s="648"/>
    </row>
    <row r="380" spans="1:105" s="35" customFormat="1" ht="12" customHeight="1" x14ac:dyDescent="0.2">
      <c r="A380" s="651"/>
      <c r="B380" s="537"/>
      <c r="C380" s="97" t="s">
        <v>79</v>
      </c>
      <c r="D380" s="169" t="s">
        <v>1134</v>
      </c>
      <c r="E380" s="647" t="s">
        <v>14</v>
      </c>
      <c r="F380" s="647"/>
      <c r="G380" s="237"/>
      <c r="H380" s="186"/>
      <c r="I380" s="166">
        <v>1993</v>
      </c>
      <c r="J380" s="390"/>
      <c r="K380" s="390"/>
      <c r="L380" s="493"/>
      <c r="M380" s="237" t="s">
        <v>78</v>
      </c>
      <c r="N380" s="493"/>
      <c r="O380" s="98"/>
      <c r="P380" s="98"/>
      <c r="Q380" s="98"/>
      <c r="R380" s="167"/>
      <c r="S380" s="167"/>
      <c r="T380" s="167"/>
      <c r="U380" s="393">
        <v>8481</v>
      </c>
      <c r="V380" s="694"/>
      <c r="W380" s="711"/>
      <c r="X380" s="254"/>
      <c r="Y380" s="446"/>
      <c r="Z380" s="446"/>
      <c r="AA380" s="446"/>
      <c r="AB380" s="446"/>
      <c r="AC380" s="446"/>
      <c r="AD380" s="446"/>
      <c r="AE380" s="446"/>
      <c r="AF380" s="446"/>
      <c r="AG380" s="446"/>
      <c r="AH380" s="446"/>
      <c r="AI380" s="446"/>
      <c r="AJ380" s="446"/>
      <c r="AK380" s="446"/>
      <c r="AL380" s="446"/>
      <c r="AM380" s="446"/>
      <c r="AN380" s="446"/>
      <c r="AO380" s="446"/>
      <c r="AP380" s="446"/>
      <c r="AQ380" s="446"/>
      <c r="AR380" s="446"/>
      <c r="AS380" s="446"/>
      <c r="AT380" s="446"/>
      <c r="AU380" s="446"/>
      <c r="AV380" s="446"/>
      <c r="AW380" s="446"/>
      <c r="AX380" s="446"/>
      <c r="AY380" s="446"/>
      <c r="AZ380" s="446"/>
      <c r="BA380" s="446"/>
      <c r="BB380" s="446"/>
      <c r="BC380" s="446"/>
      <c r="BD380" s="446"/>
      <c r="BE380" s="271"/>
      <c r="BF380" s="271"/>
      <c r="BG380" s="446"/>
      <c r="BH380" s="446"/>
      <c r="BI380" s="442">
        <v>10</v>
      </c>
      <c r="BJ380" s="271"/>
      <c r="BK380" s="271"/>
      <c r="BL380" s="271"/>
      <c r="BM380" s="271"/>
      <c r="BN380" s="271"/>
      <c r="BO380" s="271"/>
      <c r="BP380" s="271"/>
      <c r="BQ380" s="271"/>
      <c r="BR380" s="271"/>
      <c r="BS380" s="271"/>
      <c r="BT380" s="271"/>
      <c r="BU380" s="271"/>
      <c r="BV380" s="454"/>
      <c r="BW380" s="454"/>
      <c r="BX380" s="756"/>
      <c r="BY380" s="850"/>
      <c r="BZ380" s="850"/>
      <c r="CA380" s="850"/>
      <c r="CB380" s="850"/>
      <c r="CC380" s="850"/>
      <c r="CD380" s="850"/>
      <c r="CE380" s="850"/>
      <c r="CF380" s="850"/>
      <c r="CG380" s="169" t="s">
        <v>523</v>
      </c>
      <c r="CH380" s="417"/>
      <c r="CI380" s="406"/>
      <c r="CJ380" s="23"/>
      <c r="CK380" s="426" t="s">
        <v>1041</v>
      </c>
      <c r="CL380" s="572"/>
      <c r="CM380" s="648"/>
      <c r="CR380" s="406"/>
      <c r="CS380" s="648"/>
      <c r="CU380" s="23"/>
      <c r="CV380" s="23"/>
      <c r="CW380" s="23"/>
      <c r="CX380" s="23"/>
      <c r="DA380" s="648"/>
    </row>
    <row r="381" spans="1:105" s="35" customFormat="1" ht="12" customHeight="1" x14ac:dyDescent="0.2">
      <c r="A381" s="651"/>
      <c r="B381" s="537"/>
      <c r="C381" s="97" t="s">
        <v>79</v>
      </c>
      <c r="D381" s="169" t="s">
        <v>1134</v>
      </c>
      <c r="E381" s="647" t="s">
        <v>91</v>
      </c>
      <c r="F381" s="647"/>
      <c r="G381" s="98"/>
      <c r="H381" s="97"/>
      <c r="I381" s="166">
        <v>1998</v>
      </c>
      <c r="J381" s="571"/>
      <c r="K381" s="571"/>
      <c r="L381" s="493"/>
      <c r="M381" s="98" t="s">
        <v>18</v>
      </c>
      <c r="N381" s="493"/>
      <c r="O381" s="98" t="s">
        <v>619</v>
      </c>
      <c r="P381" s="98"/>
      <c r="Q381" s="98"/>
      <c r="R381" s="167"/>
      <c r="S381" s="167"/>
      <c r="T381" s="167"/>
      <c r="U381" s="393">
        <v>1660</v>
      </c>
      <c r="V381" s="694"/>
      <c r="W381" s="711"/>
      <c r="X381" s="167"/>
      <c r="Y381" s="446"/>
      <c r="Z381" s="446"/>
      <c r="AA381" s="446"/>
      <c r="AB381" s="446"/>
      <c r="AC381" s="446"/>
      <c r="AD381" s="446"/>
      <c r="AE381" s="446"/>
      <c r="AF381" s="446"/>
      <c r="AG381" s="446"/>
      <c r="AH381" s="446"/>
      <c r="AI381" s="446"/>
      <c r="AJ381" s="446"/>
      <c r="AK381" s="446"/>
      <c r="AL381" s="446"/>
      <c r="AM381" s="446"/>
      <c r="AN381" s="446"/>
      <c r="AO381" s="446"/>
      <c r="AP381" s="446"/>
      <c r="AQ381" s="446"/>
      <c r="AR381" s="446"/>
      <c r="AS381" s="446"/>
      <c r="AT381" s="446"/>
      <c r="AU381" s="446"/>
      <c r="AV381" s="446"/>
      <c r="AW381" s="446"/>
      <c r="AX381" s="446"/>
      <c r="AY381" s="446"/>
      <c r="AZ381" s="446"/>
      <c r="BA381" s="446"/>
      <c r="BB381" s="446"/>
      <c r="BC381" s="446"/>
      <c r="BD381" s="446"/>
      <c r="BE381" s="271"/>
      <c r="BF381" s="271"/>
      <c r="BG381" s="446"/>
      <c r="BH381" s="446"/>
      <c r="BI381" s="442">
        <v>26</v>
      </c>
      <c r="BJ381" s="271"/>
      <c r="BK381" s="271"/>
      <c r="BL381" s="271"/>
      <c r="BM381" s="271"/>
      <c r="BN381" s="271"/>
      <c r="BO381" s="271"/>
      <c r="BP381" s="271"/>
      <c r="BQ381" s="271"/>
      <c r="BR381" s="271"/>
      <c r="BS381" s="271"/>
      <c r="BT381" s="271"/>
      <c r="BU381" s="271"/>
      <c r="BV381" s="454"/>
      <c r="BW381" s="454"/>
      <c r="BX381" s="756"/>
      <c r="BY381" s="850"/>
      <c r="BZ381" s="850"/>
      <c r="CA381" s="850"/>
      <c r="CB381" s="850"/>
      <c r="CC381" s="850"/>
      <c r="CD381" s="850"/>
      <c r="CE381" s="850"/>
      <c r="CF381" s="850"/>
      <c r="CG381" s="169" t="s">
        <v>523</v>
      </c>
      <c r="CH381" s="417"/>
      <c r="CI381" s="406"/>
      <c r="CJ381" s="23"/>
      <c r="CK381" s="426" t="s">
        <v>1041</v>
      </c>
      <c r="CL381" s="572"/>
      <c r="CM381" s="648"/>
      <c r="CR381" s="406"/>
      <c r="CS381" s="648"/>
      <c r="CU381" s="23"/>
      <c r="CV381" s="23"/>
      <c r="CW381" s="23"/>
      <c r="CX381" s="23"/>
      <c r="DA381" s="648"/>
    </row>
    <row r="382" spans="1:105" s="35" customFormat="1" ht="12" customHeight="1" x14ac:dyDescent="0.2">
      <c r="A382" s="651"/>
      <c r="B382" s="537"/>
      <c r="C382" s="97" t="s">
        <v>79</v>
      </c>
      <c r="D382" s="169" t="s">
        <v>1134</v>
      </c>
      <c r="E382" s="647" t="s">
        <v>352</v>
      </c>
      <c r="F382" s="647"/>
      <c r="G382" s="98"/>
      <c r="H382" s="97"/>
      <c r="I382" s="166">
        <v>2004</v>
      </c>
      <c r="J382" s="571"/>
      <c r="K382" s="571"/>
      <c r="L382" s="493" t="s">
        <v>854</v>
      </c>
      <c r="M382" s="98" t="s">
        <v>15</v>
      </c>
      <c r="N382" s="493"/>
      <c r="O382" s="247" t="s">
        <v>19</v>
      </c>
      <c r="P382" s="247"/>
      <c r="Q382" s="98"/>
      <c r="R382" s="167"/>
      <c r="S382" s="167"/>
      <c r="T382" s="167"/>
      <c r="U382" s="393">
        <v>1000</v>
      </c>
      <c r="V382" s="694"/>
      <c r="W382" s="711"/>
      <c r="X382" s="167"/>
      <c r="Y382" s="446"/>
      <c r="Z382" s="446"/>
      <c r="AA382" s="446"/>
      <c r="AB382" s="446"/>
      <c r="AC382" s="446"/>
      <c r="AD382" s="446"/>
      <c r="AE382" s="446"/>
      <c r="AF382" s="446"/>
      <c r="AG382" s="446"/>
      <c r="AH382" s="446"/>
      <c r="AI382" s="446"/>
      <c r="AJ382" s="446"/>
      <c r="AK382" s="446"/>
      <c r="AL382" s="446"/>
      <c r="AM382" s="446"/>
      <c r="AN382" s="446"/>
      <c r="AO382" s="446"/>
      <c r="AP382" s="446"/>
      <c r="AQ382" s="446"/>
      <c r="AR382" s="446"/>
      <c r="AS382" s="446"/>
      <c r="AT382" s="446"/>
      <c r="AU382" s="446"/>
      <c r="AV382" s="446"/>
      <c r="AW382" s="446"/>
      <c r="AX382" s="446"/>
      <c r="AY382" s="446"/>
      <c r="AZ382" s="446"/>
      <c r="BA382" s="446"/>
      <c r="BB382" s="446"/>
      <c r="BC382" s="446"/>
      <c r="BD382" s="446"/>
      <c r="BE382" s="445"/>
      <c r="BF382" s="445"/>
      <c r="BG382" s="446"/>
      <c r="BH382" s="446"/>
      <c r="BI382" s="445">
        <v>29</v>
      </c>
      <c r="BJ382" s="445"/>
      <c r="BK382" s="445"/>
      <c r="BL382" s="445"/>
      <c r="BM382" s="445"/>
      <c r="BN382" s="445"/>
      <c r="BO382" s="445"/>
      <c r="BP382" s="445"/>
      <c r="BQ382" s="444"/>
      <c r="BR382" s="444"/>
      <c r="BS382" s="442">
        <v>47.2</v>
      </c>
      <c r="BT382" s="446"/>
      <c r="BU382" s="446"/>
      <c r="BV382" s="442"/>
      <c r="BW382" s="442"/>
      <c r="BX382" s="756"/>
      <c r="BY382" s="850"/>
      <c r="BZ382" s="850"/>
      <c r="CA382" s="850"/>
      <c r="CB382" s="850"/>
      <c r="CC382" s="850"/>
      <c r="CD382" s="850"/>
      <c r="CE382" s="850"/>
      <c r="CF382" s="850"/>
      <c r="CG382" s="169" t="s">
        <v>957</v>
      </c>
      <c r="CH382" s="417"/>
      <c r="CI382" s="406"/>
      <c r="CJ382" s="23"/>
      <c r="CK382" s="417" t="s">
        <v>1044</v>
      </c>
      <c r="CL382" s="572"/>
      <c r="CM382" s="648"/>
      <c r="CR382" s="406"/>
      <c r="CS382" s="648"/>
      <c r="CU382" s="23"/>
      <c r="CV382" s="23"/>
      <c r="CW382" s="23"/>
      <c r="CX382" s="23"/>
      <c r="DA382" s="648"/>
    </row>
    <row r="383" spans="1:105" s="35" customFormat="1" ht="12" customHeight="1" x14ac:dyDescent="0.2">
      <c r="A383" s="651"/>
      <c r="B383" s="537"/>
      <c r="C383" s="97" t="s">
        <v>79</v>
      </c>
      <c r="D383" s="169" t="s">
        <v>1134</v>
      </c>
      <c r="E383" s="647" t="s">
        <v>257</v>
      </c>
      <c r="F383" s="647"/>
      <c r="G383" s="98"/>
      <c r="H383" s="97"/>
      <c r="I383" s="166">
        <v>2004</v>
      </c>
      <c r="J383" s="571"/>
      <c r="K383" s="571"/>
      <c r="L383" s="494" t="s">
        <v>245</v>
      </c>
      <c r="M383" s="98" t="s">
        <v>78</v>
      </c>
      <c r="N383" s="494"/>
      <c r="O383" s="237" t="s">
        <v>577</v>
      </c>
      <c r="P383" s="237"/>
      <c r="Q383" s="98"/>
      <c r="R383" s="167"/>
      <c r="S383" s="167"/>
      <c r="T383" s="167"/>
      <c r="U383" s="393">
        <v>1000</v>
      </c>
      <c r="V383" s="694"/>
      <c r="W383" s="711"/>
      <c r="X383" s="167"/>
      <c r="Y383" s="446"/>
      <c r="Z383" s="446"/>
      <c r="AA383" s="446"/>
      <c r="AB383" s="446"/>
      <c r="AC383" s="446"/>
      <c r="AD383" s="446"/>
      <c r="AE383" s="446"/>
      <c r="AF383" s="446"/>
      <c r="AG383" s="446"/>
      <c r="AH383" s="446"/>
      <c r="AI383" s="446"/>
      <c r="AJ383" s="446"/>
      <c r="AK383" s="446"/>
      <c r="AL383" s="446"/>
      <c r="AM383" s="446"/>
      <c r="AN383" s="446"/>
      <c r="AO383" s="446"/>
      <c r="AP383" s="446"/>
      <c r="AQ383" s="446"/>
      <c r="AR383" s="446"/>
      <c r="AS383" s="446"/>
      <c r="AT383" s="446"/>
      <c r="AU383" s="446"/>
      <c r="AV383" s="446"/>
      <c r="AW383" s="446"/>
      <c r="AX383" s="446"/>
      <c r="AY383" s="446"/>
      <c r="AZ383" s="446"/>
      <c r="BA383" s="446"/>
      <c r="BB383" s="446"/>
      <c r="BC383" s="446"/>
      <c r="BD383" s="446"/>
      <c r="BE383" s="445"/>
      <c r="BF383" s="445"/>
      <c r="BG383" s="446"/>
      <c r="BH383" s="446"/>
      <c r="BI383" s="442">
        <v>21</v>
      </c>
      <c r="BJ383" s="445">
        <v>6.2</v>
      </c>
      <c r="BK383" s="445"/>
      <c r="BL383" s="445"/>
      <c r="BM383" s="445"/>
      <c r="BN383" s="445"/>
      <c r="BO383" s="445"/>
      <c r="BP383" s="445"/>
      <c r="BQ383" s="271"/>
      <c r="BR383" s="271"/>
      <c r="BS383" s="271"/>
      <c r="BT383" s="271"/>
      <c r="BU383" s="271"/>
      <c r="BV383" s="454"/>
      <c r="BW383" s="454"/>
      <c r="BX383" s="756"/>
      <c r="BY383" s="850"/>
      <c r="BZ383" s="850"/>
      <c r="CA383" s="850"/>
      <c r="CB383" s="850"/>
      <c r="CC383" s="850"/>
      <c r="CD383" s="850"/>
      <c r="CE383" s="850"/>
      <c r="CF383" s="850"/>
      <c r="CG383" s="169" t="s">
        <v>523</v>
      </c>
      <c r="CH383" s="417"/>
      <c r="CI383" s="406"/>
      <c r="CJ383" s="23"/>
      <c r="CK383" s="426" t="s">
        <v>1041</v>
      </c>
      <c r="CL383" s="572"/>
      <c r="CM383" s="648"/>
      <c r="CR383" s="406"/>
      <c r="CS383" s="648"/>
      <c r="CU383" s="23"/>
      <c r="CV383" s="23"/>
      <c r="CW383" s="23"/>
      <c r="CX383" s="23"/>
      <c r="DA383" s="648"/>
    </row>
    <row r="384" spans="1:105" s="35" customFormat="1" ht="12" customHeight="1" x14ac:dyDescent="0.2">
      <c r="A384" s="651"/>
      <c r="B384" s="537"/>
      <c r="C384" s="390" t="s">
        <v>79</v>
      </c>
      <c r="D384" s="36" t="s">
        <v>1134</v>
      </c>
      <c r="E384" s="647" t="s">
        <v>14</v>
      </c>
      <c r="F384" s="647"/>
      <c r="G384" s="237"/>
      <c r="H384" s="186"/>
      <c r="I384" s="533">
        <v>2005</v>
      </c>
      <c r="J384" s="390"/>
      <c r="K384" s="390"/>
      <c r="L384" s="494" t="s">
        <v>258</v>
      </c>
      <c r="M384" s="247"/>
      <c r="N384" s="494" t="s">
        <v>783</v>
      </c>
      <c r="O384" s="247" t="s">
        <v>19</v>
      </c>
      <c r="P384" s="247"/>
      <c r="Q384" s="247"/>
      <c r="R384" s="291"/>
      <c r="S384" s="291"/>
      <c r="T384" s="291"/>
      <c r="U384" s="395">
        <v>2602</v>
      </c>
      <c r="V384" s="794"/>
      <c r="W384" s="712"/>
      <c r="X384" s="254"/>
      <c r="Y384" s="447"/>
      <c r="Z384" s="447"/>
      <c r="AA384" s="447"/>
      <c r="AB384" s="447"/>
      <c r="AC384" s="447"/>
      <c r="AD384" s="447"/>
      <c r="AE384" s="447"/>
      <c r="AF384" s="447"/>
      <c r="AG384" s="447"/>
      <c r="AH384" s="447"/>
      <c r="AI384" s="447"/>
      <c r="AJ384" s="447"/>
      <c r="AK384" s="447"/>
      <c r="AL384" s="447"/>
      <c r="AM384" s="447"/>
      <c r="AN384" s="447"/>
      <c r="AO384" s="447"/>
      <c r="AP384" s="447"/>
      <c r="AQ384" s="447"/>
      <c r="AR384" s="447"/>
      <c r="AS384" s="447"/>
      <c r="AT384" s="447"/>
      <c r="AU384" s="447"/>
      <c r="AV384" s="447"/>
      <c r="AW384" s="447"/>
      <c r="AX384" s="447"/>
      <c r="AY384" s="447"/>
      <c r="AZ384" s="447"/>
      <c r="BA384" s="447"/>
      <c r="BB384" s="447"/>
      <c r="BC384" s="447"/>
      <c r="BD384" s="447"/>
      <c r="BE384" s="442"/>
      <c r="BF384" s="442"/>
      <c r="BG384" s="447"/>
      <c r="BH384" s="447"/>
      <c r="BI384" s="442">
        <v>10</v>
      </c>
      <c r="BJ384" s="442">
        <v>3</v>
      </c>
      <c r="BK384" s="442"/>
      <c r="BL384" s="442"/>
      <c r="BM384" s="442"/>
      <c r="BN384" s="442"/>
      <c r="BO384" s="442"/>
      <c r="BP384" s="442"/>
      <c r="BQ384" s="444"/>
      <c r="BR384" s="444"/>
      <c r="BS384" s="447"/>
      <c r="BT384" s="447"/>
      <c r="BU384" s="447"/>
      <c r="BV384" s="550"/>
      <c r="BW384" s="550"/>
      <c r="BX384" s="757"/>
      <c r="BY384" s="850"/>
      <c r="BZ384" s="850"/>
      <c r="CA384" s="850"/>
      <c r="CB384" s="850"/>
      <c r="CC384" s="850"/>
      <c r="CD384" s="850"/>
      <c r="CE384" s="850"/>
      <c r="CF384" s="850"/>
      <c r="CG384" s="36"/>
      <c r="CH384" s="417"/>
      <c r="CI384" s="406"/>
      <c r="CJ384" s="23"/>
      <c r="CK384" s="417" t="s">
        <v>1152</v>
      </c>
      <c r="CL384" s="572"/>
      <c r="CM384" s="431"/>
      <c r="CN384" s="128"/>
      <c r="CO384" s="128"/>
      <c r="CP384" s="128"/>
      <c r="CQ384" s="128"/>
      <c r="CR384" s="406"/>
      <c r="CS384" s="431"/>
      <c r="CU384" s="23"/>
      <c r="CV384" s="23"/>
      <c r="CW384" s="23"/>
      <c r="CX384" s="23"/>
      <c r="DA384" s="648"/>
    </row>
    <row r="385" spans="1:105" s="35" customFormat="1" ht="12" customHeight="1" x14ac:dyDescent="0.2">
      <c r="A385" s="651"/>
      <c r="B385" s="537"/>
      <c r="C385" s="97" t="s">
        <v>186</v>
      </c>
      <c r="D385" s="169" t="s">
        <v>1130</v>
      </c>
      <c r="E385" s="647" t="s">
        <v>14</v>
      </c>
      <c r="F385" s="647"/>
      <c r="G385" s="237"/>
      <c r="H385" s="186"/>
      <c r="I385" s="166">
        <v>2004</v>
      </c>
      <c r="J385" s="390"/>
      <c r="K385" s="390"/>
      <c r="L385" s="493" t="s">
        <v>258</v>
      </c>
      <c r="M385" s="237" t="s">
        <v>17</v>
      </c>
      <c r="N385" s="494" t="s">
        <v>783</v>
      </c>
      <c r="O385" s="247" t="s">
        <v>19</v>
      </c>
      <c r="P385" s="247"/>
      <c r="Q385" s="237"/>
      <c r="R385" s="254"/>
      <c r="S385" s="254"/>
      <c r="T385" s="254"/>
      <c r="U385" s="393">
        <v>999999999</v>
      </c>
      <c r="V385" s="694"/>
      <c r="W385" s="711"/>
      <c r="X385" s="254"/>
      <c r="Y385" s="446"/>
      <c r="Z385" s="446"/>
      <c r="AA385" s="446"/>
      <c r="AB385" s="446"/>
      <c r="AC385" s="446"/>
      <c r="AD385" s="446"/>
      <c r="AE385" s="446"/>
      <c r="AF385" s="446"/>
      <c r="AG385" s="446"/>
      <c r="AH385" s="446"/>
      <c r="AI385" s="446"/>
      <c r="AJ385" s="446"/>
      <c r="AK385" s="446"/>
      <c r="AL385" s="446"/>
      <c r="AM385" s="446"/>
      <c r="AN385" s="446"/>
      <c r="AO385" s="446"/>
      <c r="AP385" s="446"/>
      <c r="AQ385" s="446"/>
      <c r="AR385" s="446"/>
      <c r="AS385" s="446"/>
      <c r="AT385" s="446"/>
      <c r="AU385" s="446"/>
      <c r="AV385" s="446"/>
      <c r="AW385" s="446"/>
      <c r="AX385" s="446"/>
      <c r="AY385" s="446"/>
      <c r="AZ385" s="446"/>
      <c r="BA385" s="446"/>
      <c r="BB385" s="446"/>
      <c r="BC385" s="446"/>
      <c r="BD385" s="446"/>
      <c r="BE385" s="445"/>
      <c r="BF385" s="445"/>
      <c r="BG385" s="446"/>
      <c r="BH385" s="446"/>
      <c r="BI385" s="442">
        <v>15</v>
      </c>
      <c r="BJ385" s="445">
        <v>3</v>
      </c>
      <c r="BK385" s="445"/>
      <c r="BL385" s="445"/>
      <c r="BM385" s="445"/>
      <c r="BN385" s="445"/>
      <c r="BO385" s="445"/>
      <c r="BP385" s="445"/>
      <c r="BQ385" s="444">
        <v>16</v>
      </c>
      <c r="BR385" s="445">
        <v>3</v>
      </c>
      <c r="BS385" s="271"/>
      <c r="BT385" s="271"/>
      <c r="BU385" s="271"/>
      <c r="BV385" s="454"/>
      <c r="BW385" s="454"/>
      <c r="BX385" s="756"/>
      <c r="BY385" s="850"/>
      <c r="BZ385" s="850"/>
      <c r="CA385" s="850"/>
      <c r="CB385" s="850"/>
      <c r="CC385" s="850"/>
      <c r="CD385" s="850"/>
      <c r="CE385" s="850"/>
      <c r="CF385" s="850"/>
      <c r="CG385" s="169" t="s">
        <v>553</v>
      </c>
      <c r="CH385" s="419" t="s">
        <v>659</v>
      </c>
      <c r="CI385" s="406"/>
      <c r="CJ385" s="23"/>
      <c r="CK385" s="417"/>
      <c r="CL385" s="572" t="s">
        <v>762</v>
      </c>
      <c r="CM385" s="648"/>
      <c r="CR385" s="406"/>
      <c r="CS385" s="648"/>
      <c r="CU385" s="23"/>
      <c r="CV385" s="23"/>
      <c r="CW385" s="23"/>
      <c r="CX385" s="23"/>
      <c r="DA385" s="648"/>
    </row>
    <row r="386" spans="1:105" s="35" customFormat="1" ht="12" customHeight="1" x14ac:dyDescent="0.2">
      <c r="A386" s="651"/>
      <c r="B386" s="537"/>
      <c r="C386" s="97" t="s">
        <v>187</v>
      </c>
      <c r="D386" s="169" t="s">
        <v>1130</v>
      </c>
      <c r="E386" s="647"/>
      <c r="F386" s="647"/>
      <c r="G386" s="237"/>
      <c r="H386" s="186"/>
      <c r="I386" s="166">
        <v>1995</v>
      </c>
      <c r="J386" s="390"/>
      <c r="K386" s="390"/>
      <c r="L386" s="493"/>
      <c r="M386" s="237" t="s">
        <v>18</v>
      </c>
      <c r="N386" s="493"/>
      <c r="O386" s="98" t="s">
        <v>20</v>
      </c>
      <c r="P386" s="98"/>
      <c r="Q386" s="237"/>
      <c r="R386" s="254"/>
      <c r="S386" s="254"/>
      <c r="T386" s="254"/>
      <c r="U386" s="393">
        <v>999999999</v>
      </c>
      <c r="V386" s="694"/>
      <c r="W386" s="711"/>
      <c r="X386" s="254"/>
      <c r="Y386" s="446"/>
      <c r="Z386" s="446"/>
      <c r="AA386" s="446"/>
      <c r="AB386" s="446"/>
      <c r="AC386" s="446"/>
      <c r="AD386" s="446"/>
      <c r="AE386" s="446"/>
      <c r="AF386" s="446"/>
      <c r="AG386" s="446"/>
      <c r="AH386" s="446"/>
      <c r="AI386" s="446"/>
      <c r="AJ386" s="446"/>
      <c r="AK386" s="446"/>
      <c r="AL386" s="446"/>
      <c r="AM386" s="446"/>
      <c r="AN386" s="446"/>
      <c r="AO386" s="446"/>
      <c r="AP386" s="446"/>
      <c r="AQ386" s="446"/>
      <c r="AR386" s="446"/>
      <c r="AS386" s="446"/>
      <c r="AT386" s="446"/>
      <c r="AU386" s="446"/>
      <c r="AV386" s="446"/>
      <c r="AW386" s="446"/>
      <c r="AX386" s="446"/>
      <c r="AY386" s="446"/>
      <c r="AZ386" s="446"/>
      <c r="BA386" s="446"/>
      <c r="BB386" s="446"/>
      <c r="BC386" s="446"/>
      <c r="BD386" s="446"/>
      <c r="BE386" s="445"/>
      <c r="BF386" s="445"/>
      <c r="BG386" s="446"/>
      <c r="BH386" s="446"/>
      <c r="BI386" s="445"/>
      <c r="BJ386" s="445"/>
      <c r="BK386" s="445"/>
      <c r="BL386" s="445"/>
      <c r="BM386" s="445"/>
      <c r="BN386" s="445"/>
      <c r="BO386" s="445"/>
      <c r="BP386" s="445"/>
      <c r="BQ386" s="442">
        <v>18</v>
      </c>
      <c r="BR386" s="444"/>
      <c r="BS386" s="442">
        <v>14</v>
      </c>
      <c r="BT386" s="271"/>
      <c r="BU386" s="271"/>
      <c r="BV386" s="454"/>
      <c r="BW386" s="454"/>
      <c r="BX386" s="756"/>
      <c r="BY386" s="850"/>
      <c r="BZ386" s="850"/>
      <c r="CA386" s="850"/>
      <c r="CB386" s="850"/>
      <c r="CC386" s="850"/>
      <c r="CD386" s="850"/>
      <c r="CE386" s="850"/>
      <c r="CF386" s="850"/>
      <c r="CG386" s="169" t="s">
        <v>554</v>
      </c>
      <c r="CH386" s="417"/>
      <c r="CI386" s="406"/>
      <c r="CJ386" s="23"/>
      <c r="CK386" s="648" t="s">
        <v>1085</v>
      </c>
      <c r="CL386" s="572"/>
      <c r="CM386" s="648"/>
      <c r="CR386" s="406"/>
      <c r="CS386" s="648"/>
      <c r="CU386" s="23"/>
      <c r="CV386" s="23"/>
      <c r="CW386" s="23"/>
      <c r="CX386" s="23"/>
      <c r="DA386" s="648"/>
    </row>
    <row r="387" spans="1:105" s="35" customFormat="1" ht="12" customHeight="1" x14ac:dyDescent="0.2">
      <c r="A387" s="651"/>
      <c r="B387" s="537"/>
      <c r="C387" s="97" t="s">
        <v>187</v>
      </c>
      <c r="D387" s="169" t="s">
        <v>1130</v>
      </c>
      <c r="E387" s="647" t="s">
        <v>14</v>
      </c>
      <c r="F387" s="647"/>
      <c r="G387" s="237"/>
      <c r="H387" s="186"/>
      <c r="I387" s="166">
        <v>2007</v>
      </c>
      <c r="J387" s="390"/>
      <c r="K387" s="390"/>
      <c r="L387" s="493"/>
      <c r="M387" s="237"/>
      <c r="N387" s="493"/>
      <c r="O387" s="98" t="s">
        <v>19</v>
      </c>
      <c r="P387" s="98"/>
      <c r="Q387" s="237"/>
      <c r="R387" s="254"/>
      <c r="S387" s="254"/>
      <c r="T387" s="254"/>
      <c r="U387" s="393"/>
      <c r="V387" s="694"/>
      <c r="W387" s="711"/>
      <c r="X387" s="254"/>
      <c r="Y387" s="446"/>
      <c r="Z387" s="446"/>
      <c r="AA387" s="446"/>
      <c r="AB387" s="446"/>
      <c r="AC387" s="446"/>
      <c r="AD387" s="446"/>
      <c r="AE387" s="446"/>
      <c r="AF387" s="446"/>
      <c r="AG387" s="446"/>
      <c r="AH387" s="446"/>
      <c r="AI387" s="446"/>
      <c r="AJ387" s="446"/>
      <c r="AK387" s="446"/>
      <c r="AL387" s="446"/>
      <c r="AM387" s="446"/>
      <c r="AN387" s="446"/>
      <c r="AO387" s="446"/>
      <c r="AP387" s="446"/>
      <c r="AQ387" s="446"/>
      <c r="AR387" s="446"/>
      <c r="AS387" s="446"/>
      <c r="AT387" s="446"/>
      <c r="AU387" s="446"/>
      <c r="AV387" s="446"/>
      <c r="AW387" s="446"/>
      <c r="AX387" s="446"/>
      <c r="AY387" s="446"/>
      <c r="AZ387" s="446"/>
      <c r="BA387" s="446"/>
      <c r="BB387" s="446"/>
      <c r="BC387" s="446"/>
      <c r="BD387" s="446"/>
      <c r="BE387" s="442"/>
      <c r="BF387" s="442"/>
      <c r="BG387" s="446"/>
      <c r="BH387" s="446"/>
      <c r="BI387" s="442"/>
      <c r="BJ387" s="442"/>
      <c r="BK387" s="442"/>
      <c r="BL387" s="442"/>
      <c r="BM387" s="442"/>
      <c r="BN387" s="442"/>
      <c r="BO387" s="442"/>
      <c r="BP387" s="442"/>
      <c r="BQ387" s="442"/>
      <c r="BR387" s="445">
        <v>6.1</v>
      </c>
      <c r="BS387" s="446"/>
      <c r="BT387" s="446"/>
      <c r="BU387" s="446"/>
      <c r="BV387" s="442"/>
      <c r="BW387" s="442"/>
      <c r="BX387" s="756"/>
      <c r="BY387" s="850"/>
      <c r="BZ387" s="850"/>
      <c r="CA387" s="850"/>
      <c r="CB387" s="850"/>
      <c r="CC387" s="850"/>
      <c r="CD387" s="850"/>
      <c r="CE387" s="850"/>
      <c r="CF387" s="850"/>
      <c r="CG387" s="169"/>
      <c r="CH387" s="419" t="s">
        <v>1158</v>
      </c>
      <c r="CI387" s="406"/>
      <c r="CJ387" s="23"/>
      <c r="CK387" s="648"/>
      <c r="CL387" s="572"/>
      <c r="CM387" s="431"/>
      <c r="CN387" s="128"/>
      <c r="CO387" s="128"/>
      <c r="CP387" s="128"/>
      <c r="CQ387" s="128"/>
      <c r="CR387" s="406"/>
      <c r="CS387" s="431"/>
      <c r="CU387" s="23"/>
      <c r="CV387" s="23"/>
      <c r="CW387" s="23"/>
      <c r="CX387" s="23"/>
      <c r="DA387" s="648"/>
    </row>
    <row r="388" spans="1:105" s="35" customFormat="1" ht="12" customHeight="1" x14ac:dyDescent="0.2">
      <c r="A388" s="651"/>
      <c r="B388" s="537"/>
      <c r="C388" s="97" t="s">
        <v>58</v>
      </c>
      <c r="D388" s="169" t="s">
        <v>422</v>
      </c>
      <c r="E388" s="647" t="s">
        <v>14</v>
      </c>
      <c r="F388" s="647"/>
      <c r="G388" s="98"/>
      <c r="H388" s="97"/>
      <c r="I388" s="166" t="s">
        <v>26</v>
      </c>
      <c r="J388" s="571"/>
      <c r="K388" s="571"/>
      <c r="L388" s="493" t="s">
        <v>248</v>
      </c>
      <c r="M388" s="98" t="s">
        <v>15</v>
      </c>
      <c r="N388" s="493"/>
      <c r="O388" s="247" t="s">
        <v>19</v>
      </c>
      <c r="P388" s="247"/>
      <c r="Q388" s="98"/>
      <c r="R388" s="167"/>
      <c r="S388" s="167"/>
      <c r="T388" s="167"/>
      <c r="U388" s="393">
        <v>4755</v>
      </c>
      <c r="V388" s="694"/>
      <c r="W388" s="711"/>
      <c r="X388" s="167"/>
      <c r="Y388" s="446"/>
      <c r="Z388" s="446"/>
      <c r="AA388" s="446"/>
      <c r="AB388" s="446"/>
      <c r="AC388" s="446"/>
      <c r="AD388" s="446"/>
      <c r="AE388" s="446"/>
      <c r="AF388" s="446"/>
      <c r="AG388" s="446"/>
      <c r="AH388" s="446"/>
      <c r="AI388" s="446"/>
      <c r="AJ388" s="446"/>
      <c r="AK388" s="446"/>
      <c r="AL388" s="446"/>
      <c r="AM388" s="446"/>
      <c r="AN388" s="446"/>
      <c r="AO388" s="446"/>
      <c r="AP388" s="446"/>
      <c r="AQ388" s="446"/>
      <c r="AR388" s="446"/>
      <c r="AS388" s="446"/>
      <c r="AT388" s="446"/>
      <c r="AU388" s="446"/>
      <c r="AV388" s="446"/>
      <c r="AW388" s="446"/>
      <c r="AX388" s="446"/>
      <c r="AY388" s="446"/>
      <c r="AZ388" s="446"/>
      <c r="BA388" s="446"/>
      <c r="BB388" s="446"/>
      <c r="BC388" s="446"/>
      <c r="BD388" s="446"/>
      <c r="BE388" s="445"/>
      <c r="BF388" s="445"/>
      <c r="BG388" s="446"/>
      <c r="BH388" s="446"/>
      <c r="BI388" s="445"/>
      <c r="BJ388" s="445"/>
      <c r="BK388" s="445"/>
      <c r="BL388" s="445"/>
      <c r="BM388" s="445"/>
      <c r="BN388" s="445"/>
      <c r="BO388" s="445"/>
      <c r="BP388" s="445"/>
      <c r="BQ388" s="444"/>
      <c r="BR388" s="444"/>
      <c r="BS388" s="442">
        <v>13</v>
      </c>
      <c r="BT388" s="445"/>
      <c r="BU388" s="445"/>
      <c r="BV388" s="445"/>
      <c r="BW388" s="445"/>
      <c r="BX388" s="756"/>
      <c r="BY388" s="850"/>
      <c r="BZ388" s="850"/>
      <c r="CA388" s="850"/>
      <c r="CB388" s="850"/>
      <c r="CC388" s="850"/>
      <c r="CD388" s="850"/>
      <c r="CE388" s="850"/>
      <c r="CF388" s="850"/>
      <c r="CG388" s="169" t="s">
        <v>523</v>
      </c>
      <c r="CH388" s="417"/>
      <c r="CI388" s="406"/>
      <c r="CJ388" s="23"/>
      <c r="CK388" s="426" t="s">
        <v>1041</v>
      </c>
      <c r="CL388" s="572"/>
      <c r="CM388" s="648"/>
      <c r="CR388" s="406"/>
      <c r="CS388" s="648"/>
      <c r="CU388" s="23"/>
      <c r="CV388" s="23"/>
      <c r="CW388" s="23"/>
      <c r="CX388" s="23"/>
      <c r="DA388" s="648"/>
    </row>
    <row r="389" spans="1:105" s="35" customFormat="1" ht="12" customHeight="1" x14ac:dyDescent="0.2">
      <c r="A389" s="651"/>
      <c r="B389" s="537"/>
      <c r="C389" s="97" t="s">
        <v>401</v>
      </c>
      <c r="D389" s="169" t="s">
        <v>1125</v>
      </c>
      <c r="E389" s="647" t="s">
        <v>14</v>
      </c>
      <c r="F389" s="647"/>
      <c r="G389" s="237"/>
      <c r="H389" s="186"/>
      <c r="I389" s="166">
        <v>2007</v>
      </c>
      <c r="J389" s="390"/>
      <c r="K389" s="390"/>
      <c r="L389" s="493"/>
      <c r="M389" s="237" t="s">
        <v>18</v>
      </c>
      <c r="N389" s="493"/>
      <c r="O389" s="247"/>
      <c r="P389" s="247"/>
      <c r="Q389" s="98"/>
      <c r="R389" s="167"/>
      <c r="S389" s="167"/>
      <c r="T389" s="167"/>
      <c r="U389" s="393">
        <v>1200</v>
      </c>
      <c r="V389" s="694"/>
      <c r="W389" s="711"/>
      <c r="X389" s="254"/>
      <c r="Y389" s="446"/>
      <c r="Z389" s="446"/>
      <c r="AA389" s="446"/>
      <c r="AB389" s="446"/>
      <c r="AC389" s="446"/>
      <c r="AD389" s="446"/>
      <c r="AE389" s="446"/>
      <c r="AF389" s="446"/>
      <c r="AG389" s="446"/>
      <c r="AH389" s="446"/>
      <c r="AI389" s="446"/>
      <c r="AJ389" s="446"/>
      <c r="AK389" s="446"/>
      <c r="AL389" s="446"/>
      <c r="AM389" s="446"/>
      <c r="AN389" s="446"/>
      <c r="AO389" s="446"/>
      <c r="AP389" s="446"/>
      <c r="AQ389" s="446"/>
      <c r="AR389" s="446"/>
      <c r="AS389" s="446"/>
      <c r="AT389" s="446"/>
      <c r="AU389" s="446"/>
      <c r="AV389" s="446"/>
      <c r="AW389" s="446"/>
      <c r="AX389" s="446"/>
      <c r="AY389" s="446"/>
      <c r="AZ389" s="446"/>
      <c r="BA389" s="446"/>
      <c r="BB389" s="446"/>
      <c r="BC389" s="446"/>
      <c r="BD389" s="446"/>
      <c r="BE389" s="445"/>
      <c r="BF389" s="445"/>
      <c r="BG389" s="446"/>
      <c r="BH389" s="446"/>
      <c r="BI389" s="445"/>
      <c r="BJ389" s="445"/>
      <c r="BK389" s="445"/>
      <c r="BL389" s="445"/>
      <c r="BM389" s="445"/>
      <c r="BN389" s="445"/>
      <c r="BO389" s="445"/>
      <c r="BP389" s="445"/>
      <c r="BQ389" s="444"/>
      <c r="BR389" s="444"/>
      <c r="BS389" s="442">
        <v>14</v>
      </c>
      <c r="BT389" s="271"/>
      <c r="BU389" s="271"/>
      <c r="BV389" s="454"/>
      <c r="BW389" s="454"/>
      <c r="BX389" s="756"/>
      <c r="BY389" s="850"/>
      <c r="BZ389" s="850"/>
      <c r="CA389" s="850"/>
      <c r="CB389" s="850"/>
      <c r="CC389" s="850"/>
      <c r="CD389" s="850"/>
      <c r="CE389" s="850"/>
      <c r="CF389" s="850"/>
      <c r="CG389" s="169" t="s">
        <v>272</v>
      </c>
      <c r="CH389" s="419" t="s">
        <v>1099</v>
      </c>
      <c r="CI389" s="406"/>
      <c r="CJ389" s="23"/>
      <c r="CK389" s="648" t="s">
        <v>600</v>
      </c>
      <c r="CL389" s="572" t="s">
        <v>623</v>
      </c>
      <c r="CM389" s="648"/>
      <c r="CR389" s="406"/>
      <c r="CS389" s="648"/>
      <c r="CU389" s="23"/>
      <c r="CV389" s="23"/>
      <c r="CW389" s="23"/>
      <c r="CX389" s="23"/>
      <c r="DA389" s="648"/>
    </row>
    <row r="390" spans="1:105" s="35" customFormat="1" ht="12" customHeight="1" x14ac:dyDescent="0.2">
      <c r="A390" s="647" t="s">
        <v>405</v>
      </c>
      <c r="B390" s="469"/>
      <c r="C390" s="126" t="s">
        <v>1265</v>
      </c>
      <c r="D390" s="169" t="s">
        <v>1130</v>
      </c>
      <c r="E390" s="647" t="s">
        <v>867</v>
      </c>
      <c r="F390" s="647"/>
      <c r="G390" s="98"/>
      <c r="H390" s="97"/>
      <c r="I390" s="166">
        <v>2002</v>
      </c>
      <c r="J390" s="571"/>
      <c r="K390" s="571"/>
      <c r="L390" s="493"/>
      <c r="M390" s="98" t="s">
        <v>18</v>
      </c>
      <c r="N390" s="493"/>
      <c r="O390" s="247" t="s">
        <v>19</v>
      </c>
      <c r="P390" s="247"/>
      <c r="Q390" s="98"/>
      <c r="R390" s="167"/>
      <c r="S390" s="167"/>
      <c r="T390" s="167"/>
      <c r="U390" s="393">
        <v>332</v>
      </c>
      <c r="V390" s="694"/>
      <c r="W390" s="711"/>
      <c r="X390" s="167"/>
      <c r="Y390" s="446"/>
      <c r="Z390" s="446"/>
      <c r="AA390" s="446"/>
      <c r="AB390" s="446"/>
      <c r="AC390" s="446"/>
      <c r="AD390" s="446"/>
      <c r="AE390" s="446"/>
      <c r="AF390" s="446"/>
      <c r="AG390" s="446"/>
      <c r="AH390" s="446"/>
      <c r="AI390" s="446"/>
      <c r="AJ390" s="446"/>
      <c r="AK390" s="446"/>
      <c r="AL390" s="446"/>
      <c r="AM390" s="446"/>
      <c r="AN390" s="446"/>
      <c r="AO390" s="446"/>
      <c r="AP390" s="446"/>
      <c r="AQ390" s="446"/>
      <c r="AR390" s="446"/>
      <c r="AS390" s="446"/>
      <c r="AT390" s="446"/>
      <c r="AU390" s="446"/>
      <c r="AV390" s="446"/>
      <c r="AW390" s="446"/>
      <c r="AX390" s="446"/>
      <c r="AY390" s="446"/>
      <c r="AZ390" s="446"/>
      <c r="BA390" s="446"/>
      <c r="BB390" s="446"/>
      <c r="BC390" s="446"/>
      <c r="BD390" s="446"/>
      <c r="BE390" s="445"/>
      <c r="BF390" s="445"/>
      <c r="BG390" s="446"/>
      <c r="BH390" s="446"/>
      <c r="BI390" s="445">
        <v>11</v>
      </c>
      <c r="BJ390" s="445"/>
      <c r="BK390" s="445"/>
      <c r="BL390" s="445"/>
      <c r="BM390" s="445"/>
      <c r="BN390" s="445"/>
      <c r="BO390" s="445"/>
      <c r="BP390" s="445"/>
      <c r="BQ390" s="444"/>
      <c r="BR390" s="444"/>
      <c r="BS390" s="442">
        <v>12</v>
      </c>
      <c r="BT390" s="271"/>
      <c r="BU390" s="271"/>
      <c r="BV390" s="454"/>
      <c r="BW390" s="454"/>
      <c r="BX390" s="756"/>
      <c r="BY390" s="850"/>
      <c r="BZ390" s="850"/>
      <c r="CA390" s="850"/>
      <c r="CB390" s="850"/>
      <c r="CC390" s="850"/>
      <c r="CD390" s="850"/>
      <c r="CE390" s="850"/>
      <c r="CF390" s="850"/>
      <c r="CG390" s="169" t="s">
        <v>983</v>
      </c>
      <c r="CH390" s="419" t="s">
        <v>868</v>
      </c>
      <c r="CI390" s="404">
        <v>40529</v>
      </c>
      <c r="CJ390" s="23"/>
      <c r="CK390" s="648" t="s">
        <v>869</v>
      </c>
      <c r="CL390" s="572"/>
      <c r="CM390" s="648"/>
      <c r="CR390" s="406"/>
      <c r="CS390" s="648"/>
      <c r="CU390" s="23"/>
      <c r="CV390" s="23"/>
      <c r="CW390" s="23"/>
      <c r="CX390" s="23"/>
      <c r="DA390" s="648"/>
    </row>
    <row r="391" spans="1:105" s="35" customFormat="1" ht="12" customHeight="1" x14ac:dyDescent="0.2">
      <c r="A391" s="647" t="s">
        <v>405</v>
      </c>
      <c r="B391" s="469"/>
      <c r="C391" s="126" t="s">
        <v>1265</v>
      </c>
      <c r="D391" s="169" t="s">
        <v>1130</v>
      </c>
      <c r="E391" s="647" t="s">
        <v>264</v>
      </c>
      <c r="F391" s="647"/>
      <c r="G391" s="98"/>
      <c r="H391" s="97"/>
      <c r="I391" s="166">
        <v>2003</v>
      </c>
      <c r="J391" s="571"/>
      <c r="K391" s="571"/>
      <c r="L391" s="493" t="s">
        <v>243</v>
      </c>
      <c r="M391" s="98" t="s">
        <v>15</v>
      </c>
      <c r="N391" s="494" t="s">
        <v>783</v>
      </c>
      <c r="O391" s="98" t="s">
        <v>20</v>
      </c>
      <c r="P391" s="98"/>
      <c r="Q391" s="98"/>
      <c r="R391" s="167"/>
      <c r="S391" s="167"/>
      <c r="T391" s="167"/>
      <c r="U391" s="393">
        <v>1189</v>
      </c>
      <c r="V391" s="694"/>
      <c r="W391" s="711"/>
      <c r="X391" s="167"/>
      <c r="Y391" s="446"/>
      <c r="Z391" s="446"/>
      <c r="AA391" s="446"/>
      <c r="AB391" s="446"/>
      <c r="AC391" s="446"/>
      <c r="AD391" s="446"/>
      <c r="AE391" s="446"/>
      <c r="AF391" s="446"/>
      <c r="AG391" s="446"/>
      <c r="AH391" s="446"/>
      <c r="AI391" s="446"/>
      <c r="AJ391" s="446"/>
      <c r="AK391" s="446"/>
      <c r="AL391" s="446"/>
      <c r="AM391" s="446"/>
      <c r="AN391" s="446"/>
      <c r="AO391" s="446"/>
      <c r="AP391" s="446"/>
      <c r="AQ391" s="446"/>
      <c r="AR391" s="446"/>
      <c r="AS391" s="446"/>
      <c r="AT391" s="446"/>
      <c r="AU391" s="446"/>
      <c r="AV391" s="446"/>
      <c r="AW391" s="446"/>
      <c r="AX391" s="446"/>
      <c r="AY391" s="446"/>
      <c r="AZ391" s="446"/>
      <c r="BA391" s="446"/>
      <c r="BB391" s="446"/>
      <c r="BC391" s="446"/>
      <c r="BD391" s="446"/>
      <c r="BE391" s="445"/>
      <c r="BF391" s="445"/>
      <c r="BG391" s="446"/>
      <c r="BH391" s="446"/>
      <c r="BI391" s="442">
        <v>23</v>
      </c>
      <c r="BJ391" s="445">
        <v>3</v>
      </c>
      <c r="BK391" s="445"/>
      <c r="BL391" s="445"/>
      <c r="BM391" s="445"/>
      <c r="BN391" s="445"/>
      <c r="BO391" s="445"/>
      <c r="BP391" s="445"/>
      <c r="BQ391" s="444"/>
      <c r="BR391" s="444"/>
      <c r="BS391" s="442"/>
      <c r="BT391" s="445"/>
      <c r="BU391" s="445"/>
      <c r="BV391" s="445"/>
      <c r="BW391" s="445"/>
      <c r="BX391" s="756"/>
      <c r="BY391" s="850"/>
      <c r="BZ391" s="850"/>
      <c r="CA391" s="850"/>
      <c r="CB391" s="850"/>
      <c r="CC391" s="850"/>
      <c r="CD391" s="850"/>
      <c r="CE391" s="850"/>
      <c r="CF391" s="850"/>
      <c r="CG391" s="169" t="s">
        <v>523</v>
      </c>
      <c r="CH391" s="417"/>
      <c r="CI391" s="406"/>
      <c r="CJ391" s="23"/>
      <c r="CK391" s="426" t="s">
        <v>1041</v>
      </c>
      <c r="CL391" s="572"/>
      <c r="CM391" s="648"/>
      <c r="CR391" s="406"/>
      <c r="CS391" s="648"/>
      <c r="CU391" s="23"/>
      <c r="CV391" s="23"/>
      <c r="CW391" s="23"/>
      <c r="CX391" s="23"/>
      <c r="DA391" s="648"/>
    </row>
    <row r="392" spans="1:105" s="35" customFormat="1" ht="12" customHeight="1" x14ac:dyDescent="0.2">
      <c r="A392" s="751" t="s">
        <v>140</v>
      </c>
      <c r="B392" s="537"/>
      <c r="C392" s="126" t="s">
        <v>1291</v>
      </c>
      <c r="D392" s="36" t="s">
        <v>1131</v>
      </c>
      <c r="E392" s="647" t="s">
        <v>14</v>
      </c>
      <c r="F392" s="647"/>
      <c r="G392" s="237"/>
      <c r="H392" s="186"/>
      <c r="I392" s="533">
        <v>2011</v>
      </c>
      <c r="J392" s="390"/>
      <c r="K392" s="390"/>
      <c r="L392" s="494" t="s">
        <v>628</v>
      </c>
      <c r="M392" s="247" t="s">
        <v>18</v>
      </c>
      <c r="N392" s="494"/>
      <c r="O392" s="98" t="s">
        <v>20</v>
      </c>
      <c r="P392" s="98"/>
      <c r="Q392" s="247"/>
      <c r="R392" s="291"/>
      <c r="S392" s="291"/>
      <c r="T392" s="291"/>
      <c r="U392" s="394">
        <v>624</v>
      </c>
      <c r="V392" s="727"/>
      <c r="W392" s="714"/>
      <c r="X392" s="254"/>
      <c r="Y392" s="442"/>
      <c r="Z392" s="442"/>
      <c r="AA392" s="442"/>
      <c r="AB392" s="442"/>
      <c r="AC392" s="442"/>
      <c r="AD392" s="442"/>
      <c r="AE392" s="442"/>
      <c r="AF392" s="442"/>
      <c r="AG392" s="442"/>
      <c r="AH392" s="442"/>
      <c r="AI392" s="442"/>
      <c r="AJ392" s="442"/>
      <c r="AK392" s="442"/>
      <c r="AL392" s="442"/>
      <c r="AM392" s="442"/>
      <c r="AN392" s="442"/>
      <c r="AO392" s="442"/>
      <c r="AP392" s="442"/>
      <c r="AQ392" s="442"/>
      <c r="AR392" s="442"/>
      <c r="AS392" s="442"/>
      <c r="AT392" s="442"/>
      <c r="AU392" s="442"/>
      <c r="AV392" s="442"/>
      <c r="AW392" s="442"/>
      <c r="AX392" s="442"/>
      <c r="AY392" s="442"/>
      <c r="AZ392" s="442"/>
      <c r="BA392" s="442"/>
      <c r="BB392" s="442"/>
      <c r="BC392" s="442"/>
      <c r="BD392" s="442"/>
      <c r="BE392" s="442"/>
      <c r="BF392" s="442"/>
      <c r="BG392" s="442"/>
      <c r="BH392" s="442"/>
      <c r="BI392" s="447">
        <v>27</v>
      </c>
      <c r="BJ392" s="442"/>
      <c r="BK392" s="442"/>
      <c r="BL392" s="442"/>
      <c r="BM392" s="442"/>
      <c r="BN392" s="442"/>
      <c r="BO392" s="442"/>
      <c r="BP392" s="442"/>
      <c r="BQ392" s="444"/>
      <c r="BR392" s="444"/>
      <c r="BS392" s="447"/>
      <c r="BT392" s="447"/>
      <c r="BU392" s="447"/>
      <c r="BV392" s="550"/>
      <c r="BW392" s="550"/>
      <c r="BX392" s="757"/>
      <c r="BY392" s="850"/>
      <c r="BZ392" s="850"/>
      <c r="CA392" s="850"/>
      <c r="CB392" s="850"/>
      <c r="CC392" s="850"/>
      <c r="CD392" s="850"/>
      <c r="CE392" s="850"/>
      <c r="CF392" s="850"/>
      <c r="CG392" s="36" t="s">
        <v>1003</v>
      </c>
      <c r="CH392" s="419" t="s">
        <v>1529</v>
      </c>
      <c r="CI392" s="406"/>
      <c r="CJ392" s="23"/>
      <c r="CK392" s="417" t="s">
        <v>1042</v>
      </c>
      <c r="CL392" s="417" t="s">
        <v>1532</v>
      </c>
      <c r="CM392" s="648"/>
      <c r="CR392" s="406"/>
      <c r="CS392" s="648"/>
      <c r="CU392" s="23"/>
      <c r="CV392" s="23"/>
      <c r="CW392" s="23"/>
      <c r="CX392" s="23"/>
      <c r="DA392" s="648"/>
    </row>
    <row r="393" spans="1:105" s="35" customFormat="1" ht="12" customHeight="1" x14ac:dyDescent="0.2">
      <c r="A393" s="751" t="s">
        <v>1516</v>
      </c>
      <c r="B393" s="537"/>
      <c r="C393" s="186" t="s">
        <v>402</v>
      </c>
      <c r="D393" s="237" t="s">
        <v>1131</v>
      </c>
      <c r="E393" s="647" t="s">
        <v>14</v>
      </c>
      <c r="F393" s="647"/>
      <c r="G393" s="237"/>
      <c r="H393" s="186"/>
      <c r="I393" s="166">
        <v>2002</v>
      </c>
      <c r="J393" s="390"/>
      <c r="K393" s="390"/>
      <c r="L393" s="494" t="s">
        <v>700</v>
      </c>
      <c r="M393" s="237" t="s">
        <v>17</v>
      </c>
      <c r="N393" s="494"/>
      <c r="O393" s="98"/>
      <c r="P393" s="98"/>
      <c r="Q393" s="237"/>
      <c r="R393" s="254"/>
      <c r="S393" s="254"/>
      <c r="T393" s="254"/>
      <c r="U393" s="397">
        <v>1200</v>
      </c>
      <c r="V393" s="694"/>
      <c r="W393" s="713"/>
      <c r="X393" s="254"/>
      <c r="Y393" s="472"/>
      <c r="Z393" s="472"/>
      <c r="AA393" s="472"/>
      <c r="AB393" s="472"/>
      <c r="AC393" s="472"/>
      <c r="AD393" s="472"/>
      <c r="AE393" s="472"/>
      <c r="AF393" s="472"/>
      <c r="AG393" s="472"/>
      <c r="AH393" s="472"/>
      <c r="AI393" s="472"/>
      <c r="AJ393" s="472"/>
      <c r="AK393" s="472"/>
      <c r="AL393" s="472"/>
      <c r="AM393" s="472"/>
      <c r="AN393" s="472"/>
      <c r="AO393" s="472"/>
      <c r="AP393" s="472"/>
      <c r="AQ393" s="472"/>
      <c r="AR393" s="472"/>
      <c r="AS393" s="472"/>
      <c r="AT393" s="472"/>
      <c r="AU393" s="472"/>
      <c r="AV393" s="472"/>
      <c r="AW393" s="472"/>
      <c r="AX393" s="472"/>
      <c r="AY393" s="472"/>
      <c r="AZ393" s="472"/>
      <c r="BA393" s="472"/>
      <c r="BB393" s="472"/>
      <c r="BC393" s="472"/>
      <c r="BD393" s="472"/>
      <c r="BE393" s="446"/>
      <c r="BF393" s="446"/>
      <c r="BG393" s="472"/>
      <c r="BH393" s="472"/>
      <c r="BI393" s="455">
        <v>2.8</v>
      </c>
      <c r="BJ393" s="446"/>
      <c r="BK393" s="446"/>
      <c r="BL393" s="446"/>
      <c r="BM393" s="446"/>
      <c r="BN393" s="446"/>
      <c r="BO393" s="446"/>
      <c r="BP393" s="446"/>
      <c r="BQ393" s="444"/>
      <c r="BR393" s="445"/>
      <c r="BS393" s="442">
        <v>15</v>
      </c>
      <c r="BT393" s="271"/>
      <c r="BU393" s="271"/>
      <c r="BV393" s="454"/>
      <c r="BW393" s="454"/>
      <c r="BX393" s="756"/>
      <c r="BY393" s="850"/>
      <c r="BZ393" s="850"/>
      <c r="CA393" s="850"/>
      <c r="CB393" s="850"/>
      <c r="CC393" s="850"/>
      <c r="CD393" s="850"/>
      <c r="CE393" s="850"/>
      <c r="CF393" s="850"/>
      <c r="CG393" s="237" t="s">
        <v>336</v>
      </c>
      <c r="CH393" s="419" t="s">
        <v>699</v>
      </c>
      <c r="CI393" s="406"/>
      <c r="CJ393" s="23"/>
      <c r="CK393" s="648"/>
      <c r="CL393" s="572"/>
      <c r="CM393" s="648"/>
      <c r="CR393" s="406"/>
      <c r="CS393" s="648"/>
      <c r="CU393" s="23"/>
      <c r="CV393" s="23"/>
      <c r="CW393" s="23"/>
      <c r="CX393" s="23"/>
      <c r="DA393" s="648"/>
    </row>
    <row r="394" spans="1:105" s="35" customFormat="1" ht="12" customHeight="1" x14ac:dyDescent="0.2">
      <c r="A394" s="651"/>
      <c r="B394" s="537"/>
      <c r="C394" s="97" t="s">
        <v>95</v>
      </c>
      <c r="D394" s="169" t="s">
        <v>1130</v>
      </c>
      <c r="E394" s="647" t="s">
        <v>14</v>
      </c>
      <c r="F394" s="647"/>
      <c r="G394" s="98"/>
      <c r="H394" s="97"/>
      <c r="I394" s="166">
        <v>1999</v>
      </c>
      <c r="J394" s="571"/>
      <c r="K394" s="571"/>
      <c r="L394" s="493" t="s">
        <v>1168</v>
      </c>
      <c r="M394" s="98" t="s">
        <v>15</v>
      </c>
      <c r="N394" s="493"/>
      <c r="O394" s="98"/>
      <c r="P394" s="98"/>
      <c r="Q394" s="98"/>
      <c r="R394" s="167"/>
      <c r="S394" s="167"/>
      <c r="T394" s="167"/>
      <c r="U394" s="393">
        <v>5322</v>
      </c>
      <c r="V394" s="694"/>
      <c r="W394" s="711"/>
      <c r="X394" s="167"/>
      <c r="Y394" s="446"/>
      <c r="Z394" s="446"/>
      <c r="AA394" s="446"/>
      <c r="AB394" s="446"/>
      <c r="AC394" s="446"/>
      <c r="AD394" s="446"/>
      <c r="AE394" s="446"/>
      <c r="AF394" s="446"/>
      <c r="AG394" s="446"/>
      <c r="AH394" s="446"/>
      <c r="AI394" s="446"/>
      <c r="AJ394" s="446"/>
      <c r="AK394" s="446"/>
      <c r="AL394" s="446"/>
      <c r="AM394" s="446"/>
      <c r="AN394" s="446"/>
      <c r="AO394" s="446"/>
      <c r="AP394" s="446"/>
      <c r="AQ394" s="446"/>
      <c r="AR394" s="446"/>
      <c r="AS394" s="446"/>
      <c r="AT394" s="446"/>
      <c r="AU394" s="446"/>
      <c r="AV394" s="446"/>
      <c r="AW394" s="446"/>
      <c r="AX394" s="446"/>
      <c r="AY394" s="446"/>
      <c r="AZ394" s="446"/>
      <c r="BA394" s="446"/>
      <c r="BB394" s="446"/>
      <c r="BC394" s="446"/>
      <c r="BD394" s="446"/>
      <c r="BE394" s="445"/>
      <c r="BF394" s="445"/>
      <c r="BG394" s="446"/>
      <c r="BH394" s="446"/>
      <c r="BI394" s="442">
        <v>29</v>
      </c>
      <c r="BJ394" s="445">
        <v>10</v>
      </c>
      <c r="BK394" s="445"/>
      <c r="BL394" s="445"/>
      <c r="BM394" s="445"/>
      <c r="BN394" s="445"/>
      <c r="BO394" s="445"/>
      <c r="BP394" s="445"/>
      <c r="BQ394" s="444"/>
      <c r="BR394" s="444"/>
      <c r="BS394" s="442"/>
      <c r="BT394" s="445"/>
      <c r="BU394" s="445"/>
      <c r="BV394" s="445"/>
      <c r="BW394" s="445"/>
      <c r="BX394" s="756"/>
      <c r="BY394" s="850"/>
      <c r="BZ394" s="850"/>
      <c r="CA394" s="850"/>
      <c r="CB394" s="850"/>
      <c r="CC394" s="850"/>
      <c r="CD394" s="850"/>
      <c r="CE394" s="850"/>
      <c r="CF394" s="850"/>
      <c r="CG394" s="169" t="s">
        <v>523</v>
      </c>
      <c r="CH394" s="417"/>
      <c r="CI394" s="406"/>
      <c r="CJ394" s="23"/>
      <c r="CK394" s="426" t="s">
        <v>1041</v>
      </c>
      <c r="CL394" s="572"/>
      <c r="CM394" s="648"/>
      <c r="CR394" s="406"/>
      <c r="CS394" s="648"/>
      <c r="CU394" s="23"/>
      <c r="CV394" s="23"/>
      <c r="CW394" s="23"/>
      <c r="CX394" s="23"/>
      <c r="DA394" s="648"/>
    </row>
    <row r="395" spans="1:105" s="35" customFormat="1" ht="12" customHeight="1" x14ac:dyDescent="0.2">
      <c r="A395" s="651"/>
      <c r="B395" s="537"/>
      <c r="C395" s="97" t="s">
        <v>95</v>
      </c>
      <c r="D395" s="169" t="s">
        <v>1130</v>
      </c>
      <c r="E395" s="647" t="s">
        <v>14</v>
      </c>
      <c r="F395" s="647"/>
      <c r="G395" s="237"/>
      <c r="H395" s="186"/>
      <c r="I395" s="166">
        <v>2003</v>
      </c>
      <c r="J395" s="390"/>
      <c r="K395" s="390"/>
      <c r="L395" s="493"/>
      <c r="M395" s="237" t="s">
        <v>17</v>
      </c>
      <c r="N395" s="493"/>
      <c r="O395" s="98" t="s">
        <v>227</v>
      </c>
      <c r="P395" s="98"/>
      <c r="Q395" s="98"/>
      <c r="R395" s="167"/>
      <c r="S395" s="167"/>
      <c r="T395" s="167"/>
      <c r="U395" s="393">
        <v>1245</v>
      </c>
      <c r="V395" s="694"/>
      <c r="W395" s="711"/>
      <c r="X395" s="254"/>
      <c r="Y395" s="446"/>
      <c r="Z395" s="446"/>
      <c r="AA395" s="446"/>
      <c r="AB395" s="446"/>
      <c r="AC395" s="446"/>
      <c r="AD395" s="446"/>
      <c r="AE395" s="446"/>
      <c r="AF395" s="446"/>
      <c r="AG395" s="446"/>
      <c r="AH395" s="446"/>
      <c r="AI395" s="446"/>
      <c r="AJ395" s="446"/>
      <c r="AK395" s="446"/>
      <c r="AL395" s="446"/>
      <c r="AM395" s="446"/>
      <c r="AN395" s="446"/>
      <c r="AO395" s="446"/>
      <c r="AP395" s="446"/>
      <c r="AQ395" s="446"/>
      <c r="AR395" s="446"/>
      <c r="AS395" s="446"/>
      <c r="AT395" s="446"/>
      <c r="AU395" s="446"/>
      <c r="AV395" s="446"/>
      <c r="AW395" s="446"/>
      <c r="AX395" s="446"/>
      <c r="AY395" s="446"/>
      <c r="AZ395" s="446"/>
      <c r="BA395" s="446"/>
      <c r="BB395" s="446"/>
      <c r="BC395" s="446"/>
      <c r="BD395" s="446"/>
      <c r="BE395" s="445"/>
      <c r="BF395" s="445"/>
      <c r="BG395" s="446"/>
      <c r="BH395" s="446"/>
      <c r="BI395" s="442">
        <v>10.5</v>
      </c>
      <c r="BJ395" s="445">
        <v>3.2</v>
      </c>
      <c r="BK395" s="445"/>
      <c r="BL395" s="445"/>
      <c r="BM395" s="445"/>
      <c r="BN395" s="445"/>
      <c r="BO395" s="445"/>
      <c r="BP395" s="445"/>
      <c r="BQ395" s="444">
        <v>17.8</v>
      </c>
      <c r="BR395" s="445">
        <v>3.6</v>
      </c>
      <c r="BS395" s="271"/>
      <c r="BT395" s="271"/>
      <c r="BU395" s="271"/>
      <c r="BV395" s="454"/>
      <c r="BW395" s="454"/>
      <c r="BX395" s="756"/>
      <c r="BY395" s="850"/>
      <c r="BZ395" s="850"/>
      <c r="CA395" s="850"/>
      <c r="CB395" s="850"/>
      <c r="CC395" s="850"/>
      <c r="CD395" s="850"/>
      <c r="CE395" s="850"/>
      <c r="CF395" s="850"/>
      <c r="CG395" s="169" t="s">
        <v>958</v>
      </c>
      <c r="CH395" s="417"/>
      <c r="CI395" s="406"/>
      <c r="CJ395" s="23"/>
      <c r="CK395" s="417" t="s">
        <v>1047</v>
      </c>
      <c r="CL395" s="572" t="s">
        <v>558</v>
      </c>
      <c r="CM395" s="648"/>
      <c r="CR395" s="406"/>
      <c r="CS395" s="648"/>
      <c r="CU395" s="23"/>
      <c r="CV395" s="23"/>
      <c r="CW395" s="23"/>
      <c r="CX395" s="23"/>
      <c r="DA395" s="648"/>
    </row>
    <row r="396" spans="1:105" s="35" customFormat="1" ht="12" customHeight="1" x14ac:dyDescent="0.2">
      <c r="A396" s="651"/>
      <c r="B396" s="537"/>
      <c r="C396" s="97" t="s">
        <v>95</v>
      </c>
      <c r="D396" s="169" t="s">
        <v>1130</v>
      </c>
      <c r="E396" s="647" t="s">
        <v>14</v>
      </c>
      <c r="F396" s="647"/>
      <c r="G396" s="237"/>
      <c r="H396" s="186"/>
      <c r="I396" s="166">
        <v>2004</v>
      </c>
      <c r="J396" s="390"/>
      <c r="K396" s="390"/>
      <c r="L396" s="493"/>
      <c r="M396" s="98" t="s">
        <v>15</v>
      </c>
      <c r="N396" s="493"/>
      <c r="O396" s="98" t="s">
        <v>20</v>
      </c>
      <c r="P396" s="98"/>
      <c r="Q396" s="98"/>
      <c r="R396" s="167"/>
      <c r="S396" s="167"/>
      <c r="T396" s="167"/>
      <c r="U396" s="170"/>
      <c r="V396" s="692"/>
      <c r="W396" s="700"/>
      <c r="X396" s="254"/>
      <c r="Y396" s="271"/>
      <c r="Z396" s="271"/>
      <c r="AA396" s="271"/>
      <c r="AB396" s="271"/>
      <c r="AC396" s="271"/>
      <c r="AD396" s="271"/>
      <c r="AE396" s="271"/>
      <c r="AF396" s="271"/>
      <c r="AG396" s="271"/>
      <c r="AH396" s="271"/>
      <c r="AI396" s="271"/>
      <c r="AJ396" s="271"/>
      <c r="AK396" s="271"/>
      <c r="AL396" s="271"/>
      <c r="AM396" s="271"/>
      <c r="AN396" s="271"/>
      <c r="AO396" s="271"/>
      <c r="AP396" s="271"/>
      <c r="AQ396" s="271"/>
      <c r="AR396" s="271"/>
      <c r="AS396" s="271"/>
      <c r="AT396" s="271"/>
      <c r="AU396" s="271"/>
      <c r="AV396" s="271"/>
      <c r="AW396" s="271"/>
      <c r="AX396" s="271"/>
      <c r="AY396" s="271"/>
      <c r="AZ396" s="271"/>
      <c r="BA396" s="271"/>
      <c r="BB396" s="271"/>
      <c r="BC396" s="271"/>
      <c r="BD396" s="271"/>
      <c r="BE396" s="271"/>
      <c r="BF396" s="271"/>
      <c r="BG396" s="271"/>
      <c r="BH396" s="271"/>
      <c r="BI396" s="442">
        <v>15.1</v>
      </c>
      <c r="BJ396" s="271"/>
      <c r="BK396" s="271"/>
      <c r="BL396" s="271"/>
      <c r="BM396" s="271"/>
      <c r="BN396" s="271"/>
      <c r="BO396" s="271"/>
      <c r="BP396" s="271"/>
      <c r="BQ396" s="444"/>
      <c r="BR396" s="444"/>
      <c r="BS396" s="446"/>
      <c r="BT396" s="446"/>
      <c r="BU396" s="446"/>
      <c r="BV396" s="442"/>
      <c r="BW396" s="442"/>
      <c r="BX396" s="756"/>
      <c r="BY396" s="850"/>
      <c r="BZ396" s="850"/>
      <c r="CA396" s="850"/>
      <c r="CB396" s="850"/>
      <c r="CC396" s="850"/>
      <c r="CD396" s="850"/>
      <c r="CE396" s="850"/>
      <c r="CF396" s="850"/>
      <c r="CG396" s="169" t="s">
        <v>876</v>
      </c>
      <c r="CH396" s="417"/>
      <c r="CI396" s="406"/>
      <c r="CJ396" s="23"/>
      <c r="CK396" s="417" t="s">
        <v>1069</v>
      </c>
      <c r="CL396" s="572"/>
      <c r="CM396" s="648"/>
      <c r="CR396" s="406"/>
      <c r="CS396" s="648"/>
      <c r="CU396" s="23"/>
      <c r="CV396" s="23"/>
      <c r="CW396" s="23"/>
      <c r="CX396" s="23"/>
      <c r="DA396" s="648"/>
    </row>
    <row r="397" spans="1:105" s="35" customFormat="1" ht="12" customHeight="1" x14ac:dyDescent="0.2">
      <c r="A397" s="651"/>
      <c r="B397" s="537"/>
      <c r="C397" s="97" t="s">
        <v>403</v>
      </c>
      <c r="D397" s="169" t="s">
        <v>1125</v>
      </c>
      <c r="E397" s="647" t="s">
        <v>101</v>
      </c>
      <c r="F397" s="647"/>
      <c r="G397" s="98"/>
      <c r="H397" s="97"/>
      <c r="I397" s="166">
        <v>1999</v>
      </c>
      <c r="J397" s="571"/>
      <c r="K397" s="571"/>
      <c r="L397" s="493" t="s">
        <v>248</v>
      </c>
      <c r="M397" s="98" t="s">
        <v>15</v>
      </c>
      <c r="N397" s="493"/>
      <c r="O397" s="98"/>
      <c r="P397" s="98"/>
      <c r="Q397" s="98"/>
      <c r="R397" s="167"/>
      <c r="S397" s="167"/>
      <c r="T397" s="167"/>
      <c r="U397" s="393">
        <v>5482</v>
      </c>
      <c r="V397" s="694"/>
      <c r="W397" s="711"/>
      <c r="X397" s="167"/>
      <c r="Y397" s="446"/>
      <c r="Z397" s="446"/>
      <c r="AA397" s="446"/>
      <c r="AB397" s="446"/>
      <c r="AC397" s="446"/>
      <c r="AD397" s="446"/>
      <c r="AE397" s="446"/>
      <c r="AF397" s="446"/>
      <c r="AG397" s="446"/>
      <c r="AH397" s="446"/>
      <c r="AI397" s="446"/>
      <c r="AJ397" s="446"/>
      <c r="AK397" s="446"/>
      <c r="AL397" s="446"/>
      <c r="AM397" s="446"/>
      <c r="AN397" s="446"/>
      <c r="AO397" s="446"/>
      <c r="AP397" s="446"/>
      <c r="AQ397" s="446"/>
      <c r="AR397" s="446"/>
      <c r="AS397" s="446"/>
      <c r="AT397" s="446"/>
      <c r="AU397" s="446"/>
      <c r="AV397" s="446"/>
      <c r="AW397" s="446"/>
      <c r="AX397" s="446"/>
      <c r="AY397" s="446"/>
      <c r="AZ397" s="446"/>
      <c r="BA397" s="446"/>
      <c r="BB397" s="446"/>
      <c r="BC397" s="446"/>
      <c r="BD397" s="446"/>
      <c r="BE397" s="445"/>
      <c r="BF397" s="445"/>
      <c r="BG397" s="446"/>
      <c r="BH397" s="446"/>
      <c r="BI397" s="442">
        <v>21</v>
      </c>
      <c r="BJ397" s="445">
        <v>7</v>
      </c>
      <c r="BK397" s="445"/>
      <c r="BL397" s="445"/>
      <c r="BM397" s="445"/>
      <c r="BN397" s="445"/>
      <c r="BO397" s="445"/>
      <c r="BP397" s="445"/>
      <c r="BQ397" s="444"/>
      <c r="BR397" s="444"/>
      <c r="BS397" s="442"/>
      <c r="BT397" s="445"/>
      <c r="BU397" s="445"/>
      <c r="BV397" s="445"/>
      <c r="BW397" s="445"/>
      <c r="BX397" s="756"/>
      <c r="BY397" s="850"/>
      <c r="BZ397" s="850"/>
      <c r="CA397" s="850"/>
      <c r="CB397" s="850"/>
      <c r="CC397" s="850"/>
      <c r="CD397" s="850"/>
      <c r="CE397" s="850"/>
      <c r="CF397" s="850"/>
      <c r="CG397" s="168" t="s">
        <v>219</v>
      </c>
      <c r="CH397" s="417"/>
      <c r="CI397" s="406"/>
      <c r="CJ397" s="23"/>
      <c r="CK397" s="431" t="s">
        <v>1063</v>
      </c>
      <c r="CL397" s="572"/>
      <c r="CM397" s="648"/>
      <c r="CR397" s="406"/>
      <c r="CS397" s="648"/>
      <c r="CU397" s="23"/>
      <c r="CV397" s="23"/>
      <c r="CW397" s="23"/>
      <c r="CX397" s="23"/>
      <c r="DA397" s="648"/>
    </row>
    <row r="398" spans="1:105" s="35" customFormat="1" ht="12" customHeight="1" x14ac:dyDescent="0.2">
      <c r="A398" s="652"/>
      <c r="B398" s="469" t="s">
        <v>1813</v>
      </c>
      <c r="C398" s="390" t="s">
        <v>188</v>
      </c>
      <c r="D398" s="237" t="s">
        <v>1131</v>
      </c>
      <c r="E398" s="647" t="s">
        <v>14</v>
      </c>
      <c r="F398" s="647"/>
      <c r="G398" s="237"/>
      <c r="H398" s="186"/>
      <c r="I398" s="166">
        <v>2005</v>
      </c>
      <c r="J398" s="571">
        <v>2005</v>
      </c>
      <c r="K398" s="571"/>
      <c r="L398" s="494" t="s">
        <v>244</v>
      </c>
      <c r="M398" s="247" t="s">
        <v>1837</v>
      </c>
      <c r="N398" s="494" t="s">
        <v>783</v>
      </c>
      <c r="O398" s="247" t="s">
        <v>19</v>
      </c>
      <c r="P398" s="98">
        <v>15</v>
      </c>
      <c r="Q398" s="247">
        <v>49</v>
      </c>
      <c r="R398" s="552">
        <v>29.845693196852626</v>
      </c>
      <c r="S398" s="552"/>
      <c r="T398" s="552"/>
      <c r="U398" s="553">
        <v>2547</v>
      </c>
      <c r="V398" s="794"/>
      <c r="W398" s="712"/>
      <c r="X398" s="552">
        <v>3.8034706251306782</v>
      </c>
      <c r="Y398" s="552">
        <v>11.940298507462677</v>
      </c>
      <c r="Z398" s="552">
        <v>7.2206534893102079</v>
      </c>
      <c r="AA398" s="552">
        <v>12.804399057344838</v>
      </c>
      <c r="AB398" s="552">
        <v>7.6456310679611583</v>
      </c>
      <c r="AC398" s="555"/>
      <c r="AD398" s="555"/>
      <c r="AE398" s="552">
        <v>5.6626032245379667</v>
      </c>
      <c r="AF398" s="552">
        <v>2.917665867306162</v>
      </c>
      <c r="AG398" s="552">
        <v>1.4538310412573676</v>
      </c>
      <c r="AH398" s="552">
        <v>0.67114093959731491</v>
      </c>
      <c r="AI398" s="555"/>
      <c r="AJ398" s="555"/>
      <c r="AK398" s="552">
        <v>0.82547169811320653</v>
      </c>
      <c r="AL398" s="552">
        <v>0.27602523659305944</v>
      </c>
      <c r="AM398" s="552">
        <v>26.698076168040821</v>
      </c>
      <c r="AN398" s="552">
        <v>14.047231270358314</v>
      </c>
      <c r="AO398" s="552">
        <v>21.203776553894627</v>
      </c>
      <c r="AP398" s="552">
        <v>70.814479638009047</v>
      </c>
      <c r="AQ398" s="552">
        <v>16.496465043205021</v>
      </c>
      <c r="AR398" s="552">
        <v>9.2675030352084082</v>
      </c>
      <c r="AS398" s="552">
        <v>14.644680015704747</v>
      </c>
      <c r="AT398" s="552">
        <v>7.4193548387096868</v>
      </c>
      <c r="AU398" s="552">
        <v>8.755398508048712</v>
      </c>
      <c r="AV398" s="552">
        <v>4.2817126850740355</v>
      </c>
      <c r="AW398" s="552">
        <v>2.3200943767204016</v>
      </c>
      <c r="AX398" s="552">
        <v>1.0684606252473328</v>
      </c>
      <c r="AY398" s="555"/>
      <c r="AZ398" s="555"/>
      <c r="BA398" s="552"/>
      <c r="BB398" s="552"/>
      <c r="BC398" s="555"/>
      <c r="BD398" s="555"/>
      <c r="BE398" s="552"/>
      <c r="BF398" s="552"/>
      <c r="BG398" s="552"/>
      <c r="BH398" s="552"/>
      <c r="BI398" s="552">
        <v>34.079308990969679</v>
      </c>
      <c r="BJ398" s="552">
        <v>19.457547169811264</v>
      </c>
      <c r="BK398" s="552"/>
      <c r="BL398" s="552"/>
      <c r="BM398" s="552">
        <v>12.92223095051061</v>
      </c>
      <c r="BN398" s="552">
        <v>8.772635814889334</v>
      </c>
      <c r="BO398" s="552">
        <v>6.1369000786782113</v>
      </c>
      <c r="BP398" s="552">
        <v>4.1417761847869423</v>
      </c>
      <c r="BQ398" s="552"/>
      <c r="BR398" s="42"/>
      <c r="BS398" s="42"/>
      <c r="BT398" s="42"/>
      <c r="BU398" s="42">
        <v>12</v>
      </c>
      <c r="BV398" s="42"/>
      <c r="BW398" s="42"/>
      <c r="BX398" s="758"/>
      <c r="BY398" s="851"/>
      <c r="BZ398" s="851"/>
      <c r="CA398" s="851"/>
      <c r="CB398" s="851"/>
      <c r="CC398" s="851"/>
      <c r="CD398" s="851"/>
      <c r="CE398" s="851"/>
      <c r="CF398" s="851"/>
      <c r="CG398" s="97"/>
      <c r="CH398" s="647"/>
      <c r="CI398" s="97"/>
      <c r="CJ398" s="97"/>
      <c r="CK398" s="647"/>
      <c r="CL398" s="469" t="s">
        <v>1841</v>
      </c>
      <c r="CM398" s="647"/>
      <c r="CN398" s="97"/>
      <c r="CO398" s="97"/>
      <c r="CP398" s="97"/>
      <c r="CQ398" s="97"/>
      <c r="CR398" s="638"/>
      <c r="CS398" s="647"/>
      <c r="CU398" s="23"/>
      <c r="CV398" s="23"/>
      <c r="CW398" s="23"/>
      <c r="CX398" s="23"/>
      <c r="DA398" s="648"/>
    </row>
    <row r="399" spans="1:105" s="35" customFormat="1" ht="12" customHeight="1" x14ac:dyDescent="0.2">
      <c r="A399" s="652"/>
      <c r="B399" s="469" t="s">
        <v>1814</v>
      </c>
      <c r="C399" s="390" t="s">
        <v>188</v>
      </c>
      <c r="D399" s="237" t="s">
        <v>1131</v>
      </c>
      <c r="E399" s="647" t="s">
        <v>14</v>
      </c>
      <c r="F399" s="647"/>
      <c r="G399" s="237"/>
      <c r="H399" s="186"/>
      <c r="I399" s="481" t="s">
        <v>1159</v>
      </c>
      <c r="J399" s="571">
        <v>2010</v>
      </c>
      <c r="K399" s="571"/>
      <c r="L399" s="494" t="s">
        <v>244</v>
      </c>
      <c r="M399" s="247" t="s">
        <v>1837</v>
      </c>
      <c r="N399" s="494" t="s">
        <v>783</v>
      </c>
      <c r="O399" s="247" t="s">
        <v>19</v>
      </c>
      <c r="P399" s="98">
        <v>15</v>
      </c>
      <c r="Q399" s="247">
        <v>49</v>
      </c>
      <c r="R399" s="552">
        <v>28.356082217833357</v>
      </c>
      <c r="S399" s="552"/>
      <c r="T399" s="552"/>
      <c r="U399" s="553">
        <v>3470</v>
      </c>
      <c r="V399" s="794"/>
      <c r="W399" s="712"/>
      <c r="X399" s="552">
        <v>4.4955014263770128</v>
      </c>
      <c r="Y399" s="555"/>
      <c r="Z399" s="555"/>
      <c r="AA399" s="555"/>
      <c r="AB399" s="555"/>
      <c r="AC399" s="555"/>
      <c r="AD399" s="555"/>
      <c r="AE399" s="555"/>
      <c r="AF399" s="555"/>
      <c r="AG399" s="552">
        <v>7.1469740634005854</v>
      </c>
      <c r="AH399" s="552">
        <v>5.1873198847262136</v>
      </c>
      <c r="AI399" s="555"/>
      <c r="AJ399" s="552"/>
      <c r="AK399" s="555"/>
      <c r="AL399" s="555"/>
      <c r="AM399" s="552">
        <v>29.164265129682967</v>
      </c>
      <c r="AN399" s="552">
        <v>18.645533141210329</v>
      </c>
      <c r="AO399" s="552">
        <v>10.838858460651483</v>
      </c>
      <c r="AP399" s="552">
        <v>7.812049582012107</v>
      </c>
      <c r="AQ399" s="552">
        <v>15.02306805074973</v>
      </c>
      <c r="AR399" s="552">
        <v>11.072664359861605</v>
      </c>
      <c r="AS399" s="552">
        <v>8.9151759953837129</v>
      </c>
      <c r="AT399" s="552">
        <v>6.3473744950951989</v>
      </c>
      <c r="AU399" s="552">
        <v>48.760092272203011</v>
      </c>
      <c r="AV399" s="552">
        <v>39.561707035755475</v>
      </c>
      <c r="AW399" s="552">
        <v>31.58501440922193</v>
      </c>
      <c r="AX399" s="552">
        <v>25.244956772334259</v>
      </c>
      <c r="AY399" s="552"/>
      <c r="AZ399" s="552"/>
      <c r="BA399" s="552"/>
      <c r="BB399" s="552"/>
      <c r="BC399" s="552"/>
      <c r="BD399" s="552"/>
      <c r="BE399" s="552"/>
      <c r="BF399" s="552"/>
      <c r="BG399" s="552"/>
      <c r="BH399" s="552"/>
      <c r="BI399" s="552">
        <v>55.648414985590932</v>
      </c>
      <c r="BJ399" s="552">
        <v>44.524495677233396</v>
      </c>
      <c r="BK399" s="552"/>
      <c r="BL399" s="552"/>
      <c r="BM399" s="552">
        <v>17.070357554786611</v>
      </c>
      <c r="BN399" s="552">
        <v>13.321799307958493</v>
      </c>
      <c r="BO399" s="555"/>
      <c r="BP399" s="555"/>
      <c r="BQ399" s="552"/>
      <c r="BR399" s="42"/>
      <c r="BS399" s="42"/>
      <c r="BT399" s="42"/>
      <c r="BU399" s="42">
        <v>12</v>
      </c>
      <c r="BV399" s="42"/>
      <c r="BW399" s="42"/>
      <c r="BX399" s="758"/>
      <c r="BY399" s="851"/>
      <c r="BZ399" s="851"/>
      <c r="CA399" s="851"/>
      <c r="CB399" s="851"/>
      <c r="CC399" s="851"/>
      <c r="CD399" s="851"/>
      <c r="CE399" s="851"/>
      <c r="CF399" s="851"/>
      <c r="CG399" s="97"/>
      <c r="CH399" s="647"/>
      <c r="CI399" s="97"/>
      <c r="CJ399" s="97"/>
      <c r="CK399" s="647"/>
      <c r="CL399" s="469" t="s">
        <v>1841</v>
      </c>
      <c r="CM399" s="647"/>
      <c r="CN399" s="97"/>
      <c r="CO399" s="97"/>
      <c r="CP399" s="97"/>
      <c r="CQ399" s="97"/>
      <c r="CR399" s="638"/>
      <c r="CS399" s="647"/>
      <c r="CU399" s="23"/>
      <c r="CV399" s="23"/>
      <c r="CW399" s="23"/>
      <c r="CX399" s="23"/>
      <c r="DA399" s="648"/>
    </row>
    <row r="400" spans="1:105" s="35" customFormat="1" ht="12" customHeight="1" x14ac:dyDescent="0.2">
      <c r="A400" s="651"/>
      <c r="B400" s="537"/>
      <c r="C400" s="390" t="s">
        <v>188</v>
      </c>
      <c r="D400" s="237" t="s">
        <v>1131</v>
      </c>
      <c r="E400" s="647" t="s">
        <v>909</v>
      </c>
      <c r="F400" s="647"/>
      <c r="G400" s="237"/>
      <c r="H400" s="186"/>
      <c r="I400" s="533">
        <v>2008</v>
      </c>
      <c r="J400" s="390"/>
      <c r="K400" s="390"/>
      <c r="L400" s="494" t="s">
        <v>913</v>
      </c>
      <c r="M400" s="247" t="s">
        <v>17</v>
      </c>
      <c r="N400" s="494"/>
      <c r="O400" s="98"/>
      <c r="P400" s="98"/>
      <c r="Q400" s="247"/>
      <c r="R400" s="291"/>
      <c r="S400" s="291"/>
      <c r="T400" s="291"/>
      <c r="U400" s="395">
        <v>1056</v>
      </c>
      <c r="V400" s="794"/>
      <c r="W400" s="712"/>
      <c r="X400" s="254"/>
      <c r="Y400" s="447"/>
      <c r="Z400" s="447"/>
      <c r="AA400" s="447"/>
      <c r="AB400" s="447"/>
      <c r="AC400" s="447"/>
      <c r="AD400" s="447"/>
      <c r="AE400" s="447"/>
      <c r="AF400" s="447"/>
      <c r="AG400" s="447"/>
      <c r="AH400" s="447"/>
      <c r="AI400" s="447"/>
      <c r="AJ400" s="447"/>
      <c r="AK400" s="447"/>
      <c r="AL400" s="447"/>
      <c r="AM400" s="447"/>
      <c r="AN400" s="447"/>
      <c r="AO400" s="447"/>
      <c r="AP400" s="447"/>
      <c r="AQ400" s="447"/>
      <c r="AR400" s="447"/>
      <c r="AS400" s="447"/>
      <c r="AT400" s="447"/>
      <c r="AU400" s="447"/>
      <c r="AV400" s="447"/>
      <c r="AW400" s="447"/>
      <c r="AX400" s="447"/>
      <c r="AY400" s="447"/>
      <c r="AZ400" s="447"/>
      <c r="BA400" s="447"/>
      <c r="BB400" s="447"/>
      <c r="BC400" s="447"/>
      <c r="BD400" s="447"/>
      <c r="BE400" s="271"/>
      <c r="BF400" s="271"/>
      <c r="BG400" s="447"/>
      <c r="BH400" s="447"/>
      <c r="BI400" s="442">
        <v>26</v>
      </c>
      <c r="BJ400" s="271"/>
      <c r="BK400" s="271"/>
      <c r="BL400" s="271"/>
      <c r="BM400" s="271"/>
      <c r="BN400" s="271"/>
      <c r="BO400" s="271"/>
      <c r="BP400" s="271"/>
      <c r="BQ400" s="271"/>
      <c r="BR400" s="271"/>
      <c r="BS400" s="271"/>
      <c r="BT400" s="271"/>
      <c r="BU400" s="271"/>
      <c r="BV400" s="454"/>
      <c r="BW400" s="454"/>
      <c r="BX400" s="756"/>
      <c r="BY400" s="850"/>
      <c r="BZ400" s="850"/>
      <c r="CA400" s="850"/>
      <c r="CB400" s="850"/>
      <c r="CC400" s="850"/>
      <c r="CD400" s="850"/>
      <c r="CE400" s="850"/>
      <c r="CF400" s="850"/>
      <c r="CG400" s="237" t="s">
        <v>911</v>
      </c>
      <c r="CH400" s="419" t="s">
        <v>912</v>
      </c>
      <c r="CI400" s="409">
        <v>40994</v>
      </c>
      <c r="CJ400" s="23"/>
      <c r="CK400" s="581" t="s">
        <v>1095</v>
      </c>
      <c r="CL400" s="572"/>
      <c r="CM400" s="648"/>
      <c r="CR400" s="406"/>
      <c r="CS400" s="648"/>
      <c r="CU400" s="23"/>
      <c r="CV400" s="23"/>
      <c r="CW400" s="23"/>
      <c r="CX400" s="23"/>
      <c r="DA400" s="648"/>
    </row>
    <row r="401" spans="1:105" s="35" customFormat="1" ht="12" customHeight="1" x14ac:dyDescent="0.2">
      <c r="A401" s="651"/>
      <c r="B401" s="537"/>
      <c r="C401" s="97" t="s">
        <v>80</v>
      </c>
      <c r="D401" s="169" t="s">
        <v>1134</v>
      </c>
      <c r="E401" s="647" t="s">
        <v>14</v>
      </c>
      <c r="F401" s="647"/>
      <c r="G401" s="98"/>
      <c r="H401" s="97"/>
      <c r="I401" s="166">
        <v>2000</v>
      </c>
      <c r="J401" s="571"/>
      <c r="K401" s="571"/>
      <c r="L401" s="493" t="s">
        <v>243</v>
      </c>
      <c r="M401" s="98" t="s">
        <v>15</v>
      </c>
      <c r="N401" s="494" t="s">
        <v>783</v>
      </c>
      <c r="O401" s="247" t="s">
        <v>19</v>
      </c>
      <c r="P401" s="247"/>
      <c r="Q401" s="98"/>
      <c r="R401" s="167"/>
      <c r="S401" s="167"/>
      <c r="T401" s="167"/>
      <c r="U401" s="393">
        <v>1204</v>
      </c>
      <c r="V401" s="694"/>
      <c r="W401" s="711"/>
      <c r="X401" s="167"/>
      <c r="Y401" s="446"/>
      <c r="Z401" s="446"/>
      <c r="AA401" s="446"/>
      <c r="AB401" s="446"/>
      <c r="AC401" s="446"/>
      <c r="AD401" s="446"/>
      <c r="AE401" s="446"/>
      <c r="AF401" s="446"/>
      <c r="AG401" s="446"/>
      <c r="AH401" s="446"/>
      <c r="AI401" s="446"/>
      <c r="AJ401" s="446"/>
      <c r="AK401" s="446"/>
      <c r="AL401" s="446"/>
      <c r="AM401" s="446"/>
      <c r="AN401" s="446"/>
      <c r="AO401" s="446"/>
      <c r="AP401" s="446"/>
      <c r="AQ401" s="446"/>
      <c r="AR401" s="446"/>
      <c r="AS401" s="446"/>
      <c r="AT401" s="446"/>
      <c r="AU401" s="446"/>
      <c r="AV401" s="446"/>
      <c r="AW401" s="446"/>
      <c r="AX401" s="446"/>
      <c r="AY401" s="446"/>
      <c r="AZ401" s="446"/>
      <c r="BA401" s="446"/>
      <c r="BB401" s="446"/>
      <c r="BC401" s="446"/>
      <c r="BD401" s="446"/>
      <c r="BE401" s="445"/>
      <c r="BF401" s="445"/>
      <c r="BG401" s="446"/>
      <c r="BH401" s="446"/>
      <c r="BI401" s="442">
        <v>41</v>
      </c>
      <c r="BJ401" s="445">
        <v>18</v>
      </c>
      <c r="BK401" s="445"/>
      <c r="BL401" s="445"/>
      <c r="BM401" s="445"/>
      <c r="BN401" s="445"/>
      <c r="BO401" s="445"/>
      <c r="BP401" s="445"/>
      <c r="BQ401" s="444"/>
      <c r="BR401" s="444"/>
      <c r="BS401" s="442"/>
      <c r="BT401" s="445"/>
      <c r="BU401" s="445"/>
      <c r="BV401" s="445"/>
      <c r="BW401" s="445"/>
      <c r="BX401" s="756"/>
      <c r="BY401" s="850"/>
      <c r="BZ401" s="850"/>
      <c r="CA401" s="850"/>
      <c r="CB401" s="850"/>
      <c r="CC401" s="850"/>
      <c r="CD401" s="850"/>
      <c r="CE401" s="850"/>
      <c r="CF401" s="850"/>
      <c r="CG401" s="169" t="s">
        <v>523</v>
      </c>
      <c r="CH401" s="417"/>
      <c r="CI401" s="406"/>
      <c r="CJ401" s="23"/>
      <c r="CK401" s="426" t="s">
        <v>1041</v>
      </c>
      <c r="CL401" s="572"/>
      <c r="CM401" s="648"/>
      <c r="CR401" s="406"/>
      <c r="CS401" s="648"/>
      <c r="CU401" s="23"/>
      <c r="CV401" s="23"/>
      <c r="CW401" s="23"/>
      <c r="CX401" s="23"/>
      <c r="DA401" s="648"/>
    </row>
    <row r="402" spans="1:105" s="35" customFormat="1" ht="12" customHeight="1" x14ac:dyDescent="0.2">
      <c r="A402" s="652"/>
      <c r="B402" s="469" t="s">
        <v>1815</v>
      </c>
      <c r="C402" s="390" t="s">
        <v>404</v>
      </c>
      <c r="D402" s="479" t="s">
        <v>1131</v>
      </c>
      <c r="E402" s="647" t="s">
        <v>14</v>
      </c>
      <c r="F402" s="647"/>
      <c r="G402" s="237"/>
      <c r="H402" s="186"/>
      <c r="I402" s="481" t="s">
        <v>589</v>
      </c>
      <c r="J402" s="571">
        <v>2008</v>
      </c>
      <c r="K402" s="571"/>
      <c r="L402" s="494" t="s">
        <v>244</v>
      </c>
      <c r="M402" s="247" t="s">
        <v>1837</v>
      </c>
      <c r="N402" s="494" t="s">
        <v>783</v>
      </c>
      <c r="O402" s="247" t="s">
        <v>19</v>
      </c>
      <c r="P402" s="98">
        <v>15</v>
      </c>
      <c r="Q402" s="247">
        <v>49</v>
      </c>
      <c r="R402" s="552">
        <v>29.189292543021089</v>
      </c>
      <c r="S402" s="552"/>
      <c r="T402" s="552"/>
      <c r="U402" s="553">
        <v>1729</v>
      </c>
      <c r="V402" s="794"/>
      <c r="W402" s="712"/>
      <c r="X402" s="552">
        <v>5.1904397705544758</v>
      </c>
      <c r="Y402" s="552">
        <v>19.79166666666665</v>
      </c>
      <c r="Z402" s="552">
        <v>19.444444444444454</v>
      </c>
      <c r="AA402" s="552">
        <v>25.347222222222268</v>
      </c>
      <c r="AB402" s="552">
        <v>25.347222222222268</v>
      </c>
      <c r="AC402" s="552">
        <v>20.659722222222214</v>
      </c>
      <c r="AD402" s="552">
        <v>20.312500000000007</v>
      </c>
      <c r="AE402" s="552">
        <v>15.228720324261724</v>
      </c>
      <c r="AF402" s="552">
        <v>14.533873769542577</v>
      </c>
      <c r="AG402" s="552">
        <v>5.9572006940427977</v>
      </c>
      <c r="AH402" s="552">
        <v>5.5523423944476686</v>
      </c>
      <c r="AI402" s="555"/>
      <c r="AJ402" s="555"/>
      <c r="AK402" s="555"/>
      <c r="AL402" s="555"/>
      <c r="AM402" s="552">
        <v>23.886639676113354</v>
      </c>
      <c r="AN402" s="552">
        <v>23.655292076344693</v>
      </c>
      <c r="AO402" s="552">
        <v>12.152777777777782</v>
      </c>
      <c r="AP402" s="552">
        <v>11.747685185185166</v>
      </c>
      <c r="AQ402" s="552">
        <v>19.606709080393344</v>
      </c>
      <c r="AR402" s="552">
        <v>19.375361480624683</v>
      </c>
      <c r="AS402" s="552">
        <v>14.921920185078068</v>
      </c>
      <c r="AT402" s="552">
        <v>14.574898785425114</v>
      </c>
      <c r="AU402" s="552">
        <v>8.8490456911509519</v>
      </c>
      <c r="AV402" s="552">
        <v>8.4441873915558219</v>
      </c>
      <c r="AW402" s="552">
        <v>3.5858877964141138</v>
      </c>
      <c r="AX402" s="552">
        <v>3.1231925968768115</v>
      </c>
      <c r="AY402" s="555"/>
      <c r="AZ402" s="555"/>
      <c r="BA402" s="552"/>
      <c r="BB402" s="552"/>
      <c r="BC402" s="555"/>
      <c r="BD402" s="555"/>
      <c r="BE402" s="552"/>
      <c r="BF402" s="552"/>
      <c r="BG402" s="552"/>
      <c r="BH402" s="552"/>
      <c r="BI402" s="552">
        <v>29.207634470792389</v>
      </c>
      <c r="BJ402" s="552">
        <v>28.976286871023728</v>
      </c>
      <c r="BK402" s="552"/>
      <c r="BL402" s="552"/>
      <c r="BM402" s="552">
        <v>6.3042220936957793</v>
      </c>
      <c r="BN402" s="552">
        <v>5.9572006940427915</v>
      </c>
      <c r="BO402" s="552">
        <v>3.9329091960670959</v>
      </c>
      <c r="BP402" s="552">
        <v>3.4702139965297878</v>
      </c>
      <c r="BQ402" s="552"/>
      <c r="BR402" s="42"/>
      <c r="BS402" s="42"/>
      <c r="BT402" s="42"/>
      <c r="BU402" s="42">
        <v>12</v>
      </c>
      <c r="BV402" s="42"/>
      <c r="BW402" s="42"/>
      <c r="BX402" s="758"/>
      <c r="BY402" s="851"/>
      <c r="BZ402" s="851"/>
      <c r="CA402" s="851"/>
      <c r="CB402" s="851"/>
      <c r="CC402" s="851"/>
      <c r="CD402" s="851"/>
      <c r="CE402" s="851"/>
      <c r="CF402" s="851"/>
      <c r="CG402" s="97"/>
      <c r="CH402" s="647"/>
      <c r="CI402" s="97"/>
      <c r="CJ402" s="97"/>
      <c r="CK402" s="647"/>
      <c r="CL402" s="469" t="s">
        <v>1841</v>
      </c>
      <c r="CM402" s="648" t="s">
        <v>591</v>
      </c>
      <c r="CN402" s="97"/>
      <c r="CO402" s="97"/>
      <c r="CP402" s="97"/>
      <c r="CQ402" s="97"/>
      <c r="CR402" s="638"/>
      <c r="CS402" s="647"/>
      <c r="CU402" s="23"/>
      <c r="CV402" s="23"/>
      <c r="CW402" s="23"/>
      <c r="CX402" s="23"/>
      <c r="DA402" s="648"/>
    </row>
    <row r="403" spans="1:105" s="35" customFormat="1" ht="12" customHeight="1" x14ac:dyDescent="0.2">
      <c r="A403" s="651"/>
      <c r="B403" s="537"/>
      <c r="C403" s="97" t="s">
        <v>189</v>
      </c>
      <c r="D403" s="169" t="s">
        <v>1125</v>
      </c>
      <c r="E403" s="647" t="s">
        <v>562</v>
      </c>
      <c r="F403" s="647"/>
      <c r="G403" s="98"/>
      <c r="H403" s="97"/>
      <c r="I403" s="166"/>
      <c r="J403" s="571"/>
      <c r="K403" s="571"/>
      <c r="L403" s="494"/>
      <c r="M403" s="98" t="s">
        <v>646</v>
      </c>
      <c r="N403" s="494"/>
      <c r="O403" s="237" t="s">
        <v>577</v>
      </c>
      <c r="P403" s="237"/>
      <c r="Q403" s="98"/>
      <c r="R403" s="167"/>
      <c r="S403" s="167"/>
      <c r="T403" s="167"/>
      <c r="U403" s="397">
        <v>230</v>
      </c>
      <c r="V403" s="694"/>
      <c r="W403" s="713"/>
      <c r="X403" s="167"/>
      <c r="Y403" s="472"/>
      <c r="Z403" s="472"/>
      <c r="AA403" s="472"/>
      <c r="AB403" s="472"/>
      <c r="AC403" s="472"/>
      <c r="AD403" s="472"/>
      <c r="AE403" s="472"/>
      <c r="AF403" s="472"/>
      <c r="AG403" s="472"/>
      <c r="AH403" s="472"/>
      <c r="AI403" s="472"/>
      <c r="AJ403" s="472"/>
      <c r="AK403" s="472"/>
      <c r="AL403" s="472"/>
      <c r="AM403" s="472"/>
      <c r="AN403" s="472"/>
      <c r="AO403" s="472"/>
      <c r="AP403" s="472"/>
      <c r="AQ403" s="472"/>
      <c r="AR403" s="472"/>
      <c r="AS403" s="472"/>
      <c r="AT403" s="472"/>
      <c r="AU403" s="472"/>
      <c r="AV403" s="472"/>
      <c r="AW403" s="472"/>
      <c r="AX403" s="472"/>
      <c r="AY403" s="472"/>
      <c r="AZ403" s="472"/>
      <c r="BA403" s="472"/>
      <c r="BB403" s="472"/>
      <c r="BC403" s="472"/>
      <c r="BD403" s="472"/>
      <c r="BE403" s="442"/>
      <c r="BF403" s="442"/>
      <c r="BG403" s="472"/>
      <c r="BH403" s="472"/>
      <c r="BI403" s="442"/>
      <c r="BJ403" s="442"/>
      <c r="BK403" s="442"/>
      <c r="BL403" s="442"/>
      <c r="BM403" s="442"/>
      <c r="BN403" s="442"/>
      <c r="BO403" s="442"/>
      <c r="BP403" s="442"/>
      <c r="BQ403" s="442"/>
      <c r="BR403" s="442"/>
      <c r="BS403" s="442">
        <v>41</v>
      </c>
      <c r="BT403" s="271"/>
      <c r="BU403" s="271"/>
      <c r="BV403" s="454"/>
      <c r="BW403" s="454"/>
      <c r="BX403" s="762"/>
      <c r="BY403" s="857"/>
      <c r="BZ403" s="857"/>
      <c r="CA403" s="857"/>
      <c r="CB403" s="857"/>
      <c r="CC403" s="857"/>
      <c r="CD403" s="857"/>
      <c r="CE403" s="857"/>
      <c r="CF403" s="857"/>
      <c r="CG403" s="169" t="s">
        <v>981</v>
      </c>
      <c r="CH403" s="429"/>
      <c r="CI403" s="406"/>
      <c r="CJ403" s="139"/>
      <c r="CK403" s="648" t="s">
        <v>1118</v>
      </c>
      <c r="CL403" s="572" t="s">
        <v>1119</v>
      </c>
      <c r="CM403" s="648"/>
      <c r="CR403" s="406"/>
      <c r="CS403" s="648"/>
      <c r="CU403" s="23"/>
      <c r="CV403" s="23"/>
      <c r="CW403" s="23"/>
      <c r="CX403" s="23"/>
      <c r="DA403" s="648"/>
    </row>
    <row r="404" spans="1:105" s="35" customFormat="1" ht="12" customHeight="1" x14ac:dyDescent="0.2">
      <c r="A404" s="651"/>
      <c r="B404" s="537"/>
      <c r="C404" s="186" t="s">
        <v>501</v>
      </c>
      <c r="D404" s="169" t="s">
        <v>1131</v>
      </c>
      <c r="E404" s="647" t="s">
        <v>14</v>
      </c>
      <c r="F404" s="647"/>
      <c r="G404" s="237"/>
      <c r="H404" s="186"/>
      <c r="I404" s="166"/>
      <c r="J404" s="390"/>
      <c r="K404" s="390"/>
      <c r="L404" s="493"/>
      <c r="M404" s="98"/>
      <c r="N404" s="493"/>
      <c r="O404" s="237"/>
      <c r="P404" s="237"/>
      <c r="Q404" s="237"/>
      <c r="R404" s="254"/>
      <c r="S404" s="254"/>
      <c r="T404" s="254"/>
      <c r="U404" s="393">
        <v>999999999</v>
      </c>
      <c r="V404" s="694"/>
      <c r="W404" s="711"/>
      <c r="X404" s="254"/>
      <c r="Y404" s="446"/>
      <c r="Z404" s="446"/>
      <c r="AA404" s="446"/>
      <c r="AB404" s="446"/>
      <c r="AC404" s="446"/>
      <c r="AD404" s="446"/>
      <c r="AE404" s="446"/>
      <c r="AF404" s="446"/>
      <c r="AG404" s="446"/>
      <c r="AH404" s="446"/>
      <c r="AI404" s="446"/>
      <c r="AJ404" s="446"/>
      <c r="AK404" s="446"/>
      <c r="AL404" s="446"/>
      <c r="AM404" s="446"/>
      <c r="AN404" s="446"/>
      <c r="AO404" s="446"/>
      <c r="AP404" s="446"/>
      <c r="AQ404" s="446"/>
      <c r="AR404" s="446"/>
      <c r="AS404" s="446"/>
      <c r="AT404" s="446"/>
      <c r="AU404" s="446"/>
      <c r="AV404" s="446"/>
      <c r="AW404" s="446"/>
      <c r="AX404" s="446"/>
      <c r="AY404" s="446"/>
      <c r="AZ404" s="446"/>
      <c r="BA404" s="446"/>
      <c r="BB404" s="446"/>
      <c r="BC404" s="446"/>
      <c r="BD404" s="446"/>
      <c r="BE404" s="442"/>
      <c r="BF404" s="442"/>
      <c r="BG404" s="446"/>
      <c r="BH404" s="446"/>
      <c r="BI404" s="442"/>
      <c r="BJ404" s="442"/>
      <c r="BK404" s="442"/>
      <c r="BL404" s="442"/>
      <c r="BM404" s="442"/>
      <c r="BN404" s="442"/>
      <c r="BO404" s="442"/>
      <c r="BP404" s="442"/>
      <c r="BQ404" s="442"/>
      <c r="BR404" s="442"/>
      <c r="BS404" s="442">
        <f>27+28</f>
        <v>55</v>
      </c>
      <c r="BT404" s="271"/>
      <c r="BU404" s="271"/>
      <c r="BV404" s="454"/>
      <c r="BW404" s="454"/>
      <c r="BX404" s="756"/>
      <c r="BY404" s="850"/>
      <c r="BZ404" s="850"/>
      <c r="CA404" s="850"/>
      <c r="CB404" s="850"/>
      <c r="CC404" s="850"/>
      <c r="CD404" s="850"/>
      <c r="CE404" s="850"/>
      <c r="CF404" s="850"/>
      <c r="CG404" s="169" t="s">
        <v>883</v>
      </c>
      <c r="CH404" s="419" t="s">
        <v>884</v>
      </c>
      <c r="CI404" s="404"/>
      <c r="CJ404" s="23"/>
      <c r="CK404" s="648"/>
      <c r="CL404" s="572"/>
      <c r="CM404" s="431"/>
      <c r="CN404" s="128"/>
      <c r="CO404" s="128"/>
      <c r="CP404" s="128"/>
      <c r="CQ404" s="128"/>
      <c r="CR404" s="406"/>
      <c r="CS404" s="431"/>
      <c r="CU404" s="23"/>
      <c r="CV404" s="23"/>
      <c r="CW404" s="23"/>
      <c r="CX404" s="23"/>
      <c r="DA404" s="648"/>
    </row>
    <row r="405" spans="1:105" s="35" customFormat="1" ht="12" customHeight="1" x14ac:dyDescent="0.2">
      <c r="A405" s="652"/>
      <c r="B405" s="469" t="s">
        <v>1831</v>
      </c>
      <c r="C405" s="390" t="s">
        <v>191</v>
      </c>
      <c r="D405" s="237" t="s">
        <v>1131</v>
      </c>
      <c r="E405" s="647" t="s">
        <v>14</v>
      </c>
      <c r="F405" s="647"/>
      <c r="G405" s="237"/>
      <c r="H405" s="186"/>
      <c r="I405" s="166">
        <v>2013</v>
      </c>
      <c r="J405" s="571">
        <v>2013</v>
      </c>
      <c r="K405" s="571"/>
      <c r="L405" s="494" t="s">
        <v>244</v>
      </c>
      <c r="M405" s="247" t="s">
        <v>1837</v>
      </c>
      <c r="N405" s="494" t="s">
        <v>783</v>
      </c>
      <c r="O405" s="247" t="s">
        <v>19</v>
      </c>
      <c r="P405" s="98">
        <v>15</v>
      </c>
      <c r="Q405" s="247">
        <v>49</v>
      </c>
      <c r="R405" s="552">
        <v>28.267619161964209</v>
      </c>
      <c r="S405" s="552"/>
      <c r="T405" s="552"/>
      <c r="U405" s="553">
        <v>4309</v>
      </c>
      <c r="V405" s="794"/>
      <c r="W405" s="712"/>
      <c r="X405" s="552">
        <v>3.6378771486957677</v>
      </c>
      <c r="Y405" s="566">
        <v>20.821727019498582</v>
      </c>
      <c r="Z405" s="566">
        <v>14.647168059424356</v>
      </c>
      <c r="AA405" s="566">
        <v>27.931274669143225</v>
      </c>
      <c r="AB405" s="566">
        <v>27.931274669143225</v>
      </c>
      <c r="AC405" s="566">
        <v>19.883855981416939</v>
      </c>
      <c r="AD405" s="566">
        <v>14.169570267131251</v>
      </c>
      <c r="AE405" s="566">
        <v>10.545876887340315</v>
      </c>
      <c r="AF405" s="566">
        <v>7.3635307781649155</v>
      </c>
      <c r="AG405" s="566">
        <v>1.2772875058058495</v>
      </c>
      <c r="AH405" s="566">
        <v>0.78959591267998186</v>
      </c>
      <c r="AI405" s="568"/>
      <c r="AJ405" s="568"/>
      <c r="AK405" s="568"/>
      <c r="AL405" s="568"/>
      <c r="AM405" s="566">
        <v>37.372330547818038</v>
      </c>
      <c r="AN405" s="566">
        <v>22.725162488393654</v>
      </c>
      <c r="AO405" s="566">
        <v>11.036245353159828</v>
      </c>
      <c r="AP405" s="566">
        <v>7.2490706319702642</v>
      </c>
      <c r="AQ405" s="566">
        <v>21.123491179201601</v>
      </c>
      <c r="AR405" s="566">
        <v>13.695450324976779</v>
      </c>
      <c r="AS405" s="566">
        <v>8.8037166085946748</v>
      </c>
      <c r="AT405" s="566">
        <v>5.4587688734030309</v>
      </c>
      <c r="AU405" s="566">
        <v>21.319089642359458</v>
      </c>
      <c r="AV405" s="566">
        <v>11.007895959126817</v>
      </c>
      <c r="AW405" s="566">
        <v>3.1351602415234487</v>
      </c>
      <c r="AX405" s="566">
        <v>1.9507663725034838</v>
      </c>
      <c r="AY405" s="568"/>
      <c r="AZ405" s="568"/>
      <c r="BA405" s="566"/>
      <c r="BB405" s="566"/>
      <c r="BC405" s="568"/>
      <c r="BD405" s="568"/>
      <c r="BE405" s="566"/>
      <c r="BF405" s="566"/>
      <c r="BG405" s="566"/>
      <c r="BH405" s="566"/>
      <c r="BI405" s="566">
        <v>43.095845903922047</v>
      </c>
      <c r="BJ405" s="566">
        <v>27.222093293107434</v>
      </c>
      <c r="BK405" s="566"/>
      <c r="BL405" s="566"/>
      <c r="BM405" s="566">
        <v>5.7594054807245785</v>
      </c>
      <c r="BN405" s="566">
        <v>4.2034370645610668</v>
      </c>
      <c r="BO405" s="566">
        <v>2.2764227642276387</v>
      </c>
      <c r="BP405" s="566">
        <v>1.7421602787456452</v>
      </c>
      <c r="BQ405" s="566"/>
      <c r="BR405" s="566"/>
      <c r="BS405" s="566"/>
      <c r="BT405" s="566"/>
      <c r="BU405" s="566">
        <v>12</v>
      </c>
      <c r="BV405" s="566"/>
      <c r="BW405" s="566"/>
      <c r="BX405" s="759">
        <v>1.5167930660888373</v>
      </c>
      <c r="BY405" s="852"/>
      <c r="BZ405" s="852"/>
      <c r="CA405" s="852"/>
      <c r="CB405" s="852"/>
      <c r="CC405" s="852"/>
      <c r="CD405" s="852"/>
      <c r="CE405" s="852"/>
      <c r="CF405" s="852"/>
      <c r="CG405" s="97"/>
      <c r="CH405" s="647"/>
      <c r="CI405" s="97"/>
      <c r="CJ405" s="97"/>
      <c r="CK405" s="647"/>
      <c r="CL405" s="469" t="s">
        <v>1841</v>
      </c>
      <c r="CM405" s="647"/>
      <c r="CN405" s="97"/>
      <c r="CO405" s="97"/>
      <c r="CP405" s="97"/>
      <c r="CQ405" s="97"/>
      <c r="CR405" s="638"/>
      <c r="CS405" s="647"/>
      <c r="CU405" s="23"/>
      <c r="CV405" s="23"/>
      <c r="CW405" s="23"/>
      <c r="CX405" s="23"/>
      <c r="DA405" s="648"/>
    </row>
    <row r="406" spans="1:105" s="35" customFormat="1" ht="12" customHeight="1" x14ac:dyDescent="0.2">
      <c r="A406" s="652"/>
      <c r="B406" s="469" t="s">
        <v>1831</v>
      </c>
      <c r="C406" s="390" t="s">
        <v>191</v>
      </c>
      <c r="D406" s="237" t="s">
        <v>1131</v>
      </c>
      <c r="E406" s="647" t="s">
        <v>14</v>
      </c>
      <c r="F406" s="647"/>
      <c r="G406" s="237"/>
      <c r="H406" s="186"/>
      <c r="I406" s="166">
        <v>2013</v>
      </c>
      <c r="J406" s="571">
        <v>2013</v>
      </c>
      <c r="K406" s="571"/>
      <c r="L406" s="494" t="s">
        <v>244</v>
      </c>
      <c r="M406" s="247" t="s">
        <v>289</v>
      </c>
      <c r="N406" s="494" t="s">
        <v>783</v>
      </c>
      <c r="O406" s="247" t="s">
        <v>19</v>
      </c>
      <c r="P406" s="98">
        <v>15</v>
      </c>
      <c r="Q406" s="247">
        <v>49</v>
      </c>
      <c r="R406" s="552">
        <v>28.267619161964209</v>
      </c>
      <c r="S406" s="552"/>
      <c r="T406" s="552"/>
      <c r="U406" s="553">
        <v>3091</v>
      </c>
      <c r="V406" s="794"/>
      <c r="W406" s="712"/>
      <c r="X406" s="552">
        <v>3.6378771486957677</v>
      </c>
      <c r="Y406" s="566">
        <v>23.809523809523821</v>
      </c>
      <c r="Z406" s="566">
        <v>19.787644787644759</v>
      </c>
      <c r="AA406" s="566">
        <v>28.314028314028317</v>
      </c>
      <c r="AB406" s="566">
        <v>28.314028314028317</v>
      </c>
      <c r="AC406" s="566">
        <v>22.039897039896999</v>
      </c>
      <c r="AD406" s="566">
        <v>18.854568854568889</v>
      </c>
      <c r="AE406" s="566">
        <v>12.934362934362982</v>
      </c>
      <c r="AF406" s="566">
        <v>10.167310167310157</v>
      </c>
      <c r="AG406" s="566">
        <v>5.8558558558558591</v>
      </c>
      <c r="AH406" s="566">
        <v>4.4723294723294851</v>
      </c>
      <c r="AI406" s="568"/>
      <c r="AJ406" s="568"/>
      <c r="AK406" s="568"/>
      <c r="AL406" s="568"/>
      <c r="AM406" s="566">
        <v>10.653363373028654</v>
      </c>
      <c r="AN406" s="566">
        <v>6.8554876086256851</v>
      </c>
      <c r="AO406" s="566">
        <v>2.3487773487773507</v>
      </c>
      <c r="AP406" s="566">
        <v>1.8339768339768365</v>
      </c>
      <c r="AQ406" s="566">
        <v>15.411840411840382</v>
      </c>
      <c r="AR406" s="566">
        <v>10.746460746460759</v>
      </c>
      <c r="AS406" s="566">
        <v>5.0514800514800475</v>
      </c>
      <c r="AT406" s="566">
        <v>3.7966537966537945</v>
      </c>
      <c r="AU406" s="566">
        <v>2.2529771483746432</v>
      </c>
      <c r="AV406" s="566">
        <v>1.8345671065336313</v>
      </c>
      <c r="AW406" s="566">
        <v>7.4002574002574022</v>
      </c>
      <c r="AX406" s="566">
        <v>6.0489060489060469</v>
      </c>
      <c r="AY406" s="568"/>
      <c r="AZ406" s="568"/>
      <c r="BA406" s="566"/>
      <c r="BB406" s="566"/>
      <c r="BC406" s="568"/>
      <c r="BD406" s="568"/>
      <c r="BE406" s="566"/>
      <c r="BF406" s="566"/>
      <c r="BG406" s="566"/>
      <c r="BH406" s="566"/>
      <c r="BI406" s="566">
        <v>28.437398900032392</v>
      </c>
      <c r="BJ406" s="566">
        <v>50.056882821387966</v>
      </c>
      <c r="BK406" s="566"/>
      <c r="BL406" s="566"/>
      <c r="BM406" s="566">
        <v>2.8314028314028361</v>
      </c>
      <c r="BN406" s="566">
        <v>2.3809523809523783</v>
      </c>
      <c r="BO406" s="568"/>
      <c r="BP406" s="568"/>
      <c r="BQ406" s="566"/>
      <c r="BR406" s="566"/>
      <c r="BS406" s="566"/>
      <c r="BT406" s="566"/>
      <c r="BU406" s="566">
        <v>12</v>
      </c>
      <c r="BV406" s="566"/>
      <c r="BW406" s="566"/>
      <c r="BX406" s="760"/>
      <c r="BY406" s="853"/>
      <c r="BZ406" s="853"/>
      <c r="CA406" s="853"/>
      <c r="CB406" s="853"/>
      <c r="CC406" s="853"/>
      <c r="CD406" s="853"/>
      <c r="CE406" s="853"/>
      <c r="CF406" s="853"/>
      <c r="CG406" s="97"/>
      <c r="CH406" s="647"/>
      <c r="CI406" s="97"/>
      <c r="CJ406" s="97"/>
      <c r="CK406" s="647"/>
      <c r="CL406" s="469" t="s">
        <v>1842</v>
      </c>
      <c r="CM406" s="647"/>
      <c r="CN406" s="97"/>
      <c r="CO406" s="97"/>
      <c r="CP406" s="97"/>
      <c r="CQ406" s="97"/>
      <c r="CR406" s="638"/>
      <c r="CS406" s="647"/>
      <c r="CU406" s="23"/>
      <c r="CV406" s="23"/>
      <c r="CW406" s="23"/>
      <c r="CX406" s="23"/>
      <c r="DA406" s="648"/>
    </row>
    <row r="407" spans="1:105" s="35" customFormat="1" ht="12" customHeight="1" x14ac:dyDescent="0.2">
      <c r="A407" s="651"/>
      <c r="B407" s="537"/>
      <c r="C407" s="97" t="s">
        <v>191</v>
      </c>
      <c r="D407" s="169" t="s">
        <v>1131</v>
      </c>
      <c r="E407" s="647" t="s">
        <v>634</v>
      </c>
      <c r="F407" s="647"/>
      <c r="G407" s="98"/>
      <c r="H407" s="97"/>
      <c r="I407" s="166">
        <v>2009</v>
      </c>
      <c r="J407" s="571"/>
      <c r="K407" s="571"/>
      <c r="L407" s="493"/>
      <c r="M407" s="98"/>
      <c r="N407" s="493"/>
      <c r="O407" s="247" t="s">
        <v>19</v>
      </c>
      <c r="P407" s="247"/>
      <c r="Q407" s="98"/>
      <c r="R407" s="167"/>
      <c r="S407" s="167"/>
      <c r="T407" s="167"/>
      <c r="U407" s="393">
        <v>605</v>
      </c>
      <c r="V407" s="694"/>
      <c r="W407" s="711"/>
      <c r="X407" s="167"/>
      <c r="Y407" s="446"/>
      <c r="Z407" s="446"/>
      <c r="AA407" s="446"/>
      <c r="AB407" s="446"/>
      <c r="AC407" s="446"/>
      <c r="AD407" s="446"/>
      <c r="AE407" s="446"/>
      <c r="AF407" s="446"/>
      <c r="AG407" s="446"/>
      <c r="AH407" s="446"/>
      <c r="AI407" s="446"/>
      <c r="AJ407" s="446"/>
      <c r="AK407" s="446"/>
      <c r="AL407" s="446"/>
      <c r="AM407" s="446"/>
      <c r="AN407" s="446"/>
      <c r="AO407" s="446"/>
      <c r="AP407" s="446"/>
      <c r="AQ407" s="446"/>
      <c r="AR407" s="446"/>
      <c r="AS407" s="446"/>
      <c r="AT407" s="446"/>
      <c r="AU407" s="446"/>
      <c r="AV407" s="446"/>
      <c r="AW407" s="446"/>
      <c r="AX407" s="446"/>
      <c r="AY407" s="446"/>
      <c r="AZ407" s="446"/>
      <c r="BA407" s="446"/>
      <c r="BB407" s="446"/>
      <c r="BC407" s="446"/>
      <c r="BD407" s="446"/>
      <c r="BE407" s="442"/>
      <c r="BF407" s="442"/>
      <c r="BG407" s="446"/>
      <c r="BH407" s="446"/>
      <c r="BI407" s="442"/>
      <c r="BJ407" s="442"/>
      <c r="BK407" s="442"/>
      <c r="BL407" s="442"/>
      <c r="BM407" s="442"/>
      <c r="BN407" s="442"/>
      <c r="BO407" s="442"/>
      <c r="BP407" s="442"/>
      <c r="BQ407" s="442"/>
      <c r="BR407" s="442"/>
      <c r="BS407" s="442">
        <v>28</v>
      </c>
      <c r="BT407" s="446"/>
      <c r="BU407" s="446"/>
      <c r="BV407" s="442"/>
      <c r="BW407" s="442"/>
      <c r="BX407" s="756"/>
      <c r="BY407" s="850"/>
      <c r="BZ407" s="850"/>
      <c r="CA407" s="850"/>
      <c r="CB407" s="850"/>
      <c r="CC407" s="850"/>
      <c r="CD407" s="850"/>
      <c r="CE407" s="850"/>
      <c r="CF407" s="850"/>
      <c r="CG407" s="169" t="s">
        <v>337</v>
      </c>
      <c r="CH407" s="419" t="s">
        <v>1096</v>
      </c>
      <c r="CI407" s="406"/>
      <c r="CJ407" s="23"/>
      <c r="CK407" s="648"/>
      <c r="CL407" s="572" t="s">
        <v>514</v>
      </c>
      <c r="CM407" s="431"/>
      <c r="CN407" s="128"/>
      <c r="CO407" s="128"/>
      <c r="CP407" s="128"/>
      <c r="CQ407" s="128"/>
      <c r="CR407" s="406"/>
      <c r="CS407" s="431"/>
      <c r="CU407" s="23"/>
      <c r="CV407" s="23"/>
      <c r="CW407" s="23"/>
      <c r="CX407" s="23"/>
      <c r="DA407" s="648"/>
    </row>
    <row r="408" spans="1:105" s="35" customFormat="1" ht="12" customHeight="1" x14ac:dyDescent="0.2">
      <c r="A408" s="651"/>
      <c r="B408" s="537"/>
      <c r="C408" s="97" t="s">
        <v>192</v>
      </c>
      <c r="D408" s="169" t="s">
        <v>1125</v>
      </c>
      <c r="E408" s="647" t="s">
        <v>14</v>
      </c>
      <c r="F408" s="647"/>
      <c r="G408" s="237"/>
      <c r="H408" s="186"/>
      <c r="I408" s="166">
        <v>2009</v>
      </c>
      <c r="J408" s="390"/>
      <c r="K408" s="390"/>
      <c r="L408" s="493" t="s">
        <v>258</v>
      </c>
      <c r="M408" s="237" t="s">
        <v>17</v>
      </c>
      <c r="N408" s="494" t="s">
        <v>783</v>
      </c>
      <c r="O408" s="237"/>
      <c r="P408" s="237"/>
      <c r="Q408" s="237"/>
      <c r="R408" s="254"/>
      <c r="S408" s="254"/>
      <c r="T408" s="254"/>
      <c r="U408" s="393">
        <v>2006</v>
      </c>
      <c r="V408" s="694"/>
      <c r="W408" s="711"/>
      <c r="X408" s="254"/>
      <c r="Y408" s="446"/>
      <c r="Z408" s="446"/>
      <c r="AA408" s="446"/>
      <c r="AB408" s="446"/>
      <c r="AC408" s="446"/>
      <c r="AD408" s="446"/>
      <c r="AE408" s="446"/>
      <c r="AF408" s="446"/>
      <c r="AG408" s="446"/>
      <c r="AH408" s="446"/>
      <c r="AI408" s="446"/>
      <c r="AJ408" s="446"/>
      <c r="AK408" s="446"/>
      <c r="AL408" s="446"/>
      <c r="AM408" s="446"/>
      <c r="AN408" s="446"/>
      <c r="AO408" s="446"/>
      <c r="AP408" s="446"/>
      <c r="AQ408" s="446"/>
      <c r="AR408" s="446"/>
      <c r="AS408" s="446"/>
      <c r="AT408" s="446"/>
      <c r="AU408" s="446"/>
      <c r="AV408" s="446"/>
      <c r="AW408" s="446"/>
      <c r="AX408" s="446"/>
      <c r="AY408" s="446"/>
      <c r="AZ408" s="446"/>
      <c r="BA408" s="446"/>
      <c r="BB408" s="446"/>
      <c r="BC408" s="446"/>
      <c r="BD408" s="446"/>
      <c r="BE408" s="446"/>
      <c r="BF408" s="446"/>
      <c r="BG408" s="446"/>
      <c r="BH408" s="446"/>
      <c r="BI408" s="445"/>
      <c r="BJ408" s="446"/>
      <c r="BK408" s="446"/>
      <c r="BL408" s="446"/>
      <c r="BM408" s="446"/>
      <c r="BN408" s="446"/>
      <c r="BO408" s="446"/>
      <c r="BP408" s="446"/>
      <c r="BQ408" s="442">
        <v>9.1999999999999993</v>
      </c>
      <c r="BR408" s="271"/>
      <c r="BS408" s="271"/>
      <c r="BT408" s="271"/>
      <c r="BU408" s="271"/>
      <c r="BV408" s="454"/>
      <c r="BW408" s="454"/>
      <c r="BX408" s="756"/>
      <c r="BY408" s="850"/>
      <c r="BZ408" s="850"/>
      <c r="CA408" s="850"/>
      <c r="CB408" s="850"/>
      <c r="CC408" s="850"/>
      <c r="CD408" s="850"/>
      <c r="CE408" s="850"/>
      <c r="CF408" s="850"/>
      <c r="CG408" s="169" t="s">
        <v>339</v>
      </c>
      <c r="CH408" s="419" t="s">
        <v>614</v>
      </c>
      <c r="CI408" s="406"/>
      <c r="CJ408" s="23"/>
      <c r="CK408" s="648" t="s">
        <v>592</v>
      </c>
      <c r="CL408" s="572"/>
      <c r="CM408" s="648"/>
      <c r="CR408" s="406"/>
      <c r="CS408" s="648"/>
      <c r="CU408" s="23"/>
      <c r="CV408" s="23"/>
      <c r="CW408" s="23"/>
      <c r="CX408" s="23"/>
      <c r="DA408" s="648"/>
    </row>
    <row r="409" spans="1:105" s="35" customFormat="1" ht="12" customHeight="1" x14ac:dyDescent="0.2">
      <c r="A409" s="651"/>
      <c r="B409" s="537"/>
      <c r="C409" s="97" t="s">
        <v>406</v>
      </c>
      <c r="D409" s="169" t="s">
        <v>1130</v>
      </c>
      <c r="E409" s="647" t="s">
        <v>14</v>
      </c>
      <c r="F409" s="647"/>
      <c r="G409" s="237"/>
      <c r="H409" s="186"/>
      <c r="I409" s="166">
        <v>2003</v>
      </c>
      <c r="J409" s="390"/>
      <c r="K409" s="390"/>
      <c r="L409" s="493"/>
      <c r="M409" s="237" t="s">
        <v>15</v>
      </c>
      <c r="N409" s="493"/>
      <c r="O409" s="237" t="s">
        <v>577</v>
      </c>
      <c r="P409" s="237"/>
      <c r="Q409" s="237"/>
      <c r="R409" s="254"/>
      <c r="S409" s="254"/>
      <c r="T409" s="254"/>
      <c r="U409" s="393"/>
      <c r="V409" s="694"/>
      <c r="W409" s="711"/>
      <c r="X409" s="254"/>
      <c r="Y409" s="446"/>
      <c r="Z409" s="446"/>
      <c r="AA409" s="446"/>
      <c r="AB409" s="446"/>
      <c r="AC409" s="446"/>
      <c r="AD409" s="446"/>
      <c r="AE409" s="446"/>
      <c r="AF409" s="446"/>
      <c r="AG409" s="446"/>
      <c r="AH409" s="446"/>
      <c r="AI409" s="446"/>
      <c r="AJ409" s="446"/>
      <c r="AK409" s="446"/>
      <c r="AL409" s="446"/>
      <c r="AM409" s="446"/>
      <c r="AN409" s="446"/>
      <c r="AO409" s="446"/>
      <c r="AP409" s="446"/>
      <c r="AQ409" s="446"/>
      <c r="AR409" s="446"/>
      <c r="AS409" s="446"/>
      <c r="AT409" s="446"/>
      <c r="AU409" s="446"/>
      <c r="AV409" s="446"/>
      <c r="AW409" s="446"/>
      <c r="AX409" s="446"/>
      <c r="AY409" s="446"/>
      <c r="AZ409" s="446"/>
      <c r="BA409" s="446"/>
      <c r="BB409" s="446"/>
      <c r="BC409" s="446"/>
      <c r="BD409" s="446"/>
      <c r="BE409" s="445"/>
      <c r="BF409" s="445"/>
      <c r="BG409" s="446"/>
      <c r="BH409" s="446"/>
      <c r="BI409" s="445"/>
      <c r="BJ409" s="445"/>
      <c r="BK409" s="445"/>
      <c r="BL409" s="445"/>
      <c r="BM409" s="445"/>
      <c r="BN409" s="445"/>
      <c r="BO409" s="445"/>
      <c r="BP409" s="445"/>
      <c r="BQ409" s="442">
        <v>29.3</v>
      </c>
      <c r="BR409" s="444"/>
      <c r="BS409" s="442"/>
      <c r="BT409" s="445"/>
      <c r="BU409" s="445"/>
      <c r="BV409" s="445"/>
      <c r="BW409" s="445"/>
      <c r="BX409" s="756"/>
      <c r="BY409" s="850"/>
      <c r="BZ409" s="850"/>
      <c r="CA409" s="850"/>
      <c r="CB409" s="850"/>
      <c r="CC409" s="850"/>
      <c r="CD409" s="850"/>
      <c r="CE409" s="850"/>
      <c r="CF409" s="850"/>
      <c r="CG409" s="169" t="s">
        <v>340</v>
      </c>
      <c r="CH409" s="419" t="s">
        <v>1100</v>
      </c>
      <c r="CI409" s="406"/>
      <c r="CJ409" s="23"/>
      <c r="CK409" s="648" t="s">
        <v>622</v>
      </c>
      <c r="CL409" s="572" t="s">
        <v>623</v>
      </c>
      <c r="CM409" s="648"/>
      <c r="CR409" s="406"/>
      <c r="CS409" s="648"/>
      <c r="CU409" s="23"/>
      <c r="CV409" s="23"/>
      <c r="CW409" s="23"/>
      <c r="CX409" s="23"/>
      <c r="DA409" s="648"/>
    </row>
    <row r="410" spans="1:105" s="35" customFormat="1" ht="12" customHeight="1" x14ac:dyDescent="0.2">
      <c r="A410" s="651"/>
      <c r="B410" s="537"/>
      <c r="C410" s="97" t="s">
        <v>406</v>
      </c>
      <c r="D410" s="169" t="s">
        <v>1130</v>
      </c>
      <c r="E410" s="647" t="s">
        <v>14</v>
      </c>
      <c r="F410" s="647"/>
      <c r="G410" s="237"/>
      <c r="H410" s="186"/>
      <c r="I410" s="166">
        <v>2008</v>
      </c>
      <c r="J410" s="390"/>
      <c r="K410" s="390"/>
      <c r="L410" s="493"/>
      <c r="M410" s="237" t="s">
        <v>17</v>
      </c>
      <c r="N410" s="493"/>
      <c r="O410" s="98" t="s">
        <v>19</v>
      </c>
      <c r="P410" s="98"/>
      <c r="Q410" s="237"/>
      <c r="R410" s="254"/>
      <c r="S410" s="254"/>
      <c r="T410" s="254"/>
      <c r="U410" s="393">
        <v>827</v>
      </c>
      <c r="V410" s="694"/>
      <c r="W410" s="711"/>
      <c r="X410" s="254"/>
      <c r="Y410" s="446"/>
      <c r="Z410" s="446"/>
      <c r="AA410" s="446"/>
      <c r="AB410" s="446"/>
      <c r="AC410" s="446"/>
      <c r="AD410" s="446"/>
      <c r="AE410" s="446"/>
      <c r="AF410" s="446"/>
      <c r="AG410" s="446"/>
      <c r="AH410" s="446"/>
      <c r="AI410" s="446"/>
      <c r="AJ410" s="446"/>
      <c r="AK410" s="446"/>
      <c r="AL410" s="446"/>
      <c r="AM410" s="446"/>
      <c r="AN410" s="446"/>
      <c r="AO410" s="446"/>
      <c r="AP410" s="446"/>
      <c r="AQ410" s="446"/>
      <c r="AR410" s="446"/>
      <c r="AS410" s="446"/>
      <c r="AT410" s="446"/>
      <c r="AU410" s="446"/>
      <c r="AV410" s="446"/>
      <c r="AW410" s="446"/>
      <c r="AX410" s="446"/>
      <c r="AY410" s="446"/>
      <c r="AZ410" s="446"/>
      <c r="BA410" s="446"/>
      <c r="BB410" s="446"/>
      <c r="BC410" s="446"/>
      <c r="BD410" s="446"/>
      <c r="BE410" s="446"/>
      <c r="BF410" s="446"/>
      <c r="BG410" s="446"/>
      <c r="BH410" s="446"/>
      <c r="BI410" s="442">
        <v>15</v>
      </c>
      <c r="BJ410" s="446"/>
      <c r="BK410" s="446"/>
      <c r="BL410" s="446"/>
      <c r="BM410" s="446"/>
      <c r="BN410" s="446"/>
      <c r="BO410" s="446"/>
      <c r="BP410" s="446"/>
      <c r="BQ410" s="445">
        <v>27.9</v>
      </c>
      <c r="BR410" s="445">
        <v>12.2</v>
      </c>
      <c r="BS410" s="271"/>
      <c r="BT410" s="271"/>
      <c r="BU410" s="271"/>
      <c r="BV410" s="454"/>
      <c r="BW410" s="454"/>
      <c r="BX410" s="756"/>
      <c r="BY410" s="850"/>
      <c r="BZ410" s="850"/>
      <c r="CA410" s="850"/>
      <c r="CB410" s="850"/>
      <c r="CC410" s="850"/>
      <c r="CD410" s="850"/>
      <c r="CE410" s="850"/>
      <c r="CF410" s="850"/>
      <c r="CG410" s="169" t="s">
        <v>764</v>
      </c>
      <c r="CH410" s="417" t="s">
        <v>765</v>
      </c>
      <c r="CI410" s="406"/>
      <c r="CJ410" s="23"/>
      <c r="CK410" s="647" t="s">
        <v>1000</v>
      </c>
      <c r="CL410" s="572"/>
      <c r="CM410" s="648"/>
      <c r="CR410" s="406"/>
      <c r="CS410" s="648"/>
      <c r="CU410" s="23"/>
      <c r="CV410" s="23"/>
      <c r="CW410" s="23"/>
      <c r="CX410" s="23"/>
      <c r="DA410" s="648"/>
    </row>
    <row r="411" spans="1:105" s="35" customFormat="1" ht="12" customHeight="1" x14ac:dyDescent="0.2">
      <c r="A411" s="651"/>
      <c r="B411" s="537"/>
      <c r="C411" s="97" t="s">
        <v>407</v>
      </c>
      <c r="D411" s="169" t="s">
        <v>1130</v>
      </c>
      <c r="E411" s="647" t="s">
        <v>14</v>
      </c>
      <c r="F411" s="647"/>
      <c r="G411" s="237"/>
      <c r="H411" s="186"/>
      <c r="I411" s="166">
        <v>2010</v>
      </c>
      <c r="J411" s="390"/>
      <c r="K411" s="390"/>
      <c r="L411" s="493"/>
      <c r="M411" s="237"/>
      <c r="N411" s="493"/>
      <c r="O411" s="98" t="s">
        <v>550</v>
      </c>
      <c r="P411" s="98"/>
      <c r="Q411" s="237"/>
      <c r="R411" s="254"/>
      <c r="S411" s="254"/>
      <c r="T411" s="254"/>
      <c r="U411" s="393">
        <v>999999999</v>
      </c>
      <c r="V411" s="694"/>
      <c r="W411" s="711"/>
      <c r="X411" s="254"/>
      <c r="Y411" s="446"/>
      <c r="Z411" s="446"/>
      <c r="AA411" s="446"/>
      <c r="AB411" s="446"/>
      <c r="AC411" s="446"/>
      <c r="AD411" s="446"/>
      <c r="AE411" s="446"/>
      <c r="AF411" s="446"/>
      <c r="AG411" s="446"/>
      <c r="AH411" s="446"/>
      <c r="AI411" s="446"/>
      <c r="AJ411" s="446"/>
      <c r="AK411" s="446"/>
      <c r="AL411" s="446"/>
      <c r="AM411" s="446"/>
      <c r="AN411" s="446"/>
      <c r="AO411" s="446"/>
      <c r="AP411" s="446"/>
      <c r="AQ411" s="446"/>
      <c r="AR411" s="446"/>
      <c r="AS411" s="446"/>
      <c r="AT411" s="446"/>
      <c r="AU411" s="446"/>
      <c r="AV411" s="446"/>
      <c r="AW411" s="446"/>
      <c r="AX411" s="446"/>
      <c r="AY411" s="446"/>
      <c r="AZ411" s="446"/>
      <c r="BA411" s="446"/>
      <c r="BB411" s="446"/>
      <c r="BC411" s="446"/>
      <c r="BD411" s="446"/>
      <c r="BE411" s="442"/>
      <c r="BF411" s="442"/>
      <c r="BG411" s="446"/>
      <c r="BH411" s="446"/>
      <c r="BI411" s="442">
        <f>23.7*0.386*(71.4/50)</f>
        <v>13.063629600000001</v>
      </c>
      <c r="BJ411" s="442"/>
      <c r="BK411" s="442"/>
      <c r="BL411" s="442"/>
      <c r="BM411" s="442"/>
      <c r="BN411" s="442"/>
      <c r="BO411" s="442"/>
      <c r="BP411" s="442"/>
      <c r="BQ411" s="442"/>
      <c r="BR411" s="444"/>
      <c r="BS411" s="446"/>
      <c r="BT411" s="446"/>
      <c r="BU411" s="446"/>
      <c r="BV411" s="442"/>
      <c r="BW411" s="442"/>
      <c r="BX411" s="756"/>
      <c r="BY411" s="850"/>
      <c r="BZ411" s="850"/>
      <c r="CA411" s="850"/>
      <c r="CB411" s="850"/>
      <c r="CC411" s="850"/>
      <c r="CD411" s="850"/>
      <c r="CE411" s="850"/>
      <c r="CF411" s="850"/>
      <c r="CG411" s="169"/>
      <c r="CH411" s="417" t="s">
        <v>1101</v>
      </c>
      <c r="CI411" s="406"/>
      <c r="CJ411" s="23"/>
      <c r="CK411" s="647"/>
      <c r="CL411" s="572"/>
      <c r="CM411" s="431"/>
      <c r="CN411" s="128"/>
      <c r="CO411" s="128"/>
      <c r="CP411" s="128"/>
      <c r="CQ411" s="128"/>
      <c r="CR411" s="406"/>
      <c r="CS411" s="431"/>
      <c r="CU411" s="23"/>
      <c r="CV411" s="23"/>
      <c r="CW411" s="23"/>
      <c r="CX411" s="23"/>
      <c r="DA411" s="648"/>
    </row>
    <row r="412" spans="1:105" s="35" customFormat="1" ht="12" customHeight="1" x14ac:dyDescent="0.2">
      <c r="A412" s="651"/>
      <c r="B412" s="537"/>
      <c r="C412" s="97" t="s">
        <v>408</v>
      </c>
      <c r="D412" s="169" t="s">
        <v>1134</v>
      </c>
      <c r="E412" s="647"/>
      <c r="F412" s="647"/>
      <c r="G412" s="237"/>
      <c r="H412" s="186"/>
      <c r="I412" s="166">
        <v>2008</v>
      </c>
      <c r="J412" s="390"/>
      <c r="K412" s="390"/>
      <c r="L412" s="493" t="s">
        <v>243</v>
      </c>
      <c r="M412" s="237"/>
      <c r="N412" s="494" t="s">
        <v>783</v>
      </c>
      <c r="O412" s="237" t="s">
        <v>19</v>
      </c>
      <c r="P412" s="237"/>
      <c r="Q412" s="237"/>
      <c r="R412" s="254"/>
      <c r="S412" s="254"/>
      <c r="T412" s="254"/>
      <c r="U412" s="393">
        <v>999999999</v>
      </c>
      <c r="V412" s="694"/>
      <c r="W412" s="711"/>
      <c r="X412" s="254"/>
      <c r="Y412" s="446"/>
      <c r="Z412" s="446"/>
      <c r="AA412" s="446"/>
      <c r="AB412" s="446"/>
      <c r="AC412" s="446"/>
      <c r="AD412" s="446"/>
      <c r="AE412" s="446"/>
      <c r="AF412" s="446"/>
      <c r="AG412" s="446"/>
      <c r="AH412" s="446"/>
      <c r="AI412" s="446"/>
      <c r="AJ412" s="446"/>
      <c r="AK412" s="446"/>
      <c r="AL412" s="446"/>
      <c r="AM412" s="446"/>
      <c r="AN412" s="446"/>
      <c r="AO412" s="446"/>
      <c r="AP412" s="446"/>
      <c r="AQ412" s="446"/>
      <c r="AR412" s="446"/>
      <c r="AS412" s="446"/>
      <c r="AT412" s="446"/>
      <c r="AU412" s="446"/>
      <c r="AV412" s="446"/>
      <c r="AW412" s="446"/>
      <c r="AX412" s="446"/>
      <c r="AY412" s="446"/>
      <c r="AZ412" s="446"/>
      <c r="BA412" s="446"/>
      <c r="BB412" s="446"/>
      <c r="BC412" s="446"/>
      <c r="BD412" s="446"/>
      <c r="BE412" s="442"/>
      <c r="BF412" s="442"/>
      <c r="BG412" s="446"/>
      <c r="BH412" s="446"/>
      <c r="BI412" s="442">
        <v>45.5</v>
      </c>
      <c r="BJ412" s="442"/>
      <c r="BK412" s="442"/>
      <c r="BL412" s="442"/>
      <c r="BM412" s="442"/>
      <c r="BN412" s="442"/>
      <c r="BO412" s="442"/>
      <c r="BP412" s="442"/>
      <c r="BQ412" s="442">
        <v>54.7</v>
      </c>
      <c r="BR412" s="444"/>
      <c r="BS412" s="446"/>
      <c r="BT412" s="446"/>
      <c r="BU412" s="446"/>
      <c r="BV412" s="442"/>
      <c r="BW412" s="442"/>
      <c r="BX412" s="756"/>
      <c r="BY412" s="850"/>
      <c r="BZ412" s="850"/>
      <c r="CA412" s="850"/>
      <c r="CB412" s="850"/>
      <c r="CC412" s="850"/>
      <c r="CD412" s="850"/>
      <c r="CE412" s="850"/>
      <c r="CF412" s="850"/>
      <c r="CG412" s="169" t="s">
        <v>770</v>
      </c>
      <c r="CH412" s="417"/>
      <c r="CI412" s="406"/>
      <c r="CJ412" s="23"/>
      <c r="CK412" s="417" t="s">
        <v>1065</v>
      </c>
      <c r="CL412" s="572"/>
      <c r="CM412" s="431"/>
      <c r="CN412" s="128"/>
      <c r="CO412" s="128"/>
      <c r="CP412" s="128"/>
      <c r="CQ412" s="128"/>
      <c r="CR412" s="406"/>
      <c r="CS412" s="431"/>
      <c r="CU412" s="23"/>
      <c r="CV412" s="23"/>
      <c r="CW412" s="23"/>
      <c r="CX412" s="23"/>
      <c r="DA412" s="648"/>
    </row>
    <row r="413" spans="1:105" s="35" customFormat="1" ht="12" customHeight="1" x14ac:dyDescent="0.2">
      <c r="A413" s="652"/>
      <c r="B413" s="469" t="s">
        <v>1783</v>
      </c>
      <c r="C413" s="390" t="s">
        <v>194</v>
      </c>
      <c r="D413" s="237" t="s">
        <v>1131</v>
      </c>
      <c r="E413" s="647" t="s">
        <v>14</v>
      </c>
      <c r="F413" s="647"/>
      <c r="G413" s="237"/>
      <c r="H413" s="186"/>
      <c r="I413" s="166">
        <v>1998</v>
      </c>
      <c r="J413" s="571">
        <v>1998</v>
      </c>
      <c r="K413" s="571"/>
      <c r="L413" s="494" t="s">
        <v>244</v>
      </c>
      <c r="M413" s="247" t="s">
        <v>1838</v>
      </c>
      <c r="N413" s="494" t="s">
        <v>783</v>
      </c>
      <c r="O413" s="247" t="s">
        <v>19</v>
      </c>
      <c r="P413" s="98">
        <v>15</v>
      </c>
      <c r="Q413" s="247">
        <v>49</v>
      </c>
      <c r="R413" s="552">
        <v>29.351853429910509</v>
      </c>
      <c r="S413" s="552"/>
      <c r="T413" s="552"/>
      <c r="U413" s="553">
        <v>11702</v>
      </c>
      <c r="V413" s="794"/>
      <c r="W413" s="712"/>
      <c r="X413" s="552">
        <v>8.5014060502769979</v>
      </c>
      <c r="Y413" s="555"/>
      <c r="Z413" s="555"/>
      <c r="AA413" s="555"/>
      <c r="AB413" s="555"/>
      <c r="AC413" s="555"/>
      <c r="AD413" s="555"/>
      <c r="AE413" s="555"/>
      <c r="AF413" s="555"/>
      <c r="AG413" s="555"/>
      <c r="AH413" s="555"/>
      <c r="AI413" s="555"/>
      <c r="AJ413" s="555"/>
      <c r="AK413" s="555"/>
      <c r="AL413" s="555"/>
      <c r="AM413" s="555"/>
      <c r="AN413" s="555"/>
      <c r="AO413" s="555"/>
      <c r="AP413" s="555"/>
      <c r="AQ413" s="555"/>
      <c r="AR413" s="555"/>
      <c r="AS413" s="555"/>
      <c r="AT413" s="555"/>
      <c r="AU413" s="555"/>
      <c r="AV413" s="555"/>
      <c r="AW413" s="555"/>
      <c r="AX413" s="555"/>
      <c r="AY413" s="555"/>
      <c r="AZ413" s="555"/>
      <c r="BA413" s="555"/>
      <c r="BB413" s="555"/>
      <c r="BC413" s="555"/>
      <c r="BD413" s="555"/>
      <c r="BE413" s="555"/>
      <c r="BF413" s="555"/>
      <c r="BG413" s="555"/>
      <c r="BH413" s="555"/>
      <c r="BI413" s="552">
        <v>10.263202871304035</v>
      </c>
      <c r="BJ413" s="555"/>
      <c r="BK413" s="555"/>
      <c r="BL413" s="555"/>
      <c r="BM413" s="554">
        <v>0.15995734470807724</v>
      </c>
      <c r="BN413" s="569"/>
      <c r="BO413" s="554">
        <v>0.37560364872116009</v>
      </c>
      <c r="BP413" s="555"/>
      <c r="BQ413" s="552"/>
      <c r="BR413" s="42"/>
      <c r="BS413" s="42"/>
      <c r="BT413" s="42"/>
      <c r="BU413" s="42">
        <v>12</v>
      </c>
      <c r="BV413" s="42"/>
      <c r="BW413" s="42"/>
      <c r="BX413" s="758"/>
      <c r="BY413" s="851"/>
      <c r="BZ413" s="851"/>
      <c r="CA413" s="851"/>
      <c r="CB413" s="851"/>
      <c r="CC413" s="851"/>
      <c r="CD413" s="851"/>
      <c r="CE413" s="851"/>
      <c r="CF413" s="851"/>
      <c r="CG413" s="97"/>
      <c r="CH413" s="647"/>
      <c r="CI413" s="97"/>
      <c r="CJ413" s="97"/>
      <c r="CK413" s="647"/>
      <c r="CL413" s="469" t="s">
        <v>1841</v>
      </c>
      <c r="CM413" s="647"/>
      <c r="CN413" s="97"/>
      <c r="CO413" s="97"/>
      <c r="CP413" s="97"/>
      <c r="CQ413" s="97"/>
      <c r="CR413" s="638"/>
      <c r="CS413" s="647"/>
      <c r="CU413" s="23"/>
      <c r="CV413" s="23"/>
      <c r="CW413" s="23"/>
      <c r="CX413" s="23"/>
      <c r="DA413" s="648"/>
    </row>
    <row r="414" spans="1:105" s="35" customFormat="1" ht="12" customHeight="1" x14ac:dyDescent="0.2">
      <c r="A414" s="651"/>
      <c r="B414" s="537"/>
      <c r="C414" s="97" t="s">
        <v>194</v>
      </c>
      <c r="D414" s="169" t="s">
        <v>1131</v>
      </c>
      <c r="E414" s="647" t="s">
        <v>11</v>
      </c>
      <c r="F414" s="647"/>
      <c r="G414" s="98"/>
      <c r="H414" s="97"/>
      <c r="I414" s="166">
        <v>1998</v>
      </c>
      <c r="J414" s="571"/>
      <c r="K414" s="571"/>
      <c r="L414" s="493" t="s">
        <v>248</v>
      </c>
      <c r="M414" s="98" t="s">
        <v>15</v>
      </c>
      <c r="N414" s="493"/>
      <c r="O414" s="98" t="s">
        <v>104</v>
      </c>
      <c r="P414" s="98"/>
      <c r="Q414" s="98"/>
      <c r="R414" s="167"/>
      <c r="S414" s="167"/>
      <c r="T414" s="167"/>
      <c r="U414" s="393">
        <v>396</v>
      </c>
      <c r="V414" s="694"/>
      <c r="W414" s="711"/>
      <c r="X414" s="167"/>
      <c r="Y414" s="446"/>
      <c r="Z414" s="446"/>
      <c r="AA414" s="446"/>
      <c r="AB414" s="446"/>
      <c r="AC414" s="446"/>
      <c r="AD414" s="446"/>
      <c r="AE414" s="446"/>
      <c r="AF414" s="446"/>
      <c r="AG414" s="446"/>
      <c r="AH414" s="446"/>
      <c r="AI414" s="446"/>
      <c r="AJ414" s="446"/>
      <c r="AK414" s="446"/>
      <c r="AL414" s="446"/>
      <c r="AM414" s="446"/>
      <c r="AN414" s="446"/>
      <c r="AO414" s="446"/>
      <c r="AP414" s="446"/>
      <c r="AQ414" s="446"/>
      <c r="AR414" s="446"/>
      <c r="AS414" s="446"/>
      <c r="AT414" s="446"/>
      <c r="AU414" s="446"/>
      <c r="AV414" s="446"/>
      <c r="AW414" s="446"/>
      <c r="AX414" s="446"/>
      <c r="AY414" s="446"/>
      <c r="AZ414" s="446"/>
      <c r="BA414" s="446"/>
      <c r="BB414" s="446"/>
      <c r="BC414" s="446"/>
      <c r="BD414" s="446"/>
      <c r="BE414" s="445"/>
      <c r="BF414" s="445"/>
      <c r="BG414" s="446"/>
      <c r="BH414" s="446"/>
      <c r="BI414" s="445">
        <v>27</v>
      </c>
      <c r="BJ414" s="445">
        <v>10.9</v>
      </c>
      <c r="BK414" s="445"/>
      <c r="BL414" s="445"/>
      <c r="BM414" s="445"/>
      <c r="BN414" s="445"/>
      <c r="BO414" s="445"/>
      <c r="BP414" s="445"/>
      <c r="BQ414" s="444"/>
      <c r="BR414" s="444"/>
      <c r="BS414" s="442"/>
      <c r="BT414" s="445"/>
      <c r="BU414" s="445"/>
      <c r="BV414" s="445"/>
      <c r="BW414" s="445"/>
      <c r="BX414" s="756"/>
      <c r="BY414" s="850"/>
      <c r="BZ414" s="850"/>
      <c r="CA414" s="850"/>
      <c r="CB414" s="850"/>
      <c r="CC414" s="850"/>
      <c r="CD414" s="850"/>
      <c r="CE414" s="850"/>
      <c r="CF414" s="850"/>
      <c r="CG414" s="169" t="s">
        <v>523</v>
      </c>
      <c r="CH414" s="419" t="s">
        <v>293</v>
      </c>
      <c r="CI414" s="407"/>
      <c r="CJ414" s="23">
        <v>94</v>
      </c>
      <c r="CK414" s="426" t="s">
        <v>1041</v>
      </c>
      <c r="CL414" s="572"/>
      <c r="CM414" s="648"/>
      <c r="CR414" s="406"/>
      <c r="CS414" s="648"/>
      <c r="CU414" s="23"/>
      <c r="CV414" s="23"/>
      <c r="CW414" s="23"/>
      <c r="CX414" s="23"/>
      <c r="DA414" s="648"/>
    </row>
    <row r="415" spans="1:105" s="35" customFormat="1" ht="12" customHeight="1" x14ac:dyDescent="0.2">
      <c r="A415" s="651"/>
      <c r="B415" s="537"/>
      <c r="C415" s="97" t="s">
        <v>194</v>
      </c>
      <c r="D415" s="169" t="s">
        <v>1131</v>
      </c>
      <c r="E415" s="647" t="s">
        <v>12</v>
      </c>
      <c r="F415" s="647"/>
      <c r="G415" s="98"/>
      <c r="H415" s="97"/>
      <c r="I415" s="166">
        <v>1998</v>
      </c>
      <c r="J415" s="571"/>
      <c r="K415" s="571"/>
      <c r="L415" s="493" t="s">
        <v>248</v>
      </c>
      <c r="M415" s="98" t="s">
        <v>15</v>
      </c>
      <c r="N415" s="493"/>
      <c r="O415" s="98" t="s">
        <v>227</v>
      </c>
      <c r="P415" s="98"/>
      <c r="Q415" s="98"/>
      <c r="R415" s="167"/>
      <c r="S415" s="167"/>
      <c r="T415" s="167"/>
      <c r="U415" s="393">
        <v>419</v>
      </c>
      <c r="V415" s="694"/>
      <c r="W415" s="711"/>
      <c r="X415" s="167"/>
      <c r="Y415" s="446"/>
      <c r="Z415" s="446"/>
      <c r="AA415" s="446"/>
      <c r="AB415" s="446"/>
      <c r="AC415" s="446"/>
      <c r="AD415" s="446"/>
      <c r="AE415" s="446"/>
      <c r="AF415" s="446"/>
      <c r="AG415" s="446"/>
      <c r="AH415" s="446"/>
      <c r="AI415" s="446"/>
      <c r="AJ415" s="446"/>
      <c r="AK415" s="446"/>
      <c r="AL415" s="446"/>
      <c r="AM415" s="446"/>
      <c r="AN415" s="446"/>
      <c r="AO415" s="446"/>
      <c r="AP415" s="446"/>
      <c r="AQ415" s="446"/>
      <c r="AR415" s="446"/>
      <c r="AS415" s="446"/>
      <c r="AT415" s="446"/>
      <c r="AU415" s="446"/>
      <c r="AV415" s="446"/>
      <c r="AW415" s="446"/>
      <c r="AX415" s="446"/>
      <c r="AY415" s="446"/>
      <c r="AZ415" s="446"/>
      <c r="BA415" s="446"/>
      <c r="BB415" s="446"/>
      <c r="BC415" s="446"/>
      <c r="BD415" s="446"/>
      <c r="BE415" s="445"/>
      <c r="BF415" s="445"/>
      <c r="BG415" s="446"/>
      <c r="BH415" s="446"/>
      <c r="BI415" s="445">
        <v>28</v>
      </c>
      <c r="BJ415" s="445">
        <v>11.9</v>
      </c>
      <c r="BK415" s="445"/>
      <c r="BL415" s="445"/>
      <c r="BM415" s="445"/>
      <c r="BN415" s="445"/>
      <c r="BO415" s="445"/>
      <c r="BP415" s="445"/>
      <c r="BQ415" s="444"/>
      <c r="BR415" s="444"/>
      <c r="BS415" s="442"/>
      <c r="BT415" s="445"/>
      <c r="BU415" s="445"/>
      <c r="BV415" s="445"/>
      <c r="BW415" s="445"/>
      <c r="BX415" s="756"/>
      <c r="BY415" s="850"/>
      <c r="BZ415" s="850"/>
      <c r="CA415" s="850"/>
      <c r="CB415" s="850"/>
      <c r="CC415" s="850"/>
      <c r="CD415" s="850"/>
      <c r="CE415" s="850"/>
      <c r="CF415" s="850"/>
      <c r="CG415" s="169" t="s">
        <v>523</v>
      </c>
      <c r="CH415" s="419" t="s">
        <v>293</v>
      </c>
      <c r="CI415" s="407"/>
      <c r="CJ415" s="23">
        <v>94</v>
      </c>
      <c r="CK415" s="426" t="s">
        <v>1041</v>
      </c>
      <c r="CL415" s="572"/>
      <c r="CM415" s="648"/>
      <c r="CR415" s="406"/>
      <c r="CS415" s="648"/>
      <c r="CU415" s="23"/>
      <c r="CV415" s="23"/>
      <c r="CW415" s="23"/>
      <c r="CX415" s="23"/>
      <c r="DA415" s="648"/>
    </row>
    <row r="416" spans="1:105" s="35" customFormat="1" ht="12" customHeight="1" x14ac:dyDescent="0.2">
      <c r="A416" s="651"/>
      <c r="B416" s="537"/>
      <c r="C416" s="97" t="s">
        <v>194</v>
      </c>
      <c r="D416" s="169" t="s">
        <v>1131</v>
      </c>
      <c r="E416" s="647" t="s">
        <v>13</v>
      </c>
      <c r="F416" s="647"/>
      <c r="G416" s="98"/>
      <c r="H416" s="97"/>
      <c r="I416" s="166">
        <v>1998</v>
      </c>
      <c r="J416" s="571"/>
      <c r="K416" s="571"/>
      <c r="L416" s="493" t="s">
        <v>248</v>
      </c>
      <c r="M416" s="98" t="s">
        <v>15</v>
      </c>
      <c r="N416" s="493"/>
      <c r="O416" s="98" t="s">
        <v>106</v>
      </c>
      <c r="P416" s="98"/>
      <c r="Q416" s="98"/>
      <c r="R416" s="167"/>
      <c r="S416" s="167"/>
      <c r="T416" s="167"/>
      <c r="U416" s="393">
        <v>464</v>
      </c>
      <c r="V416" s="694"/>
      <c r="W416" s="711"/>
      <c r="X416" s="167"/>
      <c r="Y416" s="446"/>
      <c r="Z416" s="446"/>
      <c r="AA416" s="446"/>
      <c r="AB416" s="446"/>
      <c r="AC416" s="446"/>
      <c r="AD416" s="446"/>
      <c r="AE416" s="446"/>
      <c r="AF416" s="446"/>
      <c r="AG416" s="446"/>
      <c r="AH416" s="446"/>
      <c r="AI416" s="446"/>
      <c r="AJ416" s="446"/>
      <c r="AK416" s="446"/>
      <c r="AL416" s="446"/>
      <c r="AM416" s="446"/>
      <c r="AN416" s="446"/>
      <c r="AO416" s="446"/>
      <c r="AP416" s="446"/>
      <c r="AQ416" s="446"/>
      <c r="AR416" s="446"/>
      <c r="AS416" s="446"/>
      <c r="AT416" s="446"/>
      <c r="AU416" s="446"/>
      <c r="AV416" s="446"/>
      <c r="AW416" s="446"/>
      <c r="AX416" s="446"/>
      <c r="AY416" s="446"/>
      <c r="AZ416" s="446"/>
      <c r="BA416" s="446"/>
      <c r="BB416" s="446"/>
      <c r="BC416" s="446"/>
      <c r="BD416" s="446"/>
      <c r="BE416" s="445"/>
      <c r="BF416" s="445"/>
      <c r="BG416" s="446"/>
      <c r="BH416" s="446"/>
      <c r="BI416" s="445">
        <v>19</v>
      </c>
      <c r="BJ416" s="445">
        <v>4.5</v>
      </c>
      <c r="BK416" s="445"/>
      <c r="BL416" s="445"/>
      <c r="BM416" s="445"/>
      <c r="BN416" s="445"/>
      <c r="BO416" s="445"/>
      <c r="BP416" s="445"/>
      <c r="BQ416" s="444"/>
      <c r="BR416" s="444"/>
      <c r="BS416" s="442"/>
      <c r="BT416" s="445"/>
      <c r="BU416" s="445"/>
      <c r="BV416" s="445"/>
      <c r="BW416" s="445"/>
      <c r="BX416" s="756"/>
      <c r="BY416" s="850"/>
      <c r="BZ416" s="850"/>
      <c r="CA416" s="850"/>
      <c r="CB416" s="850"/>
      <c r="CC416" s="850"/>
      <c r="CD416" s="850"/>
      <c r="CE416" s="850"/>
      <c r="CF416" s="850"/>
      <c r="CG416" s="169" t="s">
        <v>523</v>
      </c>
      <c r="CH416" s="419" t="s">
        <v>293</v>
      </c>
      <c r="CI416" s="407"/>
      <c r="CJ416" s="23">
        <v>94</v>
      </c>
      <c r="CK416" s="426" t="s">
        <v>1041</v>
      </c>
      <c r="CL416" s="572"/>
      <c r="CM416" s="648"/>
      <c r="CR416" s="406"/>
      <c r="CS416" s="648"/>
      <c r="CU416" s="23"/>
      <c r="CV416" s="23"/>
      <c r="CW416" s="23"/>
      <c r="CX416" s="23"/>
      <c r="DA416" s="648"/>
    </row>
    <row r="417" spans="1:105" s="35" customFormat="1" ht="12" customHeight="1" x14ac:dyDescent="0.2">
      <c r="A417" s="651"/>
      <c r="B417" s="537"/>
      <c r="C417" s="390" t="s">
        <v>194</v>
      </c>
      <c r="D417" s="169" t="s">
        <v>1131</v>
      </c>
      <c r="E417" s="647"/>
      <c r="F417" s="647"/>
      <c r="G417" s="237"/>
      <c r="H417" s="186"/>
      <c r="I417" s="533">
        <v>2002</v>
      </c>
      <c r="J417" s="390"/>
      <c r="K417" s="390"/>
      <c r="L417" s="494"/>
      <c r="M417" s="247"/>
      <c r="N417" s="494"/>
      <c r="O417" s="98" t="s">
        <v>19</v>
      </c>
      <c r="P417" s="98"/>
      <c r="Q417" s="247"/>
      <c r="R417" s="291"/>
      <c r="S417" s="291"/>
      <c r="T417" s="291"/>
      <c r="U417" s="395">
        <v>1306</v>
      </c>
      <c r="V417" s="794"/>
      <c r="W417" s="712"/>
      <c r="X417" s="254"/>
      <c r="Y417" s="447"/>
      <c r="Z417" s="447"/>
      <c r="AA417" s="447"/>
      <c r="AB417" s="447"/>
      <c r="AC417" s="447"/>
      <c r="AD417" s="447"/>
      <c r="AE417" s="447"/>
      <c r="AF417" s="447"/>
      <c r="AG417" s="447"/>
      <c r="AH417" s="447"/>
      <c r="AI417" s="447"/>
      <c r="AJ417" s="447"/>
      <c r="AK417" s="447"/>
      <c r="AL417" s="447"/>
      <c r="AM417" s="447"/>
      <c r="AN417" s="447"/>
      <c r="AO417" s="447"/>
      <c r="AP417" s="447"/>
      <c r="AQ417" s="447"/>
      <c r="AR417" s="447"/>
      <c r="AS417" s="447"/>
      <c r="AT417" s="447"/>
      <c r="AU417" s="447"/>
      <c r="AV417" s="447"/>
      <c r="AW417" s="447"/>
      <c r="AX417" s="447"/>
      <c r="AY417" s="447"/>
      <c r="AZ417" s="447"/>
      <c r="BA417" s="447"/>
      <c r="BB417" s="447"/>
      <c r="BC417" s="447"/>
      <c r="BD417" s="447"/>
      <c r="BE417" s="442"/>
      <c r="BF417" s="442"/>
      <c r="BG417" s="447"/>
      <c r="BH417" s="447"/>
      <c r="BI417" s="442">
        <v>9.5</v>
      </c>
      <c r="BJ417" s="442"/>
      <c r="BK417" s="442"/>
      <c r="BL417" s="442"/>
      <c r="BM417" s="442"/>
      <c r="BN417" s="442"/>
      <c r="BO417" s="442"/>
      <c r="BP417" s="442"/>
      <c r="BQ417" s="444"/>
      <c r="BR417" s="444"/>
      <c r="BS417" s="442">
        <v>24.6</v>
      </c>
      <c r="BT417" s="447"/>
      <c r="BU417" s="447"/>
      <c r="BV417" s="550"/>
      <c r="BW417" s="550"/>
      <c r="BX417" s="757"/>
      <c r="BY417" s="850"/>
      <c r="BZ417" s="850"/>
      <c r="CA417" s="850"/>
      <c r="CB417" s="850"/>
      <c r="CC417" s="850"/>
      <c r="CD417" s="850"/>
      <c r="CE417" s="850"/>
      <c r="CF417" s="850"/>
      <c r="CG417" s="169" t="s">
        <v>957</v>
      </c>
      <c r="CH417" s="417"/>
      <c r="CI417" s="406"/>
      <c r="CJ417" s="23"/>
      <c r="CK417" s="431" t="s">
        <v>1182</v>
      </c>
      <c r="CL417" s="572"/>
      <c r="CM417" s="648"/>
      <c r="CR417" s="406"/>
      <c r="CS417" s="648"/>
      <c r="CU417" s="23"/>
      <c r="CV417" s="23"/>
      <c r="CW417" s="23"/>
      <c r="CX417" s="23"/>
      <c r="DA417" s="648"/>
    </row>
    <row r="418" spans="1:105" s="35" customFormat="1" ht="12" customHeight="1" x14ac:dyDescent="0.2">
      <c r="A418" s="651"/>
      <c r="B418" s="537"/>
      <c r="C418" s="97" t="s">
        <v>194</v>
      </c>
      <c r="D418" s="169" t="s">
        <v>1131</v>
      </c>
      <c r="E418" s="647" t="s">
        <v>292</v>
      </c>
      <c r="F418" s="647"/>
      <c r="G418" s="98"/>
      <c r="H418" s="97"/>
      <c r="I418" s="166" t="s">
        <v>30</v>
      </c>
      <c r="J418" s="571"/>
      <c r="K418" s="571"/>
      <c r="L418" s="493"/>
      <c r="M418" s="98" t="s">
        <v>78</v>
      </c>
      <c r="N418" s="493"/>
      <c r="O418" s="98" t="s">
        <v>19</v>
      </c>
      <c r="P418" s="98"/>
      <c r="Q418" s="98"/>
      <c r="R418" s="167"/>
      <c r="S418" s="167"/>
      <c r="T418" s="167"/>
      <c r="U418" s="393">
        <v>1395</v>
      </c>
      <c r="V418" s="694"/>
      <c r="W418" s="711"/>
      <c r="X418" s="167"/>
      <c r="Y418" s="446"/>
      <c r="Z418" s="446"/>
      <c r="AA418" s="446"/>
      <c r="AB418" s="446"/>
      <c r="AC418" s="446"/>
      <c r="AD418" s="446"/>
      <c r="AE418" s="446"/>
      <c r="AF418" s="446"/>
      <c r="AG418" s="446"/>
      <c r="AH418" s="446"/>
      <c r="AI418" s="446"/>
      <c r="AJ418" s="446"/>
      <c r="AK418" s="446"/>
      <c r="AL418" s="446"/>
      <c r="AM418" s="446"/>
      <c r="AN418" s="446"/>
      <c r="AO418" s="446"/>
      <c r="AP418" s="446"/>
      <c r="AQ418" s="446"/>
      <c r="AR418" s="446"/>
      <c r="AS418" s="446"/>
      <c r="AT418" s="446"/>
      <c r="AU418" s="446"/>
      <c r="AV418" s="446"/>
      <c r="AW418" s="446"/>
      <c r="AX418" s="446"/>
      <c r="AY418" s="446"/>
      <c r="AZ418" s="446"/>
      <c r="BA418" s="446"/>
      <c r="BB418" s="446"/>
      <c r="BC418" s="446"/>
      <c r="BD418" s="446"/>
      <c r="BE418" s="444"/>
      <c r="BF418" s="444"/>
      <c r="BG418" s="446"/>
      <c r="BH418" s="446"/>
      <c r="BI418" s="445">
        <v>25.5</v>
      </c>
      <c r="BJ418" s="444"/>
      <c r="BK418" s="444"/>
      <c r="BL418" s="444"/>
      <c r="BM418" s="444"/>
      <c r="BN418" s="444"/>
      <c r="BO418" s="444"/>
      <c r="BP418" s="444"/>
      <c r="BQ418" s="446"/>
      <c r="BR418" s="446"/>
      <c r="BS418" s="442">
        <v>55.5</v>
      </c>
      <c r="BT418" s="271"/>
      <c r="BU418" s="271"/>
      <c r="BV418" s="454"/>
      <c r="BW418" s="454"/>
      <c r="BX418" s="756"/>
      <c r="BY418" s="850"/>
      <c r="BZ418" s="850"/>
      <c r="CA418" s="850"/>
      <c r="CB418" s="850"/>
      <c r="CC418" s="850"/>
      <c r="CD418" s="850"/>
      <c r="CE418" s="850"/>
      <c r="CF418" s="850"/>
      <c r="CG418" s="168" t="s">
        <v>982</v>
      </c>
      <c r="CH418" s="419" t="s">
        <v>338</v>
      </c>
      <c r="CI418" s="404">
        <v>40515</v>
      </c>
      <c r="CJ418" s="23"/>
      <c r="CK418" s="679" t="s">
        <v>722</v>
      </c>
      <c r="CL418" s="572"/>
      <c r="CM418" s="648"/>
      <c r="CR418" s="406"/>
      <c r="CS418" s="648"/>
      <c r="CU418" s="23"/>
      <c r="CV418" s="23"/>
      <c r="CW418" s="23"/>
      <c r="CX418" s="23"/>
      <c r="DA418" s="648"/>
    </row>
    <row r="419" spans="1:105" s="35" customFormat="1" ht="12" customHeight="1" x14ac:dyDescent="0.2">
      <c r="A419" s="647" t="s">
        <v>390</v>
      </c>
      <c r="B419" s="469"/>
      <c r="C419" s="126" t="s">
        <v>1245</v>
      </c>
      <c r="D419" s="169" t="s">
        <v>1125</v>
      </c>
      <c r="E419" s="647" t="s">
        <v>224</v>
      </c>
      <c r="F419" s="647"/>
      <c r="G419" s="98"/>
      <c r="H419" s="97"/>
      <c r="I419" s="166">
        <v>1988</v>
      </c>
      <c r="J419" s="571"/>
      <c r="K419" s="571"/>
      <c r="L419" s="493"/>
      <c r="M419" s="98" t="s">
        <v>18</v>
      </c>
      <c r="N419" s="493"/>
      <c r="O419" s="98" t="s">
        <v>19</v>
      </c>
      <c r="P419" s="98"/>
      <c r="Q419" s="98"/>
      <c r="R419" s="167"/>
      <c r="S419" s="167"/>
      <c r="T419" s="167"/>
      <c r="U419" s="393">
        <v>708</v>
      </c>
      <c r="V419" s="694"/>
      <c r="W419" s="711"/>
      <c r="X419" s="167"/>
      <c r="Y419" s="446"/>
      <c r="Z419" s="446"/>
      <c r="AA419" s="446"/>
      <c r="AB419" s="446"/>
      <c r="AC419" s="446"/>
      <c r="AD419" s="446"/>
      <c r="AE419" s="446"/>
      <c r="AF419" s="446"/>
      <c r="AG419" s="446"/>
      <c r="AH419" s="446"/>
      <c r="AI419" s="446"/>
      <c r="AJ419" s="446"/>
      <c r="AK419" s="446"/>
      <c r="AL419" s="446"/>
      <c r="AM419" s="446"/>
      <c r="AN419" s="446"/>
      <c r="AO419" s="446"/>
      <c r="AP419" s="446"/>
      <c r="AQ419" s="446"/>
      <c r="AR419" s="446"/>
      <c r="AS419" s="446"/>
      <c r="AT419" s="446"/>
      <c r="AU419" s="446"/>
      <c r="AV419" s="446"/>
      <c r="AW419" s="446"/>
      <c r="AX419" s="446"/>
      <c r="AY419" s="446"/>
      <c r="AZ419" s="446"/>
      <c r="BA419" s="446"/>
      <c r="BB419" s="446"/>
      <c r="BC419" s="446"/>
      <c r="BD419" s="446"/>
      <c r="BE419" s="445"/>
      <c r="BF419" s="445"/>
      <c r="BG419" s="446"/>
      <c r="BH419" s="446"/>
      <c r="BI419" s="445"/>
      <c r="BJ419" s="445">
        <v>14</v>
      </c>
      <c r="BK419" s="445"/>
      <c r="BL419" s="445"/>
      <c r="BM419" s="445"/>
      <c r="BN419" s="445"/>
      <c r="BO419" s="445"/>
      <c r="BP419" s="445"/>
      <c r="BQ419" s="271"/>
      <c r="BR419" s="271"/>
      <c r="BS419" s="271"/>
      <c r="BT419" s="271"/>
      <c r="BU419" s="271"/>
      <c r="BV419" s="454"/>
      <c r="BW419" s="454"/>
      <c r="BX419" s="756"/>
      <c r="BY419" s="850"/>
      <c r="BZ419" s="850"/>
      <c r="CA419" s="850"/>
      <c r="CB419" s="850"/>
      <c r="CC419" s="850"/>
      <c r="CD419" s="850"/>
      <c r="CE419" s="850"/>
      <c r="CF419" s="850"/>
      <c r="CG419" s="169" t="s">
        <v>972</v>
      </c>
      <c r="CH419" s="417"/>
      <c r="CI419" s="406"/>
      <c r="CJ419" s="23"/>
      <c r="CK419" s="417" t="s">
        <v>1043</v>
      </c>
      <c r="CL419" s="572"/>
      <c r="CM419" s="648"/>
      <c r="CR419" s="406"/>
      <c r="CS419" s="648"/>
      <c r="CU419" s="23"/>
      <c r="CV419" s="23"/>
      <c r="CW419" s="23"/>
      <c r="CX419" s="23"/>
      <c r="DA419" s="648"/>
    </row>
    <row r="420" spans="1:105" s="35" customFormat="1" ht="12" customHeight="1" x14ac:dyDescent="0.2">
      <c r="A420" s="647" t="s">
        <v>390</v>
      </c>
      <c r="B420" s="469"/>
      <c r="C420" s="126" t="s">
        <v>1245</v>
      </c>
      <c r="D420" s="169" t="s">
        <v>1125</v>
      </c>
      <c r="E420" s="647" t="s">
        <v>14</v>
      </c>
      <c r="F420" s="647"/>
      <c r="G420" s="98"/>
      <c r="H420" s="97"/>
      <c r="I420" s="166">
        <v>1989</v>
      </c>
      <c r="J420" s="571"/>
      <c r="K420" s="571"/>
      <c r="L420" s="493"/>
      <c r="M420" s="98" t="s">
        <v>18</v>
      </c>
      <c r="N420" s="493"/>
      <c r="O420" s="98" t="s">
        <v>19</v>
      </c>
      <c r="P420" s="98"/>
      <c r="Q420" s="98"/>
      <c r="R420" s="167"/>
      <c r="S420" s="167"/>
      <c r="T420" s="167"/>
      <c r="U420" s="393">
        <v>707</v>
      </c>
      <c r="V420" s="694"/>
      <c r="W420" s="711"/>
      <c r="X420" s="167"/>
      <c r="Y420" s="446"/>
      <c r="Z420" s="446"/>
      <c r="AA420" s="446"/>
      <c r="AB420" s="446"/>
      <c r="AC420" s="446"/>
      <c r="AD420" s="446"/>
      <c r="AE420" s="446"/>
      <c r="AF420" s="446"/>
      <c r="AG420" s="446"/>
      <c r="AH420" s="446"/>
      <c r="AI420" s="446"/>
      <c r="AJ420" s="446"/>
      <c r="AK420" s="446"/>
      <c r="AL420" s="446"/>
      <c r="AM420" s="446"/>
      <c r="AN420" s="446"/>
      <c r="AO420" s="446"/>
      <c r="AP420" s="446"/>
      <c r="AQ420" s="446"/>
      <c r="AR420" s="446"/>
      <c r="AS420" s="446"/>
      <c r="AT420" s="446"/>
      <c r="AU420" s="446"/>
      <c r="AV420" s="446"/>
      <c r="AW420" s="446"/>
      <c r="AX420" s="446"/>
      <c r="AY420" s="446"/>
      <c r="AZ420" s="446"/>
      <c r="BA420" s="446"/>
      <c r="BB420" s="446"/>
      <c r="BC420" s="446"/>
      <c r="BD420" s="446"/>
      <c r="BE420" s="445"/>
      <c r="BF420" s="445"/>
      <c r="BG420" s="446"/>
      <c r="BH420" s="446"/>
      <c r="BI420" s="445"/>
      <c r="BJ420" s="445">
        <v>37.5</v>
      </c>
      <c r="BK420" s="445"/>
      <c r="BL420" s="445"/>
      <c r="BM420" s="445"/>
      <c r="BN420" s="445"/>
      <c r="BO420" s="445"/>
      <c r="BP420" s="445"/>
      <c r="BQ420" s="271"/>
      <c r="BR420" s="271"/>
      <c r="BS420" s="271"/>
      <c r="BT420" s="271"/>
      <c r="BU420" s="271"/>
      <c r="BV420" s="454"/>
      <c r="BW420" s="454"/>
      <c r="BX420" s="756"/>
      <c r="BY420" s="850"/>
      <c r="BZ420" s="850"/>
      <c r="CA420" s="850"/>
      <c r="CB420" s="850"/>
      <c r="CC420" s="850"/>
      <c r="CD420" s="850"/>
      <c r="CE420" s="850"/>
      <c r="CF420" s="850"/>
      <c r="CG420" s="168" t="s">
        <v>219</v>
      </c>
      <c r="CH420" s="417"/>
      <c r="CI420" s="406"/>
      <c r="CJ420" s="23"/>
      <c r="CK420" s="431" t="s">
        <v>1063</v>
      </c>
      <c r="CL420" s="572"/>
      <c r="CM420" s="648"/>
      <c r="CR420" s="406"/>
      <c r="CS420" s="648"/>
      <c r="CU420" s="23"/>
      <c r="CV420" s="23"/>
      <c r="CW420" s="23"/>
      <c r="CX420" s="23"/>
      <c r="DA420" s="648"/>
    </row>
    <row r="421" spans="1:105" s="35" customFormat="1" ht="12" customHeight="1" x14ac:dyDescent="0.2">
      <c r="A421" s="647" t="s">
        <v>390</v>
      </c>
      <c r="B421" s="469"/>
      <c r="C421" s="126" t="s">
        <v>1245</v>
      </c>
      <c r="D421" s="169" t="s">
        <v>1125</v>
      </c>
      <c r="E421" s="647" t="s">
        <v>14</v>
      </c>
      <c r="F421" s="647"/>
      <c r="G421" s="98"/>
      <c r="H421" s="97"/>
      <c r="I421" s="166">
        <v>2004</v>
      </c>
      <c r="J421" s="571"/>
      <c r="K421" s="571"/>
      <c r="L421" s="493"/>
      <c r="M421" s="98" t="s">
        <v>18</v>
      </c>
      <c r="N421" s="493"/>
      <c r="O421" s="98"/>
      <c r="P421" s="98"/>
      <c r="Q421" s="98"/>
      <c r="R421" s="167"/>
      <c r="S421" s="167"/>
      <c r="T421" s="167"/>
      <c r="U421" s="393">
        <v>5916</v>
      </c>
      <c r="V421" s="694"/>
      <c r="W421" s="711"/>
      <c r="X421" s="167"/>
      <c r="Y421" s="446"/>
      <c r="Z421" s="446"/>
      <c r="AA421" s="446"/>
      <c r="AB421" s="446"/>
      <c r="AC421" s="446"/>
      <c r="AD421" s="446"/>
      <c r="AE421" s="446"/>
      <c r="AF421" s="446"/>
      <c r="AG421" s="446"/>
      <c r="AH421" s="446"/>
      <c r="AI421" s="446"/>
      <c r="AJ421" s="446"/>
      <c r="AK421" s="446"/>
      <c r="AL421" s="446"/>
      <c r="AM421" s="446"/>
      <c r="AN421" s="446"/>
      <c r="AO421" s="446"/>
      <c r="AP421" s="446"/>
      <c r="AQ421" s="446"/>
      <c r="AR421" s="446"/>
      <c r="AS421" s="446"/>
      <c r="AT421" s="446"/>
      <c r="AU421" s="446"/>
      <c r="AV421" s="446"/>
      <c r="AW421" s="446"/>
      <c r="AX421" s="446"/>
      <c r="AY421" s="446"/>
      <c r="AZ421" s="446"/>
      <c r="BA421" s="446"/>
      <c r="BB421" s="446"/>
      <c r="BC421" s="446"/>
      <c r="BD421" s="446"/>
      <c r="BE421" s="445"/>
      <c r="BF421" s="445"/>
      <c r="BG421" s="446"/>
      <c r="BH421" s="446"/>
      <c r="BI421" s="442">
        <v>20.7</v>
      </c>
      <c r="BJ421" s="445">
        <v>13.2</v>
      </c>
      <c r="BK421" s="445"/>
      <c r="BL421" s="445"/>
      <c r="BM421" s="445"/>
      <c r="BN421" s="445"/>
      <c r="BO421" s="445"/>
      <c r="BP421" s="445"/>
      <c r="BQ421" s="271"/>
      <c r="BR421" s="271"/>
      <c r="BS421" s="271"/>
      <c r="BT421" s="271"/>
      <c r="BU421" s="271"/>
      <c r="BV421" s="454"/>
      <c r="BW421" s="454"/>
      <c r="BX421" s="756"/>
      <c r="BY421" s="850"/>
      <c r="BZ421" s="850"/>
      <c r="CA421" s="850"/>
      <c r="CB421" s="850"/>
      <c r="CC421" s="850"/>
      <c r="CD421" s="850"/>
      <c r="CE421" s="850"/>
      <c r="CF421" s="850"/>
      <c r="CG421" s="168" t="s">
        <v>329</v>
      </c>
      <c r="CH421" s="419" t="s">
        <v>776</v>
      </c>
      <c r="CI421" s="404">
        <v>40994</v>
      </c>
      <c r="CJ421" s="23"/>
      <c r="CK421" s="648" t="s">
        <v>1087</v>
      </c>
      <c r="CL421" s="572"/>
      <c r="CM421" s="648"/>
      <c r="CR421" s="406"/>
      <c r="CS421" s="648"/>
      <c r="CU421" s="23"/>
      <c r="CV421" s="23"/>
      <c r="CW421" s="23"/>
      <c r="CX421" s="23"/>
      <c r="DA421" s="648"/>
    </row>
    <row r="422" spans="1:105" s="35" customFormat="1" ht="12" customHeight="1" x14ac:dyDescent="0.2">
      <c r="A422" s="647" t="s">
        <v>390</v>
      </c>
      <c r="B422" s="469"/>
      <c r="C422" s="126" t="s">
        <v>1245</v>
      </c>
      <c r="D422" s="169" t="s">
        <v>1125</v>
      </c>
      <c r="E422" s="647" t="s">
        <v>14</v>
      </c>
      <c r="F422" s="647"/>
      <c r="G422" s="98"/>
      <c r="H422" s="97"/>
      <c r="I422" s="166">
        <v>2007</v>
      </c>
      <c r="J422" s="571"/>
      <c r="K422" s="571"/>
      <c r="L422" s="493"/>
      <c r="M422" s="247" t="s">
        <v>15</v>
      </c>
      <c r="N422" s="493"/>
      <c r="O422" s="256" t="s">
        <v>587</v>
      </c>
      <c r="P422" s="256"/>
      <c r="Q422" s="98"/>
      <c r="R422" s="167"/>
      <c r="S422" s="167"/>
      <c r="T422" s="167"/>
      <c r="U422" s="170"/>
      <c r="V422" s="692"/>
      <c r="W422" s="700"/>
      <c r="X422" s="167"/>
      <c r="Y422" s="271"/>
      <c r="Z422" s="271"/>
      <c r="AA422" s="271"/>
      <c r="AB422" s="271"/>
      <c r="AC422" s="271"/>
      <c r="AD422" s="271"/>
      <c r="AE422" s="271"/>
      <c r="AF422" s="271"/>
      <c r="AG422" s="271"/>
      <c r="AH422" s="271"/>
      <c r="AI422" s="271"/>
      <c r="AJ422" s="271"/>
      <c r="AK422" s="271"/>
      <c r="AL422" s="271"/>
      <c r="AM422" s="271"/>
      <c r="AN422" s="271"/>
      <c r="AO422" s="271"/>
      <c r="AP422" s="271"/>
      <c r="AQ422" s="271"/>
      <c r="AR422" s="271"/>
      <c r="AS422" s="271"/>
      <c r="AT422" s="271"/>
      <c r="AU422" s="271"/>
      <c r="AV422" s="271"/>
      <c r="AW422" s="271"/>
      <c r="AX422" s="271"/>
      <c r="AY422" s="271"/>
      <c r="AZ422" s="271"/>
      <c r="BA422" s="271"/>
      <c r="BB422" s="271"/>
      <c r="BC422" s="271"/>
      <c r="BD422" s="271"/>
      <c r="BE422" s="445"/>
      <c r="BF422" s="445"/>
      <c r="BG422" s="271"/>
      <c r="BH422" s="271"/>
      <c r="BI422" s="442">
        <v>14</v>
      </c>
      <c r="BJ422" s="445">
        <v>7.7</v>
      </c>
      <c r="BK422" s="445"/>
      <c r="BL422" s="445"/>
      <c r="BM422" s="445"/>
      <c r="BN422" s="445"/>
      <c r="BO422" s="445"/>
      <c r="BP422" s="445"/>
      <c r="BQ422" s="444"/>
      <c r="BR422" s="444"/>
      <c r="BS422" s="446"/>
      <c r="BT422" s="446"/>
      <c r="BU422" s="446"/>
      <c r="BV422" s="442"/>
      <c r="BW422" s="442"/>
      <c r="BX422" s="756"/>
      <c r="BY422" s="850"/>
      <c r="BZ422" s="850"/>
      <c r="CA422" s="850"/>
      <c r="CB422" s="850"/>
      <c r="CC422" s="850"/>
      <c r="CD422" s="850"/>
      <c r="CE422" s="850"/>
      <c r="CF422" s="850"/>
      <c r="CG422" s="169" t="s">
        <v>876</v>
      </c>
      <c r="CH422" s="419"/>
      <c r="CI422" s="407"/>
      <c r="CJ422" s="23"/>
      <c r="CK422" s="417" t="s">
        <v>1069</v>
      </c>
      <c r="CL422" s="572"/>
      <c r="CM422" s="648"/>
      <c r="CR422" s="406"/>
      <c r="CS422" s="648"/>
      <c r="CU422" s="23"/>
      <c r="CV422" s="23"/>
      <c r="CW422" s="23"/>
      <c r="CX422" s="23"/>
      <c r="DA422" s="648"/>
    </row>
    <row r="423" spans="1:105" s="35" customFormat="1" ht="12" customHeight="1" x14ac:dyDescent="0.2">
      <c r="A423" s="651"/>
      <c r="B423" s="537"/>
      <c r="C423" s="97" t="s">
        <v>195</v>
      </c>
      <c r="D423" s="169" t="s">
        <v>1130</v>
      </c>
      <c r="E423" s="647"/>
      <c r="F423" s="647"/>
      <c r="G423" s="98"/>
      <c r="H423" s="97"/>
      <c r="I423" s="166">
        <v>2003</v>
      </c>
      <c r="J423" s="571"/>
      <c r="K423" s="571"/>
      <c r="L423" s="493" t="s">
        <v>783</v>
      </c>
      <c r="M423" s="98" t="s">
        <v>15</v>
      </c>
      <c r="N423" s="494" t="s">
        <v>783</v>
      </c>
      <c r="O423" s="98"/>
      <c r="P423" s="98"/>
      <c r="Q423" s="98"/>
      <c r="R423" s="167"/>
      <c r="S423" s="167"/>
      <c r="T423" s="167"/>
      <c r="U423" s="393">
        <v>2015</v>
      </c>
      <c r="V423" s="694"/>
      <c r="W423" s="711"/>
      <c r="X423" s="167"/>
      <c r="Y423" s="446"/>
      <c r="Z423" s="446"/>
      <c r="AA423" s="446"/>
      <c r="AB423" s="446"/>
      <c r="AC423" s="446"/>
      <c r="AD423" s="446"/>
      <c r="AE423" s="446"/>
      <c r="AF423" s="446"/>
      <c r="AG423" s="446"/>
      <c r="AH423" s="446"/>
      <c r="AI423" s="446"/>
      <c r="AJ423" s="446"/>
      <c r="AK423" s="446"/>
      <c r="AL423" s="446"/>
      <c r="AM423" s="446"/>
      <c r="AN423" s="446"/>
      <c r="AO423" s="446"/>
      <c r="AP423" s="446"/>
      <c r="AQ423" s="446"/>
      <c r="AR423" s="446"/>
      <c r="AS423" s="446"/>
      <c r="AT423" s="446"/>
      <c r="AU423" s="446"/>
      <c r="AV423" s="446"/>
      <c r="AW423" s="446"/>
      <c r="AX423" s="446"/>
      <c r="AY423" s="446"/>
      <c r="AZ423" s="446"/>
      <c r="BA423" s="446"/>
      <c r="BB423" s="446"/>
      <c r="BC423" s="446"/>
      <c r="BD423" s="446"/>
      <c r="BE423" s="445"/>
      <c r="BF423" s="445"/>
      <c r="BG423" s="446"/>
      <c r="BH423" s="446"/>
      <c r="BI423" s="445">
        <v>8.0500000000000007</v>
      </c>
      <c r="BJ423" s="445"/>
      <c r="BK423" s="445"/>
      <c r="BL423" s="445"/>
      <c r="BM423" s="445"/>
      <c r="BN423" s="445"/>
      <c r="BO423" s="445"/>
      <c r="BP423" s="445"/>
      <c r="BQ423" s="444"/>
      <c r="BR423" s="444"/>
      <c r="BS423" s="446"/>
      <c r="BT423" s="446"/>
      <c r="BU423" s="446"/>
      <c r="BV423" s="442"/>
      <c r="BW423" s="442"/>
      <c r="BX423" s="756"/>
      <c r="BY423" s="850"/>
      <c r="BZ423" s="850"/>
      <c r="CA423" s="850"/>
      <c r="CB423" s="850"/>
      <c r="CC423" s="850"/>
      <c r="CD423" s="850"/>
      <c r="CE423" s="850"/>
      <c r="CF423" s="850"/>
      <c r="CG423" s="169" t="s">
        <v>957</v>
      </c>
      <c r="CH423" s="417"/>
      <c r="CI423" s="407"/>
      <c r="CJ423" s="23"/>
      <c r="CK423" s="417" t="s">
        <v>1044</v>
      </c>
      <c r="CL423" s="572"/>
      <c r="CM423" s="648"/>
      <c r="CR423" s="406"/>
      <c r="CS423" s="648"/>
      <c r="CU423" s="23"/>
      <c r="CV423" s="23"/>
      <c r="CW423" s="23"/>
      <c r="CX423" s="23"/>
      <c r="DA423" s="648"/>
    </row>
    <row r="424" spans="1:105" s="35" customFormat="1" ht="12" customHeight="1" x14ac:dyDescent="0.2">
      <c r="A424" s="651"/>
      <c r="B424" s="537"/>
      <c r="C424" s="97" t="s">
        <v>195</v>
      </c>
      <c r="D424" s="169" t="s">
        <v>1130</v>
      </c>
      <c r="E424" s="647" t="s">
        <v>755</v>
      </c>
      <c r="F424" s="647"/>
      <c r="G424" s="98"/>
      <c r="H424" s="97"/>
      <c r="I424" s="166">
        <v>2004</v>
      </c>
      <c r="J424" s="571"/>
      <c r="K424" s="571"/>
      <c r="L424" s="493"/>
      <c r="M424" s="98" t="s">
        <v>47</v>
      </c>
      <c r="N424" s="493"/>
      <c r="O424" s="98" t="s">
        <v>799</v>
      </c>
      <c r="P424" s="98"/>
      <c r="Q424" s="98"/>
      <c r="R424" s="167"/>
      <c r="S424" s="167"/>
      <c r="T424" s="167"/>
      <c r="U424" s="393">
        <v>2136</v>
      </c>
      <c r="V424" s="694"/>
      <c r="W424" s="711"/>
      <c r="X424" s="167"/>
      <c r="Y424" s="446"/>
      <c r="Z424" s="446"/>
      <c r="AA424" s="446"/>
      <c r="AB424" s="446"/>
      <c r="AC424" s="446"/>
      <c r="AD424" s="446"/>
      <c r="AE424" s="446"/>
      <c r="AF424" s="446"/>
      <c r="AG424" s="446"/>
      <c r="AH424" s="446"/>
      <c r="AI424" s="446"/>
      <c r="AJ424" s="446"/>
      <c r="AK424" s="446"/>
      <c r="AL424" s="446"/>
      <c r="AM424" s="446"/>
      <c r="AN424" s="446"/>
      <c r="AO424" s="446"/>
      <c r="AP424" s="446"/>
      <c r="AQ424" s="446"/>
      <c r="AR424" s="446"/>
      <c r="AS424" s="446"/>
      <c r="AT424" s="446"/>
      <c r="AU424" s="446"/>
      <c r="AV424" s="446"/>
      <c r="AW424" s="446"/>
      <c r="AX424" s="446"/>
      <c r="AY424" s="446"/>
      <c r="AZ424" s="446"/>
      <c r="BA424" s="446"/>
      <c r="BB424" s="446"/>
      <c r="BC424" s="446"/>
      <c r="BD424" s="446"/>
      <c r="BE424" s="445"/>
      <c r="BF424" s="445"/>
      <c r="BG424" s="446"/>
      <c r="BH424" s="446"/>
      <c r="BI424" s="445"/>
      <c r="BJ424" s="445"/>
      <c r="BK424" s="445"/>
      <c r="BL424" s="445"/>
      <c r="BM424" s="445"/>
      <c r="BN424" s="445"/>
      <c r="BO424" s="445"/>
      <c r="BP424" s="445"/>
      <c r="BQ424" s="444"/>
      <c r="BR424" s="445">
        <v>2.4</v>
      </c>
      <c r="BS424" s="446"/>
      <c r="BT424" s="446"/>
      <c r="BU424" s="446"/>
      <c r="BV424" s="442"/>
      <c r="BW424" s="442"/>
      <c r="BX424" s="756"/>
      <c r="BY424" s="850"/>
      <c r="BZ424" s="850"/>
      <c r="CA424" s="850"/>
      <c r="CB424" s="850"/>
      <c r="CC424" s="850"/>
      <c r="CD424" s="850"/>
      <c r="CE424" s="850"/>
      <c r="CF424" s="850"/>
      <c r="CG424" s="168" t="s">
        <v>984</v>
      </c>
      <c r="CH424" s="417"/>
      <c r="CI424" s="407"/>
      <c r="CJ424" s="23"/>
      <c r="CK424" s="679" t="s">
        <v>758</v>
      </c>
      <c r="CL424" s="572"/>
      <c r="CM424" s="648"/>
      <c r="CR424" s="406"/>
      <c r="CS424" s="648"/>
      <c r="CU424" s="23"/>
      <c r="CV424" s="23"/>
      <c r="CW424" s="23"/>
      <c r="CX424" s="23"/>
      <c r="DA424" s="648"/>
    </row>
    <row r="425" spans="1:105" s="35" customFormat="1" ht="12" customHeight="1" x14ac:dyDescent="0.2">
      <c r="A425" s="651"/>
      <c r="B425" s="537"/>
      <c r="C425" s="97" t="s">
        <v>195</v>
      </c>
      <c r="D425" s="169" t="s">
        <v>1130</v>
      </c>
      <c r="E425" s="647" t="s">
        <v>798</v>
      </c>
      <c r="F425" s="647"/>
      <c r="G425" s="98"/>
      <c r="H425" s="97"/>
      <c r="I425" s="166">
        <v>2006</v>
      </c>
      <c r="J425" s="571"/>
      <c r="K425" s="571"/>
      <c r="L425" s="493"/>
      <c r="M425" s="98"/>
      <c r="N425" s="493"/>
      <c r="O425" s="98"/>
      <c r="P425" s="98"/>
      <c r="Q425" s="98"/>
      <c r="R425" s="167"/>
      <c r="S425" s="167"/>
      <c r="T425" s="167"/>
      <c r="U425" s="393">
        <v>449</v>
      </c>
      <c r="V425" s="694"/>
      <c r="W425" s="711"/>
      <c r="X425" s="167"/>
      <c r="Y425" s="446"/>
      <c r="Z425" s="446"/>
      <c r="AA425" s="446"/>
      <c r="AB425" s="446"/>
      <c r="AC425" s="446"/>
      <c r="AD425" s="446"/>
      <c r="AE425" s="446"/>
      <c r="AF425" s="446"/>
      <c r="AG425" s="446"/>
      <c r="AH425" s="446"/>
      <c r="AI425" s="446"/>
      <c r="AJ425" s="446"/>
      <c r="AK425" s="446"/>
      <c r="AL425" s="446"/>
      <c r="AM425" s="446"/>
      <c r="AN425" s="446"/>
      <c r="AO425" s="446"/>
      <c r="AP425" s="446"/>
      <c r="AQ425" s="446"/>
      <c r="AR425" s="446"/>
      <c r="AS425" s="446"/>
      <c r="AT425" s="446"/>
      <c r="AU425" s="446"/>
      <c r="AV425" s="446"/>
      <c r="AW425" s="446"/>
      <c r="AX425" s="446"/>
      <c r="AY425" s="446"/>
      <c r="AZ425" s="446"/>
      <c r="BA425" s="446"/>
      <c r="BB425" s="446"/>
      <c r="BC425" s="446"/>
      <c r="BD425" s="446"/>
      <c r="BE425" s="442"/>
      <c r="BF425" s="442"/>
      <c r="BG425" s="446"/>
      <c r="BH425" s="446"/>
      <c r="BI425" s="442"/>
      <c r="BJ425" s="442"/>
      <c r="BK425" s="442"/>
      <c r="BL425" s="442"/>
      <c r="BM425" s="442"/>
      <c r="BN425" s="442"/>
      <c r="BO425" s="442"/>
      <c r="BP425" s="442"/>
      <c r="BQ425" s="442">
        <v>22.8</v>
      </c>
      <c r="BR425" s="444"/>
      <c r="BS425" s="446"/>
      <c r="BT425" s="446"/>
      <c r="BU425" s="446"/>
      <c r="BV425" s="442"/>
      <c r="BW425" s="442"/>
      <c r="BX425" s="756"/>
      <c r="BY425" s="850"/>
      <c r="BZ425" s="850"/>
      <c r="CA425" s="850"/>
      <c r="CB425" s="850"/>
      <c r="CC425" s="850"/>
      <c r="CD425" s="850"/>
      <c r="CE425" s="850"/>
      <c r="CF425" s="850"/>
      <c r="CG425" s="169" t="s">
        <v>957</v>
      </c>
      <c r="CH425" s="417"/>
      <c r="CI425" s="407"/>
      <c r="CJ425" s="23"/>
      <c r="CK425" s="417" t="s">
        <v>1044</v>
      </c>
      <c r="CL425" s="572"/>
      <c r="CM425" s="431"/>
      <c r="CN425" s="128"/>
      <c r="CO425" s="128"/>
      <c r="CP425" s="128"/>
      <c r="CQ425" s="128"/>
      <c r="CR425" s="406"/>
      <c r="CS425" s="431"/>
      <c r="CU425" s="23"/>
      <c r="CV425" s="23"/>
      <c r="CW425" s="23"/>
      <c r="CX425" s="23"/>
      <c r="DA425" s="648"/>
    </row>
    <row r="426" spans="1:105" s="35" customFormat="1" ht="12" customHeight="1" x14ac:dyDescent="0.2">
      <c r="A426" s="651"/>
      <c r="B426" s="537"/>
      <c r="C426" s="97" t="s">
        <v>195</v>
      </c>
      <c r="D426" s="169" t="s">
        <v>1130</v>
      </c>
      <c r="E426" s="647" t="s">
        <v>14</v>
      </c>
      <c r="F426" s="647"/>
      <c r="G426" s="98"/>
      <c r="H426" s="97"/>
      <c r="I426" s="166" t="s">
        <v>585</v>
      </c>
      <c r="J426" s="571"/>
      <c r="K426" s="571"/>
      <c r="L426" s="493"/>
      <c r="M426" s="98" t="s">
        <v>17</v>
      </c>
      <c r="N426" s="493"/>
      <c r="O426" s="98" t="s">
        <v>345</v>
      </c>
      <c r="P426" s="98"/>
      <c r="Q426" s="98"/>
      <c r="R426" s="167"/>
      <c r="S426" s="167"/>
      <c r="T426" s="167"/>
      <c r="U426" s="393">
        <v>10202</v>
      </c>
      <c r="V426" s="694"/>
      <c r="W426" s="711"/>
      <c r="X426" s="167"/>
      <c r="Y426" s="446"/>
      <c r="Z426" s="446"/>
      <c r="AA426" s="446"/>
      <c r="AB426" s="446"/>
      <c r="AC426" s="446"/>
      <c r="AD426" s="446"/>
      <c r="AE426" s="446"/>
      <c r="AF426" s="446"/>
      <c r="AG426" s="446"/>
      <c r="AH426" s="446"/>
      <c r="AI426" s="446"/>
      <c r="AJ426" s="446"/>
      <c r="AK426" s="446"/>
      <c r="AL426" s="446"/>
      <c r="AM426" s="446"/>
      <c r="AN426" s="446"/>
      <c r="AO426" s="446"/>
      <c r="AP426" s="446"/>
      <c r="AQ426" s="446"/>
      <c r="AR426" s="446"/>
      <c r="AS426" s="446"/>
      <c r="AT426" s="446"/>
      <c r="AU426" s="446"/>
      <c r="AV426" s="446"/>
      <c r="AW426" s="446"/>
      <c r="AX426" s="446"/>
      <c r="AY426" s="446"/>
      <c r="AZ426" s="446"/>
      <c r="BA426" s="446"/>
      <c r="BB426" s="446"/>
      <c r="BC426" s="446"/>
      <c r="BD426" s="446"/>
      <c r="BE426" s="446"/>
      <c r="BF426" s="446"/>
      <c r="BG426" s="446"/>
      <c r="BH426" s="446"/>
      <c r="BI426" s="445"/>
      <c r="BJ426" s="446"/>
      <c r="BK426" s="446"/>
      <c r="BL426" s="446"/>
      <c r="BM426" s="446"/>
      <c r="BN426" s="446"/>
      <c r="BO426" s="446"/>
      <c r="BP426" s="446"/>
      <c r="BQ426" s="444"/>
      <c r="BR426" s="445"/>
      <c r="BS426" s="442">
        <v>14.3</v>
      </c>
      <c r="BT426" s="271"/>
      <c r="BU426" s="271"/>
      <c r="BV426" s="454"/>
      <c r="BW426" s="454"/>
      <c r="BX426" s="756"/>
      <c r="BY426" s="850"/>
      <c r="BZ426" s="850"/>
      <c r="CA426" s="850"/>
      <c r="CB426" s="850"/>
      <c r="CC426" s="850"/>
      <c r="CD426" s="850"/>
      <c r="CE426" s="850"/>
      <c r="CF426" s="850"/>
      <c r="CG426" s="168" t="s">
        <v>985</v>
      </c>
      <c r="CH426" s="427" t="s">
        <v>1169</v>
      </c>
      <c r="CI426" s="409"/>
      <c r="CJ426" s="23"/>
      <c r="CK426" s="679" t="s">
        <v>584</v>
      </c>
      <c r="CL426" s="572"/>
      <c r="CM426" s="648"/>
      <c r="CR426" s="406"/>
      <c r="CS426" s="648"/>
      <c r="CU426" s="23"/>
      <c r="CV426" s="23"/>
      <c r="CW426" s="23"/>
      <c r="CX426" s="23"/>
      <c r="DA426" s="648"/>
    </row>
    <row r="427" spans="1:105" s="35" customFormat="1" ht="12" customHeight="1" x14ac:dyDescent="0.2">
      <c r="A427" s="651"/>
      <c r="B427" s="537"/>
      <c r="C427" s="97" t="s">
        <v>196</v>
      </c>
      <c r="D427" s="169" t="s">
        <v>1125</v>
      </c>
      <c r="E427" s="647" t="s">
        <v>946</v>
      </c>
      <c r="F427" s="647"/>
      <c r="G427" s="237"/>
      <c r="H427" s="186"/>
      <c r="I427" s="166">
        <v>1990</v>
      </c>
      <c r="J427" s="390"/>
      <c r="K427" s="390"/>
      <c r="L427" s="493"/>
      <c r="M427" s="237" t="s">
        <v>17</v>
      </c>
      <c r="N427" s="493"/>
      <c r="O427" s="247" t="s">
        <v>645</v>
      </c>
      <c r="P427" s="247"/>
      <c r="Q427" s="98"/>
      <c r="R427" s="167"/>
      <c r="S427" s="167"/>
      <c r="T427" s="167"/>
      <c r="U427" s="393">
        <v>200</v>
      </c>
      <c r="V427" s="694"/>
      <c r="W427" s="711"/>
      <c r="X427" s="254"/>
      <c r="Y427" s="446"/>
      <c r="Z427" s="446"/>
      <c r="AA427" s="446"/>
      <c r="AB427" s="446"/>
      <c r="AC427" s="446"/>
      <c r="AD427" s="446"/>
      <c r="AE427" s="446"/>
      <c r="AF427" s="446"/>
      <c r="AG427" s="446"/>
      <c r="AH427" s="446"/>
      <c r="AI427" s="446"/>
      <c r="AJ427" s="446"/>
      <c r="AK427" s="446"/>
      <c r="AL427" s="446"/>
      <c r="AM427" s="446"/>
      <c r="AN427" s="446"/>
      <c r="AO427" s="446"/>
      <c r="AP427" s="446"/>
      <c r="AQ427" s="446"/>
      <c r="AR427" s="446"/>
      <c r="AS427" s="446"/>
      <c r="AT427" s="446"/>
      <c r="AU427" s="446"/>
      <c r="AV427" s="446"/>
      <c r="AW427" s="446"/>
      <c r="AX427" s="446"/>
      <c r="AY427" s="446"/>
      <c r="AZ427" s="446"/>
      <c r="BA427" s="446"/>
      <c r="BB427" s="446"/>
      <c r="BC427" s="446"/>
      <c r="BD427" s="446"/>
      <c r="BE427" s="446"/>
      <c r="BF427" s="446"/>
      <c r="BG427" s="446"/>
      <c r="BH427" s="446"/>
      <c r="BI427" s="445"/>
      <c r="BJ427" s="446"/>
      <c r="BK427" s="446"/>
      <c r="BL427" s="446"/>
      <c r="BM427" s="446"/>
      <c r="BN427" s="446"/>
      <c r="BO427" s="446"/>
      <c r="BP427" s="446"/>
      <c r="BQ427" s="444"/>
      <c r="BR427" s="445"/>
      <c r="BS427" s="442">
        <v>60</v>
      </c>
      <c r="BT427" s="271"/>
      <c r="BU427" s="271"/>
      <c r="BV427" s="454"/>
      <c r="BW427" s="454"/>
      <c r="BX427" s="756"/>
      <c r="BY427" s="850"/>
      <c r="BZ427" s="850"/>
      <c r="CA427" s="850"/>
      <c r="CB427" s="850"/>
      <c r="CC427" s="850"/>
      <c r="CD427" s="850"/>
      <c r="CE427" s="850"/>
      <c r="CF427" s="850"/>
      <c r="CG427" s="168" t="s">
        <v>524</v>
      </c>
      <c r="CH427" s="417" t="s">
        <v>1062</v>
      </c>
      <c r="CI427" s="407"/>
      <c r="CJ427" s="23"/>
      <c r="CK427" s="648" t="s">
        <v>533</v>
      </c>
      <c r="CL427" s="572"/>
      <c r="CM427" s="648"/>
      <c r="CR427" s="406"/>
      <c r="CS427" s="648"/>
      <c r="CU427" s="23"/>
      <c r="CV427" s="23"/>
      <c r="CW427" s="23"/>
      <c r="CX427" s="23"/>
      <c r="DA427" s="648"/>
    </row>
    <row r="428" spans="1:105" s="35" customFormat="1" ht="12" customHeight="1" x14ac:dyDescent="0.2">
      <c r="A428" s="651"/>
      <c r="B428" s="537"/>
      <c r="C428" s="97" t="s">
        <v>196</v>
      </c>
      <c r="D428" s="279" t="s">
        <v>1125</v>
      </c>
      <c r="E428" s="647" t="s">
        <v>511</v>
      </c>
      <c r="F428" s="647"/>
      <c r="G428" s="237"/>
      <c r="H428" s="186"/>
      <c r="I428" s="166">
        <v>2001</v>
      </c>
      <c r="J428" s="390"/>
      <c r="K428" s="390"/>
      <c r="L428" s="493"/>
      <c r="M428" s="237" t="s">
        <v>18</v>
      </c>
      <c r="N428" s="493"/>
      <c r="O428" s="98"/>
      <c r="P428" s="98"/>
      <c r="Q428" s="237"/>
      <c r="R428" s="254"/>
      <c r="S428" s="254"/>
      <c r="T428" s="254"/>
      <c r="U428" s="393">
        <v>417</v>
      </c>
      <c r="V428" s="694"/>
      <c r="W428" s="711"/>
      <c r="X428" s="254"/>
      <c r="Y428" s="446"/>
      <c r="Z428" s="446"/>
      <c r="AA428" s="446"/>
      <c r="AB428" s="446"/>
      <c r="AC428" s="446"/>
      <c r="AD428" s="446"/>
      <c r="AE428" s="446"/>
      <c r="AF428" s="446"/>
      <c r="AG428" s="446"/>
      <c r="AH428" s="446"/>
      <c r="AI428" s="446"/>
      <c r="AJ428" s="446"/>
      <c r="AK428" s="446"/>
      <c r="AL428" s="446"/>
      <c r="AM428" s="446"/>
      <c r="AN428" s="446"/>
      <c r="AO428" s="446"/>
      <c r="AP428" s="446"/>
      <c r="AQ428" s="446"/>
      <c r="AR428" s="446"/>
      <c r="AS428" s="446"/>
      <c r="AT428" s="446"/>
      <c r="AU428" s="446"/>
      <c r="AV428" s="446"/>
      <c r="AW428" s="446"/>
      <c r="AX428" s="446"/>
      <c r="AY428" s="446"/>
      <c r="AZ428" s="446"/>
      <c r="BA428" s="446"/>
      <c r="BB428" s="446"/>
      <c r="BC428" s="446"/>
      <c r="BD428" s="446"/>
      <c r="BE428" s="445"/>
      <c r="BF428" s="445"/>
      <c r="BG428" s="446"/>
      <c r="BH428" s="446"/>
      <c r="BI428" s="442">
        <v>30</v>
      </c>
      <c r="BJ428" s="445">
        <v>22</v>
      </c>
      <c r="BK428" s="445"/>
      <c r="BL428" s="445"/>
      <c r="BM428" s="445"/>
      <c r="BN428" s="445"/>
      <c r="BO428" s="445"/>
      <c r="BP428" s="445"/>
      <c r="BQ428" s="271"/>
      <c r="BR428" s="271"/>
      <c r="BS428" s="271"/>
      <c r="BT428" s="271"/>
      <c r="BU428" s="271"/>
      <c r="BV428" s="454"/>
      <c r="BW428" s="454"/>
      <c r="BX428" s="756"/>
      <c r="BY428" s="850"/>
      <c r="BZ428" s="850"/>
      <c r="CA428" s="850"/>
      <c r="CB428" s="850"/>
      <c r="CC428" s="850"/>
      <c r="CD428" s="850"/>
      <c r="CE428" s="850"/>
      <c r="CF428" s="850"/>
      <c r="CG428" s="279" t="s">
        <v>986</v>
      </c>
      <c r="CH428" s="419" t="s">
        <v>581</v>
      </c>
      <c r="CI428" s="407"/>
      <c r="CJ428" s="23"/>
      <c r="CK428" s="648" t="s">
        <v>719</v>
      </c>
      <c r="CL428" s="572"/>
      <c r="CM428" s="648"/>
      <c r="CR428" s="406"/>
      <c r="CS428" s="648"/>
      <c r="CU428" s="23"/>
      <c r="CV428" s="23"/>
      <c r="CW428" s="23"/>
      <c r="CX428" s="23"/>
      <c r="DA428" s="648"/>
    </row>
    <row r="429" spans="1:105" s="35" customFormat="1" ht="12" customHeight="1" x14ac:dyDescent="0.2">
      <c r="A429" s="651"/>
      <c r="B429" s="537"/>
      <c r="C429" s="97" t="s">
        <v>196</v>
      </c>
      <c r="D429" s="279" t="s">
        <v>1125</v>
      </c>
      <c r="E429" s="647" t="s">
        <v>512</v>
      </c>
      <c r="F429" s="647"/>
      <c r="G429" s="237"/>
      <c r="H429" s="186"/>
      <c r="I429" s="166">
        <v>2004</v>
      </c>
      <c r="J429" s="390"/>
      <c r="K429" s="390"/>
      <c r="L429" s="493"/>
      <c r="M429" s="237" t="s">
        <v>78</v>
      </c>
      <c r="N429" s="493"/>
      <c r="O429" s="247" t="s">
        <v>19</v>
      </c>
      <c r="P429" s="247"/>
      <c r="Q429" s="237"/>
      <c r="R429" s="254"/>
      <c r="S429" s="254"/>
      <c r="T429" s="254"/>
      <c r="U429" s="393">
        <v>1200</v>
      </c>
      <c r="V429" s="694"/>
      <c r="W429" s="711"/>
      <c r="X429" s="254"/>
      <c r="Y429" s="446"/>
      <c r="Z429" s="446"/>
      <c r="AA429" s="446"/>
      <c r="AB429" s="446"/>
      <c r="AC429" s="446"/>
      <c r="AD429" s="446"/>
      <c r="AE429" s="446"/>
      <c r="AF429" s="446"/>
      <c r="AG429" s="446"/>
      <c r="AH429" s="446"/>
      <c r="AI429" s="446"/>
      <c r="AJ429" s="446"/>
      <c r="AK429" s="446"/>
      <c r="AL429" s="446"/>
      <c r="AM429" s="446"/>
      <c r="AN429" s="446"/>
      <c r="AO429" s="446"/>
      <c r="AP429" s="446"/>
      <c r="AQ429" s="446"/>
      <c r="AR429" s="446"/>
      <c r="AS429" s="446"/>
      <c r="AT429" s="446"/>
      <c r="AU429" s="446"/>
      <c r="AV429" s="446"/>
      <c r="AW429" s="446"/>
      <c r="AX429" s="446"/>
      <c r="AY429" s="446"/>
      <c r="AZ429" s="446"/>
      <c r="BA429" s="446"/>
      <c r="BB429" s="446"/>
      <c r="BC429" s="446"/>
      <c r="BD429" s="446"/>
      <c r="BE429" s="445"/>
      <c r="BF429" s="445"/>
      <c r="BG429" s="446"/>
      <c r="BH429" s="446"/>
      <c r="BI429" s="442">
        <v>18.3</v>
      </c>
      <c r="BJ429" s="445">
        <v>10.6</v>
      </c>
      <c r="BK429" s="445"/>
      <c r="BL429" s="445"/>
      <c r="BM429" s="445"/>
      <c r="BN429" s="445"/>
      <c r="BO429" s="445"/>
      <c r="BP429" s="445"/>
      <c r="BQ429" s="271"/>
      <c r="BR429" s="271"/>
      <c r="BS429" s="271"/>
      <c r="BT429" s="271"/>
      <c r="BU429" s="271"/>
      <c r="BV429" s="454"/>
      <c r="BW429" s="454"/>
      <c r="BX429" s="756"/>
      <c r="BY429" s="850"/>
      <c r="BZ429" s="850"/>
      <c r="CA429" s="850"/>
      <c r="CB429" s="850"/>
      <c r="CC429" s="850"/>
      <c r="CD429" s="850"/>
      <c r="CE429" s="850"/>
      <c r="CF429" s="850"/>
      <c r="CG429" s="279" t="s">
        <v>986</v>
      </c>
      <c r="CH429" s="419" t="s">
        <v>581</v>
      </c>
      <c r="CI429" s="407"/>
      <c r="CJ429" s="23"/>
      <c r="CK429" s="648" t="s">
        <v>719</v>
      </c>
      <c r="CL429" s="572"/>
      <c r="CM429" s="648"/>
      <c r="CR429" s="406"/>
      <c r="CS429" s="648"/>
      <c r="CU429" s="23"/>
      <c r="CV429" s="23"/>
      <c r="CW429" s="23"/>
      <c r="CX429" s="23"/>
      <c r="DA429" s="648"/>
    </row>
    <row r="430" spans="1:105" s="35" customFormat="1" ht="12" customHeight="1" x14ac:dyDescent="0.2">
      <c r="A430" s="651"/>
      <c r="B430" s="537"/>
      <c r="C430" s="97" t="s">
        <v>197</v>
      </c>
      <c r="D430" s="278" t="s">
        <v>1131</v>
      </c>
      <c r="E430" s="647" t="s">
        <v>583</v>
      </c>
      <c r="F430" s="647"/>
      <c r="G430" s="237"/>
      <c r="H430" s="186"/>
      <c r="I430" s="166" t="s">
        <v>30</v>
      </c>
      <c r="J430" s="390"/>
      <c r="K430" s="390"/>
      <c r="L430" s="493"/>
      <c r="M430" s="237" t="s">
        <v>18</v>
      </c>
      <c r="N430" s="493"/>
      <c r="O430" s="98" t="s">
        <v>105</v>
      </c>
      <c r="P430" s="98"/>
      <c r="Q430" s="237"/>
      <c r="R430" s="254"/>
      <c r="S430" s="254"/>
      <c r="T430" s="254"/>
      <c r="U430" s="393">
        <v>394</v>
      </c>
      <c r="V430" s="694"/>
      <c r="W430" s="711"/>
      <c r="X430" s="254"/>
      <c r="Y430" s="446"/>
      <c r="Z430" s="446"/>
      <c r="AA430" s="446"/>
      <c r="AB430" s="446"/>
      <c r="AC430" s="446"/>
      <c r="AD430" s="446"/>
      <c r="AE430" s="446"/>
      <c r="AF430" s="446"/>
      <c r="AG430" s="446"/>
      <c r="AH430" s="446"/>
      <c r="AI430" s="446"/>
      <c r="AJ430" s="446"/>
      <c r="AK430" s="446"/>
      <c r="AL430" s="446"/>
      <c r="AM430" s="446"/>
      <c r="AN430" s="446"/>
      <c r="AO430" s="446"/>
      <c r="AP430" s="446"/>
      <c r="AQ430" s="446"/>
      <c r="AR430" s="446"/>
      <c r="AS430" s="446"/>
      <c r="AT430" s="446"/>
      <c r="AU430" s="446"/>
      <c r="AV430" s="446"/>
      <c r="AW430" s="446"/>
      <c r="AX430" s="446"/>
      <c r="AY430" s="446"/>
      <c r="AZ430" s="446"/>
      <c r="BA430" s="446"/>
      <c r="BB430" s="446"/>
      <c r="BC430" s="446"/>
      <c r="BD430" s="446"/>
      <c r="BE430" s="445"/>
      <c r="BF430" s="445"/>
      <c r="BG430" s="446"/>
      <c r="BH430" s="446"/>
      <c r="BI430" s="442">
        <f>100*162/394</f>
        <v>41.116751269035532</v>
      </c>
      <c r="BJ430" s="445"/>
      <c r="BK430" s="445"/>
      <c r="BL430" s="445"/>
      <c r="BM430" s="445"/>
      <c r="BN430" s="445"/>
      <c r="BO430" s="445"/>
      <c r="BP430" s="445"/>
      <c r="BQ430" s="271"/>
      <c r="BR430" s="271"/>
      <c r="BS430" s="271"/>
      <c r="BT430" s="271"/>
      <c r="BU430" s="271"/>
      <c r="BV430" s="454"/>
      <c r="BW430" s="454"/>
      <c r="BX430" s="756"/>
      <c r="BY430" s="850"/>
      <c r="BZ430" s="850"/>
      <c r="CA430" s="850"/>
      <c r="CB430" s="850"/>
      <c r="CC430" s="850"/>
      <c r="CD430" s="850"/>
      <c r="CE430" s="850"/>
      <c r="CF430" s="850"/>
      <c r="CG430" s="278" t="s">
        <v>987</v>
      </c>
      <c r="CH430" s="419" t="s">
        <v>616</v>
      </c>
      <c r="CI430" s="409"/>
      <c r="CJ430" s="23"/>
      <c r="CK430" s="648" t="s">
        <v>582</v>
      </c>
      <c r="CL430" s="572"/>
      <c r="CM430" s="648"/>
      <c r="CR430" s="406"/>
      <c r="CS430" s="648"/>
      <c r="CU430" s="23"/>
      <c r="CV430" s="23"/>
      <c r="CW430" s="23"/>
      <c r="CX430" s="23"/>
      <c r="DA430" s="648"/>
    </row>
    <row r="431" spans="1:105" s="35" customFormat="1" ht="12" customHeight="1" x14ac:dyDescent="0.2">
      <c r="A431" s="651"/>
      <c r="B431" s="537"/>
      <c r="C431" s="97" t="s">
        <v>413</v>
      </c>
      <c r="D431" s="169" t="s">
        <v>1131</v>
      </c>
      <c r="E431" s="647" t="s">
        <v>14</v>
      </c>
      <c r="F431" s="647"/>
      <c r="G431" s="237"/>
      <c r="H431" s="186"/>
      <c r="I431" s="166">
        <v>2002</v>
      </c>
      <c r="J431" s="390"/>
      <c r="K431" s="390"/>
      <c r="L431" s="493" t="s">
        <v>578</v>
      </c>
      <c r="M431" s="237" t="s">
        <v>17</v>
      </c>
      <c r="N431" s="493"/>
      <c r="O431" s="98" t="s">
        <v>263</v>
      </c>
      <c r="P431" s="98"/>
      <c r="Q431" s="237"/>
      <c r="R431" s="254"/>
      <c r="S431" s="254"/>
      <c r="T431" s="254"/>
      <c r="U431" s="393">
        <f>1034+88</f>
        <v>1122</v>
      </c>
      <c r="V431" s="694"/>
      <c r="W431" s="711"/>
      <c r="X431" s="254"/>
      <c r="Y431" s="446"/>
      <c r="Z431" s="446"/>
      <c r="AA431" s="446"/>
      <c r="AB431" s="446"/>
      <c r="AC431" s="446"/>
      <c r="AD431" s="446"/>
      <c r="AE431" s="446"/>
      <c r="AF431" s="446"/>
      <c r="AG431" s="446"/>
      <c r="AH431" s="446"/>
      <c r="AI431" s="446"/>
      <c r="AJ431" s="446"/>
      <c r="AK431" s="446"/>
      <c r="AL431" s="446"/>
      <c r="AM431" s="446"/>
      <c r="AN431" s="446"/>
      <c r="AO431" s="446"/>
      <c r="AP431" s="446"/>
      <c r="AQ431" s="446"/>
      <c r="AR431" s="446"/>
      <c r="AS431" s="446"/>
      <c r="AT431" s="446"/>
      <c r="AU431" s="446"/>
      <c r="AV431" s="446"/>
      <c r="AW431" s="446"/>
      <c r="AX431" s="446"/>
      <c r="AY431" s="446"/>
      <c r="AZ431" s="446"/>
      <c r="BA431" s="446"/>
      <c r="BB431" s="446"/>
      <c r="BC431" s="446"/>
      <c r="BD431" s="446"/>
      <c r="BE431" s="446"/>
      <c r="BF431" s="446"/>
      <c r="BG431" s="446"/>
      <c r="BH431" s="446"/>
      <c r="BI431" s="445"/>
      <c r="BJ431" s="446">
        <v>21</v>
      </c>
      <c r="BK431" s="446"/>
      <c r="BL431" s="446"/>
      <c r="BM431" s="446"/>
      <c r="BN431" s="446"/>
      <c r="BO431" s="446"/>
      <c r="BP431" s="446"/>
      <c r="BQ431" s="271"/>
      <c r="BR431" s="271"/>
      <c r="BS431" s="271"/>
      <c r="BT431" s="271"/>
      <c r="BU431" s="271"/>
      <c r="BV431" s="454"/>
      <c r="BW431" s="454"/>
      <c r="BX431" s="756"/>
      <c r="BY431" s="850"/>
      <c r="BZ431" s="850"/>
      <c r="CA431" s="850"/>
      <c r="CB431" s="850"/>
      <c r="CC431" s="850"/>
      <c r="CD431" s="850"/>
      <c r="CE431" s="850"/>
      <c r="CF431" s="850"/>
      <c r="CG431" s="169" t="s">
        <v>576</v>
      </c>
      <c r="CH431" s="421" t="s">
        <v>1046</v>
      </c>
      <c r="CI431" s="406"/>
      <c r="CJ431" s="23"/>
      <c r="CK431" s="648"/>
      <c r="CL431" s="572"/>
      <c r="CM431" s="648"/>
      <c r="CR431" s="406"/>
      <c r="CS431" s="648"/>
      <c r="CU431" s="23"/>
      <c r="CV431" s="23"/>
      <c r="CW431" s="23"/>
      <c r="CX431" s="23"/>
      <c r="DA431" s="648"/>
    </row>
    <row r="432" spans="1:105" s="35" customFormat="1" ht="12" customHeight="1" x14ac:dyDescent="0.2">
      <c r="A432" s="651"/>
      <c r="B432" s="537"/>
      <c r="C432" s="97" t="s">
        <v>96</v>
      </c>
      <c r="D432" s="169" t="s">
        <v>1130</v>
      </c>
      <c r="E432" s="647" t="s">
        <v>851</v>
      </c>
      <c r="F432" s="647"/>
      <c r="G432" s="98"/>
      <c r="H432" s="97"/>
      <c r="I432" s="166">
        <v>2000</v>
      </c>
      <c r="J432" s="571"/>
      <c r="K432" s="571"/>
      <c r="L432" s="493" t="s">
        <v>861</v>
      </c>
      <c r="M432" s="98" t="s">
        <v>15</v>
      </c>
      <c r="N432" s="493"/>
      <c r="O432" s="98"/>
      <c r="P432" s="98"/>
      <c r="Q432" s="98"/>
      <c r="R432" s="167"/>
      <c r="S432" s="167"/>
      <c r="T432" s="167"/>
      <c r="U432" s="393">
        <v>207</v>
      </c>
      <c r="V432" s="694"/>
      <c r="W432" s="711"/>
      <c r="X432" s="167"/>
      <c r="Y432" s="446"/>
      <c r="Z432" s="446"/>
      <c r="AA432" s="446"/>
      <c r="AB432" s="446"/>
      <c r="AC432" s="446"/>
      <c r="AD432" s="446"/>
      <c r="AE432" s="446"/>
      <c r="AF432" s="446"/>
      <c r="AG432" s="446"/>
      <c r="AH432" s="446"/>
      <c r="AI432" s="446"/>
      <c r="AJ432" s="446"/>
      <c r="AK432" s="446"/>
      <c r="AL432" s="446"/>
      <c r="AM432" s="446"/>
      <c r="AN432" s="446"/>
      <c r="AO432" s="446"/>
      <c r="AP432" s="446"/>
      <c r="AQ432" s="446"/>
      <c r="AR432" s="446"/>
      <c r="AS432" s="446"/>
      <c r="AT432" s="446"/>
      <c r="AU432" s="446"/>
      <c r="AV432" s="446"/>
      <c r="AW432" s="446"/>
      <c r="AX432" s="446"/>
      <c r="AY432" s="446"/>
      <c r="AZ432" s="446"/>
      <c r="BA432" s="446"/>
      <c r="BB432" s="446"/>
      <c r="BC432" s="446"/>
      <c r="BD432" s="446"/>
      <c r="BE432" s="445"/>
      <c r="BF432" s="445"/>
      <c r="BG432" s="446"/>
      <c r="BH432" s="446"/>
      <c r="BI432" s="445">
        <v>6</v>
      </c>
      <c r="BJ432" s="445"/>
      <c r="BK432" s="445"/>
      <c r="BL432" s="445"/>
      <c r="BM432" s="445"/>
      <c r="BN432" s="445"/>
      <c r="BO432" s="445"/>
      <c r="BP432" s="445"/>
      <c r="BQ432" s="444"/>
      <c r="BR432" s="444"/>
      <c r="BS432" s="446"/>
      <c r="BT432" s="446"/>
      <c r="BU432" s="446"/>
      <c r="BV432" s="442"/>
      <c r="BW432" s="442"/>
      <c r="BX432" s="756"/>
      <c r="BY432" s="850"/>
      <c r="BZ432" s="850"/>
      <c r="CA432" s="850"/>
      <c r="CB432" s="850"/>
      <c r="CC432" s="850"/>
      <c r="CD432" s="850"/>
      <c r="CE432" s="850"/>
      <c r="CF432" s="850"/>
      <c r="CG432" s="169" t="s">
        <v>957</v>
      </c>
      <c r="CH432" s="417"/>
      <c r="CI432" s="406"/>
      <c r="CJ432" s="23"/>
      <c r="CK432" s="417" t="s">
        <v>1044</v>
      </c>
      <c r="CL432" s="572"/>
      <c r="CM432" s="648"/>
      <c r="CR432" s="406"/>
      <c r="CS432" s="648"/>
      <c r="CU432" s="23"/>
      <c r="CV432" s="23"/>
      <c r="CW432" s="23"/>
      <c r="CX432" s="23"/>
      <c r="DA432" s="648"/>
    </row>
    <row r="433" spans="1:105" s="35" customFormat="1" ht="12" customHeight="1" x14ac:dyDescent="0.2">
      <c r="A433" s="651"/>
      <c r="B433" s="537"/>
      <c r="C433" s="97" t="s">
        <v>96</v>
      </c>
      <c r="D433" s="169" t="s">
        <v>1130</v>
      </c>
      <c r="E433" s="647" t="s">
        <v>14</v>
      </c>
      <c r="F433" s="647"/>
      <c r="G433" s="98"/>
      <c r="H433" s="97"/>
      <c r="I433" s="166">
        <v>2000</v>
      </c>
      <c r="J433" s="571"/>
      <c r="K433" s="571"/>
      <c r="L433" s="493" t="s">
        <v>258</v>
      </c>
      <c r="M433" s="98" t="s">
        <v>15</v>
      </c>
      <c r="N433" s="494" t="s">
        <v>783</v>
      </c>
      <c r="O433" s="98"/>
      <c r="P433" s="98"/>
      <c r="Q433" s="98"/>
      <c r="R433" s="167"/>
      <c r="S433" s="167"/>
      <c r="T433" s="167"/>
      <c r="U433" s="393">
        <v>5868</v>
      </c>
      <c r="V433" s="694"/>
      <c r="W433" s="711"/>
      <c r="X433" s="167"/>
      <c r="Y433" s="446"/>
      <c r="Z433" s="446"/>
      <c r="AA433" s="446"/>
      <c r="AB433" s="446"/>
      <c r="AC433" s="446"/>
      <c r="AD433" s="446"/>
      <c r="AE433" s="446"/>
      <c r="AF433" s="446"/>
      <c r="AG433" s="446"/>
      <c r="AH433" s="446"/>
      <c r="AI433" s="446"/>
      <c r="AJ433" s="446"/>
      <c r="AK433" s="446"/>
      <c r="AL433" s="446"/>
      <c r="AM433" s="446"/>
      <c r="AN433" s="446"/>
      <c r="AO433" s="446"/>
      <c r="AP433" s="446"/>
      <c r="AQ433" s="446"/>
      <c r="AR433" s="446"/>
      <c r="AS433" s="446"/>
      <c r="AT433" s="446"/>
      <c r="AU433" s="446"/>
      <c r="AV433" s="446"/>
      <c r="AW433" s="446"/>
      <c r="AX433" s="446"/>
      <c r="AY433" s="446"/>
      <c r="AZ433" s="446"/>
      <c r="BA433" s="446"/>
      <c r="BB433" s="446"/>
      <c r="BC433" s="446"/>
      <c r="BD433" s="446"/>
      <c r="BE433" s="445"/>
      <c r="BF433" s="445"/>
      <c r="BG433" s="446"/>
      <c r="BH433" s="446"/>
      <c r="BI433" s="442">
        <v>18</v>
      </c>
      <c r="BJ433" s="445">
        <v>4</v>
      </c>
      <c r="BK433" s="445"/>
      <c r="BL433" s="445"/>
      <c r="BM433" s="445"/>
      <c r="BN433" s="445"/>
      <c r="BO433" s="445"/>
      <c r="BP433" s="445"/>
      <c r="BQ433" s="444"/>
      <c r="BR433" s="444"/>
      <c r="BS433" s="442"/>
      <c r="BT433" s="445"/>
      <c r="BU433" s="445"/>
      <c r="BV433" s="445"/>
      <c r="BW433" s="445"/>
      <c r="BX433" s="756"/>
      <c r="BY433" s="850"/>
      <c r="BZ433" s="850"/>
      <c r="CA433" s="850"/>
      <c r="CB433" s="850"/>
      <c r="CC433" s="850"/>
      <c r="CD433" s="850"/>
      <c r="CE433" s="850"/>
      <c r="CF433" s="850"/>
      <c r="CG433" s="168" t="s">
        <v>219</v>
      </c>
      <c r="CH433" s="417"/>
      <c r="CI433" s="406"/>
      <c r="CJ433" s="23"/>
      <c r="CK433" s="431" t="s">
        <v>1063</v>
      </c>
      <c r="CL433" s="572" t="s">
        <v>2094</v>
      </c>
      <c r="CM433" s="648"/>
      <c r="CR433" s="406"/>
      <c r="CS433" s="648"/>
      <c r="CU433" s="23"/>
      <c r="CV433" s="23"/>
      <c r="CW433" s="23"/>
      <c r="CX433" s="23"/>
      <c r="DA433" s="648"/>
    </row>
    <row r="434" spans="1:105" s="35" customFormat="1" ht="12" customHeight="1" x14ac:dyDescent="0.2">
      <c r="A434" s="651"/>
      <c r="B434" s="537"/>
      <c r="C434" s="97" t="s">
        <v>96</v>
      </c>
      <c r="D434" s="169" t="s">
        <v>1130</v>
      </c>
      <c r="E434" s="494"/>
      <c r="F434" s="494"/>
      <c r="G434" s="98"/>
      <c r="H434" s="98"/>
      <c r="I434" s="166">
        <v>2003</v>
      </c>
      <c r="J434" s="98"/>
      <c r="K434" s="98"/>
      <c r="L434" s="493" t="s">
        <v>795</v>
      </c>
      <c r="M434" s="98"/>
      <c r="N434" s="493"/>
      <c r="O434" s="98"/>
      <c r="P434" s="98"/>
      <c r="Q434" s="98"/>
      <c r="R434" s="167"/>
      <c r="S434" s="167"/>
      <c r="T434" s="167"/>
      <c r="U434" s="393">
        <v>1168</v>
      </c>
      <c r="V434" s="694"/>
      <c r="W434" s="711"/>
      <c r="X434" s="167"/>
      <c r="Y434" s="446"/>
      <c r="Z434" s="446"/>
      <c r="AA434" s="446"/>
      <c r="AB434" s="446"/>
      <c r="AC434" s="446"/>
      <c r="AD434" s="446"/>
      <c r="AE434" s="446"/>
      <c r="AF434" s="446"/>
      <c r="AG434" s="446"/>
      <c r="AH434" s="446"/>
      <c r="AI434" s="446"/>
      <c r="AJ434" s="446"/>
      <c r="AK434" s="446"/>
      <c r="AL434" s="446"/>
      <c r="AM434" s="446"/>
      <c r="AN434" s="446"/>
      <c r="AO434" s="446"/>
      <c r="AP434" s="446"/>
      <c r="AQ434" s="446"/>
      <c r="AR434" s="446"/>
      <c r="AS434" s="446"/>
      <c r="AT434" s="446"/>
      <c r="AU434" s="446"/>
      <c r="AV434" s="446"/>
      <c r="AW434" s="446"/>
      <c r="AX434" s="446"/>
      <c r="AY434" s="446"/>
      <c r="AZ434" s="446"/>
      <c r="BA434" s="446"/>
      <c r="BB434" s="446"/>
      <c r="BC434" s="446"/>
      <c r="BD434" s="446"/>
      <c r="BE434" s="442"/>
      <c r="BF434" s="442"/>
      <c r="BG434" s="446"/>
      <c r="BH434" s="446"/>
      <c r="BI434" s="442"/>
      <c r="BJ434" s="442"/>
      <c r="BK434" s="442"/>
      <c r="BL434" s="442"/>
      <c r="BM434" s="442"/>
      <c r="BN434" s="442"/>
      <c r="BO434" s="442"/>
      <c r="BP434" s="442"/>
      <c r="BQ434" s="442"/>
      <c r="BR434" s="442"/>
      <c r="BS434" s="442">
        <v>36.4</v>
      </c>
      <c r="BT434" s="446"/>
      <c r="BU434" s="446"/>
      <c r="BV434" s="442"/>
      <c r="BW434" s="442"/>
      <c r="BX434" s="756"/>
      <c r="BY434" s="850"/>
      <c r="BZ434" s="850"/>
      <c r="CA434" s="850"/>
      <c r="CB434" s="850"/>
      <c r="CC434" s="850"/>
      <c r="CD434" s="850"/>
      <c r="CE434" s="850"/>
      <c r="CF434" s="850"/>
      <c r="CG434" s="169" t="s">
        <v>957</v>
      </c>
      <c r="CH434" s="417"/>
      <c r="CI434" s="406"/>
      <c r="CJ434" s="23"/>
      <c r="CK434" s="417" t="s">
        <v>1044</v>
      </c>
      <c r="CL434" s="572"/>
      <c r="CM434" s="648"/>
      <c r="CR434" s="406"/>
      <c r="CS434" s="648"/>
      <c r="CU434" s="23"/>
      <c r="CV434" s="23"/>
      <c r="CW434" s="23"/>
      <c r="CX434" s="23"/>
      <c r="DA434" s="648"/>
    </row>
    <row r="435" spans="1:105" s="35" customFormat="1" ht="12" customHeight="1" x14ac:dyDescent="0.2">
      <c r="A435" s="651"/>
      <c r="B435" s="537"/>
      <c r="C435" s="97" t="s">
        <v>96</v>
      </c>
      <c r="D435" s="169" t="s">
        <v>1130</v>
      </c>
      <c r="E435" s="647" t="s">
        <v>851</v>
      </c>
      <c r="F435" s="647"/>
      <c r="G435" s="98"/>
      <c r="H435" s="97"/>
      <c r="I435" s="166">
        <v>2004</v>
      </c>
      <c r="J435" s="571"/>
      <c r="K435" s="571"/>
      <c r="L435" s="493" t="s">
        <v>795</v>
      </c>
      <c r="M435" s="98"/>
      <c r="N435" s="493"/>
      <c r="O435" s="98"/>
      <c r="P435" s="98"/>
      <c r="Q435" s="98"/>
      <c r="R435" s="167"/>
      <c r="S435" s="167"/>
      <c r="T435" s="167"/>
      <c r="U435" s="393">
        <v>2439</v>
      </c>
      <c r="V435" s="694"/>
      <c r="W435" s="711"/>
      <c r="X435" s="167"/>
      <c r="Y435" s="446"/>
      <c r="Z435" s="446"/>
      <c r="AA435" s="446"/>
      <c r="AB435" s="446"/>
      <c r="AC435" s="446"/>
      <c r="AD435" s="446"/>
      <c r="AE435" s="446"/>
      <c r="AF435" s="446"/>
      <c r="AG435" s="446"/>
      <c r="AH435" s="446"/>
      <c r="AI435" s="446"/>
      <c r="AJ435" s="446"/>
      <c r="AK435" s="446"/>
      <c r="AL435" s="446"/>
      <c r="AM435" s="446"/>
      <c r="AN435" s="446"/>
      <c r="AO435" s="446"/>
      <c r="AP435" s="446"/>
      <c r="AQ435" s="446"/>
      <c r="AR435" s="446"/>
      <c r="AS435" s="446"/>
      <c r="AT435" s="446"/>
      <c r="AU435" s="446"/>
      <c r="AV435" s="446"/>
      <c r="AW435" s="446"/>
      <c r="AX435" s="446"/>
      <c r="AY435" s="446"/>
      <c r="AZ435" s="446"/>
      <c r="BA435" s="446"/>
      <c r="BB435" s="446"/>
      <c r="BC435" s="446"/>
      <c r="BD435" s="446"/>
      <c r="BE435" s="442"/>
      <c r="BF435" s="442"/>
      <c r="BG435" s="446"/>
      <c r="BH435" s="446"/>
      <c r="BI435" s="442"/>
      <c r="BJ435" s="442"/>
      <c r="BK435" s="442"/>
      <c r="BL435" s="442"/>
      <c r="BM435" s="442"/>
      <c r="BN435" s="442"/>
      <c r="BO435" s="442"/>
      <c r="BP435" s="442"/>
      <c r="BQ435" s="442"/>
      <c r="BR435" s="442"/>
      <c r="BS435" s="442">
        <v>32.1</v>
      </c>
      <c r="BT435" s="446"/>
      <c r="BU435" s="446"/>
      <c r="BV435" s="442"/>
      <c r="BW435" s="442"/>
      <c r="BX435" s="756"/>
      <c r="BY435" s="850"/>
      <c r="BZ435" s="850"/>
      <c r="CA435" s="850"/>
      <c r="CB435" s="850"/>
      <c r="CC435" s="850"/>
      <c r="CD435" s="850"/>
      <c r="CE435" s="850"/>
      <c r="CF435" s="850"/>
      <c r="CG435" s="169" t="s">
        <v>957</v>
      </c>
      <c r="CH435" s="417"/>
      <c r="CI435" s="406"/>
      <c r="CJ435" s="23"/>
      <c r="CK435" s="417" t="s">
        <v>1044</v>
      </c>
      <c r="CL435" s="572"/>
      <c r="CM435" s="431"/>
      <c r="CN435" s="128"/>
      <c r="CO435" s="128"/>
      <c r="CP435" s="128"/>
      <c r="CQ435" s="128"/>
      <c r="CR435" s="406"/>
      <c r="CS435" s="431"/>
      <c r="CU435" s="23"/>
      <c r="CV435" s="23"/>
      <c r="CW435" s="23"/>
      <c r="CX435" s="23"/>
      <c r="DA435" s="648"/>
    </row>
    <row r="436" spans="1:105" s="35" customFormat="1" ht="12" customHeight="1" x14ac:dyDescent="0.2">
      <c r="A436" s="651"/>
      <c r="B436" s="537"/>
      <c r="C436" s="97" t="s">
        <v>97</v>
      </c>
      <c r="D436" s="169" t="s">
        <v>1130</v>
      </c>
      <c r="E436" s="647" t="s">
        <v>14</v>
      </c>
      <c r="F436" s="647"/>
      <c r="G436" s="98"/>
      <c r="H436" s="97"/>
      <c r="I436" s="166">
        <v>2003</v>
      </c>
      <c r="J436" s="571"/>
      <c r="K436" s="571"/>
      <c r="L436" s="493" t="s">
        <v>258</v>
      </c>
      <c r="M436" s="98" t="s">
        <v>15</v>
      </c>
      <c r="N436" s="494" t="s">
        <v>783</v>
      </c>
      <c r="O436" s="98"/>
      <c r="P436" s="98"/>
      <c r="Q436" s="237"/>
      <c r="R436" s="254"/>
      <c r="S436" s="254"/>
      <c r="T436" s="254"/>
      <c r="U436" s="393">
        <v>1882</v>
      </c>
      <c r="V436" s="694"/>
      <c r="W436" s="711"/>
      <c r="X436" s="167"/>
      <c r="Y436" s="446"/>
      <c r="Z436" s="446"/>
      <c r="AA436" s="446"/>
      <c r="AB436" s="446"/>
      <c r="AC436" s="446"/>
      <c r="AD436" s="446"/>
      <c r="AE436" s="446"/>
      <c r="AF436" s="446"/>
      <c r="AG436" s="446"/>
      <c r="AH436" s="446"/>
      <c r="AI436" s="446"/>
      <c r="AJ436" s="446"/>
      <c r="AK436" s="446"/>
      <c r="AL436" s="446"/>
      <c r="AM436" s="446"/>
      <c r="AN436" s="446"/>
      <c r="AO436" s="446"/>
      <c r="AP436" s="446"/>
      <c r="AQ436" s="446"/>
      <c r="AR436" s="446"/>
      <c r="AS436" s="446"/>
      <c r="AT436" s="446"/>
      <c r="AU436" s="446"/>
      <c r="AV436" s="446"/>
      <c r="AW436" s="446"/>
      <c r="AX436" s="446"/>
      <c r="AY436" s="446"/>
      <c r="AZ436" s="446"/>
      <c r="BA436" s="446"/>
      <c r="BB436" s="446"/>
      <c r="BC436" s="446"/>
      <c r="BD436" s="446"/>
      <c r="BE436" s="445"/>
      <c r="BF436" s="445"/>
      <c r="BG436" s="446"/>
      <c r="BH436" s="446"/>
      <c r="BI436" s="445">
        <v>9</v>
      </c>
      <c r="BJ436" s="445">
        <v>1</v>
      </c>
      <c r="BK436" s="445"/>
      <c r="BL436" s="445"/>
      <c r="BM436" s="445"/>
      <c r="BN436" s="445"/>
      <c r="BO436" s="445"/>
      <c r="BP436" s="445"/>
      <c r="BQ436" s="442">
        <v>10</v>
      </c>
      <c r="BR436" s="444"/>
      <c r="BS436" s="442"/>
      <c r="BT436" s="445"/>
      <c r="BU436" s="445"/>
      <c r="BV436" s="445"/>
      <c r="BW436" s="445"/>
      <c r="BX436" s="756"/>
      <c r="BY436" s="850"/>
      <c r="BZ436" s="850"/>
      <c r="CA436" s="850"/>
      <c r="CB436" s="850"/>
      <c r="CC436" s="850"/>
      <c r="CD436" s="850"/>
      <c r="CE436" s="850"/>
      <c r="CF436" s="850"/>
      <c r="CG436" s="169" t="s">
        <v>553</v>
      </c>
      <c r="CH436" s="419" t="s">
        <v>659</v>
      </c>
      <c r="CI436" s="406"/>
      <c r="CJ436" s="23"/>
      <c r="CK436" s="417"/>
      <c r="CL436" s="572"/>
      <c r="CM436" s="648"/>
      <c r="CR436" s="406"/>
      <c r="CS436" s="648"/>
      <c r="CU436" s="23"/>
      <c r="CV436" s="23"/>
      <c r="CW436" s="23"/>
      <c r="CX436" s="23"/>
      <c r="DA436" s="648"/>
    </row>
    <row r="437" spans="1:105" s="35" customFormat="1" ht="12" customHeight="1" x14ac:dyDescent="0.2">
      <c r="A437" s="651"/>
      <c r="B437" s="537"/>
      <c r="C437" s="97" t="s">
        <v>97</v>
      </c>
      <c r="D437" s="169" t="s">
        <v>1130</v>
      </c>
      <c r="E437" s="647" t="s">
        <v>14</v>
      </c>
      <c r="F437" s="647"/>
      <c r="G437" s="98"/>
      <c r="H437" s="97"/>
      <c r="I437" s="166" t="s">
        <v>100</v>
      </c>
      <c r="J437" s="571"/>
      <c r="K437" s="571"/>
      <c r="L437" s="493"/>
      <c r="M437" s="98" t="s">
        <v>18</v>
      </c>
      <c r="N437" s="493"/>
      <c r="O437" s="98"/>
      <c r="P437" s="98"/>
      <c r="Q437" s="98"/>
      <c r="R437" s="167"/>
      <c r="S437" s="167"/>
      <c r="T437" s="167"/>
      <c r="U437" s="393">
        <v>1500</v>
      </c>
      <c r="V437" s="694"/>
      <c r="W437" s="711"/>
      <c r="X437" s="167"/>
      <c r="Y437" s="446"/>
      <c r="Z437" s="446"/>
      <c r="AA437" s="446"/>
      <c r="AB437" s="446"/>
      <c r="AC437" s="446"/>
      <c r="AD437" s="446"/>
      <c r="AE437" s="446"/>
      <c r="AF437" s="446"/>
      <c r="AG437" s="446"/>
      <c r="AH437" s="446"/>
      <c r="AI437" s="446"/>
      <c r="AJ437" s="446"/>
      <c r="AK437" s="446"/>
      <c r="AL437" s="446"/>
      <c r="AM437" s="446"/>
      <c r="AN437" s="446"/>
      <c r="AO437" s="446"/>
      <c r="AP437" s="446"/>
      <c r="AQ437" s="446"/>
      <c r="AR437" s="446"/>
      <c r="AS437" s="446"/>
      <c r="AT437" s="446"/>
      <c r="AU437" s="446"/>
      <c r="AV437" s="446"/>
      <c r="AW437" s="446"/>
      <c r="AX437" s="446"/>
      <c r="AY437" s="446"/>
      <c r="AZ437" s="446"/>
      <c r="BA437" s="446"/>
      <c r="BB437" s="446"/>
      <c r="BC437" s="446"/>
      <c r="BD437" s="446"/>
      <c r="BE437" s="445"/>
      <c r="BF437" s="445"/>
      <c r="BG437" s="446"/>
      <c r="BH437" s="446"/>
      <c r="BI437" s="445"/>
      <c r="BJ437" s="445"/>
      <c r="BK437" s="445"/>
      <c r="BL437" s="445"/>
      <c r="BM437" s="445"/>
      <c r="BN437" s="445"/>
      <c r="BO437" s="445"/>
      <c r="BP437" s="445"/>
      <c r="BQ437" s="442">
        <v>21</v>
      </c>
      <c r="BR437" s="445">
        <v>6</v>
      </c>
      <c r="BS437" s="271"/>
      <c r="BT437" s="271"/>
      <c r="BU437" s="271"/>
      <c r="BV437" s="454"/>
      <c r="BW437" s="454"/>
      <c r="BX437" s="756"/>
      <c r="BY437" s="850"/>
      <c r="BZ437" s="850"/>
      <c r="CA437" s="850"/>
      <c r="CB437" s="850"/>
      <c r="CC437" s="850"/>
      <c r="CD437" s="850"/>
      <c r="CE437" s="850"/>
      <c r="CF437" s="850"/>
      <c r="CG437" s="168" t="s">
        <v>219</v>
      </c>
      <c r="CH437" s="417"/>
      <c r="CI437" s="406"/>
      <c r="CJ437" s="23"/>
      <c r="CK437" s="431" t="s">
        <v>1063</v>
      </c>
      <c r="CL437" s="572"/>
      <c r="CM437" s="648"/>
      <c r="CR437" s="406"/>
      <c r="CS437" s="648"/>
      <c r="CU437" s="23"/>
      <c r="CV437" s="23"/>
      <c r="CW437" s="23"/>
      <c r="CX437" s="23"/>
      <c r="DA437" s="648"/>
    </row>
    <row r="438" spans="1:105" s="35" customFormat="1" ht="12" customHeight="1" x14ac:dyDescent="0.2">
      <c r="A438" s="651"/>
      <c r="B438" s="537"/>
      <c r="C438" s="97" t="s">
        <v>198</v>
      </c>
      <c r="D438" s="169" t="s">
        <v>1125</v>
      </c>
      <c r="E438" s="647"/>
      <c r="F438" s="647"/>
      <c r="G438" s="98"/>
      <c r="H438" s="97"/>
      <c r="I438" s="166">
        <v>2003</v>
      </c>
      <c r="J438" s="571"/>
      <c r="K438" s="571"/>
      <c r="L438" s="493"/>
      <c r="M438" s="98" t="s">
        <v>17</v>
      </c>
      <c r="N438" s="493"/>
      <c r="O438" s="98" t="s">
        <v>90</v>
      </c>
      <c r="P438" s="98"/>
      <c r="Q438" s="98"/>
      <c r="R438" s="167"/>
      <c r="S438" s="167"/>
      <c r="T438" s="167"/>
      <c r="U438" s="393">
        <v>411</v>
      </c>
      <c r="V438" s="694"/>
      <c r="W438" s="711"/>
      <c r="X438" s="167"/>
      <c r="Y438" s="446"/>
      <c r="Z438" s="446"/>
      <c r="AA438" s="446"/>
      <c r="AB438" s="446"/>
      <c r="AC438" s="446"/>
      <c r="AD438" s="446"/>
      <c r="AE438" s="446"/>
      <c r="AF438" s="446"/>
      <c r="AG438" s="446"/>
      <c r="AH438" s="446"/>
      <c r="AI438" s="446"/>
      <c r="AJ438" s="446"/>
      <c r="AK438" s="446"/>
      <c r="AL438" s="446"/>
      <c r="AM438" s="446"/>
      <c r="AN438" s="446"/>
      <c r="AO438" s="446"/>
      <c r="AP438" s="446"/>
      <c r="AQ438" s="446"/>
      <c r="AR438" s="446"/>
      <c r="AS438" s="446"/>
      <c r="AT438" s="446"/>
      <c r="AU438" s="446"/>
      <c r="AV438" s="446"/>
      <c r="AW438" s="446"/>
      <c r="AX438" s="446"/>
      <c r="AY438" s="446"/>
      <c r="AZ438" s="446"/>
      <c r="BA438" s="446"/>
      <c r="BB438" s="446"/>
      <c r="BC438" s="446"/>
      <c r="BD438" s="446"/>
      <c r="BE438" s="446"/>
      <c r="BF438" s="446"/>
      <c r="BG438" s="446"/>
      <c r="BH438" s="446"/>
      <c r="BI438" s="445"/>
      <c r="BJ438" s="446"/>
      <c r="BK438" s="446"/>
      <c r="BL438" s="446"/>
      <c r="BM438" s="446"/>
      <c r="BN438" s="446"/>
      <c r="BO438" s="446"/>
      <c r="BP438" s="446"/>
      <c r="BQ438" s="444"/>
      <c r="BR438" s="445"/>
      <c r="BS438" s="442"/>
      <c r="BT438" s="271"/>
      <c r="BU438" s="271"/>
      <c r="BV438" s="454"/>
      <c r="BW438" s="454"/>
      <c r="BX438" s="756"/>
      <c r="BY438" s="850"/>
      <c r="BZ438" s="850"/>
      <c r="CA438" s="850"/>
      <c r="CB438" s="850"/>
      <c r="CC438" s="850"/>
      <c r="CD438" s="850"/>
      <c r="CE438" s="850"/>
      <c r="CF438" s="850"/>
      <c r="CG438" s="169" t="s">
        <v>969</v>
      </c>
      <c r="CH438" s="417"/>
      <c r="CI438" s="406"/>
      <c r="CJ438" s="23"/>
      <c r="CK438" s="648" t="s">
        <v>749</v>
      </c>
      <c r="CL438" s="572" t="s">
        <v>547</v>
      </c>
      <c r="CM438" s="648"/>
      <c r="CR438" s="406"/>
      <c r="CS438" s="648"/>
      <c r="CU438" s="23"/>
      <c r="CV438" s="23"/>
      <c r="CW438" s="23"/>
      <c r="CX438" s="23"/>
      <c r="DA438" s="648"/>
    </row>
    <row r="439" spans="1:105" s="35" customFormat="1" ht="12" customHeight="1" x14ac:dyDescent="0.2">
      <c r="A439" s="651"/>
      <c r="B439" s="537"/>
      <c r="C439" s="97" t="s">
        <v>198</v>
      </c>
      <c r="D439" s="169" t="s">
        <v>1125</v>
      </c>
      <c r="E439" s="647" t="s">
        <v>14</v>
      </c>
      <c r="F439" s="647"/>
      <c r="G439" s="237"/>
      <c r="H439" s="186"/>
      <c r="I439" s="166">
        <v>2005</v>
      </c>
      <c r="J439" s="390"/>
      <c r="K439" s="390"/>
      <c r="L439" s="493"/>
      <c r="M439" s="237" t="s">
        <v>17</v>
      </c>
      <c r="N439" s="493"/>
      <c r="O439" s="98"/>
      <c r="P439" s="98"/>
      <c r="Q439" s="98"/>
      <c r="R439" s="167"/>
      <c r="S439" s="167"/>
      <c r="T439" s="167"/>
      <c r="U439" s="393">
        <v>1891</v>
      </c>
      <c r="V439" s="694"/>
      <c r="W439" s="711"/>
      <c r="X439" s="254"/>
      <c r="Y439" s="446"/>
      <c r="Z439" s="446"/>
      <c r="AA439" s="446"/>
      <c r="AB439" s="446"/>
      <c r="AC439" s="446"/>
      <c r="AD439" s="446"/>
      <c r="AE439" s="446"/>
      <c r="AF439" s="446"/>
      <c r="AG439" s="446"/>
      <c r="AH439" s="446"/>
      <c r="AI439" s="446"/>
      <c r="AJ439" s="446"/>
      <c r="AK439" s="446"/>
      <c r="AL439" s="446"/>
      <c r="AM439" s="446"/>
      <c r="AN439" s="446"/>
      <c r="AO439" s="446"/>
      <c r="AP439" s="446"/>
      <c r="AQ439" s="446"/>
      <c r="AR439" s="446"/>
      <c r="AS439" s="446"/>
      <c r="AT439" s="446"/>
      <c r="AU439" s="446"/>
      <c r="AV439" s="446"/>
      <c r="AW439" s="446"/>
      <c r="AX439" s="446"/>
      <c r="AY439" s="446"/>
      <c r="AZ439" s="446"/>
      <c r="BA439" s="446"/>
      <c r="BB439" s="446"/>
      <c r="BC439" s="446"/>
      <c r="BD439" s="446"/>
      <c r="BE439" s="446"/>
      <c r="BF439" s="446"/>
      <c r="BG439" s="446"/>
      <c r="BH439" s="446"/>
      <c r="BI439" s="445"/>
      <c r="BJ439" s="446"/>
      <c r="BK439" s="446"/>
      <c r="BL439" s="446"/>
      <c r="BM439" s="446"/>
      <c r="BN439" s="446"/>
      <c r="BO439" s="446"/>
      <c r="BP439" s="446"/>
      <c r="BQ439" s="444"/>
      <c r="BR439" s="445"/>
      <c r="BS439" s="442">
        <v>19.7</v>
      </c>
      <c r="BT439" s="271"/>
      <c r="BU439" s="271"/>
      <c r="BV439" s="454"/>
      <c r="BW439" s="454"/>
      <c r="BX439" s="756"/>
      <c r="BY439" s="850"/>
      <c r="BZ439" s="850"/>
      <c r="CA439" s="850"/>
      <c r="CB439" s="850"/>
      <c r="CC439" s="850"/>
      <c r="CD439" s="850"/>
      <c r="CE439" s="850"/>
      <c r="CF439" s="850"/>
      <c r="CG439" s="168" t="s">
        <v>747</v>
      </c>
      <c r="CH439" s="419" t="s">
        <v>1104</v>
      </c>
      <c r="CI439" s="406"/>
      <c r="CJ439" s="23"/>
      <c r="CK439" s="648" t="s">
        <v>601</v>
      </c>
      <c r="CL439" s="572" t="s">
        <v>599</v>
      </c>
      <c r="CM439" s="648"/>
      <c r="CR439" s="406"/>
      <c r="CS439" s="648"/>
      <c r="CU439" s="23"/>
      <c r="CV439" s="23"/>
      <c r="CW439" s="23"/>
      <c r="CX439" s="23"/>
      <c r="DA439" s="648"/>
    </row>
    <row r="440" spans="1:105" s="35" customFormat="1" ht="12" customHeight="1" x14ac:dyDescent="0.2">
      <c r="A440" s="651"/>
      <c r="B440" s="537"/>
      <c r="C440" s="97" t="s">
        <v>320</v>
      </c>
      <c r="D440" s="169" t="s">
        <v>1125</v>
      </c>
      <c r="E440" s="647" t="s">
        <v>14</v>
      </c>
      <c r="F440" s="647"/>
      <c r="G440" s="237"/>
      <c r="H440" s="186"/>
      <c r="I440" s="166">
        <v>2000</v>
      </c>
      <c r="J440" s="390"/>
      <c r="K440" s="390"/>
      <c r="L440" s="493"/>
      <c r="M440" s="237" t="s">
        <v>17</v>
      </c>
      <c r="N440" s="493"/>
      <c r="O440" s="98" t="s">
        <v>19</v>
      </c>
      <c r="P440" s="98"/>
      <c r="Q440" s="98"/>
      <c r="R440" s="167"/>
      <c r="S440" s="167"/>
      <c r="T440" s="167"/>
      <c r="U440" s="393">
        <f>U441</f>
        <v>400</v>
      </c>
      <c r="V440" s="694"/>
      <c r="W440" s="711"/>
      <c r="X440" s="254"/>
      <c r="Y440" s="446"/>
      <c r="Z440" s="446"/>
      <c r="AA440" s="446"/>
      <c r="AB440" s="446"/>
      <c r="AC440" s="446"/>
      <c r="AD440" s="446"/>
      <c r="AE440" s="446"/>
      <c r="AF440" s="446"/>
      <c r="AG440" s="446"/>
      <c r="AH440" s="446"/>
      <c r="AI440" s="446"/>
      <c r="AJ440" s="446"/>
      <c r="AK440" s="446"/>
      <c r="AL440" s="446"/>
      <c r="AM440" s="446"/>
      <c r="AN440" s="446"/>
      <c r="AO440" s="446"/>
      <c r="AP440" s="446"/>
      <c r="AQ440" s="446"/>
      <c r="AR440" s="446"/>
      <c r="AS440" s="446"/>
      <c r="AT440" s="446"/>
      <c r="AU440" s="446"/>
      <c r="AV440" s="446"/>
      <c r="AW440" s="446"/>
      <c r="AX440" s="446"/>
      <c r="AY440" s="446"/>
      <c r="AZ440" s="446"/>
      <c r="BA440" s="446"/>
      <c r="BB440" s="446"/>
      <c r="BC440" s="446"/>
      <c r="BD440" s="446"/>
      <c r="BE440" s="446"/>
      <c r="BF440" s="446"/>
      <c r="BG440" s="446"/>
      <c r="BH440" s="446"/>
      <c r="BI440" s="445"/>
      <c r="BJ440" s="446"/>
      <c r="BK440" s="446"/>
      <c r="BL440" s="446"/>
      <c r="BM440" s="446"/>
      <c r="BN440" s="446"/>
      <c r="BO440" s="446"/>
      <c r="BP440" s="446"/>
      <c r="BQ440" s="456"/>
      <c r="BR440" s="445"/>
      <c r="BS440" s="442">
        <v>50</v>
      </c>
      <c r="BT440" s="582"/>
      <c r="BU440" s="582"/>
      <c r="BV440" s="666"/>
      <c r="BW440" s="666"/>
      <c r="BX440" s="756"/>
      <c r="BY440" s="850"/>
      <c r="BZ440" s="850"/>
      <c r="CA440" s="850"/>
      <c r="CB440" s="850"/>
      <c r="CC440" s="850"/>
      <c r="CD440" s="850"/>
      <c r="CE440" s="850"/>
      <c r="CF440" s="850"/>
      <c r="CG440" s="169" t="s">
        <v>958</v>
      </c>
      <c r="CH440" s="430"/>
      <c r="CI440" s="407"/>
      <c r="CJ440" s="23"/>
      <c r="CK440" s="417" t="s">
        <v>1047</v>
      </c>
      <c r="CL440" s="572"/>
      <c r="CM440" s="648"/>
      <c r="CR440" s="406"/>
      <c r="CS440" s="648"/>
      <c r="CU440" s="23"/>
      <c r="CV440" s="23"/>
      <c r="CW440" s="23"/>
      <c r="CX440" s="23"/>
      <c r="DA440" s="648"/>
    </row>
    <row r="441" spans="1:105" s="35" customFormat="1" ht="12" customHeight="1" x14ac:dyDescent="0.2">
      <c r="A441" s="651"/>
      <c r="B441" s="537"/>
      <c r="C441" s="97" t="s">
        <v>320</v>
      </c>
      <c r="D441" s="169" t="s">
        <v>1125</v>
      </c>
      <c r="E441" s="647" t="s">
        <v>321</v>
      </c>
      <c r="F441" s="647"/>
      <c r="G441" s="98"/>
      <c r="H441" s="97"/>
      <c r="I441" s="166">
        <v>2005</v>
      </c>
      <c r="J441" s="571"/>
      <c r="K441" s="571"/>
      <c r="L441" s="493"/>
      <c r="M441" s="98" t="s">
        <v>17</v>
      </c>
      <c r="N441" s="493"/>
      <c r="O441" s="98" t="s">
        <v>231</v>
      </c>
      <c r="P441" s="98"/>
      <c r="Q441" s="98"/>
      <c r="R441" s="167"/>
      <c r="S441" s="167"/>
      <c r="T441" s="167"/>
      <c r="U441" s="393">
        <v>400</v>
      </c>
      <c r="V441" s="694"/>
      <c r="W441" s="711"/>
      <c r="X441" s="167"/>
      <c r="Y441" s="446"/>
      <c r="Z441" s="446"/>
      <c r="AA441" s="446"/>
      <c r="AB441" s="446"/>
      <c r="AC441" s="446"/>
      <c r="AD441" s="446"/>
      <c r="AE441" s="446"/>
      <c r="AF441" s="446"/>
      <c r="AG441" s="446"/>
      <c r="AH441" s="446"/>
      <c r="AI441" s="446"/>
      <c r="AJ441" s="446"/>
      <c r="AK441" s="446"/>
      <c r="AL441" s="446"/>
      <c r="AM441" s="446"/>
      <c r="AN441" s="446"/>
      <c r="AO441" s="446"/>
      <c r="AP441" s="446"/>
      <c r="AQ441" s="446"/>
      <c r="AR441" s="446"/>
      <c r="AS441" s="446"/>
      <c r="AT441" s="446"/>
      <c r="AU441" s="446"/>
      <c r="AV441" s="446"/>
      <c r="AW441" s="446"/>
      <c r="AX441" s="446"/>
      <c r="AY441" s="446"/>
      <c r="AZ441" s="446"/>
      <c r="BA441" s="446"/>
      <c r="BB441" s="446"/>
      <c r="BC441" s="446"/>
      <c r="BD441" s="446"/>
      <c r="BE441" s="442"/>
      <c r="BF441" s="442"/>
      <c r="BG441" s="446"/>
      <c r="BH441" s="446"/>
      <c r="BI441" s="442">
        <v>36.1</v>
      </c>
      <c r="BJ441" s="442">
        <v>11.8</v>
      </c>
      <c r="BK441" s="442"/>
      <c r="BL441" s="442"/>
      <c r="BM441" s="442"/>
      <c r="BN441" s="442"/>
      <c r="BO441" s="442"/>
      <c r="BP441" s="442"/>
      <c r="BQ441" s="456"/>
      <c r="BR441" s="445"/>
      <c r="BS441" s="442"/>
      <c r="BT441" s="582"/>
      <c r="BU441" s="582"/>
      <c r="BV441" s="666"/>
      <c r="BW441" s="666"/>
      <c r="BX441" s="756"/>
      <c r="BY441" s="850"/>
      <c r="BZ441" s="850"/>
      <c r="CA441" s="850"/>
      <c r="CB441" s="850"/>
      <c r="CC441" s="850"/>
      <c r="CD441" s="850"/>
      <c r="CE441" s="850"/>
      <c r="CF441" s="850"/>
      <c r="CG441" s="168" t="s">
        <v>329</v>
      </c>
      <c r="CH441" s="419" t="s">
        <v>1158</v>
      </c>
      <c r="CI441" s="407"/>
      <c r="CJ441" s="23">
        <v>54</v>
      </c>
      <c r="CK441" s="648" t="s">
        <v>323</v>
      </c>
      <c r="CL441" s="572" t="s">
        <v>1086</v>
      </c>
      <c r="CM441" s="648"/>
      <c r="CR441" s="406"/>
      <c r="CS441" s="648"/>
      <c r="CU441" s="23"/>
      <c r="CV441" s="23"/>
      <c r="CW441" s="23"/>
      <c r="CX441" s="23"/>
      <c r="DA441" s="648"/>
    </row>
    <row r="442" spans="1:105" s="35" customFormat="1" ht="12" customHeight="1" x14ac:dyDescent="0.2">
      <c r="A442" s="652"/>
      <c r="B442" s="469" t="s">
        <v>1816</v>
      </c>
      <c r="C442" s="390" t="s">
        <v>22</v>
      </c>
      <c r="D442" s="237" t="s">
        <v>1131</v>
      </c>
      <c r="E442" s="647" t="s">
        <v>14</v>
      </c>
      <c r="F442" s="647"/>
      <c r="G442" s="237"/>
      <c r="H442" s="186"/>
      <c r="I442" s="481" t="s">
        <v>510</v>
      </c>
      <c r="J442" s="571">
        <v>2010</v>
      </c>
      <c r="K442" s="571"/>
      <c r="L442" s="494" t="s">
        <v>244</v>
      </c>
      <c r="M442" s="247" t="s">
        <v>1837</v>
      </c>
      <c r="N442" s="494" t="s">
        <v>783</v>
      </c>
      <c r="O442" s="247" t="s">
        <v>19</v>
      </c>
      <c r="P442" s="98">
        <v>15</v>
      </c>
      <c r="Q442" s="247">
        <v>49</v>
      </c>
      <c r="R442" s="552">
        <v>28.722260577966271</v>
      </c>
      <c r="S442" s="552"/>
      <c r="T442" s="552"/>
      <c r="U442" s="553">
        <v>5689</v>
      </c>
      <c r="V442" s="794"/>
      <c r="W442" s="712"/>
      <c r="X442" s="552">
        <v>5.9214835273229589</v>
      </c>
      <c r="Y442" s="552">
        <v>13.203234880450067</v>
      </c>
      <c r="Z442" s="552">
        <v>11.480309423347411</v>
      </c>
      <c r="AA442" s="552">
        <v>31.258790436005619</v>
      </c>
      <c r="AB442" s="552">
        <v>31.258790436005619</v>
      </c>
      <c r="AC442" s="552">
        <v>28.902953586497802</v>
      </c>
      <c r="AD442" s="552">
        <v>25.703234880450012</v>
      </c>
      <c r="AE442" s="552">
        <v>7.8452066842568282</v>
      </c>
      <c r="AF442" s="552">
        <v>6.6842568161829341</v>
      </c>
      <c r="AG442" s="555"/>
      <c r="AH442" s="555"/>
      <c r="AI442" s="552">
        <v>2.9039070749736009</v>
      </c>
      <c r="AJ442" s="555"/>
      <c r="AK442" s="555"/>
      <c r="AL442" s="555"/>
      <c r="AM442" s="552">
        <v>30.972051327122461</v>
      </c>
      <c r="AN442" s="552">
        <v>26.05027245561611</v>
      </c>
      <c r="AO442" s="552">
        <v>5.5047485051002427</v>
      </c>
      <c r="AP442" s="552">
        <v>4.6781568765388784</v>
      </c>
      <c r="AQ442" s="552">
        <v>14.62728551336145</v>
      </c>
      <c r="AR442" s="552">
        <v>12.306610407876228</v>
      </c>
      <c r="AS442" s="552">
        <v>15.649727448566955</v>
      </c>
      <c r="AT442" s="552">
        <v>13.522067874098823</v>
      </c>
      <c r="AU442" s="552">
        <v>11.152154793315736</v>
      </c>
      <c r="AV442" s="552">
        <v>9.4107299912049598</v>
      </c>
      <c r="AW442" s="552">
        <v>2.6380583890256806</v>
      </c>
      <c r="AX442" s="552">
        <v>2.2159690467815705</v>
      </c>
      <c r="AY442" s="555"/>
      <c r="AZ442" s="555"/>
      <c r="BA442" s="552"/>
      <c r="BB442" s="552"/>
      <c r="BC442" s="555"/>
      <c r="BD442" s="555"/>
      <c r="BE442" s="552"/>
      <c r="BF442" s="552"/>
      <c r="BG442" s="552"/>
      <c r="BH442" s="552"/>
      <c r="BI442" s="552">
        <v>33.960274213394314</v>
      </c>
      <c r="BJ442" s="552">
        <v>28.950606433468245</v>
      </c>
      <c r="BK442" s="552"/>
      <c r="BL442" s="552"/>
      <c r="BM442" s="552">
        <v>12.218706047819957</v>
      </c>
      <c r="BN442" s="552">
        <v>11.093530239099838</v>
      </c>
      <c r="BO442" s="552">
        <v>6.6479071403446923</v>
      </c>
      <c r="BP442" s="552">
        <v>5.8213155117833342</v>
      </c>
      <c r="BQ442" s="552"/>
      <c r="BR442" s="42"/>
      <c r="BS442" s="42"/>
      <c r="BT442" s="42"/>
      <c r="BU442" s="42">
        <v>12</v>
      </c>
      <c r="BV442" s="42"/>
      <c r="BW442" s="42"/>
      <c r="BX442" s="758"/>
      <c r="BY442" s="851"/>
      <c r="BZ442" s="851"/>
      <c r="CA442" s="851"/>
      <c r="CB442" s="851"/>
      <c r="CC442" s="851"/>
      <c r="CD442" s="851"/>
      <c r="CE442" s="851"/>
      <c r="CF442" s="851"/>
      <c r="CG442" s="97"/>
      <c r="CH442" s="647"/>
      <c r="CI442" s="97"/>
      <c r="CJ442" s="97"/>
      <c r="CK442" s="647"/>
      <c r="CL442" s="469" t="s">
        <v>1841</v>
      </c>
      <c r="CM442" s="647"/>
      <c r="CN442" s="97"/>
      <c r="CO442" s="97"/>
      <c r="CP442" s="97"/>
      <c r="CQ442" s="97"/>
      <c r="CR442" s="638"/>
      <c r="CS442" s="647"/>
      <c r="CU442" s="23"/>
      <c r="CV442" s="23"/>
      <c r="CW442" s="23"/>
      <c r="CX442" s="23"/>
      <c r="DA442" s="648"/>
    </row>
    <row r="443" spans="1:105" s="35" customFormat="1" ht="12" customHeight="1" x14ac:dyDescent="0.2">
      <c r="A443" s="431"/>
      <c r="B443" s="469"/>
      <c r="C443" s="97" t="s">
        <v>22</v>
      </c>
      <c r="D443" s="169" t="s">
        <v>1131</v>
      </c>
      <c r="E443" s="647" t="s">
        <v>23</v>
      </c>
      <c r="F443" s="647"/>
      <c r="G443" s="237"/>
      <c r="H443" s="186"/>
      <c r="I443" s="166">
        <v>1990</v>
      </c>
      <c r="J443" s="390"/>
      <c r="K443" s="390"/>
      <c r="L443" s="493"/>
      <c r="M443" s="237" t="s">
        <v>17</v>
      </c>
      <c r="N443" s="493"/>
      <c r="O443" s="98" t="s">
        <v>19</v>
      </c>
      <c r="P443" s="98"/>
      <c r="Q443" s="98"/>
      <c r="R443" s="167"/>
      <c r="S443" s="167"/>
      <c r="T443" s="167"/>
      <c r="U443" s="393">
        <v>300</v>
      </c>
      <c r="V443" s="694"/>
      <c r="W443" s="711"/>
      <c r="X443" s="254"/>
      <c r="Y443" s="446"/>
      <c r="Z443" s="446"/>
      <c r="AA443" s="446"/>
      <c r="AB443" s="446"/>
      <c r="AC443" s="446"/>
      <c r="AD443" s="446"/>
      <c r="AE443" s="446"/>
      <c r="AF443" s="446"/>
      <c r="AG443" s="446"/>
      <c r="AH443" s="446"/>
      <c r="AI443" s="446"/>
      <c r="AJ443" s="446"/>
      <c r="AK443" s="446"/>
      <c r="AL443" s="446"/>
      <c r="AM443" s="446"/>
      <c r="AN443" s="446"/>
      <c r="AO443" s="446"/>
      <c r="AP443" s="446"/>
      <c r="AQ443" s="446"/>
      <c r="AR443" s="446"/>
      <c r="AS443" s="446"/>
      <c r="AT443" s="446"/>
      <c r="AU443" s="446"/>
      <c r="AV443" s="446"/>
      <c r="AW443" s="446"/>
      <c r="AX443" s="446"/>
      <c r="AY443" s="446"/>
      <c r="AZ443" s="446"/>
      <c r="BA443" s="446"/>
      <c r="BB443" s="446"/>
      <c r="BC443" s="446"/>
      <c r="BD443" s="446"/>
      <c r="BE443" s="446"/>
      <c r="BF443" s="446"/>
      <c r="BG443" s="446"/>
      <c r="BH443" s="446"/>
      <c r="BI443" s="445"/>
      <c r="BJ443" s="446"/>
      <c r="BK443" s="446"/>
      <c r="BL443" s="446"/>
      <c r="BM443" s="446"/>
      <c r="BN443" s="446"/>
      <c r="BO443" s="446"/>
      <c r="BP443" s="446"/>
      <c r="BQ443" s="456"/>
      <c r="BR443" s="445"/>
      <c r="BS443" s="442">
        <v>60</v>
      </c>
      <c r="BT443" s="582"/>
      <c r="BU443" s="582"/>
      <c r="BV443" s="666"/>
      <c r="BW443" s="666"/>
      <c r="BX443" s="756"/>
      <c r="BY443" s="850"/>
      <c r="BZ443" s="850"/>
      <c r="CA443" s="850"/>
      <c r="CB443" s="850"/>
      <c r="CC443" s="850"/>
      <c r="CD443" s="850"/>
      <c r="CE443" s="850"/>
      <c r="CF443" s="850"/>
      <c r="CG443" s="169" t="s">
        <v>524</v>
      </c>
      <c r="CH443" s="417"/>
      <c r="CI443" s="407"/>
      <c r="CJ443" s="23"/>
      <c r="CK443" s="648" t="s">
        <v>1183</v>
      </c>
      <c r="CL443" s="572"/>
      <c r="CM443" s="648"/>
      <c r="CR443" s="406"/>
      <c r="CS443" s="648"/>
      <c r="CU443" s="23"/>
      <c r="CV443" s="23"/>
      <c r="CW443" s="23"/>
      <c r="CX443" s="23"/>
      <c r="DA443" s="648"/>
    </row>
    <row r="444" spans="1:105" s="35" customFormat="1" ht="12" customHeight="1" x14ac:dyDescent="0.2">
      <c r="A444" s="647"/>
      <c r="B444" s="469"/>
      <c r="C444" s="97" t="s">
        <v>22</v>
      </c>
      <c r="D444" s="169" t="s">
        <v>1131</v>
      </c>
      <c r="E444" s="647" t="s">
        <v>23</v>
      </c>
      <c r="F444" s="647"/>
      <c r="G444" s="98"/>
      <c r="H444" s="97"/>
      <c r="I444" s="166">
        <v>2002</v>
      </c>
      <c r="J444" s="571"/>
      <c r="K444" s="571"/>
      <c r="L444" s="493" t="s">
        <v>243</v>
      </c>
      <c r="M444" s="98" t="s">
        <v>15</v>
      </c>
      <c r="N444" s="494" t="s">
        <v>783</v>
      </c>
      <c r="O444" s="98" t="s">
        <v>19</v>
      </c>
      <c r="P444" s="98"/>
      <c r="Q444" s="98"/>
      <c r="R444" s="167"/>
      <c r="S444" s="167"/>
      <c r="T444" s="167"/>
      <c r="U444" s="393">
        <v>1442</v>
      </c>
      <c r="V444" s="694"/>
      <c r="W444" s="711"/>
      <c r="X444" s="167"/>
      <c r="Y444" s="446"/>
      <c r="Z444" s="446"/>
      <c r="AA444" s="446"/>
      <c r="AB444" s="446"/>
      <c r="AC444" s="446"/>
      <c r="AD444" s="446"/>
      <c r="AE444" s="446"/>
      <c r="AF444" s="446"/>
      <c r="AG444" s="446"/>
      <c r="AH444" s="446"/>
      <c r="AI444" s="446"/>
      <c r="AJ444" s="446"/>
      <c r="AK444" s="446"/>
      <c r="AL444" s="446"/>
      <c r="AM444" s="446"/>
      <c r="AN444" s="446"/>
      <c r="AO444" s="446"/>
      <c r="AP444" s="446"/>
      <c r="AQ444" s="446"/>
      <c r="AR444" s="446"/>
      <c r="AS444" s="446"/>
      <c r="AT444" s="446"/>
      <c r="AU444" s="446"/>
      <c r="AV444" s="446"/>
      <c r="AW444" s="446"/>
      <c r="AX444" s="446"/>
      <c r="AY444" s="446"/>
      <c r="AZ444" s="446"/>
      <c r="BA444" s="446"/>
      <c r="BB444" s="446"/>
      <c r="BC444" s="446"/>
      <c r="BD444" s="446"/>
      <c r="BE444" s="445"/>
      <c r="BF444" s="445"/>
      <c r="BG444" s="446"/>
      <c r="BH444" s="446"/>
      <c r="BI444" s="445">
        <v>33</v>
      </c>
      <c r="BJ444" s="445">
        <v>15</v>
      </c>
      <c r="BK444" s="445"/>
      <c r="BL444" s="445"/>
      <c r="BM444" s="445"/>
      <c r="BN444" s="445"/>
      <c r="BO444" s="445"/>
      <c r="BP444" s="445"/>
      <c r="BQ444" s="444"/>
      <c r="BR444" s="444"/>
      <c r="BS444" s="442"/>
      <c r="BT444" s="445"/>
      <c r="BU444" s="445"/>
      <c r="BV444" s="445"/>
      <c r="BW444" s="445"/>
      <c r="BX444" s="756"/>
      <c r="BY444" s="850"/>
      <c r="BZ444" s="850"/>
      <c r="CA444" s="850"/>
      <c r="CB444" s="850"/>
      <c r="CC444" s="850"/>
      <c r="CD444" s="850"/>
      <c r="CE444" s="850"/>
      <c r="CF444" s="850"/>
      <c r="CG444" s="168" t="s">
        <v>219</v>
      </c>
      <c r="CH444" s="422" t="s">
        <v>664</v>
      </c>
      <c r="CI444" s="406"/>
      <c r="CJ444" s="23"/>
      <c r="CK444" s="431" t="s">
        <v>1063</v>
      </c>
      <c r="CL444" s="572"/>
      <c r="CM444" s="648"/>
      <c r="CR444" s="406"/>
      <c r="CS444" s="648"/>
      <c r="CU444" s="23"/>
      <c r="CV444" s="23"/>
      <c r="CW444" s="23"/>
      <c r="CX444" s="23"/>
      <c r="DA444" s="648"/>
    </row>
    <row r="445" spans="1:105" s="35" customFormat="1" ht="12" customHeight="1" x14ac:dyDescent="0.2">
      <c r="A445" s="647"/>
      <c r="B445" s="469"/>
      <c r="C445" s="97" t="s">
        <v>22</v>
      </c>
      <c r="D445" s="169" t="s">
        <v>1131</v>
      </c>
      <c r="E445" s="647" t="s">
        <v>24</v>
      </c>
      <c r="F445" s="647"/>
      <c r="G445" s="98"/>
      <c r="H445" s="97"/>
      <c r="I445" s="166">
        <v>2002</v>
      </c>
      <c r="J445" s="571"/>
      <c r="K445" s="571"/>
      <c r="L445" s="493"/>
      <c r="M445" s="98" t="s">
        <v>15</v>
      </c>
      <c r="N445" s="493"/>
      <c r="O445" s="98" t="s">
        <v>564</v>
      </c>
      <c r="P445" s="98"/>
      <c r="Q445" s="98"/>
      <c r="R445" s="167"/>
      <c r="S445" s="167"/>
      <c r="T445" s="167"/>
      <c r="U445" s="393">
        <v>1256</v>
      </c>
      <c r="V445" s="694"/>
      <c r="W445" s="711"/>
      <c r="X445" s="167"/>
      <c r="Y445" s="446"/>
      <c r="Z445" s="446"/>
      <c r="AA445" s="446"/>
      <c r="AB445" s="446"/>
      <c r="AC445" s="446"/>
      <c r="AD445" s="446"/>
      <c r="AE445" s="446"/>
      <c r="AF445" s="446"/>
      <c r="AG445" s="446"/>
      <c r="AH445" s="446"/>
      <c r="AI445" s="446"/>
      <c r="AJ445" s="446"/>
      <c r="AK445" s="446"/>
      <c r="AL445" s="446"/>
      <c r="AM445" s="446"/>
      <c r="AN445" s="446"/>
      <c r="AO445" s="446"/>
      <c r="AP445" s="446"/>
      <c r="AQ445" s="446"/>
      <c r="AR445" s="446"/>
      <c r="AS445" s="446"/>
      <c r="AT445" s="446"/>
      <c r="AU445" s="446"/>
      <c r="AV445" s="446"/>
      <c r="AW445" s="446"/>
      <c r="AX445" s="446"/>
      <c r="AY445" s="446"/>
      <c r="AZ445" s="446"/>
      <c r="BA445" s="446"/>
      <c r="BB445" s="446"/>
      <c r="BC445" s="446"/>
      <c r="BD445" s="446"/>
      <c r="BE445" s="445"/>
      <c r="BF445" s="445"/>
      <c r="BG445" s="446"/>
      <c r="BH445" s="446"/>
      <c r="BI445" s="445">
        <v>47</v>
      </c>
      <c r="BJ445" s="445">
        <v>19</v>
      </c>
      <c r="BK445" s="445"/>
      <c r="BL445" s="445"/>
      <c r="BM445" s="445"/>
      <c r="BN445" s="445"/>
      <c r="BO445" s="445"/>
      <c r="BP445" s="445"/>
      <c r="BQ445" s="444"/>
      <c r="BR445" s="444"/>
      <c r="BS445" s="442"/>
      <c r="BT445" s="445"/>
      <c r="BU445" s="445"/>
      <c r="BV445" s="445"/>
      <c r="BW445" s="445"/>
      <c r="BX445" s="756"/>
      <c r="BY445" s="850"/>
      <c r="BZ445" s="850"/>
      <c r="CA445" s="850"/>
      <c r="CB445" s="850"/>
      <c r="CC445" s="850"/>
      <c r="CD445" s="850"/>
      <c r="CE445" s="850"/>
      <c r="CF445" s="850"/>
      <c r="CG445" s="168" t="s">
        <v>219</v>
      </c>
      <c r="CH445" s="422" t="s">
        <v>664</v>
      </c>
      <c r="CI445" s="406"/>
      <c r="CJ445" s="23"/>
      <c r="CK445" s="431" t="s">
        <v>1063</v>
      </c>
      <c r="CL445" s="572"/>
      <c r="CM445" s="648"/>
      <c r="CR445" s="406"/>
      <c r="CS445" s="648"/>
      <c r="CU445" s="23"/>
      <c r="CV445" s="23"/>
      <c r="CW445" s="23"/>
      <c r="CX445" s="23"/>
      <c r="DA445" s="648"/>
    </row>
    <row r="446" spans="1:105" s="35" customFormat="1" ht="12" customHeight="1" x14ac:dyDescent="0.2">
      <c r="A446" s="647"/>
      <c r="B446" s="469"/>
      <c r="C446" s="97" t="s">
        <v>22</v>
      </c>
      <c r="D446" s="169" t="s">
        <v>1131</v>
      </c>
      <c r="E446" s="647" t="s">
        <v>849</v>
      </c>
      <c r="F446" s="647"/>
      <c r="G446" s="237"/>
      <c r="H446" s="186"/>
      <c r="I446" s="166">
        <v>2005</v>
      </c>
      <c r="J446" s="390"/>
      <c r="K446" s="390"/>
      <c r="L446" s="493"/>
      <c r="M446" s="237" t="s">
        <v>15</v>
      </c>
      <c r="N446" s="493"/>
      <c r="O446" s="237" t="s">
        <v>20</v>
      </c>
      <c r="P446" s="237"/>
      <c r="Q446" s="98"/>
      <c r="R446" s="167"/>
      <c r="S446" s="167"/>
      <c r="T446" s="167"/>
      <c r="U446" s="393">
        <v>1444</v>
      </c>
      <c r="V446" s="694"/>
      <c r="W446" s="711"/>
      <c r="X446" s="254"/>
      <c r="Y446" s="446"/>
      <c r="Z446" s="446"/>
      <c r="AA446" s="446"/>
      <c r="AB446" s="446"/>
      <c r="AC446" s="446"/>
      <c r="AD446" s="446"/>
      <c r="AE446" s="446"/>
      <c r="AF446" s="446"/>
      <c r="AG446" s="446"/>
      <c r="AH446" s="446"/>
      <c r="AI446" s="446"/>
      <c r="AJ446" s="446"/>
      <c r="AK446" s="446"/>
      <c r="AL446" s="446"/>
      <c r="AM446" s="446"/>
      <c r="AN446" s="446"/>
      <c r="AO446" s="446"/>
      <c r="AP446" s="446"/>
      <c r="AQ446" s="446"/>
      <c r="AR446" s="446"/>
      <c r="AS446" s="446"/>
      <c r="AT446" s="446"/>
      <c r="AU446" s="446"/>
      <c r="AV446" s="446"/>
      <c r="AW446" s="446"/>
      <c r="AX446" s="446"/>
      <c r="AY446" s="446"/>
      <c r="AZ446" s="446"/>
      <c r="BA446" s="446"/>
      <c r="BB446" s="446"/>
      <c r="BC446" s="446"/>
      <c r="BD446" s="446"/>
      <c r="BE446" s="445"/>
      <c r="BF446" s="445"/>
      <c r="BG446" s="446"/>
      <c r="BH446" s="446"/>
      <c r="BI446" s="445">
        <v>16.2</v>
      </c>
      <c r="BJ446" s="445"/>
      <c r="BK446" s="445"/>
      <c r="BL446" s="445"/>
      <c r="BM446" s="445"/>
      <c r="BN446" s="445"/>
      <c r="BO446" s="445"/>
      <c r="BP446" s="445"/>
      <c r="BQ446" s="444"/>
      <c r="BR446" s="444"/>
      <c r="BS446" s="442">
        <v>19.7</v>
      </c>
      <c r="BT446" s="446"/>
      <c r="BU446" s="446"/>
      <c r="BV446" s="442"/>
      <c r="BW446" s="442"/>
      <c r="BX446" s="756"/>
      <c r="BY446" s="850"/>
      <c r="BZ446" s="850"/>
      <c r="CA446" s="850"/>
      <c r="CB446" s="850"/>
      <c r="CC446" s="850"/>
      <c r="CD446" s="850"/>
      <c r="CE446" s="850"/>
      <c r="CF446" s="850"/>
      <c r="CG446" s="169" t="s">
        <v>957</v>
      </c>
      <c r="CH446" s="417"/>
      <c r="CI446" s="406"/>
      <c r="CJ446" s="23"/>
      <c r="CK446" s="417" t="s">
        <v>1044</v>
      </c>
      <c r="CL446" s="572"/>
      <c r="CM446" s="648"/>
      <c r="CR446" s="406"/>
      <c r="CS446" s="648"/>
      <c r="CU446" s="23"/>
      <c r="CV446" s="23"/>
      <c r="CW446" s="23"/>
      <c r="CX446" s="23"/>
      <c r="DA446" s="648"/>
    </row>
    <row r="447" spans="1:105" s="35" customFormat="1" ht="12" customHeight="1" x14ac:dyDescent="0.2">
      <c r="A447" s="651"/>
      <c r="B447" s="537"/>
      <c r="C447" s="97" t="s">
        <v>81</v>
      </c>
      <c r="D447" s="237" t="s">
        <v>1125</v>
      </c>
      <c r="E447" s="647" t="s">
        <v>87</v>
      </c>
      <c r="F447" s="647"/>
      <c r="G447" s="98"/>
      <c r="H447" s="97"/>
      <c r="I447" s="166">
        <v>1994</v>
      </c>
      <c r="J447" s="571"/>
      <c r="K447" s="571"/>
      <c r="L447" s="493"/>
      <c r="M447" s="98" t="s">
        <v>78</v>
      </c>
      <c r="N447" s="493"/>
      <c r="O447" s="247" t="s">
        <v>19</v>
      </c>
      <c r="P447" s="247"/>
      <c r="Q447" s="98"/>
      <c r="R447" s="167"/>
      <c r="S447" s="167"/>
      <c r="T447" s="167"/>
      <c r="U447" s="393">
        <v>619</v>
      </c>
      <c r="V447" s="694"/>
      <c r="W447" s="711"/>
      <c r="X447" s="167"/>
      <c r="Y447" s="446"/>
      <c r="Z447" s="446"/>
      <c r="AA447" s="446"/>
      <c r="AB447" s="446"/>
      <c r="AC447" s="446"/>
      <c r="AD447" s="446"/>
      <c r="AE447" s="446"/>
      <c r="AF447" s="446"/>
      <c r="AG447" s="446"/>
      <c r="AH447" s="446"/>
      <c r="AI447" s="446"/>
      <c r="AJ447" s="446"/>
      <c r="AK447" s="446"/>
      <c r="AL447" s="446"/>
      <c r="AM447" s="446"/>
      <c r="AN447" s="446"/>
      <c r="AO447" s="446"/>
      <c r="AP447" s="446"/>
      <c r="AQ447" s="446"/>
      <c r="AR447" s="446"/>
      <c r="AS447" s="446"/>
      <c r="AT447" s="446"/>
      <c r="AU447" s="446"/>
      <c r="AV447" s="446"/>
      <c r="AW447" s="446"/>
      <c r="AX447" s="446"/>
      <c r="AY447" s="446"/>
      <c r="AZ447" s="446"/>
      <c r="BA447" s="446"/>
      <c r="BB447" s="446"/>
      <c r="BC447" s="446"/>
      <c r="BD447" s="446"/>
      <c r="BE447" s="444"/>
      <c r="BF447" s="444"/>
      <c r="BG447" s="446"/>
      <c r="BH447" s="446"/>
      <c r="BI447" s="446"/>
      <c r="BJ447" s="444"/>
      <c r="BK447" s="444"/>
      <c r="BL447" s="444"/>
      <c r="BM447" s="444"/>
      <c r="BN447" s="444"/>
      <c r="BO447" s="444"/>
      <c r="BP447" s="444"/>
      <c r="BQ447" s="446"/>
      <c r="BR447" s="446"/>
      <c r="BS447" s="442">
        <v>20</v>
      </c>
      <c r="BT447" s="271"/>
      <c r="BU447" s="271"/>
      <c r="BV447" s="454"/>
      <c r="BW447" s="454"/>
      <c r="BX447" s="756"/>
      <c r="BY447" s="850"/>
      <c r="BZ447" s="850"/>
      <c r="CA447" s="850"/>
      <c r="CB447" s="850"/>
      <c r="CC447" s="850"/>
      <c r="CD447" s="850"/>
      <c r="CE447" s="850"/>
      <c r="CF447" s="850"/>
      <c r="CG447" s="98" t="s">
        <v>218</v>
      </c>
      <c r="CH447" s="417"/>
      <c r="CI447" s="406"/>
      <c r="CJ447" s="23"/>
      <c r="CK447" s="417" t="s">
        <v>1059</v>
      </c>
      <c r="CL447" s="572"/>
      <c r="CM447" s="648"/>
      <c r="CR447" s="406"/>
      <c r="CS447" s="648"/>
      <c r="CU447" s="23"/>
      <c r="CV447" s="23"/>
      <c r="CW447" s="23"/>
      <c r="CX447" s="23"/>
      <c r="DA447" s="648"/>
    </row>
    <row r="448" spans="1:105" s="35" customFormat="1" ht="12" customHeight="1" x14ac:dyDescent="0.2">
      <c r="A448" s="651"/>
      <c r="B448" s="537"/>
      <c r="C448" s="97" t="s">
        <v>81</v>
      </c>
      <c r="D448" s="169" t="s">
        <v>1125</v>
      </c>
      <c r="E448" s="647" t="s">
        <v>87</v>
      </c>
      <c r="F448" s="647"/>
      <c r="G448" s="98"/>
      <c r="H448" s="97"/>
      <c r="I448" s="166">
        <v>2002</v>
      </c>
      <c r="J448" s="571"/>
      <c r="K448" s="571"/>
      <c r="L448" s="493" t="s">
        <v>243</v>
      </c>
      <c r="M448" s="98" t="s">
        <v>15</v>
      </c>
      <c r="N448" s="494" t="s">
        <v>783</v>
      </c>
      <c r="O448" s="98" t="s">
        <v>19</v>
      </c>
      <c r="P448" s="98"/>
      <c r="Q448" s="98"/>
      <c r="R448" s="167"/>
      <c r="S448" s="167"/>
      <c r="T448" s="167"/>
      <c r="U448" s="393">
        <v>1048</v>
      </c>
      <c r="V448" s="694"/>
      <c r="W448" s="711"/>
      <c r="X448" s="167"/>
      <c r="Y448" s="446"/>
      <c r="Z448" s="446"/>
      <c r="AA448" s="446"/>
      <c r="AB448" s="446"/>
      <c r="AC448" s="446"/>
      <c r="AD448" s="446"/>
      <c r="AE448" s="446"/>
      <c r="AF448" s="446"/>
      <c r="AG448" s="446"/>
      <c r="AH448" s="446"/>
      <c r="AI448" s="446"/>
      <c r="AJ448" s="446"/>
      <c r="AK448" s="446"/>
      <c r="AL448" s="446"/>
      <c r="AM448" s="446"/>
      <c r="AN448" s="446"/>
      <c r="AO448" s="446"/>
      <c r="AP448" s="446"/>
      <c r="AQ448" s="446"/>
      <c r="AR448" s="446"/>
      <c r="AS448" s="446"/>
      <c r="AT448" s="446"/>
      <c r="AU448" s="446"/>
      <c r="AV448" s="446"/>
      <c r="AW448" s="446"/>
      <c r="AX448" s="446"/>
      <c r="AY448" s="446"/>
      <c r="AZ448" s="446"/>
      <c r="BA448" s="446"/>
      <c r="BB448" s="446"/>
      <c r="BC448" s="446"/>
      <c r="BD448" s="446"/>
      <c r="BE448" s="445"/>
      <c r="BF448" s="445"/>
      <c r="BG448" s="446"/>
      <c r="BH448" s="446"/>
      <c r="BI448" s="442">
        <v>23</v>
      </c>
      <c r="BJ448" s="445">
        <v>8</v>
      </c>
      <c r="BK448" s="445"/>
      <c r="BL448" s="445"/>
      <c r="BM448" s="445"/>
      <c r="BN448" s="445"/>
      <c r="BO448" s="445"/>
      <c r="BP448" s="445"/>
      <c r="BQ448" s="444"/>
      <c r="BR448" s="444"/>
      <c r="BS448" s="442"/>
      <c r="BT448" s="445"/>
      <c r="BU448" s="445"/>
      <c r="BV448" s="445"/>
      <c r="BW448" s="445"/>
      <c r="BX448" s="756"/>
      <c r="BY448" s="850"/>
      <c r="BZ448" s="850"/>
      <c r="CA448" s="850"/>
      <c r="CB448" s="850"/>
      <c r="CC448" s="850"/>
      <c r="CD448" s="850"/>
      <c r="CE448" s="850"/>
      <c r="CF448" s="850"/>
      <c r="CG448" s="169" t="s">
        <v>523</v>
      </c>
      <c r="CH448" s="417"/>
      <c r="CI448" s="406"/>
      <c r="CJ448" s="23"/>
      <c r="CK448" s="426" t="s">
        <v>1041</v>
      </c>
      <c r="CL448" s="572"/>
      <c r="CM448" s="648"/>
      <c r="CR448" s="406"/>
      <c r="CS448" s="648"/>
      <c r="CU448" s="23"/>
      <c r="CV448" s="23"/>
      <c r="CW448" s="23"/>
      <c r="CX448" s="23"/>
      <c r="DA448" s="648"/>
    </row>
    <row r="449" spans="1:105" s="35" customFormat="1" ht="12" customHeight="1" x14ac:dyDescent="0.2">
      <c r="A449" s="651"/>
      <c r="B449" s="537"/>
      <c r="C449" s="97" t="s">
        <v>81</v>
      </c>
      <c r="D449" s="169" t="s">
        <v>1125</v>
      </c>
      <c r="E449" s="647" t="s">
        <v>86</v>
      </c>
      <c r="F449" s="647"/>
      <c r="G449" s="98"/>
      <c r="H449" s="97"/>
      <c r="I449" s="166">
        <v>2002</v>
      </c>
      <c r="J449" s="571"/>
      <c r="K449" s="571"/>
      <c r="L449" s="493"/>
      <c r="M449" s="98" t="s">
        <v>15</v>
      </c>
      <c r="N449" s="493"/>
      <c r="O449" s="98" t="s">
        <v>19</v>
      </c>
      <c r="P449" s="98"/>
      <c r="Q449" s="98"/>
      <c r="R449" s="167"/>
      <c r="S449" s="167"/>
      <c r="T449" s="167"/>
      <c r="U449" s="393">
        <v>1024</v>
      </c>
      <c r="V449" s="694"/>
      <c r="W449" s="711"/>
      <c r="X449" s="167"/>
      <c r="Y449" s="446"/>
      <c r="Z449" s="446"/>
      <c r="AA449" s="446"/>
      <c r="AB449" s="446"/>
      <c r="AC449" s="446"/>
      <c r="AD449" s="446"/>
      <c r="AE449" s="446"/>
      <c r="AF449" s="446"/>
      <c r="AG449" s="446"/>
      <c r="AH449" s="446"/>
      <c r="AI449" s="446"/>
      <c r="AJ449" s="446"/>
      <c r="AK449" s="446"/>
      <c r="AL449" s="446"/>
      <c r="AM449" s="446"/>
      <c r="AN449" s="446"/>
      <c r="AO449" s="446"/>
      <c r="AP449" s="446"/>
      <c r="AQ449" s="446"/>
      <c r="AR449" s="446"/>
      <c r="AS449" s="446"/>
      <c r="AT449" s="446"/>
      <c r="AU449" s="446"/>
      <c r="AV449" s="446"/>
      <c r="AW449" s="446"/>
      <c r="AX449" s="446"/>
      <c r="AY449" s="446"/>
      <c r="AZ449" s="446"/>
      <c r="BA449" s="446"/>
      <c r="BB449" s="446"/>
      <c r="BC449" s="446"/>
      <c r="BD449" s="446"/>
      <c r="BE449" s="445"/>
      <c r="BF449" s="445"/>
      <c r="BG449" s="446"/>
      <c r="BH449" s="446"/>
      <c r="BI449" s="442">
        <v>34</v>
      </c>
      <c r="BJ449" s="445">
        <v>13</v>
      </c>
      <c r="BK449" s="445"/>
      <c r="BL449" s="445"/>
      <c r="BM449" s="445"/>
      <c r="BN449" s="445"/>
      <c r="BO449" s="445"/>
      <c r="BP449" s="445"/>
      <c r="BQ449" s="444"/>
      <c r="BR449" s="444"/>
      <c r="BS449" s="442"/>
      <c r="BT449" s="445"/>
      <c r="BU449" s="445"/>
      <c r="BV449" s="445"/>
      <c r="BW449" s="445"/>
      <c r="BX449" s="756"/>
      <c r="BY449" s="850"/>
      <c r="BZ449" s="850"/>
      <c r="CA449" s="850"/>
      <c r="CB449" s="850"/>
      <c r="CC449" s="850"/>
      <c r="CD449" s="850"/>
      <c r="CE449" s="850"/>
      <c r="CF449" s="850"/>
      <c r="CG449" s="169" t="s">
        <v>523</v>
      </c>
      <c r="CH449" s="417"/>
      <c r="CI449" s="406"/>
      <c r="CJ449" s="23"/>
      <c r="CK449" s="426" t="s">
        <v>1041</v>
      </c>
      <c r="CL449" s="572"/>
      <c r="CM449" s="648"/>
      <c r="CR449" s="406"/>
      <c r="CS449" s="648"/>
      <c r="CU449" s="23"/>
      <c r="CV449" s="23"/>
      <c r="CW449" s="23"/>
      <c r="CX449" s="23"/>
      <c r="DA449" s="648"/>
    </row>
    <row r="450" spans="1:105" s="35" customFormat="1" ht="12" customHeight="1" x14ac:dyDescent="0.2">
      <c r="A450" s="651"/>
      <c r="B450" s="537"/>
      <c r="C450" s="186" t="s">
        <v>200</v>
      </c>
      <c r="D450" s="169" t="s">
        <v>1131</v>
      </c>
      <c r="E450" s="647"/>
      <c r="F450" s="647"/>
      <c r="G450" s="237"/>
      <c r="H450" s="186"/>
      <c r="I450" s="166"/>
      <c r="J450" s="390"/>
      <c r="K450" s="390"/>
      <c r="L450" s="493"/>
      <c r="M450" s="98"/>
      <c r="N450" s="493"/>
      <c r="O450" s="247" t="s">
        <v>19</v>
      </c>
      <c r="P450" s="247"/>
      <c r="Q450" s="98"/>
      <c r="R450" s="167"/>
      <c r="S450" s="167"/>
      <c r="T450" s="167"/>
      <c r="U450" s="393">
        <v>999999999</v>
      </c>
      <c r="V450" s="694"/>
      <c r="W450" s="711"/>
      <c r="X450" s="254"/>
      <c r="Y450" s="446"/>
      <c r="Z450" s="446"/>
      <c r="AA450" s="446"/>
      <c r="AB450" s="446"/>
      <c r="AC450" s="446"/>
      <c r="AD450" s="446"/>
      <c r="AE450" s="446"/>
      <c r="AF450" s="446"/>
      <c r="AG450" s="446"/>
      <c r="AH450" s="446"/>
      <c r="AI450" s="446"/>
      <c r="AJ450" s="446"/>
      <c r="AK450" s="446"/>
      <c r="AL450" s="446"/>
      <c r="AM450" s="446"/>
      <c r="AN450" s="446"/>
      <c r="AO450" s="446"/>
      <c r="AP450" s="446"/>
      <c r="AQ450" s="446"/>
      <c r="AR450" s="446"/>
      <c r="AS450" s="446"/>
      <c r="AT450" s="446"/>
      <c r="AU450" s="446"/>
      <c r="AV450" s="446"/>
      <c r="AW450" s="446"/>
      <c r="AX450" s="446"/>
      <c r="AY450" s="446"/>
      <c r="AZ450" s="446"/>
      <c r="BA450" s="446"/>
      <c r="BB450" s="446"/>
      <c r="BC450" s="446"/>
      <c r="BD450" s="446"/>
      <c r="BE450" s="442"/>
      <c r="BF450" s="442"/>
      <c r="BG450" s="446"/>
      <c r="BH450" s="446"/>
      <c r="BI450" s="442"/>
      <c r="BJ450" s="442"/>
      <c r="BK450" s="442"/>
      <c r="BL450" s="442"/>
      <c r="BM450" s="442"/>
      <c r="BN450" s="442"/>
      <c r="BO450" s="442"/>
      <c r="BP450" s="442"/>
      <c r="BQ450" s="442"/>
      <c r="BR450" s="442"/>
      <c r="BS450" s="442">
        <v>41</v>
      </c>
      <c r="BT450" s="271"/>
      <c r="BU450" s="271"/>
      <c r="BV450" s="454"/>
      <c r="BW450" s="454"/>
      <c r="BX450" s="756"/>
      <c r="BY450" s="850"/>
      <c r="BZ450" s="850"/>
      <c r="CA450" s="850"/>
      <c r="CB450" s="850"/>
      <c r="CC450" s="850"/>
      <c r="CD450" s="850"/>
      <c r="CE450" s="850"/>
      <c r="CF450" s="850"/>
      <c r="CG450" s="169" t="s">
        <v>889</v>
      </c>
      <c r="CH450" s="419" t="s">
        <v>888</v>
      </c>
      <c r="CI450" s="406"/>
      <c r="CJ450" s="23"/>
      <c r="CK450" s="648"/>
      <c r="CL450" s="572"/>
      <c r="CM450" s="431"/>
      <c r="CN450" s="128"/>
      <c r="CO450" s="128"/>
      <c r="CP450" s="128"/>
      <c r="CQ450" s="128"/>
      <c r="CR450" s="406"/>
      <c r="CS450" s="431"/>
      <c r="CU450" s="23"/>
      <c r="CV450" s="23"/>
      <c r="CW450" s="23"/>
      <c r="CX450" s="23"/>
      <c r="DA450" s="648"/>
    </row>
    <row r="451" spans="1:105" s="35" customFormat="1" ht="12" customHeight="1" x14ac:dyDescent="0.2">
      <c r="A451" s="651"/>
      <c r="B451" s="537"/>
      <c r="C451" s="97" t="s">
        <v>353</v>
      </c>
      <c r="D451" s="169" t="s">
        <v>1132</v>
      </c>
      <c r="E451" s="647" t="s">
        <v>947</v>
      </c>
      <c r="F451" s="647"/>
      <c r="G451" s="237"/>
      <c r="H451" s="186"/>
      <c r="I451" s="166">
        <v>2010</v>
      </c>
      <c r="J451" s="390"/>
      <c r="K451" s="390"/>
      <c r="L451" s="493"/>
      <c r="M451" s="98"/>
      <c r="N451" s="493"/>
      <c r="O451" s="247" t="s">
        <v>19</v>
      </c>
      <c r="P451" s="247"/>
      <c r="Q451" s="237"/>
      <c r="R451" s="254"/>
      <c r="S451" s="254"/>
      <c r="T451" s="254"/>
      <c r="U451" s="393">
        <v>999999999</v>
      </c>
      <c r="V451" s="694"/>
      <c r="W451" s="711"/>
      <c r="X451" s="254"/>
      <c r="Y451" s="446"/>
      <c r="Z451" s="446"/>
      <c r="AA451" s="446"/>
      <c r="AB451" s="446"/>
      <c r="AC451" s="446"/>
      <c r="AD451" s="446"/>
      <c r="AE451" s="446"/>
      <c r="AF451" s="446"/>
      <c r="AG451" s="446"/>
      <c r="AH451" s="446"/>
      <c r="AI451" s="446"/>
      <c r="AJ451" s="446"/>
      <c r="AK451" s="446"/>
      <c r="AL451" s="446"/>
      <c r="AM451" s="446"/>
      <c r="AN451" s="446"/>
      <c r="AO451" s="446"/>
      <c r="AP451" s="446"/>
      <c r="AQ451" s="446"/>
      <c r="AR451" s="446"/>
      <c r="AS451" s="446"/>
      <c r="AT451" s="446"/>
      <c r="AU451" s="446"/>
      <c r="AV451" s="446"/>
      <c r="AW451" s="446"/>
      <c r="AX451" s="446"/>
      <c r="AY451" s="446"/>
      <c r="AZ451" s="446"/>
      <c r="BA451" s="446"/>
      <c r="BB451" s="446"/>
      <c r="BC451" s="446"/>
      <c r="BD451" s="446"/>
      <c r="BE451" s="442"/>
      <c r="BF451" s="442"/>
      <c r="BG451" s="446"/>
      <c r="BH451" s="446"/>
      <c r="BI451" s="442"/>
      <c r="BJ451" s="442"/>
      <c r="BK451" s="442"/>
      <c r="BL451" s="442"/>
      <c r="BM451" s="442"/>
      <c r="BN451" s="442"/>
      <c r="BO451" s="442"/>
      <c r="BP451" s="442"/>
      <c r="BQ451" s="442"/>
      <c r="BR451" s="442"/>
      <c r="BS451" s="442">
        <v>41</v>
      </c>
      <c r="BT451" s="446"/>
      <c r="BU451" s="446"/>
      <c r="BV451" s="442"/>
      <c r="BW451" s="442"/>
      <c r="BX451" s="756"/>
      <c r="BY451" s="850"/>
      <c r="BZ451" s="850"/>
      <c r="CA451" s="850"/>
      <c r="CB451" s="850"/>
      <c r="CC451" s="850"/>
      <c r="CD451" s="850"/>
      <c r="CE451" s="850"/>
      <c r="CF451" s="850"/>
      <c r="CG451" s="169" t="s">
        <v>988</v>
      </c>
      <c r="CH451" s="419" t="s">
        <v>624</v>
      </c>
      <c r="CI451" s="406"/>
      <c r="CJ451" s="23"/>
      <c r="CK451" s="648" t="s">
        <v>750</v>
      </c>
      <c r="CL451" s="572"/>
      <c r="CM451" s="648"/>
      <c r="CR451" s="406"/>
      <c r="CS451" s="648"/>
      <c r="CU451" s="23"/>
      <c r="CV451" s="23"/>
      <c r="CW451" s="23"/>
      <c r="CX451" s="23"/>
      <c r="DA451" s="648"/>
    </row>
    <row r="452" spans="1:105" s="35" customFormat="1" ht="12" customHeight="1" x14ac:dyDescent="0.2">
      <c r="A452" s="651"/>
      <c r="B452" s="537"/>
      <c r="C452" s="97" t="s">
        <v>202</v>
      </c>
      <c r="D452" s="169" t="s">
        <v>1131</v>
      </c>
      <c r="E452" s="647"/>
      <c r="F452" s="647"/>
      <c r="G452" s="237"/>
      <c r="H452" s="186"/>
      <c r="I452" s="166">
        <v>2010</v>
      </c>
      <c r="J452" s="390"/>
      <c r="K452" s="390"/>
      <c r="L452" s="493"/>
      <c r="M452" s="98"/>
      <c r="N452" s="493"/>
      <c r="O452" s="247" t="s">
        <v>19</v>
      </c>
      <c r="P452" s="247"/>
      <c r="Q452" s="237"/>
      <c r="R452" s="254"/>
      <c r="S452" s="254"/>
      <c r="T452" s="254"/>
      <c r="U452" s="393">
        <v>999999999</v>
      </c>
      <c r="V452" s="694"/>
      <c r="W452" s="711"/>
      <c r="X452" s="254"/>
      <c r="Y452" s="446"/>
      <c r="Z452" s="446"/>
      <c r="AA452" s="446"/>
      <c r="AB452" s="446"/>
      <c r="AC452" s="446"/>
      <c r="AD452" s="446"/>
      <c r="AE452" s="446"/>
      <c r="AF452" s="446"/>
      <c r="AG452" s="446"/>
      <c r="AH452" s="446"/>
      <c r="AI452" s="446"/>
      <c r="AJ452" s="446"/>
      <c r="AK452" s="446"/>
      <c r="AL452" s="446"/>
      <c r="AM452" s="446"/>
      <c r="AN452" s="446"/>
      <c r="AO452" s="446"/>
      <c r="AP452" s="446"/>
      <c r="AQ452" s="446"/>
      <c r="AR452" s="446"/>
      <c r="AS452" s="446"/>
      <c r="AT452" s="446"/>
      <c r="AU452" s="446"/>
      <c r="AV452" s="446"/>
      <c r="AW452" s="446"/>
      <c r="AX452" s="446"/>
      <c r="AY452" s="446"/>
      <c r="AZ452" s="446"/>
      <c r="BA452" s="446"/>
      <c r="BB452" s="446"/>
      <c r="BC452" s="446"/>
      <c r="BD452" s="446"/>
      <c r="BE452" s="442"/>
      <c r="BF452" s="442"/>
      <c r="BG452" s="446"/>
      <c r="BH452" s="446"/>
      <c r="BI452" s="442">
        <v>20.3</v>
      </c>
      <c r="BJ452" s="442">
        <v>7.2</v>
      </c>
      <c r="BK452" s="442"/>
      <c r="BL452" s="442"/>
      <c r="BM452" s="442"/>
      <c r="BN452" s="442"/>
      <c r="BO452" s="442"/>
      <c r="BP452" s="442"/>
      <c r="BQ452" s="442"/>
      <c r="BR452" s="445"/>
      <c r="BS452" s="442"/>
      <c r="BT452" s="446"/>
      <c r="BU452" s="446"/>
      <c r="BV452" s="442"/>
      <c r="BW452" s="442"/>
      <c r="BX452" s="756"/>
      <c r="BY452" s="850"/>
      <c r="BZ452" s="850"/>
      <c r="CA452" s="850"/>
      <c r="CB452" s="850"/>
      <c r="CC452" s="850"/>
      <c r="CD452" s="850"/>
      <c r="CE452" s="850"/>
      <c r="CF452" s="850"/>
      <c r="CG452" s="169" t="s">
        <v>548</v>
      </c>
      <c r="CH452" s="419" t="s">
        <v>1158</v>
      </c>
      <c r="CI452" s="406"/>
      <c r="CJ452" s="23"/>
      <c r="CK452" s="419" t="s">
        <v>625</v>
      </c>
      <c r="CL452" s="572"/>
      <c r="CM452" s="431"/>
      <c r="CN452" s="128"/>
      <c r="CO452" s="128"/>
      <c r="CP452" s="128"/>
      <c r="CQ452" s="128"/>
      <c r="CR452" s="406"/>
      <c r="CS452" s="431"/>
      <c r="CU452" s="23"/>
      <c r="CV452" s="23"/>
      <c r="CW452" s="23"/>
      <c r="CX452" s="23"/>
      <c r="DA452" s="648"/>
    </row>
    <row r="453" spans="1:105" s="137" customFormat="1" ht="12" customHeight="1" x14ac:dyDescent="0.2">
      <c r="A453" s="651"/>
      <c r="B453" s="537"/>
      <c r="C453" s="97" t="s">
        <v>98</v>
      </c>
      <c r="D453" s="169" t="s">
        <v>1125</v>
      </c>
      <c r="E453" s="647" t="s">
        <v>102</v>
      </c>
      <c r="F453" s="647"/>
      <c r="G453" s="98"/>
      <c r="H453" s="97"/>
      <c r="I453" s="166">
        <v>1998</v>
      </c>
      <c r="J453" s="571"/>
      <c r="K453" s="571"/>
      <c r="L453" s="493"/>
      <c r="M453" s="98" t="s">
        <v>17</v>
      </c>
      <c r="N453" s="493"/>
      <c r="O453" s="98" t="s">
        <v>19</v>
      </c>
      <c r="P453" s="98"/>
      <c r="Q453" s="98"/>
      <c r="R453" s="167"/>
      <c r="S453" s="167"/>
      <c r="T453" s="167"/>
      <c r="U453" s="393">
        <v>599</v>
      </c>
      <c r="V453" s="694"/>
      <c r="W453" s="711"/>
      <c r="X453" s="167"/>
      <c r="Y453" s="446"/>
      <c r="Z453" s="446"/>
      <c r="AA453" s="446"/>
      <c r="AB453" s="446"/>
      <c r="AC453" s="446"/>
      <c r="AD453" s="446"/>
      <c r="AE453" s="446"/>
      <c r="AF453" s="446"/>
      <c r="AG453" s="446"/>
      <c r="AH453" s="446"/>
      <c r="AI453" s="446"/>
      <c r="AJ453" s="446"/>
      <c r="AK453" s="446"/>
      <c r="AL453" s="446"/>
      <c r="AM453" s="446"/>
      <c r="AN453" s="446"/>
      <c r="AO453" s="446"/>
      <c r="AP453" s="446"/>
      <c r="AQ453" s="446"/>
      <c r="AR453" s="446"/>
      <c r="AS453" s="446"/>
      <c r="AT453" s="446"/>
      <c r="AU453" s="446"/>
      <c r="AV453" s="446"/>
      <c r="AW453" s="446"/>
      <c r="AX453" s="446"/>
      <c r="AY453" s="446"/>
      <c r="AZ453" s="446"/>
      <c r="BA453" s="446"/>
      <c r="BB453" s="446"/>
      <c r="BC453" s="446"/>
      <c r="BD453" s="446"/>
      <c r="BE453" s="271"/>
      <c r="BF453" s="271"/>
      <c r="BG453" s="446"/>
      <c r="BH453" s="446"/>
      <c r="BI453" s="442">
        <v>58</v>
      </c>
      <c r="BJ453" s="271"/>
      <c r="BK453" s="271"/>
      <c r="BL453" s="271"/>
      <c r="BM453" s="271"/>
      <c r="BN453" s="271"/>
      <c r="BO453" s="271"/>
      <c r="BP453" s="271"/>
      <c r="BQ453" s="271"/>
      <c r="BR453" s="271"/>
      <c r="BS453" s="271"/>
      <c r="BT453" s="271"/>
      <c r="BU453" s="271"/>
      <c r="BV453" s="454"/>
      <c r="BW453" s="454"/>
      <c r="BX453" s="756"/>
      <c r="BY453" s="850"/>
      <c r="BZ453" s="850"/>
      <c r="CA453" s="850"/>
      <c r="CB453" s="850"/>
      <c r="CC453" s="850"/>
      <c r="CD453" s="850"/>
      <c r="CE453" s="850"/>
      <c r="CF453" s="850"/>
      <c r="CG453" s="168" t="s">
        <v>219</v>
      </c>
      <c r="CH453" s="417"/>
      <c r="CI453" s="406"/>
      <c r="CJ453" s="23"/>
      <c r="CK453" s="431" t="s">
        <v>1063</v>
      </c>
      <c r="CL453" s="572"/>
      <c r="CM453" s="648"/>
      <c r="CN453" s="35"/>
      <c r="CO453" s="35"/>
      <c r="CP453" s="35"/>
      <c r="CQ453" s="35"/>
      <c r="CR453" s="406"/>
      <c r="CS453" s="648"/>
      <c r="CU453" s="139"/>
      <c r="CV453" s="139"/>
      <c r="CW453" s="139"/>
      <c r="CX453" s="139"/>
      <c r="DA453" s="430"/>
    </row>
    <row r="454" spans="1:105" s="137" customFormat="1" ht="12" customHeight="1" x14ac:dyDescent="0.2">
      <c r="A454" s="651"/>
      <c r="B454" s="537"/>
      <c r="C454" s="97" t="s">
        <v>98</v>
      </c>
      <c r="D454" s="169" t="s">
        <v>1125</v>
      </c>
      <c r="E454" s="647"/>
      <c r="F454" s="647"/>
      <c r="G454" s="98"/>
      <c r="H454" s="97"/>
      <c r="I454" s="166">
        <v>2003</v>
      </c>
      <c r="J454" s="571"/>
      <c r="K454" s="571"/>
      <c r="L454" s="493"/>
      <c r="M454" s="98" t="s">
        <v>78</v>
      </c>
      <c r="N454" s="493"/>
      <c r="O454" s="98" t="s">
        <v>19</v>
      </c>
      <c r="P454" s="98"/>
      <c r="Q454" s="98"/>
      <c r="R454" s="167"/>
      <c r="S454" s="167"/>
      <c r="T454" s="167"/>
      <c r="U454" s="393">
        <v>475</v>
      </c>
      <c r="V454" s="694"/>
      <c r="W454" s="711"/>
      <c r="X454" s="167"/>
      <c r="Y454" s="446"/>
      <c r="Z454" s="446"/>
      <c r="AA454" s="446"/>
      <c r="AB454" s="446"/>
      <c r="AC454" s="446"/>
      <c r="AD454" s="446"/>
      <c r="AE454" s="446"/>
      <c r="AF454" s="446"/>
      <c r="AG454" s="446"/>
      <c r="AH454" s="446"/>
      <c r="AI454" s="446"/>
      <c r="AJ454" s="446"/>
      <c r="AK454" s="446"/>
      <c r="AL454" s="446"/>
      <c r="AM454" s="446"/>
      <c r="AN454" s="446"/>
      <c r="AO454" s="446"/>
      <c r="AP454" s="446"/>
      <c r="AQ454" s="446"/>
      <c r="AR454" s="446"/>
      <c r="AS454" s="446"/>
      <c r="AT454" s="446"/>
      <c r="AU454" s="446"/>
      <c r="AV454" s="446"/>
      <c r="AW454" s="446"/>
      <c r="AX454" s="446"/>
      <c r="AY454" s="446"/>
      <c r="AZ454" s="446"/>
      <c r="BA454" s="446"/>
      <c r="BB454" s="446"/>
      <c r="BC454" s="446"/>
      <c r="BD454" s="446"/>
      <c r="BE454" s="444"/>
      <c r="BF454" s="444"/>
      <c r="BG454" s="446"/>
      <c r="BH454" s="446"/>
      <c r="BI454" s="446"/>
      <c r="BJ454" s="444"/>
      <c r="BK454" s="444"/>
      <c r="BL454" s="444"/>
      <c r="BM454" s="444"/>
      <c r="BN454" s="444"/>
      <c r="BO454" s="444"/>
      <c r="BP454" s="444"/>
      <c r="BQ454" s="446"/>
      <c r="BR454" s="442"/>
      <c r="BS454" s="442">
        <v>64.599999999999994</v>
      </c>
      <c r="BT454" s="271"/>
      <c r="BU454" s="271"/>
      <c r="BV454" s="454"/>
      <c r="BW454" s="454"/>
      <c r="BX454" s="756"/>
      <c r="BY454" s="850"/>
      <c r="BZ454" s="850"/>
      <c r="CA454" s="850"/>
      <c r="CB454" s="850"/>
      <c r="CC454" s="850"/>
      <c r="CD454" s="850"/>
      <c r="CE454" s="850"/>
      <c r="CF454" s="850"/>
      <c r="CG454" s="169" t="s">
        <v>969</v>
      </c>
      <c r="CH454" s="419" t="s">
        <v>1166</v>
      </c>
      <c r="CI454" s="406"/>
      <c r="CJ454" s="23"/>
      <c r="CK454" s="648" t="s">
        <v>749</v>
      </c>
      <c r="CL454" s="572" t="s">
        <v>547</v>
      </c>
      <c r="CM454" s="648"/>
      <c r="CN454" s="35"/>
      <c r="CO454" s="35"/>
      <c r="CP454" s="35"/>
      <c r="CQ454" s="35"/>
      <c r="CR454" s="406"/>
      <c r="CS454" s="648"/>
      <c r="CU454" s="139"/>
      <c r="CV454" s="139"/>
      <c r="CW454" s="139"/>
      <c r="CX454" s="139"/>
      <c r="DA454" s="430"/>
    </row>
    <row r="455" spans="1:105" s="137" customFormat="1" ht="12" customHeight="1" x14ac:dyDescent="0.2">
      <c r="A455" s="651"/>
      <c r="B455" s="537"/>
      <c r="C455" s="97" t="s">
        <v>98</v>
      </c>
      <c r="D455" s="169" t="s">
        <v>1125</v>
      </c>
      <c r="E455" s="647"/>
      <c r="F455" s="647"/>
      <c r="G455" s="98"/>
      <c r="H455" s="97"/>
      <c r="I455" s="166">
        <v>2004</v>
      </c>
      <c r="J455" s="571"/>
      <c r="K455" s="571"/>
      <c r="L455" s="493"/>
      <c r="M455" s="98" t="s">
        <v>18</v>
      </c>
      <c r="N455" s="493"/>
      <c r="O455" s="98"/>
      <c r="P455" s="98"/>
      <c r="Q455" s="98"/>
      <c r="R455" s="167"/>
      <c r="S455" s="167"/>
      <c r="T455" s="167"/>
      <c r="U455" s="393">
        <v>116</v>
      </c>
      <c r="V455" s="694"/>
      <c r="W455" s="711"/>
      <c r="X455" s="167"/>
      <c r="Y455" s="446"/>
      <c r="Z455" s="446"/>
      <c r="AA455" s="446"/>
      <c r="AB455" s="446"/>
      <c r="AC455" s="446"/>
      <c r="AD455" s="446"/>
      <c r="AE455" s="446"/>
      <c r="AF455" s="446"/>
      <c r="AG455" s="446"/>
      <c r="AH455" s="446"/>
      <c r="AI455" s="446"/>
      <c r="AJ455" s="446"/>
      <c r="AK455" s="446"/>
      <c r="AL455" s="446"/>
      <c r="AM455" s="446"/>
      <c r="AN455" s="446"/>
      <c r="AO455" s="446"/>
      <c r="AP455" s="446"/>
      <c r="AQ455" s="446"/>
      <c r="AR455" s="446"/>
      <c r="AS455" s="446"/>
      <c r="AT455" s="446"/>
      <c r="AU455" s="446"/>
      <c r="AV455" s="446"/>
      <c r="AW455" s="446"/>
      <c r="AX455" s="446"/>
      <c r="AY455" s="446"/>
      <c r="AZ455" s="446"/>
      <c r="BA455" s="446"/>
      <c r="BB455" s="446"/>
      <c r="BC455" s="446"/>
      <c r="BD455" s="446"/>
      <c r="BE455" s="445"/>
      <c r="BF455" s="445"/>
      <c r="BG455" s="446"/>
      <c r="BH455" s="446"/>
      <c r="BI455" s="445"/>
      <c r="BJ455" s="445">
        <v>41.4</v>
      </c>
      <c r="BK455" s="445"/>
      <c r="BL455" s="445"/>
      <c r="BM455" s="445"/>
      <c r="BN455" s="445"/>
      <c r="BO455" s="445"/>
      <c r="BP455" s="445"/>
      <c r="BQ455" s="444"/>
      <c r="BR455" s="444"/>
      <c r="BS455" s="442">
        <v>50.9</v>
      </c>
      <c r="BT455" s="271"/>
      <c r="BU455" s="271"/>
      <c r="BV455" s="454"/>
      <c r="BW455" s="454"/>
      <c r="BX455" s="756"/>
      <c r="BY455" s="850"/>
      <c r="BZ455" s="850"/>
      <c r="CA455" s="850"/>
      <c r="CB455" s="850"/>
      <c r="CC455" s="850"/>
      <c r="CD455" s="850"/>
      <c r="CE455" s="850"/>
      <c r="CF455" s="850"/>
      <c r="CG455" s="169" t="s">
        <v>969</v>
      </c>
      <c r="CH455" s="417"/>
      <c r="CI455" s="406"/>
      <c r="CJ455" s="23"/>
      <c r="CK455" s="648" t="s">
        <v>749</v>
      </c>
      <c r="CL455" s="572" t="s">
        <v>547</v>
      </c>
      <c r="CM455" s="648"/>
      <c r="CN455" s="35"/>
      <c r="CO455" s="35"/>
      <c r="CP455" s="35"/>
      <c r="CQ455" s="35"/>
      <c r="CR455" s="406"/>
      <c r="CS455" s="648"/>
      <c r="CU455" s="139"/>
      <c r="CV455" s="139"/>
      <c r="CW455" s="139"/>
      <c r="CX455" s="139"/>
      <c r="DA455" s="430"/>
    </row>
    <row r="456" spans="1:105" s="35" customFormat="1" ht="12" customHeight="1" x14ac:dyDescent="0.2">
      <c r="A456" s="651"/>
      <c r="B456" s="537"/>
      <c r="C456" s="97" t="s">
        <v>98</v>
      </c>
      <c r="D456" s="169" t="s">
        <v>1125</v>
      </c>
      <c r="E456" s="647"/>
      <c r="F456" s="647"/>
      <c r="G456" s="98"/>
      <c r="H456" s="97"/>
      <c r="I456" s="166">
        <v>2005</v>
      </c>
      <c r="J456" s="571"/>
      <c r="K456" s="571"/>
      <c r="L456" s="493"/>
      <c r="M456" s="98" t="s">
        <v>15</v>
      </c>
      <c r="N456" s="493"/>
      <c r="O456" s="247"/>
      <c r="P456" s="247"/>
      <c r="Q456" s="98"/>
      <c r="R456" s="167"/>
      <c r="S456" s="167"/>
      <c r="T456" s="167"/>
      <c r="U456" s="393">
        <v>506</v>
      </c>
      <c r="V456" s="694"/>
      <c r="W456" s="711"/>
      <c r="X456" s="167"/>
      <c r="Y456" s="446"/>
      <c r="Z456" s="446"/>
      <c r="AA456" s="446"/>
      <c r="AB456" s="446"/>
      <c r="AC456" s="446"/>
      <c r="AD456" s="446"/>
      <c r="AE456" s="446"/>
      <c r="AF456" s="446"/>
      <c r="AG456" s="446"/>
      <c r="AH456" s="446"/>
      <c r="AI456" s="446"/>
      <c r="AJ456" s="446"/>
      <c r="AK456" s="446"/>
      <c r="AL456" s="446"/>
      <c r="AM456" s="446"/>
      <c r="AN456" s="446"/>
      <c r="AO456" s="446"/>
      <c r="AP456" s="446"/>
      <c r="AQ456" s="446"/>
      <c r="AR456" s="446"/>
      <c r="AS456" s="446"/>
      <c r="AT456" s="446"/>
      <c r="AU456" s="446"/>
      <c r="AV456" s="446"/>
      <c r="AW456" s="446"/>
      <c r="AX456" s="446"/>
      <c r="AY456" s="446"/>
      <c r="AZ456" s="446"/>
      <c r="BA456" s="446"/>
      <c r="BB456" s="446"/>
      <c r="BC456" s="446"/>
      <c r="BD456" s="446"/>
      <c r="BE456" s="442"/>
      <c r="BF456" s="442"/>
      <c r="BG456" s="446"/>
      <c r="BH456" s="446"/>
      <c r="BI456" s="442">
        <v>41.1</v>
      </c>
      <c r="BJ456" s="442"/>
      <c r="BK456" s="442"/>
      <c r="BL456" s="442"/>
      <c r="BM456" s="442"/>
      <c r="BN456" s="442"/>
      <c r="BO456" s="442"/>
      <c r="BP456" s="442"/>
      <c r="BQ456" s="444"/>
      <c r="BR456" s="444"/>
      <c r="BS456" s="442">
        <v>58.7</v>
      </c>
      <c r="BT456" s="446"/>
      <c r="BU456" s="446"/>
      <c r="BV456" s="442"/>
      <c r="BW456" s="442"/>
      <c r="BX456" s="757"/>
      <c r="BY456" s="850"/>
      <c r="BZ456" s="850"/>
      <c r="CA456" s="850"/>
      <c r="CB456" s="850"/>
      <c r="CC456" s="850"/>
      <c r="CD456" s="850"/>
      <c r="CE456" s="850"/>
      <c r="CF456" s="850"/>
      <c r="CG456" s="169" t="s">
        <v>957</v>
      </c>
      <c r="CH456" s="417"/>
      <c r="CI456" s="406"/>
      <c r="CJ456" s="23"/>
      <c r="CK456" s="417" t="s">
        <v>1044</v>
      </c>
      <c r="CL456" s="572"/>
      <c r="CM456" s="648"/>
      <c r="CR456" s="406"/>
      <c r="CS456" s="648"/>
      <c r="CU456" s="23"/>
      <c r="CV456" s="23"/>
      <c r="CW456" s="23"/>
      <c r="CX456" s="23"/>
      <c r="DA456" s="648"/>
    </row>
    <row r="457" spans="1:105" s="35" customFormat="1" ht="12" customHeight="1" x14ac:dyDescent="0.2">
      <c r="A457" s="651"/>
      <c r="B457" s="537"/>
      <c r="C457" s="97" t="s">
        <v>98</v>
      </c>
      <c r="D457" s="169" t="s">
        <v>1125</v>
      </c>
      <c r="E457" s="647" t="s">
        <v>848</v>
      </c>
      <c r="F457" s="647"/>
      <c r="G457" s="237"/>
      <c r="H457" s="186"/>
      <c r="I457" s="166">
        <v>2005</v>
      </c>
      <c r="J457" s="390"/>
      <c r="K457" s="390"/>
      <c r="L457" s="493" t="s">
        <v>794</v>
      </c>
      <c r="M457" s="98"/>
      <c r="N457" s="493"/>
      <c r="O457" s="98" t="s">
        <v>19</v>
      </c>
      <c r="P457" s="98"/>
      <c r="Q457" s="98"/>
      <c r="R457" s="167"/>
      <c r="S457" s="167"/>
      <c r="T457" s="167"/>
      <c r="U457" s="393">
        <v>1427</v>
      </c>
      <c r="V457" s="694"/>
      <c r="W457" s="711"/>
      <c r="X457" s="254"/>
      <c r="Y457" s="446"/>
      <c r="Z457" s="446"/>
      <c r="AA457" s="446"/>
      <c r="AB457" s="446"/>
      <c r="AC457" s="446"/>
      <c r="AD457" s="446"/>
      <c r="AE457" s="446"/>
      <c r="AF457" s="446"/>
      <c r="AG457" s="446"/>
      <c r="AH457" s="446"/>
      <c r="AI457" s="446"/>
      <c r="AJ457" s="446"/>
      <c r="AK457" s="446"/>
      <c r="AL457" s="446"/>
      <c r="AM457" s="446"/>
      <c r="AN457" s="446"/>
      <c r="AO457" s="446"/>
      <c r="AP457" s="446"/>
      <c r="AQ457" s="446"/>
      <c r="AR457" s="446"/>
      <c r="AS457" s="446"/>
      <c r="AT457" s="446"/>
      <c r="AU457" s="446"/>
      <c r="AV457" s="446"/>
      <c r="AW457" s="446"/>
      <c r="AX457" s="446"/>
      <c r="AY457" s="446"/>
      <c r="AZ457" s="446"/>
      <c r="BA457" s="446"/>
      <c r="BB457" s="446"/>
      <c r="BC457" s="446"/>
      <c r="BD457" s="446"/>
      <c r="BE457" s="444"/>
      <c r="BF457" s="444"/>
      <c r="BG457" s="446"/>
      <c r="BH457" s="446"/>
      <c r="BI457" s="444"/>
      <c r="BJ457" s="444"/>
      <c r="BK457" s="444"/>
      <c r="BL457" s="444"/>
      <c r="BM457" s="444"/>
      <c r="BN457" s="444"/>
      <c r="BO457" s="444"/>
      <c r="BP457" s="444"/>
      <c r="BQ457" s="444"/>
      <c r="BR457" s="444"/>
      <c r="BS457" s="442">
        <v>34.1</v>
      </c>
      <c r="BT457" s="446"/>
      <c r="BU457" s="446"/>
      <c r="BV457" s="442"/>
      <c r="BW457" s="442"/>
      <c r="BX457" s="756"/>
      <c r="BY457" s="850"/>
      <c r="BZ457" s="850"/>
      <c r="CA457" s="850"/>
      <c r="CB457" s="850"/>
      <c r="CC457" s="850"/>
      <c r="CD457" s="850"/>
      <c r="CE457" s="850"/>
      <c r="CF457" s="850"/>
      <c r="CG457" s="169" t="s">
        <v>957</v>
      </c>
      <c r="CH457" s="417"/>
      <c r="CI457" s="406"/>
      <c r="CJ457" s="23"/>
      <c r="CK457" s="417" t="s">
        <v>1044</v>
      </c>
      <c r="CL457" s="572"/>
      <c r="CM457" s="431"/>
      <c r="CN457" s="128"/>
      <c r="CO457" s="128"/>
      <c r="CP457" s="128"/>
      <c r="CQ457" s="128"/>
      <c r="CR457" s="406"/>
      <c r="CS457" s="431"/>
      <c r="CU457" s="23"/>
      <c r="CV457" s="23"/>
      <c r="CW457" s="23"/>
      <c r="CX457" s="23"/>
      <c r="DA457" s="648"/>
    </row>
    <row r="458" spans="1:105" s="35" customFormat="1" ht="12" customHeight="1" x14ac:dyDescent="0.2">
      <c r="A458" s="651"/>
      <c r="B458" s="537"/>
      <c r="C458" s="97" t="s">
        <v>98</v>
      </c>
      <c r="D458" s="169" t="s">
        <v>1125</v>
      </c>
      <c r="E458" s="647"/>
      <c r="F458" s="647"/>
      <c r="G458" s="98"/>
      <c r="H458" s="97"/>
      <c r="I458" s="166">
        <v>2006</v>
      </c>
      <c r="J458" s="571"/>
      <c r="K458" s="571"/>
      <c r="L458" s="493"/>
      <c r="M458" s="98"/>
      <c r="N458" s="493"/>
      <c r="O458" s="247" t="s">
        <v>19</v>
      </c>
      <c r="P458" s="247"/>
      <c r="Q458" s="98"/>
      <c r="R458" s="167"/>
      <c r="S458" s="167"/>
      <c r="T458" s="167"/>
      <c r="U458" s="393">
        <v>583</v>
      </c>
      <c r="V458" s="694"/>
      <c r="W458" s="711"/>
      <c r="X458" s="167"/>
      <c r="Y458" s="446"/>
      <c r="Z458" s="446"/>
      <c r="AA458" s="446"/>
      <c r="AB458" s="446"/>
      <c r="AC458" s="446"/>
      <c r="AD458" s="446"/>
      <c r="AE458" s="446"/>
      <c r="AF458" s="446"/>
      <c r="AG458" s="446"/>
      <c r="AH458" s="446"/>
      <c r="AI458" s="446"/>
      <c r="AJ458" s="446"/>
      <c r="AK458" s="446"/>
      <c r="AL458" s="446"/>
      <c r="AM458" s="446"/>
      <c r="AN458" s="446"/>
      <c r="AO458" s="446"/>
      <c r="AP458" s="446"/>
      <c r="AQ458" s="446"/>
      <c r="AR458" s="446"/>
      <c r="AS458" s="446"/>
      <c r="AT458" s="446"/>
      <c r="AU458" s="446"/>
      <c r="AV458" s="446"/>
      <c r="AW458" s="446"/>
      <c r="AX458" s="446"/>
      <c r="AY458" s="446"/>
      <c r="AZ458" s="446"/>
      <c r="BA458" s="446"/>
      <c r="BB458" s="446"/>
      <c r="BC458" s="446"/>
      <c r="BD458" s="446"/>
      <c r="BE458" s="444"/>
      <c r="BF458" s="444"/>
      <c r="BG458" s="446"/>
      <c r="BH458" s="446"/>
      <c r="BI458" s="444"/>
      <c r="BJ458" s="444"/>
      <c r="BK458" s="444"/>
      <c r="BL458" s="444"/>
      <c r="BM458" s="444"/>
      <c r="BN458" s="444"/>
      <c r="BO458" s="444"/>
      <c r="BP458" s="444"/>
      <c r="BQ458" s="444"/>
      <c r="BR458" s="444"/>
      <c r="BS458" s="442">
        <v>38.299999999999997</v>
      </c>
      <c r="BT458" s="446"/>
      <c r="BU458" s="446"/>
      <c r="BV458" s="442"/>
      <c r="BW458" s="442"/>
      <c r="BX458" s="756"/>
      <c r="BY458" s="850"/>
      <c r="BZ458" s="850"/>
      <c r="CA458" s="850"/>
      <c r="CB458" s="850"/>
      <c r="CC458" s="850"/>
      <c r="CD458" s="850"/>
      <c r="CE458" s="850"/>
      <c r="CF458" s="850"/>
      <c r="CG458" s="169" t="s">
        <v>957</v>
      </c>
      <c r="CH458" s="417"/>
      <c r="CI458" s="406"/>
      <c r="CJ458" s="23"/>
      <c r="CK458" s="417" t="s">
        <v>1044</v>
      </c>
      <c r="CL458" s="572"/>
      <c r="CM458" s="431"/>
      <c r="CN458" s="128"/>
      <c r="CO458" s="128"/>
      <c r="CP458" s="128"/>
      <c r="CQ458" s="128"/>
      <c r="CR458" s="406"/>
      <c r="CS458" s="431"/>
      <c r="CU458" s="23"/>
      <c r="CV458" s="23"/>
      <c r="CW458" s="23"/>
      <c r="CX458" s="23"/>
      <c r="DA458" s="648"/>
    </row>
    <row r="459" spans="1:105" s="35" customFormat="1" ht="12" customHeight="1" x14ac:dyDescent="0.2">
      <c r="A459" s="651"/>
      <c r="B459" s="537"/>
      <c r="C459" s="97" t="s">
        <v>98</v>
      </c>
      <c r="D459" s="169" t="s">
        <v>1125</v>
      </c>
      <c r="E459" s="647" t="s">
        <v>14</v>
      </c>
      <c r="F459" s="647"/>
      <c r="G459" s="98"/>
      <c r="H459" s="97"/>
      <c r="I459" s="166">
        <v>2008</v>
      </c>
      <c r="J459" s="571"/>
      <c r="K459" s="571"/>
      <c r="L459" s="493" t="s">
        <v>243</v>
      </c>
      <c r="M459" s="98"/>
      <c r="N459" s="494" t="s">
        <v>783</v>
      </c>
      <c r="O459" s="237" t="s">
        <v>250</v>
      </c>
      <c r="P459" s="237"/>
      <c r="Q459" s="98"/>
      <c r="R459" s="167"/>
      <c r="S459" s="167"/>
      <c r="T459" s="167"/>
      <c r="U459" s="393"/>
      <c r="V459" s="694"/>
      <c r="W459" s="711"/>
      <c r="X459" s="167"/>
      <c r="Y459" s="446"/>
      <c r="Z459" s="446"/>
      <c r="AA459" s="446"/>
      <c r="AB459" s="446"/>
      <c r="AC459" s="446"/>
      <c r="AD459" s="446"/>
      <c r="AE459" s="446"/>
      <c r="AF459" s="446"/>
      <c r="AG459" s="446"/>
      <c r="AH459" s="446"/>
      <c r="AI459" s="446"/>
      <c r="AJ459" s="446"/>
      <c r="AK459" s="446"/>
      <c r="AL459" s="446"/>
      <c r="AM459" s="446"/>
      <c r="AN459" s="446"/>
      <c r="AO459" s="446"/>
      <c r="AP459" s="446"/>
      <c r="AQ459" s="446"/>
      <c r="AR459" s="446"/>
      <c r="AS459" s="446"/>
      <c r="AT459" s="446"/>
      <c r="AU459" s="446"/>
      <c r="AV459" s="446"/>
      <c r="AW459" s="446"/>
      <c r="AX459" s="446"/>
      <c r="AY459" s="446"/>
      <c r="AZ459" s="446"/>
      <c r="BA459" s="446"/>
      <c r="BB459" s="446"/>
      <c r="BC459" s="446"/>
      <c r="BD459" s="446"/>
      <c r="BE459" s="442"/>
      <c r="BF459" s="442"/>
      <c r="BG459" s="446"/>
      <c r="BH459" s="446"/>
      <c r="BI459" s="442">
        <v>39.299999999999997</v>
      </c>
      <c r="BJ459" s="442">
        <v>9.9</v>
      </c>
      <c r="BK459" s="442"/>
      <c r="BL459" s="442"/>
      <c r="BM459" s="442"/>
      <c r="BN459" s="442"/>
      <c r="BO459" s="442"/>
      <c r="BP459" s="442"/>
      <c r="BQ459" s="442"/>
      <c r="BR459" s="444"/>
      <c r="BS459" s="442"/>
      <c r="BT459" s="446"/>
      <c r="BU459" s="446"/>
      <c r="BV459" s="442"/>
      <c r="BW459" s="442"/>
      <c r="BX459" s="756"/>
      <c r="BY459" s="850"/>
      <c r="BZ459" s="850"/>
      <c r="CA459" s="850"/>
      <c r="CB459" s="850"/>
      <c r="CC459" s="850"/>
      <c r="CD459" s="850"/>
      <c r="CE459" s="850"/>
      <c r="CF459" s="850"/>
      <c r="CG459" s="169"/>
      <c r="CH459" s="419" t="s">
        <v>1158</v>
      </c>
      <c r="CI459" s="406"/>
      <c r="CJ459" s="23"/>
      <c r="CK459" s="417"/>
      <c r="CL459" s="572"/>
      <c r="CM459" s="431"/>
      <c r="CN459" s="128"/>
      <c r="CO459" s="128"/>
      <c r="CP459" s="128"/>
      <c r="CQ459" s="128"/>
      <c r="CR459" s="406"/>
      <c r="CS459" s="431"/>
      <c r="CU459" s="23"/>
      <c r="CV459" s="23"/>
      <c r="CW459" s="23"/>
      <c r="CX459" s="23"/>
      <c r="DA459" s="648"/>
    </row>
    <row r="460" spans="1:105" s="35" customFormat="1" ht="12" customHeight="1" x14ac:dyDescent="0.2">
      <c r="A460" s="651"/>
      <c r="B460" s="537"/>
      <c r="C460" s="97" t="s">
        <v>98</v>
      </c>
      <c r="D460" s="169" t="s">
        <v>1125</v>
      </c>
      <c r="E460" s="647" t="s">
        <v>14</v>
      </c>
      <c r="F460" s="647"/>
      <c r="G460" s="98"/>
      <c r="H460" s="97"/>
      <c r="I460" s="166">
        <v>2009</v>
      </c>
      <c r="J460" s="571"/>
      <c r="K460" s="571"/>
      <c r="L460" s="493"/>
      <c r="M460" s="98" t="s">
        <v>17</v>
      </c>
      <c r="N460" s="493"/>
      <c r="O460" s="237"/>
      <c r="P460" s="237"/>
      <c r="Q460" s="98"/>
      <c r="R460" s="167"/>
      <c r="S460" s="167"/>
      <c r="T460" s="167"/>
      <c r="U460" s="393">
        <v>12795</v>
      </c>
      <c r="V460" s="694"/>
      <c r="W460" s="711"/>
      <c r="X460" s="167"/>
      <c r="Y460" s="446"/>
      <c r="Z460" s="446"/>
      <c r="AA460" s="446"/>
      <c r="AB460" s="446"/>
      <c r="AC460" s="446"/>
      <c r="AD460" s="446"/>
      <c r="AE460" s="446"/>
      <c r="AF460" s="446"/>
      <c r="AG460" s="446"/>
      <c r="AH460" s="446"/>
      <c r="AI460" s="446"/>
      <c r="AJ460" s="446"/>
      <c r="AK460" s="446"/>
      <c r="AL460" s="446"/>
      <c r="AM460" s="446"/>
      <c r="AN460" s="446"/>
      <c r="AO460" s="446"/>
      <c r="AP460" s="446"/>
      <c r="AQ460" s="446"/>
      <c r="AR460" s="446"/>
      <c r="AS460" s="446"/>
      <c r="AT460" s="446"/>
      <c r="AU460" s="446"/>
      <c r="AV460" s="446"/>
      <c r="AW460" s="446"/>
      <c r="AX460" s="446"/>
      <c r="AY460" s="446"/>
      <c r="AZ460" s="446"/>
      <c r="BA460" s="446"/>
      <c r="BB460" s="446"/>
      <c r="BC460" s="446"/>
      <c r="BD460" s="446"/>
      <c r="BE460" s="446"/>
      <c r="BF460" s="446"/>
      <c r="BG460" s="446"/>
      <c r="BH460" s="446"/>
      <c r="BI460" s="445">
        <v>10</v>
      </c>
      <c r="BJ460" s="446"/>
      <c r="BK460" s="446"/>
      <c r="BL460" s="446"/>
      <c r="BM460" s="446"/>
      <c r="BN460" s="446"/>
      <c r="BO460" s="446"/>
      <c r="BP460" s="446"/>
      <c r="BQ460" s="444"/>
      <c r="BR460" s="445"/>
      <c r="BS460" s="442">
        <v>39</v>
      </c>
      <c r="BT460" s="458"/>
      <c r="BU460" s="458"/>
      <c r="BV460" s="577"/>
      <c r="BW460" s="577"/>
      <c r="BX460" s="756"/>
      <c r="BY460" s="850"/>
      <c r="BZ460" s="850"/>
      <c r="CA460" s="850"/>
      <c r="CB460" s="850"/>
      <c r="CC460" s="850"/>
      <c r="CD460" s="850"/>
      <c r="CE460" s="850"/>
      <c r="CF460" s="850"/>
      <c r="CG460" s="168" t="s">
        <v>752</v>
      </c>
      <c r="CH460" s="417" t="s">
        <v>626</v>
      </c>
      <c r="CI460" s="409">
        <v>40994</v>
      </c>
      <c r="CJ460" s="23"/>
      <c r="CK460" s="417" t="s">
        <v>1098</v>
      </c>
      <c r="CL460" s="572"/>
      <c r="CM460" s="648"/>
      <c r="CR460" s="406"/>
      <c r="CS460" s="648"/>
      <c r="CU460" s="23"/>
      <c r="CV460" s="23"/>
      <c r="CW460" s="23"/>
      <c r="CX460" s="23"/>
      <c r="DA460" s="648"/>
    </row>
    <row r="461" spans="1:105" s="35" customFormat="1" ht="12" customHeight="1" x14ac:dyDescent="0.2">
      <c r="A461" s="651"/>
      <c r="B461" s="537"/>
      <c r="C461" s="97" t="s">
        <v>1170</v>
      </c>
      <c r="D461" s="169"/>
      <c r="E461" s="647" t="s">
        <v>14</v>
      </c>
      <c r="F461" s="647"/>
      <c r="G461" s="98"/>
      <c r="H461" s="97"/>
      <c r="I461" s="166">
        <v>2007</v>
      </c>
      <c r="J461" s="571"/>
      <c r="K461" s="571"/>
      <c r="L461" s="493" t="s">
        <v>244</v>
      </c>
      <c r="M461" s="98" t="s">
        <v>17</v>
      </c>
      <c r="N461" s="494" t="s">
        <v>783</v>
      </c>
      <c r="O461" s="237"/>
      <c r="P461" s="237"/>
      <c r="Q461" s="247"/>
      <c r="R461" s="291"/>
      <c r="S461" s="291"/>
      <c r="T461" s="291"/>
      <c r="U461" s="401"/>
      <c r="V461" s="801"/>
      <c r="W461" s="723"/>
      <c r="X461" s="167"/>
      <c r="Y461" s="445"/>
      <c r="Z461" s="445"/>
      <c r="AA461" s="445"/>
      <c r="AB461" s="445"/>
      <c r="AC461" s="445"/>
      <c r="AD461" s="445"/>
      <c r="AE461" s="445"/>
      <c r="AF461" s="445"/>
      <c r="AG461" s="445"/>
      <c r="AH461" s="445"/>
      <c r="AI461" s="445"/>
      <c r="AJ461" s="445"/>
      <c r="AK461" s="445"/>
      <c r="AL461" s="445"/>
      <c r="AM461" s="445"/>
      <c r="AN461" s="445"/>
      <c r="AO461" s="445"/>
      <c r="AP461" s="445"/>
      <c r="AQ461" s="445"/>
      <c r="AR461" s="445"/>
      <c r="AS461" s="445"/>
      <c r="AT461" s="445"/>
      <c r="AU461" s="445"/>
      <c r="AV461" s="445"/>
      <c r="AW461" s="445"/>
      <c r="AX461" s="445"/>
      <c r="AY461" s="445"/>
      <c r="AZ461" s="445"/>
      <c r="BA461" s="445"/>
      <c r="BB461" s="445"/>
      <c r="BC461" s="445"/>
      <c r="BD461" s="445"/>
      <c r="BE461" s="446"/>
      <c r="BF461" s="446"/>
      <c r="BG461" s="445"/>
      <c r="BH461" s="445"/>
      <c r="BI461" s="445"/>
      <c r="BJ461" s="446"/>
      <c r="BK461" s="446"/>
      <c r="BL461" s="446"/>
      <c r="BM461" s="446"/>
      <c r="BN461" s="446"/>
      <c r="BO461" s="446"/>
      <c r="BP461" s="446"/>
      <c r="BQ461" s="444"/>
      <c r="BR461" s="445"/>
      <c r="BS461" s="446"/>
      <c r="BT461" s="446"/>
      <c r="BU461" s="446"/>
      <c r="BV461" s="442"/>
      <c r="BW461" s="442"/>
      <c r="BX461" s="756"/>
      <c r="BY461" s="850"/>
      <c r="BZ461" s="850"/>
      <c r="CA461" s="850"/>
      <c r="CB461" s="850"/>
      <c r="CC461" s="850"/>
      <c r="CD461" s="850"/>
      <c r="CE461" s="850"/>
      <c r="CF461" s="850"/>
      <c r="CG461" s="168"/>
      <c r="CH461" s="419" t="s">
        <v>1158</v>
      </c>
      <c r="CI461" s="409"/>
      <c r="CJ461" s="23"/>
      <c r="CK461" s="417"/>
      <c r="CL461" s="572"/>
      <c r="CM461" s="431"/>
      <c r="CN461" s="128"/>
      <c r="CO461" s="128"/>
      <c r="CP461" s="128"/>
      <c r="CQ461" s="128"/>
      <c r="CR461" s="406"/>
      <c r="CS461" s="431"/>
      <c r="CU461" s="23"/>
      <c r="CV461" s="23"/>
      <c r="CW461" s="23"/>
      <c r="CX461" s="23"/>
      <c r="DA461" s="648"/>
    </row>
    <row r="462" spans="1:105" s="35" customFormat="1" ht="12" customHeight="1" x14ac:dyDescent="0.2">
      <c r="A462" s="652"/>
      <c r="B462" s="469" t="s">
        <v>1818</v>
      </c>
      <c r="C462" s="390" t="s">
        <v>25</v>
      </c>
      <c r="D462" s="237" t="s">
        <v>1131</v>
      </c>
      <c r="E462" s="647" t="s">
        <v>14</v>
      </c>
      <c r="F462" s="647"/>
      <c r="G462" s="237"/>
      <c r="H462" s="186"/>
      <c r="I462" s="166">
        <v>2006</v>
      </c>
      <c r="J462" s="571">
        <v>2006</v>
      </c>
      <c r="K462" s="571"/>
      <c r="L462" s="494" t="s">
        <v>244</v>
      </c>
      <c r="M462" s="247" t="s">
        <v>1837</v>
      </c>
      <c r="N462" s="494" t="s">
        <v>783</v>
      </c>
      <c r="O462" s="247" t="s">
        <v>19</v>
      </c>
      <c r="P462" s="98">
        <v>15</v>
      </c>
      <c r="Q462" s="247">
        <v>49</v>
      </c>
      <c r="R462" s="552">
        <v>28.14</v>
      </c>
      <c r="S462" s="552"/>
      <c r="T462" s="552"/>
      <c r="U462" s="553">
        <v>1748</v>
      </c>
      <c r="V462" s="794"/>
      <c r="W462" s="712"/>
      <c r="X462" s="562">
        <v>4.8910902696365852</v>
      </c>
      <c r="Y462" s="562">
        <v>23.283752860411877</v>
      </c>
      <c r="Z462" s="562">
        <v>19.050343249427918</v>
      </c>
      <c r="AA462" s="562">
        <v>47.711670480549223</v>
      </c>
      <c r="AB462" s="562">
        <v>47.711670480549223</v>
      </c>
      <c r="AC462" s="562">
        <v>41.590389016018257</v>
      </c>
      <c r="AD462" s="562">
        <v>34.153318077803256</v>
      </c>
      <c r="AE462" s="562">
        <v>19.862621637092165</v>
      </c>
      <c r="AF462" s="562">
        <v>15.168860904407552</v>
      </c>
      <c r="AG462" s="562">
        <v>7.2737686139748057</v>
      </c>
      <c r="AH462" s="562">
        <v>4.9255441008018277</v>
      </c>
      <c r="AI462" s="563"/>
      <c r="AJ462" s="563"/>
      <c r="AK462" s="563"/>
      <c r="AL462" s="563"/>
      <c r="AM462" s="562">
        <v>39.359267734553733</v>
      </c>
      <c r="AN462" s="562">
        <v>26.716247139588098</v>
      </c>
      <c r="AO462" s="562">
        <v>13.566113337149398</v>
      </c>
      <c r="AP462" s="562">
        <v>9.673726388093888</v>
      </c>
      <c r="AQ462" s="562">
        <v>24.684994272623115</v>
      </c>
      <c r="AR462" s="562">
        <v>17.812142038946178</v>
      </c>
      <c r="AS462" s="562">
        <v>20.022883295194497</v>
      </c>
      <c r="AT462" s="562">
        <v>14.416475972540059</v>
      </c>
      <c r="AU462" s="562">
        <v>22.451317296678116</v>
      </c>
      <c r="AV462" s="562">
        <v>16.265750286368863</v>
      </c>
      <c r="AW462" s="562">
        <v>6.468231253577561</v>
      </c>
      <c r="AX462" s="562">
        <v>4.2930738408700639</v>
      </c>
      <c r="AY462" s="563"/>
      <c r="AZ462" s="563"/>
      <c r="BA462" s="562"/>
      <c r="BB462" s="562"/>
      <c r="BC462" s="563"/>
      <c r="BD462" s="563"/>
      <c r="BE462" s="562"/>
      <c r="BF462" s="562"/>
      <c r="BG462" s="562"/>
      <c r="BH462" s="562"/>
      <c r="BI462" s="562">
        <v>47.425629290617785</v>
      </c>
      <c r="BJ462" s="562">
        <v>34.096109839816975</v>
      </c>
      <c r="BK462" s="562"/>
      <c r="BL462" s="562"/>
      <c r="BM462" s="562">
        <v>29.748283752860402</v>
      </c>
      <c r="BN462" s="562">
        <v>24.828375286041183</v>
      </c>
      <c r="BO462" s="562">
        <v>16.265750286368846</v>
      </c>
      <c r="BP462" s="562">
        <v>13.058419243986254</v>
      </c>
      <c r="BQ462" s="42"/>
      <c r="BR462" s="42"/>
      <c r="BS462" s="562"/>
      <c r="BT462" s="562"/>
      <c r="BU462" s="562">
        <v>12</v>
      </c>
      <c r="BV462" s="562"/>
      <c r="BW462" s="562"/>
      <c r="BX462" s="763">
        <v>2.3014105419450623</v>
      </c>
      <c r="BY462" s="858"/>
      <c r="BZ462" s="858"/>
      <c r="CA462" s="858"/>
      <c r="CB462" s="858"/>
      <c r="CC462" s="858"/>
      <c r="CD462" s="858"/>
      <c r="CE462" s="858"/>
      <c r="CF462" s="858"/>
      <c r="CG462" s="97"/>
      <c r="CH462" s="647"/>
      <c r="CI462" s="97"/>
      <c r="CJ462" s="97"/>
      <c r="CK462" s="647"/>
      <c r="CL462" s="469" t="s">
        <v>1841</v>
      </c>
      <c r="CM462" s="647"/>
      <c r="CN462" s="97"/>
      <c r="CO462" s="97"/>
      <c r="CP462" s="97"/>
      <c r="CQ462" s="97"/>
      <c r="CR462" s="638"/>
      <c r="CS462" s="647"/>
      <c r="CU462" s="23"/>
      <c r="CV462" s="23"/>
      <c r="CW462" s="23"/>
      <c r="CX462" s="23"/>
      <c r="DA462" s="648"/>
    </row>
    <row r="463" spans="1:105" s="35" customFormat="1" ht="12" customHeight="1" x14ac:dyDescent="0.2">
      <c r="A463" s="652"/>
      <c r="B463" s="469" t="s">
        <v>1818</v>
      </c>
      <c r="C463" s="390" t="s">
        <v>25</v>
      </c>
      <c r="D463" s="237" t="s">
        <v>1131</v>
      </c>
      <c r="E463" s="647" t="s">
        <v>14</v>
      </c>
      <c r="F463" s="647"/>
      <c r="G463" s="237"/>
      <c r="H463" s="186"/>
      <c r="I463" s="166">
        <v>2006</v>
      </c>
      <c r="J463" s="571">
        <v>2006</v>
      </c>
      <c r="K463" s="571"/>
      <c r="L463" s="494" t="s">
        <v>244</v>
      </c>
      <c r="M463" s="247" t="s">
        <v>289</v>
      </c>
      <c r="N463" s="494" t="s">
        <v>783</v>
      </c>
      <c r="O463" s="247" t="s">
        <v>19</v>
      </c>
      <c r="P463" s="98">
        <v>15</v>
      </c>
      <c r="Q463" s="247">
        <v>49</v>
      </c>
      <c r="R463" s="552">
        <v>30.74</v>
      </c>
      <c r="S463" s="552"/>
      <c r="T463" s="552"/>
      <c r="U463" s="553">
        <v>1317</v>
      </c>
      <c r="V463" s="794"/>
      <c r="W463" s="712"/>
      <c r="X463" s="562">
        <v>4.1983729662077671</v>
      </c>
      <c r="Y463" s="562">
        <v>16.097190584662087</v>
      </c>
      <c r="Z463" s="562">
        <v>10.478359908883824</v>
      </c>
      <c r="AA463" s="562">
        <v>37.509491268033379</v>
      </c>
      <c r="AB463" s="562">
        <v>37.509491268033379</v>
      </c>
      <c r="AC463" s="562">
        <v>32.04252088078966</v>
      </c>
      <c r="AD463" s="562">
        <v>21.564160971905867</v>
      </c>
      <c r="AE463" s="562">
        <v>9.9468488990129256</v>
      </c>
      <c r="AF463" s="562">
        <v>5.998481397114646</v>
      </c>
      <c r="AG463" s="562">
        <v>5.3910402429764499</v>
      </c>
      <c r="AH463" s="562">
        <v>3.416856492027335</v>
      </c>
      <c r="AI463" s="563"/>
      <c r="AJ463" s="563"/>
      <c r="AK463" s="563"/>
      <c r="AL463" s="563"/>
      <c r="AM463" s="562">
        <v>9.7190584662110755</v>
      </c>
      <c r="AN463" s="562">
        <v>6.0744115413819282</v>
      </c>
      <c r="AO463" s="562">
        <v>3.1178707224334592</v>
      </c>
      <c r="AP463" s="562">
        <v>1.7490494296577941</v>
      </c>
      <c r="AQ463" s="562">
        <v>11.541381928625661</v>
      </c>
      <c r="AR463" s="562">
        <v>7.4411541381928501</v>
      </c>
      <c r="AS463" s="562">
        <v>9.5057034220532231</v>
      </c>
      <c r="AT463" s="562">
        <v>5.4752851711026684</v>
      </c>
      <c r="AU463" s="562">
        <v>3.0372057706909685</v>
      </c>
      <c r="AV463" s="562">
        <v>1.4426727410782094</v>
      </c>
      <c r="AW463" s="562">
        <v>2.6575550493545963</v>
      </c>
      <c r="AX463" s="562">
        <v>1.5186028853454789</v>
      </c>
      <c r="AY463" s="563"/>
      <c r="AZ463" s="563"/>
      <c r="BA463" s="562"/>
      <c r="BB463" s="562"/>
      <c r="BC463" s="563"/>
      <c r="BD463" s="563"/>
      <c r="BE463" s="562"/>
      <c r="BF463" s="562"/>
      <c r="BG463" s="562"/>
      <c r="BH463" s="562"/>
      <c r="BI463" s="562">
        <v>41.0782080485953</v>
      </c>
      <c r="BJ463" s="562">
        <v>37.430167597765369</v>
      </c>
      <c r="BK463" s="562"/>
      <c r="BL463" s="562"/>
      <c r="BM463" s="562">
        <v>6.3022019741837552</v>
      </c>
      <c r="BN463" s="562">
        <v>5.1632498101746389</v>
      </c>
      <c r="BO463" s="42"/>
      <c r="BP463" s="42"/>
      <c r="BQ463" s="563"/>
      <c r="BR463" s="563"/>
      <c r="BS463" s="562"/>
      <c r="BT463" s="562"/>
      <c r="BU463" s="562">
        <v>12</v>
      </c>
      <c r="BV463" s="562"/>
      <c r="BW463" s="562"/>
      <c r="BX463" s="764"/>
      <c r="BY463" s="859"/>
      <c r="BZ463" s="859"/>
      <c r="CA463" s="859"/>
      <c r="CB463" s="859"/>
      <c r="CC463" s="859"/>
      <c r="CD463" s="859"/>
      <c r="CE463" s="859"/>
      <c r="CF463" s="859"/>
      <c r="CG463" s="97"/>
      <c r="CH463" s="647"/>
      <c r="CI463" s="97"/>
      <c r="CJ463" s="97"/>
      <c r="CK463" s="647"/>
      <c r="CL463" s="469" t="s">
        <v>1842</v>
      </c>
      <c r="CM463" s="647"/>
      <c r="CN463" s="97"/>
      <c r="CO463" s="97"/>
      <c r="CP463" s="97"/>
      <c r="CQ463" s="97"/>
      <c r="CR463" s="638"/>
      <c r="CS463" s="647"/>
      <c r="CU463" s="23"/>
      <c r="CV463" s="23"/>
      <c r="CW463" s="23"/>
      <c r="CX463" s="23"/>
      <c r="DA463" s="648"/>
    </row>
    <row r="464" spans="1:105" s="35" customFormat="1" ht="12" customHeight="1" x14ac:dyDescent="0.2">
      <c r="A464" s="652"/>
      <c r="B464" s="469" t="s">
        <v>1819</v>
      </c>
      <c r="C464" s="390" t="s">
        <v>25</v>
      </c>
      <c r="D464" s="237" t="s">
        <v>1131</v>
      </c>
      <c r="E464" s="647" t="s">
        <v>14</v>
      </c>
      <c r="F464" s="647"/>
      <c r="G464" s="237"/>
      <c r="H464" s="186"/>
      <c r="I464" s="166">
        <v>2011</v>
      </c>
      <c r="J464" s="571">
        <v>2011</v>
      </c>
      <c r="K464" s="571"/>
      <c r="L464" s="494" t="s">
        <v>244</v>
      </c>
      <c r="M464" s="247" t="s">
        <v>1837</v>
      </c>
      <c r="N464" s="494" t="s">
        <v>783</v>
      </c>
      <c r="O464" s="247" t="s">
        <v>19</v>
      </c>
      <c r="P464" s="98">
        <v>15</v>
      </c>
      <c r="Q464" s="247">
        <v>49</v>
      </c>
      <c r="R464" s="564">
        <v>27.861079086926473</v>
      </c>
      <c r="S464" s="564"/>
      <c r="T464" s="564"/>
      <c r="U464" s="553">
        <v>1702</v>
      </c>
      <c r="V464" s="794"/>
      <c r="W464" s="712"/>
      <c r="X464" s="564">
        <v>5.7700023057413157</v>
      </c>
      <c r="Y464" s="564">
        <v>22.241784037558688</v>
      </c>
      <c r="Z464" s="564">
        <v>16.784037558685455</v>
      </c>
      <c r="AA464" s="564">
        <v>41.197183098591587</v>
      </c>
      <c r="AB464" s="564">
        <v>41.197183098591587</v>
      </c>
      <c r="AC464" s="564">
        <v>33.450704225352105</v>
      </c>
      <c r="AD464" s="564">
        <v>25.704225352112683</v>
      </c>
      <c r="AE464" s="564">
        <v>21.068075117370945</v>
      </c>
      <c r="AF464" s="564">
        <v>14.847417840375597</v>
      </c>
      <c r="AG464" s="564">
        <v>7.1722516166960464</v>
      </c>
      <c r="AH464" s="564">
        <v>4.2328042328042379</v>
      </c>
      <c r="AI464" s="565"/>
      <c r="AJ464" s="565"/>
      <c r="AK464" s="565"/>
      <c r="AL464" s="565"/>
      <c r="AM464" s="564">
        <v>35.898942420681536</v>
      </c>
      <c r="AN464" s="564">
        <v>21.327849588719157</v>
      </c>
      <c r="AO464" s="564">
        <v>13.219741480611047</v>
      </c>
      <c r="AP464" s="564">
        <v>8.9306698002349982</v>
      </c>
      <c r="AQ464" s="564">
        <v>23.149236192714433</v>
      </c>
      <c r="AR464" s="564">
        <v>15.09988249118684</v>
      </c>
      <c r="AS464" s="564">
        <v>18</v>
      </c>
      <c r="AT464" s="564">
        <v>11.470588235294104</v>
      </c>
      <c r="AU464" s="564">
        <v>18.636096413874203</v>
      </c>
      <c r="AV464" s="564">
        <v>11.522633744855948</v>
      </c>
      <c r="AW464" s="564">
        <v>7.1176470588235299</v>
      </c>
      <c r="AX464" s="564">
        <v>4.2352941176470704</v>
      </c>
      <c r="AY464" s="565"/>
      <c r="AZ464" s="565"/>
      <c r="BA464" s="564"/>
      <c r="BB464" s="564"/>
      <c r="BC464" s="565"/>
      <c r="BD464" s="565"/>
      <c r="BE464" s="564"/>
      <c r="BF464" s="564"/>
      <c r="BG464" s="564"/>
      <c r="BH464" s="564"/>
      <c r="BI464" s="564">
        <v>43.71327849588716</v>
      </c>
      <c r="BJ464" s="564">
        <v>25.088131609870718</v>
      </c>
      <c r="BK464" s="564"/>
      <c r="BL464" s="564"/>
      <c r="BM464" s="564">
        <v>25.044091710758384</v>
      </c>
      <c r="BN464" s="564">
        <v>19.635508524397405</v>
      </c>
      <c r="BO464" s="564">
        <v>6.5035799522673079</v>
      </c>
      <c r="BP464" s="564">
        <v>5.1909307875895019</v>
      </c>
      <c r="BQ464" s="564"/>
      <c r="BR464" s="564"/>
      <c r="BS464" s="42"/>
      <c r="BT464" s="42"/>
      <c r="BU464" s="42">
        <v>12</v>
      </c>
      <c r="BV464" s="42"/>
      <c r="BW464" s="42"/>
      <c r="BX464" s="758">
        <v>4.8600000000000003</v>
      </c>
      <c r="BY464" s="851"/>
      <c r="BZ464" s="851"/>
      <c r="CA464" s="851"/>
      <c r="CB464" s="851"/>
      <c r="CC464" s="851"/>
      <c r="CD464" s="851"/>
      <c r="CE464" s="851"/>
      <c r="CF464" s="851"/>
      <c r="CG464" s="97"/>
      <c r="CH464" s="647"/>
      <c r="CI464" s="97"/>
      <c r="CJ464" s="97"/>
      <c r="CK464" s="647"/>
      <c r="CL464" s="469" t="s">
        <v>1841</v>
      </c>
      <c r="CM464" s="647"/>
      <c r="CN464" s="97"/>
      <c r="CO464" s="97"/>
      <c r="CP464" s="97"/>
      <c r="CQ464" s="97"/>
      <c r="CR464" s="638"/>
      <c r="CS464" s="647"/>
      <c r="CU464" s="23"/>
      <c r="CV464" s="23"/>
      <c r="CW464" s="23"/>
      <c r="CX464" s="23"/>
      <c r="DA464" s="648"/>
    </row>
    <row r="465" spans="1:105" s="35" customFormat="1" ht="12" customHeight="1" x14ac:dyDescent="0.2">
      <c r="A465" s="652"/>
      <c r="B465" s="469" t="s">
        <v>1819</v>
      </c>
      <c r="C465" s="390" t="s">
        <v>25</v>
      </c>
      <c r="D465" s="237" t="s">
        <v>1131</v>
      </c>
      <c r="E465" s="647" t="s">
        <v>14</v>
      </c>
      <c r="F465" s="647"/>
      <c r="G465" s="237"/>
      <c r="H465" s="186"/>
      <c r="I465" s="166">
        <v>2011</v>
      </c>
      <c r="J465" s="571">
        <v>2011</v>
      </c>
      <c r="K465" s="571"/>
      <c r="L465" s="494" t="s">
        <v>244</v>
      </c>
      <c r="M465" s="247" t="s">
        <v>289</v>
      </c>
      <c r="N465" s="494" t="s">
        <v>783</v>
      </c>
      <c r="O465" s="247" t="s">
        <v>19</v>
      </c>
      <c r="P465" s="98">
        <v>15</v>
      </c>
      <c r="Q465" s="247">
        <v>49</v>
      </c>
      <c r="R465" s="564">
        <v>30.928623988226622</v>
      </c>
      <c r="S465" s="564"/>
      <c r="T465" s="564"/>
      <c r="U465" s="553">
        <v>1210</v>
      </c>
      <c r="V465" s="794"/>
      <c r="W465" s="712"/>
      <c r="X465" s="564">
        <v>5.1045655375552208</v>
      </c>
      <c r="Y465" s="564">
        <v>19.917355371900829</v>
      </c>
      <c r="Z465" s="564">
        <v>14.545454545454534</v>
      </c>
      <c r="AA465" s="564">
        <v>34.214876033057834</v>
      </c>
      <c r="AB465" s="564">
        <v>34.214876033057834</v>
      </c>
      <c r="AC465" s="564">
        <v>25.123966942148776</v>
      </c>
      <c r="AD465" s="564">
        <v>19.917355371900811</v>
      </c>
      <c r="AE465" s="564">
        <v>12.892561983471071</v>
      </c>
      <c r="AF465" s="564">
        <v>9.1735537190082557</v>
      </c>
      <c r="AG465" s="564">
        <v>3.801652892561985</v>
      </c>
      <c r="AH465" s="564">
        <v>1.9834710743801651</v>
      </c>
      <c r="AI465" s="565"/>
      <c r="AJ465" s="565"/>
      <c r="AK465" s="565"/>
      <c r="AL465" s="565"/>
      <c r="AM465" s="564">
        <v>9.0082644628099242</v>
      </c>
      <c r="AN465" s="564">
        <v>5.1239669421487539</v>
      </c>
      <c r="AO465" s="564">
        <v>4.7933884297520661</v>
      </c>
      <c r="AP465" s="564">
        <v>3.2231404958677636</v>
      </c>
      <c r="AQ465" s="564">
        <v>14.628099173553712</v>
      </c>
      <c r="AR465" s="564">
        <v>9.090909090909097</v>
      </c>
      <c r="AS465" s="564">
        <v>6.363636363636366</v>
      </c>
      <c r="AT465" s="564">
        <v>3.3884297520661164</v>
      </c>
      <c r="AU465" s="564">
        <v>2.97520661157025</v>
      </c>
      <c r="AV465" s="564">
        <v>1.5702479338842961</v>
      </c>
      <c r="AW465" s="564">
        <v>2.892561983471075</v>
      </c>
      <c r="AX465" s="564">
        <v>1.8181818181818175</v>
      </c>
      <c r="AY465" s="565"/>
      <c r="AZ465" s="565"/>
      <c r="BA465" s="564"/>
      <c r="BB465" s="564"/>
      <c r="BC465" s="565"/>
      <c r="BD465" s="565"/>
      <c r="BE465" s="564"/>
      <c r="BF465" s="564"/>
      <c r="BG465" s="564"/>
      <c r="BH465" s="564"/>
      <c r="BI465" s="564">
        <v>38.595041322314074</v>
      </c>
      <c r="BJ465" s="564">
        <v>39.828693790149892</v>
      </c>
      <c r="BK465" s="564"/>
      <c r="BL465" s="564"/>
      <c r="BM465" s="564">
        <v>5.1239669421487584</v>
      </c>
      <c r="BN465" s="564">
        <v>3.8842975206611534</v>
      </c>
      <c r="BO465" s="565"/>
      <c r="BP465" s="565"/>
      <c r="BQ465" s="564"/>
      <c r="BR465" s="564"/>
      <c r="BS465" s="42"/>
      <c r="BT465" s="42"/>
      <c r="BU465" s="42">
        <v>12</v>
      </c>
      <c r="BV465" s="42"/>
      <c r="BW465" s="42"/>
      <c r="BX465" s="758"/>
      <c r="BY465" s="851"/>
      <c r="BZ465" s="851"/>
      <c r="CA465" s="851"/>
      <c r="CB465" s="851"/>
      <c r="CC465" s="851"/>
      <c r="CD465" s="851"/>
      <c r="CE465" s="851"/>
      <c r="CF465" s="851"/>
      <c r="CG465" s="97"/>
      <c r="CH465" s="647"/>
      <c r="CI465" s="97"/>
      <c r="CJ465" s="97"/>
      <c r="CK465" s="647"/>
      <c r="CL465" s="469" t="s">
        <v>1841</v>
      </c>
      <c r="CM465" s="647"/>
      <c r="CN465" s="97"/>
      <c r="CO465" s="97"/>
      <c r="CP465" s="97"/>
      <c r="CQ465" s="97"/>
      <c r="CR465" s="638"/>
      <c r="CS465" s="647"/>
      <c r="CU465" s="23"/>
      <c r="CV465" s="23"/>
      <c r="CW465" s="23"/>
      <c r="CX465" s="23"/>
      <c r="DA465" s="648"/>
    </row>
    <row r="466" spans="1:105" s="35" customFormat="1" ht="12" customHeight="1" x14ac:dyDescent="0.2">
      <c r="A466" s="651"/>
      <c r="B466" s="537"/>
      <c r="C466" s="97" t="s">
        <v>25</v>
      </c>
      <c r="D466" s="169" t="s">
        <v>1131</v>
      </c>
      <c r="E466" s="647" t="s">
        <v>354</v>
      </c>
      <c r="F466" s="647"/>
      <c r="G466" s="237"/>
      <c r="H466" s="186"/>
      <c r="I466" s="166">
        <v>1991</v>
      </c>
      <c r="J466" s="390"/>
      <c r="K466" s="390"/>
      <c r="L466" s="493"/>
      <c r="M466" s="237" t="s">
        <v>17</v>
      </c>
      <c r="N466" s="493"/>
      <c r="O466" s="98" t="s">
        <v>19</v>
      </c>
      <c r="P466" s="98"/>
      <c r="Q466" s="98"/>
      <c r="R466" s="167"/>
      <c r="S466" s="167"/>
      <c r="T466" s="167"/>
      <c r="U466" s="393">
        <v>80</v>
      </c>
      <c r="V466" s="694"/>
      <c r="W466" s="711"/>
      <c r="X466" s="254"/>
      <c r="Y466" s="446"/>
      <c r="Z466" s="446"/>
      <c r="AA466" s="446"/>
      <c r="AB466" s="446"/>
      <c r="AC466" s="446"/>
      <c r="AD466" s="446"/>
      <c r="AE466" s="446"/>
      <c r="AF466" s="446"/>
      <c r="AG466" s="446"/>
      <c r="AH466" s="446"/>
      <c r="AI466" s="446"/>
      <c r="AJ466" s="446"/>
      <c r="AK466" s="446"/>
      <c r="AL466" s="446"/>
      <c r="AM466" s="446"/>
      <c r="AN466" s="446"/>
      <c r="AO466" s="446"/>
      <c r="AP466" s="446"/>
      <c r="AQ466" s="446"/>
      <c r="AR466" s="446"/>
      <c r="AS466" s="446"/>
      <c r="AT466" s="446"/>
      <c r="AU466" s="446"/>
      <c r="AV466" s="446"/>
      <c r="AW466" s="446"/>
      <c r="AX466" s="446"/>
      <c r="AY466" s="446"/>
      <c r="AZ466" s="446"/>
      <c r="BA466" s="446"/>
      <c r="BB466" s="446"/>
      <c r="BC466" s="446"/>
      <c r="BD466" s="446"/>
      <c r="BE466" s="446"/>
      <c r="BF466" s="446"/>
      <c r="BG466" s="446"/>
      <c r="BH466" s="446"/>
      <c r="BI466" s="445"/>
      <c r="BJ466" s="446"/>
      <c r="BK466" s="446"/>
      <c r="BL466" s="446"/>
      <c r="BM466" s="446"/>
      <c r="BN466" s="446"/>
      <c r="BO466" s="446"/>
      <c r="BP466" s="446"/>
      <c r="BQ466" s="444"/>
      <c r="BR466" s="445"/>
      <c r="BS466" s="442">
        <v>46</v>
      </c>
      <c r="BT466" s="458"/>
      <c r="BU466" s="458"/>
      <c r="BV466" s="577"/>
      <c r="BW466" s="577"/>
      <c r="BX466" s="756"/>
      <c r="BY466" s="850"/>
      <c r="BZ466" s="850"/>
      <c r="CA466" s="850"/>
      <c r="CB466" s="850"/>
      <c r="CC466" s="850"/>
      <c r="CD466" s="850"/>
      <c r="CE466" s="850"/>
      <c r="CF466" s="850"/>
      <c r="CG466" s="168" t="s">
        <v>524</v>
      </c>
      <c r="CH466" s="417"/>
      <c r="CI466" s="406"/>
      <c r="CJ466" s="23"/>
      <c r="CK466" s="417" t="s">
        <v>1062</v>
      </c>
      <c r="CL466" s="572"/>
      <c r="CM466" s="648"/>
      <c r="CR466" s="406"/>
      <c r="CS466" s="648"/>
      <c r="CU466" s="23"/>
      <c r="CV466" s="23"/>
      <c r="CW466" s="23"/>
      <c r="CX466" s="23"/>
      <c r="DA466" s="648"/>
    </row>
    <row r="467" spans="1:105" s="128" customFormat="1" ht="12" customHeight="1" x14ac:dyDescent="0.2">
      <c r="A467" s="651"/>
      <c r="B467" s="537"/>
      <c r="C467" s="97" t="s">
        <v>25</v>
      </c>
      <c r="D467" s="169" t="s">
        <v>1131</v>
      </c>
      <c r="E467" s="647" t="s">
        <v>302</v>
      </c>
      <c r="F467" s="647"/>
      <c r="G467" s="98"/>
      <c r="H467" s="97"/>
      <c r="I467" s="166">
        <v>2003</v>
      </c>
      <c r="J467" s="571"/>
      <c r="K467" s="571"/>
      <c r="L467" s="493"/>
      <c r="M467" s="98" t="s">
        <v>78</v>
      </c>
      <c r="N467" s="493"/>
      <c r="O467" s="98"/>
      <c r="P467" s="98"/>
      <c r="Q467" s="98"/>
      <c r="R467" s="167"/>
      <c r="S467" s="167"/>
      <c r="T467" s="167"/>
      <c r="U467" s="393">
        <v>457</v>
      </c>
      <c r="V467" s="694"/>
      <c r="W467" s="711"/>
      <c r="X467" s="167"/>
      <c r="Y467" s="446"/>
      <c r="Z467" s="446"/>
      <c r="AA467" s="446"/>
      <c r="AB467" s="446"/>
      <c r="AC467" s="446"/>
      <c r="AD467" s="446"/>
      <c r="AE467" s="446"/>
      <c r="AF467" s="446"/>
      <c r="AG467" s="446"/>
      <c r="AH467" s="446"/>
      <c r="AI467" s="446"/>
      <c r="AJ467" s="446"/>
      <c r="AK467" s="446"/>
      <c r="AL467" s="446"/>
      <c r="AM467" s="446"/>
      <c r="AN467" s="446"/>
      <c r="AO467" s="446"/>
      <c r="AP467" s="446"/>
      <c r="AQ467" s="446"/>
      <c r="AR467" s="446"/>
      <c r="AS467" s="446"/>
      <c r="AT467" s="446"/>
      <c r="AU467" s="446"/>
      <c r="AV467" s="446"/>
      <c r="AW467" s="446"/>
      <c r="AX467" s="446"/>
      <c r="AY467" s="446"/>
      <c r="AZ467" s="446"/>
      <c r="BA467" s="446"/>
      <c r="BB467" s="446"/>
      <c r="BC467" s="446"/>
      <c r="BD467" s="446"/>
      <c r="BE467" s="444"/>
      <c r="BF467" s="444"/>
      <c r="BG467" s="446"/>
      <c r="BH467" s="446"/>
      <c r="BI467" s="446"/>
      <c r="BJ467" s="444"/>
      <c r="BK467" s="444"/>
      <c r="BL467" s="444"/>
      <c r="BM467" s="444"/>
      <c r="BN467" s="444"/>
      <c r="BO467" s="444"/>
      <c r="BP467" s="444"/>
      <c r="BQ467" s="446"/>
      <c r="BR467" s="445">
        <v>14</v>
      </c>
      <c r="BS467" s="442">
        <v>54</v>
      </c>
      <c r="BT467" s="445">
        <v>14</v>
      </c>
      <c r="BU467" s="445"/>
      <c r="BV467" s="445"/>
      <c r="BW467" s="445"/>
      <c r="BX467" s="756"/>
      <c r="BY467" s="850"/>
      <c r="BZ467" s="850"/>
      <c r="CA467" s="850"/>
      <c r="CB467" s="850"/>
      <c r="CC467" s="850"/>
      <c r="CD467" s="850"/>
      <c r="CE467" s="850"/>
      <c r="CF467" s="850"/>
      <c r="CG467" s="169" t="s">
        <v>989</v>
      </c>
      <c r="CH467" s="419" t="s">
        <v>303</v>
      </c>
      <c r="CI467" s="409">
        <v>39098</v>
      </c>
      <c r="CJ467" s="23"/>
      <c r="CK467" s="648" t="s">
        <v>744</v>
      </c>
      <c r="CL467" s="572"/>
      <c r="CM467" s="648"/>
      <c r="CN467" s="35"/>
      <c r="CO467" s="35"/>
      <c r="CP467" s="35"/>
      <c r="CQ467" s="35"/>
      <c r="CR467" s="406"/>
      <c r="CS467" s="648"/>
      <c r="CU467" s="23"/>
      <c r="CV467" s="23"/>
      <c r="CW467" s="23"/>
      <c r="CX467" s="23"/>
      <c r="DA467" s="431"/>
    </row>
    <row r="468" spans="1:105" s="128" customFormat="1" ht="12" customHeight="1" x14ac:dyDescent="0.2">
      <c r="A468" s="651"/>
      <c r="B468" s="537"/>
      <c r="C468" s="97" t="s">
        <v>25</v>
      </c>
      <c r="D468" s="169" t="s">
        <v>1131</v>
      </c>
      <c r="E468" s="647" t="s">
        <v>27</v>
      </c>
      <c r="F468" s="647"/>
      <c r="G468" s="98"/>
      <c r="H468" s="97"/>
      <c r="I468" s="166" t="s">
        <v>26</v>
      </c>
      <c r="J468" s="571"/>
      <c r="K468" s="571"/>
      <c r="L468" s="493"/>
      <c r="M468" s="98" t="s">
        <v>18</v>
      </c>
      <c r="N468" s="493"/>
      <c r="O468" s="247" t="s">
        <v>1524</v>
      </c>
      <c r="P468" s="247"/>
      <c r="Q468" s="98"/>
      <c r="R468" s="167"/>
      <c r="S468" s="167"/>
      <c r="T468" s="167"/>
      <c r="U468" s="393">
        <v>1660</v>
      </c>
      <c r="V468" s="694"/>
      <c r="W468" s="711"/>
      <c r="X468" s="167"/>
      <c r="Y468" s="446"/>
      <c r="Z468" s="446"/>
      <c r="AA468" s="446"/>
      <c r="AB468" s="446"/>
      <c r="AC468" s="446"/>
      <c r="AD468" s="446"/>
      <c r="AE468" s="446"/>
      <c r="AF468" s="446"/>
      <c r="AG468" s="446"/>
      <c r="AH468" s="446"/>
      <c r="AI468" s="446"/>
      <c r="AJ468" s="446"/>
      <c r="AK468" s="446"/>
      <c r="AL468" s="446"/>
      <c r="AM468" s="446"/>
      <c r="AN468" s="446"/>
      <c r="AO468" s="446"/>
      <c r="AP468" s="446"/>
      <c r="AQ468" s="446"/>
      <c r="AR468" s="446"/>
      <c r="AS468" s="446"/>
      <c r="AT468" s="446"/>
      <c r="AU468" s="446"/>
      <c r="AV468" s="446"/>
      <c r="AW468" s="446"/>
      <c r="AX468" s="446"/>
      <c r="AY468" s="446"/>
      <c r="AZ468" s="446"/>
      <c r="BA468" s="446"/>
      <c r="BB468" s="446"/>
      <c r="BC468" s="446"/>
      <c r="BD468" s="446"/>
      <c r="BE468" s="458"/>
      <c r="BF468" s="458"/>
      <c r="BG468" s="446"/>
      <c r="BH468" s="446"/>
      <c r="BI468" s="445">
        <v>41</v>
      </c>
      <c r="BJ468" s="458"/>
      <c r="BK468" s="458"/>
      <c r="BL468" s="458"/>
      <c r="BM468" s="458"/>
      <c r="BN468" s="458"/>
      <c r="BO468" s="458"/>
      <c r="BP468" s="458"/>
      <c r="BQ468" s="458"/>
      <c r="BR468" s="458"/>
      <c r="BS468" s="458"/>
      <c r="BT468" s="458"/>
      <c r="BU468" s="458"/>
      <c r="BV468" s="577"/>
      <c r="BW468" s="577"/>
      <c r="BX468" s="756"/>
      <c r="BY468" s="850"/>
      <c r="BZ468" s="850"/>
      <c r="CA468" s="850"/>
      <c r="CB468" s="850"/>
      <c r="CC468" s="850"/>
      <c r="CD468" s="850"/>
      <c r="CE468" s="850"/>
      <c r="CF468" s="850"/>
      <c r="CG468" s="169" t="s">
        <v>1154</v>
      </c>
      <c r="CH468" s="422" t="s">
        <v>664</v>
      </c>
      <c r="CI468" s="406"/>
      <c r="CJ468" s="23"/>
      <c r="CK468" s="426" t="s">
        <v>1041</v>
      </c>
      <c r="CL468" s="572"/>
      <c r="CM468" s="648"/>
      <c r="CN468" s="35"/>
      <c r="CO468" s="35"/>
      <c r="CP468" s="35"/>
      <c r="CQ468" s="35"/>
      <c r="CR468" s="406"/>
      <c r="CS468" s="648"/>
      <c r="CU468" s="23"/>
      <c r="CV468" s="23"/>
      <c r="CW468" s="23"/>
      <c r="CX468" s="23"/>
      <c r="DA468" s="431"/>
    </row>
    <row r="469" spans="1:105" s="128" customFormat="1" ht="12" customHeight="1" x14ac:dyDescent="0.2">
      <c r="A469" s="652"/>
      <c r="B469" s="469" t="s">
        <v>1820</v>
      </c>
      <c r="C469" s="390" t="s">
        <v>99</v>
      </c>
      <c r="D469" s="479" t="s">
        <v>1125</v>
      </c>
      <c r="E469" s="647" t="s">
        <v>14</v>
      </c>
      <c r="F469" s="647"/>
      <c r="G469" s="237"/>
      <c r="H469" s="186"/>
      <c r="I469" s="166">
        <v>2007</v>
      </c>
      <c r="J469" s="571">
        <v>2007</v>
      </c>
      <c r="K469" s="571"/>
      <c r="L469" s="494" t="s">
        <v>244</v>
      </c>
      <c r="M469" s="247" t="s">
        <v>1837</v>
      </c>
      <c r="N469" s="494" t="s">
        <v>783</v>
      </c>
      <c r="O469" s="247" t="s">
        <v>19</v>
      </c>
      <c r="P469" s="98">
        <v>15</v>
      </c>
      <c r="Q469" s="247">
        <v>49</v>
      </c>
      <c r="R469" s="566">
        <v>32.546411343370956</v>
      </c>
      <c r="S469" s="566"/>
      <c r="T469" s="566"/>
      <c r="U469" s="553">
        <v>2417</v>
      </c>
      <c r="V469" s="794"/>
      <c r="W469" s="712"/>
      <c r="X469" s="566">
        <v>13.54847199883022</v>
      </c>
      <c r="Y469" s="566">
        <v>15.85466556564822</v>
      </c>
      <c r="Z469" s="566">
        <v>13.996696944673827</v>
      </c>
      <c r="AA469" s="566">
        <v>21.048287247214233</v>
      </c>
      <c r="AB469" s="566">
        <v>21.048287247214233</v>
      </c>
      <c r="AC469" s="566">
        <v>17.086256706562128</v>
      </c>
      <c r="AD469" s="566">
        <v>15.187783739166312</v>
      </c>
      <c r="AE469" s="566">
        <v>7.3936389921520167</v>
      </c>
      <c r="AF469" s="566">
        <v>6.1957868649318426</v>
      </c>
      <c r="AG469" s="566">
        <v>0.66225165562913835</v>
      </c>
      <c r="AH469" s="567">
        <v>0.28973509933774866</v>
      </c>
      <c r="AI469" s="568"/>
      <c r="AJ469" s="568"/>
      <c r="AK469" s="568"/>
      <c r="AL469" s="568"/>
      <c r="AM469" s="566">
        <v>8.1159420289855237</v>
      </c>
      <c r="AN469" s="566">
        <v>6.7908902691511557</v>
      </c>
      <c r="AO469" s="566">
        <v>3.8939519469759754</v>
      </c>
      <c r="AP469" s="566">
        <v>3.1897265948632976</v>
      </c>
      <c r="AQ469" s="566">
        <v>11.543235415804732</v>
      </c>
      <c r="AR469" s="566">
        <v>9.8055440628878578</v>
      </c>
      <c r="AS469" s="566">
        <v>4.8447204968944142</v>
      </c>
      <c r="AT469" s="566">
        <v>3.892339544513459</v>
      </c>
      <c r="AU469" s="566">
        <v>3.5610766045548665</v>
      </c>
      <c r="AV469" s="566">
        <v>3.0227743271221588</v>
      </c>
      <c r="AW469" s="566">
        <v>0.91059602649006588</v>
      </c>
      <c r="AX469" s="566">
        <v>0.57947019867549843</v>
      </c>
      <c r="AY469" s="568"/>
      <c r="AZ469" s="568"/>
      <c r="BA469" s="566"/>
      <c r="BB469" s="566"/>
      <c r="BC469" s="568"/>
      <c r="BD469" s="568"/>
      <c r="BE469" s="566"/>
      <c r="BF469" s="566"/>
      <c r="BG469" s="566"/>
      <c r="BH469" s="566"/>
      <c r="BI469" s="566">
        <v>12.577575506826623</v>
      </c>
      <c r="BJ469" s="566">
        <v>10.798510550268933</v>
      </c>
      <c r="BK469" s="566"/>
      <c r="BL469" s="566"/>
      <c r="BM469" s="566">
        <v>2.1937086092715203</v>
      </c>
      <c r="BN469" s="566">
        <v>1.6970198675496715</v>
      </c>
      <c r="BO469" s="566">
        <v>1.158940397350992</v>
      </c>
      <c r="BP469" s="566">
        <v>0.86920529801324431</v>
      </c>
      <c r="BQ469" s="566"/>
      <c r="BR469" s="566"/>
      <c r="BS469" s="566"/>
      <c r="BT469" s="566"/>
      <c r="BU469" s="566">
        <v>12</v>
      </c>
      <c r="BV469" s="566"/>
      <c r="BW469" s="566"/>
      <c r="BX469" s="759">
        <v>13.822894168466529</v>
      </c>
      <c r="BY469" s="852"/>
      <c r="BZ469" s="852"/>
      <c r="CA469" s="852"/>
      <c r="CB469" s="852"/>
      <c r="CC469" s="852"/>
      <c r="CD469" s="852"/>
      <c r="CE469" s="852"/>
      <c r="CF469" s="852"/>
      <c r="CG469" s="97"/>
      <c r="CH469" s="647"/>
      <c r="CI469" s="97"/>
      <c r="CJ469" s="97"/>
      <c r="CK469" s="647"/>
      <c r="CL469" s="469"/>
      <c r="CM469" s="647"/>
      <c r="CN469" s="97"/>
      <c r="CO469" s="97"/>
      <c r="CP469" s="97"/>
      <c r="CQ469" s="97"/>
      <c r="CR469" s="638"/>
      <c r="CS469" s="647"/>
      <c r="CU469" s="23"/>
      <c r="CV469" s="23"/>
      <c r="CW469" s="23"/>
      <c r="CX469" s="23"/>
      <c r="DA469" s="431"/>
    </row>
    <row r="470" spans="1:105" s="128" customFormat="1" ht="12" customHeight="1" x14ac:dyDescent="0.2">
      <c r="A470" s="652"/>
      <c r="B470" s="469" t="s">
        <v>1820</v>
      </c>
      <c r="C470" s="390" t="s">
        <v>99</v>
      </c>
      <c r="D470" s="479" t="s">
        <v>1125</v>
      </c>
      <c r="E470" s="647" t="s">
        <v>14</v>
      </c>
      <c r="F470" s="647"/>
      <c r="G470" s="237"/>
      <c r="H470" s="186"/>
      <c r="I470" s="166">
        <v>2007</v>
      </c>
      <c r="J470" s="571">
        <v>2007</v>
      </c>
      <c r="K470" s="571"/>
      <c r="L470" s="494" t="s">
        <v>244</v>
      </c>
      <c r="M470" s="247" t="s">
        <v>289</v>
      </c>
      <c r="N470" s="494" t="s">
        <v>783</v>
      </c>
      <c r="O470" s="247" t="s">
        <v>19</v>
      </c>
      <c r="P470" s="98">
        <v>15</v>
      </c>
      <c r="Q470" s="247">
        <v>49</v>
      </c>
      <c r="R470" s="566">
        <v>35.534789233113237</v>
      </c>
      <c r="S470" s="566"/>
      <c r="T470" s="566"/>
      <c r="U470" s="553">
        <v>1762</v>
      </c>
      <c r="V470" s="794"/>
      <c r="W470" s="712"/>
      <c r="X470" s="566">
        <v>13.802337398373986</v>
      </c>
      <c r="Y470" s="566">
        <v>7.9977311401021085</v>
      </c>
      <c r="Z470" s="566">
        <v>7.430516165626762</v>
      </c>
      <c r="AA470" s="566">
        <v>13.840045377197942</v>
      </c>
      <c r="AB470" s="566">
        <v>13.840045377197942</v>
      </c>
      <c r="AC470" s="566">
        <v>9.6426545660805374</v>
      </c>
      <c r="AD470" s="566">
        <v>8.96199659671014</v>
      </c>
      <c r="AE470" s="566">
        <v>4.8808172531214451</v>
      </c>
      <c r="AF470" s="566">
        <v>4.2565266742338217</v>
      </c>
      <c r="AG470" s="567">
        <v>0.28425241614553726</v>
      </c>
      <c r="AH470" s="567">
        <v>0</v>
      </c>
      <c r="AI470" s="568"/>
      <c r="AJ470" s="568"/>
      <c r="AK470" s="568"/>
      <c r="AL470" s="568"/>
      <c r="AM470" s="566">
        <v>4.9971607041453634</v>
      </c>
      <c r="AN470" s="566">
        <v>4.372515616127199</v>
      </c>
      <c r="AO470" s="566">
        <v>1.1925042589437829</v>
      </c>
      <c r="AP470" s="566">
        <v>0.90857467348097609</v>
      </c>
      <c r="AQ470" s="566">
        <v>6.0760931289040361</v>
      </c>
      <c r="AR470" s="566">
        <v>5.1675184554230569</v>
      </c>
      <c r="AS470" s="566">
        <v>1.5332197614991501</v>
      </c>
      <c r="AT470" s="566">
        <v>1.0789324247586602</v>
      </c>
      <c r="AU470" s="566">
        <v>0.9085746734809762</v>
      </c>
      <c r="AV470" s="566">
        <v>0.56785917092561033</v>
      </c>
      <c r="AW470" s="567">
        <v>0.34071550255536615</v>
      </c>
      <c r="AX470" s="567">
        <v>5.6785917092561068E-2</v>
      </c>
      <c r="AY470" s="568"/>
      <c r="AZ470" s="568"/>
      <c r="BA470" s="566"/>
      <c r="BB470" s="566"/>
      <c r="BC470" s="568"/>
      <c r="BD470" s="568"/>
      <c r="BE470" s="568"/>
      <c r="BF470" s="568"/>
      <c r="BG470" s="566"/>
      <c r="BH470" s="566"/>
      <c r="BI470" s="566">
        <v>6.8104426787741295</v>
      </c>
      <c r="BJ470" s="568"/>
      <c r="BK470" s="568"/>
      <c r="BL470" s="568"/>
      <c r="BM470" s="566">
        <v>0.79590676520750425</v>
      </c>
      <c r="BN470" s="566">
        <v>0.51165434906196772</v>
      </c>
      <c r="BO470" s="568"/>
      <c r="BP470" s="568"/>
      <c r="BQ470" s="566"/>
      <c r="BR470" s="566"/>
      <c r="BS470" s="566"/>
      <c r="BT470" s="566"/>
      <c r="BU470" s="566">
        <v>12</v>
      </c>
      <c r="BV470" s="566"/>
      <c r="BW470" s="566"/>
      <c r="BX470" s="760"/>
      <c r="BY470" s="853"/>
      <c r="BZ470" s="853"/>
      <c r="CA470" s="853"/>
      <c r="CB470" s="853"/>
      <c r="CC470" s="853"/>
      <c r="CD470" s="853"/>
      <c r="CE470" s="853"/>
      <c r="CF470" s="853"/>
      <c r="CG470" s="97"/>
      <c r="CH470" s="647"/>
      <c r="CI470" s="97"/>
      <c r="CJ470" s="97"/>
      <c r="CK470" s="647"/>
      <c r="CL470" s="469"/>
      <c r="CM470" s="647"/>
      <c r="CN470" s="97"/>
      <c r="CO470" s="97"/>
      <c r="CP470" s="97"/>
      <c r="CQ470" s="97"/>
      <c r="CR470" s="638"/>
      <c r="CS470" s="647"/>
      <c r="CU470" s="23"/>
      <c r="CV470" s="23"/>
      <c r="CW470" s="23"/>
      <c r="CX470" s="23"/>
      <c r="DA470" s="431"/>
    </row>
    <row r="471" spans="1:105" s="128" customFormat="1" ht="12" customHeight="1" x14ac:dyDescent="0.2">
      <c r="A471" s="651"/>
      <c r="B471" s="537"/>
      <c r="C471" s="97" t="s">
        <v>99</v>
      </c>
      <c r="D471" s="169" t="s">
        <v>1125</v>
      </c>
      <c r="E471" s="647" t="s">
        <v>14</v>
      </c>
      <c r="F471" s="647"/>
      <c r="G471" s="98"/>
      <c r="H471" s="97"/>
      <c r="I471" s="166">
        <v>1999</v>
      </c>
      <c r="J471" s="571"/>
      <c r="K471" s="571"/>
      <c r="L471" s="493" t="s">
        <v>248</v>
      </c>
      <c r="M471" s="98" t="s">
        <v>15</v>
      </c>
      <c r="N471" s="493"/>
      <c r="O471" s="237" t="s">
        <v>698</v>
      </c>
      <c r="P471" s="237"/>
      <c r="Q471" s="98"/>
      <c r="R471" s="167"/>
      <c r="S471" s="167"/>
      <c r="T471" s="167"/>
      <c r="U471" s="393">
        <v>5596</v>
      </c>
      <c r="V471" s="694"/>
      <c r="W471" s="711"/>
      <c r="X471" s="167"/>
      <c r="Y471" s="446"/>
      <c r="Z471" s="446"/>
      <c r="AA471" s="446"/>
      <c r="AB471" s="446"/>
      <c r="AC471" s="446"/>
      <c r="AD471" s="446"/>
      <c r="AE471" s="446"/>
      <c r="AF471" s="446"/>
      <c r="AG471" s="446"/>
      <c r="AH471" s="446"/>
      <c r="AI471" s="446"/>
      <c r="AJ471" s="446"/>
      <c r="AK471" s="446"/>
      <c r="AL471" s="446"/>
      <c r="AM471" s="446"/>
      <c r="AN471" s="446"/>
      <c r="AO471" s="446"/>
      <c r="AP471" s="446"/>
      <c r="AQ471" s="446"/>
      <c r="AR471" s="446"/>
      <c r="AS471" s="446"/>
      <c r="AT471" s="446"/>
      <c r="AU471" s="446"/>
      <c r="AV471" s="446"/>
      <c r="AW471" s="446"/>
      <c r="AX471" s="446"/>
      <c r="AY471" s="446"/>
      <c r="AZ471" s="446"/>
      <c r="BA471" s="446"/>
      <c r="BB471" s="446"/>
      <c r="BC471" s="446"/>
      <c r="BD471" s="446"/>
      <c r="BE471" s="445"/>
      <c r="BF471" s="445"/>
      <c r="BG471" s="446"/>
      <c r="BH471" s="446"/>
      <c r="BI471" s="442">
        <v>19</v>
      </c>
      <c r="BJ471" s="445">
        <v>7</v>
      </c>
      <c r="BK471" s="445"/>
      <c r="BL471" s="445"/>
      <c r="BM471" s="445"/>
      <c r="BN471" s="445"/>
      <c r="BO471" s="445"/>
      <c r="BP471" s="445"/>
      <c r="BQ471" s="444"/>
      <c r="BR471" s="444"/>
      <c r="BS471" s="458"/>
      <c r="BT471" s="458"/>
      <c r="BU471" s="458"/>
      <c r="BV471" s="577"/>
      <c r="BW471" s="577"/>
      <c r="BX471" s="756"/>
      <c r="BY471" s="850"/>
      <c r="BZ471" s="850"/>
      <c r="CA471" s="850"/>
      <c r="CB471" s="850"/>
      <c r="CC471" s="850"/>
      <c r="CD471" s="850"/>
      <c r="CE471" s="850"/>
      <c r="CF471" s="850"/>
      <c r="CG471" s="168" t="s">
        <v>219</v>
      </c>
      <c r="CH471" s="417"/>
      <c r="CI471" s="406"/>
      <c r="CJ471" s="23"/>
      <c r="CK471" s="431" t="s">
        <v>1063</v>
      </c>
      <c r="CL471" s="572"/>
      <c r="CM471" s="648"/>
      <c r="CN471" s="35"/>
      <c r="CO471" s="35"/>
      <c r="CP471" s="35"/>
      <c r="CQ471" s="35"/>
      <c r="CR471" s="406"/>
      <c r="CS471" s="648"/>
      <c r="CU471" s="23"/>
      <c r="CV471" s="23"/>
      <c r="CW471" s="23"/>
      <c r="CX471" s="23"/>
      <c r="DA471" s="431"/>
    </row>
    <row r="472" spans="1:105" s="128" customFormat="1" ht="12" customHeight="1" x14ac:dyDescent="0.2">
      <c r="A472" s="651"/>
      <c r="B472" s="537"/>
      <c r="C472" s="97" t="s">
        <v>99</v>
      </c>
      <c r="D472" s="169" t="s">
        <v>1125</v>
      </c>
      <c r="E472" s="647" t="s">
        <v>14</v>
      </c>
      <c r="F472" s="647"/>
      <c r="G472" s="237"/>
      <c r="H472" s="186"/>
      <c r="I472" s="166">
        <v>2001</v>
      </c>
      <c r="J472" s="390"/>
      <c r="K472" s="390"/>
      <c r="L472" s="493"/>
      <c r="M472" s="237" t="s">
        <v>17</v>
      </c>
      <c r="N472" s="493"/>
      <c r="O472" s="98" t="s">
        <v>90</v>
      </c>
      <c r="P472" s="98"/>
      <c r="Q472" s="98"/>
      <c r="R472" s="167"/>
      <c r="S472" s="167"/>
      <c r="T472" s="167"/>
      <c r="U472" s="393"/>
      <c r="V472" s="694"/>
      <c r="W472" s="711"/>
      <c r="X472" s="254"/>
      <c r="Y472" s="446"/>
      <c r="Z472" s="446"/>
      <c r="AA472" s="446"/>
      <c r="AB472" s="446"/>
      <c r="AC472" s="446"/>
      <c r="AD472" s="446"/>
      <c r="AE472" s="446"/>
      <c r="AF472" s="446"/>
      <c r="AG472" s="446"/>
      <c r="AH472" s="446"/>
      <c r="AI472" s="446"/>
      <c r="AJ472" s="446"/>
      <c r="AK472" s="446"/>
      <c r="AL472" s="446"/>
      <c r="AM472" s="446"/>
      <c r="AN472" s="446"/>
      <c r="AO472" s="446"/>
      <c r="AP472" s="446"/>
      <c r="AQ472" s="446"/>
      <c r="AR472" s="446"/>
      <c r="AS472" s="446"/>
      <c r="AT472" s="446"/>
      <c r="AU472" s="446"/>
      <c r="AV472" s="446"/>
      <c r="AW472" s="446"/>
      <c r="AX472" s="446"/>
      <c r="AY472" s="446"/>
      <c r="AZ472" s="446"/>
      <c r="BA472" s="446"/>
      <c r="BB472" s="446"/>
      <c r="BC472" s="446"/>
      <c r="BD472" s="446"/>
      <c r="BE472" s="446"/>
      <c r="BF472" s="446"/>
      <c r="BG472" s="446"/>
      <c r="BH472" s="446"/>
      <c r="BI472" s="445"/>
      <c r="BJ472" s="446"/>
      <c r="BK472" s="446"/>
      <c r="BL472" s="446"/>
      <c r="BM472" s="446"/>
      <c r="BN472" s="446"/>
      <c r="BO472" s="446"/>
      <c r="BP472" s="446"/>
      <c r="BQ472" s="444"/>
      <c r="BR472" s="445"/>
      <c r="BS472" s="442">
        <v>21.1</v>
      </c>
      <c r="BT472" s="445">
        <v>7.9</v>
      </c>
      <c r="BU472" s="445"/>
      <c r="BV472" s="445"/>
      <c r="BW472" s="445"/>
      <c r="BX472" s="756"/>
      <c r="BY472" s="850"/>
      <c r="BZ472" s="850"/>
      <c r="CA472" s="850"/>
      <c r="CB472" s="850"/>
      <c r="CC472" s="850"/>
      <c r="CD472" s="850"/>
      <c r="CE472" s="850"/>
      <c r="CF472" s="850"/>
      <c r="CG472" s="169" t="s">
        <v>958</v>
      </c>
      <c r="CH472" s="431"/>
      <c r="CI472" s="407"/>
      <c r="CJ472" s="23"/>
      <c r="CK472" s="417" t="s">
        <v>1047</v>
      </c>
      <c r="CL472" s="572"/>
      <c r="CM472" s="648"/>
      <c r="CN472" s="35"/>
      <c r="CO472" s="35"/>
      <c r="CP472" s="35"/>
      <c r="CQ472" s="35"/>
      <c r="CR472" s="406"/>
      <c r="CS472" s="648"/>
      <c r="CU472" s="23"/>
      <c r="CV472" s="23"/>
      <c r="CW472" s="23"/>
      <c r="CX472" s="23"/>
      <c r="DA472" s="431"/>
    </row>
    <row r="473" spans="1:105" s="128" customFormat="1" ht="12" customHeight="1" x14ac:dyDescent="0.2">
      <c r="A473" s="651"/>
      <c r="B473" s="537"/>
      <c r="C473" s="97" t="s">
        <v>203</v>
      </c>
      <c r="D473" s="169" t="s">
        <v>1130</v>
      </c>
      <c r="E473" s="647" t="s">
        <v>111</v>
      </c>
      <c r="F473" s="647"/>
      <c r="G473" s="98"/>
      <c r="H473" s="97"/>
      <c r="I473" s="166">
        <v>1993</v>
      </c>
      <c r="J473" s="571"/>
      <c r="K473" s="571"/>
      <c r="L473" s="493"/>
      <c r="M473" s="98" t="s">
        <v>17</v>
      </c>
      <c r="N473" s="493"/>
      <c r="O473" s="98"/>
      <c r="P473" s="98"/>
      <c r="Q473" s="98"/>
      <c r="R473" s="167"/>
      <c r="S473" s="167"/>
      <c r="T473" s="167"/>
      <c r="U473" s="393">
        <v>430</v>
      </c>
      <c r="V473" s="694"/>
      <c r="W473" s="711"/>
      <c r="X473" s="167"/>
      <c r="Y473" s="446"/>
      <c r="Z473" s="446"/>
      <c r="AA473" s="446"/>
      <c r="AB473" s="446"/>
      <c r="AC473" s="446"/>
      <c r="AD473" s="446"/>
      <c r="AE473" s="446"/>
      <c r="AF473" s="446"/>
      <c r="AG473" s="446"/>
      <c r="AH473" s="446"/>
      <c r="AI473" s="446"/>
      <c r="AJ473" s="446"/>
      <c r="AK473" s="446"/>
      <c r="AL473" s="446"/>
      <c r="AM473" s="446"/>
      <c r="AN473" s="446"/>
      <c r="AO473" s="446"/>
      <c r="AP473" s="446"/>
      <c r="AQ473" s="446"/>
      <c r="AR473" s="446"/>
      <c r="AS473" s="446"/>
      <c r="AT473" s="446"/>
      <c r="AU473" s="446"/>
      <c r="AV473" s="446"/>
      <c r="AW473" s="446"/>
      <c r="AX473" s="446"/>
      <c r="AY473" s="446"/>
      <c r="AZ473" s="446"/>
      <c r="BA473" s="446"/>
      <c r="BB473" s="446"/>
      <c r="BC473" s="446"/>
      <c r="BD473" s="446"/>
      <c r="BE473" s="445"/>
      <c r="BF473" s="445"/>
      <c r="BG473" s="446"/>
      <c r="BH473" s="446"/>
      <c r="BI473" s="442">
        <v>30</v>
      </c>
      <c r="BJ473" s="445">
        <v>12</v>
      </c>
      <c r="BK473" s="445"/>
      <c r="BL473" s="445"/>
      <c r="BM473" s="445"/>
      <c r="BN473" s="445"/>
      <c r="BO473" s="445"/>
      <c r="BP473" s="445"/>
      <c r="BQ473" s="444"/>
      <c r="BR473" s="445"/>
      <c r="BS473" s="458"/>
      <c r="BT473" s="458"/>
      <c r="BU473" s="458"/>
      <c r="BV473" s="577"/>
      <c r="BW473" s="577"/>
      <c r="BX473" s="756"/>
      <c r="BY473" s="850"/>
      <c r="BZ473" s="850"/>
      <c r="CA473" s="850"/>
      <c r="CB473" s="850"/>
      <c r="CC473" s="850"/>
      <c r="CD473" s="850"/>
      <c r="CE473" s="850"/>
      <c r="CF473" s="850"/>
      <c r="CG473" s="169" t="s">
        <v>523</v>
      </c>
      <c r="CH473" s="417"/>
      <c r="CI473" s="406"/>
      <c r="CJ473" s="23"/>
      <c r="CK473" s="426" t="s">
        <v>1041</v>
      </c>
      <c r="CL473" s="572"/>
      <c r="CM473" s="648"/>
      <c r="CN473" s="35"/>
      <c r="CO473" s="35"/>
      <c r="CP473" s="35"/>
      <c r="CQ473" s="35"/>
      <c r="CR473" s="406"/>
      <c r="CS473" s="648"/>
      <c r="CU473" s="23"/>
      <c r="CV473" s="23"/>
      <c r="CW473" s="23"/>
      <c r="CX473" s="23"/>
      <c r="DA473" s="431"/>
    </row>
    <row r="474" spans="1:105" s="128" customFormat="1" ht="12" customHeight="1" x14ac:dyDescent="0.2">
      <c r="A474" s="651"/>
      <c r="B474" s="537"/>
      <c r="C474" s="97" t="s">
        <v>203</v>
      </c>
      <c r="D474" s="169" t="s">
        <v>1130</v>
      </c>
      <c r="E474" s="647" t="s">
        <v>857</v>
      </c>
      <c r="F474" s="647"/>
      <c r="G474" s="98"/>
      <c r="H474" s="97"/>
      <c r="I474" s="166">
        <v>1999</v>
      </c>
      <c r="J474" s="571"/>
      <c r="K474" s="571"/>
      <c r="L474" s="494"/>
      <c r="M474" s="98" t="s">
        <v>17</v>
      </c>
      <c r="N474" s="494"/>
      <c r="O474" s="98" t="s">
        <v>90</v>
      </c>
      <c r="P474" s="98"/>
      <c r="Q474" s="98"/>
      <c r="R474" s="167"/>
      <c r="S474" s="167"/>
      <c r="T474" s="167"/>
      <c r="U474" s="393">
        <v>1207</v>
      </c>
      <c r="V474" s="694"/>
      <c r="W474" s="711"/>
      <c r="X474" s="167"/>
      <c r="Y474" s="446"/>
      <c r="Z474" s="446"/>
      <c r="AA474" s="446"/>
      <c r="AB474" s="446"/>
      <c r="AC474" s="446"/>
      <c r="AD474" s="446"/>
      <c r="AE474" s="446"/>
      <c r="AF474" s="446"/>
      <c r="AG474" s="446"/>
      <c r="AH474" s="446"/>
      <c r="AI474" s="446"/>
      <c r="AJ474" s="446"/>
      <c r="AK474" s="446"/>
      <c r="AL474" s="446"/>
      <c r="AM474" s="446"/>
      <c r="AN474" s="446"/>
      <c r="AO474" s="446"/>
      <c r="AP474" s="446"/>
      <c r="AQ474" s="446"/>
      <c r="AR474" s="446"/>
      <c r="AS474" s="446"/>
      <c r="AT474" s="446"/>
      <c r="AU474" s="446"/>
      <c r="AV474" s="446"/>
      <c r="AW474" s="446"/>
      <c r="AX474" s="446"/>
      <c r="AY474" s="446"/>
      <c r="AZ474" s="446"/>
      <c r="BA474" s="446"/>
      <c r="BB474" s="446"/>
      <c r="BC474" s="446"/>
      <c r="BD474" s="446"/>
      <c r="BE474" s="446"/>
      <c r="BF474" s="446"/>
      <c r="BG474" s="446"/>
      <c r="BH474" s="446"/>
      <c r="BI474" s="445"/>
      <c r="BJ474" s="446"/>
      <c r="BK474" s="446"/>
      <c r="BL474" s="446"/>
      <c r="BM474" s="446"/>
      <c r="BN474" s="446"/>
      <c r="BO474" s="446"/>
      <c r="BP474" s="446"/>
      <c r="BQ474" s="444"/>
      <c r="BR474" s="445">
        <v>17</v>
      </c>
      <c r="BS474" s="442">
        <v>41</v>
      </c>
      <c r="BT474" s="458"/>
      <c r="BU474" s="458"/>
      <c r="BV474" s="577"/>
      <c r="BW474" s="577"/>
      <c r="BX474" s="756"/>
      <c r="BY474" s="850"/>
      <c r="BZ474" s="850"/>
      <c r="CA474" s="850"/>
      <c r="CB474" s="850"/>
      <c r="CC474" s="850"/>
      <c r="CD474" s="850"/>
      <c r="CE474" s="850"/>
      <c r="CF474" s="850"/>
      <c r="CG474" s="169" t="s">
        <v>990</v>
      </c>
      <c r="CH474" s="419" t="s">
        <v>307</v>
      </c>
      <c r="CI474" s="409">
        <v>40515</v>
      </c>
      <c r="CJ474" s="23"/>
      <c r="CK474" s="648" t="s">
        <v>742</v>
      </c>
      <c r="CL474" s="572"/>
      <c r="CM474" s="648"/>
      <c r="CN474" s="35"/>
      <c r="CO474" s="35"/>
      <c r="CP474" s="35"/>
      <c r="CQ474" s="35"/>
      <c r="CR474" s="406"/>
      <c r="CS474" s="648"/>
      <c r="CU474" s="23"/>
      <c r="CV474" s="23"/>
      <c r="CW474" s="23"/>
      <c r="CX474" s="23"/>
      <c r="DA474" s="431"/>
    </row>
    <row r="475" spans="1:105" s="128" customFormat="1" ht="12" customHeight="1" x14ac:dyDescent="0.2">
      <c r="A475" s="651"/>
      <c r="B475" s="537"/>
      <c r="C475" s="97" t="s">
        <v>203</v>
      </c>
      <c r="D475" s="169" t="s">
        <v>1130</v>
      </c>
      <c r="E475" s="647" t="s">
        <v>853</v>
      </c>
      <c r="F475" s="647"/>
      <c r="G475" s="98"/>
      <c r="H475" s="97"/>
      <c r="I475" s="166">
        <v>2004</v>
      </c>
      <c r="J475" s="571"/>
      <c r="K475" s="571"/>
      <c r="L475" s="494"/>
      <c r="M475" s="98" t="s">
        <v>15</v>
      </c>
      <c r="N475" s="494"/>
      <c r="O475" s="247" t="s">
        <v>19</v>
      </c>
      <c r="P475" s="247"/>
      <c r="Q475" s="98"/>
      <c r="R475" s="167"/>
      <c r="S475" s="167"/>
      <c r="T475" s="167"/>
      <c r="U475" s="393">
        <v>920</v>
      </c>
      <c r="V475" s="694"/>
      <c r="W475" s="711"/>
      <c r="X475" s="167"/>
      <c r="Y475" s="446"/>
      <c r="Z475" s="446"/>
      <c r="AA475" s="446"/>
      <c r="AB475" s="446"/>
      <c r="AC475" s="446"/>
      <c r="AD475" s="446"/>
      <c r="AE475" s="446"/>
      <c r="AF475" s="446"/>
      <c r="AG475" s="446"/>
      <c r="AH475" s="446"/>
      <c r="AI475" s="446"/>
      <c r="AJ475" s="446"/>
      <c r="AK475" s="446"/>
      <c r="AL475" s="446"/>
      <c r="AM475" s="446"/>
      <c r="AN475" s="446"/>
      <c r="AO475" s="446"/>
      <c r="AP475" s="446"/>
      <c r="AQ475" s="446"/>
      <c r="AR475" s="446"/>
      <c r="AS475" s="446"/>
      <c r="AT475" s="446"/>
      <c r="AU475" s="446"/>
      <c r="AV475" s="446"/>
      <c r="AW475" s="446"/>
      <c r="AX475" s="446"/>
      <c r="AY475" s="446"/>
      <c r="AZ475" s="446"/>
      <c r="BA475" s="446"/>
      <c r="BB475" s="446"/>
      <c r="BC475" s="446"/>
      <c r="BD475" s="446"/>
      <c r="BE475" s="445"/>
      <c r="BF475" s="445"/>
      <c r="BG475" s="446"/>
      <c r="BH475" s="446"/>
      <c r="BI475" s="445">
        <v>4</v>
      </c>
      <c r="BJ475" s="445"/>
      <c r="BK475" s="445"/>
      <c r="BL475" s="445"/>
      <c r="BM475" s="445"/>
      <c r="BN475" s="445"/>
      <c r="BO475" s="445"/>
      <c r="BP475" s="445"/>
      <c r="BQ475" s="444"/>
      <c r="BR475" s="444"/>
      <c r="BS475" s="442">
        <v>21</v>
      </c>
      <c r="BT475" s="446"/>
      <c r="BU475" s="446"/>
      <c r="BV475" s="442"/>
      <c r="BW475" s="442"/>
      <c r="BX475" s="756"/>
      <c r="BY475" s="850"/>
      <c r="BZ475" s="850"/>
      <c r="CA475" s="850"/>
      <c r="CB475" s="850"/>
      <c r="CC475" s="850"/>
      <c r="CD475" s="850"/>
      <c r="CE475" s="850"/>
      <c r="CF475" s="850"/>
      <c r="CG475" s="169" t="s">
        <v>957</v>
      </c>
      <c r="CH475" s="431"/>
      <c r="CI475" s="407"/>
      <c r="CJ475" s="23"/>
      <c r="CK475" s="417" t="s">
        <v>1044</v>
      </c>
      <c r="CL475" s="572"/>
      <c r="CM475" s="648"/>
      <c r="CN475" s="35"/>
      <c r="CO475" s="35"/>
      <c r="CP475" s="35"/>
      <c r="CQ475" s="35"/>
      <c r="CR475" s="406"/>
      <c r="CS475" s="648"/>
      <c r="CU475" s="23"/>
      <c r="CV475" s="23"/>
      <c r="CW475" s="23"/>
      <c r="CX475" s="23"/>
      <c r="DA475" s="431"/>
    </row>
    <row r="476" spans="1:105" s="128" customFormat="1" ht="12" customHeight="1" x14ac:dyDescent="0.2">
      <c r="A476" s="651"/>
      <c r="B476" s="537"/>
      <c r="C476" s="97" t="s">
        <v>203</v>
      </c>
      <c r="D476" s="169" t="s">
        <v>1130</v>
      </c>
      <c r="E476" s="647" t="s">
        <v>14</v>
      </c>
      <c r="F476" s="647"/>
      <c r="G476" s="98"/>
      <c r="H476" s="97"/>
      <c r="I476" s="166">
        <v>2005</v>
      </c>
      <c r="J476" s="571"/>
      <c r="K476" s="571"/>
      <c r="L476" s="493"/>
      <c r="M476" s="98" t="s">
        <v>17</v>
      </c>
      <c r="N476" s="493"/>
      <c r="O476" s="247" t="s">
        <v>910</v>
      </c>
      <c r="P476" s="247"/>
      <c r="Q476" s="98"/>
      <c r="R476" s="167"/>
      <c r="S476" s="167"/>
      <c r="T476" s="167"/>
      <c r="U476" s="393">
        <v>12226</v>
      </c>
      <c r="V476" s="694"/>
      <c r="W476" s="711"/>
      <c r="X476" s="167"/>
      <c r="Y476" s="446"/>
      <c r="Z476" s="446"/>
      <c r="AA476" s="446"/>
      <c r="AB476" s="446"/>
      <c r="AC476" s="446"/>
      <c r="AD476" s="446"/>
      <c r="AE476" s="446"/>
      <c r="AF476" s="446"/>
      <c r="AG476" s="446"/>
      <c r="AH476" s="446"/>
      <c r="AI476" s="446"/>
      <c r="AJ476" s="446"/>
      <c r="AK476" s="446"/>
      <c r="AL476" s="446"/>
      <c r="AM476" s="446"/>
      <c r="AN476" s="446"/>
      <c r="AO476" s="446"/>
      <c r="AP476" s="446"/>
      <c r="AQ476" s="446"/>
      <c r="AR476" s="446"/>
      <c r="AS476" s="446"/>
      <c r="AT476" s="446"/>
      <c r="AU476" s="446"/>
      <c r="AV476" s="446"/>
      <c r="AW476" s="446"/>
      <c r="AX476" s="446"/>
      <c r="AY476" s="446"/>
      <c r="AZ476" s="446"/>
      <c r="BA476" s="446"/>
      <c r="BB476" s="446"/>
      <c r="BC476" s="446"/>
      <c r="BD476" s="446"/>
      <c r="BE476" s="445"/>
      <c r="BF476" s="445"/>
      <c r="BG476" s="446"/>
      <c r="BH476" s="446"/>
      <c r="BI476" s="442">
        <v>19</v>
      </c>
      <c r="BJ476" s="445">
        <v>3</v>
      </c>
      <c r="BK476" s="445"/>
      <c r="BL476" s="445"/>
      <c r="BM476" s="445"/>
      <c r="BN476" s="445"/>
      <c r="BO476" s="445"/>
      <c r="BP476" s="445"/>
      <c r="BQ476" s="444"/>
      <c r="BR476" s="445"/>
      <c r="BS476" s="458"/>
      <c r="BT476" s="458"/>
      <c r="BU476" s="458"/>
      <c r="BV476" s="577"/>
      <c r="BW476" s="577"/>
      <c r="BX476" s="756"/>
      <c r="BY476" s="850"/>
      <c r="BZ476" s="850"/>
      <c r="CA476" s="850"/>
      <c r="CB476" s="850"/>
      <c r="CC476" s="850"/>
      <c r="CD476" s="850"/>
      <c r="CE476" s="850"/>
      <c r="CF476" s="850"/>
      <c r="CG476" s="169" t="s">
        <v>523</v>
      </c>
      <c r="CH476" s="419" t="s">
        <v>1158</v>
      </c>
      <c r="CI476" s="406"/>
      <c r="CJ476" s="23"/>
      <c r="CK476" s="426" t="s">
        <v>1041</v>
      </c>
      <c r="CL476" s="572"/>
      <c r="CM476" s="648"/>
      <c r="CN476" s="35"/>
      <c r="CO476" s="35"/>
      <c r="CP476" s="35"/>
      <c r="CQ476" s="35"/>
      <c r="CR476" s="406"/>
      <c r="CS476" s="648"/>
      <c r="CU476" s="23"/>
      <c r="CV476" s="23"/>
      <c r="CW476" s="23"/>
      <c r="CX476" s="23"/>
      <c r="DA476" s="431"/>
    </row>
    <row r="477" spans="1:105" s="128" customFormat="1" ht="12" customHeight="1" x14ac:dyDescent="0.2">
      <c r="A477" s="651"/>
      <c r="B477" s="537"/>
      <c r="C477" s="97" t="s">
        <v>203</v>
      </c>
      <c r="D477" s="169" t="s">
        <v>1130</v>
      </c>
      <c r="E477" s="647" t="s">
        <v>774</v>
      </c>
      <c r="F477" s="647"/>
      <c r="G477" s="237"/>
      <c r="H477" s="186"/>
      <c r="I477" s="166">
        <v>2006</v>
      </c>
      <c r="J477" s="390"/>
      <c r="K477" s="390"/>
      <c r="L477" s="493"/>
      <c r="M477" s="237" t="s">
        <v>17</v>
      </c>
      <c r="N477" s="493"/>
      <c r="O477" s="247" t="s">
        <v>19</v>
      </c>
      <c r="P477" s="247"/>
      <c r="Q477" s="98"/>
      <c r="R477" s="167"/>
      <c r="S477" s="167"/>
      <c r="T477" s="167"/>
      <c r="U477" s="393"/>
      <c r="V477" s="694"/>
      <c r="W477" s="711"/>
      <c r="X477" s="254"/>
      <c r="Y477" s="446"/>
      <c r="Z477" s="446"/>
      <c r="AA477" s="446"/>
      <c r="AB477" s="446"/>
      <c r="AC477" s="446"/>
      <c r="AD477" s="446"/>
      <c r="AE477" s="446"/>
      <c r="AF477" s="446"/>
      <c r="AG477" s="446"/>
      <c r="AH477" s="446"/>
      <c r="AI477" s="446"/>
      <c r="AJ477" s="446"/>
      <c r="AK477" s="446"/>
      <c r="AL477" s="446"/>
      <c r="AM477" s="446"/>
      <c r="AN477" s="446"/>
      <c r="AO477" s="446"/>
      <c r="AP477" s="446"/>
      <c r="AQ477" s="446"/>
      <c r="AR477" s="446"/>
      <c r="AS477" s="446"/>
      <c r="AT477" s="446"/>
      <c r="AU477" s="446"/>
      <c r="AV477" s="446"/>
      <c r="AW477" s="446"/>
      <c r="AX477" s="446"/>
      <c r="AY477" s="446"/>
      <c r="AZ477" s="446"/>
      <c r="BA477" s="446"/>
      <c r="BB477" s="446"/>
      <c r="BC477" s="446"/>
      <c r="BD477" s="446"/>
      <c r="BE477" s="446"/>
      <c r="BF477" s="446"/>
      <c r="BG477" s="446"/>
      <c r="BH477" s="446"/>
      <c r="BI477" s="445">
        <v>3</v>
      </c>
      <c r="BJ477" s="446"/>
      <c r="BK477" s="446"/>
      <c r="BL477" s="446"/>
      <c r="BM477" s="446"/>
      <c r="BN477" s="446"/>
      <c r="BO477" s="446"/>
      <c r="BP477" s="446"/>
      <c r="BQ477" s="444"/>
      <c r="BR477" s="445"/>
      <c r="BS477" s="442">
        <v>19</v>
      </c>
      <c r="BT477" s="458"/>
      <c r="BU477" s="458"/>
      <c r="BV477" s="577"/>
      <c r="BW477" s="577"/>
      <c r="BX477" s="756"/>
      <c r="BY477" s="850"/>
      <c r="BZ477" s="850"/>
      <c r="CA477" s="850"/>
      <c r="CB477" s="850"/>
      <c r="CC477" s="850"/>
      <c r="CD477" s="850"/>
      <c r="CE477" s="850"/>
      <c r="CF477" s="850"/>
      <c r="CG477" s="169" t="s">
        <v>770</v>
      </c>
      <c r="CH477" s="417"/>
      <c r="CI477" s="406"/>
      <c r="CJ477" s="23"/>
      <c r="CK477" s="417" t="s">
        <v>1065</v>
      </c>
      <c r="CL477" s="572"/>
      <c r="CM477" s="648"/>
      <c r="CN477" s="35"/>
      <c r="CO477" s="35"/>
      <c r="CP477" s="35"/>
      <c r="CQ477" s="35"/>
      <c r="CR477" s="406"/>
      <c r="CS477" s="648"/>
      <c r="CU477" s="23"/>
      <c r="CV477" s="23"/>
      <c r="CW477" s="23"/>
      <c r="CX477" s="23"/>
      <c r="DA477" s="431"/>
    </row>
    <row r="478" spans="1:105" s="128" customFormat="1" ht="12" customHeight="1" x14ac:dyDescent="0.2">
      <c r="A478" s="651"/>
      <c r="B478" s="537"/>
      <c r="C478" s="126" t="s">
        <v>1214</v>
      </c>
      <c r="D478" s="169" t="s">
        <v>422</v>
      </c>
      <c r="E478" s="647" t="s">
        <v>14</v>
      </c>
      <c r="F478" s="647"/>
      <c r="G478" s="98"/>
      <c r="H478" s="97"/>
      <c r="I478" s="166">
        <v>1986</v>
      </c>
      <c r="J478" s="571"/>
      <c r="K478" s="571"/>
      <c r="L478" s="493"/>
      <c r="M478" s="237" t="s">
        <v>18</v>
      </c>
      <c r="N478" s="493"/>
      <c r="O478" s="237" t="s">
        <v>250</v>
      </c>
      <c r="P478" s="237"/>
      <c r="Q478" s="98"/>
      <c r="R478" s="167"/>
      <c r="S478" s="167"/>
      <c r="T478" s="167"/>
      <c r="U478" s="393">
        <v>2143</v>
      </c>
      <c r="V478" s="694"/>
      <c r="W478" s="711"/>
      <c r="X478" s="167"/>
      <c r="Y478" s="446"/>
      <c r="Z478" s="446"/>
      <c r="AA478" s="446"/>
      <c r="AB478" s="446"/>
      <c r="AC478" s="446"/>
      <c r="AD478" s="446"/>
      <c r="AE478" s="446"/>
      <c r="AF478" s="446"/>
      <c r="AG478" s="446"/>
      <c r="AH478" s="446"/>
      <c r="AI478" s="446"/>
      <c r="AJ478" s="446"/>
      <c r="AK478" s="446"/>
      <c r="AL478" s="446"/>
      <c r="AM478" s="446"/>
      <c r="AN478" s="446"/>
      <c r="AO478" s="446"/>
      <c r="AP478" s="446"/>
      <c r="AQ478" s="446"/>
      <c r="AR478" s="446"/>
      <c r="AS478" s="446"/>
      <c r="AT478" s="446"/>
      <c r="AU478" s="446"/>
      <c r="AV478" s="446"/>
      <c r="AW478" s="446"/>
      <c r="AX478" s="446"/>
      <c r="AY478" s="446"/>
      <c r="AZ478" s="446"/>
      <c r="BA478" s="446"/>
      <c r="BB478" s="446"/>
      <c r="BC478" s="446"/>
      <c r="BD478" s="446"/>
      <c r="BE478" s="445"/>
      <c r="BF478" s="445"/>
      <c r="BG478" s="446"/>
      <c r="BH478" s="446"/>
      <c r="BI478" s="445"/>
      <c r="BJ478" s="445"/>
      <c r="BK478" s="445"/>
      <c r="BL478" s="445"/>
      <c r="BM478" s="445"/>
      <c r="BN478" s="445"/>
      <c r="BO478" s="445"/>
      <c r="BP478" s="445"/>
      <c r="BQ478" s="444"/>
      <c r="BR478" s="444"/>
      <c r="BS478" s="442">
        <v>28</v>
      </c>
      <c r="BT478" s="445">
        <v>11.3</v>
      </c>
      <c r="BU478" s="445"/>
      <c r="BV478" s="445"/>
      <c r="BW478" s="445"/>
      <c r="BX478" s="756"/>
      <c r="BY478" s="850"/>
      <c r="BZ478" s="850"/>
      <c r="CA478" s="850"/>
      <c r="CB478" s="850"/>
      <c r="CC478" s="850"/>
      <c r="CD478" s="850"/>
      <c r="CE478" s="850"/>
      <c r="CF478" s="850"/>
      <c r="CG478" s="169" t="s">
        <v>524</v>
      </c>
      <c r="CH478" s="417"/>
      <c r="CI478" s="406"/>
      <c r="CJ478" s="23"/>
      <c r="CK478" s="417" t="s">
        <v>1062</v>
      </c>
      <c r="CL478" s="572"/>
      <c r="CM478" s="648"/>
      <c r="CN478" s="35"/>
      <c r="CO478" s="35"/>
      <c r="CP478" s="35"/>
      <c r="CQ478" s="35"/>
      <c r="CR478" s="406"/>
      <c r="CS478" s="648"/>
      <c r="CU478" s="23"/>
      <c r="CV478" s="23"/>
      <c r="CW478" s="23"/>
      <c r="CX478" s="23"/>
      <c r="DA478" s="431"/>
    </row>
    <row r="479" spans="1:105" s="128" customFormat="1" ht="12" customHeight="1" x14ac:dyDescent="0.2">
      <c r="A479" s="651"/>
      <c r="B479" s="537"/>
      <c r="C479" s="126" t="s">
        <v>1214</v>
      </c>
      <c r="D479" s="169" t="s">
        <v>422</v>
      </c>
      <c r="E479" s="647" t="s">
        <v>14</v>
      </c>
      <c r="F479" s="647"/>
      <c r="G479" s="98"/>
      <c r="H479" s="97"/>
      <c r="I479" s="166">
        <v>1994</v>
      </c>
      <c r="J479" s="571"/>
      <c r="K479" s="571"/>
      <c r="L479" s="493"/>
      <c r="M479" s="98" t="s">
        <v>17</v>
      </c>
      <c r="N479" s="493"/>
      <c r="O479" s="237" t="s">
        <v>234</v>
      </c>
      <c r="P479" s="237"/>
      <c r="Q479" s="98"/>
      <c r="R479" s="167"/>
      <c r="S479" s="167"/>
      <c r="T479" s="167"/>
      <c r="U479" s="393">
        <v>2555</v>
      </c>
      <c r="V479" s="694"/>
      <c r="W479" s="711"/>
      <c r="X479" s="167"/>
      <c r="Y479" s="446"/>
      <c r="Z479" s="446"/>
      <c r="AA479" s="446"/>
      <c r="AB479" s="446"/>
      <c r="AC479" s="446"/>
      <c r="AD479" s="446"/>
      <c r="AE479" s="446"/>
      <c r="AF479" s="446"/>
      <c r="AG479" s="446"/>
      <c r="AH479" s="446"/>
      <c r="AI479" s="446"/>
      <c r="AJ479" s="446"/>
      <c r="AK479" s="446"/>
      <c r="AL479" s="446"/>
      <c r="AM479" s="446"/>
      <c r="AN479" s="446"/>
      <c r="AO479" s="446"/>
      <c r="AP479" s="446"/>
      <c r="AQ479" s="446"/>
      <c r="AR479" s="446"/>
      <c r="AS479" s="446"/>
      <c r="AT479" s="446"/>
      <c r="AU479" s="446"/>
      <c r="AV479" s="446"/>
      <c r="AW479" s="446"/>
      <c r="AX479" s="446"/>
      <c r="AY479" s="446"/>
      <c r="AZ479" s="446"/>
      <c r="BA479" s="446"/>
      <c r="BB479" s="446"/>
      <c r="BC479" s="446"/>
      <c r="BD479" s="446"/>
      <c r="BE479" s="446"/>
      <c r="BF479" s="446"/>
      <c r="BG479" s="446"/>
      <c r="BH479" s="446"/>
      <c r="BI479" s="445"/>
      <c r="BJ479" s="446"/>
      <c r="BK479" s="446"/>
      <c r="BL479" s="446"/>
      <c r="BM479" s="446"/>
      <c r="BN479" s="446"/>
      <c r="BO479" s="446"/>
      <c r="BP479" s="446"/>
      <c r="BQ479" s="444"/>
      <c r="BR479" s="445"/>
      <c r="BS479" s="442"/>
      <c r="BT479" s="442">
        <v>5.8</v>
      </c>
      <c r="BU479" s="442"/>
      <c r="BV479" s="442"/>
      <c r="BW479" s="442"/>
      <c r="BX479" s="756"/>
      <c r="BY479" s="850"/>
      <c r="BZ479" s="850"/>
      <c r="CA479" s="850"/>
      <c r="CB479" s="850"/>
      <c r="CC479" s="850"/>
      <c r="CD479" s="850"/>
      <c r="CE479" s="850"/>
      <c r="CF479" s="850"/>
      <c r="CG479" s="168" t="s">
        <v>342</v>
      </c>
      <c r="CH479" s="419" t="s">
        <v>1051</v>
      </c>
      <c r="CI479" s="407"/>
      <c r="CJ479" s="23">
        <v>346</v>
      </c>
      <c r="CK479" s="648"/>
      <c r="CL479" s="572" t="s">
        <v>298</v>
      </c>
      <c r="CM479" s="648"/>
      <c r="CN479" s="35"/>
      <c r="CO479" s="35"/>
      <c r="CP479" s="35"/>
      <c r="CQ479" s="35"/>
      <c r="CR479" s="406"/>
      <c r="CS479" s="648"/>
      <c r="CU479" s="23"/>
      <c r="CV479" s="23"/>
      <c r="CW479" s="23"/>
      <c r="CX479" s="23"/>
      <c r="DA479" s="431"/>
    </row>
    <row r="480" spans="1:105" s="128" customFormat="1" ht="12" customHeight="1" x14ac:dyDescent="0.2">
      <c r="A480" s="651"/>
      <c r="B480" s="537"/>
      <c r="C480" s="126" t="s">
        <v>1214</v>
      </c>
      <c r="D480" s="169" t="s">
        <v>422</v>
      </c>
      <c r="E480" s="469" t="s">
        <v>843</v>
      </c>
      <c r="F480" s="469"/>
      <c r="G480" s="98"/>
      <c r="H480" s="166"/>
      <c r="I480" s="166">
        <v>1996</v>
      </c>
      <c r="J480" s="166"/>
      <c r="K480" s="166"/>
      <c r="L480" s="493" t="s">
        <v>783</v>
      </c>
      <c r="M480" s="98" t="s">
        <v>47</v>
      </c>
      <c r="N480" s="494" t="s">
        <v>783</v>
      </c>
      <c r="O480" s="237" t="s">
        <v>763</v>
      </c>
      <c r="P480" s="237"/>
      <c r="Q480" s="98"/>
      <c r="R480" s="167"/>
      <c r="S480" s="167"/>
      <c r="T480" s="167"/>
      <c r="U480" s="393">
        <v>2418</v>
      </c>
      <c r="V480" s="694"/>
      <c r="W480" s="711"/>
      <c r="X480" s="167"/>
      <c r="Y480" s="446"/>
      <c r="Z480" s="446"/>
      <c r="AA480" s="446"/>
      <c r="AB480" s="446"/>
      <c r="AC480" s="446"/>
      <c r="AD480" s="446"/>
      <c r="AE480" s="446"/>
      <c r="AF480" s="446"/>
      <c r="AG480" s="446"/>
      <c r="AH480" s="446"/>
      <c r="AI480" s="446"/>
      <c r="AJ480" s="446"/>
      <c r="AK480" s="446"/>
      <c r="AL480" s="446"/>
      <c r="AM480" s="446"/>
      <c r="AN480" s="446"/>
      <c r="AO480" s="446"/>
      <c r="AP480" s="446"/>
      <c r="AQ480" s="446"/>
      <c r="AR480" s="446"/>
      <c r="AS480" s="446"/>
      <c r="AT480" s="446"/>
      <c r="AU480" s="446"/>
      <c r="AV480" s="446"/>
      <c r="AW480" s="446"/>
      <c r="AX480" s="446"/>
      <c r="AY480" s="446"/>
      <c r="AZ480" s="446"/>
      <c r="BA480" s="446"/>
      <c r="BB480" s="446"/>
      <c r="BC480" s="446"/>
      <c r="BD480" s="446"/>
      <c r="BE480" s="445"/>
      <c r="BF480" s="445"/>
      <c r="BG480" s="446"/>
      <c r="BH480" s="446"/>
      <c r="BI480" s="445">
        <v>6.7</v>
      </c>
      <c r="BJ480" s="445"/>
      <c r="BK480" s="445"/>
      <c r="BL480" s="445"/>
      <c r="BM480" s="445"/>
      <c r="BN480" s="445"/>
      <c r="BO480" s="445"/>
      <c r="BP480" s="445"/>
      <c r="BQ480" s="444"/>
      <c r="BR480" s="444"/>
      <c r="BS480" s="446"/>
      <c r="BT480" s="446"/>
      <c r="BU480" s="446"/>
      <c r="BV480" s="442"/>
      <c r="BW480" s="442"/>
      <c r="BX480" s="756"/>
      <c r="BY480" s="850"/>
      <c r="BZ480" s="850"/>
      <c r="CA480" s="850"/>
      <c r="CB480" s="850"/>
      <c r="CC480" s="850"/>
      <c r="CD480" s="850"/>
      <c r="CE480" s="850"/>
      <c r="CF480" s="850"/>
      <c r="CG480" s="169" t="s">
        <v>991</v>
      </c>
      <c r="CH480" s="432" t="s">
        <v>844</v>
      </c>
      <c r="CI480" s="404">
        <v>40529</v>
      </c>
      <c r="CJ480" s="23"/>
      <c r="CK480" s="648" t="s">
        <v>1120</v>
      </c>
      <c r="CL480" s="572"/>
      <c r="CM480" s="648"/>
      <c r="CN480" s="35"/>
      <c r="CO480" s="35"/>
      <c r="CP480" s="35"/>
      <c r="CQ480" s="35"/>
      <c r="CR480" s="406"/>
      <c r="CS480" s="648"/>
      <c r="CU480" s="23"/>
      <c r="CV480" s="23"/>
      <c r="CW480" s="23"/>
      <c r="CX480" s="23"/>
      <c r="DA480" s="431"/>
    </row>
    <row r="481" spans="1:105" s="128" customFormat="1" ht="12" customHeight="1" x14ac:dyDescent="0.2">
      <c r="A481" s="651"/>
      <c r="B481" s="537"/>
      <c r="C481" s="126" t="s">
        <v>1214</v>
      </c>
      <c r="D481" s="169" t="s">
        <v>422</v>
      </c>
      <c r="E481" s="647" t="s">
        <v>84</v>
      </c>
      <c r="F481" s="647"/>
      <c r="G481" s="237"/>
      <c r="H481" s="186"/>
      <c r="I481" s="166">
        <v>1998</v>
      </c>
      <c r="J481" s="390"/>
      <c r="K481" s="390"/>
      <c r="L481" s="493"/>
      <c r="M481" s="98" t="s">
        <v>15</v>
      </c>
      <c r="N481" s="493"/>
      <c r="O481" s="237"/>
      <c r="P481" s="237"/>
      <c r="Q481" s="98"/>
      <c r="R481" s="167"/>
      <c r="S481" s="167"/>
      <c r="T481" s="167"/>
      <c r="U481" s="393">
        <v>3130</v>
      </c>
      <c r="V481" s="694"/>
      <c r="W481" s="711"/>
      <c r="X481" s="254"/>
      <c r="Y481" s="446"/>
      <c r="Z481" s="446"/>
      <c r="AA481" s="446"/>
      <c r="AB481" s="446"/>
      <c r="AC481" s="446"/>
      <c r="AD481" s="446"/>
      <c r="AE481" s="446"/>
      <c r="AF481" s="446"/>
      <c r="AG481" s="446"/>
      <c r="AH481" s="446"/>
      <c r="AI481" s="446"/>
      <c r="AJ481" s="446"/>
      <c r="AK481" s="446"/>
      <c r="AL481" s="446"/>
      <c r="AM481" s="446"/>
      <c r="AN481" s="446"/>
      <c r="AO481" s="446"/>
      <c r="AP481" s="446"/>
      <c r="AQ481" s="446"/>
      <c r="AR481" s="446"/>
      <c r="AS481" s="446"/>
      <c r="AT481" s="446"/>
      <c r="AU481" s="446"/>
      <c r="AV481" s="446"/>
      <c r="AW481" s="446"/>
      <c r="AX481" s="446"/>
      <c r="AY481" s="446"/>
      <c r="AZ481" s="446"/>
      <c r="BA481" s="446"/>
      <c r="BB481" s="446"/>
      <c r="BC481" s="446"/>
      <c r="BD481" s="446"/>
      <c r="BE481" s="445"/>
      <c r="BF481" s="445"/>
      <c r="BG481" s="446"/>
      <c r="BH481" s="446"/>
      <c r="BI481" s="445">
        <v>6</v>
      </c>
      <c r="BJ481" s="445"/>
      <c r="BK481" s="445"/>
      <c r="BL481" s="445"/>
      <c r="BM481" s="445"/>
      <c r="BN481" s="445"/>
      <c r="BO481" s="445"/>
      <c r="BP481" s="445"/>
      <c r="BQ481" s="444"/>
      <c r="BR481" s="444"/>
      <c r="BS481" s="442">
        <v>30</v>
      </c>
      <c r="BT481" s="445"/>
      <c r="BU481" s="445"/>
      <c r="BV481" s="445"/>
      <c r="BW481" s="445"/>
      <c r="BX481" s="756"/>
      <c r="BY481" s="850"/>
      <c r="BZ481" s="850"/>
      <c r="CA481" s="850"/>
      <c r="CB481" s="850"/>
      <c r="CC481" s="850"/>
      <c r="CD481" s="850"/>
      <c r="CE481" s="850"/>
      <c r="CF481" s="850"/>
      <c r="CG481" s="169" t="s">
        <v>957</v>
      </c>
      <c r="CH481" s="431"/>
      <c r="CI481" s="407"/>
      <c r="CJ481" s="23"/>
      <c r="CK481" s="417" t="s">
        <v>1044</v>
      </c>
      <c r="CL481" s="572"/>
      <c r="CM481" s="648"/>
      <c r="CN481" s="35"/>
      <c r="CO481" s="35"/>
      <c r="CP481" s="35"/>
      <c r="CQ481" s="35"/>
      <c r="CR481" s="406"/>
      <c r="CS481" s="648"/>
      <c r="CU481" s="23"/>
      <c r="CV481" s="23"/>
      <c r="CW481" s="23"/>
      <c r="CX481" s="23"/>
      <c r="DA481" s="431"/>
    </row>
    <row r="482" spans="1:105" s="128" customFormat="1" ht="12" customHeight="1" x14ac:dyDescent="0.2">
      <c r="A482" s="651"/>
      <c r="B482" s="537"/>
      <c r="C482" s="126" t="s">
        <v>1214</v>
      </c>
      <c r="D482" s="169" t="s">
        <v>422</v>
      </c>
      <c r="E482" s="647" t="s">
        <v>865</v>
      </c>
      <c r="F482" s="647"/>
      <c r="G482" s="98"/>
      <c r="H482" s="97"/>
      <c r="I482" s="166">
        <v>1999</v>
      </c>
      <c r="J482" s="571"/>
      <c r="K482" s="571"/>
      <c r="L482" s="493" t="s">
        <v>866</v>
      </c>
      <c r="M482" s="237" t="s">
        <v>17</v>
      </c>
      <c r="N482" s="493"/>
      <c r="O482" s="237"/>
      <c r="P482" s="237"/>
      <c r="Q482" s="98"/>
      <c r="R482" s="167"/>
      <c r="S482" s="167"/>
      <c r="T482" s="167"/>
      <c r="U482" s="393">
        <v>409</v>
      </c>
      <c r="V482" s="694"/>
      <c r="W482" s="711"/>
      <c r="X482" s="167"/>
      <c r="Y482" s="446"/>
      <c r="Z482" s="446"/>
      <c r="AA482" s="446"/>
      <c r="AB482" s="446"/>
      <c r="AC482" s="446"/>
      <c r="AD482" s="446"/>
      <c r="AE482" s="446"/>
      <c r="AF482" s="446"/>
      <c r="AG482" s="446"/>
      <c r="AH482" s="446"/>
      <c r="AI482" s="446"/>
      <c r="AJ482" s="446"/>
      <c r="AK482" s="446"/>
      <c r="AL482" s="446"/>
      <c r="AM482" s="446"/>
      <c r="AN482" s="446"/>
      <c r="AO482" s="446"/>
      <c r="AP482" s="446"/>
      <c r="AQ482" s="446"/>
      <c r="AR482" s="446"/>
      <c r="AS482" s="446"/>
      <c r="AT482" s="446"/>
      <c r="AU482" s="446"/>
      <c r="AV482" s="446"/>
      <c r="AW482" s="446"/>
      <c r="AX482" s="446"/>
      <c r="AY482" s="446"/>
      <c r="AZ482" s="446"/>
      <c r="BA482" s="446"/>
      <c r="BB482" s="446"/>
      <c r="BC482" s="446"/>
      <c r="BD482" s="446"/>
      <c r="BE482" s="446"/>
      <c r="BF482" s="446"/>
      <c r="BG482" s="446"/>
      <c r="BH482" s="446"/>
      <c r="BI482" s="446"/>
      <c r="BJ482" s="446"/>
      <c r="BK482" s="446"/>
      <c r="BL482" s="446"/>
      <c r="BM482" s="446"/>
      <c r="BN482" s="446"/>
      <c r="BO482" s="446"/>
      <c r="BP482" s="446"/>
      <c r="BQ482" s="444"/>
      <c r="BR482" s="445">
        <v>8.4</v>
      </c>
      <c r="BS482" s="446"/>
      <c r="BT482" s="446"/>
      <c r="BU482" s="446"/>
      <c r="BV482" s="442"/>
      <c r="BW482" s="442"/>
      <c r="BX482" s="756"/>
      <c r="BY482" s="850"/>
      <c r="BZ482" s="850"/>
      <c r="CA482" s="850"/>
      <c r="CB482" s="850"/>
      <c r="CC482" s="850"/>
      <c r="CD482" s="850"/>
      <c r="CE482" s="850"/>
      <c r="CF482" s="850"/>
      <c r="CG482" s="169" t="s">
        <v>957</v>
      </c>
      <c r="CH482" s="431"/>
      <c r="CI482" s="407"/>
      <c r="CJ482" s="23"/>
      <c r="CK482" s="417" t="s">
        <v>1044</v>
      </c>
      <c r="CL482" s="572"/>
      <c r="CM482" s="648"/>
      <c r="CN482" s="35"/>
      <c r="CO482" s="35"/>
      <c r="CP482" s="35"/>
      <c r="CQ482" s="35"/>
      <c r="CR482" s="406"/>
      <c r="CS482" s="648"/>
      <c r="CU482" s="23"/>
      <c r="CV482" s="23"/>
      <c r="CW482" s="23"/>
      <c r="CX482" s="23"/>
      <c r="DA482" s="431"/>
    </row>
    <row r="483" spans="1:105" s="128" customFormat="1" ht="12" customHeight="1" x14ac:dyDescent="0.2">
      <c r="A483" s="651"/>
      <c r="B483" s="537"/>
      <c r="C483" s="126" t="s">
        <v>1214</v>
      </c>
      <c r="D483" s="169" t="s">
        <v>422</v>
      </c>
      <c r="E483" s="647" t="s">
        <v>862</v>
      </c>
      <c r="F483" s="647"/>
      <c r="G483" s="98"/>
      <c r="H483" s="97"/>
      <c r="I483" s="166">
        <v>1999</v>
      </c>
      <c r="J483" s="571"/>
      <c r="K483" s="571"/>
      <c r="L483" s="493" t="s">
        <v>794</v>
      </c>
      <c r="M483" s="237" t="s">
        <v>17</v>
      </c>
      <c r="N483" s="493"/>
      <c r="O483" s="98" t="s">
        <v>21</v>
      </c>
      <c r="P483" s="98"/>
      <c r="Q483" s="98"/>
      <c r="R483" s="167"/>
      <c r="S483" s="167"/>
      <c r="T483" s="167"/>
      <c r="U483" s="393">
        <v>10599</v>
      </c>
      <c r="V483" s="694"/>
      <c r="W483" s="711"/>
      <c r="X483" s="167"/>
      <c r="Y483" s="446"/>
      <c r="Z483" s="446"/>
      <c r="AA483" s="446"/>
      <c r="AB483" s="446"/>
      <c r="AC483" s="446"/>
      <c r="AD483" s="446"/>
      <c r="AE483" s="446"/>
      <c r="AF483" s="446"/>
      <c r="AG483" s="446"/>
      <c r="AH483" s="446"/>
      <c r="AI483" s="446"/>
      <c r="AJ483" s="446"/>
      <c r="AK483" s="446"/>
      <c r="AL483" s="446"/>
      <c r="AM483" s="446"/>
      <c r="AN483" s="446"/>
      <c r="AO483" s="446"/>
      <c r="AP483" s="446"/>
      <c r="AQ483" s="446"/>
      <c r="AR483" s="446"/>
      <c r="AS483" s="446"/>
      <c r="AT483" s="446"/>
      <c r="AU483" s="446"/>
      <c r="AV483" s="446"/>
      <c r="AW483" s="446"/>
      <c r="AX483" s="446"/>
      <c r="AY483" s="446"/>
      <c r="AZ483" s="446"/>
      <c r="BA483" s="446"/>
      <c r="BB483" s="446"/>
      <c r="BC483" s="446"/>
      <c r="BD483" s="446"/>
      <c r="BE483" s="446"/>
      <c r="BF483" s="446"/>
      <c r="BG483" s="446"/>
      <c r="BH483" s="446"/>
      <c r="BI483" s="446"/>
      <c r="BJ483" s="446"/>
      <c r="BK483" s="446"/>
      <c r="BL483" s="446"/>
      <c r="BM483" s="446"/>
      <c r="BN483" s="446"/>
      <c r="BO483" s="446"/>
      <c r="BP483" s="446"/>
      <c r="BQ483" s="442">
        <v>36.9</v>
      </c>
      <c r="BR483" s="445">
        <v>4</v>
      </c>
      <c r="BS483" s="446"/>
      <c r="BT483" s="446"/>
      <c r="BU483" s="446"/>
      <c r="BV483" s="442"/>
      <c r="BW483" s="442"/>
      <c r="BX483" s="756"/>
      <c r="BY483" s="850"/>
      <c r="BZ483" s="850"/>
      <c r="CA483" s="850"/>
      <c r="CB483" s="850"/>
      <c r="CC483" s="850"/>
      <c r="CD483" s="850"/>
      <c r="CE483" s="850"/>
      <c r="CF483" s="850"/>
      <c r="CG483" s="169" t="s">
        <v>957</v>
      </c>
      <c r="CH483" s="431"/>
      <c r="CI483" s="407"/>
      <c r="CJ483" s="23"/>
      <c r="CK483" s="417" t="s">
        <v>1044</v>
      </c>
      <c r="CL483" s="572"/>
      <c r="CM483" s="648"/>
      <c r="CN483" s="35"/>
      <c r="CO483" s="35"/>
      <c r="CP483" s="35"/>
      <c r="CQ483" s="35"/>
      <c r="CR483" s="406"/>
      <c r="CS483" s="648"/>
      <c r="CU483" s="23"/>
      <c r="CV483" s="23"/>
      <c r="CW483" s="23"/>
      <c r="CX483" s="23"/>
      <c r="DA483" s="431"/>
    </row>
    <row r="484" spans="1:105" s="128" customFormat="1" ht="12" customHeight="1" x14ac:dyDescent="0.2">
      <c r="A484" s="651"/>
      <c r="B484" s="537"/>
      <c r="C484" s="126" t="s">
        <v>1214</v>
      </c>
      <c r="D484" s="169" t="s">
        <v>422</v>
      </c>
      <c r="E484" s="647" t="s">
        <v>807</v>
      </c>
      <c r="F484" s="647"/>
      <c r="G484" s="237"/>
      <c r="H484" s="186"/>
      <c r="I484" s="166">
        <v>2000</v>
      </c>
      <c r="J484" s="390"/>
      <c r="K484" s="390"/>
      <c r="L484" s="493" t="s">
        <v>824</v>
      </c>
      <c r="M484" s="237" t="s">
        <v>17</v>
      </c>
      <c r="N484" s="493"/>
      <c r="O484" s="98" t="s">
        <v>19</v>
      </c>
      <c r="P484" s="98"/>
      <c r="Q484" s="98"/>
      <c r="R484" s="167"/>
      <c r="S484" s="167"/>
      <c r="T484" s="167"/>
      <c r="U484" s="393">
        <v>314</v>
      </c>
      <c r="V484" s="694"/>
      <c r="W484" s="711"/>
      <c r="X484" s="254"/>
      <c r="Y484" s="446"/>
      <c r="Z484" s="446"/>
      <c r="AA484" s="446"/>
      <c r="AB484" s="446"/>
      <c r="AC484" s="446"/>
      <c r="AD484" s="446"/>
      <c r="AE484" s="446"/>
      <c r="AF484" s="446"/>
      <c r="AG484" s="446"/>
      <c r="AH484" s="446"/>
      <c r="AI484" s="446"/>
      <c r="AJ484" s="446"/>
      <c r="AK484" s="446"/>
      <c r="AL484" s="446"/>
      <c r="AM484" s="446"/>
      <c r="AN484" s="446"/>
      <c r="AO484" s="446"/>
      <c r="AP484" s="446"/>
      <c r="AQ484" s="446"/>
      <c r="AR484" s="446"/>
      <c r="AS484" s="446"/>
      <c r="AT484" s="446"/>
      <c r="AU484" s="446"/>
      <c r="AV484" s="446"/>
      <c r="AW484" s="446"/>
      <c r="AX484" s="446"/>
      <c r="AY484" s="446"/>
      <c r="AZ484" s="446"/>
      <c r="BA484" s="446"/>
      <c r="BB484" s="446"/>
      <c r="BC484" s="446"/>
      <c r="BD484" s="446"/>
      <c r="BE484" s="446"/>
      <c r="BF484" s="446"/>
      <c r="BG484" s="446"/>
      <c r="BH484" s="446"/>
      <c r="BI484" s="445"/>
      <c r="BJ484" s="446"/>
      <c r="BK484" s="446"/>
      <c r="BL484" s="446"/>
      <c r="BM484" s="446"/>
      <c r="BN484" s="446"/>
      <c r="BO484" s="446"/>
      <c r="BP484" s="446"/>
      <c r="BQ484" s="444"/>
      <c r="BR484" s="445"/>
      <c r="BS484" s="442">
        <v>10.6</v>
      </c>
      <c r="BT484" s="458"/>
      <c r="BU484" s="458"/>
      <c r="BV484" s="577"/>
      <c r="BW484" s="577"/>
      <c r="BX484" s="756"/>
      <c r="BY484" s="850"/>
      <c r="BZ484" s="850"/>
      <c r="CA484" s="850"/>
      <c r="CB484" s="850"/>
      <c r="CC484" s="850"/>
      <c r="CD484" s="850"/>
      <c r="CE484" s="850"/>
      <c r="CF484" s="850"/>
      <c r="CG484" s="169" t="s">
        <v>957</v>
      </c>
      <c r="CH484" s="431"/>
      <c r="CI484" s="407"/>
      <c r="CJ484" s="23"/>
      <c r="CK484" s="417" t="s">
        <v>1044</v>
      </c>
      <c r="CL484" s="572"/>
      <c r="CM484" s="648"/>
      <c r="CN484" s="35"/>
      <c r="CO484" s="35"/>
      <c r="CP484" s="35"/>
      <c r="CQ484" s="35"/>
      <c r="CR484" s="406"/>
      <c r="CS484" s="648"/>
      <c r="CU484" s="23"/>
      <c r="CV484" s="23"/>
      <c r="CW484" s="23"/>
      <c r="CX484" s="23"/>
      <c r="DA484" s="431"/>
    </row>
    <row r="485" spans="1:105" s="128" customFormat="1" ht="12" customHeight="1" x14ac:dyDescent="0.2">
      <c r="A485" s="651"/>
      <c r="B485" s="537"/>
      <c r="C485" s="126" t="s">
        <v>1214</v>
      </c>
      <c r="D485" s="169" t="s">
        <v>422</v>
      </c>
      <c r="E485" s="647" t="s">
        <v>821</v>
      </c>
      <c r="F485" s="647"/>
      <c r="G485" s="237"/>
      <c r="H485" s="186"/>
      <c r="I485" s="166">
        <v>2000</v>
      </c>
      <c r="J485" s="390"/>
      <c r="K485" s="390"/>
      <c r="L485" s="493" t="s">
        <v>794</v>
      </c>
      <c r="M485" s="98" t="s">
        <v>15</v>
      </c>
      <c r="N485" s="493"/>
      <c r="O485" s="98" t="s">
        <v>21</v>
      </c>
      <c r="P485" s="98"/>
      <c r="Q485" s="98"/>
      <c r="R485" s="167"/>
      <c r="S485" s="167"/>
      <c r="T485" s="167"/>
      <c r="U485" s="393">
        <v>734</v>
      </c>
      <c r="V485" s="694"/>
      <c r="W485" s="711"/>
      <c r="X485" s="254"/>
      <c r="Y485" s="446"/>
      <c r="Z485" s="446"/>
      <c r="AA485" s="446"/>
      <c r="AB485" s="446"/>
      <c r="AC485" s="446"/>
      <c r="AD485" s="446"/>
      <c r="AE485" s="446"/>
      <c r="AF485" s="446"/>
      <c r="AG485" s="446"/>
      <c r="AH485" s="446"/>
      <c r="AI485" s="446"/>
      <c r="AJ485" s="446"/>
      <c r="AK485" s="446"/>
      <c r="AL485" s="446"/>
      <c r="AM485" s="446"/>
      <c r="AN485" s="446"/>
      <c r="AO485" s="446"/>
      <c r="AP485" s="446"/>
      <c r="AQ485" s="446"/>
      <c r="AR485" s="446"/>
      <c r="AS485" s="446"/>
      <c r="AT485" s="446"/>
      <c r="AU485" s="446"/>
      <c r="AV485" s="446"/>
      <c r="AW485" s="446"/>
      <c r="AX485" s="446"/>
      <c r="AY485" s="446"/>
      <c r="AZ485" s="446"/>
      <c r="BA485" s="446"/>
      <c r="BB485" s="446"/>
      <c r="BC485" s="446"/>
      <c r="BD485" s="446"/>
      <c r="BE485" s="445"/>
      <c r="BF485" s="445"/>
      <c r="BG485" s="446"/>
      <c r="BH485" s="446"/>
      <c r="BI485" s="445">
        <v>10</v>
      </c>
      <c r="BJ485" s="445"/>
      <c r="BK485" s="445"/>
      <c r="BL485" s="445"/>
      <c r="BM485" s="445"/>
      <c r="BN485" s="445"/>
      <c r="BO485" s="445"/>
      <c r="BP485" s="445"/>
      <c r="BQ485" s="444"/>
      <c r="BR485" s="444"/>
      <c r="BS485" s="442">
        <v>45</v>
      </c>
      <c r="BT485" s="446"/>
      <c r="BU485" s="446"/>
      <c r="BV485" s="442"/>
      <c r="BW485" s="442"/>
      <c r="BX485" s="756"/>
      <c r="BY485" s="850"/>
      <c r="BZ485" s="850"/>
      <c r="CA485" s="850"/>
      <c r="CB485" s="850"/>
      <c r="CC485" s="850"/>
      <c r="CD485" s="850"/>
      <c r="CE485" s="850"/>
      <c r="CF485" s="850"/>
      <c r="CG485" s="169" t="s">
        <v>957</v>
      </c>
      <c r="CH485" s="431"/>
      <c r="CI485" s="407"/>
      <c r="CJ485" s="23"/>
      <c r="CK485" s="417" t="s">
        <v>1044</v>
      </c>
      <c r="CL485" s="572"/>
      <c r="CM485" s="648"/>
      <c r="CN485" s="35"/>
      <c r="CO485" s="35"/>
      <c r="CP485" s="35"/>
      <c r="CQ485" s="35"/>
      <c r="CR485" s="406"/>
      <c r="CS485" s="648"/>
      <c r="CU485" s="23"/>
      <c r="CV485" s="23"/>
      <c r="CW485" s="23"/>
      <c r="CX485" s="23"/>
      <c r="DA485" s="431"/>
    </row>
    <row r="486" spans="1:105" s="128" customFormat="1" ht="12" customHeight="1" x14ac:dyDescent="0.2">
      <c r="A486" s="651"/>
      <c r="B486" s="537"/>
      <c r="C486" s="126" t="s">
        <v>1214</v>
      </c>
      <c r="D486" s="169" t="s">
        <v>422</v>
      </c>
      <c r="E486" s="647" t="s">
        <v>823</v>
      </c>
      <c r="F486" s="647"/>
      <c r="G486" s="237"/>
      <c r="H486" s="186"/>
      <c r="I486" s="166">
        <v>2000</v>
      </c>
      <c r="J486" s="390"/>
      <c r="K486" s="390"/>
      <c r="L486" s="493"/>
      <c r="M486" s="98" t="s">
        <v>15</v>
      </c>
      <c r="N486" s="493"/>
      <c r="O486" s="98" t="s">
        <v>21</v>
      </c>
      <c r="P486" s="98"/>
      <c r="Q486" s="98"/>
      <c r="R486" s="167"/>
      <c r="S486" s="167"/>
      <c r="T486" s="167"/>
      <c r="U486" s="393">
        <v>1017</v>
      </c>
      <c r="V486" s="694"/>
      <c r="W486" s="711"/>
      <c r="X486" s="254"/>
      <c r="Y486" s="446"/>
      <c r="Z486" s="446"/>
      <c r="AA486" s="446"/>
      <c r="AB486" s="446"/>
      <c r="AC486" s="446"/>
      <c r="AD486" s="446"/>
      <c r="AE486" s="446"/>
      <c r="AF486" s="446"/>
      <c r="AG486" s="446"/>
      <c r="AH486" s="446"/>
      <c r="AI486" s="446"/>
      <c r="AJ486" s="446"/>
      <c r="AK486" s="446"/>
      <c r="AL486" s="446"/>
      <c r="AM486" s="446"/>
      <c r="AN486" s="446"/>
      <c r="AO486" s="446"/>
      <c r="AP486" s="446"/>
      <c r="AQ486" s="446"/>
      <c r="AR486" s="446"/>
      <c r="AS486" s="446"/>
      <c r="AT486" s="446"/>
      <c r="AU486" s="446"/>
      <c r="AV486" s="446"/>
      <c r="AW486" s="446"/>
      <c r="AX486" s="446"/>
      <c r="AY486" s="446"/>
      <c r="AZ486" s="446"/>
      <c r="BA486" s="446"/>
      <c r="BB486" s="446"/>
      <c r="BC486" s="446"/>
      <c r="BD486" s="446"/>
      <c r="BE486" s="445"/>
      <c r="BF486" s="445"/>
      <c r="BG486" s="446"/>
      <c r="BH486" s="446"/>
      <c r="BI486" s="445">
        <v>3</v>
      </c>
      <c r="BJ486" s="445"/>
      <c r="BK486" s="445"/>
      <c r="BL486" s="445"/>
      <c r="BM486" s="445"/>
      <c r="BN486" s="445"/>
      <c r="BO486" s="445"/>
      <c r="BP486" s="445"/>
      <c r="BQ486" s="444"/>
      <c r="BR486" s="444"/>
      <c r="BS486" s="446"/>
      <c r="BT486" s="446"/>
      <c r="BU486" s="446"/>
      <c r="BV486" s="442"/>
      <c r="BW486" s="442"/>
      <c r="BX486" s="756"/>
      <c r="BY486" s="850"/>
      <c r="BZ486" s="850"/>
      <c r="CA486" s="850"/>
      <c r="CB486" s="850"/>
      <c r="CC486" s="850"/>
      <c r="CD486" s="850"/>
      <c r="CE486" s="850"/>
      <c r="CF486" s="850"/>
      <c r="CG486" s="169" t="s">
        <v>957</v>
      </c>
      <c r="CH486" s="431"/>
      <c r="CI486" s="407"/>
      <c r="CJ486" s="23"/>
      <c r="CK486" s="417" t="s">
        <v>1044</v>
      </c>
      <c r="CL486" s="572"/>
      <c r="CM486" s="648"/>
      <c r="CN486" s="35"/>
      <c r="CO486" s="35"/>
      <c r="CP486" s="35"/>
      <c r="CQ486" s="35"/>
      <c r="CR486" s="406"/>
      <c r="CS486" s="648"/>
      <c r="CU486" s="23"/>
      <c r="CV486" s="23"/>
      <c r="CW486" s="23"/>
      <c r="CX486" s="23"/>
      <c r="DA486" s="431"/>
    </row>
    <row r="487" spans="1:105" s="128" customFormat="1" ht="12" customHeight="1" x14ac:dyDescent="0.2">
      <c r="A487" s="651"/>
      <c r="B487" s="537"/>
      <c r="C487" s="126" t="s">
        <v>1214</v>
      </c>
      <c r="D487" s="169" t="s">
        <v>422</v>
      </c>
      <c r="E487" s="647" t="s">
        <v>14</v>
      </c>
      <c r="F487" s="647"/>
      <c r="G487" s="98"/>
      <c r="H487" s="97"/>
      <c r="I487" s="166">
        <v>2000</v>
      </c>
      <c r="J487" s="571"/>
      <c r="K487" s="571"/>
      <c r="L487" s="493" t="s">
        <v>1123</v>
      </c>
      <c r="M487" s="98"/>
      <c r="N487" s="493"/>
      <c r="O487" s="247" t="s">
        <v>19</v>
      </c>
      <c r="P487" s="247"/>
      <c r="Q487" s="98"/>
      <c r="R487" s="167"/>
      <c r="S487" s="167"/>
      <c r="T487" s="167"/>
      <c r="U487" s="393"/>
      <c r="V487" s="694"/>
      <c r="W487" s="711"/>
      <c r="X487" s="167"/>
      <c r="Y487" s="446"/>
      <c r="Z487" s="446"/>
      <c r="AA487" s="446"/>
      <c r="AB487" s="446"/>
      <c r="AC487" s="446"/>
      <c r="AD487" s="446"/>
      <c r="AE487" s="446"/>
      <c r="AF487" s="446"/>
      <c r="AG487" s="446"/>
      <c r="AH487" s="446"/>
      <c r="AI487" s="446"/>
      <c r="AJ487" s="446"/>
      <c r="AK487" s="446"/>
      <c r="AL487" s="446"/>
      <c r="AM487" s="446"/>
      <c r="AN487" s="446"/>
      <c r="AO487" s="446"/>
      <c r="AP487" s="446"/>
      <c r="AQ487" s="446"/>
      <c r="AR487" s="446"/>
      <c r="AS487" s="446"/>
      <c r="AT487" s="446"/>
      <c r="AU487" s="446"/>
      <c r="AV487" s="446"/>
      <c r="AW487" s="446"/>
      <c r="AX487" s="446"/>
      <c r="AY487" s="446"/>
      <c r="AZ487" s="446"/>
      <c r="BA487" s="446"/>
      <c r="BB487" s="446"/>
      <c r="BC487" s="446"/>
      <c r="BD487" s="446"/>
      <c r="BE487" s="442"/>
      <c r="BF487" s="442"/>
      <c r="BG487" s="446"/>
      <c r="BH487" s="446"/>
      <c r="BI487" s="442">
        <v>22.1</v>
      </c>
      <c r="BJ487" s="442">
        <v>1.3</v>
      </c>
      <c r="BK487" s="442"/>
      <c r="BL487" s="442"/>
      <c r="BM487" s="442"/>
      <c r="BN487" s="442"/>
      <c r="BO487" s="442"/>
      <c r="BP487" s="442"/>
      <c r="BQ487" s="442">
        <v>24.8</v>
      </c>
      <c r="BR487" s="445">
        <v>1.5</v>
      </c>
      <c r="BS487" s="446"/>
      <c r="BT487" s="446"/>
      <c r="BU487" s="446"/>
      <c r="BV487" s="442"/>
      <c r="BW487" s="442"/>
      <c r="BX487" s="765"/>
      <c r="BY487" s="860"/>
      <c r="BZ487" s="860"/>
      <c r="CA487" s="860"/>
      <c r="CB487" s="860"/>
      <c r="CC487" s="860"/>
      <c r="CD487" s="860"/>
      <c r="CE487" s="860"/>
      <c r="CF487" s="860"/>
      <c r="CG487" s="169"/>
      <c r="CH487" s="433" t="s">
        <v>1049</v>
      </c>
      <c r="CI487" s="406"/>
      <c r="CJ487" s="23"/>
      <c r="CK487" s="426"/>
      <c r="CL487" s="572"/>
      <c r="CM487" s="648"/>
      <c r="CN487" s="35"/>
      <c r="CO487" s="35"/>
      <c r="CP487" s="35"/>
      <c r="CQ487" s="35"/>
      <c r="CR487" s="406"/>
      <c r="CS487" s="648"/>
      <c r="CU487" s="23"/>
      <c r="CV487" s="23"/>
      <c r="CW487" s="23"/>
      <c r="CX487" s="23"/>
      <c r="DA487" s="431"/>
    </row>
    <row r="488" spans="1:105" s="128" customFormat="1" ht="12" customHeight="1" x14ac:dyDescent="0.2">
      <c r="A488" s="651"/>
      <c r="B488" s="537"/>
      <c r="C488" s="126" t="s">
        <v>1214</v>
      </c>
      <c r="D488" s="169" t="s">
        <v>422</v>
      </c>
      <c r="E488" s="647" t="s">
        <v>793</v>
      </c>
      <c r="F488" s="647"/>
      <c r="G488" s="98"/>
      <c r="H488" s="97"/>
      <c r="I488" s="166">
        <v>2000</v>
      </c>
      <c r="J488" s="571"/>
      <c r="K488" s="571"/>
      <c r="L488" s="493" t="s">
        <v>248</v>
      </c>
      <c r="M488" s="98"/>
      <c r="N488" s="493"/>
      <c r="O488" s="247"/>
      <c r="P488" s="247"/>
      <c r="Q488" s="98"/>
      <c r="R488" s="167"/>
      <c r="S488" s="167"/>
      <c r="T488" s="167"/>
      <c r="U488" s="393">
        <v>2012</v>
      </c>
      <c r="V488" s="694"/>
      <c r="W488" s="711"/>
      <c r="X488" s="167"/>
      <c r="Y488" s="446"/>
      <c r="Z488" s="446"/>
      <c r="AA488" s="446"/>
      <c r="AB488" s="446"/>
      <c r="AC488" s="446"/>
      <c r="AD488" s="446"/>
      <c r="AE488" s="446"/>
      <c r="AF488" s="446"/>
      <c r="AG488" s="446"/>
      <c r="AH488" s="446"/>
      <c r="AI488" s="446"/>
      <c r="AJ488" s="446"/>
      <c r="AK488" s="446"/>
      <c r="AL488" s="446"/>
      <c r="AM488" s="446"/>
      <c r="AN488" s="446"/>
      <c r="AO488" s="446"/>
      <c r="AP488" s="446"/>
      <c r="AQ488" s="446"/>
      <c r="AR488" s="446"/>
      <c r="AS488" s="446"/>
      <c r="AT488" s="446"/>
      <c r="AU488" s="446"/>
      <c r="AV488" s="446"/>
      <c r="AW488" s="446"/>
      <c r="AX488" s="446"/>
      <c r="AY488" s="446"/>
      <c r="AZ488" s="446"/>
      <c r="BA488" s="446"/>
      <c r="BB488" s="446"/>
      <c r="BC488" s="446"/>
      <c r="BD488" s="446"/>
      <c r="BE488" s="444"/>
      <c r="BF488" s="444"/>
      <c r="BG488" s="446"/>
      <c r="BH488" s="446"/>
      <c r="BI488" s="444"/>
      <c r="BJ488" s="444"/>
      <c r="BK488" s="444"/>
      <c r="BL488" s="444"/>
      <c r="BM488" s="444"/>
      <c r="BN488" s="444"/>
      <c r="BO488" s="444"/>
      <c r="BP488" s="444"/>
      <c r="BQ488" s="444"/>
      <c r="BR488" s="444"/>
      <c r="BS488" s="442">
        <v>23.6</v>
      </c>
      <c r="BT488" s="446"/>
      <c r="BU488" s="446"/>
      <c r="BV488" s="442"/>
      <c r="BW488" s="442"/>
      <c r="BX488" s="756"/>
      <c r="BY488" s="850"/>
      <c r="BZ488" s="850"/>
      <c r="CA488" s="850"/>
      <c r="CB488" s="850"/>
      <c r="CC488" s="850"/>
      <c r="CD488" s="850"/>
      <c r="CE488" s="850"/>
      <c r="CF488" s="850"/>
      <c r="CG488" s="169" t="s">
        <v>957</v>
      </c>
      <c r="CH488" s="431"/>
      <c r="CI488" s="407"/>
      <c r="CJ488" s="23"/>
      <c r="CK488" s="417" t="s">
        <v>1044</v>
      </c>
      <c r="CL488" s="572"/>
      <c r="CM488" s="648"/>
      <c r="CN488" s="35"/>
      <c r="CO488" s="35"/>
      <c r="CP488" s="35"/>
      <c r="CQ488" s="35"/>
      <c r="CR488" s="406"/>
      <c r="CS488" s="648"/>
      <c r="CU488" s="23"/>
      <c r="CV488" s="23"/>
      <c r="CW488" s="23"/>
      <c r="CX488" s="23"/>
      <c r="DA488" s="431"/>
    </row>
    <row r="489" spans="1:105" s="128" customFormat="1" ht="12" customHeight="1" x14ac:dyDescent="0.2">
      <c r="A489" s="651"/>
      <c r="B489" s="537"/>
      <c r="C489" s="126" t="s">
        <v>1214</v>
      </c>
      <c r="D489" s="169" t="s">
        <v>422</v>
      </c>
      <c r="E489" s="647" t="s">
        <v>821</v>
      </c>
      <c r="F489" s="647"/>
      <c r="G489" s="237"/>
      <c r="H489" s="186"/>
      <c r="I489" s="166">
        <v>2001</v>
      </c>
      <c r="J489" s="390"/>
      <c r="K489" s="390"/>
      <c r="L489" s="493"/>
      <c r="M489" s="98"/>
      <c r="N489" s="493"/>
      <c r="O489" s="98" t="s">
        <v>20</v>
      </c>
      <c r="P489" s="98"/>
      <c r="Q489" s="98"/>
      <c r="R489" s="167"/>
      <c r="S489" s="167"/>
      <c r="T489" s="167"/>
      <c r="U489" s="393">
        <v>3408</v>
      </c>
      <c r="V489" s="694"/>
      <c r="W489" s="711"/>
      <c r="X489" s="254"/>
      <c r="Y489" s="446"/>
      <c r="Z489" s="446"/>
      <c r="AA489" s="446"/>
      <c r="AB489" s="446"/>
      <c r="AC489" s="446"/>
      <c r="AD489" s="446"/>
      <c r="AE489" s="446"/>
      <c r="AF489" s="446"/>
      <c r="AG489" s="446"/>
      <c r="AH489" s="446"/>
      <c r="AI489" s="446"/>
      <c r="AJ489" s="446"/>
      <c r="AK489" s="446"/>
      <c r="AL489" s="446"/>
      <c r="AM489" s="446"/>
      <c r="AN489" s="446"/>
      <c r="AO489" s="446"/>
      <c r="AP489" s="446"/>
      <c r="AQ489" s="446"/>
      <c r="AR489" s="446"/>
      <c r="AS489" s="446"/>
      <c r="AT489" s="446"/>
      <c r="AU489" s="446"/>
      <c r="AV489" s="446"/>
      <c r="AW489" s="446"/>
      <c r="AX489" s="446"/>
      <c r="AY489" s="446"/>
      <c r="AZ489" s="446"/>
      <c r="BA489" s="446"/>
      <c r="BB489" s="446"/>
      <c r="BC489" s="446"/>
      <c r="BD489" s="446"/>
      <c r="BE489" s="445"/>
      <c r="BF489" s="445"/>
      <c r="BG489" s="446"/>
      <c r="BH489" s="446"/>
      <c r="BI489" s="445">
        <v>6</v>
      </c>
      <c r="BJ489" s="445"/>
      <c r="BK489" s="445"/>
      <c r="BL489" s="445"/>
      <c r="BM489" s="445"/>
      <c r="BN489" s="445"/>
      <c r="BO489" s="445"/>
      <c r="BP489" s="445"/>
      <c r="BQ489" s="444"/>
      <c r="BR489" s="444"/>
      <c r="BS489" s="446"/>
      <c r="BT489" s="446"/>
      <c r="BU489" s="446"/>
      <c r="BV489" s="442"/>
      <c r="BW489" s="442"/>
      <c r="BX489" s="756"/>
      <c r="BY489" s="850"/>
      <c r="BZ489" s="850"/>
      <c r="CA489" s="850"/>
      <c r="CB489" s="850"/>
      <c r="CC489" s="850"/>
      <c r="CD489" s="850"/>
      <c r="CE489" s="850"/>
      <c r="CF489" s="850"/>
      <c r="CG489" s="169" t="s">
        <v>957</v>
      </c>
      <c r="CH489" s="431"/>
      <c r="CI489" s="407"/>
      <c r="CJ489" s="23"/>
      <c r="CK489" s="417" t="s">
        <v>1044</v>
      </c>
      <c r="CL489" s="572"/>
      <c r="CM489" s="430"/>
      <c r="CN489" s="137"/>
      <c r="CO489" s="137"/>
      <c r="CP489" s="137"/>
      <c r="CQ489" s="137"/>
      <c r="CR489" s="846"/>
      <c r="CS489" s="430"/>
      <c r="CU489" s="23"/>
      <c r="CV489" s="23"/>
      <c r="CW489" s="23"/>
      <c r="CX489" s="23"/>
      <c r="DA489" s="431"/>
    </row>
    <row r="490" spans="1:105" s="128" customFormat="1" ht="12" customHeight="1" x14ac:dyDescent="0.2">
      <c r="A490" s="651"/>
      <c r="B490" s="537"/>
      <c r="C490" s="126" t="s">
        <v>1214</v>
      </c>
      <c r="D490" s="169" t="s">
        <v>422</v>
      </c>
      <c r="E490" s="647" t="s">
        <v>860</v>
      </c>
      <c r="F490" s="647"/>
      <c r="G490" s="237"/>
      <c r="H490" s="186"/>
      <c r="I490" s="166">
        <v>2001</v>
      </c>
      <c r="J490" s="390"/>
      <c r="K490" s="390"/>
      <c r="L490" s="493" t="s">
        <v>794</v>
      </c>
      <c r="M490" s="98"/>
      <c r="N490" s="493"/>
      <c r="O490" s="98"/>
      <c r="P490" s="98"/>
      <c r="Q490" s="98"/>
      <c r="R490" s="167"/>
      <c r="S490" s="167"/>
      <c r="T490" s="167"/>
      <c r="U490" s="393">
        <v>1155</v>
      </c>
      <c r="V490" s="694"/>
      <c r="W490" s="711"/>
      <c r="X490" s="254"/>
      <c r="Y490" s="446"/>
      <c r="Z490" s="446"/>
      <c r="AA490" s="446"/>
      <c r="AB490" s="446"/>
      <c r="AC490" s="446"/>
      <c r="AD490" s="446"/>
      <c r="AE490" s="446"/>
      <c r="AF490" s="446"/>
      <c r="AG490" s="446"/>
      <c r="AH490" s="446"/>
      <c r="AI490" s="446"/>
      <c r="AJ490" s="446"/>
      <c r="AK490" s="446"/>
      <c r="AL490" s="446"/>
      <c r="AM490" s="446"/>
      <c r="AN490" s="446"/>
      <c r="AO490" s="446"/>
      <c r="AP490" s="446"/>
      <c r="AQ490" s="446"/>
      <c r="AR490" s="446"/>
      <c r="AS490" s="446"/>
      <c r="AT490" s="446"/>
      <c r="AU490" s="446"/>
      <c r="AV490" s="446"/>
      <c r="AW490" s="446"/>
      <c r="AX490" s="446"/>
      <c r="AY490" s="446"/>
      <c r="AZ490" s="446"/>
      <c r="BA490" s="446"/>
      <c r="BB490" s="446"/>
      <c r="BC490" s="446"/>
      <c r="BD490" s="446"/>
      <c r="BE490" s="445"/>
      <c r="BF490" s="445"/>
      <c r="BG490" s="446"/>
      <c r="BH490" s="446"/>
      <c r="BI490" s="445">
        <v>10.7</v>
      </c>
      <c r="BJ490" s="445"/>
      <c r="BK490" s="445"/>
      <c r="BL490" s="445"/>
      <c r="BM490" s="445"/>
      <c r="BN490" s="445"/>
      <c r="BO490" s="445"/>
      <c r="BP490" s="445"/>
      <c r="BQ490" s="444"/>
      <c r="BR490" s="444"/>
      <c r="BS490" s="446"/>
      <c r="BT490" s="446"/>
      <c r="BU490" s="446"/>
      <c r="BV490" s="442"/>
      <c r="BW490" s="442"/>
      <c r="BX490" s="756"/>
      <c r="BY490" s="850"/>
      <c r="BZ490" s="850"/>
      <c r="CA490" s="850"/>
      <c r="CB490" s="850"/>
      <c r="CC490" s="850"/>
      <c r="CD490" s="850"/>
      <c r="CE490" s="850"/>
      <c r="CF490" s="850"/>
      <c r="CG490" s="169" t="s">
        <v>957</v>
      </c>
      <c r="CH490" s="431"/>
      <c r="CI490" s="407"/>
      <c r="CJ490" s="23"/>
      <c r="CK490" s="417" t="s">
        <v>1044</v>
      </c>
      <c r="CL490" s="572"/>
      <c r="CM490" s="430"/>
      <c r="CN490" s="137"/>
      <c r="CO490" s="137"/>
      <c r="CP490" s="137"/>
      <c r="CQ490" s="137"/>
      <c r="CR490" s="846"/>
      <c r="CS490" s="430"/>
      <c r="CU490" s="23"/>
      <c r="CV490" s="23"/>
      <c r="CW490" s="23"/>
      <c r="CX490" s="23"/>
      <c r="DA490" s="431"/>
    </row>
    <row r="491" spans="1:105" s="128" customFormat="1" ht="12" customHeight="1" x14ac:dyDescent="0.2">
      <c r="A491" s="651"/>
      <c r="B491" s="537"/>
      <c r="C491" s="126" t="s">
        <v>1214</v>
      </c>
      <c r="D491" s="169" t="s">
        <v>422</v>
      </c>
      <c r="E491" s="647" t="s">
        <v>1114</v>
      </c>
      <c r="F491" s="647"/>
      <c r="G491" s="237"/>
      <c r="H491" s="186"/>
      <c r="I491" s="166">
        <v>2001</v>
      </c>
      <c r="J491" s="390"/>
      <c r="K491" s="390"/>
      <c r="L491" s="493" t="s">
        <v>794</v>
      </c>
      <c r="M491" s="237"/>
      <c r="N491" s="493"/>
      <c r="O491" s="98" t="s">
        <v>88</v>
      </c>
      <c r="P491" s="98"/>
      <c r="Q491" s="98"/>
      <c r="R491" s="167"/>
      <c r="S491" s="167"/>
      <c r="T491" s="167"/>
      <c r="U491" s="393">
        <v>375</v>
      </c>
      <c r="V491" s="694"/>
      <c r="W491" s="711"/>
      <c r="X491" s="254"/>
      <c r="Y491" s="446"/>
      <c r="Z491" s="446"/>
      <c r="AA491" s="446"/>
      <c r="AB491" s="446"/>
      <c r="AC491" s="446"/>
      <c r="AD491" s="446"/>
      <c r="AE491" s="446"/>
      <c r="AF491" s="446"/>
      <c r="AG491" s="446"/>
      <c r="AH491" s="446"/>
      <c r="AI491" s="446"/>
      <c r="AJ491" s="446"/>
      <c r="AK491" s="446"/>
      <c r="AL491" s="446"/>
      <c r="AM491" s="446"/>
      <c r="AN491" s="446"/>
      <c r="AO491" s="446"/>
      <c r="AP491" s="446"/>
      <c r="AQ491" s="446"/>
      <c r="AR491" s="446"/>
      <c r="AS491" s="446"/>
      <c r="AT491" s="446"/>
      <c r="AU491" s="446"/>
      <c r="AV491" s="446"/>
      <c r="AW491" s="446"/>
      <c r="AX491" s="446"/>
      <c r="AY491" s="446"/>
      <c r="AZ491" s="446"/>
      <c r="BA491" s="446"/>
      <c r="BB491" s="446"/>
      <c r="BC491" s="446"/>
      <c r="BD491" s="446"/>
      <c r="BE491" s="445"/>
      <c r="BF491" s="445"/>
      <c r="BG491" s="446"/>
      <c r="BH491" s="446"/>
      <c r="BI491" s="445">
        <v>15.5</v>
      </c>
      <c r="BJ491" s="445"/>
      <c r="BK491" s="445"/>
      <c r="BL491" s="445"/>
      <c r="BM491" s="445"/>
      <c r="BN491" s="445"/>
      <c r="BO491" s="445"/>
      <c r="BP491" s="445"/>
      <c r="BQ491" s="444"/>
      <c r="BR491" s="444"/>
      <c r="BS491" s="442">
        <v>37.6</v>
      </c>
      <c r="BT491" s="446"/>
      <c r="BU491" s="446"/>
      <c r="BV491" s="442"/>
      <c r="BW491" s="442"/>
      <c r="BX491" s="756"/>
      <c r="BY491" s="850"/>
      <c r="BZ491" s="850"/>
      <c r="CA491" s="850"/>
      <c r="CB491" s="850"/>
      <c r="CC491" s="850"/>
      <c r="CD491" s="850"/>
      <c r="CE491" s="850"/>
      <c r="CF491" s="850"/>
      <c r="CG491" s="169" t="s">
        <v>957</v>
      </c>
      <c r="CH491" s="431"/>
      <c r="CI491" s="407"/>
      <c r="CJ491" s="23"/>
      <c r="CK491" s="417" t="s">
        <v>1044</v>
      </c>
      <c r="CL491" s="572"/>
      <c r="CM491" s="648"/>
      <c r="CN491" s="35"/>
      <c r="CO491" s="35"/>
      <c r="CP491" s="35"/>
      <c r="CQ491" s="35"/>
      <c r="CR491" s="406"/>
      <c r="CS491" s="648"/>
      <c r="CU491" s="23"/>
      <c r="CV491" s="23"/>
      <c r="CW491" s="23"/>
      <c r="CX491" s="23"/>
      <c r="DA491" s="431"/>
    </row>
    <row r="492" spans="1:105" s="128" customFormat="1" ht="12" customHeight="1" x14ac:dyDescent="0.2">
      <c r="A492" s="651"/>
      <c r="B492" s="537"/>
      <c r="C492" s="126" t="s">
        <v>1214</v>
      </c>
      <c r="D492" s="169" t="s">
        <v>422</v>
      </c>
      <c r="E492" s="647"/>
      <c r="F492" s="647"/>
      <c r="G492" s="98"/>
      <c r="H492" s="97"/>
      <c r="I492" s="166">
        <v>2001</v>
      </c>
      <c r="J492" s="571"/>
      <c r="K492" s="571"/>
      <c r="L492" s="493" t="s">
        <v>783</v>
      </c>
      <c r="M492" s="98"/>
      <c r="N492" s="494" t="s">
        <v>783</v>
      </c>
      <c r="O492" s="98" t="s">
        <v>229</v>
      </c>
      <c r="P492" s="98"/>
      <c r="Q492" s="98"/>
      <c r="R492" s="167"/>
      <c r="S492" s="167"/>
      <c r="T492" s="167"/>
      <c r="U492" s="393">
        <v>1821</v>
      </c>
      <c r="V492" s="694"/>
      <c r="W492" s="711"/>
      <c r="X492" s="167"/>
      <c r="Y492" s="446"/>
      <c r="Z492" s="446"/>
      <c r="AA492" s="446"/>
      <c r="AB492" s="446"/>
      <c r="AC492" s="446"/>
      <c r="AD492" s="446"/>
      <c r="AE492" s="446"/>
      <c r="AF492" s="446"/>
      <c r="AG492" s="446"/>
      <c r="AH492" s="446"/>
      <c r="AI492" s="446"/>
      <c r="AJ492" s="446"/>
      <c r="AK492" s="446"/>
      <c r="AL492" s="446"/>
      <c r="AM492" s="446"/>
      <c r="AN492" s="446"/>
      <c r="AO492" s="446"/>
      <c r="AP492" s="446"/>
      <c r="AQ492" s="446"/>
      <c r="AR492" s="446"/>
      <c r="AS492" s="446"/>
      <c r="AT492" s="446"/>
      <c r="AU492" s="446"/>
      <c r="AV492" s="446"/>
      <c r="AW492" s="446"/>
      <c r="AX492" s="446"/>
      <c r="AY492" s="446"/>
      <c r="AZ492" s="446"/>
      <c r="BA492" s="446"/>
      <c r="BB492" s="446"/>
      <c r="BC492" s="446"/>
      <c r="BD492" s="446"/>
      <c r="BE492" s="444"/>
      <c r="BF492" s="444"/>
      <c r="BG492" s="446"/>
      <c r="BH492" s="446"/>
      <c r="BI492" s="444"/>
      <c r="BJ492" s="444"/>
      <c r="BK492" s="444"/>
      <c r="BL492" s="444"/>
      <c r="BM492" s="444"/>
      <c r="BN492" s="444"/>
      <c r="BO492" s="444"/>
      <c r="BP492" s="444"/>
      <c r="BQ492" s="444"/>
      <c r="BR492" s="444"/>
      <c r="BS492" s="442">
        <v>19.100000000000001</v>
      </c>
      <c r="BT492" s="446"/>
      <c r="BU492" s="446"/>
      <c r="BV492" s="442"/>
      <c r="BW492" s="442"/>
      <c r="BX492" s="756"/>
      <c r="BY492" s="850"/>
      <c r="BZ492" s="850"/>
      <c r="CA492" s="850"/>
      <c r="CB492" s="850"/>
      <c r="CC492" s="850"/>
      <c r="CD492" s="850"/>
      <c r="CE492" s="850"/>
      <c r="CF492" s="850"/>
      <c r="CG492" s="169" t="s">
        <v>957</v>
      </c>
      <c r="CH492" s="431"/>
      <c r="CI492" s="407"/>
      <c r="CJ492" s="23"/>
      <c r="CK492" s="417" t="s">
        <v>1044</v>
      </c>
      <c r="CL492" s="572"/>
      <c r="CM492" s="430"/>
      <c r="CN492" s="137"/>
      <c r="CO492" s="137"/>
      <c r="CP492" s="137"/>
      <c r="CQ492" s="137"/>
      <c r="CR492" s="846"/>
      <c r="CS492" s="430"/>
      <c r="CU492" s="23"/>
      <c r="CV492" s="23"/>
      <c r="CW492" s="23"/>
      <c r="CX492" s="23"/>
      <c r="DA492" s="431"/>
    </row>
    <row r="493" spans="1:105" s="128" customFormat="1" ht="12" customHeight="1" x14ac:dyDescent="0.2">
      <c r="A493" s="651"/>
      <c r="B493" s="537"/>
      <c r="C493" s="126" t="s">
        <v>1214</v>
      </c>
      <c r="D493" s="169" t="s">
        <v>422</v>
      </c>
      <c r="E493" s="647"/>
      <c r="F493" s="647"/>
      <c r="G493" s="98"/>
      <c r="H493" s="97"/>
      <c r="I493" s="166">
        <v>2002</v>
      </c>
      <c r="J493" s="571"/>
      <c r="K493" s="571"/>
      <c r="L493" s="493" t="s">
        <v>783</v>
      </c>
      <c r="M493" s="98"/>
      <c r="N493" s="494" t="s">
        <v>783</v>
      </c>
      <c r="O493" s="98"/>
      <c r="P493" s="98"/>
      <c r="Q493" s="98"/>
      <c r="R493" s="167"/>
      <c r="S493" s="167"/>
      <c r="T493" s="167"/>
      <c r="U493" s="393">
        <v>6790</v>
      </c>
      <c r="V493" s="694"/>
      <c r="W493" s="711"/>
      <c r="X493" s="167"/>
      <c r="Y493" s="446"/>
      <c r="Z493" s="446"/>
      <c r="AA493" s="446"/>
      <c r="AB493" s="446"/>
      <c r="AC493" s="446"/>
      <c r="AD493" s="446"/>
      <c r="AE493" s="446"/>
      <c r="AF493" s="446"/>
      <c r="AG493" s="446"/>
      <c r="AH493" s="446"/>
      <c r="AI493" s="446"/>
      <c r="AJ493" s="446"/>
      <c r="AK493" s="446"/>
      <c r="AL493" s="446"/>
      <c r="AM493" s="446"/>
      <c r="AN493" s="446"/>
      <c r="AO493" s="446"/>
      <c r="AP493" s="446"/>
      <c r="AQ493" s="446"/>
      <c r="AR493" s="446"/>
      <c r="AS493" s="446"/>
      <c r="AT493" s="446"/>
      <c r="AU493" s="446"/>
      <c r="AV493" s="446"/>
      <c r="AW493" s="446"/>
      <c r="AX493" s="446"/>
      <c r="AY493" s="446"/>
      <c r="AZ493" s="446"/>
      <c r="BA493" s="446"/>
      <c r="BB493" s="446"/>
      <c r="BC493" s="446"/>
      <c r="BD493" s="446"/>
      <c r="BE493" s="444"/>
      <c r="BF493" s="444"/>
      <c r="BG493" s="446"/>
      <c r="BH493" s="446"/>
      <c r="BI493" s="444"/>
      <c r="BJ493" s="444"/>
      <c r="BK493" s="444"/>
      <c r="BL493" s="444"/>
      <c r="BM493" s="444"/>
      <c r="BN493" s="444"/>
      <c r="BO493" s="444"/>
      <c r="BP493" s="444"/>
      <c r="BQ493" s="444"/>
      <c r="BR493" s="444"/>
      <c r="BS493" s="442">
        <v>13.3</v>
      </c>
      <c r="BT493" s="446"/>
      <c r="BU493" s="446"/>
      <c r="BV493" s="442"/>
      <c r="BW493" s="442"/>
      <c r="BX493" s="756"/>
      <c r="BY493" s="850"/>
      <c r="BZ493" s="850"/>
      <c r="CA493" s="850"/>
      <c r="CB493" s="850"/>
      <c r="CC493" s="850"/>
      <c r="CD493" s="850"/>
      <c r="CE493" s="850"/>
      <c r="CF493" s="850"/>
      <c r="CG493" s="169" t="s">
        <v>957</v>
      </c>
      <c r="CH493" s="431"/>
      <c r="CI493" s="407"/>
      <c r="CJ493" s="23"/>
      <c r="CK493" s="417" t="s">
        <v>1044</v>
      </c>
      <c r="CL493" s="572"/>
      <c r="CM493" s="648"/>
      <c r="CN493" s="35"/>
      <c r="CO493" s="35"/>
      <c r="CP493" s="35"/>
      <c r="CQ493" s="35"/>
      <c r="CR493" s="406"/>
      <c r="CS493" s="648"/>
      <c r="CU493" s="23"/>
      <c r="CV493" s="23"/>
      <c r="CW493" s="23"/>
      <c r="CX493" s="23"/>
      <c r="DA493" s="431"/>
    </row>
    <row r="494" spans="1:105" s="128" customFormat="1" ht="12" customHeight="1" x14ac:dyDescent="0.2">
      <c r="A494" s="651"/>
      <c r="B494" s="537"/>
      <c r="C494" s="126" t="s">
        <v>1214</v>
      </c>
      <c r="D494" s="169" t="s">
        <v>422</v>
      </c>
      <c r="E494" s="647" t="s">
        <v>792</v>
      </c>
      <c r="F494" s="647"/>
      <c r="G494" s="98"/>
      <c r="H494" s="97"/>
      <c r="I494" s="166">
        <v>2003</v>
      </c>
      <c r="J494" s="571"/>
      <c r="K494" s="571"/>
      <c r="L494" s="493" t="s">
        <v>783</v>
      </c>
      <c r="M494" s="98" t="s">
        <v>15</v>
      </c>
      <c r="N494" s="494" t="s">
        <v>783</v>
      </c>
      <c r="O494" s="98"/>
      <c r="P494" s="98"/>
      <c r="Q494" s="98"/>
      <c r="R494" s="167"/>
      <c r="S494" s="167"/>
      <c r="T494" s="167"/>
      <c r="U494" s="393">
        <v>689</v>
      </c>
      <c r="V494" s="694"/>
      <c r="W494" s="711"/>
      <c r="X494" s="167"/>
      <c r="Y494" s="446"/>
      <c r="Z494" s="446"/>
      <c r="AA494" s="446"/>
      <c r="AB494" s="446"/>
      <c r="AC494" s="446"/>
      <c r="AD494" s="446"/>
      <c r="AE494" s="446"/>
      <c r="AF494" s="446"/>
      <c r="AG494" s="446"/>
      <c r="AH494" s="446"/>
      <c r="AI494" s="446"/>
      <c r="AJ494" s="446"/>
      <c r="AK494" s="446"/>
      <c r="AL494" s="446"/>
      <c r="AM494" s="446"/>
      <c r="AN494" s="446"/>
      <c r="AO494" s="446"/>
      <c r="AP494" s="446"/>
      <c r="AQ494" s="446"/>
      <c r="AR494" s="446"/>
      <c r="AS494" s="446"/>
      <c r="AT494" s="446"/>
      <c r="AU494" s="446"/>
      <c r="AV494" s="446"/>
      <c r="AW494" s="446"/>
      <c r="AX494" s="446"/>
      <c r="AY494" s="446"/>
      <c r="AZ494" s="446"/>
      <c r="BA494" s="446"/>
      <c r="BB494" s="446"/>
      <c r="BC494" s="446"/>
      <c r="BD494" s="446"/>
      <c r="BE494" s="445"/>
      <c r="BF494" s="445"/>
      <c r="BG494" s="446"/>
      <c r="BH494" s="446"/>
      <c r="BI494" s="445">
        <v>2.9</v>
      </c>
      <c r="BJ494" s="445"/>
      <c r="BK494" s="445"/>
      <c r="BL494" s="445"/>
      <c r="BM494" s="445"/>
      <c r="BN494" s="445"/>
      <c r="BO494" s="445"/>
      <c r="BP494" s="445"/>
      <c r="BQ494" s="444"/>
      <c r="BR494" s="444"/>
      <c r="BS494" s="446"/>
      <c r="BT494" s="446"/>
      <c r="BU494" s="446"/>
      <c r="BV494" s="442"/>
      <c r="BW494" s="442"/>
      <c r="BX494" s="756"/>
      <c r="BY494" s="850"/>
      <c r="BZ494" s="850"/>
      <c r="CA494" s="850"/>
      <c r="CB494" s="850"/>
      <c r="CC494" s="850"/>
      <c r="CD494" s="850"/>
      <c r="CE494" s="850"/>
      <c r="CF494" s="850"/>
      <c r="CG494" s="169" t="s">
        <v>957</v>
      </c>
      <c r="CH494" s="431"/>
      <c r="CI494" s="407"/>
      <c r="CJ494" s="23"/>
      <c r="CK494" s="417" t="s">
        <v>1044</v>
      </c>
      <c r="CL494" s="572"/>
      <c r="CM494" s="648"/>
      <c r="CN494" s="35"/>
      <c r="CO494" s="35"/>
      <c r="CP494" s="35"/>
      <c r="CQ494" s="35"/>
      <c r="CR494" s="406"/>
      <c r="CS494" s="648"/>
      <c r="CU494" s="23"/>
      <c r="CV494" s="23"/>
      <c r="CW494" s="23"/>
      <c r="CX494" s="23"/>
      <c r="DA494" s="431"/>
    </row>
    <row r="495" spans="1:105" s="128" customFormat="1" ht="12" customHeight="1" x14ac:dyDescent="0.2">
      <c r="A495" s="651"/>
      <c r="B495" s="537"/>
      <c r="C495" s="126" t="s">
        <v>1214</v>
      </c>
      <c r="D495" s="169" t="s">
        <v>422</v>
      </c>
      <c r="E495" s="647" t="s">
        <v>793</v>
      </c>
      <c r="F495" s="647"/>
      <c r="G495" s="98"/>
      <c r="H495" s="97"/>
      <c r="I495" s="166">
        <v>2003</v>
      </c>
      <c r="J495" s="571"/>
      <c r="K495" s="571"/>
      <c r="L495" s="493" t="s">
        <v>796</v>
      </c>
      <c r="M495" s="98" t="s">
        <v>15</v>
      </c>
      <c r="N495" s="493"/>
      <c r="O495" s="98" t="s">
        <v>756</v>
      </c>
      <c r="P495" s="98"/>
      <c r="Q495" s="98"/>
      <c r="R495" s="167"/>
      <c r="S495" s="167"/>
      <c r="T495" s="167"/>
      <c r="U495" s="393">
        <v>3527</v>
      </c>
      <c r="V495" s="694"/>
      <c r="W495" s="711"/>
      <c r="X495" s="167"/>
      <c r="Y495" s="446"/>
      <c r="Z495" s="446"/>
      <c r="AA495" s="446"/>
      <c r="AB495" s="446"/>
      <c r="AC495" s="446"/>
      <c r="AD495" s="446"/>
      <c r="AE495" s="446"/>
      <c r="AF495" s="446"/>
      <c r="AG495" s="446"/>
      <c r="AH495" s="446"/>
      <c r="AI495" s="446"/>
      <c r="AJ495" s="446"/>
      <c r="AK495" s="446"/>
      <c r="AL495" s="446"/>
      <c r="AM495" s="446"/>
      <c r="AN495" s="446"/>
      <c r="AO495" s="446"/>
      <c r="AP495" s="446"/>
      <c r="AQ495" s="446"/>
      <c r="AR495" s="446"/>
      <c r="AS495" s="446"/>
      <c r="AT495" s="446"/>
      <c r="AU495" s="446"/>
      <c r="AV495" s="446"/>
      <c r="AW495" s="446"/>
      <c r="AX495" s="446"/>
      <c r="AY495" s="446"/>
      <c r="AZ495" s="446"/>
      <c r="BA495" s="446"/>
      <c r="BB495" s="446"/>
      <c r="BC495" s="446"/>
      <c r="BD495" s="446"/>
      <c r="BE495" s="445"/>
      <c r="BF495" s="445"/>
      <c r="BG495" s="446"/>
      <c r="BH495" s="446"/>
      <c r="BI495" s="445">
        <v>1.9</v>
      </c>
      <c r="BJ495" s="445"/>
      <c r="BK495" s="445"/>
      <c r="BL495" s="445"/>
      <c r="BM495" s="445"/>
      <c r="BN495" s="445"/>
      <c r="BO495" s="445"/>
      <c r="BP495" s="445"/>
      <c r="BQ495" s="444"/>
      <c r="BR495" s="444"/>
      <c r="BS495" s="446"/>
      <c r="BT495" s="446"/>
      <c r="BU495" s="446"/>
      <c r="BV495" s="442"/>
      <c r="BW495" s="442"/>
      <c r="BX495" s="756"/>
      <c r="BY495" s="850"/>
      <c r="BZ495" s="850"/>
      <c r="CA495" s="850"/>
      <c r="CB495" s="850"/>
      <c r="CC495" s="850"/>
      <c r="CD495" s="850"/>
      <c r="CE495" s="850"/>
      <c r="CF495" s="850"/>
      <c r="CG495" s="169" t="s">
        <v>957</v>
      </c>
      <c r="CH495" s="431"/>
      <c r="CI495" s="407"/>
      <c r="CJ495" s="23"/>
      <c r="CK495" s="417" t="s">
        <v>1044</v>
      </c>
      <c r="CL495" s="572"/>
      <c r="CM495" s="648"/>
      <c r="CN495" s="35"/>
      <c r="CO495" s="35"/>
      <c r="CP495" s="35"/>
      <c r="CQ495" s="35"/>
      <c r="CR495" s="406"/>
      <c r="CS495" s="648"/>
      <c r="CU495" s="23"/>
      <c r="CV495" s="23"/>
      <c r="CW495" s="23"/>
      <c r="CX495" s="23"/>
      <c r="DA495" s="431"/>
    </row>
    <row r="496" spans="1:105" s="128" customFormat="1" ht="12" customHeight="1" x14ac:dyDescent="0.2">
      <c r="A496" s="651"/>
      <c r="B496" s="537"/>
      <c r="C496" s="126" t="s">
        <v>1214</v>
      </c>
      <c r="D496" s="169" t="s">
        <v>422</v>
      </c>
      <c r="E496" s="647"/>
      <c r="F496" s="647"/>
      <c r="G496" s="237"/>
      <c r="H496" s="186"/>
      <c r="I496" s="166">
        <v>2005</v>
      </c>
      <c r="J496" s="390"/>
      <c r="K496" s="390"/>
      <c r="L496" s="493"/>
      <c r="M496" s="237"/>
      <c r="N496" s="493"/>
      <c r="O496" s="98"/>
      <c r="P496" s="98"/>
      <c r="Q496" s="237"/>
      <c r="R496" s="254"/>
      <c r="S496" s="254"/>
      <c r="T496" s="254"/>
      <c r="U496" s="393">
        <v>637</v>
      </c>
      <c r="V496" s="694"/>
      <c r="W496" s="711"/>
      <c r="X496" s="254"/>
      <c r="Y496" s="446"/>
      <c r="Z496" s="446"/>
      <c r="AA496" s="446"/>
      <c r="AB496" s="446"/>
      <c r="AC496" s="446"/>
      <c r="AD496" s="446"/>
      <c r="AE496" s="446"/>
      <c r="AF496" s="446"/>
      <c r="AG496" s="446"/>
      <c r="AH496" s="446"/>
      <c r="AI496" s="446"/>
      <c r="AJ496" s="446"/>
      <c r="AK496" s="446"/>
      <c r="AL496" s="446"/>
      <c r="AM496" s="446"/>
      <c r="AN496" s="446"/>
      <c r="AO496" s="446"/>
      <c r="AP496" s="446"/>
      <c r="AQ496" s="446"/>
      <c r="AR496" s="446"/>
      <c r="AS496" s="446"/>
      <c r="AT496" s="446"/>
      <c r="AU496" s="446"/>
      <c r="AV496" s="446"/>
      <c r="AW496" s="446"/>
      <c r="AX496" s="446"/>
      <c r="AY496" s="446"/>
      <c r="AZ496" s="446"/>
      <c r="BA496" s="446"/>
      <c r="BB496" s="446"/>
      <c r="BC496" s="446"/>
      <c r="BD496" s="446"/>
      <c r="BE496" s="442"/>
      <c r="BF496" s="442"/>
      <c r="BG496" s="446"/>
      <c r="BH496" s="446"/>
      <c r="BI496" s="442"/>
      <c r="BJ496" s="442"/>
      <c r="BK496" s="442"/>
      <c r="BL496" s="442"/>
      <c r="BM496" s="442"/>
      <c r="BN496" s="442"/>
      <c r="BO496" s="442"/>
      <c r="BP496" s="442"/>
      <c r="BQ496" s="442"/>
      <c r="BR496" s="442"/>
      <c r="BS496" s="442">
        <v>16</v>
      </c>
      <c r="BT496" s="446"/>
      <c r="BU496" s="446"/>
      <c r="BV496" s="442"/>
      <c r="BW496" s="442"/>
      <c r="BX496" s="756"/>
      <c r="BY496" s="850"/>
      <c r="BZ496" s="850"/>
      <c r="CA496" s="850"/>
      <c r="CB496" s="850"/>
      <c r="CC496" s="850"/>
      <c r="CD496" s="850"/>
      <c r="CE496" s="850"/>
      <c r="CF496" s="850"/>
      <c r="CG496" s="169" t="s">
        <v>957</v>
      </c>
      <c r="CH496" s="419"/>
      <c r="CI496" s="409"/>
      <c r="CJ496" s="23"/>
      <c r="CK496" s="648" t="s">
        <v>1184</v>
      </c>
      <c r="CL496" s="572"/>
      <c r="CM496" s="431"/>
      <c r="CR496" s="406"/>
      <c r="CS496" s="431"/>
      <c r="CU496" s="23"/>
      <c r="CV496" s="23"/>
      <c r="CW496" s="23"/>
      <c r="CX496" s="23"/>
      <c r="DA496" s="431"/>
    </row>
    <row r="497" spans="1:105" s="128" customFormat="1" ht="12" customHeight="1" x14ac:dyDescent="0.2">
      <c r="A497" s="651"/>
      <c r="B497" s="537"/>
      <c r="C497" s="126" t="s">
        <v>1214</v>
      </c>
      <c r="D497" s="169" t="s">
        <v>422</v>
      </c>
      <c r="E497" s="647" t="s">
        <v>855</v>
      </c>
      <c r="F497" s="647"/>
      <c r="G497" s="98"/>
      <c r="H497" s="97"/>
      <c r="I497" s="166">
        <v>2006</v>
      </c>
      <c r="J497" s="571"/>
      <c r="K497" s="571"/>
      <c r="L497" s="493"/>
      <c r="M497" s="98" t="s">
        <v>17</v>
      </c>
      <c r="N497" s="493"/>
      <c r="O497" s="98"/>
      <c r="P497" s="98"/>
      <c r="Q497" s="98"/>
      <c r="R497" s="167"/>
      <c r="S497" s="167"/>
      <c r="T497" s="167"/>
      <c r="U497" s="393">
        <v>112</v>
      </c>
      <c r="V497" s="694"/>
      <c r="W497" s="711"/>
      <c r="X497" s="167"/>
      <c r="Y497" s="446"/>
      <c r="Z497" s="446"/>
      <c r="AA497" s="446"/>
      <c r="AB497" s="446"/>
      <c r="AC497" s="446"/>
      <c r="AD497" s="446"/>
      <c r="AE497" s="446"/>
      <c r="AF497" s="446"/>
      <c r="AG497" s="446"/>
      <c r="AH497" s="446"/>
      <c r="AI497" s="446"/>
      <c r="AJ497" s="446"/>
      <c r="AK497" s="446"/>
      <c r="AL497" s="446"/>
      <c r="AM497" s="446"/>
      <c r="AN497" s="446"/>
      <c r="AO497" s="446"/>
      <c r="AP497" s="446"/>
      <c r="AQ497" s="446"/>
      <c r="AR497" s="446"/>
      <c r="AS497" s="446"/>
      <c r="AT497" s="446"/>
      <c r="AU497" s="446"/>
      <c r="AV497" s="446"/>
      <c r="AW497" s="446"/>
      <c r="AX497" s="446"/>
      <c r="AY497" s="446"/>
      <c r="AZ497" s="446"/>
      <c r="BA497" s="446"/>
      <c r="BB497" s="446"/>
      <c r="BC497" s="446"/>
      <c r="BD497" s="446"/>
      <c r="BE497" s="446"/>
      <c r="BF497" s="446"/>
      <c r="BG497" s="446"/>
      <c r="BH497" s="446"/>
      <c r="BI497" s="445"/>
      <c r="BJ497" s="446"/>
      <c r="BK497" s="446"/>
      <c r="BL497" s="446"/>
      <c r="BM497" s="446"/>
      <c r="BN497" s="446"/>
      <c r="BO497" s="446"/>
      <c r="BP497" s="446"/>
      <c r="BQ497" s="444"/>
      <c r="BR497" s="445"/>
      <c r="BS497" s="442">
        <v>40</v>
      </c>
      <c r="BT497" s="458"/>
      <c r="BU497" s="458"/>
      <c r="BV497" s="577"/>
      <c r="BW497" s="577"/>
      <c r="BX497" s="756"/>
      <c r="BY497" s="850"/>
      <c r="BZ497" s="850"/>
      <c r="CA497" s="850"/>
      <c r="CB497" s="850"/>
      <c r="CC497" s="850"/>
      <c r="CD497" s="850"/>
      <c r="CE497" s="850"/>
      <c r="CF497" s="850"/>
      <c r="CG497" s="169" t="s">
        <v>957</v>
      </c>
      <c r="CH497" s="431"/>
      <c r="CI497" s="407"/>
      <c r="CJ497" s="23"/>
      <c r="CK497" s="417" t="s">
        <v>1044</v>
      </c>
      <c r="CL497" s="572"/>
      <c r="CM497" s="648"/>
      <c r="CN497" s="35"/>
      <c r="CO497" s="35"/>
      <c r="CP497" s="35"/>
      <c r="CQ497" s="35"/>
      <c r="CR497" s="406"/>
      <c r="CS497" s="648"/>
      <c r="CU497" s="23"/>
      <c r="CV497" s="23"/>
      <c r="CW497" s="23"/>
      <c r="CX497" s="23"/>
      <c r="DA497" s="431"/>
    </row>
    <row r="498" spans="1:105" s="128" customFormat="1" ht="12" customHeight="1" x14ac:dyDescent="0.2">
      <c r="A498" s="651"/>
      <c r="B498" s="537"/>
      <c r="C498" s="126" t="s">
        <v>1214</v>
      </c>
      <c r="D498" s="169" t="s">
        <v>422</v>
      </c>
      <c r="E498" s="647" t="s">
        <v>821</v>
      </c>
      <c r="F498" s="647"/>
      <c r="G498" s="98"/>
      <c r="H498" s="97"/>
      <c r="I498" s="166">
        <v>2006</v>
      </c>
      <c r="J498" s="571"/>
      <c r="K498" s="571"/>
      <c r="L498" s="493" t="s">
        <v>783</v>
      </c>
      <c r="M498" s="247" t="s">
        <v>15</v>
      </c>
      <c r="N498" s="494" t="s">
        <v>783</v>
      </c>
      <c r="O498" s="98"/>
      <c r="P498" s="98"/>
      <c r="Q498" s="98"/>
      <c r="R498" s="167"/>
      <c r="S498" s="167"/>
      <c r="T498" s="167"/>
      <c r="U498" s="393">
        <v>1786</v>
      </c>
      <c r="V498" s="694"/>
      <c r="W498" s="711"/>
      <c r="X498" s="167"/>
      <c r="Y498" s="446"/>
      <c r="Z498" s="446"/>
      <c r="AA498" s="446"/>
      <c r="AB498" s="446"/>
      <c r="AC498" s="446"/>
      <c r="AD498" s="446"/>
      <c r="AE498" s="446"/>
      <c r="AF498" s="446"/>
      <c r="AG498" s="446"/>
      <c r="AH498" s="446"/>
      <c r="AI498" s="446"/>
      <c r="AJ498" s="446"/>
      <c r="AK498" s="446"/>
      <c r="AL498" s="446"/>
      <c r="AM498" s="446"/>
      <c r="AN498" s="446"/>
      <c r="AO498" s="446"/>
      <c r="AP498" s="446"/>
      <c r="AQ498" s="446"/>
      <c r="AR498" s="446"/>
      <c r="AS498" s="446"/>
      <c r="AT498" s="446"/>
      <c r="AU498" s="446"/>
      <c r="AV498" s="446"/>
      <c r="AW498" s="446"/>
      <c r="AX498" s="446"/>
      <c r="AY498" s="446"/>
      <c r="AZ498" s="446"/>
      <c r="BA498" s="446"/>
      <c r="BB498" s="446"/>
      <c r="BC498" s="446"/>
      <c r="BD498" s="446"/>
      <c r="BE498" s="445"/>
      <c r="BF498" s="445"/>
      <c r="BG498" s="446"/>
      <c r="BH498" s="446"/>
      <c r="BI498" s="445">
        <v>27.4</v>
      </c>
      <c r="BJ498" s="445"/>
      <c r="BK498" s="445"/>
      <c r="BL498" s="445"/>
      <c r="BM498" s="445"/>
      <c r="BN498" s="445"/>
      <c r="BO498" s="445"/>
      <c r="BP498" s="445"/>
      <c r="BQ498" s="444"/>
      <c r="BR498" s="444"/>
      <c r="BS498" s="446"/>
      <c r="BT498" s="446"/>
      <c r="BU498" s="446"/>
      <c r="BV498" s="442"/>
      <c r="BW498" s="442"/>
      <c r="BX498" s="756"/>
      <c r="BY498" s="850"/>
      <c r="BZ498" s="850"/>
      <c r="CA498" s="850"/>
      <c r="CB498" s="850"/>
      <c r="CC498" s="850"/>
      <c r="CD498" s="850"/>
      <c r="CE498" s="850"/>
      <c r="CF498" s="850"/>
      <c r="CG498" s="169" t="s">
        <v>957</v>
      </c>
      <c r="CH498" s="431"/>
      <c r="CI498" s="407"/>
      <c r="CJ498" s="23"/>
      <c r="CK498" s="417" t="s">
        <v>1044</v>
      </c>
      <c r="CL498" s="572"/>
      <c r="CM498" s="648"/>
      <c r="CN498" s="35"/>
      <c r="CO498" s="35"/>
      <c r="CP498" s="35"/>
      <c r="CQ498" s="35"/>
      <c r="CR498" s="406"/>
      <c r="CS498" s="648"/>
      <c r="CU498" s="23"/>
      <c r="CV498" s="23"/>
      <c r="CW498" s="23"/>
      <c r="CX498" s="23"/>
      <c r="DA498" s="431"/>
    </row>
    <row r="499" spans="1:105" s="128" customFormat="1" ht="12" customHeight="1" x14ac:dyDescent="0.2">
      <c r="A499" s="651"/>
      <c r="B499" s="537"/>
      <c r="C499" s="126" t="s">
        <v>1214</v>
      </c>
      <c r="D499" s="169" t="s">
        <v>422</v>
      </c>
      <c r="E499" s="647" t="s">
        <v>14</v>
      </c>
      <c r="F499" s="647"/>
      <c r="G499" s="98"/>
      <c r="H499" s="97"/>
      <c r="I499" s="166">
        <v>2010</v>
      </c>
      <c r="J499" s="571"/>
      <c r="K499" s="571"/>
      <c r="L499" s="493" t="s">
        <v>1144</v>
      </c>
      <c r="M499" s="98" t="s">
        <v>17</v>
      </c>
      <c r="N499" s="494" t="s">
        <v>783</v>
      </c>
      <c r="O499" s="237" t="s">
        <v>21</v>
      </c>
      <c r="P499" s="237"/>
      <c r="Q499" s="237"/>
      <c r="R499" s="254"/>
      <c r="S499" s="254"/>
      <c r="T499" s="254"/>
      <c r="U499" s="393">
        <v>9086</v>
      </c>
      <c r="V499" s="694"/>
      <c r="W499" s="711"/>
      <c r="X499" s="167"/>
      <c r="Y499" s="446"/>
      <c r="Z499" s="446"/>
      <c r="AA499" s="446"/>
      <c r="AB499" s="446"/>
      <c r="AC499" s="446"/>
      <c r="AD499" s="446"/>
      <c r="AE499" s="446"/>
      <c r="AF499" s="446"/>
      <c r="AG499" s="446"/>
      <c r="AH499" s="446"/>
      <c r="AI499" s="446"/>
      <c r="AJ499" s="446"/>
      <c r="AK499" s="446"/>
      <c r="AL499" s="446"/>
      <c r="AM499" s="446"/>
      <c r="AN499" s="446"/>
      <c r="AO499" s="446"/>
      <c r="AP499" s="446"/>
      <c r="AQ499" s="446"/>
      <c r="AR499" s="446"/>
      <c r="AS499" s="446"/>
      <c r="AT499" s="446"/>
      <c r="AU499" s="446"/>
      <c r="AV499" s="446"/>
      <c r="AW499" s="446"/>
      <c r="AX499" s="446"/>
      <c r="AY499" s="446"/>
      <c r="AZ499" s="446"/>
      <c r="BA499" s="446"/>
      <c r="BB499" s="446"/>
      <c r="BC499" s="446"/>
      <c r="BD499" s="446"/>
      <c r="BE499" s="442"/>
      <c r="BF499" s="442"/>
      <c r="BG499" s="446"/>
      <c r="BH499" s="446"/>
      <c r="BI499" s="442">
        <v>32.9</v>
      </c>
      <c r="BJ499" s="442">
        <v>4</v>
      </c>
      <c r="BK499" s="442"/>
      <c r="BL499" s="442"/>
      <c r="BM499" s="442"/>
      <c r="BN499" s="442"/>
      <c r="BO499" s="442"/>
      <c r="BP499" s="442"/>
      <c r="BQ499" s="444"/>
      <c r="BR499" s="445"/>
      <c r="BS499" s="442"/>
      <c r="BT499" s="458"/>
      <c r="BU499" s="458"/>
      <c r="BV499" s="577"/>
      <c r="BW499" s="577"/>
      <c r="BX499" s="756"/>
      <c r="BY499" s="850"/>
      <c r="BZ499" s="850"/>
      <c r="CA499" s="850"/>
      <c r="CB499" s="850"/>
      <c r="CC499" s="850"/>
      <c r="CD499" s="850"/>
      <c r="CE499" s="850"/>
      <c r="CF499" s="850"/>
      <c r="CG499" s="169" t="s">
        <v>1142</v>
      </c>
      <c r="CH499" s="431"/>
      <c r="CI499" s="407"/>
      <c r="CJ499" s="23"/>
      <c r="CK499" s="417" t="s">
        <v>1147</v>
      </c>
      <c r="CL499" s="572"/>
      <c r="CM499" s="648"/>
      <c r="CN499" s="35"/>
      <c r="CO499" s="35"/>
      <c r="CP499" s="35"/>
      <c r="CQ499" s="35"/>
      <c r="CR499" s="406"/>
      <c r="CS499" s="648"/>
      <c r="CU499" s="23"/>
      <c r="CV499" s="23"/>
      <c r="CW499" s="23"/>
      <c r="CX499" s="23"/>
      <c r="DA499" s="431"/>
    </row>
    <row r="500" spans="1:105" s="128" customFormat="1" ht="12" customHeight="1" x14ac:dyDescent="0.2">
      <c r="A500" s="651"/>
      <c r="B500" s="537"/>
      <c r="C500" s="126" t="s">
        <v>1214</v>
      </c>
      <c r="D500" s="169" t="s">
        <v>422</v>
      </c>
      <c r="E500" s="647" t="s">
        <v>309</v>
      </c>
      <c r="F500" s="647"/>
      <c r="G500" s="98"/>
      <c r="H500" s="97"/>
      <c r="I500" s="166" t="s">
        <v>308</v>
      </c>
      <c r="J500" s="571"/>
      <c r="K500" s="571"/>
      <c r="L500" s="493" t="s">
        <v>248</v>
      </c>
      <c r="M500" s="98" t="s">
        <v>78</v>
      </c>
      <c r="N500" s="493"/>
      <c r="O500" s="237" t="s">
        <v>19</v>
      </c>
      <c r="P500" s="237"/>
      <c r="Q500" s="98"/>
      <c r="R500" s="167"/>
      <c r="S500" s="167"/>
      <c r="T500" s="167"/>
      <c r="U500" s="393">
        <f>2975+2500+3505+3632</f>
        <v>12612</v>
      </c>
      <c r="V500" s="694"/>
      <c r="W500" s="711"/>
      <c r="X500" s="167"/>
      <c r="Y500" s="446"/>
      <c r="Z500" s="446"/>
      <c r="AA500" s="446"/>
      <c r="AB500" s="446"/>
      <c r="AC500" s="446"/>
      <c r="AD500" s="446"/>
      <c r="AE500" s="446"/>
      <c r="AF500" s="446"/>
      <c r="AG500" s="446"/>
      <c r="AH500" s="446"/>
      <c r="AI500" s="446"/>
      <c r="AJ500" s="446"/>
      <c r="AK500" s="446"/>
      <c r="AL500" s="446"/>
      <c r="AM500" s="446"/>
      <c r="AN500" s="446"/>
      <c r="AO500" s="446"/>
      <c r="AP500" s="446"/>
      <c r="AQ500" s="446"/>
      <c r="AR500" s="446"/>
      <c r="AS500" s="446"/>
      <c r="AT500" s="446"/>
      <c r="AU500" s="446"/>
      <c r="AV500" s="446"/>
      <c r="AW500" s="446"/>
      <c r="AX500" s="446"/>
      <c r="AY500" s="446"/>
      <c r="AZ500" s="446"/>
      <c r="BA500" s="446"/>
      <c r="BB500" s="446"/>
      <c r="BC500" s="446"/>
      <c r="BD500" s="446"/>
      <c r="BE500" s="445"/>
      <c r="BF500" s="445"/>
      <c r="BG500" s="446"/>
      <c r="BH500" s="446"/>
      <c r="BI500" s="446"/>
      <c r="BJ500" s="445">
        <f>(6.1*2975 +3.8*2500 +6.9*3505 +5.1*3632)/(2975+2500+3505+3632)</f>
        <v>5.5784332381858546</v>
      </c>
      <c r="BK500" s="445"/>
      <c r="BL500" s="445"/>
      <c r="BM500" s="445"/>
      <c r="BN500" s="445"/>
      <c r="BO500" s="445"/>
      <c r="BP500" s="445"/>
      <c r="BQ500" s="444"/>
      <c r="BR500" s="445"/>
      <c r="BS500" s="446"/>
      <c r="BT500" s="458"/>
      <c r="BU500" s="458"/>
      <c r="BV500" s="577"/>
      <c r="BW500" s="577"/>
      <c r="BX500" s="756"/>
      <c r="BY500" s="850"/>
      <c r="BZ500" s="850"/>
      <c r="CA500" s="850"/>
      <c r="CB500" s="850"/>
      <c r="CC500" s="850"/>
      <c r="CD500" s="850"/>
      <c r="CE500" s="850"/>
      <c r="CF500" s="850"/>
      <c r="CG500" s="169" t="s">
        <v>341</v>
      </c>
      <c r="CH500" s="419" t="s">
        <v>1090</v>
      </c>
      <c r="CI500" s="407"/>
      <c r="CJ500" s="23" t="s">
        <v>311</v>
      </c>
      <c r="CK500" s="431"/>
      <c r="CL500" s="572"/>
      <c r="CM500" s="648"/>
      <c r="CN500" s="35"/>
      <c r="CO500" s="35"/>
      <c r="CP500" s="35"/>
      <c r="CQ500" s="35"/>
      <c r="CR500" s="406"/>
      <c r="CS500" s="648"/>
      <c r="CU500" s="23"/>
      <c r="CV500" s="23"/>
      <c r="CW500" s="23"/>
      <c r="CX500" s="23"/>
      <c r="DA500" s="431"/>
    </row>
    <row r="501" spans="1:105" s="35" customFormat="1" x14ac:dyDescent="0.2">
      <c r="A501" s="651"/>
      <c r="B501" s="537"/>
      <c r="C501" s="126" t="s">
        <v>1214</v>
      </c>
      <c r="D501" s="169" t="s">
        <v>422</v>
      </c>
      <c r="E501" s="647" t="s">
        <v>14</v>
      </c>
      <c r="F501" s="647"/>
      <c r="G501" s="98"/>
      <c r="H501" s="97"/>
      <c r="I501" s="166" t="s">
        <v>26</v>
      </c>
      <c r="J501" s="571"/>
      <c r="K501" s="571"/>
      <c r="L501" s="493"/>
      <c r="M501" s="98" t="s">
        <v>17</v>
      </c>
      <c r="N501" s="493"/>
      <c r="O501" s="237"/>
      <c r="P501" s="237"/>
      <c r="Q501" s="98"/>
      <c r="R501" s="167"/>
      <c r="S501" s="167"/>
      <c r="T501" s="167"/>
      <c r="U501" s="393">
        <v>8000</v>
      </c>
      <c r="V501" s="694"/>
      <c r="W501" s="711"/>
      <c r="X501" s="167"/>
      <c r="Y501" s="446"/>
      <c r="Z501" s="446"/>
      <c r="AA501" s="446"/>
      <c r="AB501" s="446"/>
      <c r="AC501" s="446"/>
      <c r="AD501" s="446"/>
      <c r="AE501" s="446"/>
      <c r="AF501" s="446"/>
      <c r="AG501" s="446"/>
      <c r="AH501" s="446"/>
      <c r="AI501" s="446"/>
      <c r="AJ501" s="446"/>
      <c r="AK501" s="446"/>
      <c r="AL501" s="446"/>
      <c r="AM501" s="446"/>
      <c r="AN501" s="446"/>
      <c r="AO501" s="446"/>
      <c r="AP501" s="446"/>
      <c r="AQ501" s="446"/>
      <c r="AR501" s="446"/>
      <c r="AS501" s="446"/>
      <c r="AT501" s="446"/>
      <c r="AU501" s="446"/>
      <c r="AV501" s="446"/>
      <c r="AW501" s="446"/>
      <c r="AX501" s="446"/>
      <c r="AY501" s="446"/>
      <c r="AZ501" s="446"/>
      <c r="BA501" s="446"/>
      <c r="BB501" s="446"/>
      <c r="BC501" s="446"/>
      <c r="BD501" s="446"/>
      <c r="BE501" s="445"/>
      <c r="BF501" s="445"/>
      <c r="BG501" s="446"/>
      <c r="BH501" s="446"/>
      <c r="BI501" s="442">
        <v>22</v>
      </c>
      <c r="BJ501" s="445">
        <v>1</v>
      </c>
      <c r="BK501" s="445"/>
      <c r="BL501" s="445"/>
      <c r="BM501" s="445"/>
      <c r="BN501" s="445"/>
      <c r="BO501" s="445"/>
      <c r="BP501" s="445"/>
      <c r="BQ501" s="444"/>
      <c r="BR501" s="445"/>
      <c r="BS501" s="458"/>
      <c r="BT501" s="458"/>
      <c r="BU501" s="458"/>
      <c r="BV501" s="577"/>
      <c r="BW501" s="577"/>
      <c r="BX501" s="756"/>
      <c r="BY501" s="850"/>
      <c r="BZ501" s="850"/>
      <c r="CA501" s="850"/>
      <c r="CB501" s="850"/>
      <c r="CC501" s="850"/>
      <c r="CD501" s="850"/>
      <c r="CE501" s="850"/>
      <c r="CF501" s="850"/>
      <c r="CG501" s="169" t="s">
        <v>523</v>
      </c>
      <c r="CH501" s="417"/>
      <c r="CI501" s="406"/>
      <c r="CJ501" s="23"/>
      <c r="CK501" s="426" t="s">
        <v>1041</v>
      </c>
      <c r="CL501" s="572"/>
      <c r="CM501" s="648"/>
      <c r="CR501" s="406"/>
      <c r="CS501" s="648"/>
      <c r="CU501" s="23"/>
      <c r="CV501" s="23"/>
      <c r="CW501" s="23"/>
      <c r="CX501" s="23"/>
      <c r="DA501" s="648"/>
    </row>
    <row r="502" spans="1:105" s="128" customFormat="1" ht="12" customHeight="1" x14ac:dyDescent="0.2">
      <c r="A502" s="651"/>
      <c r="B502" s="537"/>
      <c r="C502" s="126" t="s">
        <v>1214</v>
      </c>
      <c r="D502" s="169" t="s">
        <v>422</v>
      </c>
      <c r="E502" s="647" t="s">
        <v>313</v>
      </c>
      <c r="F502" s="647"/>
      <c r="G502" s="98"/>
      <c r="H502" s="97"/>
      <c r="I502" s="166" t="s">
        <v>312</v>
      </c>
      <c r="J502" s="571"/>
      <c r="K502" s="571"/>
      <c r="L502" s="493"/>
      <c r="M502" s="98" t="s">
        <v>17</v>
      </c>
      <c r="N502" s="493"/>
      <c r="O502" s="237" t="s">
        <v>577</v>
      </c>
      <c r="P502" s="237"/>
      <c r="Q502" s="98"/>
      <c r="R502" s="167"/>
      <c r="S502" s="167"/>
      <c r="T502" s="167"/>
      <c r="U502" s="393">
        <v>3568</v>
      </c>
      <c r="V502" s="694"/>
      <c r="W502" s="711"/>
      <c r="X502" s="167"/>
      <c r="Y502" s="446"/>
      <c r="Z502" s="446"/>
      <c r="AA502" s="446"/>
      <c r="AB502" s="446"/>
      <c r="AC502" s="446"/>
      <c r="AD502" s="446"/>
      <c r="AE502" s="446"/>
      <c r="AF502" s="446"/>
      <c r="AG502" s="446"/>
      <c r="AH502" s="446"/>
      <c r="AI502" s="446"/>
      <c r="AJ502" s="446"/>
      <c r="AK502" s="446"/>
      <c r="AL502" s="446"/>
      <c r="AM502" s="446"/>
      <c r="AN502" s="446"/>
      <c r="AO502" s="446"/>
      <c r="AP502" s="446"/>
      <c r="AQ502" s="446"/>
      <c r="AR502" s="446"/>
      <c r="AS502" s="446"/>
      <c r="AT502" s="446"/>
      <c r="AU502" s="446"/>
      <c r="AV502" s="446"/>
      <c r="AW502" s="446"/>
      <c r="AX502" s="446"/>
      <c r="AY502" s="446"/>
      <c r="AZ502" s="446"/>
      <c r="BA502" s="446"/>
      <c r="BB502" s="446"/>
      <c r="BC502" s="446"/>
      <c r="BD502" s="446"/>
      <c r="BE502" s="446"/>
      <c r="BF502" s="446"/>
      <c r="BG502" s="446"/>
      <c r="BH502" s="446"/>
      <c r="BI502" s="445">
        <v>4</v>
      </c>
      <c r="BJ502" s="446"/>
      <c r="BK502" s="446"/>
      <c r="BL502" s="446"/>
      <c r="BM502" s="446"/>
      <c r="BN502" s="446"/>
      <c r="BO502" s="446"/>
      <c r="BP502" s="446"/>
      <c r="BQ502" s="444"/>
      <c r="BR502" s="445">
        <v>7.9</v>
      </c>
      <c r="BS502" s="442">
        <v>44</v>
      </c>
      <c r="BT502" s="458"/>
      <c r="BU502" s="458"/>
      <c r="BV502" s="577"/>
      <c r="BW502" s="577"/>
      <c r="BX502" s="756"/>
      <c r="BY502" s="850"/>
      <c r="BZ502" s="850"/>
      <c r="CA502" s="850"/>
      <c r="CB502" s="850"/>
      <c r="CC502" s="850"/>
      <c r="CD502" s="850"/>
      <c r="CE502" s="850"/>
      <c r="CF502" s="850"/>
      <c r="CG502" s="169" t="s">
        <v>993</v>
      </c>
      <c r="CH502" s="419" t="s">
        <v>314</v>
      </c>
      <c r="CI502" s="404">
        <v>40515</v>
      </c>
      <c r="CJ502" s="23"/>
      <c r="CK502" s="648" t="s">
        <v>745</v>
      </c>
      <c r="CL502" s="572"/>
      <c r="CM502" s="648"/>
      <c r="CN502" s="35"/>
      <c r="CO502" s="35"/>
      <c r="CP502" s="35"/>
      <c r="CQ502" s="35"/>
      <c r="CR502" s="406"/>
      <c r="CS502" s="648"/>
      <c r="CU502" s="23"/>
      <c r="CV502" s="23"/>
      <c r="CW502" s="23"/>
      <c r="CX502" s="23"/>
      <c r="DA502" s="431"/>
    </row>
    <row r="503" spans="1:105" s="128" customFormat="1" ht="12" customHeight="1" x14ac:dyDescent="0.2">
      <c r="A503" s="651"/>
      <c r="B503" s="537"/>
      <c r="C503" s="97" t="s">
        <v>59</v>
      </c>
      <c r="D503" s="169" t="s">
        <v>1132</v>
      </c>
      <c r="E503" s="647" t="s">
        <v>561</v>
      </c>
      <c r="F503" s="647"/>
      <c r="G503" s="237"/>
      <c r="H503" s="186"/>
      <c r="I503" s="166">
        <v>1997</v>
      </c>
      <c r="J503" s="390"/>
      <c r="K503" s="390"/>
      <c r="L503" s="493"/>
      <c r="M503" s="98" t="s">
        <v>18</v>
      </c>
      <c r="N503" s="493"/>
      <c r="O503" s="98"/>
      <c r="P503" s="98"/>
      <c r="Q503" s="98"/>
      <c r="R503" s="167"/>
      <c r="S503" s="167"/>
      <c r="T503" s="167"/>
      <c r="U503" s="393">
        <v>545</v>
      </c>
      <c r="V503" s="694"/>
      <c r="W503" s="711"/>
      <c r="X503" s="254"/>
      <c r="Y503" s="446"/>
      <c r="Z503" s="446"/>
      <c r="AA503" s="446"/>
      <c r="AB503" s="446"/>
      <c r="AC503" s="446"/>
      <c r="AD503" s="446"/>
      <c r="AE503" s="446"/>
      <c r="AF503" s="446"/>
      <c r="AG503" s="446"/>
      <c r="AH503" s="446"/>
      <c r="AI503" s="446"/>
      <c r="AJ503" s="446"/>
      <c r="AK503" s="446"/>
      <c r="AL503" s="446"/>
      <c r="AM503" s="446"/>
      <c r="AN503" s="446"/>
      <c r="AO503" s="446"/>
      <c r="AP503" s="446"/>
      <c r="AQ503" s="446"/>
      <c r="AR503" s="446"/>
      <c r="AS503" s="446"/>
      <c r="AT503" s="446"/>
      <c r="AU503" s="446"/>
      <c r="AV503" s="446"/>
      <c r="AW503" s="446"/>
      <c r="AX503" s="446"/>
      <c r="AY503" s="446"/>
      <c r="AZ503" s="446"/>
      <c r="BA503" s="446"/>
      <c r="BB503" s="446"/>
      <c r="BC503" s="446"/>
      <c r="BD503" s="446"/>
      <c r="BE503" s="445"/>
      <c r="BF503" s="445"/>
      <c r="BG503" s="446"/>
      <c r="BH503" s="446"/>
      <c r="BI503" s="445"/>
      <c r="BJ503" s="445">
        <v>10</v>
      </c>
      <c r="BK503" s="445"/>
      <c r="BL503" s="445"/>
      <c r="BM503" s="445"/>
      <c r="BN503" s="445"/>
      <c r="BO503" s="445"/>
      <c r="BP503" s="445"/>
      <c r="BQ503" s="442">
        <v>10</v>
      </c>
      <c r="BR503" s="445">
        <v>10</v>
      </c>
      <c r="BS503" s="458"/>
      <c r="BT503" s="458"/>
      <c r="BU503" s="458"/>
      <c r="BV503" s="577"/>
      <c r="BW503" s="577"/>
      <c r="BX503" s="756"/>
      <c r="BY503" s="850"/>
      <c r="BZ503" s="850"/>
      <c r="CA503" s="850"/>
      <c r="CB503" s="850"/>
      <c r="CC503" s="850"/>
      <c r="CD503" s="850"/>
      <c r="CE503" s="850"/>
      <c r="CF503" s="850"/>
      <c r="CG503" s="169" t="s">
        <v>523</v>
      </c>
      <c r="CH503" s="419"/>
      <c r="CI503" s="406"/>
      <c r="CJ503" s="23"/>
      <c r="CK503" s="426" t="s">
        <v>1041</v>
      </c>
      <c r="CL503" s="572"/>
      <c r="CM503" s="648"/>
      <c r="CN503" s="35"/>
      <c r="CO503" s="35"/>
      <c r="CP503" s="35"/>
      <c r="CQ503" s="35"/>
      <c r="CR503" s="406"/>
      <c r="CS503" s="648"/>
      <c r="CU503" s="23"/>
      <c r="CV503" s="23"/>
      <c r="CW503" s="23"/>
      <c r="CX503" s="23"/>
      <c r="DA503" s="431"/>
    </row>
    <row r="504" spans="1:105" s="128" customFormat="1" ht="12" customHeight="1" x14ac:dyDescent="0.2">
      <c r="A504" s="651"/>
      <c r="B504" s="537"/>
      <c r="C504" s="97" t="s">
        <v>1171</v>
      </c>
      <c r="D504" s="169"/>
      <c r="E504" s="647" t="s">
        <v>14</v>
      </c>
      <c r="F504" s="647"/>
      <c r="G504" s="237"/>
      <c r="H504" s="186"/>
      <c r="I504" s="166">
        <v>2009</v>
      </c>
      <c r="J504" s="390"/>
      <c r="K504" s="390"/>
      <c r="L504" s="493" t="s">
        <v>243</v>
      </c>
      <c r="M504" s="98"/>
      <c r="N504" s="494" t="s">
        <v>783</v>
      </c>
      <c r="O504" s="98" t="s">
        <v>106</v>
      </c>
      <c r="P504" s="98"/>
      <c r="Q504" s="98"/>
      <c r="R504" s="167"/>
      <c r="S504" s="167"/>
      <c r="T504" s="167"/>
      <c r="U504" s="393"/>
      <c r="V504" s="694"/>
      <c r="W504" s="711"/>
      <c r="X504" s="254"/>
      <c r="Y504" s="446"/>
      <c r="Z504" s="446"/>
      <c r="AA504" s="446"/>
      <c r="AB504" s="446"/>
      <c r="AC504" s="446"/>
      <c r="AD504" s="446"/>
      <c r="AE504" s="446"/>
      <c r="AF504" s="446"/>
      <c r="AG504" s="446"/>
      <c r="AH504" s="446"/>
      <c r="AI504" s="446"/>
      <c r="AJ504" s="446"/>
      <c r="AK504" s="446"/>
      <c r="AL504" s="446"/>
      <c r="AM504" s="446"/>
      <c r="AN504" s="446"/>
      <c r="AO504" s="446"/>
      <c r="AP504" s="446"/>
      <c r="AQ504" s="446"/>
      <c r="AR504" s="446"/>
      <c r="AS504" s="446"/>
      <c r="AT504" s="446"/>
      <c r="AU504" s="446"/>
      <c r="AV504" s="446"/>
      <c r="AW504" s="446"/>
      <c r="AX504" s="446"/>
      <c r="AY504" s="446"/>
      <c r="AZ504" s="446"/>
      <c r="BA504" s="446"/>
      <c r="BB504" s="446"/>
      <c r="BC504" s="446"/>
      <c r="BD504" s="446"/>
      <c r="BE504" s="442"/>
      <c r="BF504" s="442"/>
      <c r="BG504" s="446"/>
      <c r="BH504" s="446"/>
      <c r="BI504" s="442">
        <v>44</v>
      </c>
      <c r="BJ504" s="442">
        <v>33</v>
      </c>
      <c r="BK504" s="442"/>
      <c r="BL504" s="442"/>
      <c r="BM504" s="442"/>
      <c r="BN504" s="442"/>
      <c r="BO504" s="442"/>
      <c r="BP504" s="442"/>
      <c r="BQ504" s="444"/>
      <c r="BR504" s="444"/>
      <c r="BS504" s="446"/>
      <c r="BT504" s="446"/>
      <c r="BU504" s="446"/>
      <c r="BV504" s="442"/>
      <c r="BW504" s="442"/>
      <c r="BX504" s="765"/>
      <c r="BY504" s="860"/>
      <c r="BZ504" s="860"/>
      <c r="CA504" s="860"/>
      <c r="CB504" s="860"/>
      <c r="CC504" s="860"/>
      <c r="CD504" s="860"/>
      <c r="CE504" s="860"/>
      <c r="CF504" s="860"/>
      <c r="CG504" s="169"/>
      <c r="CH504" s="419" t="s">
        <v>1158</v>
      </c>
      <c r="CI504" s="406"/>
      <c r="CJ504" s="23"/>
      <c r="CK504" s="426"/>
      <c r="CL504" s="572"/>
      <c r="CM504" s="431"/>
      <c r="CR504" s="406"/>
      <c r="CS504" s="431"/>
      <c r="CU504" s="23"/>
      <c r="CV504" s="23"/>
      <c r="CW504" s="23"/>
      <c r="CX504" s="23"/>
      <c r="DA504" s="431"/>
    </row>
    <row r="505" spans="1:105" s="35" customFormat="1" ht="12" customHeight="1" x14ac:dyDescent="0.2">
      <c r="A505" s="651"/>
      <c r="B505" s="537"/>
      <c r="C505" s="97" t="s">
        <v>82</v>
      </c>
      <c r="D505" s="169" t="s">
        <v>1125</v>
      </c>
      <c r="E505" s="647" t="s">
        <v>85</v>
      </c>
      <c r="F505" s="647"/>
      <c r="G505" s="98"/>
      <c r="H505" s="97"/>
      <c r="I505" s="166">
        <v>2004</v>
      </c>
      <c r="J505" s="571"/>
      <c r="K505" s="571"/>
      <c r="L505" s="493"/>
      <c r="M505" s="98" t="s">
        <v>15</v>
      </c>
      <c r="N505" s="493"/>
      <c r="O505" s="98"/>
      <c r="P505" s="98"/>
      <c r="Q505" s="98"/>
      <c r="R505" s="167"/>
      <c r="S505" s="167"/>
      <c r="T505" s="167"/>
      <c r="U505" s="393">
        <v>1090</v>
      </c>
      <c r="V505" s="694"/>
      <c r="W505" s="711"/>
      <c r="X505" s="167"/>
      <c r="Y505" s="446"/>
      <c r="Z505" s="446"/>
      <c r="AA505" s="446"/>
      <c r="AB505" s="446"/>
      <c r="AC505" s="446"/>
      <c r="AD505" s="446"/>
      <c r="AE505" s="446"/>
      <c r="AF505" s="446"/>
      <c r="AG505" s="446"/>
      <c r="AH505" s="446"/>
      <c r="AI505" s="446"/>
      <c r="AJ505" s="446"/>
      <c r="AK505" s="446"/>
      <c r="AL505" s="446"/>
      <c r="AM505" s="446"/>
      <c r="AN505" s="446"/>
      <c r="AO505" s="446"/>
      <c r="AP505" s="446"/>
      <c r="AQ505" s="446"/>
      <c r="AR505" s="446"/>
      <c r="AS505" s="446"/>
      <c r="AT505" s="446"/>
      <c r="AU505" s="446"/>
      <c r="AV505" s="446"/>
      <c r="AW505" s="446"/>
      <c r="AX505" s="446"/>
      <c r="AY505" s="446"/>
      <c r="AZ505" s="446"/>
      <c r="BA505" s="446"/>
      <c r="BB505" s="446"/>
      <c r="BC505" s="446"/>
      <c r="BD505" s="446"/>
      <c r="BE505" s="445"/>
      <c r="BF505" s="445"/>
      <c r="BG505" s="446"/>
      <c r="BH505" s="446"/>
      <c r="BI505" s="442">
        <v>25</v>
      </c>
      <c r="BJ505" s="445">
        <v>14</v>
      </c>
      <c r="BK505" s="445"/>
      <c r="BL505" s="445"/>
      <c r="BM505" s="445"/>
      <c r="BN505" s="445"/>
      <c r="BO505" s="445"/>
      <c r="BP505" s="445"/>
      <c r="BQ505" s="444"/>
      <c r="BR505" s="444"/>
      <c r="BS505" s="458"/>
      <c r="BT505" s="458"/>
      <c r="BU505" s="458"/>
      <c r="BV505" s="577"/>
      <c r="BW505" s="577"/>
      <c r="BX505" s="756"/>
      <c r="BY505" s="850"/>
      <c r="BZ505" s="850"/>
      <c r="CA505" s="850"/>
      <c r="CB505" s="850"/>
      <c r="CC505" s="850"/>
      <c r="CD505" s="850"/>
      <c r="CE505" s="850"/>
      <c r="CF505" s="850"/>
      <c r="CG505" s="169" t="s">
        <v>523</v>
      </c>
      <c r="CH505" s="417"/>
      <c r="CI505" s="406"/>
      <c r="CJ505" s="23"/>
      <c r="CK505" s="426" t="s">
        <v>1041</v>
      </c>
      <c r="CL505" s="572"/>
      <c r="CM505" s="648"/>
      <c r="CR505" s="406"/>
      <c r="CS505" s="648"/>
      <c r="CU505" s="23"/>
      <c r="CV505" s="23"/>
      <c r="CW505" s="23"/>
      <c r="CX505" s="23"/>
      <c r="DA505" s="648"/>
    </row>
    <row r="506" spans="1:105" s="128" customFormat="1" ht="12" customHeight="1" x14ac:dyDescent="0.2">
      <c r="A506" s="651"/>
      <c r="B506" s="537"/>
      <c r="C506" s="97" t="s">
        <v>82</v>
      </c>
      <c r="D506" s="169" t="s">
        <v>1125</v>
      </c>
      <c r="E506" s="647"/>
      <c r="F506" s="647"/>
      <c r="G506" s="98"/>
      <c r="H506" s="97"/>
      <c r="I506" s="166">
        <v>2009</v>
      </c>
      <c r="J506" s="571"/>
      <c r="K506" s="571"/>
      <c r="L506" s="493" t="s">
        <v>243</v>
      </c>
      <c r="M506" s="98" t="s">
        <v>17</v>
      </c>
      <c r="N506" s="494" t="s">
        <v>783</v>
      </c>
      <c r="O506" s="98"/>
      <c r="P506" s="98"/>
      <c r="Q506" s="98"/>
      <c r="R506" s="167"/>
      <c r="S506" s="167"/>
      <c r="T506" s="167"/>
      <c r="U506" s="401"/>
      <c r="V506" s="801"/>
      <c r="W506" s="723"/>
      <c r="X506" s="167"/>
      <c r="Y506" s="445"/>
      <c r="Z506" s="445"/>
      <c r="AA506" s="445"/>
      <c r="AB506" s="445"/>
      <c r="AC506" s="445"/>
      <c r="AD506" s="445"/>
      <c r="AE506" s="445"/>
      <c r="AF506" s="445"/>
      <c r="AG506" s="445"/>
      <c r="AH506" s="445"/>
      <c r="AI506" s="445"/>
      <c r="AJ506" s="445"/>
      <c r="AK506" s="445"/>
      <c r="AL506" s="445"/>
      <c r="AM506" s="445"/>
      <c r="AN506" s="445"/>
      <c r="AO506" s="445"/>
      <c r="AP506" s="445"/>
      <c r="AQ506" s="445"/>
      <c r="AR506" s="445"/>
      <c r="AS506" s="445"/>
      <c r="AT506" s="445"/>
      <c r="AU506" s="445"/>
      <c r="AV506" s="445"/>
      <c r="AW506" s="445"/>
      <c r="AX506" s="445"/>
      <c r="AY506" s="445"/>
      <c r="AZ506" s="445"/>
      <c r="BA506" s="445"/>
      <c r="BB506" s="445"/>
      <c r="BC506" s="445"/>
      <c r="BD506" s="445"/>
      <c r="BE506" s="445"/>
      <c r="BF506" s="445"/>
      <c r="BG506" s="445"/>
      <c r="BH506" s="445"/>
      <c r="BI506" s="445">
        <v>32</v>
      </c>
      <c r="BJ506" s="445">
        <v>6</v>
      </c>
      <c r="BK506" s="445"/>
      <c r="BL506" s="445"/>
      <c r="BM506" s="445"/>
      <c r="BN506" s="445"/>
      <c r="BO506" s="445"/>
      <c r="BP506" s="445"/>
      <c r="BQ506" s="442">
        <v>34.4</v>
      </c>
      <c r="BR506" s="445">
        <v>9</v>
      </c>
      <c r="BS506" s="446"/>
      <c r="BT506" s="446"/>
      <c r="BU506" s="446"/>
      <c r="BV506" s="442"/>
      <c r="BW506" s="442"/>
      <c r="BX506" s="756"/>
      <c r="BY506" s="850"/>
      <c r="BZ506" s="850"/>
      <c r="CA506" s="850"/>
      <c r="CB506" s="850"/>
      <c r="CC506" s="850"/>
      <c r="CD506" s="850"/>
      <c r="CE506" s="850"/>
      <c r="CF506" s="850"/>
      <c r="CG506" s="169" t="s">
        <v>876</v>
      </c>
      <c r="CH506" s="417"/>
      <c r="CI506" s="406"/>
      <c r="CJ506" s="23"/>
      <c r="CK506" s="417" t="s">
        <v>1069</v>
      </c>
      <c r="CL506" s="572"/>
      <c r="CM506" s="648"/>
      <c r="CN506" s="35"/>
      <c r="CO506" s="35"/>
      <c r="CP506" s="35"/>
      <c r="CQ506" s="35"/>
      <c r="CR506" s="406"/>
      <c r="CS506" s="648"/>
      <c r="CU506" s="23"/>
      <c r="CV506" s="23"/>
      <c r="CW506" s="23"/>
      <c r="CX506" s="23"/>
      <c r="DA506" s="431"/>
    </row>
    <row r="507" spans="1:105" s="128" customFormat="1" ht="12" customHeight="1" x14ac:dyDescent="0.2">
      <c r="A507" s="651"/>
      <c r="B507" s="537"/>
      <c r="C507" s="97" t="s">
        <v>357</v>
      </c>
      <c r="D507" s="169" t="s">
        <v>1125</v>
      </c>
      <c r="E507" s="647"/>
      <c r="F507" s="647"/>
      <c r="G507" s="98"/>
      <c r="H507" s="97"/>
      <c r="I507" s="166">
        <v>2000</v>
      </c>
      <c r="J507" s="571"/>
      <c r="K507" s="571"/>
      <c r="L507" s="494"/>
      <c r="M507" s="98" t="s">
        <v>17</v>
      </c>
      <c r="N507" s="494"/>
      <c r="O507" s="237" t="s">
        <v>250</v>
      </c>
      <c r="P507" s="237"/>
      <c r="Q507" s="98"/>
      <c r="R507" s="167"/>
      <c r="S507" s="167"/>
      <c r="T507" s="167"/>
      <c r="U507" s="393">
        <v>999999999</v>
      </c>
      <c r="V507" s="694"/>
      <c r="W507" s="711"/>
      <c r="X507" s="167"/>
      <c r="Y507" s="446"/>
      <c r="Z507" s="446"/>
      <c r="AA507" s="446"/>
      <c r="AB507" s="446"/>
      <c r="AC507" s="446"/>
      <c r="AD507" s="446"/>
      <c r="AE507" s="446"/>
      <c r="AF507" s="446"/>
      <c r="AG507" s="446"/>
      <c r="AH507" s="446"/>
      <c r="AI507" s="446"/>
      <c r="AJ507" s="446"/>
      <c r="AK507" s="446"/>
      <c r="AL507" s="446"/>
      <c r="AM507" s="446"/>
      <c r="AN507" s="446"/>
      <c r="AO507" s="446"/>
      <c r="AP507" s="446"/>
      <c r="AQ507" s="446"/>
      <c r="AR507" s="446"/>
      <c r="AS507" s="446"/>
      <c r="AT507" s="446"/>
      <c r="AU507" s="446"/>
      <c r="AV507" s="446"/>
      <c r="AW507" s="446"/>
      <c r="AX507" s="446"/>
      <c r="AY507" s="446"/>
      <c r="AZ507" s="446"/>
      <c r="BA507" s="446"/>
      <c r="BB507" s="446"/>
      <c r="BC507" s="446"/>
      <c r="BD507" s="446"/>
      <c r="BE507" s="446"/>
      <c r="BF507" s="446"/>
      <c r="BG507" s="446"/>
      <c r="BH507" s="446"/>
      <c r="BI507" s="445"/>
      <c r="BJ507" s="446"/>
      <c r="BK507" s="446"/>
      <c r="BL507" s="446"/>
      <c r="BM507" s="446"/>
      <c r="BN507" s="446"/>
      <c r="BO507" s="446"/>
      <c r="BP507" s="446"/>
      <c r="BQ507" s="444"/>
      <c r="BR507" s="445"/>
      <c r="BS507" s="442">
        <v>47</v>
      </c>
      <c r="BT507" s="458"/>
      <c r="BU507" s="458"/>
      <c r="BV507" s="577"/>
      <c r="BW507" s="577"/>
      <c r="BX507" s="756"/>
      <c r="BY507" s="850"/>
      <c r="BZ507" s="850"/>
      <c r="CA507" s="850"/>
      <c r="CB507" s="850"/>
      <c r="CC507" s="850"/>
      <c r="CD507" s="850"/>
      <c r="CE507" s="850"/>
      <c r="CF507" s="850"/>
      <c r="CG507" s="169" t="s">
        <v>981</v>
      </c>
      <c r="CH507" s="431"/>
      <c r="CI507" s="406"/>
      <c r="CJ507" s="23"/>
      <c r="CK507" s="417" t="s">
        <v>777</v>
      </c>
      <c r="CL507" s="572" t="s">
        <v>563</v>
      </c>
      <c r="CM507" s="648"/>
      <c r="CN507" s="35"/>
      <c r="CO507" s="35"/>
      <c r="CP507" s="35"/>
      <c r="CQ507" s="35"/>
      <c r="CR507" s="406"/>
      <c r="CS507" s="648"/>
      <c r="CU507" s="23"/>
      <c r="CV507" s="23"/>
      <c r="CW507" s="23"/>
      <c r="CX507" s="23"/>
      <c r="DA507" s="431"/>
    </row>
    <row r="508" spans="1:105" s="128" customFormat="1" ht="12" customHeight="1" x14ac:dyDescent="0.2">
      <c r="A508" s="652"/>
      <c r="B508" s="469" t="s">
        <v>1781</v>
      </c>
      <c r="C508" s="390" t="s">
        <v>29</v>
      </c>
      <c r="D508" s="237" t="s">
        <v>1131</v>
      </c>
      <c r="E508" s="647" t="s">
        <v>14</v>
      </c>
      <c r="F508" s="647"/>
      <c r="G508" s="237"/>
      <c r="H508" s="186"/>
      <c r="I508" s="481" t="s">
        <v>30</v>
      </c>
      <c r="J508" s="571">
        <v>2002</v>
      </c>
      <c r="K508" s="571"/>
      <c r="L508" s="494" t="s">
        <v>244</v>
      </c>
      <c r="M508" s="247" t="s">
        <v>1837</v>
      </c>
      <c r="N508" s="494" t="s">
        <v>783</v>
      </c>
      <c r="O508" s="247" t="s">
        <v>19</v>
      </c>
      <c r="P508" s="98">
        <v>15</v>
      </c>
      <c r="Q508" s="247">
        <v>49</v>
      </c>
      <c r="R508" s="552">
        <v>27.630060067902896</v>
      </c>
      <c r="S508" s="552"/>
      <c r="T508" s="552"/>
      <c r="U508" s="553">
        <v>4163</v>
      </c>
      <c r="V508" s="794"/>
      <c r="W508" s="712"/>
      <c r="X508" s="552">
        <v>5.6333071690214389</v>
      </c>
      <c r="Y508" s="555"/>
      <c r="Z508" s="555"/>
      <c r="AA508" s="555"/>
      <c r="AB508" s="555"/>
      <c r="AC508" s="555"/>
      <c r="AD508" s="555"/>
      <c r="AE508" s="555"/>
      <c r="AF508" s="555"/>
      <c r="AG508" s="555"/>
      <c r="AH508" s="555"/>
      <c r="AI508" s="555"/>
      <c r="AJ508" s="555"/>
      <c r="AK508" s="555"/>
      <c r="AL508" s="555"/>
      <c r="AM508" s="555"/>
      <c r="AN508" s="555"/>
      <c r="AO508" s="555"/>
      <c r="AP508" s="555"/>
      <c r="AQ508" s="555"/>
      <c r="AR508" s="555"/>
      <c r="AS508" s="555"/>
      <c r="AT508" s="555"/>
      <c r="AU508" s="555"/>
      <c r="AV508" s="555"/>
      <c r="AW508" s="555"/>
      <c r="AX508" s="555"/>
      <c r="AY508" s="555"/>
      <c r="AZ508" s="555"/>
      <c r="BA508" s="555"/>
      <c r="BB508" s="555"/>
      <c r="BC508" s="555"/>
      <c r="BD508" s="555"/>
      <c r="BE508" s="555"/>
      <c r="BF508" s="555"/>
      <c r="BG508" s="555"/>
      <c r="BH508" s="555"/>
      <c r="BI508" s="552">
        <v>44.36704299783802</v>
      </c>
      <c r="BJ508" s="555"/>
      <c r="BK508" s="555"/>
      <c r="BL508" s="555"/>
      <c r="BM508" s="555"/>
      <c r="BN508" s="555"/>
      <c r="BO508" s="555"/>
      <c r="BP508" s="555"/>
      <c r="BQ508" s="552"/>
      <c r="BR508" s="42"/>
      <c r="BS508" s="42"/>
      <c r="BT508" s="42"/>
      <c r="BU508" s="42">
        <v>12</v>
      </c>
      <c r="BV508" s="42"/>
      <c r="BW508" s="42"/>
      <c r="BX508" s="758"/>
      <c r="BY508" s="851"/>
      <c r="BZ508" s="851"/>
      <c r="CA508" s="851"/>
      <c r="CB508" s="851"/>
      <c r="CC508" s="851"/>
      <c r="CD508" s="851"/>
      <c r="CE508" s="851"/>
      <c r="CF508" s="851"/>
      <c r="CG508" s="97"/>
      <c r="CH508" s="647"/>
      <c r="CI508" s="97"/>
      <c r="CJ508" s="97"/>
      <c r="CK508" s="647"/>
      <c r="CL508" s="469" t="s">
        <v>1841</v>
      </c>
      <c r="CM508" s="647"/>
      <c r="CN508" s="97"/>
      <c r="CO508" s="97"/>
      <c r="CP508" s="97"/>
      <c r="CQ508" s="97"/>
      <c r="CR508" s="638"/>
      <c r="CS508" s="647"/>
      <c r="CU508" s="23"/>
      <c r="CV508" s="23"/>
      <c r="CW508" s="23"/>
      <c r="CX508" s="23"/>
      <c r="DA508" s="431"/>
    </row>
    <row r="509" spans="1:105" s="128" customFormat="1" ht="12" customHeight="1" x14ac:dyDescent="0.2">
      <c r="A509" s="652"/>
      <c r="B509" s="469" t="s">
        <v>1821</v>
      </c>
      <c r="C509" s="390" t="s">
        <v>29</v>
      </c>
      <c r="D509" s="237" t="s">
        <v>1131</v>
      </c>
      <c r="E509" s="647" t="s">
        <v>14</v>
      </c>
      <c r="F509" s="647"/>
      <c r="G509" s="237"/>
      <c r="H509" s="186"/>
      <c r="I509" s="166">
        <v>2007</v>
      </c>
      <c r="J509" s="571">
        <v>2007</v>
      </c>
      <c r="K509" s="571"/>
      <c r="L509" s="494" t="s">
        <v>244</v>
      </c>
      <c r="M509" s="247" t="s">
        <v>1837</v>
      </c>
      <c r="N509" s="494" t="s">
        <v>783</v>
      </c>
      <c r="O509" s="247" t="s">
        <v>19</v>
      </c>
      <c r="P509" s="98">
        <v>15</v>
      </c>
      <c r="Q509" s="247">
        <v>49</v>
      </c>
      <c r="R509" s="552">
        <v>27.885950181919956</v>
      </c>
      <c r="S509" s="552"/>
      <c r="T509" s="552"/>
      <c r="U509" s="553">
        <v>4230</v>
      </c>
      <c r="V509" s="794"/>
      <c r="W509" s="712"/>
      <c r="X509" s="552">
        <v>6.4620766862580403</v>
      </c>
      <c r="Y509" s="552">
        <v>16.950354609929132</v>
      </c>
      <c r="Z509" s="552">
        <v>15.626477541371143</v>
      </c>
      <c r="AA509" s="552">
        <v>25.041380941120835</v>
      </c>
      <c r="AB509" s="552">
        <v>25.041380941120835</v>
      </c>
      <c r="AC509" s="552">
        <v>16.978008985575784</v>
      </c>
      <c r="AD509" s="552">
        <v>16.103097659021017</v>
      </c>
      <c r="AE509" s="552">
        <v>9.6713170962402479</v>
      </c>
      <c r="AF509" s="552">
        <v>8.8673445258926318</v>
      </c>
      <c r="AG509" s="555"/>
      <c r="AH509" s="555"/>
      <c r="AI509" s="555"/>
      <c r="AJ509" s="552"/>
      <c r="AK509" s="555"/>
      <c r="AL509" s="555"/>
      <c r="AM509" s="552">
        <v>40.520094562647756</v>
      </c>
      <c r="AN509" s="552">
        <v>34.633569739952769</v>
      </c>
      <c r="AO509" s="552">
        <v>14.998817127986776</v>
      </c>
      <c r="AP509" s="552">
        <v>13.224509108114511</v>
      </c>
      <c r="AQ509" s="552">
        <v>11.618551822053936</v>
      </c>
      <c r="AR509" s="552">
        <v>10.482725982016117</v>
      </c>
      <c r="AS509" s="552">
        <v>14.214758751182618</v>
      </c>
      <c r="AT509" s="552">
        <v>12.630085146641399</v>
      </c>
      <c r="AU509" s="552">
        <v>11.991485335856195</v>
      </c>
      <c r="AV509" s="552">
        <v>10.548722800378412</v>
      </c>
      <c r="AW509" s="552">
        <v>3.85798816568047</v>
      </c>
      <c r="AX509" s="552">
        <v>3.5266272189349177</v>
      </c>
      <c r="AY509" s="552"/>
      <c r="AZ509" s="552"/>
      <c r="BA509" s="552"/>
      <c r="BB509" s="552"/>
      <c r="BC509" s="552"/>
      <c r="BD509" s="552"/>
      <c r="BE509" s="552"/>
      <c r="BF509" s="552"/>
      <c r="BG509" s="552"/>
      <c r="BH509" s="552"/>
      <c r="BI509" s="552">
        <v>46.028368794326212</v>
      </c>
      <c r="BJ509" s="552">
        <v>39.692671394799085</v>
      </c>
      <c r="BK509" s="552"/>
      <c r="BL509" s="552"/>
      <c r="BM509" s="552">
        <v>15.042573320718974</v>
      </c>
      <c r="BN509" s="552">
        <v>14.380321665089841</v>
      </c>
      <c r="BO509" s="552">
        <v>9.3061804404451696</v>
      </c>
      <c r="BP509" s="552">
        <v>8.9509827137105997</v>
      </c>
      <c r="BQ509" s="552"/>
      <c r="BR509" s="42"/>
      <c r="BS509" s="42"/>
      <c r="BT509" s="42"/>
      <c r="BU509" s="42">
        <v>12</v>
      </c>
      <c r="BV509" s="42"/>
      <c r="BW509" s="42"/>
      <c r="BX509" s="758"/>
      <c r="BY509" s="851"/>
      <c r="BZ509" s="851"/>
      <c r="CA509" s="851"/>
      <c r="CB509" s="851"/>
      <c r="CC509" s="851"/>
      <c r="CD509" s="851"/>
      <c r="CE509" s="851"/>
      <c r="CF509" s="851"/>
      <c r="CG509" s="97"/>
      <c r="CH509" s="647"/>
      <c r="CI509" s="97"/>
      <c r="CJ509" s="97"/>
      <c r="CK509" s="647"/>
      <c r="CL509" s="469" t="s">
        <v>1841</v>
      </c>
      <c r="CM509" s="647"/>
      <c r="CN509" s="97"/>
      <c r="CO509" s="97"/>
      <c r="CP509" s="97"/>
      <c r="CQ509" s="97"/>
      <c r="CR509" s="638"/>
      <c r="CS509" s="647"/>
      <c r="CU509" s="23"/>
      <c r="CV509" s="23"/>
      <c r="CW509" s="23"/>
      <c r="CX509" s="23"/>
      <c r="DA509" s="431"/>
    </row>
    <row r="510" spans="1:105" s="128" customFormat="1" ht="12" customHeight="1" x14ac:dyDescent="0.2">
      <c r="A510" s="651"/>
      <c r="B510" s="537"/>
      <c r="C510" s="97" t="s">
        <v>29</v>
      </c>
      <c r="D510" s="169" t="s">
        <v>1131</v>
      </c>
      <c r="E510" s="647" t="s">
        <v>924</v>
      </c>
      <c r="F510" s="647"/>
      <c r="G510" s="237"/>
      <c r="H510" s="186"/>
      <c r="I510" s="166">
        <v>1992</v>
      </c>
      <c r="J510" s="390"/>
      <c r="K510" s="390"/>
      <c r="L510" s="493"/>
      <c r="M510" s="237" t="s">
        <v>17</v>
      </c>
      <c r="N510" s="493"/>
      <c r="O510" s="98" t="s">
        <v>104</v>
      </c>
      <c r="P510" s="98"/>
      <c r="Q510" s="237"/>
      <c r="R510" s="254"/>
      <c r="S510" s="254"/>
      <c r="T510" s="254"/>
      <c r="U510" s="393">
        <v>171</v>
      </c>
      <c r="V510" s="694"/>
      <c r="W510" s="711"/>
      <c r="X510" s="254"/>
      <c r="Y510" s="446"/>
      <c r="Z510" s="446"/>
      <c r="AA510" s="446"/>
      <c r="AB510" s="446"/>
      <c r="AC510" s="446"/>
      <c r="AD510" s="446"/>
      <c r="AE510" s="446"/>
      <c r="AF510" s="446"/>
      <c r="AG510" s="446"/>
      <c r="AH510" s="446"/>
      <c r="AI510" s="446"/>
      <c r="AJ510" s="446"/>
      <c r="AK510" s="446"/>
      <c r="AL510" s="446"/>
      <c r="AM510" s="446"/>
      <c r="AN510" s="446"/>
      <c r="AO510" s="446"/>
      <c r="AP510" s="446"/>
      <c r="AQ510" s="446"/>
      <c r="AR510" s="446"/>
      <c r="AS510" s="446"/>
      <c r="AT510" s="446"/>
      <c r="AU510" s="446"/>
      <c r="AV510" s="446"/>
      <c r="AW510" s="446"/>
      <c r="AX510" s="446"/>
      <c r="AY510" s="446"/>
      <c r="AZ510" s="446"/>
      <c r="BA510" s="446"/>
      <c r="BB510" s="446"/>
      <c r="BC510" s="446"/>
      <c r="BD510" s="446"/>
      <c r="BE510" s="446"/>
      <c r="BF510" s="446"/>
      <c r="BG510" s="446"/>
      <c r="BH510" s="446"/>
      <c r="BI510" s="445"/>
      <c r="BJ510" s="446"/>
      <c r="BK510" s="446"/>
      <c r="BL510" s="446"/>
      <c r="BM510" s="446"/>
      <c r="BN510" s="446"/>
      <c r="BO510" s="446"/>
      <c r="BP510" s="446"/>
      <c r="BQ510" s="444"/>
      <c r="BR510" s="445"/>
      <c r="BS510" s="442">
        <v>40</v>
      </c>
      <c r="BT510" s="458"/>
      <c r="BU510" s="458"/>
      <c r="BV510" s="577"/>
      <c r="BW510" s="577"/>
      <c r="BX510" s="756"/>
      <c r="BY510" s="850"/>
      <c r="BZ510" s="850"/>
      <c r="CA510" s="850"/>
      <c r="CB510" s="850"/>
      <c r="CC510" s="850"/>
      <c r="CD510" s="850"/>
      <c r="CE510" s="850"/>
      <c r="CF510" s="850"/>
      <c r="CG510" s="169" t="s">
        <v>524</v>
      </c>
      <c r="CH510" s="417"/>
      <c r="CI510" s="406"/>
      <c r="CJ510" s="23"/>
      <c r="CK510" s="417" t="s">
        <v>1062</v>
      </c>
      <c r="CL510" s="572"/>
      <c r="CM510" s="648"/>
      <c r="CN510" s="35"/>
      <c r="CO510" s="35"/>
      <c r="CP510" s="35"/>
      <c r="CQ510" s="35"/>
      <c r="CR510" s="406"/>
      <c r="CS510" s="648"/>
      <c r="CU510" s="23"/>
      <c r="CV510" s="23"/>
      <c r="CW510" s="23"/>
      <c r="CX510" s="23"/>
      <c r="DA510" s="431"/>
    </row>
    <row r="511" spans="1:105" s="128" customFormat="1" ht="12" customHeight="1" x14ac:dyDescent="0.2">
      <c r="A511" s="651"/>
      <c r="B511" s="537"/>
      <c r="C511" s="97" t="s">
        <v>29</v>
      </c>
      <c r="D511" s="169" t="s">
        <v>1131</v>
      </c>
      <c r="E511" s="647" t="s">
        <v>14</v>
      </c>
      <c r="F511" s="647"/>
      <c r="G511" s="237"/>
      <c r="H511" s="186"/>
      <c r="I511" s="166">
        <v>2002</v>
      </c>
      <c r="J511" s="390"/>
      <c r="K511" s="390"/>
      <c r="L511" s="493" t="s">
        <v>578</v>
      </c>
      <c r="M511" s="237" t="s">
        <v>17</v>
      </c>
      <c r="N511" s="493"/>
      <c r="O511" s="98" t="s">
        <v>545</v>
      </c>
      <c r="P511" s="98"/>
      <c r="Q511" s="237"/>
      <c r="R511" s="254"/>
      <c r="S511" s="254"/>
      <c r="T511" s="254"/>
      <c r="U511" s="397">
        <f>1509+96</f>
        <v>1605</v>
      </c>
      <c r="V511" s="694"/>
      <c r="W511" s="713"/>
      <c r="X511" s="254"/>
      <c r="Y511" s="472"/>
      <c r="Z511" s="472"/>
      <c r="AA511" s="472"/>
      <c r="AB511" s="472"/>
      <c r="AC511" s="472"/>
      <c r="AD511" s="472"/>
      <c r="AE511" s="472"/>
      <c r="AF511" s="472"/>
      <c r="AG511" s="472"/>
      <c r="AH511" s="472"/>
      <c r="AI511" s="472"/>
      <c r="AJ511" s="472"/>
      <c r="AK511" s="472"/>
      <c r="AL511" s="472"/>
      <c r="AM511" s="472"/>
      <c r="AN511" s="472"/>
      <c r="AO511" s="472"/>
      <c r="AP511" s="472"/>
      <c r="AQ511" s="472"/>
      <c r="AR511" s="472"/>
      <c r="AS511" s="472"/>
      <c r="AT511" s="472"/>
      <c r="AU511" s="472"/>
      <c r="AV511" s="472"/>
      <c r="AW511" s="472"/>
      <c r="AX511" s="472"/>
      <c r="AY511" s="472"/>
      <c r="AZ511" s="472"/>
      <c r="BA511" s="472"/>
      <c r="BB511" s="472"/>
      <c r="BC511" s="472"/>
      <c r="BD511" s="472"/>
      <c r="BE511" s="446"/>
      <c r="BF511" s="446"/>
      <c r="BG511" s="472"/>
      <c r="BH511" s="472"/>
      <c r="BI511" s="445"/>
      <c r="BJ511" s="446">
        <v>36</v>
      </c>
      <c r="BK511" s="446"/>
      <c r="BL511" s="446"/>
      <c r="BM511" s="446"/>
      <c r="BN511" s="446"/>
      <c r="BO511" s="446"/>
      <c r="BP511" s="446"/>
      <c r="BQ511" s="444"/>
      <c r="BR511" s="445"/>
      <c r="BS511" s="442"/>
      <c r="BT511" s="458"/>
      <c r="BU511" s="458"/>
      <c r="BV511" s="577"/>
      <c r="BW511" s="577"/>
      <c r="BX511" s="756"/>
      <c r="BY511" s="850"/>
      <c r="BZ511" s="850"/>
      <c r="CA511" s="850"/>
      <c r="CB511" s="850"/>
      <c r="CC511" s="850"/>
      <c r="CD511" s="850"/>
      <c r="CE511" s="850"/>
      <c r="CF511" s="850"/>
      <c r="CG511" s="169" t="s">
        <v>576</v>
      </c>
      <c r="CH511" s="421" t="s">
        <v>1046</v>
      </c>
      <c r="CI511" s="406"/>
      <c r="CJ511" s="23"/>
      <c r="CK511" s="431"/>
      <c r="CL511" s="572"/>
      <c r="CM511" s="648"/>
      <c r="CN511" s="35"/>
      <c r="CO511" s="35"/>
      <c r="CP511" s="35"/>
      <c r="CQ511" s="35"/>
      <c r="CR511" s="406"/>
      <c r="CS511" s="648"/>
      <c r="CU511" s="23"/>
      <c r="CV511" s="23"/>
      <c r="CW511" s="23"/>
      <c r="CX511" s="23"/>
      <c r="DA511" s="431"/>
    </row>
    <row r="512" spans="1:105" s="128" customFormat="1" ht="12" customHeight="1" x14ac:dyDescent="0.2">
      <c r="A512" s="652"/>
      <c r="B512" s="469" t="s">
        <v>1822</v>
      </c>
      <c r="C512" s="390" t="s">
        <v>31</v>
      </c>
      <c r="D512" s="237" t="s">
        <v>1131</v>
      </c>
      <c r="E512" s="647" t="s">
        <v>14</v>
      </c>
      <c r="F512" s="647"/>
      <c r="G512" s="237"/>
      <c r="H512" s="186"/>
      <c r="I512" s="481" t="s">
        <v>235</v>
      </c>
      <c r="J512" s="571">
        <v>2005</v>
      </c>
      <c r="K512" s="571"/>
      <c r="L512" s="494" t="s">
        <v>244</v>
      </c>
      <c r="M512" s="247" t="s">
        <v>1837</v>
      </c>
      <c r="N512" s="494" t="s">
        <v>783</v>
      </c>
      <c r="O512" s="247" t="s">
        <v>19</v>
      </c>
      <c r="P512" s="98">
        <v>15</v>
      </c>
      <c r="Q512" s="247">
        <v>49</v>
      </c>
      <c r="R512" s="552">
        <v>27.667901650387329</v>
      </c>
      <c r="S512" s="552"/>
      <c r="T512" s="552"/>
      <c r="U512" s="553">
        <v>4968</v>
      </c>
      <c r="V512" s="794"/>
      <c r="W512" s="712"/>
      <c r="X512" s="552">
        <v>7.8591802358225644</v>
      </c>
      <c r="Y512" s="552">
        <v>10.469607643830036</v>
      </c>
      <c r="Z512" s="552">
        <v>9.5141288879853629</v>
      </c>
      <c r="AA512" s="555"/>
      <c r="AB512" s="555"/>
      <c r="AC512" s="552">
        <v>24.938271604938301</v>
      </c>
      <c r="AD512" s="552">
        <v>23.106995884773664</v>
      </c>
      <c r="AE512" s="552">
        <v>9.7923452768729575</v>
      </c>
      <c r="AF512" s="552">
        <v>8.6726384364821048</v>
      </c>
      <c r="AG512" s="552">
        <v>2.3199515836191247</v>
      </c>
      <c r="AH512" s="552">
        <v>1.9568287270526472</v>
      </c>
      <c r="AI512" s="555"/>
      <c r="AJ512" s="555"/>
      <c r="AK512" s="552">
        <v>2.2773075372833582</v>
      </c>
      <c r="AL512" s="552">
        <v>1.975010076582024</v>
      </c>
      <c r="AM512" s="552">
        <v>25.595959595959648</v>
      </c>
      <c r="AN512" s="552">
        <v>21.757575757575736</v>
      </c>
      <c r="AO512" s="555"/>
      <c r="AP512" s="555"/>
      <c r="AQ512" s="552">
        <v>11.794354838709653</v>
      </c>
      <c r="AR512" s="552">
        <v>10.282258064516165</v>
      </c>
      <c r="AS512" s="552">
        <v>12.449556093623903</v>
      </c>
      <c r="AT512" s="552">
        <v>10.613397901533473</v>
      </c>
      <c r="AU512" s="555"/>
      <c r="AV512" s="555"/>
      <c r="AW512" s="552">
        <v>7.577589681580033</v>
      </c>
      <c r="AX512" s="552">
        <v>6.6908504635227644</v>
      </c>
      <c r="AY512" s="555"/>
      <c r="AZ512" s="555"/>
      <c r="BA512" s="552"/>
      <c r="BB512" s="552"/>
      <c r="BC512" s="555"/>
      <c r="BD512" s="555"/>
      <c r="BE512" s="552"/>
      <c r="BF512" s="552"/>
      <c r="BG512" s="555"/>
      <c r="BH512" s="555"/>
      <c r="BI512" s="552">
        <v>30.132850241545782</v>
      </c>
      <c r="BJ512" s="552">
        <v>25.447956512985655</v>
      </c>
      <c r="BK512" s="552"/>
      <c r="BL512" s="552"/>
      <c r="BM512" s="552">
        <v>10.774818401937097</v>
      </c>
      <c r="BN512" s="552">
        <v>10.068603712671486</v>
      </c>
      <c r="BO512" s="552">
        <v>10.765501918804295</v>
      </c>
      <c r="BP512" s="552">
        <v>9.8565946273480076</v>
      </c>
      <c r="BQ512" s="552"/>
      <c r="BR512" s="42"/>
      <c r="BS512" s="42"/>
      <c r="BT512" s="42"/>
      <c r="BU512" s="42">
        <v>12</v>
      </c>
      <c r="BV512" s="42"/>
      <c r="BW512" s="42"/>
      <c r="BX512" s="758"/>
      <c r="BY512" s="851"/>
      <c r="BZ512" s="851"/>
      <c r="CA512" s="851"/>
      <c r="CB512" s="851"/>
      <c r="CC512" s="851"/>
      <c r="CD512" s="851"/>
      <c r="CE512" s="851"/>
      <c r="CF512" s="851"/>
      <c r="CG512" s="97"/>
      <c r="CH512" s="647"/>
      <c r="CI512" s="97"/>
      <c r="CJ512" s="97"/>
      <c r="CK512" s="647"/>
      <c r="CL512" s="469" t="s">
        <v>1841</v>
      </c>
      <c r="CM512" s="647"/>
      <c r="CN512" s="97"/>
      <c r="CO512" s="97"/>
      <c r="CP512" s="97"/>
      <c r="CQ512" s="97"/>
      <c r="CR512" s="638"/>
      <c r="CS512" s="647"/>
      <c r="CU512" s="23"/>
      <c r="CV512" s="23"/>
      <c r="CW512" s="23"/>
      <c r="CX512" s="23"/>
      <c r="DA512" s="431"/>
    </row>
    <row r="513" spans="1:105" s="128" customFormat="1" ht="12" customHeight="1" x14ac:dyDescent="0.2">
      <c r="A513" s="652"/>
      <c r="B513" s="469" t="s">
        <v>1823</v>
      </c>
      <c r="C513" s="390" t="s">
        <v>31</v>
      </c>
      <c r="D513" s="237" t="s">
        <v>1131</v>
      </c>
      <c r="E513" s="647" t="s">
        <v>14</v>
      </c>
      <c r="F513" s="647"/>
      <c r="G513" s="237"/>
      <c r="H513" s="186"/>
      <c r="I513" s="481" t="s">
        <v>1159</v>
      </c>
      <c r="J513" s="571">
        <v>2010</v>
      </c>
      <c r="K513" s="571"/>
      <c r="L513" s="494" t="s">
        <v>244</v>
      </c>
      <c r="M513" s="247" t="s">
        <v>1837</v>
      </c>
      <c r="N513" s="494" t="s">
        <v>783</v>
      </c>
      <c r="O513" s="247" t="s">
        <v>19</v>
      </c>
      <c r="P513" s="98">
        <v>15</v>
      </c>
      <c r="Q513" s="247">
        <v>49</v>
      </c>
      <c r="R513" s="552">
        <v>28.14589466797517</v>
      </c>
      <c r="S513" s="552"/>
      <c r="T513" s="552"/>
      <c r="U513" s="553">
        <v>5280</v>
      </c>
      <c r="V513" s="794"/>
      <c r="W513" s="712"/>
      <c r="X513" s="552">
        <v>8.9514774833714714</v>
      </c>
      <c r="Y513" s="552">
        <v>10.056818181818198</v>
      </c>
      <c r="Z513" s="552">
        <v>8.5984848484847944</v>
      </c>
      <c r="AA513" s="552">
        <v>25.340909090909136</v>
      </c>
      <c r="AB513" s="552">
        <v>25.340909090909136</v>
      </c>
      <c r="AC513" s="552">
        <v>20.39772727272727</v>
      </c>
      <c r="AD513" s="552">
        <v>17.784090909090924</v>
      </c>
      <c r="AE513" s="552">
        <v>8.9204545454545627</v>
      </c>
      <c r="AF513" s="552">
        <v>7.6325757575757498</v>
      </c>
      <c r="AG513" s="552">
        <v>1.8560606060606051</v>
      </c>
      <c r="AH513" s="552">
        <v>1.325757575757575</v>
      </c>
      <c r="AI513" s="555"/>
      <c r="AJ513" s="555"/>
      <c r="AK513" s="555"/>
      <c r="AL513" s="555"/>
      <c r="AM513" s="552">
        <v>23.825757575757596</v>
      </c>
      <c r="AN513" s="552">
        <v>16.4962121212121</v>
      </c>
      <c r="AO513" s="552">
        <v>4.4128787878787765</v>
      </c>
      <c r="AP513" s="552">
        <v>4.0719696969697026</v>
      </c>
      <c r="AQ513" s="552">
        <v>9.4696969696969564</v>
      </c>
      <c r="AR513" s="552">
        <v>7.5946969696969786</v>
      </c>
      <c r="AS513" s="552">
        <v>9.3939393939394122</v>
      </c>
      <c r="AT513" s="552">
        <v>6.7424242424242244</v>
      </c>
      <c r="AU513" s="552">
        <v>7.8598484848484871</v>
      </c>
      <c r="AV513" s="552">
        <v>5.5681818181818192</v>
      </c>
      <c r="AW513" s="552">
        <v>1.4204545454545452</v>
      </c>
      <c r="AX513" s="552">
        <v>1.1931818181818186</v>
      </c>
      <c r="AY513" s="555"/>
      <c r="AZ513" s="555"/>
      <c r="BA513" s="552"/>
      <c r="BB513" s="552"/>
      <c r="BC513" s="555"/>
      <c r="BD513" s="555"/>
      <c r="BE513" s="552"/>
      <c r="BF513" s="552"/>
      <c r="BG513" s="552"/>
      <c r="BH513" s="552"/>
      <c r="BI513" s="552">
        <v>28.200757575757592</v>
      </c>
      <c r="BJ513" s="552">
        <v>20.511363636363622</v>
      </c>
      <c r="BK513" s="552"/>
      <c r="BL513" s="552"/>
      <c r="BM513" s="552">
        <v>12.5</v>
      </c>
      <c r="BN513" s="552">
        <v>10.511363636363585</v>
      </c>
      <c r="BO513" s="552">
        <v>8.295454545454545</v>
      </c>
      <c r="BP513" s="552">
        <v>7.1401515151515058</v>
      </c>
      <c r="BQ513" s="552"/>
      <c r="BR513" s="42"/>
      <c r="BS513" s="42"/>
      <c r="BT513" s="42"/>
      <c r="BU513" s="42">
        <v>12</v>
      </c>
      <c r="BV513" s="42"/>
      <c r="BW513" s="42"/>
      <c r="BX513" s="758"/>
      <c r="BY513" s="851"/>
      <c r="BZ513" s="851"/>
      <c r="CA513" s="851"/>
      <c r="CB513" s="851"/>
      <c r="CC513" s="851"/>
      <c r="CD513" s="851"/>
      <c r="CE513" s="851"/>
      <c r="CF513" s="851"/>
      <c r="CG513" s="97"/>
      <c r="CH513" s="647"/>
      <c r="CI513" s="97"/>
      <c r="CJ513" s="97"/>
      <c r="CK513" s="647"/>
      <c r="CL513" s="469" t="s">
        <v>1841</v>
      </c>
      <c r="CM513" s="647"/>
      <c r="CN513" s="97"/>
      <c r="CO513" s="97"/>
      <c r="CP513" s="97"/>
      <c r="CQ513" s="97"/>
      <c r="CR513" s="638"/>
      <c r="CS513" s="647"/>
      <c r="CU513" s="23"/>
      <c r="CV513" s="23"/>
      <c r="CW513" s="23"/>
      <c r="CX513" s="23"/>
      <c r="DA513" s="431"/>
    </row>
    <row r="514" spans="1:105" s="128" customFormat="1" ht="12" customHeight="1" x14ac:dyDescent="0.2">
      <c r="A514" s="651"/>
      <c r="B514" s="537"/>
      <c r="C514" s="97" t="s">
        <v>31</v>
      </c>
      <c r="D514" s="169" t="s">
        <v>1131</v>
      </c>
      <c r="E514" s="647" t="s">
        <v>32</v>
      </c>
      <c r="F514" s="647"/>
      <c r="G514" s="98"/>
      <c r="H514" s="97"/>
      <c r="I514" s="166">
        <v>1996</v>
      </c>
      <c r="J514" s="571"/>
      <c r="K514" s="571"/>
      <c r="L514" s="493"/>
      <c r="M514" s="98" t="s">
        <v>17</v>
      </c>
      <c r="N514" s="493"/>
      <c r="O514" s="98" t="s">
        <v>322</v>
      </c>
      <c r="P514" s="98"/>
      <c r="Q514" s="98"/>
      <c r="R514" s="167"/>
      <c r="S514" s="167"/>
      <c r="T514" s="167"/>
      <c r="U514" s="393">
        <v>966</v>
      </c>
      <c r="V514" s="694"/>
      <c r="W514" s="711"/>
      <c r="X514" s="167"/>
      <c r="Y514" s="446"/>
      <c r="Z514" s="446"/>
      <c r="AA514" s="446"/>
      <c r="AB514" s="446"/>
      <c r="AC514" s="446"/>
      <c r="AD514" s="446"/>
      <c r="AE514" s="446"/>
      <c r="AF514" s="446"/>
      <c r="AG514" s="446"/>
      <c r="AH514" s="446"/>
      <c r="AI514" s="446"/>
      <c r="AJ514" s="446"/>
      <c r="AK514" s="446"/>
      <c r="AL514" s="446"/>
      <c r="AM514" s="446"/>
      <c r="AN514" s="446"/>
      <c r="AO514" s="446"/>
      <c r="AP514" s="446"/>
      <c r="AQ514" s="446"/>
      <c r="AR514" s="446"/>
      <c r="AS514" s="446"/>
      <c r="AT514" s="446"/>
      <c r="AU514" s="446"/>
      <c r="AV514" s="446"/>
      <c r="AW514" s="446"/>
      <c r="AX514" s="446"/>
      <c r="AY514" s="446"/>
      <c r="AZ514" s="446"/>
      <c r="BA514" s="446"/>
      <c r="BB514" s="446"/>
      <c r="BC514" s="446"/>
      <c r="BD514" s="446"/>
      <c r="BE514" s="446"/>
      <c r="BF514" s="446"/>
      <c r="BG514" s="446"/>
      <c r="BH514" s="446"/>
      <c r="BI514" s="445">
        <v>17</v>
      </c>
      <c r="BJ514" s="446"/>
      <c r="BK514" s="446"/>
      <c r="BL514" s="446"/>
      <c r="BM514" s="446"/>
      <c r="BN514" s="446"/>
      <c r="BO514" s="446"/>
      <c r="BP514" s="446"/>
      <c r="BQ514" s="458"/>
      <c r="BR514" s="458"/>
      <c r="BS514" s="458"/>
      <c r="BT514" s="458"/>
      <c r="BU514" s="458"/>
      <c r="BV514" s="577"/>
      <c r="BW514" s="577"/>
      <c r="BX514" s="756"/>
      <c r="BY514" s="850"/>
      <c r="BZ514" s="850"/>
      <c r="CA514" s="850"/>
      <c r="CB514" s="850"/>
      <c r="CC514" s="850"/>
      <c r="CD514" s="850"/>
      <c r="CE514" s="850"/>
      <c r="CF514" s="850"/>
      <c r="CG514" s="169" t="s">
        <v>523</v>
      </c>
      <c r="CH514" s="417"/>
      <c r="CI514" s="406"/>
      <c r="CJ514" s="23"/>
      <c r="CK514" s="426" t="s">
        <v>1041</v>
      </c>
      <c r="CL514" s="572"/>
      <c r="CM514" s="648"/>
      <c r="CN514" s="35"/>
      <c r="CO514" s="35"/>
      <c r="CP514" s="35"/>
      <c r="CQ514" s="35"/>
      <c r="CR514" s="406"/>
      <c r="CS514" s="648"/>
      <c r="CU514" s="23"/>
      <c r="CV514" s="23"/>
      <c r="CW514" s="23"/>
      <c r="CX514" s="23"/>
      <c r="DA514" s="431"/>
    </row>
    <row r="515" spans="1:105" s="128" customFormat="1" ht="12" customHeight="1" x14ac:dyDescent="0.2">
      <c r="A515" s="651"/>
      <c r="B515" s="537"/>
      <c r="C515" s="97" t="s">
        <v>31</v>
      </c>
      <c r="D515" s="169" t="s">
        <v>1131</v>
      </c>
      <c r="E515" s="647" t="s">
        <v>14</v>
      </c>
      <c r="F515" s="647"/>
      <c r="G515" s="237"/>
      <c r="H515" s="186"/>
      <c r="I515" s="166">
        <v>2002</v>
      </c>
      <c r="J515" s="390"/>
      <c r="K515" s="390"/>
      <c r="L515" s="493" t="s">
        <v>578</v>
      </c>
      <c r="M515" s="237" t="s">
        <v>17</v>
      </c>
      <c r="N515" s="493"/>
      <c r="O515" s="98"/>
      <c r="P515" s="98"/>
      <c r="Q515" s="237"/>
      <c r="R515" s="254"/>
      <c r="S515" s="254"/>
      <c r="T515" s="254"/>
      <c r="U515" s="393">
        <f>1498+45</f>
        <v>1543</v>
      </c>
      <c r="V515" s="694"/>
      <c r="W515" s="711"/>
      <c r="X515" s="254"/>
      <c r="Y515" s="446"/>
      <c r="Z515" s="446"/>
      <c r="AA515" s="446"/>
      <c r="AB515" s="446"/>
      <c r="AC515" s="446"/>
      <c r="AD515" s="446"/>
      <c r="AE515" s="446"/>
      <c r="AF515" s="446"/>
      <c r="AG515" s="446"/>
      <c r="AH515" s="446"/>
      <c r="AI515" s="446"/>
      <c r="AJ515" s="446"/>
      <c r="AK515" s="446"/>
      <c r="AL515" s="446"/>
      <c r="AM515" s="446"/>
      <c r="AN515" s="446"/>
      <c r="AO515" s="446"/>
      <c r="AP515" s="446"/>
      <c r="AQ515" s="446"/>
      <c r="AR515" s="446"/>
      <c r="AS515" s="446"/>
      <c r="AT515" s="446"/>
      <c r="AU515" s="446"/>
      <c r="AV515" s="446"/>
      <c r="AW515" s="446"/>
      <c r="AX515" s="446"/>
      <c r="AY515" s="446"/>
      <c r="AZ515" s="446"/>
      <c r="BA515" s="446"/>
      <c r="BB515" s="446"/>
      <c r="BC515" s="446"/>
      <c r="BD515" s="446"/>
      <c r="BE515" s="446"/>
      <c r="BF515" s="446"/>
      <c r="BG515" s="446"/>
      <c r="BH515" s="446"/>
      <c r="BI515" s="445"/>
      <c r="BJ515" s="446">
        <v>17</v>
      </c>
      <c r="BK515" s="446"/>
      <c r="BL515" s="446"/>
      <c r="BM515" s="446"/>
      <c r="BN515" s="446"/>
      <c r="BO515" s="446"/>
      <c r="BP515" s="446"/>
      <c r="BQ515" s="458"/>
      <c r="BR515" s="458"/>
      <c r="BS515" s="458"/>
      <c r="BT515" s="458"/>
      <c r="BU515" s="458"/>
      <c r="BV515" s="577"/>
      <c r="BW515" s="577"/>
      <c r="BX515" s="756"/>
      <c r="BY515" s="850"/>
      <c r="BZ515" s="850"/>
      <c r="CA515" s="850"/>
      <c r="CB515" s="850"/>
      <c r="CC515" s="850"/>
      <c r="CD515" s="850"/>
      <c r="CE515" s="850"/>
      <c r="CF515" s="850"/>
      <c r="CG515" s="169" t="s">
        <v>576</v>
      </c>
      <c r="CH515" s="421" t="s">
        <v>1046</v>
      </c>
      <c r="CI515" s="406"/>
      <c r="CJ515" s="23"/>
      <c r="CK515" s="431"/>
      <c r="CL515" s="572"/>
      <c r="CM515" s="648"/>
      <c r="CN515" s="35"/>
      <c r="CO515" s="35"/>
      <c r="CP515" s="35"/>
      <c r="CQ515" s="35"/>
      <c r="CR515" s="406"/>
      <c r="CS515" s="648"/>
      <c r="CU515" s="23"/>
      <c r="CV515" s="23"/>
      <c r="CW515" s="23"/>
      <c r="CX515" s="23"/>
      <c r="DA515" s="431"/>
    </row>
    <row r="516" spans="1:105" x14ac:dyDescent="0.2">
      <c r="V516" s="504"/>
      <c r="BY516" s="861"/>
      <c r="BZ516" s="861"/>
      <c r="CA516" s="861"/>
      <c r="CB516" s="861"/>
      <c r="CC516" s="861"/>
      <c r="CD516" s="861"/>
      <c r="CE516" s="861"/>
      <c r="CF516" s="861"/>
    </row>
    <row r="517" spans="1:105" s="128" customFormat="1" ht="12" customHeight="1" x14ac:dyDescent="0.2">
      <c r="A517" s="48"/>
      <c r="B517" s="418"/>
      <c r="C517"/>
      <c r="D517" s="1"/>
      <c r="E517" s="48"/>
      <c r="F517" s="48"/>
      <c r="G517" s="1"/>
      <c r="H517"/>
      <c r="I517" s="2"/>
      <c r="J517" s="72"/>
      <c r="K517" s="72"/>
      <c r="L517" s="490"/>
      <c r="M517" s="1"/>
      <c r="N517" s="499"/>
      <c r="O517" s="1"/>
      <c r="P517" s="1"/>
      <c r="Q517" s="1"/>
      <c r="R517" s="3"/>
      <c r="S517" s="3"/>
      <c r="T517" s="3"/>
      <c r="U517" s="4"/>
      <c r="V517" s="504"/>
      <c r="W517" s="630"/>
      <c r="X517" s="24"/>
      <c r="Y517" s="505"/>
      <c r="Z517" s="439"/>
      <c r="AA517" s="439"/>
      <c r="AB517" s="439"/>
      <c r="AC517" s="439"/>
      <c r="AD517" s="439"/>
      <c r="AE517" s="439"/>
      <c r="AF517" s="439"/>
      <c r="AG517" s="439"/>
      <c r="AH517" s="439"/>
      <c r="AI517" s="439"/>
      <c r="AJ517" s="439"/>
      <c r="AK517" s="439"/>
      <c r="AL517" s="439"/>
      <c r="AM517" s="439"/>
      <c r="AN517" s="439"/>
      <c r="AO517" s="439"/>
      <c r="AP517" s="439"/>
      <c r="AQ517" s="439"/>
      <c r="AR517" s="439"/>
      <c r="AS517" s="439"/>
      <c r="AT517" s="439"/>
      <c r="AU517" s="439"/>
      <c r="AV517" s="439"/>
      <c r="AW517" s="439"/>
      <c r="AX517" s="439"/>
      <c r="AY517" s="439"/>
      <c r="AZ517" s="439"/>
      <c r="BA517" s="439"/>
      <c r="BB517" s="439"/>
      <c r="BC517" s="439"/>
      <c r="BD517" s="439"/>
      <c r="BE517" s="440"/>
      <c r="BF517" s="440"/>
      <c r="BG517" s="439"/>
      <c r="BH517" s="439"/>
      <c r="BI517" s="440"/>
      <c r="BJ517" s="440"/>
      <c r="BK517" s="440"/>
      <c r="BL517" s="440"/>
      <c r="BM517" s="440"/>
      <c r="BN517" s="440"/>
      <c r="BO517" s="440"/>
      <c r="BP517" s="440"/>
      <c r="BQ517" s="440"/>
      <c r="BR517" s="440"/>
      <c r="BS517" s="440"/>
      <c r="BT517" s="440"/>
      <c r="BU517" s="440"/>
      <c r="BV517" s="440"/>
      <c r="BW517" s="440"/>
      <c r="BX517" s="766"/>
      <c r="BY517" s="861"/>
      <c r="BZ517" s="861"/>
      <c r="CA517" s="861"/>
      <c r="CB517" s="861"/>
      <c r="CC517" s="861"/>
      <c r="CD517" s="861"/>
      <c r="CE517" s="861"/>
      <c r="CF517" s="861"/>
      <c r="CG517" s="1"/>
      <c r="CH517" s="418"/>
      <c r="CI517" s="403"/>
      <c r="CJ517" s="1"/>
      <c r="CK517" s="48"/>
      <c r="CL517" s="490"/>
      <c r="CM517" s="48"/>
      <c r="CN517"/>
      <c r="CO517"/>
      <c r="CP517"/>
      <c r="CQ517"/>
      <c r="CR517" s="403"/>
      <c r="CS517" s="48"/>
      <c r="CU517" s="23"/>
      <c r="CV517" s="23"/>
      <c r="CW517" s="23"/>
      <c r="CX517" s="23"/>
      <c r="DA517" s="431"/>
    </row>
    <row r="518" spans="1:105" s="382" customFormat="1" ht="14.25" customHeight="1" x14ac:dyDescent="0.2">
      <c r="A518" s="510"/>
      <c r="B518" s="539"/>
      <c r="C518" s="510" t="s">
        <v>1744</v>
      </c>
      <c r="D518" s="511"/>
      <c r="E518" s="702" t="s">
        <v>1735</v>
      </c>
      <c r="F518" s="702"/>
      <c r="G518" s="514"/>
      <c r="H518" s="512"/>
      <c r="I518" s="818" t="s">
        <v>1746</v>
      </c>
      <c r="J518" s="828"/>
      <c r="K518" s="828"/>
      <c r="L518" s="515"/>
      <c r="M518" s="516"/>
      <c r="N518" s="545"/>
      <c r="O518" s="98"/>
      <c r="P518" s="98"/>
      <c r="Q518" s="513"/>
      <c r="R518" s="583"/>
      <c r="S518" s="583"/>
      <c r="T518" s="583"/>
      <c r="U518" s="570"/>
      <c r="V518" s="803"/>
      <c r="W518" s="728"/>
      <c r="X518" s="583"/>
      <c r="Y518" s="517"/>
      <c r="Z518" s="517"/>
      <c r="AA518" s="517"/>
      <c r="AB518" s="517"/>
      <c r="AC518" s="517"/>
      <c r="AD518" s="517"/>
      <c r="AE518" s="517"/>
      <c r="AF518" s="517"/>
      <c r="AG518" s="517"/>
      <c r="AH518" s="517"/>
      <c r="AI518" s="517"/>
      <c r="AJ518" s="517"/>
      <c r="AK518" s="517"/>
      <c r="AL518" s="517"/>
      <c r="AM518" s="517"/>
      <c r="AN518" s="517"/>
      <c r="AO518" s="517"/>
      <c r="AP518" s="517"/>
      <c r="AQ518" s="517"/>
      <c r="AR518" s="517"/>
      <c r="AS518" s="517"/>
      <c r="AT518" s="517"/>
      <c r="AU518" s="517"/>
      <c r="AV518" s="517"/>
      <c r="AW518" s="517"/>
      <c r="AX518" s="517"/>
      <c r="AY518" s="517"/>
      <c r="AZ518" s="517"/>
      <c r="BA518" s="517"/>
      <c r="BB518" s="517"/>
      <c r="BC518" s="517"/>
      <c r="BD518" s="517"/>
      <c r="BE518" s="517"/>
      <c r="BF518" s="517"/>
      <c r="BG518" s="517"/>
      <c r="BH518" s="517"/>
      <c r="BI518" s="518"/>
      <c r="BJ518" s="517"/>
      <c r="BK518" s="517"/>
      <c r="BL518" s="517"/>
      <c r="BM518" s="517"/>
      <c r="BN518" s="517"/>
      <c r="BO518" s="517"/>
      <c r="BP518" s="517"/>
      <c r="BQ518" s="517"/>
      <c r="BR518" s="518"/>
      <c r="BS518" s="518"/>
      <c r="BT518" s="518"/>
      <c r="BU518" s="518"/>
      <c r="BV518" s="518"/>
      <c r="BW518" s="518"/>
      <c r="BX518" s="767"/>
      <c r="BY518" s="861"/>
      <c r="BZ518" s="861"/>
      <c r="CA518" s="861"/>
      <c r="CB518" s="861"/>
      <c r="CC518" s="861"/>
      <c r="CD518" s="861"/>
      <c r="CE518" s="861"/>
      <c r="CF518" s="861"/>
      <c r="CG518" s="511"/>
      <c r="CH518" s="519"/>
      <c r="CI518" s="520"/>
      <c r="CJ518" s="513"/>
      <c r="CK518" s="686"/>
      <c r="CL518" s="545"/>
      <c r="CM518" s="701"/>
      <c r="CN518" s="514"/>
      <c r="CO518" s="514"/>
      <c r="CP518" s="514"/>
      <c r="CQ518" s="514"/>
      <c r="CR518" s="847"/>
      <c r="CS518" s="701"/>
      <c r="CU518" s="387"/>
      <c r="CV518" s="387"/>
      <c r="CW518" s="387"/>
      <c r="CX518" s="387"/>
    </row>
    <row r="519" spans="1:105" s="128" customFormat="1" ht="12" customHeight="1" x14ac:dyDescent="0.2">
      <c r="A519" s="651"/>
      <c r="B519" s="537"/>
      <c r="C519" s="390"/>
      <c r="D519" s="36"/>
      <c r="E519" s="647"/>
      <c r="F519" s="647"/>
      <c r="G519" s="237"/>
      <c r="H519" s="186"/>
      <c r="I519" s="533"/>
      <c r="J519" s="390"/>
      <c r="K519" s="390"/>
      <c r="L519" s="494"/>
      <c r="M519" s="247"/>
      <c r="N519" s="494"/>
      <c r="O519" s="98"/>
      <c r="P519" s="98"/>
      <c r="Q519" s="247"/>
      <c r="R519" s="291"/>
      <c r="S519" s="291"/>
      <c r="T519" s="291"/>
      <c r="U519" s="170"/>
      <c r="V519" s="692"/>
      <c r="W519" s="700"/>
      <c r="X519" s="254"/>
      <c r="Y519" s="505"/>
      <c r="Z519" s="505"/>
      <c r="AA519" s="505"/>
      <c r="AB519" s="505"/>
      <c r="AC519" s="505"/>
      <c r="AD519" s="505"/>
      <c r="AE519" s="505"/>
      <c r="AF519" s="505"/>
      <c r="AG519" s="505"/>
      <c r="AH519" s="505"/>
      <c r="AI519" s="505"/>
      <c r="AJ519" s="505"/>
      <c r="AK519" s="505"/>
      <c r="AL519" s="505"/>
      <c r="AM519" s="505"/>
      <c r="AN519" s="505"/>
      <c r="AO519" s="505"/>
      <c r="AP519" s="505"/>
      <c r="AQ519" s="505"/>
      <c r="AR519" s="505"/>
      <c r="AS519" s="505"/>
      <c r="AT519" s="505"/>
      <c r="AU519" s="505"/>
      <c r="AV519" s="505"/>
      <c r="AW519" s="505"/>
      <c r="AX519" s="505"/>
      <c r="AY519" s="505"/>
      <c r="AZ519" s="505"/>
      <c r="BA519" s="505"/>
      <c r="BB519" s="505"/>
      <c r="BC519" s="505"/>
      <c r="BD519" s="505"/>
      <c r="BE519" s="271"/>
      <c r="BF519" s="271"/>
      <c r="BG519" s="505"/>
      <c r="BH519" s="505"/>
      <c r="BI519" s="271"/>
      <c r="BJ519" s="271"/>
      <c r="BK519" s="271"/>
      <c r="BL519" s="271"/>
      <c r="BM519" s="271"/>
      <c r="BN519" s="271"/>
      <c r="BO519" s="271"/>
      <c r="BP519" s="271"/>
      <c r="BQ519" s="271"/>
      <c r="BR519" s="271"/>
      <c r="BS519" s="271"/>
      <c r="BT519" s="271"/>
      <c r="BU519" s="271"/>
      <c r="BV519" s="271"/>
      <c r="BW519" s="271"/>
      <c r="BX519" s="757"/>
      <c r="BY519" s="850"/>
      <c r="BZ519" s="850"/>
      <c r="CA519" s="850"/>
      <c r="CB519" s="850"/>
      <c r="CC519" s="850"/>
      <c r="CD519" s="850"/>
      <c r="CE519" s="850"/>
      <c r="CF519" s="850"/>
      <c r="CG519" s="36"/>
      <c r="CH519" s="419"/>
      <c r="CI519" s="406"/>
      <c r="CJ519" s="23"/>
      <c r="CK519" s="419"/>
      <c r="CL519" s="572"/>
      <c r="CM519" s="431"/>
      <c r="CR519" s="406"/>
      <c r="CS519" s="431"/>
      <c r="CU519" s="23"/>
      <c r="CV519" s="23"/>
      <c r="CW519" s="23"/>
      <c r="CX519" s="23"/>
      <c r="DA519" s="431"/>
    </row>
    <row r="520" spans="1:105" x14ac:dyDescent="0.2">
      <c r="O520" s="237"/>
      <c r="P520" s="237"/>
      <c r="V520" s="504"/>
      <c r="BY520" s="861"/>
      <c r="BZ520" s="861"/>
      <c r="CA520" s="861"/>
      <c r="CB520" s="861"/>
      <c r="CC520" s="861"/>
      <c r="CD520" s="861"/>
      <c r="CE520" s="861"/>
      <c r="CF520" s="861"/>
    </row>
    <row r="521" spans="1:105" x14ac:dyDescent="0.2">
      <c r="A521" s="653" t="s">
        <v>1521</v>
      </c>
      <c r="B521" s="542"/>
      <c r="O521" s="237"/>
      <c r="P521" s="237"/>
      <c r="V521" s="504"/>
      <c r="BY521" s="861"/>
      <c r="BZ521" s="861"/>
      <c r="CA521" s="861"/>
      <c r="CB521" s="861"/>
      <c r="CC521" s="861"/>
      <c r="CD521" s="861"/>
      <c r="CE521" s="861"/>
      <c r="CF521" s="861"/>
      <c r="CL521" s="693" t="s">
        <v>1616</v>
      </c>
    </row>
    <row r="522" spans="1:105" s="72" customFormat="1" ht="13.5" customHeight="1" x14ac:dyDescent="0.2">
      <c r="A522" s="654"/>
      <c r="B522" s="541"/>
      <c r="C522" s="97" t="s">
        <v>368</v>
      </c>
      <c r="D522" s="177"/>
      <c r="E522" s="650" t="s">
        <v>926</v>
      </c>
      <c r="F522" s="650"/>
      <c r="G522" s="75"/>
      <c r="H522" s="74"/>
      <c r="I522" s="111">
        <v>2006</v>
      </c>
      <c r="J522" s="829"/>
      <c r="K522" s="829"/>
      <c r="L522" s="497" t="s">
        <v>927</v>
      </c>
      <c r="M522" s="75"/>
      <c r="N522" s="497"/>
      <c r="O522" s="98" t="s">
        <v>107</v>
      </c>
      <c r="P522" s="98"/>
      <c r="Q522" s="75"/>
      <c r="R522" s="584"/>
      <c r="S522" s="584"/>
      <c r="T522" s="584"/>
      <c r="U522" s="398">
        <v>283</v>
      </c>
      <c r="V522" s="501"/>
      <c r="W522" s="729"/>
      <c r="X522" s="254"/>
      <c r="Y522" s="443"/>
      <c r="Z522" s="460"/>
      <c r="AA522" s="460"/>
      <c r="AB522" s="460"/>
      <c r="AC522" s="460"/>
      <c r="AD522" s="460"/>
      <c r="AE522" s="460"/>
      <c r="AF522" s="460"/>
      <c r="AG522" s="460"/>
      <c r="AH522" s="460"/>
      <c r="AI522" s="460"/>
      <c r="AJ522" s="460"/>
      <c r="AK522" s="460"/>
      <c r="AL522" s="460"/>
      <c r="AM522" s="460"/>
      <c r="AN522" s="460"/>
      <c r="AO522" s="460"/>
      <c r="AP522" s="460"/>
      <c r="AQ522" s="460"/>
      <c r="AR522" s="460"/>
      <c r="AS522" s="460"/>
      <c r="AT522" s="460"/>
      <c r="AU522" s="460"/>
      <c r="AV522" s="460"/>
      <c r="AW522" s="460"/>
      <c r="AX522" s="460"/>
      <c r="AY522" s="460"/>
      <c r="AZ522" s="460"/>
      <c r="BA522" s="460"/>
      <c r="BB522" s="460"/>
      <c r="BC522" s="460"/>
      <c r="BD522" s="460"/>
      <c r="BE522" s="457"/>
      <c r="BF522" s="457"/>
      <c r="BG522" s="460"/>
      <c r="BH522" s="460"/>
      <c r="BI522" s="442">
        <v>75.900000000000006</v>
      </c>
      <c r="BJ522" s="457"/>
      <c r="BK522" s="457"/>
      <c r="BL522" s="457"/>
      <c r="BM522" s="457"/>
      <c r="BN522" s="457"/>
      <c r="BO522" s="457"/>
      <c r="BP522" s="457"/>
      <c r="BQ522" s="457"/>
      <c r="BR522" s="457"/>
      <c r="BS522" s="457"/>
      <c r="BT522" s="457"/>
      <c r="BU522" s="457"/>
      <c r="BV522" s="457"/>
      <c r="BW522" s="457"/>
      <c r="BX522" s="766"/>
      <c r="BY522" s="861"/>
      <c r="BZ522" s="861"/>
      <c r="CA522" s="861"/>
      <c r="CB522" s="861"/>
      <c r="CC522" s="861"/>
      <c r="CD522" s="861"/>
      <c r="CE522" s="861"/>
      <c r="CF522" s="861"/>
      <c r="CG522" s="177" t="s">
        <v>957</v>
      </c>
      <c r="CH522" s="418"/>
      <c r="CI522" s="406"/>
      <c r="CJ522" s="23"/>
      <c r="CK522" s="648"/>
      <c r="CL522" s="692"/>
      <c r="CM522" s="434"/>
      <c r="CR522" s="403"/>
      <c r="CS522" s="434"/>
      <c r="CU522" s="1"/>
      <c r="CV522" s="1"/>
      <c r="CW522" s="1"/>
      <c r="CX522" s="1"/>
      <c r="DA522" s="434"/>
    </row>
    <row r="523" spans="1:105" s="72" customFormat="1" ht="13.5" customHeight="1" x14ac:dyDescent="0.2">
      <c r="A523" s="654"/>
      <c r="B523" s="541"/>
      <c r="C523" s="14" t="s">
        <v>150</v>
      </c>
      <c r="D523" s="94"/>
      <c r="E523" s="434" t="s">
        <v>14</v>
      </c>
      <c r="F523" s="434"/>
      <c r="G523" s="19"/>
      <c r="H523" s="108"/>
      <c r="I523" s="2" t="s">
        <v>249</v>
      </c>
      <c r="J523" s="108"/>
      <c r="K523" s="108"/>
      <c r="L523" s="498"/>
      <c r="M523" s="19" t="s">
        <v>17</v>
      </c>
      <c r="N523" s="497"/>
      <c r="O523" s="98" t="s">
        <v>546</v>
      </c>
      <c r="P523" s="98"/>
      <c r="Q523" s="106"/>
      <c r="R523" s="588"/>
      <c r="S523" s="588"/>
      <c r="T523" s="588"/>
      <c r="U523" s="392">
        <v>1200</v>
      </c>
      <c r="V523" s="504"/>
      <c r="W523" s="530"/>
      <c r="X523" s="153"/>
      <c r="Y523" s="506"/>
      <c r="Z523" s="461"/>
      <c r="AA523" s="461"/>
      <c r="AB523" s="461"/>
      <c r="AC523" s="461"/>
      <c r="AD523" s="461"/>
      <c r="AE523" s="461"/>
      <c r="AF523" s="461"/>
      <c r="AG523" s="461"/>
      <c r="AH523" s="461"/>
      <c r="AI523" s="461"/>
      <c r="AJ523" s="461"/>
      <c r="AK523" s="461"/>
      <c r="AL523" s="461"/>
      <c r="AM523" s="461"/>
      <c r="AN523" s="461"/>
      <c r="AO523" s="461"/>
      <c r="AP523" s="461"/>
      <c r="AQ523" s="461"/>
      <c r="AR523" s="461"/>
      <c r="AS523" s="461"/>
      <c r="AT523" s="461"/>
      <c r="AU523" s="461"/>
      <c r="AV523" s="461"/>
      <c r="AW523" s="461"/>
      <c r="AX523" s="461"/>
      <c r="AY523" s="461"/>
      <c r="AZ523" s="461"/>
      <c r="BA523" s="461"/>
      <c r="BB523" s="461"/>
      <c r="BC523" s="461"/>
      <c r="BD523" s="461"/>
      <c r="BE523" s="457"/>
      <c r="BF523" s="457"/>
      <c r="BG523" s="461"/>
      <c r="BH523" s="461"/>
      <c r="BI523" s="457"/>
      <c r="BJ523" s="457"/>
      <c r="BK523" s="457"/>
      <c r="BL523" s="457"/>
      <c r="BM523" s="457"/>
      <c r="BN523" s="457"/>
      <c r="BO523" s="457"/>
      <c r="BP523" s="457"/>
      <c r="BQ523" s="457"/>
      <c r="BR523" s="457"/>
      <c r="BS523" s="457"/>
      <c r="BT523" s="457"/>
      <c r="BU523" s="457"/>
      <c r="BV523" s="457"/>
      <c r="BW523" s="457"/>
      <c r="BX523" s="756"/>
      <c r="BY523" s="850"/>
      <c r="BZ523" s="850"/>
      <c r="CA523" s="850"/>
      <c r="CB523" s="850"/>
      <c r="CC523" s="850"/>
      <c r="CD523" s="850"/>
      <c r="CE523" s="850"/>
      <c r="CF523" s="850"/>
      <c r="CG523" s="94"/>
      <c r="CH523" s="424" t="s">
        <v>815</v>
      </c>
      <c r="CI523" s="407"/>
      <c r="CJ523" s="36"/>
      <c r="CK523" s="685"/>
      <c r="CL523" s="692" t="s">
        <v>814</v>
      </c>
      <c r="CM523" s="434"/>
      <c r="CR523" s="403"/>
      <c r="CS523" s="434"/>
      <c r="CU523" s="1"/>
      <c r="CV523" s="1"/>
      <c r="CW523" s="1"/>
      <c r="CX523" s="1"/>
      <c r="DA523" s="434"/>
    </row>
    <row r="524" spans="1:105" s="72" customFormat="1" ht="13.5" customHeight="1" x14ac:dyDescent="0.2">
      <c r="A524" s="654"/>
      <c r="B524" s="541"/>
      <c r="C524" s="14" t="s">
        <v>156</v>
      </c>
      <c r="D524" s="18"/>
      <c r="E524" s="418" t="s">
        <v>509</v>
      </c>
      <c r="F524" s="418"/>
      <c r="G524" s="19"/>
      <c r="H524" s="15"/>
      <c r="I524" s="15" t="s">
        <v>510</v>
      </c>
      <c r="J524" s="15"/>
      <c r="K524" s="15"/>
      <c r="L524" s="498"/>
      <c r="M524" s="1"/>
      <c r="N524" s="497"/>
      <c r="O524" s="98" t="s">
        <v>229</v>
      </c>
      <c r="P524" s="98"/>
      <c r="Q524" s="1"/>
      <c r="R524" s="3"/>
      <c r="S524" s="3"/>
      <c r="T524" s="3"/>
      <c r="U524" s="396"/>
      <c r="V524" s="504"/>
      <c r="W524" s="653"/>
      <c r="X524" s="153"/>
      <c r="Y524" s="507"/>
      <c r="Z524" s="459"/>
      <c r="AA524" s="459"/>
      <c r="AB524" s="459"/>
      <c r="AC524" s="459"/>
      <c r="AD524" s="459"/>
      <c r="AE524" s="459"/>
      <c r="AF524" s="459"/>
      <c r="AG524" s="459"/>
      <c r="AH524" s="459"/>
      <c r="AI524" s="459"/>
      <c r="AJ524" s="459"/>
      <c r="AK524" s="459"/>
      <c r="AL524" s="459"/>
      <c r="AM524" s="459"/>
      <c r="AN524" s="459"/>
      <c r="AO524" s="459"/>
      <c r="AP524" s="459"/>
      <c r="AQ524" s="459"/>
      <c r="AR524" s="459"/>
      <c r="AS524" s="459"/>
      <c r="AT524" s="459"/>
      <c r="AU524" s="459"/>
      <c r="AV524" s="459"/>
      <c r="AW524" s="459"/>
      <c r="AX524" s="459"/>
      <c r="AY524" s="459"/>
      <c r="AZ524" s="459"/>
      <c r="BA524" s="459"/>
      <c r="BB524" s="459"/>
      <c r="BC524" s="459"/>
      <c r="BD524" s="459"/>
      <c r="BE524" s="457"/>
      <c r="BF524" s="457"/>
      <c r="BG524" s="459"/>
      <c r="BH524" s="459"/>
      <c r="BI524" s="457"/>
      <c r="BJ524" s="457"/>
      <c r="BK524" s="457"/>
      <c r="BL524" s="457"/>
      <c r="BM524" s="457"/>
      <c r="BN524" s="457"/>
      <c r="BO524" s="457"/>
      <c r="BP524" s="457"/>
      <c r="BQ524" s="457"/>
      <c r="BR524" s="457"/>
      <c r="BS524" s="457"/>
      <c r="BT524" s="457"/>
      <c r="BU524" s="457"/>
      <c r="BV524" s="457"/>
      <c r="BW524" s="457"/>
      <c r="BX524" s="756"/>
      <c r="BY524" s="850"/>
      <c r="BZ524" s="850"/>
      <c r="CA524" s="850"/>
      <c r="CB524" s="850"/>
      <c r="CC524" s="850"/>
      <c r="CD524" s="850"/>
      <c r="CE524" s="850"/>
      <c r="CF524" s="850"/>
      <c r="CG524" s="18"/>
      <c r="CH524" s="424" t="s">
        <v>593</v>
      </c>
      <c r="CI524" s="407"/>
      <c r="CJ524" s="23"/>
      <c r="CK524" s="648"/>
      <c r="CL524" s="692" t="s">
        <v>817</v>
      </c>
      <c r="CM524" s="434"/>
      <c r="CR524" s="403"/>
      <c r="CS524" s="434"/>
      <c r="CU524" s="1"/>
      <c r="CV524" s="1"/>
      <c r="CW524" s="1"/>
      <c r="CX524" s="1"/>
      <c r="DA524" s="434"/>
    </row>
    <row r="525" spans="1:105" ht="12" customHeight="1" x14ac:dyDescent="0.2">
      <c r="A525" s="654"/>
      <c r="B525" s="541"/>
      <c r="C525" s="14" t="s">
        <v>110</v>
      </c>
      <c r="D525" s="177"/>
      <c r="E525" s="418" t="s">
        <v>798</v>
      </c>
      <c r="F525" s="418"/>
      <c r="G525" s="19"/>
      <c r="H525" s="15"/>
      <c r="I525" s="15">
        <v>2001</v>
      </c>
      <c r="J525" s="15"/>
      <c r="K525" s="15"/>
      <c r="L525" s="498"/>
      <c r="M525" s="1" t="s">
        <v>15</v>
      </c>
      <c r="N525" s="497"/>
      <c r="O525" s="98"/>
      <c r="P525" s="98"/>
      <c r="U525" s="392">
        <v>133</v>
      </c>
      <c r="V525" s="504"/>
      <c r="W525" s="530"/>
      <c r="X525" s="153"/>
      <c r="Y525" s="506"/>
      <c r="Z525" s="461"/>
      <c r="AA525" s="461"/>
      <c r="AB525" s="461"/>
      <c r="AC525" s="461"/>
      <c r="AD525" s="461"/>
      <c r="AE525" s="461"/>
      <c r="AF525" s="461"/>
      <c r="AG525" s="461"/>
      <c r="AH525" s="461"/>
      <c r="AI525" s="461"/>
      <c r="AJ525" s="461"/>
      <c r="AK525" s="461"/>
      <c r="AL525" s="461"/>
      <c r="AM525" s="461"/>
      <c r="AN525" s="461"/>
      <c r="AO525" s="461"/>
      <c r="AP525" s="461"/>
      <c r="AQ525" s="461"/>
      <c r="AR525" s="461"/>
      <c r="AS525" s="461"/>
      <c r="AT525" s="461"/>
      <c r="AU525" s="461"/>
      <c r="AV525" s="461"/>
      <c r="AW525" s="461"/>
      <c r="AX525" s="461"/>
      <c r="AY525" s="461"/>
      <c r="AZ525" s="461"/>
      <c r="BA525" s="461"/>
      <c r="BB525" s="461"/>
      <c r="BC525" s="461"/>
      <c r="BD525" s="461"/>
      <c r="BE525" s="445"/>
      <c r="BF525" s="445"/>
      <c r="BG525" s="461"/>
      <c r="BH525" s="461"/>
      <c r="BI525" s="445">
        <v>21.7</v>
      </c>
      <c r="BJ525" s="445"/>
      <c r="BK525" s="445"/>
      <c r="BL525" s="445"/>
      <c r="BM525" s="445"/>
      <c r="BN525" s="445"/>
      <c r="BO525" s="445"/>
      <c r="BP525" s="445"/>
      <c r="BQ525" s="462"/>
      <c r="BR525" s="462"/>
      <c r="BS525" s="444"/>
      <c r="BT525" s="444"/>
      <c r="BU525" s="444"/>
      <c r="BV525" s="444"/>
      <c r="BW525" s="444"/>
      <c r="BX525" s="756"/>
      <c r="BY525" s="850"/>
      <c r="BZ525" s="850"/>
      <c r="CA525" s="850"/>
      <c r="CB525" s="850"/>
      <c r="CC525" s="850"/>
      <c r="CD525" s="850"/>
      <c r="CE525" s="850"/>
      <c r="CF525" s="850"/>
      <c r="CG525" s="177" t="s">
        <v>957</v>
      </c>
      <c r="CH525" s="424"/>
      <c r="CI525" s="407"/>
      <c r="CJ525" s="23"/>
      <c r="CK525" s="648"/>
      <c r="CL525" s="692" t="s">
        <v>810</v>
      </c>
    </row>
    <row r="526" spans="1:105" s="72" customFormat="1" ht="13.5" customHeight="1" x14ac:dyDescent="0.2">
      <c r="A526" s="654"/>
      <c r="B526" s="541"/>
      <c r="C526" s="45" t="s">
        <v>159</v>
      </c>
      <c r="D526" s="177"/>
      <c r="E526" s="647" t="s">
        <v>809</v>
      </c>
      <c r="F526" s="647"/>
      <c r="G526" s="98"/>
      <c r="H526" s="97"/>
      <c r="I526" s="82">
        <v>2002</v>
      </c>
      <c r="J526" s="571"/>
      <c r="K526" s="571"/>
      <c r="L526" s="495"/>
      <c r="M526" s="98" t="s">
        <v>17</v>
      </c>
      <c r="N526" s="495"/>
      <c r="O526" s="98"/>
      <c r="P526" s="98"/>
      <c r="Q526" s="98"/>
      <c r="R526" s="167"/>
      <c r="S526" s="167"/>
      <c r="T526" s="167"/>
      <c r="U526" s="393">
        <v>510</v>
      </c>
      <c r="V526" s="694"/>
      <c r="W526" s="711"/>
      <c r="X526" s="167"/>
      <c r="Y526" s="443"/>
      <c r="Z526" s="443"/>
      <c r="AA526" s="443"/>
      <c r="AB526" s="443"/>
      <c r="AC526" s="443"/>
      <c r="AD526" s="443"/>
      <c r="AE526" s="443"/>
      <c r="AF526" s="443"/>
      <c r="AG526" s="443"/>
      <c r="AH526" s="443"/>
      <c r="AI526" s="443"/>
      <c r="AJ526" s="443"/>
      <c r="AK526" s="443"/>
      <c r="AL526" s="443"/>
      <c r="AM526" s="443"/>
      <c r="AN526" s="443"/>
      <c r="AO526" s="443"/>
      <c r="AP526" s="443"/>
      <c r="AQ526" s="443"/>
      <c r="AR526" s="443"/>
      <c r="AS526" s="443"/>
      <c r="AT526" s="443"/>
      <c r="AU526" s="443"/>
      <c r="AV526" s="443"/>
      <c r="AW526" s="443"/>
      <c r="AX526" s="443"/>
      <c r="AY526" s="443"/>
      <c r="AZ526" s="443"/>
      <c r="BA526" s="443"/>
      <c r="BB526" s="443"/>
      <c r="BC526" s="443"/>
      <c r="BD526" s="443"/>
      <c r="BE526" s="446"/>
      <c r="BF526" s="446"/>
      <c r="BG526" s="443"/>
      <c r="BH526" s="443"/>
      <c r="BI526" s="446"/>
      <c r="BJ526" s="446"/>
      <c r="BK526" s="446"/>
      <c r="BL526" s="446"/>
      <c r="BM526" s="446"/>
      <c r="BN526" s="446"/>
      <c r="BO526" s="446"/>
      <c r="BP526" s="446"/>
      <c r="BQ526" s="462"/>
      <c r="BR526" s="445">
        <v>10.199999999999999</v>
      </c>
      <c r="BS526" s="446"/>
      <c r="BT526" s="446"/>
      <c r="BU526" s="446"/>
      <c r="BV526" s="446"/>
      <c r="BW526" s="446"/>
      <c r="BX526" s="756"/>
      <c r="BY526" s="850"/>
      <c r="BZ526" s="850"/>
      <c r="CA526" s="850"/>
      <c r="CB526" s="850"/>
      <c r="CC526" s="850"/>
      <c r="CD526" s="850"/>
      <c r="CE526" s="850"/>
      <c r="CF526" s="850"/>
      <c r="CG526" s="177" t="s">
        <v>957</v>
      </c>
      <c r="CH526" s="417"/>
      <c r="CI526" s="406"/>
      <c r="CJ526" s="23"/>
      <c r="CK526" s="648"/>
      <c r="CL526" s="692" t="s">
        <v>810</v>
      </c>
      <c r="CM526" s="434"/>
      <c r="CR526" s="403"/>
      <c r="CS526" s="434"/>
      <c r="CU526" s="1"/>
      <c r="CV526" s="1"/>
      <c r="CW526" s="1"/>
      <c r="CX526" s="1"/>
      <c r="DA526" s="434"/>
    </row>
    <row r="527" spans="1:105" s="72" customFormat="1" ht="13.5" customHeight="1" x14ac:dyDescent="0.2">
      <c r="A527" s="654"/>
      <c r="B527" s="541"/>
      <c r="C527" s="14" t="s">
        <v>182</v>
      </c>
      <c r="D527" s="19"/>
      <c r="E527" s="48" t="s">
        <v>14</v>
      </c>
      <c r="F527" s="48"/>
      <c r="G527" s="19"/>
      <c r="H527" s="14"/>
      <c r="I527" s="15">
        <v>1994</v>
      </c>
      <c r="J527" s="108"/>
      <c r="K527" s="108"/>
      <c r="L527" s="490"/>
      <c r="M527" s="19" t="s">
        <v>289</v>
      </c>
      <c r="N527" s="499"/>
      <c r="O527" s="98"/>
      <c r="P527" s="98"/>
      <c r="Q527" s="19"/>
      <c r="R527" s="16"/>
      <c r="S527" s="16"/>
      <c r="T527" s="16"/>
      <c r="U527" s="4">
        <v>2000</v>
      </c>
      <c r="V527" s="504"/>
      <c r="W527" s="630"/>
      <c r="X527" s="153"/>
      <c r="Y527" s="505"/>
      <c r="Z527" s="439"/>
      <c r="AA527" s="439"/>
      <c r="AB527" s="439"/>
      <c r="AC527" s="439"/>
      <c r="AD527" s="439"/>
      <c r="AE527" s="439"/>
      <c r="AF527" s="439"/>
      <c r="AG527" s="439"/>
      <c r="AH527" s="439"/>
      <c r="AI527" s="439"/>
      <c r="AJ527" s="439"/>
      <c r="AK527" s="439"/>
      <c r="AL527" s="439"/>
      <c r="AM527" s="439"/>
      <c r="AN527" s="439"/>
      <c r="AO527" s="439"/>
      <c r="AP527" s="439"/>
      <c r="AQ527" s="439"/>
      <c r="AR527" s="439"/>
      <c r="AS527" s="439"/>
      <c r="AT527" s="439"/>
      <c r="AU527" s="439"/>
      <c r="AV527" s="439"/>
      <c r="AW527" s="439"/>
      <c r="AX527" s="439"/>
      <c r="AY527" s="439"/>
      <c r="AZ527" s="439"/>
      <c r="BA527" s="439"/>
      <c r="BB527" s="439"/>
      <c r="BC527" s="439"/>
      <c r="BD527" s="439"/>
      <c r="BE527" s="445"/>
      <c r="BF527" s="445"/>
      <c r="BG527" s="439"/>
      <c r="BH527" s="439"/>
      <c r="BI527" s="442"/>
      <c r="BJ527" s="445">
        <v>21</v>
      </c>
      <c r="BK527" s="445"/>
      <c r="BL527" s="445"/>
      <c r="BM527" s="445"/>
      <c r="BN527" s="445"/>
      <c r="BO527" s="445"/>
      <c r="BP527" s="445"/>
      <c r="BQ527" s="462"/>
      <c r="BR527" s="444"/>
      <c r="BS527" s="442"/>
      <c r="BT527" s="444"/>
      <c r="BU527" s="444"/>
      <c r="BV527" s="444"/>
      <c r="BW527" s="444"/>
      <c r="BX527" s="766"/>
      <c r="BY527" s="861"/>
      <c r="BZ527" s="861"/>
      <c r="CA527" s="861"/>
      <c r="CB527" s="861"/>
      <c r="CC527" s="861"/>
      <c r="CD527" s="861"/>
      <c r="CE527" s="861"/>
      <c r="CF527" s="861"/>
      <c r="CG527" s="19" t="s">
        <v>218</v>
      </c>
      <c r="CH527" s="434"/>
      <c r="CI527" s="406"/>
      <c r="CJ527" s="23"/>
      <c r="CK527" s="431"/>
      <c r="CL527" s="692" t="s">
        <v>813</v>
      </c>
      <c r="CM527" s="434"/>
      <c r="CR527" s="403"/>
      <c r="CS527" s="434"/>
      <c r="CU527" s="1"/>
      <c r="CV527" s="1"/>
      <c r="CW527" s="1"/>
      <c r="CX527" s="1"/>
      <c r="DA527" s="434"/>
    </row>
    <row r="528" spans="1:105" ht="12" customHeight="1" x14ac:dyDescent="0.2">
      <c r="A528" s="654"/>
      <c r="B528" s="541"/>
      <c r="C528" s="14" t="s">
        <v>183</v>
      </c>
      <c r="D528" s="94"/>
      <c r="E528" s="434" t="s">
        <v>595</v>
      </c>
      <c r="F528" s="434"/>
      <c r="G528" s="19"/>
      <c r="H528" s="108"/>
      <c r="I528" s="2">
        <v>2008</v>
      </c>
      <c r="J528" s="108"/>
      <c r="K528" s="108"/>
      <c r="L528" s="498"/>
      <c r="M528" s="19"/>
      <c r="N528" s="497"/>
      <c r="O528" s="98"/>
      <c r="P528" s="98"/>
      <c r="Q528" s="106"/>
      <c r="R528" s="588"/>
      <c r="S528" s="588"/>
      <c r="T528" s="588"/>
      <c r="U528" s="399"/>
      <c r="V528" s="804"/>
      <c r="W528" s="730"/>
      <c r="X528" s="153"/>
      <c r="Y528" s="450"/>
      <c r="Z528" s="463"/>
      <c r="AA528" s="463"/>
      <c r="AB528" s="463"/>
      <c r="AC528" s="463"/>
      <c r="AD528" s="463"/>
      <c r="AE528" s="463"/>
      <c r="AF528" s="463"/>
      <c r="AG528" s="463"/>
      <c r="AH528" s="463"/>
      <c r="AI528" s="463"/>
      <c r="AJ528" s="463"/>
      <c r="AK528" s="463"/>
      <c r="AL528" s="463"/>
      <c r="AM528" s="463"/>
      <c r="AN528" s="463"/>
      <c r="AO528" s="463"/>
      <c r="AP528" s="463"/>
      <c r="AQ528" s="463"/>
      <c r="AR528" s="463"/>
      <c r="AS528" s="463"/>
      <c r="AT528" s="463"/>
      <c r="AU528" s="463"/>
      <c r="AV528" s="463"/>
      <c r="AW528" s="463"/>
      <c r="AX528" s="463"/>
      <c r="AY528" s="463"/>
      <c r="AZ528" s="463"/>
      <c r="BA528" s="463"/>
      <c r="BB528" s="463"/>
      <c r="BC528" s="463"/>
      <c r="BD528" s="463"/>
      <c r="BE528" s="464"/>
      <c r="BF528" s="464"/>
      <c r="BG528" s="463"/>
      <c r="BH528" s="463"/>
      <c r="BI528" s="464"/>
      <c r="BJ528" s="464"/>
      <c r="BK528" s="464"/>
      <c r="BL528" s="464"/>
      <c r="BM528" s="464"/>
      <c r="BN528" s="464"/>
      <c r="BO528" s="464"/>
      <c r="BP528" s="464"/>
      <c r="BQ528" s="464"/>
      <c r="BR528" s="442"/>
      <c r="BS528" s="442">
        <f>(34+36+50+86)/4</f>
        <v>51.5</v>
      </c>
      <c r="BT528" s="444"/>
      <c r="BU528" s="444"/>
      <c r="BV528" s="444"/>
      <c r="BW528" s="444"/>
      <c r="BX528" s="756"/>
      <c r="BY528" s="850"/>
      <c r="BZ528" s="850"/>
      <c r="CA528" s="850"/>
      <c r="CB528" s="850"/>
      <c r="CC528" s="850"/>
      <c r="CD528" s="850"/>
      <c r="CE528" s="850"/>
      <c r="CF528" s="850"/>
      <c r="CG528" s="94"/>
      <c r="CH528" s="424" t="s">
        <v>617</v>
      </c>
      <c r="CI528" s="409">
        <v>40505</v>
      </c>
      <c r="CJ528" s="36"/>
      <c r="CK528" s="685"/>
      <c r="CL528" s="692" t="s">
        <v>814</v>
      </c>
    </row>
    <row r="529" spans="1:105" ht="12" customHeight="1" x14ac:dyDescent="0.2">
      <c r="A529" s="654"/>
      <c r="B529" s="541"/>
      <c r="C529" s="45" t="s">
        <v>407</v>
      </c>
      <c r="D529" s="178"/>
      <c r="E529" s="650" t="s">
        <v>14</v>
      </c>
      <c r="F529" s="650"/>
      <c r="G529" s="75"/>
      <c r="H529" s="74"/>
      <c r="I529" s="111">
        <v>2010</v>
      </c>
      <c r="J529" s="829"/>
      <c r="K529" s="829"/>
      <c r="L529" s="497"/>
      <c r="M529" s="75" t="s">
        <v>17</v>
      </c>
      <c r="N529" s="497"/>
      <c r="O529" s="98" t="s">
        <v>627</v>
      </c>
      <c r="P529" s="98"/>
      <c r="Q529" s="75"/>
      <c r="R529" s="584"/>
      <c r="S529" s="584"/>
      <c r="T529" s="584"/>
      <c r="U529" s="398">
        <v>999999999</v>
      </c>
      <c r="V529" s="501"/>
      <c r="W529" s="729"/>
      <c r="X529" s="254"/>
      <c r="Y529" s="443"/>
      <c r="Z529" s="460"/>
      <c r="AA529" s="460"/>
      <c r="AB529" s="460"/>
      <c r="AC529" s="460"/>
      <c r="AD529" s="460"/>
      <c r="AE529" s="460"/>
      <c r="AF529" s="460"/>
      <c r="AG529" s="460"/>
      <c r="AH529" s="460"/>
      <c r="AI529" s="460"/>
      <c r="AJ529" s="460"/>
      <c r="AK529" s="460"/>
      <c r="AL529" s="460"/>
      <c r="AM529" s="460"/>
      <c r="AN529" s="460"/>
      <c r="AO529" s="460"/>
      <c r="AP529" s="460"/>
      <c r="AQ529" s="460"/>
      <c r="AR529" s="460"/>
      <c r="AS529" s="460"/>
      <c r="AT529" s="460"/>
      <c r="AU529" s="460"/>
      <c r="AV529" s="460"/>
      <c r="AW529" s="460"/>
      <c r="AX529" s="460"/>
      <c r="AY529" s="460"/>
      <c r="AZ529" s="460"/>
      <c r="BA529" s="460"/>
      <c r="BB529" s="460"/>
      <c r="BC529" s="460"/>
      <c r="BD529" s="460"/>
      <c r="BE529" s="446"/>
      <c r="BF529" s="446"/>
      <c r="BG529" s="460"/>
      <c r="BH529" s="460"/>
      <c r="BI529" s="446"/>
      <c r="BJ529" s="446"/>
      <c r="BK529" s="446"/>
      <c r="BL529" s="446"/>
      <c r="BM529" s="446"/>
      <c r="BN529" s="446"/>
      <c r="BO529" s="446"/>
      <c r="BP529" s="446"/>
      <c r="BQ529" s="462"/>
      <c r="BR529" s="445"/>
      <c r="BS529" s="446"/>
      <c r="BT529" s="446"/>
      <c r="BU529" s="446"/>
      <c r="BV529" s="446"/>
      <c r="BW529" s="446"/>
      <c r="BX529" s="756"/>
      <c r="BY529" s="850"/>
      <c r="BZ529" s="850"/>
      <c r="CA529" s="850"/>
      <c r="CB529" s="850"/>
      <c r="CC529" s="850"/>
      <c r="CD529" s="850"/>
      <c r="CE529" s="850"/>
      <c r="CF529" s="850"/>
      <c r="CG529" s="178"/>
      <c r="CH529" s="424" t="s">
        <v>766</v>
      </c>
      <c r="CI529" s="409">
        <v>40516</v>
      </c>
      <c r="CJ529" s="23"/>
      <c r="CK529" s="648"/>
      <c r="CL529" s="572"/>
    </row>
    <row r="530" spans="1:105" ht="12" customHeight="1" x14ac:dyDescent="0.2">
      <c r="A530" s="654"/>
      <c r="B530" s="541"/>
      <c r="C530" s="184" t="s">
        <v>96</v>
      </c>
      <c r="D530" s="177"/>
      <c r="E530" s="650" t="s">
        <v>926</v>
      </c>
      <c r="F530" s="650"/>
      <c r="G530" s="75"/>
      <c r="H530" s="74"/>
      <c r="I530" s="111">
        <v>2005</v>
      </c>
      <c r="J530" s="829"/>
      <c r="K530" s="829"/>
      <c r="L530" s="497"/>
      <c r="M530" s="75"/>
      <c r="N530" s="497"/>
      <c r="O530" s="247" t="s">
        <v>19</v>
      </c>
      <c r="P530" s="247"/>
      <c r="Q530" s="75"/>
      <c r="R530" s="584"/>
      <c r="S530" s="584"/>
      <c r="T530" s="584"/>
      <c r="U530" s="398">
        <v>1382</v>
      </c>
      <c r="V530" s="501"/>
      <c r="W530" s="729"/>
      <c r="X530" s="254"/>
      <c r="Y530" s="443"/>
      <c r="Z530" s="460"/>
      <c r="AA530" s="460"/>
      <c r="AB530" s="460"/>
      <c r="AC530" s="460"/>
      <c r="AD530" s="460"/>
      <c r="AE530" s="460"/>
      <c r="AF530" s="460"/>
      <c r="AG530" s="460"/>
      <c r="AH530" s="460"/>
      <c r="AI530" s="460"/>
      <c r="AJ530" s="460"/>
      <c r="AK530" s="460"/>
      <c r="AL530" s="460"/>
      <c r="AM530" s="460"/>
      <c r="AN530" s="460"/>
      <c r="AO530" s="460"/>
      <c r="AP530" s="460"/>
      <c r="AQ530" s="460"/>
      <c r="AR530" s="460"/>
      <c r="AS530" s="460"/>
      <c r="AT530" s="460"/>
      <c r="AU530" s="460"/>
      <c r="AV530" s="460"/>
      <c r="AW530" s="460"/>
      <c r="AX530" s="460"/>
      <c r="AY530" s="460"/>
      <c r="AZ530" s="460"/>
      <c r="BA530" s="460"/>
      <c r="BB530" s="460"/>
      <c r="BC530" s="460"/>
      <c r="BD530" s="460"/>
      <c r="BE530" s="442"/>
      <c r="BF530" s="442"/>
      <c r="BG530" s="460"/>
      <c r="BH530" s="460"/>
      <c r="BI530" s="442">
        <v>28</v>
      </c>
      <c r="BJ530" s="442">
        <v>6</v>
      </c>
      <c r="BK530" s="442"/>
      <c r="BL530" s="442"/>
      <c r="BM530" s="442"/>
      <c r="BN530" s="442"/>
      <c r="BO530" s="442"/>
      <c r="BP530" s="442"/>
      <c r="BQ530" s="462"/>
      <c r="BR530" s="462"/>
      <c r="BS530" s="446"/>
      <c r="BT530" s="446"/>
      <c r="BU530" s="446"/>
      <c r="BV530" s="446"/>
      <c r="BW530" s="446"/>
      <c r="BY530" s="861"/>
      <c r="BZ530" s="861"/>
      <c r="CA530" s="861"/>
      <c r="CB530" s="861"/>
      <c r="CC530" s="861"/>
      <c r="CD530" s="861"/>
      <c r="CE530" s="861"/>
      <c r="CF530" s="861"/>
      <c r="CG530" s="177" t="s">
        <v>957</v>
      </c>
      <c r="CI530" s="406"/>
      <c r="CJ530" s="23"/>
      <c r="CK530" s="648"/>
      <c r="CL530" s="692" t="s">
        <v>810</v>
      </c>
    </row>
    <row r="531" spans="1:105" x14ac:dyDescent="0.2">
      <c r="A531" s="654"/>
      <c r="B531" s="541"/>
      <c r="C531" s="184" t="s">
        <v>97</v>
      </c>
      <c r="D531" s="177"/>
      <c r="E531" s="650" t="s">
        <v>842</v>
      </c>
      <c r="F531" s="650"/>
      <c r="G531" s="75"/>
      <c r="H531" s="74"/>
      <c r="I531" s="111">
        <v>2005</v>
      </c>
      <c r="J531" s="829"/>
      <c r="K531" s="829"/>
      <c r="L531" s="497"/>
      <c r="M531" s="75"/>
      <c r="N531" s="497"/>
      <c r="O531" s="98"/>
      <c r="P531" s="98"/>
      <c r="Q531" s="75"/>
      <c r="R531" s="584"/>
      <c r="S531" s="584"/>
      <c r="T531" s="584"/>
      <c r="U531" s="398">
        <v>1894</v>
      </c>
      <c r="V531" s="501"/>
      <c r="W531" s="729"/>
      <c r="X531" s="254"/>
      <c r="Y531" s="443"/>
      <c r="Z531" s="460"/>
      <c r="AA531" s="460"/>
      <c r="AB531" s="460"/>
      <c r="AC531" s="460"/>
      <c r="AD531" s="460"/>
      <c r="AE531" s="460"/>
      <c r="AF531" s="460"/>
      <c r="AG531" s="460"/>
      <c r="AH531" s="460"/>
      <c r="AI531" s="460"/>
      <c r="AJ531" s="460"/>
      <c r="AK531" s="460"/>
      <c r="AL531" s="460"/>
      <c r="AM531" s="460"/>
      <c r="AN531" s="460"/>
      <c r="AO531" s="460"/>
      <c r="AP531" s="460"/>
      <c r="AQ531" s="460"/>
      <c r="AR531" s="460"/>
      <c r="AS531" s="460"/>
      <c r="AT531" s="460"/>
      <c r="AU531" s="460"/>
      <c r="AV531" s="460"/>
      <c r="AW531" s="460"/>
      <c r="AX531" s="460"/>
      <c r="AY531" s="460"/>
      <c r="AZ531" s="460"/>
      <c r="BA531" s="460"/>
      <c r="BB531" s="460"/>
      <c r="BC531" s="460"/>
      <c r="BD531" s="460"/>
      <c r="BE531" s="442"/>
      <c r="BF531" s="442"/>
      <c r="BG531" s="460"/>
      <c r="BH531" s="460"/>
      <c r="BI531" s="442"/>
      <c r="BJ531" s="442">
        <v>10.8</v>
      </c>
      <c r="BK531" s="442"/>
      <c r="BL531" s="442"/>
      <c r="BM531" s="442"/>
      <c r="BN531" s="442"/>
      <c r="BO531" s="442"/>
      <c r="BP531" s="442"/>
      <c r="BQ531" s="462"/>
      <c r="BR531" s="462"/>
      <c r="BS531" s="446"/>
      <c r="BT531" s="446"/>
      <c r="BU531" s="446"/>
      <c r="BV531" s="446"/>
      <c r="BW531" s="446"/>
      <c r="BY531" s="861"/>
      <c r="BZ531" s="861"/>
      <c r="CA531" s="861"/>
      <c r="CB531" s="861"/>
      <c r="CC531" s="861"/>
      <c r="CD531" s="861"/>
      <c r="CE531" s="861"/>
      <c r="CF531" s="861"/>
      <c r="CG531" s="177" t="s">
        <v>957</v>
      </c>
      <c r="CI531" s="406"/>
      <c r="CJ531" s="23"/>
      <c r="CK531" s="648"/>
      <c r="CL531" s="692"/>
    </row>
    <row r="532" spans="1:105" x14ac:dyDescent="0.2">
      <c r="A532" s="654"/>
      <c r="B532" s="541"/>
      <c r="C532" s="184" t="s">
        <v>198</v>
      </c>
      <c r="D532" s="169"/>
      <c r="E532" s="647" t="s">
        <v>315</v>
      </c>
      <c r="F532" s="647"/>
      <c r="G532" s="98"/>
      <c r="H532" s="97"/>
      <c r="I532" s="166">
        <v>2002</v>
      </c>
      <c r="J532" s="571"/>
      <c r="K532" s="571"/>
      <c r="L532" s="493"/>
      <c r="M532" s="98" t="s">
        <v>18</v>
      </c>
      <c r="N532" s="493"/>
      <c r="O532" s="98" t="s">
        <v>232</v>
      </c>
      <c r="P532" s="98"/>
      <c r="Q532" s="98"/>
      <c r="R532" s="167"/>
      <c r="S532" s="167"/>
      <c r="T532" s="167"/>
      <c r="U532" s="393">
        <v>412</v>
      </c>
      <c r="V532" s="694"/>
      <c r="W532" s="711"/>
      <c r="X532" s="167"/>
      <c r="Y532" s="443"/>
      <c r="Z532" s="443"/>
      <c r="AA532" s="443"/>
      <c r="AB532" s="443"/>
      <c r="AC532" s="443"/>
      <c r="AD532" s="443"/>
      <c r="AE532" s="443"/>
      <c r="AF532" s="443"/>
      <c r="AG532" s="443"/>
      <c r="AH532" s="443"/>
      <c r="AI532" s="443"/>
      <c r="AJ532" s="443"/>
      <c r="AK532" s="443"/>
      <c r="AL532" s="443"/>
      <c r="AM532" s="443"/>
      <c r="AN532" s="443"/>
      <c r="AO532" s="443"/>
      <c r="AP532" s="443"/>
      <c r="AQ532" s="443"/>
      <c r="AR532" s="443"/>
      <c r="AS532" s="443"/>
      <c r="AT532" s="443"/>
      <c r="AU532" s="443"/>
      <c r="AV532" s="443"/>
      <c r="AW532" s="443"/>
      <c r="AX532" s="443"/>
      <c r="AY532" s="443"/>
      <c r="AZ532" s="443"/>
      <c r="BA532" s="443"/>
      <c r="BB532" s="443"/>
      <c r="BC532" s="443"/>
      <c r="BD532" s="443"/>
      <c r="BE532" s="445"/>
      <c r="BF532" s="445"/>
      <c r="BG532" s="443"/>
      <c r="BH532" s="443"/>
      <c r="BI532" s="445">
        <v>23</v>
      </c>
      <c r="BJ532" s="445">
        <v>26</v>
      </c>
      <c r="BK532" s="445"/>
      <c r="BL532" s="445"/>
      <c r="BM532" s="445"/>
      <c r="BN532" s="445"/>
      <c r="BO532" s="445"/>
      <c r="BP532" s="445"/>
      <c r="BQ532" s="462"/>
      <c r="BR532" s="462"/>
      <c r="BS532" s="446"/>
      <c r="BT532" s="445">
        <v>26</v>
      </c>
      <c r="BU532" s="445"/>
      <c r="BV532" s="445"/>
      <c r="BW532" s="445"/>
      <c r="BX532" s="756"/>
      <c r="BY532" s="850"/>
      <c r="BZ532" s="850"/>
      <c r="CA532" s="850"/>
      <c r="CB532" s="850"/>
      <c r="CC532" s="850"/>
      <c r="CD532" s="850"/>
      <c r="CE532" s="850"/>
      <c r="CF532" s="850"/>
      <c r="CG532" s="169"/>
      <c r="CH532" s="419" t="s">
        <v>316</v>
      </c>
      <c r="CI532" s="407"/>
      <c r="CJ532" s="23"/>
      <c r="CK532" s="648"/>
      <c r="CL532" s="692" t="s">
        <v>740</v>
      </c>
    </row>
    <row r="533" spans="1:105" x14ac:dyDescent="0.2">
      <c r="A533" s="654"/>
      <c r="B533" s="541"/>
      <c r="C533" s="184" t="s">
        <v>199</v>
      </c>
      <c r="D533" s="177"/>
      <c r="E533" s="650" t="s">
        <v>930</v>
      </c>
      <c r="F533" s="650"/>
      <c r="G533" s="75"/>
      <c r="H533" s="74"/>
      <c r="I533" s="111">
        <v>2006</v>
      </c>
      <c r="J533" s="829"/>
      <c r="K533" s="829"/>
      <c r="L533" s="497"/>
      <c r="M533" s="75"/>
      <c r="N533" s="497"/>
      <c r="O533" s="247" t="s">
        <v>19</v>
      </c>
      <c r="P533" s="247"/>
      <c r="Q533" s="75"/>
      <c r="R533" s="584"/>
      <c r="S533" s="584"/>
      <c r="T533" s="584"/>
      <c r="U533" s="398">
        <v>876</v>
      </c>
      <c r="V533" s="501"/>
      <c r="W533" s="729"/>
      <c r="X533" s="254"/>
      <c r="Y533" s="443"/>
      <c r="Z533" s="460"/>
      <c r="AA533" s="460"/>
      <c r="AB533" s="460"/>
      <c r="AC533" s="460"/>
      <c r="AD533" s="460"/>
      <c r="AE533" s="460"/>
      <c r="AF533" s="460"/>
      <c r="AG533" s="460"/>
      <c r="AH533" s="460"/>
      <c r="AI533" s="460"/>
      <c r="AJ533" s="460"/>
      <c r="AK533" s="460"/>
      <c r="AL533" s="460"/>
      <c r="AM533" s="460"/>
      <c r="AN533" s="460"/>
      <c r="AO533" s="460"/>
      <c r="AP533" s="460"/>
      <c r="AQ533" s="460"/>
      <c r="AR533" s="460"/>
      <c r="AS533" s="460"/>
      <c r="AT533" s="460"/>
      <c r="AU533" s="460"/>
      <c r="AV533" s="460"/>
      <c r="AW533" s="460"/>
      <c r="AX533" s="460"/>
      <c r="AY533" s="460"/>
      <c r="AZ533" s="460"/>
      <c r="BA533" s="460"/>
      <c r="BB533" s="460"/>
      <c r="BC533" s="460"/>
      <c r="BD533" s="460"/>
      <c r="BE533" s="442"/>
      <c r="BF533" s="442"/>
      <c r="BG533" s="460"/>
      <c r="BH533" s="460"/>
      <c r="BI533" s="442">
        <v>15</v>
      </c>
      <c r="BJ533" s="442"/>
      <c r="BK533" s="442"/>
      <c r="BL533" s="442"/>
      <c r="BM533" s="442"/>
      <c r="BN533" s="442"/>
      <c r="BO533" s="442"/>
      <c r="BP533" s="442"/>
      <c r="BQ533" s="462"/>
      <c r="BR533" s="462"/>
      <c r="BS533" s="446"/>
      <c r="BT533" s="446"/>
      <c r="BU533" s="446"/>
      <c r="BV533" s="446"/>
      <c r="BW533" s="446"/>
      <c r="BY533" s="861"/>
      <c r="BZ533" s="861"/>
      <c r="CA533" s="861"/>
      <c r="CB533" s="861"/>
      <c r="CC533" s="861"/>
      <c r="CD533" s="861"/>
      <c r="CE533" s="861"/>
      <c r="CF533" s="861"/>
      <c r="CG533" s="177" t="s">
        <v>957</v>
      </c>
      <c r="CI533" s="406"/>
      <c r="CJ533" s="23"/>
      <c r="CK533" s="648"/>
      <c r="CL533" s="692"/>
    </row>
    <row r="534" spans="1:105" x14ac:dyDescent="0.2">
      <c r="A534" s="654"/>
      <c r="B534" s="541"/>
      <c r="C534" s="184" t="s">
        <v>203</v>
      </c>
      <c r="D534" s="177"/>
      <c r="E534" s="650" t="s">
        <v>936</v>
      </c>
      <c r="F534" s="650"/>
      <c r="G534" s="75"/>
      <c r="H534" s="74"/>
      <c r="I534" s="111">
        <v>2003</v>
      </c>
      <c r="J534" s="829"/>
      <c r="K534" s="829"/>
      <c r="L534" s="497"/>
      <c r="M534" s="75"/>
      <c r="N534" s="497"/>
      <c r="O534" s="247" t="s">
        <v>19</v>
      </c>
      <c r="P534" s="247"/>
      <c r="Q534" s="75"/>
      <c r="R534" s="584"/>
      <c r="S534" s="584"/>
      <c r="T534" s="584"/>
      <c r="U534" s="398">
        <v>307</v>
      </c>
      <c r="V534" s="501"/>
      <c r="W534" s="729"/>
      <c r="X534" s="254"/>
      <c r="Y534" s="443"/>
      <c r="Z534" s="460"/>
      <c r="AA534" s="460"/>
      <c r="AB534" s="460"/>
      <c r="AC534" s="460"/>
      <c r="AD534" s="460"/>
      <c r="AE534" s="460"/>
      <c r="AF534" s="460"/>
      <c r="AG534" s="460"/>
      <c r="AH534" s="460"/>
      <c r="AI534" s="460"/>
      <c r="AJ534" s="460"/>
      <c r="AK534" s="460"/>
      <c r="AL534" s="460"/>
      <c r="AM534" s="460"/>
      <c r="AN534" s="460"/>
      <c r="AO534" s="460"/>
      <c r="AP534" s="460"/>
      <c r="AQ534" s="460"/>
      <c r="AR534" s="460"/>
      <c r="AS534" s="460"/>
      <c r="AT534" s="460"/>
      <c r="AU534" s="460"/>
      <c r="AV534" s="460"/>
      <c r="AW534" s="460"/>
      <c r="AX534" s="460"/>
      <c r="AY534" s="460"/>
      <c r="AZ534" s="460"/>
      <c r="BA534" s="460"/>
      <c r="BB534" s="460"/>
      <c r="BC534" s="460"/>
      <c r="BD534" s="460"/>
      <c r="BE534" s="442"/>
      <c r="BF534" s="442"/>
      <c r="BG534" s="460"/>
      <c r="BH534" s="460"/>
      <c r="BI534" s="442">
        <v>21.3</v>
      </c>
      <c r="BJ534" s="442">
        <v>6.1</v>
      </c>
      <c r="BK534" s="442"/>
      <c r="BL534" s="442"/>
      <c r="BM534" s="442"/>
      <c r="BN534" s="442"/>
      <c r="BO534" s="442"/>
      <c r="BP534" s="442"/>
      <c r="BQ534" s="462"/>
      <c r="BR534" s="462"/>
      <c r="BS534" s="446"/>
      <c r="BT534" s="446"/>
      <c r="BU534" s="446"/>
      <c r="BV534" s="446"/>
      <c r="BW534" s="446"/>
      <c r="BY534" s="861"/>
      <c r="BZ534" s="861"/>
      <c r="CA534" s="861"/>
      <c r="CB534" s="861"/>
      <c r="CC534" s="861"/>
      <c r="CD534" s="861"/>
      <c r="CE534" s="861"/>
      <c r="CF534" s="861"/>
      <c r="CG534" s="177" t="s">
        <v>957</v>
      </c>
      <c r="CI534" s="406"/>
      <c r="CJ534" s="23"/>
      <c r="CK534" s="648"/>
      <c r="CL534" s="692"/>
    </row>
    <row r="535" spans="1:105" ht="12" customHeight="1" x14ac:dyDescent="0.2">
      <c r="A535" s="654"/>
      <c r="B535" s="541"/>
      <c r="C535" s="184" t="s">
        <v>203</v>
      </c>
      <c r="D535" s="177"/>
      <c r="E535" s="650" t="s">
        <v>842</v>
      </c>
      <c r="F535" s="650"/>
      <c r="G535" s="75"/>
      <c r="H535" s="74"/>
      <c r="I535" s="111">
        <v>2004</v>
      </c>
      <c r="J535" s="829"/>
      <c r="K535" s="829"/>
      <c r="L535" s="497" t="s">
        <v>243</v>
      </c>
      <c r="M535" s="75"/>
      <c r="N535" s="494" t="s">
        <v>783</v>
      </c>
      <c r="O535" s="98" t="s">
        <v>28</v>
      </c>
      <c r="P535" s="98"/>
      <c r="Q535" s="75"/>
      <c r="R535" s="584"/>
      <c r="S535" s="584"/>
      <c r="T535" s="584"/>
      <c r="U535" s="398">
        <v>228</v>
      </c>
      <c r="V535" s="501"/>
      <c r="W535" s="729"/>
      <c r="X535" s="254"/>
      <c r="Y535" s="443"/>
      <c r="Z535" s="460"/>
      <c r="AA535" s="460"/>
      <c r="AB535" s="460"/>
      <c r="AC535" s="460"/>
      <c r="AD535" s="460"/>
      <c r="AE535" s="460"/>
      <c r="AF535" s="460"/>
      <c r="AG535" s="460"/>
      <c r="AH535" s="460"/>
      <c r="AI535" s="460"/>
      <c r="AJ535" s="460"/>
      <c r="AK535" s="460"/>
      <c r="AL535" s="460"/>
      <c r="AM535" s="460"/>
      <c r="AN535" s="460"/>
      <c r="AO535" s="460"/>
      <c r="AP535" s="460"/>
      <c r="AQ535" s="460"/>
      <c r="AR535" s="460"/>
      <c r="AS535" s="460"/>
      <c r="AT535" s="460"/>
      <c r="AU535" s="460"/>
      <c r="AV535" s="460"/>
      <c r="AW535" s="460"/>
      <c r="AX535" s="460"/>
      <c r="AY535" s="460"/>
      <c r="AZ535" s="460"/>
      <c r="BA535" s="460"/>
      <c r="BB535" s="460"/>
      <c r="BC535" s="460"/>
      <c r="BD535" s="460"/>
      <c r="BE535" s="442"/>
      <c r="BF535" s="442"/>
      <c r="BG535" s="460"/>
      <c r="BH535" s="460"/>
      <c r="BI535" s="442">
        <v>34.799999999999997</v>
      </c>
      <c r="BJ535" s="442">
        <v>6.1</v>
      </c>
      <c r="BK535" s="442"/>
      <c r="BL535" s="442"/>
      <c r="BM535" s="442"/>
      <c r="BN535" s="442"/>
      <c r="BO535" s="442"/>
      <c r="BP535" s="442"/>
      <c r="BQ535" s="462"/>
      <c r="BR535" s="462"/>
      <c r="BS535" s="446"/>
      <c r="BT535" s="446"/>
      <c r="BU535" s="446"/>
      <c r="BV535" s="446"/>
      <c r="BW535" s="446"/>
      <c r="BY535" s="861"/>
      <c r="BZ535" s="861"/>
      <c r="CA535" s="861"/>
      <c r="CB535" s="861"/>
      <c r="CC535" s="861"/>
      <c r="CD535" s="861"/>
      <c r="CE535" s="861"/>
      <c r="CF535" s="861"/>
      <c r="CG535" s="177" t="s">
        <v>957</v>
      </c>
      <c r="CI535" s="406"/>
      <c r="CJ535" s="23"/>
      <c r="CK535" s="648"/>
      <c r="CL535" s="692" t="s">
        <v>810</v>
      </c>
    </row>
    <row r="536" spans="1:105" ht="12" customHeight="1" x14ac:dyDescent="0.2">
      <c r="A536" s="654"/>
      <c r="B536" s="541"/>
      <c r="C536" s="184" t="s">
        <v>203</v>
      </c>
      <c r="D536" s="177"/>
      <c r="E536" s="650" t="s">
        <v>932</v>
      </c>
      <c r="F536" s="650"/>
      <c r="G536" s="75"/>
      <c r="H536" s="74"/>
      <c r="I536" s="111">
        <v>2004</v>
      </c>
      <c r="J536" s="829"/>
      <c r="K536" s="829"/>
      <c r="L536" s="497" t="s">
        <v>794</v>
      </c>
      <c r="M536" s="75"/>
      <c r="N536" s="497"/>
      <c r="O536" s="98" t="s">
        <v>90</v>
      </c>
      <c r="P536" s="98"/>
      <c r="Q536" s="75"/>
      <c r="R536" s="584"/>
      <c r="S536" s="584"/>
      <c r="T536" s="584"/>
      <c r="U536" s="398">
        <v>294</v>
      </c>
      <c r="V536" s="501"/>
      <c r="W536" s="729"/>
      <c r="X536" s="254"/>
      <c r="Y536" s="443"/>
      <c r="Z536" s="460"/>
      <c r="AA536" s="460"/>
      <c r="AB536" s="460"/>
      <c r="AC536" s="460"/>
      <c r="AD536" s="460"/>
      <c r="AE536" s="460"/>
      <c r="AF536" s="460"/>
      <c r="AG536" s="460"/>
      <c r="AH536" s="460"/>
      <c r="AI536" s="460"/>
      <c r="AJ536" s="460"/>
      <c r="AK536" s="460"/>
      <c r="AL536" s="460"/>
      <c r="AM536" s="460"/>
      <c r="AN536" s="460"/>
      <c r="AO536" s="460"/>
      <c r="AP536" s="460"/>
      <c r="AQ536" s="460"/>
      <c r="AR536" s="460"/>
      <c r="AS536" s="460"/>
      <c r="AT536" s="460"/>
      <c r="AU536" s="460"/>
      <c r="AV536" s="460"/>
      <c r="AW536" s="460"/>
      <c r="AX536" s="460"/>
      <c r="AY536" s="460"/>
      <c r="AZ536" s="460"/>
      <c r="BA536" s="460"/>
      <c r="BB536" s="460"/>
      <c r="BC536" s="460"/>
      <c r="BD536" s="460"/>
      <c r="BE536" s="442"/>
      <c r="BF536" s="442"/>
      <c r="BG536" s="460"/>
      <c r="BH536" s="460"/>
      <c r="BI536" s="442">
        <v>34.9</v>
      </c>
      <c r="BJ536" s="442">
        <v>14</v>
      </c>
      <c r="BK536" s="442"/>
      <c r="BL536" s="442"/>
      <c r="BM536" s="442"/>
      <c r="BN536" s="442"/>
      <c r="BO536" s="442"/>
      <c r="BP536" s="442"/>
      <c r="BQ536" s="462"/>
      <c r="BR536" s="462"/>
      <c r="BS536" s="446"/>
      <c r="BT536" s="446"/>
      <c r="BU536" s="446"/>
      <c r="BV536" s="446"/>
      <c r="BW536" s="446"/>
      <c r="BY536" s="861"/>
      <c r="BZ536" s="861"/>
      <c r="CA536" s="861"/>
      <c r="CB536" s="861"/>
      <c r="CC536" s="861"/>
      <c r="CD536" s="861"/>
      <c r="CE536" s="861"/>
      <c r="CF536" s="861"/>
      <c r="CG536" s="177" t="s">
        <v>957</v>
      </c>
      <c r="CI536" s="406"/>
      <c r="CJ536" s="23"/>
      <c r="CK536" s="648"/>
      <c r="CL536" s="692" t="s">
        <v>810</v>
      </c>
    </row>
    <row r="537" spans="1:105" s="72" customFormat="1" ht="12" customHeight="1" x14ac:dyDescent="0.2">
      <c r="A537" s="654"/>
      <c r="B537" s="541"/>
      <c r="C537" s="14" t="s">
        <v>1214</v>
      </c>
      <c r="D537" s="177"/>
      <c r="E537" s="650" t="s">
        <v>942</v>
      </c>
      <c r="F537" s="650"/>
      <c r="G537" s="75"/>
      <c r="H537" s="74"/>
      <c r="I537" s="111">
        <v>1997</v>
      </c>
      <c r="J537" s="829"/>
      <c r="K537" s="829"/>
      <c r="L537" s="497" t="s">
        <v>866</v>
      </c>
      <c r="M537" s="75"/>
      <c r="N537" s="497"/>
      <c r="O537" s="98"/>
      <c r="P537" s="98"/>
      <c r="Q537" s="75"/>
      <c r="R537" s="584"/>
      <c r="S537" s="584"/>
      <c r="T537" s="584"/>
      <c r="U537" s="398">
        <v>322</v>
      </c>
      <c r="V537" s="501"/>
      <c r="W537" s="729"/>
      <c r="X537" s="254"/>
      <c r="Y537" s="443"/>
      <c r="Z537" s="460"/>
      <c r="AA537" s="460"/>
      <c r="AB537" s="460"/>
      <c r="AC537" s="460"/>
      <c r="AD537" s="460"/>
      <c r="AE537" s="460"/>
      <c r="AF537" s="460"/>
      <c r="AG537" s="460"/>
      <c r="AH537" s="460"/>
      <c r="AI537" s="460"/>
      <c r="AJ537" s="460"/>
      <c r="AK537" s="460"/>
      <c r="AL537" s="460"/>
      <c r="AM537" s="460"/>
      <c r="AN537" s="460"/>
      <c r="AO537" s="460"/>
      <c r="AP537" s="460"/>
      <c r="AQ537" s="460"/>
      <c r="AR537" s="460"/>
      <c r="AS537" s="460"/>
      <c r="AT537" s="460"/>
      <c r="AU537" s="460"/>
      <c r="AV537" s="460"/>
      <c r="AW537" s="460"/>
      <c r="AX537" s="460"/>
      <c r="AY537" s="460"/>
      <c r="AZ537" s="460"/>
      <c r="BA537" s="460"/>
      <c r="BB537" s="460"/>
      <c r="BC537" s="460"/>
      <c r="BD537" s="460"/>
      <c r="BE537" s="442"/>
      <c r="BF537" s="442"/>
      <c r="BG537" s="460"/>
      <c r="BH537" s="460"/>
      <c r="BI537" s="442"/>
      <c r="BJ537" s="442">
        <v>25.5</v>
      </c>
      <c r="BK537" s="442"/>
      <c r="BL537" s="442"/>
      <c r="BM537" s="442"/>
      <c r="BN537" s="442"/>
      <c r="BO537" s="442"/>
      <c r="BP537" s="442"/>
      <c r="BQ537" s="462"/>
      <c r="BR537" s="462"/>
      <c r="BS537" s="446"/>
      <c r="BT537" s="446"/>
      <c r="BU537" s="446"/>
      <c r="BV537" s="446"/>
      <c r="BW537" s="446"/>
      <c r="BX537" s="766"/>
      <c r="BY537" s="861"/>
      <c r="BZ537" s="861"/>
      <c r="CA537" s="861"/>
      <c r="CB537" s="861"/>
      <c r="CC537" s="861"/>
      <c r="CD537" s="861"/>
      <c r="CE537" s="861"/>
      <c r="CF537" s="861"/>
      <c r="CG537" s="177" t="s">
        <v>957</v>
      </c>
      <c r="CH537" s="418"/>
      <c r="CI537" s="406"/>
      <c r="CJ537" s="23"/>
      <c r="CK537" s="648"/>
      <c r="CL537" s="692"/>
      <c r="CM537" s="434"/>
      <c r="CR537" s="403"/>
      <c r="CS537" s="434"/>
      <c r="CU537" s="1"/>
      <c r="CV537" s="1"/>
      <c r="CW537" s="1"/>
      <c r="CX537" s="1"/>
      <c r="DA537" s="434"/>
    </row>
    <row r="538" spans="1:105" s="72" customFormat="1" ht="12" customHeight="1" x14ac:dyDescent="0.2">
      <c r="A538" s="654"/>
      <c r="B538" s="541"/>
      <c r="C538" s="14" t="s">
        <v>1214</v>
      </c>
      <c r="D538" s="177"/>
      <c r="E538" s="650" t="s">
        <v>940</v>
      </c>
      <c r="F538" s="650"/>
      <c r="G538" s="75"/>
      <c r="H538" s="74"/>
      <c r="I538" s="111">
        <v>1997</v>
      </c>
      <c r="J538" s="829"/>
      <c r="K538" s="829"/>
      <c r="L538" s="497" t="s">
        <v>941</v>
      </c>
      <c r="M538" s="75"/>
      <c r="N538" s="497"/>
      <c r="O538" s="247" t="s">
        <v>19</v>
      </c>
      <c r="P538" s="247"/>
      <c r="Q538" s="75"/>
      <c r="R538" s="584"/>
      <c r="S538" s="584"/>
      <c r="T538" s="584"/>
      <c r="U538" s="398">
        <v>283</v>
      </c>
      <c r="V538" s="501"/>
      <c r="W538" s="729"/>
      <c r="X538" s="254"/>
      <c r="Y538" s="443"/>
      <c r="Z538" s="460"/>
      <c r="AA538" s="460"/>
      <c r="AB538" s="460"/>
      <c r="AC538" s="460"/>
      <c r="AD538" s="460"/>
      <c r="AE538" s="460"/>
      <c r="AF538" s="460"/>
      <c r="AG538" s="460"/>
      <c r="AH538" s="460"/>
      <c r="AI538" s="460"/>
      <c r="AJ538" s="460"/>
      <c r="AK538" s="460"/>
      <c r="AL538" s="460"/>
      <c r="AM538" s="460"/>
      <c r="AN538" s="460"/>
      <c r="AO538" s="460"/>
      <c r="AP538" s="460"/>
      <c r="AQ538" s="460"/>
      <c r="AR538" s="460"/>
      <c r="AS538" s="460"/>
      <c r="AT538" s="460"/>
      <c r="AU538" s="460"/>
      <c r="AV538" s="460"/>
      <c r="AW538" s="460"/>
      <c r="AX538" s="460"/>
      <c r="AY538" s="460"/>
      <c r="AZ538" s="460"/>
      <c r="BA538" s="460"/>
      <c r="BB538" s="460"/>
      <c r="BC538" s="460"/>
      <c r="BD538" s="460"/>
      <c r="BE538" s="442"/>
      <c r="BF538" s="442"/>
      <c r="BG538" s="460"/>
      <c r="BH538" s="460"/>
      <c r="BI538" s="442">
        <v>33</v>
      </c>
      <c r="BJ538" s="442">
        <v>19</v>
      </c>
      <c r="BK538" s="442"/>
      <c r="BL538" s="442"/>
      <c r="BM538" s="442"/>
      <c r="BN538" s="442"/>
      <c r="BO538" s="442"/>
      <c r="BP538" s="442"/>
      <c r="BQ538" s="462"/>
      <c r="BR538" s="462"/>
      <c r="BS538" s="446"/>
      <c r="BT538" s="446"/>
      <c r="BU538" s="446"/>
      <c r="BV538" s="446"/>
      <c r="BW538" s="446"/>
      <c r="BX538" s="766"/>
      <c r="BY538" s="861"/>
      <c r="BZ538" s="861"/>
      <c r="CA538" s="861"/>
      <c r="CB538" s="861"/>
      <c r="CC538" s="861"/>
      <c r="CD538" s="861"/>
      <c r="CE538" s="861"/>
      <c r="CF538" s="861"/>
      <c r="CG538" s="177" t="s">
        <v>957</v>
      </c>
      <c r="CH538" s="418"/>
      <c r="CI538" s="406"/>
      <c r="CJ538" s="23"/>
      <c r="CK538" s="648"/>
      <c r="CL538" s="692"/>
      <c r="CM538" s="434"/>
      <c r="CR538" s="403"/>
      <c r="CS538" s="434"/>
      <c r="CU538" s="1"/>
      <c r="CV538" s="1"/>
      <c r="CW538" s="1"/>
      <c r="CX538" s="1"/>
      <c r="DA538" s="434"/>
    </row>
    <row r="539" spans="1:105" s="72" customFormat="1" ht="12" customHeight="1" x14ac:dyDescent="0.2">
      <c r="A539" s="654"/>
      <c r="B539" s="541"/>
      <c r="C539" s="14" t="s">
        <v>1214</v>
      </c>
      <c r="D539" s="177"/>
      <c r="E539" s="650" t="s">
        <v>846</v>
      </c>
      <c r="F539" s="650"/>
      <c r="G539" s="75"/>
      <c r="H539" s="74"/>
      <c r="I539" s="111">
        <v>1998</v>
      </c>
      <c r="J539" s="829"/>
      <c r="K539" s="829"/>
      <c r="L539" s="497"/>
      <c r="M539" s="75"/>
      <c r="N539" s="497"/>
      <c r="O539" s="98" t="s">
        <v>114</v>
      </c>
      <c r="P539" s="98"/>
      <c r="Q539" s="75"/>
      <c r="R539" s="584"/>
      <c r="S539" s="584"/>
      <c r="T539" s="584"/>
      <c r="U539" s="398">
        <v>1693</v>
      </c>
      <c r="V539" s="501"/>
      <c r="W539" s="729"/>
      <c r="X539" s="254"/>
      <c r="Y539" s="443"/>
      <c r="Z539" s="460"/>
      <c r="AA539" s="460"/>
      <c r="AB539" s="460"/>
      <c r="AC539" s="460"/>
      <c r="AD539" s="460"/>
      <c r="AE539" s="460"/>
      <c r="AF539" s="460"/>
      <c r="AG539" s="460"/>
      <c r="AH539" s="460"/>
      <c r="AI539" s="460"/>
      <c r="AJ539" s="460"/>
      <c r="AK539" s="460"/>
      <c r="AL539" s="460"/>
      <c r="AM539" s="460"/>
      <c r="AN539" s="460"/>
      <c r="AO539" s="460"/>
      <c r="AP539" s="460"/>
      <c r="AQ539" s="460"/>
      <c r="AR539" s="460"/>
      <c r="AS539" s="460"/>
      <c r="AT539" s="460"/>
      <c r="AU539" s="460"/>
      <c r="AV539" s="460"/>
      <c r="AW539" s="460"/>
      <c r="AX539" s="460"/>
      <c r="AY539" s="460"/>
      <c r="AZ539" s="460"/>
      <c r="BA539" s="460"/>
      <c r="BB539" s="460"/>
      <c r="BC539" s="460"/>
      <c r="BD539" s="460"/>
      <c r="BE539" s="445"/>
      <c r="BF539" s="445"/>
      <c r="BG539" s="460"/>
      <c r="BH539" s="460"/>
      <c r="BI539" s="445">
        <v>6.6</v>
      </c>
      <c r="BJ539" s="445"/>
      <c r="BK539" s="445"/>
      <c r="BL539" s="445"/>
      <c r="BM539" s="445"/>
      <c r="BN539" s="445"/>
      <c r="BO539" s="445"/>
      <c r="BP539" s="445"/>
      <c r="BQ539" s="462"/>
      <c r="BR539" s="462"/>
      <c r="BS539" s="442">
        <v>37</v>
      </c>
      <c r="BT539" s="446"/>
      <c r="BU539" s="446"/>
      <c r="BV539" s="446"/>
      <c r="BW539" s="446"/>
      <c r="BX539" s="756"/>
      <c r="BY539" s="850"/>
      <c r="BZ539" s="850"/>
      <c r="CA539" s="850"/>
      <c r="CB539" s="850"/>
      <c r="CC539" s="850"/>
      <c r="CD539" s="850"/>
      <c r="CE539" s="850"/>
      <c r="CF539" s="850"/>
      <c r="CG539" s="177" t="s">
        <v>957</v>
      </c>
      <c r="CH539" s="424"/>
      <c r="CI539" s="409"/>
      <c r="CJ539" s="23"/>
      <c r="CK539" s="648"/>
      <c r="CL539" s="692" t="s">
        <v>810</v>
      </c>
      <c r="CM539" s="434"/>
      <c r="CR539" s="403"/>
      <c r="CS539" s="434"/>
      <c r="CU539" s="1"/>
      <c r="CV539" s="1"/>
      <c r="CW539" s="1"/>
      <c r="CX539" s="1"/>
      <c r="DA539" s="434"/>
    </row>
    <row r="540" spans="1:105" s="72" customFormat="1" ht="12" customHeight="1" x14ac:dyDescent="0.2">
      <c r="A540" s="654"/>
      <c r="B540" s="541"/>
      <c r="C540" s="14" t="s">
        <v>1214</v>
      </c>
      <c r="D540" s="177"/>
      <c r="E540" s="650" t="s">
        <v>938</v>
      </c>
      <c r="F540" s="650"/>
      <c r="G540" s="75"/>
      <c r="H540" s="74"/>
      <c r="I540" s="111">
        <v>1998</v>
      </c>
      <c r="J540" s="829"/>
      <c r="K540" s="829"/>
      <c r="L540" s="497" t="s">
        <v>794</v>
      </c>
      <c r="M540" s="75"/>
      <c r="N540" s="497"/>
      <c r="O540" s="98" t="s">
        <v>20</v>
      </c>
      <c r="P540" s="98"/>
      <c r="Q540" s="75"/>
      <c r="R540" s="584"/>
      <c r="S540" s="584"/>
      <c r="T540" s="584"/>
      <c r="U540" s="398">
        <v>4641</v>
      </c>
      <c r="V540" s="501"/>
      <c r="W540" s="729"/>
      <c r="X540" s="254"/>
      <c r="Y540" s="443"/>
      <c r="Z540" s="460"/>
      <c r="AA540" s="460"/>
      <c r="AB540" s="460"/>
      <c r="AC540" s="460"/>
      <c r="AD540" s="460"/>
      <c r="AE540" s="460"/>
      <c r="AF540" s="460"/>
      <c r="AG540" s="460"/>
      <c r="AH540" s="460"/>
      <c r="AI540" s="460"/>
      <c r="AJ540" s="460"/>
      <c r="AK540" s="460"/>
      <c r="AL540" s="460"/>
      <c r="AM540" s="460"/>
      <c r="AN540" s="460"/>
      <c r="AO540" s="460"/>
      <c r="AP540" s="460"/>
      <c r="AQ540" s="460"/>
      <c r="AR540" s="460"/>
      <c r="AS540" s="460"/>
      <c r="AT540" s="460"/>
      <c r="AU540" s="460"/>
      <c r="AV540" s="460"/>
      <c r="AW540" s="460"/>
      <c r="AX540" s="460"/>
      <c r="AY540" s="460"/>
      <c r="AZ540" s="460"/>
      <c r="BA540" s="460"/>
      <c r="BB540" s="460"/>
      <c r="BC540" s="460"/>
      <c r="BD540" s="460"/>
      <c r="BE540" s="442"/>
      <c r="BF540" s="442"/>
      <c r="BG540" s="460"/>
      <c r="BH540" s="460"/>
      <c r="BI540" s="442"/>
      <c r="BJ540" s="442">
        <v>14.4</v>
      </c>
      <c r="BK540" s="442"/>
      <c r="BL540" s="442"/>
      <c r="BM540" s="442"/>
      <c r="BN540" s="442"/>
      <c r="BO540" s="442"/>
      <c r="BP540" s="442"/>
      <c r="BQ540" s="462"/>
      <c r="BR540" s="462"/>
      <c r="BS540" s="446"/>
      <c r="BT540" s="446"/>
      <c r="BU540" s="446"/>
      <c r="BV540" s="446"/>
      <c r="BW540" s="446"/>
      <c r="BX540" s="766"/>
      <c r="BY540" s="861"/>
      <c r="BZ540" s="861"/>
      <c r="CA540" s="861"/>
      <c r="CB540" s="861"/>
      <c r="CC540" s="861"/>
      <c r="CD540" s="861"/>
      <c r="CE540" s="861"/>
      <c r="CF540" s="861"/>
      <c r="CG540" s="177" t="s">
        <v>957</v>
      </c>
      <c r="CH540" s="418"/>
      <c r="CI540" s="406"/>
      <c r="CJ540" s="23"/>
      <c r="CK540" s="648"/>
      <c r="CL540" s="692" t="s">
        <v>939</v>
      </c>
      <c r="CM540" s="434"/>
      <c r="CR540" s="403"/>
      <c r="CS540" s="434"/>
      <c r="CU540" s="1"/>
      <c r="CV540" s="1"/>
      <c r="CW540" s="1"/>
      <c r="CX540" s="1"/>
      <c r="DA540" s="434"/>
    </row>
    <row r="541" spans="1:105" ht="12" customHeight="1" x14ac:dyDescent="0.2">
      <c r="A541" s="654"/>
      <c r="B541" s="541"/>
      <c r="C541" s="14" t="s">
        <v>1214</v>
      </c>
      <c r="D541" s="177"/>
      <c r="E541" s="650" t="s">
        <v>847</v>
      </c>
      <c r="F541" s="650"/>
      <c r="G541" s="75"/>
      <c r="H541" s="74"/>
      <c r="I541" s="111">
        <v>1998</v>
      </c>
      <c r="J541" s="829"/>
      <c r="K541" s="829"/>
      <c r="L541" s="497"/>
      <c r="M541" s="75"/>
      <c r="N541" s="497"/>
      <c r="O541" s="98"/>
      <c r="P541" s="98"/>
      <c r="Q541" s="75"/>
      <c r="R541" s="584"/>
      <c r="S541" s="584"/>
      <c r="T541" s="584"/>
      <c r="U541" s="398">
        <v>4448</v>
      </c>
      <c r="V541" s="501"/>
      <c r="W541" s="729"/>
      <c r="X541" s="254"/>
      <c r="Y541" s="443"/>
      <c r="Z541" s="460"/>
      <c r="AA541" s="460"/>
      <c r="AB541" s="460"/>
      <c r="AC541" s="460"/>
      <c r="AD541" s="460"/>
      <c r="AE541" s="460"/>
      <c r="AF541" s="460"/>
      <c r="AG541" s="460"/>
      <c r="AH541" s="460"/>
      <c r="AI541" s="460"/>
      <c r="AJ541" s="460"/>
      <c r="AK541" s="460"/>
      <c r="AL541" s="460"/>
      <c r="AM541" s="460"/>
      <c r="AN541" s="460"/>
      <c r="AO541" s="460"/>
      <c r="AP541" s="460"/>
      <c r="AQ541" s="460"/>
      <c r="AR541" s="460"/>
      <c r="AS541" s="460"/>
      <c r="AT541" s="460"/>
      <c r="AU541" s="460"/>
      <c r="AV541" s="460"/>
      <c r="AW541" s="460"/>
      <c r="AX541" s="460"/>
      <c r="AY541" s="460"/>
      <c r="AZ541" s="460"/>
      <c r="BA541" s="460"/>
      <c r="BB541" s="460"/>
      <c r="BC541" s="460"/>
      <c r="BD541" s="460"/>
      <c r="BE541" s="441"/>
      <c r="BF541" s="441"/>
      <c r="BG541" s="460"/>
      <c r="BH541" s="460"/>
      <c r="BI541" s="441">
        <v>10</v>
      </c>
      <c r="BJ541" s="441"/>
      <c r="BK541" s="441"/>
      <c r="BL541" s="441"/>
      <c r="BM541" s="441"/>
      <c r="BN541" s="441"/>
      <c r="BO541" s="441"/>
      <c r="BP541" s="441"/>
      <c r="BQ541" s="462"/>
      <c r="BR541" s="462"/>
      <c r="BS541" s="442">
        <v>37</v>
      </c>
      <c r="BT541" s="446"/>
      <c r="BU541" s="446"/>
      <c r="BV541" s="446"/>
      <c r="BW541" s="446"/>
      <c r="BY541" s="861"/>
      <c r="BZ541" s="861"/>
      <c r="CA541" s="861"/>
      <c r="CB541" s="861"/>
      <c r="CC541" s="861"/>
      <c r="CD541" s="861"/>
      <c r="CE541" s="861"/>
      <c r="CF541" s="861"/>
      <c r="CG541" s="177" t="s">
        <v>957</v>
      </c>
      <c r="CI541" s="406"/>
      <c r="CJ541" s="23"/>
      <c r="CK541" s="648"/>
      <c r="CL541" s="692" t="s">
        <v>810</v>
      </c>
    </row>
    <row r="542" spans="1:105" ht="12" customHeight="1" x14ac:dyDescent="0.2">
      <c r="A542" s="654"/>
      <c r="B542" s="541"/>
      <c r="C542" s="14" t="s">
        <v>1214</v>
      </c>
      <c r="D542" s="177"/>
      <c r="E542" s="650" t="s">
        <v>937</v>
      </c>
      <c r="F542" s="650"/>
      <c r="G542" s="75"/>
      <c r="H542" s="74"/>
      <c r="I542" s="111">
        <v>1999</v>
      </c>
      <c r="J542" s="829"/>
      <c r="K542" s="829"/>
      <c r="L542" s="497" t="s">
        <v>794</v>
      </c>
      <c r="M542" s="75"/>
      <c r="N542" s="497"/>
      <c r="O542" s="98" t="s">
        <v>265</v>
      </c>
      <c r="P542" s="98"/>
      <c r="Q542" s="75"/>
      <c r="R542" s="584"/>
      <c r="S542" s="584"/>
      <c r="T542" s="584"/>
      <c r="U542" s="398">
        <v>157</v>
      </c>
      <c r="V542" s="501"/>
      <c r="W542" s="729"/>
      <c r="X542" s="254"/>
      <c r="Y542" s="443"/>
      <c r="Z542" s="460"/>
      <c r="AA542" s="460"/>
      <c r="AB542" s="460"/>
      <c r="AC542" s="460"/>
      <c r="AD542" s="460"/>
      <c r="AE542" s="460"/>
      <c r="AF542" s="460"/>
      <c r="AG542" s="460"/>
      <c r="AH542" s="460"/>
      <c r="AI542" s="460"/>
      <c r="AJ542" s="460"/>
      <c r="AK542" s="460"/>
      <c r="AL542" s="460"/>
      <c r="AM542" s="460"/>
      <c r="AN542" s="460"/>
      <c r="AO542" s="460"/>
      <c r="AP542" s="460"/>
      <c r="AQ542" s="460"/>
      <c r="AR542" s="460"/>
      <c r="AS542" s="460"/>
      <c r="AT542" s="460"/>
      <c r="AU542" s="460"/>
      <c r="AV542" s="460"/>
      <c r="AW542" s="460"/>
      <c r="AX542" s="460"/>
      <c r="AY542" s="460"/>
      <c r="AZ542" s="460"/>
      <c r="BA542" s="460"/>
      <c r="BB542" s="460"/>
      <c r="BC542" s="460"/>
      <c r="BD542" s="460"/>
      <c r="BE542" s="441"/>
      <c r="BF542" s="441"/>
      <c r="BG542" s="460"/>
      <c r="BH542" s="460"/>
      <c r="BI542" s="442">
        <v>52</v>
      </c>
      <c r="BJ542" s="441"/>
      <c r="BK542" s="441"/>
      <c r="BL542" s="441"/>
      <c r="BM542" s="441"/>
      <c r="BN542" s="441"/>
      <c r="BO542" s="441"/>
      <c r="BP542" s="441"/>
      <c r="BQ542" s="462"/>
      <c r="BR542" s="462"/>
      <c r="BS542" s="446"/>
      <c r="BT542" s="446"/>
      <c r="BU542" s="446"/>
      <c r="BV542" s="446"/>
      <c r="BW542" s="446"/>
      <c r="BY542" s="861"/>
      <c r="BZ542" s="861"/>
      <c r="CA542" s="861"/>
      <c r="CB542" s="861"/>
      <c r="CC542" s="861"/>
      <c r="CD542" s="861"/>
      <c r="CE542" s="861"/>
      <c r="CF542" s="861"/>
      <c r="CG542" s="177" t="s">
        <v>957</v>
      </c>
      <c r="CI542" s="406"/>
      <c r="CJ542" s="23"/>
      <c r="CK542" s="648"/>
      <c r="CL542" s="692"/>
    </row>
    <row r="543" spans="1:105" ht="12" customHeight="1" x14ac:dyDescent="0.2">
      <c r="A543" s="654"/>
      <c r="B543" s="541"/>
      <c r="C543" s="14" t="s">
        <v>1214</v>
      </c>
      <c r="D543" s="177"/>
      <c r="E543" s="647" t="s">
        <v>841</v>
      </c>
      <c r="F543" s="647"/>
      <c r="G543" s="237"/>
      <c r="H543" s="186"/>
      <c r="I543" s="111">
        <v>2000</v>
      </c>
      <c r="J543" s="390"/>
      <c r="K543" s="390"/>
      <c r="L543" s="497"/>
      <c r="M543" s="75"/>
      <c r="N543" s="497"/>
      <c r="O543" s="98"/>
      <c r="P543" s="98"/>
      <c r="Q543" s="75"/>
      <c r="R543" s="584"/>
      <c r="S543" s="584"/>
      <c r="T543" s="584"/>
      <c r="U543" s="398">
        <v>1401</v>
      </c>
      <c r="V543" s="501"/>
      <c r="W543" s="729"/>
      <c r="X543" s="254"/>
      <c r="Y543" s="443"/>
      <c r="Z543" s="460"/>
      <c r="AA543" s="460"/>
      <c r="AB543" s="460"/>
      <c r="AC543" s="460"/>
      <c r="AD543" s="460"/>
      <c r="AE543" s="460"/>
      <c r="AF543" s="460"/>
      <c r="AG543" s="460"/>
      <c r="AH543" s="460"/>
      <c r="AI543" s="460"/>
      <c r="AJ543" s="460"/>
      <c r="AK543" s="460"/>
      <c r="AL543" s="460"/>
      <c r="AM543" s="460"/>
      <c r="AN543" s="460"/>
      <c r="AO543" s="460"/>
      <c r="AP543" s="460"/>
      <c r="AQ543" s="460"/>
      <c r="AR543" s="460"/>
      <c r="AS543" s="460"/>
      <c r="AT543" s="460"/>
      <c r="AU543" s="460"/>
      <c r="AV543" s="460"/>
      <c r="AW543" s="460"/>
      <c r="AX543" s="460"/>
      <c r="AY543" s="460"/>
      <c r="AZ543" s="460"/>
      <c r="BA543" s="460"/>
      <c r="BB543" s="460"/>
      <c r="BC543" s="460"/>
      <c r="BD543" s="460"/>
      <c r="BE543" s="445"/>
      <c r="BF543" s="445"/>
      <c r="BG543" s="460"/>
      <c r="BH543" s="460"/>
      <c r="BI543" s="445">
        <v>18.899999999999999</v>
      </c>
      <c r="BJ543" s="445"/>
      <c r="BK543" s="445"/>
      <c r="BL543" s="445"/>
      <c r="BM543" s="445"/>
      <c r="BN543" s="445"/>
      <c r="BO543" s="445"/>
      <c r="BP543" s="445"/>
      <c r="BQ543" s="462"/>
      <c r="BR543" s="462"/>
      <c r="BS543" s="442">
        <v>32</v>
      </c>
      <c r="BT543" s="446"/>
      <c r="BU543" s="446"/>
      <c r="BV543" s="446"/>
      <c r="BW543" s="446"/>
      <c r="BX543" s="756"/>
      <c r="BY543" s="850"/>
      <c r="BZ543" s="850"/>
      <c r="CA543" s="850"/>
      <c r="CB543" s="850"/>
      <c r="CC543" s="850"/>
      <c r="CD543" s="850"/>
      <c r="CE543" s="850"/>
      <c r="CF543" s="850"/>
      <c r="CG543" s="177" t="s">
        <v>957</v>
      </c>
      <c r="CH543" s="424"/>
      <c r="CI543" s="409"/>
      <c r="CJ543" s="23"/>
      <c r="CK543" s="648"/>
      <c r="CL543" s="692" t="s">
        <v>820</v>
      </c>
    </row>
    <row r="544" spans="1:105" x14ac:dyDescent="0.2">
      <c r="A544" s="654"/>
      <c r="B544" s="541"/>
      <c r="C544" s="14" t="s">
        <v>1214</v>
      </c>
      <c r="D544" s="177"/>
      <c r="E544" s="647" t="s">
        <v>827</v>
      </c>
      <c r="F544" s="647"/>
      <c r="G544" s="237"/>
      <c r="H544" s="186"/>
      <c r="I544" s="166">
        <v>2000</v>
      </c>
      <c r="J544" s="390"/>
      <c r="K544" s="390"/>
      <c r="L544" s="493" t="s">
        <v>783</v>
      </c>
      <c r="M544" s="98" t="s">
        <v>646</v>
      </c>
      <c r="N544" s="494" t="s">
        <v>783</v>
      </c>
      <c r="O544" s="98"/>
      <c r="P544" s="98"/>
      <c r="Q544" s="98"/>
      <c r="R544" s="167"/>
      <c r="S544" s="167"/>
      <c r="T544" s="167"/>
      <c r="U544" s="393">
        <f>555+358+527</f>
        <v>1440</v>
      </c>
      <c r="V544" s="694"/>
      <c r="W544" s="711"/>
      <c r="X544" s="254"/>
      <c r="Y544" s="443"/>
      <c r="Z544" s="443"/>
      <c r="AA544" s="443"/>
      <c r="AB544" s="443"/>
      <c r="AC544" s="443"/>
      <c r="AD544" s="443"/>
      <c r="AE544" s="443"/>
      <c r="AF544" s="443"/>
      <c r="AG544" s="443"/>
      <c r="AH544" s="443"/>
      <c r="AI544" s="443"/>
      <c r="AJ544" s="443"/>
      <c r="AK544" s="443"/>
      <c r="AL544" s="443"/>
      <c r="AM544" s="443"/>
      <c r="AN544" s="443"/>
      <c r="AO544" s="443"/>
      <c r="AP544" s="443"/>
      <c r="AQ544" s="443"/>
      <c r="AR544" s="443"/>
      <c r="AS544" s="443"/>
      <c r="AT544" s="443"/>
      <c r="AU544" s="443"/>
      <c r="AV544" s="443"/>
      <c r="AW544" s="443"/>
      <c r="AX544" s="443"/>
      <c r="AY544" s="443"/>
      <c r="AZ544" s="443"/>
      <c r="BA544" s="443"/>
      <c r="BB544" s="443"/>
      <c r="BC544" s="443"/>
      <c r="BD544" s="443"/>
      <c r="BE544" s="445"/>
      <c r="BF544" s="445"/>
      <c r="BG544" s="443"/>
      <c r="BH544" s="443"/>
      <c r="BI544" s="442">
        <f>(23*358+17*527+12*555)/(358+527+555)</f>
        <v>16.564583333333335</v>
      </c>
      <c r="BJ544" s="445"/>
      <c r="BK544" s="445"/>
      <c r="BL544" s="445"/>
      <c r="BM544" s="445"/>
      <c r="BN544" s="445"/>
      <c r="BO544" s="445"/>
      <c r="BP544" s="445"/>
      <c r="BQ544" s="462"/>
      <c r="BR544" s="462"/>
      <c r="BS544" s="446"/>
      <c r="BT544" s="446"/>
      <c r="BU544" s="446"/>
      <c r="BV544" s="446"/>
      <c r="BW544" s="446"/>
      <c r="BX544" s="756"/>
      <c r="BY544" s="850"/>
      <c r="BZ544" s="850"/>
      <c r="CA544" s="850"/>
      <c r="CB544" s="850"/>
      <c r="CC544" s="850"/>
      <c r="CD544" s="850"/>
      <c r="CE544" s="850"/>
      <c r="CF544" s="850"/>
      <c r="CG544" s="177" t="s">
        <v>957</v>
      </c>
      <c r="CH544" s="434"/>
      <c r="CI544" s="407"/>
      <c r="CJ544" s="23"/>
      <c r="CK544" s="648"/>
      <c r="CL544" s="572"/>
    </row>
    <row r="545" spans="1:91" x14ac:dyDescent="0.2">
      <c r="A545" s="654"/>
      <c r="B545" s="541"/>
      <c r="C545" s="14" t="s">
        <v>1214</v>
      </c>
      <c r="D545" s="177"/>
      <c r="E545" s="650" t="s">
        <v>842</v>
      </c>
      <c r="F545" s="650"/>
      <c r="G545" s="75"/>
      <c r="H545" s="74"/>
      <c r="I545" s="111">
        <v>2000</v>
      </c>
      <c r="J545" s="829"/>
      <c r="K545" s="829"/>
      <c r="L545" s="497"/>
      <c r="M545" s="75"/>
      <c r="N545" s="497"/>
      <c r="O545" s="98" t="s">
        <v>19</v>
      </c>
      <c r="P545" s="98"/>
      <c r="Q545" s="75"/>
      <c r="R545" s="584"/>
      <c r="S545" s="584"/>
      <c r="T545" s="584"/>
      <c r="U545" s="398">
        <v>57</v>
      </c>
      <c r="V545" s="501"/>
      <c r="W545" s="729"/>
      <c r="X545" s="254"/>
      <c r="Y545" s="443"/>
      <c r="Z545" s="460"/>
      <c r="AA545" s="460"/>
      <c r="AB545" s="460"/>
      <c r="AC545" s="460"/>
      <c r="AD545" s="460"/>
      <c r="AE545" s="460"/>
      <c r="AF545" s="460"/>
      <c r="AG545" s="460"/>
      <c r="AH545" s="460"/>
      <c r="AI545" s="460"/>
      <c r="AJ545" s="460"/>
      <c r="AK545" s="460"/>
      <c r="AL545" s="460"/>
      <c r="AM545" s="460"/>
      <c r="AN545" s="460"/>
      <c r="AO545" s="460"/>
      <c r="AP545" s="460"/>
      <c r="AQ545" s="460"/>
      <c r="AR545" s="460"/>
      <c r="AS545" s="460"/>
      <c r="AT545" s="460"/>
      <c r="AU545" s="460"/>
      <c r="AV545" s="460"/>
      <c r="AW545" s="460"/>
      <c r="AX545" s="460"/>
      <c r="AY545" s="460"/>
      <c r="AZ545" s="460"/>
      <c r="BA545" s="460"/>
      <c r="BB545" s="460"/>
      <c r="BC545" s="460"/>
      <c r="BD545" s="460"/>
      <c r="BE545" s="445"/>
      <c r="BF545" s="445"/>
      <c r="BG545" s="460"/>
      <c r="BH545" s="460"/>
      <c r="BI545" s="445">
        <v>5</v>
      </c>
      <c r="BJ545" s="445"/>
      <c r="BK545" s="445"/>
      <c r="BL545" s="445"/>
      <c r="BM545" s="445"/>
      <c r="BN545" s="445"/>
      <c r="BO545" s="445"/>
      <c r="BP545" s="445"/>
      <c r="BQ545" s="462"/>
      <c r="BR545" s="462"/>
      <c r="BS545" s="442">
        <v>38.6</v>
      </c>
      <c r="BT545" s="446"/>
      <c r="BU545" s="446"/>
      <c r="BV545" s="446"/>
      <c r="BW545" s="446"/>
      <c r="BX545" s="756"/>
      <c r="BY545" s="850"/>
      <c r="BZ545" s="850"/>
      <c r="CA545" s="850"/>
      <c r="CB545" s="850"/>
      <c r="CC545" s="850"/>
      <c r="CD545" s="850"/>
      <c r="CE545" s="850"/>
      <c r="CF545" s="850"/>
      <c r="CG545" s="177" t="s">
        <v>957</v>
      </c>
      <c r="CH545" s="424"/>
      <c r="CI545" s="409"/>
      <c r="CJ545" s="23"/>
      <c r="CK545" s="648"/>
      <c r="CL545" s="692" t="s">
        <v>820</v>
      </c>
      <c r="CM545"/>
    </row>
    <row r="546" spans="1:91" x14ac:dyDescent="0.2">
      <c r="A546" s="654"/>
      <c r="B546" s="541"/>
      <c r="C546" s="14" t="s">
        <v>1214</v>
      </c>
      <c r="D546" s="177"/>
      <c r="E546" s="650" t="s">
        <v>819</v>
      </c>
      <c r="F546" s="650"/>
      <c r="G546" s="75"/>
      <c r="H546" s="74"/>
      <c r="I546" s="111">
        <v>2001</v>
      </c>
      <c r="J546" s="829"/>
      <c r="K546" s="829"/>
      <c r="L546" s="497"/>
      <c r="M546" s="75"/>
      <c r="N546" s="497"/>
      <c r="O546" s="98" t="s">
        <v>19</v>
      </c>
      <c r="P546" s="98"/>
      <c r="Q546" s="75"/>
      <c r="R546" s="584"/>
      <c r="S546" s="584"/>
      <c r="T546" s="584"/>
      <c r="U546" s="398">
        <v>179</v>
      </c>
      <c r="V546" s="501"/>
      <c r="W546" s="729"/>
      <c r="X546" s="254"/>
      <c r="Y546" s="443"/>
      <c r="Z546" s="460"/>
      <c r="AA546" s="460"/>
      <c r="AB546" s="460"/>
      <c r="AC546" s="460"/>
      <c r="AD546" s="460"/>
      <c r="AE546" s="460"/>
      <c r="AF546" s="460"/>
      <c r="AG546" s="460"/>
      <c r="AH546" s="460"/>
      <c r="AI546" s="460"/>
      <c r="AJ546" s="460"/>
      <c r="AK546" s="460"/>
      <c r="AL546" s="460"/>
      <c r="AM546" s="460"/>
      <c r="AN546" s="460"/>
      <c r="AO546" s="460"/>
      <c r="AP546" s="460"/>
      <c r="AQ546" s="460"/>
      <c r="AR546" s="460"/>
      <c r="AS546" s="460"/>
      <c r="AT546" s="460"/>
      <c r="AU546" s="460"/>
      <c r="AV546" s="460"/>
      <c r="AW546" s="460"/>
      <c r="AX546" s="460"/>
      <c r="AY546" s="460"/>
      <c r="AZ546" s="460"/>
      <c r="BA546" s="460"/>
      <c r="BB546" s="460"/>
      <c r="BC546" s="460"/>
      <c r="BD546" s="460"/>
      <c r="BE546" s="464"/>
      <c r="BF546" s="464"/>
      <c r="BG546" s="460"/>
      <c r="BH546" s="460"/>
      <c r="BI546" s="464"/>
      <c r="BJ546" s="464"/>
      <c r="BK546" s="464"/>
      <c r="BL546" s="464"/>
      <c r="BM546" s="464"/>
      <c r="BN546" s="464"/>
      <c r="BO546" s="464"/>
      <c r="BP546" s="464"/>
      <c r="BQ546" s="464"/>
      <c r="BR546" s="442"/>
      <c r="BS546" s="442">
        <v>15.6</v>
      </c>
      <c r="BT546" s="446"/>
      <c r="BU546" s="446"/>
      <c r="BV546" s="446"/>
      <c r="BW546" s="446"/>
      <c r="BX546" s="756"/>
      <c r="BY546" s="850"/>
      <c r="BZ546" s="850"/>
      <c r="CA546" s="850"/>
      <c r="CB546" s="850"/>
      <c r="CC546" s="850"/>
      <c r="CD546" s="850"/>
      <c r="CE546" s="850"/>
      <c r="CF546" s="850"/>
      <c r="CG546" s="177" t="s">
        <v>957</v>
      </c>
      <c r="CH546" s="424"/>
      <c r="CI546" s="409"/>
      <c r="CJ546" s="23"/>
      <c r="CK546" s="648"/>
      <c r="CL546" s="692" t="s">
        <v>820</v>
      </c>
      <c r="CM546"/>
    </row>
    <row r="547" spans="1:91" x14ac:dyDescent="0.2">
      <c r="A547" s="654"/>
      <c r="B547" s="541"/>
      <c r="C547" s="14" t="s">
        <v>1214</v>
      </c>
      <c r="D547" s="177"/>
      <c r="E547" s="650" t="s">
        <v>822</v>
      </c>
      <c r="F547" s="650"/>
      <c r="G547" s="75"/>
      <c r="H547" s="74"/>
      <c r="I547" s="111">
        <v>2001</v>
      </c>
      <c r="J547" s="829"/>
      <c r="K547" s="829"/>
      <c r="L547" s="497"/>
      <c r="M547" s="75"/>
      <c r="N547" s="497"/>
      <c r="O547" s="98"/>
      <c r="P547" s="98"/>
      <c r="Q547" s="75"/>
      <c r="R547" s="584"/>
      <c r="S547" s="584"/>
      <c r="T547" s="584"/>
      <c r="U547" s="398">
        <v>553</v>
      </c>
      <c r="V547" s="501"/>
      <c r="W547" s="729"/>
      <c r="X547" s="254"/>
      <c r="Y547" s="443"/>
      <c r="Z547" s="460"/>
      <c r="AA547" s="460"/>
      <c r="AB547" s="460"/>
      <c r="AC547" s="460"/>
      <c r="AD547" s="460"/>
      <c r="AE547" s="460"/>
      <c r="AF547" s="460"/>
      <c r="AG547" s="460"/>
      <c r="AH547" s="460"/>
      <c r="AI547" s="460"/>
      <c r="AJ547" s="460"/>
      <c r="AK547" s="460"/>
      <c r="AL547" s="460"/>
      <c r="AM547" s="460"/>
      <c r="AN547" s="460"/>
      <c r="AO547" s="460"/>
      <c r="AP547" s="460"/>
      <c r="AQ547" s="460"/>
      <c r="AR547" s="460"/>
      <c r="AS547" s="460"/>
      <c r="AT547" s="460"/>
      <c r="AU547" s="460"/>
      <c r="AV547" s="460"/>
      <c r="AW547" s="460"/>
      <c r="AX547" s="460"/>
      <c r="AY547" s="460"/>
      <c r="AZ547" s="460"/>
      <c r="BA547" s="460"/>
      <c r="BB547" s="460"/>
      <c r="BC547" s="460"/>
      <c r="BD547" s="460"/>
      <c r="BE547" s="445"/>
      <c r="BF547" s="445"/>
      <c r="BG547" s="460"/>
      <c r="BH547" s="460"/>
      <c r="BI547" s="445">
        <v>2.5</v>
      </c>
      <c r="BJ547" s="445"/>
      <c r="BK547" s="445"/>
      <c r="BL547" s="445"/>
      <c r="BM547" s="445"/>
      <c r="BN547" s="445"/>
      <c r="BO547" s="445"/>
      <c r="BP547" s="445"/>
      <c r="BQ547" s="462"/>
      <c r="BR547" s="462"/>
      <c r="BS547" s="442">
        <v>16.5</v>
      </c>
      <c r="BT547" s="446"/>
      <c r="BU547" s="446"/>
      <c r="BV547" s="446"/>
      <c r="BW547" s="446"/>
      <c r="BX547" s="756"/>
      <c r="BY547" s="850"/>
      <c r="BZ547" s="850"/>
      <c r="CA547" s="850"/>
      <c r="CB547" s="850"/>
      <c r="CC547" s="850"/>
      <c r="CD547" s="850"/>
      <c r="CE547" s="850"/>
      <c r="CF547" s="850"/>
      <c r="CG547" s="177" t="s">
        <v>957</v>
      </c>
      <c r="CH547" s="424"/>
      <c r="CI547" s="409"/>
      <c r="CJ547" s="23"/>
      <c r="CK547" s="648"/>
      <c r="CL547" s="692" t="s">
        <v>810</v>
      </c>
      <c r="CM547"/>
    </row>
    <row r="548" spans="1:91" x14ac:dyDescent="0.2">
      <c r="A548" s="654"/>
      <c r="B548" s="541"/>
      <c r="C548" s="14" t="s">
        <v>1214</v>
      </c>
      <c r="D548" s="177"/>
      <c r="E548" s="650" t="s">
        <v>935</v>
      </c>
      <c r="F548" s="650"/>
      <c r="G548" s="75"/>
      <c r="H548" s="74"/>
      <c r="I548" s="111">
        <v>2001</v>
      </c>
      <c r="J548" s="829"/>
      <c r="K548" s="829"/>
      <c r="L548" s="497"/>
      <c r="M548" s="75"/>
      <c r="N548" s="497"/>
      <c r="O548" s="98" t="s">
        <v>19</v>
      </c>
      <c r="P548" s="98"/>
      <c r="Q548" s="75"/>
      <c r="R548" s="584"/>
      <c r="S548" s="584"/>
      <c r="T548" s="584"/>
      <c r="U548" s="398">
        <v>795</v>
      </c>
      <c r="V548" s="501"/>
      <c r="W548" s="729"/>
      <c r="X548" s="254"/>
      <c r="Y548" s="443"/>
      <c r="Z548" s="460"/>
      <c r="AA548" s="460"/>
      <c r="AB548" s="460"/>
      <c r="AC548" s="460"/>
      <c r="AD548" s="460"/>
      <c r="AE548" s="460"/>
      <c r="AF548" s="460"/>
      <c r="AG548" s="460"/>
      <c r="AH548" s="460"/>
      <c r="AI548" s="460"/>
      <c r="AJ548" s="460"/>
      <c r="AK548" s="460"/>
      <c r="AL548" s="460"/>
      <c r="AM548" s="460"/>
      <c r="AN548" s="460"/>
      <c r="AO548" s="460"/>
      <c r="AP548" s="460"/>
      <c r="AQ548" s="460"/>
      <c r="AR548" s="460"/>
      <c r="AS548" s="460"/>
      <c r="AT548" s="460"/>
      <c r="AU548" s="460"/>
      <c r="AV548" s="460"/>
      <c r="AW548" s="460"/>
      <c r="AX548" s="460"/>
      <c r="AY548" s="460"/>
      <c r="AZ548" s="460"/>
      <c r="BA548" s="460"/>
      <c r="BB548" s="460"/>
      <c r="BC548" s="460"/>
      <c r="BD548" s="460"/>
      <c r="BE548" s="442"/>
      <c r="BF548" s="442"/>
      <c r="BG548" s="460"/>
      <c r="BH548" s="460"/>
      <c r="BI548" s="442">
        <v>38</v>
      </c>
      <c r="BJ548" s="442">
        <v>7.9</v>
      </c>
      <c r="BK548" s="442"/>
      <c r="BL548" s="442"/>
      <c r="BM548" s="442"/>
      <c r="BN548" s="442"/>
      <c r="BO548" s="442"/>
      <c r="BP548" s="442"/>
      <c r="BQ548" s="464"/>
      <c r="BR548" s="442"/>
      <c r="BS548" s="442"/>
      <c r="BT548" s="446"/>
      <c r="BU548" s="446"/>
      <c r="BV548" s="446"/>
      <c r="BW548" s="446"/>
      <c r="BY548" s="861"/>
      <c r="BZ548" s="861"/>
      <c r="CA548" s="861"/>
      <c r="CB548" s="861"/>
      <c r="CC548" s="861"/>
      <c r="CD548" s="861"/>
      <c r="CE548" s="861"/>
      <c r="CF548" s="861"/>
      <c r="CG548" s="177" t="s">
        <v>957</v>
      </c>
      <c r="CI548" s="406"/>
      <c r="CJ548" s="23"/>
      <c r="CK548" s="648"/>
      <c r="CL548" s="692" t="s">
        <v>810</v>
      </c>
      <c r="CM548"/>
    </row>
    <row r="549" spans="1:91" x14ac:dyDescent="0.2">
      <c r="A549" s="654"/>
      <c r="B549" s="541"/>
      <c r="C549" s="14" t="s">
        <v>1214</v>
      </c>
      <c r="D549" s="177"/>
      <c r="E549" s="650" t="s">
        <v>842</v>
      </c>
      <c r="F549" s="650"/>
      <c r="G549" s="75"/>
      <c r="H549" s="74"/>
      <c r="I549" s="111">
        <v>2002</v>
      </c>
      <c r="J549" s="829"/>
      <c r="K549" s="829"/>
      <c r="O549" s="98"/>
      <c r="P549" s="98"/>
      <c r="U549" s="398">
        <v>421</v>
      </c>
      <c r="V549" s="501"/>
      <c r="W549" s="729"/>
      <c r="X549" s="254"/>
      <c r="Y549" s="443"/>
      <c r="Z549" s="460"/>
      <c r="AA549" s="460"/>
      <c r="AB549" s="460"/>
      <c r="AC549" s="460"/>
      <c r="AD549" s="460"/>
      <c r="AE549" s="460"/>
      <c r="AF549" s="460"/>
      <c r="AG549" s="460"/>
      <c r="AH549" s="460"/>
      <c r="AI549" s="460"/>
      <c r="AJ549" s="460"/>
      <c r="AK549" s="460"/>
      <c r="AL549" s="460"/>
      <c r="AM549" s="460"/>
      <c r="AN549" s="460"/>
      <c r="AO549" s="460"/>
      <c r="AP549" s="460"/>
      <c r="AQ549" s="460"/>
      <c r="AR549" s="460"/>
      <c r="AS549" s="460"/>
      <c r="AT549" s="460"/>
      <c r="AU549" s="460"/>
      <c r="AV549" s="460"/>
      <c r="AW549" s="460"/>
      <c r="AX549" s="460"/>
      <c r="AY549" s="460"/>
      <c r="AZ549" s="460"/>
      <c r="BA549" s="460"/>
      <c r="BB549" s="460"/>
      <c r="BC549" s="460"/>
      <c r="BD549" s="460"/>
      <c r="BE549" s="464"/>
      <c r="BF549" s="464"/>
      <c r="BG549" s="460"/>
      <c r="BH549" s="460"/>
      <c r="BI549" s="464"/>
      <c r="BJ549" s="464"/>
      <c r="BK549" s="464"/>
      <c r="BL549" s="464"/>
      <c r="BM549" s="464"/>
      <c r="BN549" s="464"/>
      <c r="BO549" s="464"/>
      <c r="BP549" s="464"/>
      <c r="BQ549" s="464"/>
      <c r="BR549" s="442"/>
      <c r="BS549" s="442">
        <v>47.3</v>
      </c>
      <c r="BT549" s="446"/>
      <c r="BU549" s="446"/>
      <c r="BV549" s="446"/>
      <c r="BW549" s="446"/>
      <c r="BX549" s="756"/>
      <c r="BY549" s="850"/>
      <c r="BZ549" s="850"/>
      <c r="CA549" s="850"/>
      <c r="CB549" s="850"/>
      <c r="CC549" s="850"/>
      <c r="CD549" s="850"/>
      <c r="CE549" s="850"/>
      <c r="CF549" s="850"/>
      <c r="CG549" s="177" t="s">
        <v>957</v>
      </c>
      <c r="CI549" s="406"/>
      <c r="CJ549" s="23"/>
      <c r="CK549" s="648"/>
      <c r="CL549" s="692" t="s">
        <v>818</v>
      </c>
      <c r="CM549"/>
    </row>
    <row r="550" spans="1:91" x14ac:dyDescent="0.2">
      <c r="A550" s="654"/>
      <c r="B550" s="541"/>
      <c r="C550" s="14" t="s">
        <v>1214</v>
      </c>
      <c r="D550" s="177"/>
      <c r="E550" s="650" t="s">
        <v>842</v>
      </c>
      <c r="F550" s="650"/>
      <c r="G550" s="75"/>
      <c r="H550" s="74"/>
      <c r="I550" s="111">
        <v>2002</v>
      </c>
      <c r="J550" s="829"/>
      <c r="K550" s="829"/>
      <c r="O550" s="98"/>
      <c r="P550" s="98"/>
      <c r="U550" s="398">
        <v>87</v>
      </c>
      <c r="V550" s="501"/>
      <c r="W550" s="729"/>
      <c r="X550" s="254"/>
      <c r="Y550" s="443"/>
      <c r="Z550" s="460"/>
      <c r="AA550" s="460"/>
      <c r="AB550" s="460"/>
      <c r="AC550" s="460"/>
      <c r="AD550" s="460"/>
      <c r="AE550" s="460"/>
      <c r="AF550" s="460"/>
      <c r="AG550" s="460"/>
      <c r="AH550" s="460"/>
      <c r="AI550" s="460"/>
      <c r="AJ550" s="460"/>
      <c r="AK550" s="460"/>
      <c r="AL550" s="460"/>
      <c r="AM550" s="460"/>
      <c r="AN550" s="460"/>
      <c r="AO550" s="460"/>
      <c r="AP550" s="460"/>
      <c r="AQ550" s="460"/>
      <c r="AR550" s="460"/>
      <c r="AS550" s="460"/>
      <c r="AT550" s="460"/>
      <c r="AU550" s="460"/>
      <c r="AV550" s="460"/>
      <c r="AW550" s="460"/>
      <c r="AX550" s="460"/>
      <c r="AY550" s="460"/>
      <c r="AZ550" s="460"/>
      <c r="BA550" s="460"/>
      <c r="BB550" s="460"/>
      <c r="BC550" s="460"/>
      <c r="BD550" s="460"/>
      <c r="BE550" s="464"/>
      <c r="BF550" s="464"/>
      <c r="BG550" s="460"/>
      <c r="BH550" s="460"/>
      <c r="BI550" s="464"/>
      <c r="BJ550" s="464"/>
      <c r="BK550" s="464"/>
      <c r="BL550" s="464"/>
      <c r="BM550" s="464"/>
      <c r="BN550" s="464"/>
      <c r="BO550" s="464"/>
      <c r="BP550" s="464"/>
      <c r="BQ550" s="464"/>
      <c r="BR550" s="442"/>
      <c r="BS550" s="442">
        <v>72</v>
      </c>
      <c r="BT550" s="446"/>
      <c r="BU550" s="446"/>
      <c r="BV550" s="446"/>
      <c r="BW550" s="446"/>
      <c r="BX550" s="756"/>
      <c r="BY550" s="850"/>
      <c r="BZ550" s="850"/>
      <c r="CA550" s="850"/>
      <c r="CB550" s="850"/>
      <c r="CC550" s="850"/>
      <c r="CD550" s="850"/>
      <c r="CE550" s="850"/>
      <c r="CF550" s="850"/>
      <c r="CG550" s="177" t="s">
        <v>957</v>
      </c>
      <c r="CI550" s="406"/>
      <c r="CJ550" s="23"/>
      <c r="CK550" s="648"/>
      <c r="CL550" s="692" t="s">
        <v>810</v>
      </c>
      <c r="CM550"/>
    </row>
    <row r="551" spans="1:91" x14ac:dyDescent="0.2">
      <c r="A551" s="654"/>
      <c r="B551" s="541"/>
      <c r="C551" s="14" t="s">
        <v>1214</v>
      </c>
      <c r="D551" s="177"/>
      <c r="E551" s="650" t="s">
        <v>812</v>
      </c>
      <c r="F551" s="650"/>
      <c r="G551" s="75"/>
      <c r="H551" s="74"/>
      <c r="I551" s="111">
        <v>2002</v>
      </c>
      <c r="J551" s="829"/>
      <c r="K551" s="829"/>
      <c r="O551" s="98" t="s">
        <v>845</v>
      </c>
      <c r="P551" s="98"/>
      <c r="U551" s="398">
        <v>160</v>
      </c>
      <c r="V551" s="501"/>
      <c r="W551" s="729"/>
      <c r="X551" s="254"/>
      <c r="Y551" s="443"/>
      <c r="Z551" s="460"/>
      <c r="AA551" s="460"/>
      <c r="AB551" s="460"/>
      <c r="AC551" s="460"/>
      <c r="AD551" s="460"/>
      <c r="AE551" s="460"/>
      <c r="AF551" s="460"/>
      <c r="AG551" s="460"/>
      <c r="AH551" s="460"/>
      <c r="AI551" s="460"/>
      <c r="AJ551" s="460"/>
      <c r="AK551" s="460"/>
      <c r="AL551" s="460"/>
      <c r="AM551" s="460"/>
      <c r="AN551" s="460"/>
      <c r="AO551" s="460"/>
      <c r="AP551" s="460"/>
      <c r="AQ551" s="460"/>
      <c r="AR551" s="460"/>
      <c r="AS551" s="460"/>
      <c r="AT551" s="460"/>
      <c r="AU551" s="460"/>
      <c r="AV551" s="460"/>
      <c r="AW551" s="460"/>
      <c r="AX551" s="460"/>
      <c r="AY551" s="460"/>
      <c r="AZ551" s="460"/>
      <c r="BA551" s="460"/>
      <c r="BB551" s="460"/>
      <c r="BC551" s="460"/>
      <c r="BD551" s="460"/>
      <c r="BE551" s="445"/>
      <c r="BF551" s="445"/>
      <c r="BG551" s="460"/>
      <c r="BH551" s="460"/>
      <c r="BI551" s="445">
        <v>26.6</v>
      </c>
      <c r="BJ551" s="445"/>
      <c r="BK551" s="445"/>
      <c r="BL551" s="445"/>
      <c r="BM551" s="445"/>
      <c r="BN551" s="445"/>
      <c r="BO551" s="445"/>
      <c r="BP551" s="445"/>
      <c r="BQ551" s="462"/>
      <c r="BR551" s="462"/>
      <c r="BS551" s="442">
        <v>30.4</v>
      </c>
      <c r="BT551" s="446"/>
      <c r="BU551" s="446"/>
      <c r="BV551" s="446"/>
      <c r="BW551" s="446"/>
      <c r="BX551" s="756"/>
      <c r="BY551" s="850"/>
      <c r="BZ551" s="850"/>
      <c r="CA551" s="850"/>
      <c r="CB551" s="850"/>
      <c r="CC551" s="850"/>
      <c r="CD551" s="850"/>
      <c r="CE551" s="850"/>
      <c r="CF551" s="850"/>
      <c r="CG551" s="177" t="s">
        <v>957</v>
      </c>
      <c r="CI551" s="406"/>
      <c r="CJ551" s="23"/>
      <c r="CK551" s="648"/>
      <c r="CL551" s="692" t="s">
        <v>811</v>
      </c>
      <c r="CM551"/>
    </row>
    <row r="552" spans="1:91" x14ac:dyDescent="0.2">
      <c r="A552" s="654"/>
      <c r="B552" s="541"/>
      <c r="C552" s="14" t="s">
        <v>1214</v>
      </c>
      <c r="D552" s="177"/>
      <c r="E552" s="647" t="s">
        <v>807</v>
      </c>
      <c r="F552" s="647"/>
      <c r="G552" s="98"/>
      <c r="H552" s="97"/>
      <c r="I552" s="111">
        <v>2002</v>
      </c>
      <c r="J552" s="571"/>
      <c r="K552" s="571"/>
      <c r="L552" s="493"/>
      <c r="M552" s="98"/>
      <c r="N552" s="493"/>
      <c r="O552" s="98"/>
      <c r="P552" s="98"/>
      <c r="Q552" s="98"/>
      <c r="R552" s="167"/>
      <c r="S552" s="167"/>
      <c r="T552" s="167"/>
      <c r="U552" s="393">
        <v>1152</v>
      </c>
      <c r="V552" s="694"/>
      <c r="W552" s="711"/>
      <c r="X552" s="167"/>
      <c r="Y552" s="443"/>
      <c r="Z552" s="443"/>
      <c r="AA552" s="443"/>
      <c r="AB552" s="443"/>
      <c r="AC552" s="443"/>
      <c r="AD552" s="443"/>
      <c r="AE552" s="443"/>
      <c r="AF552" s="443"/>
      <c r="AG552" s="443"/>
      <c r="AH552" s="443"/>
      <c r="AI552" s="443"/>
      <c r="AJ552" s="443"/>
      <c r="AK552" s="443"/>
      <c r="AL552" s="443"/>
      <c r="AM552" s="443"/>
      <c r="AN552" s="443"/>
      <c r="AO552" s="443"/>
      <c r="AP552" s="443"/>
      <c r="AQ552" s="443"/>
      <c r="AR552" s="443"/>
      <c r="AS552" s="443"/>
      <c r="AT552" s="443"/>
      <c r="AU552" s="443"/>
      <c r="AV552" s="443"/>
      <c r="AW552" s="443"/>
      <c r="AX552" s="443"/>
      <c r="AY552" s="443"/>
      <c r="AZ552" s="443"/>
      <c r="BA552" s="443"/>
      <c r="BB552" s="443"/>
      <c r="BC552" s="443"/>
      <c r="BD552" s="443"/>
      <c r="BE552" s="464"/>
      <c r="BF552" s="464"/>
      <c r="BG552" s="443"/>
      <c r="BH552" s="443"/>
      <c r="BI552" s="464"/>
      <c r="BJ552" s="464"/>
      <c r="BK552" s="464"/>
      <c r="BL552" s="464"/>
      <c r="BM552" s="464"/>
      <c r="BN552" s="464"/>
      <c r="BO552" s="464"/>
      <c r="BP552" s="464"/>
      <c r="BQ552" s="464"/>
      <c r="BR552" s="442"/>
      <c r="BS552" s="442">
        <v>40</v>
      </c>
      <c r="BT552" s="446"/>
      <c r="BU552" s="446"/>
      <c r="BV552" s="446"/>
      <c r="BW552" s="446"/>
      <c r="BX552" s="756"/>
      <c r="BY552" s="850"/>
      <c r="BZ552" s="850"/>
      <c r="CA552" s="850"/>
      <c r="CB552" s="850"/>
      <c r="CC552" s="850"/>
      <c r="CD552" s="850"/>
      <c r="CE552" s="850"/>
      <c r="CF552" s="850"/>
      <c r="CG552" s="177" t="s">
        <v>957</v>
      </c>
      <c r="CH552" s="434"/>
      <c r="CI552" s="407"/>
      <c r="CJ552" s="23"/>
      <c r="CK552" s="648"/>
      <c r="CL552" s="692" t="s">
        <v>810</v>
      </c>
      <c r="CM552"/>
    </row>
    <row r="553" spans="1:91" x14ac:dyDescent="0.2">
      <c r="A553" s="654"/>
      <c r="B553" s="541"/>
      <c r="C553" s="14" t="s">
        <v>1214</v>
      </c>
      <c r="D553" s="177"/>
      <c r="E553" s="647" t="s">
        <v>808</v>
      </c>
      <c r="F553" s="647"/>
      <c r="G553" s="98"/>
      <c r="H553" s="97"/>
      <c r="I553" s="111">
        <v>2002</v>
      </c>
      <c r="J553" s="571"/>
      <c r="K553" s="571"/>
      <c r="L553" s="493"/>
      <c r="M553" s="98"/>
      <c r="N553" s="493"/>
      <c r="O553" s="98"/>
      <c r="P553" s="98"/>
      <c r="Q553" s="98"/>
      <c r="R553" s="167"/>
      <c r="S553" s="167"/>
      <c r="T553" s="167"/>
      <c r="U553" s="393">
        <v>127</v>
      </c>
      <c r="V553" s="694"/>
      <c r="W553" s="711"/>
      <c r="X553" s="167"/>
      <c r="Y553" s="443"/>
      <c r="Z553" s="443"/>
      <c r="AA553" s="443"/>
      <c r="AB553" s="443"/>
      <c r="AC553" s="443"/>
      <c r="AD553" s="443"/>
      <c r="AE553" s="443"/>
      <c r="AF553" s="443"/>
      <c r="AG553" s="443"/>
      <c r="AH553" s="443"/>
      <c r="AI553" s="443"/>
      <c r="AJ553" s="443"/>
      <c r="AK553" s="443"/>
      <c r="AL553" s="443"/>
      <c r="AM553" s="443"/>
      <c r="AN553" s="443"/>
      <c r="AO553" s="443"/>
      <c r="AP553" s="443"/>
      <c r="AQ553" s="443"/>
      <c r="AR553" s="443"/>
      <c r="AS553" s="443"/>
      <c r="AT553" s="443"/>
      <c r="AU553" s="443"/>
      <c r="AV553" s="443"/>
      <c r="AW553" s="443"/>
      <c r="AX553" s="443"/>
      <c r="AY553" s="443"/>
      <c r="AZ553" s="443"/>
      <c r="BA553" s="443"/>
      <c r="BB553" s="443"/>
      <c r="BC553" s="443"/>
      <c r="BD553" s="443"/>
      <c r="BE553" s="445"/>
      <c r="BF553" s="445"/>
      <c r="BG553" s="443"/>
      <c r="BH553" s="443"/>
      <c r="BI553" s="445">
        <v>18</v>
      </c>
      <c r="BJ553" s="445"/>
      <c r="BK553" s="445"/>
      <c r="BL553" s="445"/>
      <c r="BM553" s="445"/>
      <c r="BN553" s="445"/>
      <c r="BO553" s="445"/>
      <c r="BP553" s="445"/>
      <c r="BQ553" s="462"/>
      <c r="BR553" s="462"/>
      <c r="BS553" s="446"/>
      <c r="BT553" s="446"/>
      <c r="BU553" s="446"/>
      <c r="BV553" s="446"/>
      <c r="BW553" s="446"/>
      <c r="BX553" s="756"/>
      <c r="BY553" s="850"/>
      <c r="BZ553" s="850"/>
      <c r="CA553" s="850"/>
      <c r="CB553" s="850"/>
      <c r="CC553" s="850"/>
      <c r="CD553" s="850"/>
      <c r="CE553" s="850"/>
      <c r="CF553" s="850"/>
      <c r="CG553" s="177" t="s">
        <v>957</v>
      </c>
      <c r="CH553" s="434"/>
      <c r="CI553" s="407"/>
      <c r="CJ553" s="23"/>
      <c r="CK553" s="648"/>
      <c r="CL553" s="692" t="s">
        <v>820</v>
      </c>
      <c r="CM553"/>
    </row>
    <row r="554" spans="1:91" x14ac:dyDescent="0.2">
      <c r="A554" s="654"/>
      <c r="B554" s="541"/>
      <c r="C554" s="14" t="s">
        <v>1214</v>
      </c>
      <c r="D554" s="177"/>
      <c r="E554" s="650" t="s">
        <v>791</v>
      </c>
      <c r="F554" s="650"/>
      <c r="G554" s="75"/>
      <c r="H554" s="74"/>
      <c r="I554" s="111">
        <v>2003</v>
      </c>
      <c r="J554" s="829"/>
      <c r="K554" s="829"/>
      <c r="O554" s="98"/>
      <c r="P554" s="98"/>
      <c r="U554" s="398">
        <v>588</v>
      </c>
      <c r="V554" s="501"/>
      <c r="W554" s="729"/>
      <c r="X554" s="254"/>
      <c r="Y554" s="443"/>
      <c r="Z554" s="460"/>
      <c r="AA554" s="460"/>
      <c r="AB554" s="460"/>
      <c r="AC554" s="460"/>
      <c r="AD554" s="460"/>
      <c r="AE554" s="460"/>
      <c r="AF554" s="460"/>
      <c r="AG554" s="460"/>
      <c r="AH554" s="460"/>
      <c r="AI554" s="460"/>
      <c r="AJ554" s="460"/>
      <c r="AK554" s="460"/>
      <c r="AL554" s="460"/>
      <c r="AM554" s="460"/>
      <c r="AN554" s="460"/>
      <c r="AO554" s="460"/>
      <c r="AP554" s="460"/>
      <c r="AQ554" s="460"/>
      <c r="AR554" s="460"/>
      <c r="AS554" s="460"/>
      <c r="AT554" s="460"/>
      <c r="AU554" s="460"/>
      <c r="AV554" s="460"/>
      <c r="AW554" s="460"/>
      <c r="AX554" s="460"/>
      <c r="AY554" s="460"/>
      <c r="AZ554" s="460"/>
      <c r="BA554" s="460"/>
      <c r="BB554" s="460"/>
      <c r="BC554" s="460"/>
      <c r="BD554" s="460"/>
      <c r="BE554" s="445"/>
      <c r="BF554" s="445"/>
      <c r="BG554" s="460"/>
      <c r="BH554" s="460"/>
      <c r="BI554" s="445">
        <v>5</v>
      </c>
      <c r="BJ554" s="445"/>
      <c r="BK554" s="445"/>
      <c r="BL554" s="445"/>
      <c r="BM554" s="445"/>
      <c r="BN554" s="445"/>
      <c r="BO554" s="445"/>
      <c r="BP554" s="445"/>
      <c r="BQ554" s="462"/>
      <c r="BR554" s="462"/>
      <c r="BS554" s="446"/>
      <c r="BT554" s="446"/>
      <c r="BU554" s="446"/>
      <c r="BV554" s="446"/>
      <c r="BW554" s="446"/>
      <c r="BX554" s="756"/>
      <c r="BY554" s="850"/>
      <c r="BZ554" s="850"/>
      <c r="CA554" s="850"/>
      <c r="CB554" s="850"/>
      <c r="CC554" s="850"/>
      <c r="CD554" s="850"/>
      <c r="CE554" s="850"/>
      <c r="CF554" s="850"/>
      <c r="CG554" s="177" t="s">
        <v>957</v>
      </c>
      <c r="CI554" s="406"/>
      <c r="CJ554" s="23"/>
      <c r="CK554" s="648"/>
      <c r="CL554" s="572"/>
      <c r="CM554"/>
    </row>
    <row r="555" spans="1:91" x14ac:dyDescent="0.2">
      <c r="A555" s="654"/>
      <c r="B555" s="541"/>
      <c r="C555" s="14" t="s">
        <v>1214</v>
      </c>
      <c r="D555" s="177"/>
      <c r="E555" s="647" t="s">
        <v>797</v>
      </c>
      <c r="F555" s="647"/>
      <c r="G555" s="98"/>
      <c r="H555" s="97"/>
      <c r="I555" s="111">
        <v>2003</v>
      </c>
      <c r="J555" s="571"/>
      <c r="K555" s="571"/>
      <c r="L555" s="493"/>
      <c r="M555" s="98"/>
      <c r="N555" s="493"/>
      <c r="O555" s="98"/>
      <c r="P555" s="98"/>
      <c r="Q555" s="98"/>
      <c r="R555" s="167"/>
      <c r="S555" s="167"/>
      <c r="T555" s="167"/>
      <c r="U555" s="393">
        <v>143</v>
      </c>
      <c r="V555" s="694"/>
      <c r="W555" s="711"/>
      <c r="X555" s="167"/>
      <c r="Y555" s="443"/>
      <c r="Z555" s="443"/>
      <c r="AA555" s="443"/>
      <c r="AB555" s="443"/>
      <c r="AC555" s="443"/>
      <c r="AD555" s="443"/>
      <c r="AE555" s="443"/>
      <c r="AF555" s="443"/>
      <c r="AG555" s="443"/>
      <c r="AH555" s="443"/>
      <c r="AI555" s="443"/>
      <c r="AJ555" s="443"/>
      <c r="AK555" s="443"/>
      <c r="AL555" s="443"/>
      <c r="AM555" s="443"/>
      <c r="AN555" s="443"/>
      <c r="AO555" s="443"/>
      <c r="AP555" s="443"/>
      <c r="AQ555" s="443"/>
      <c r="AR555" s="443"/>
      <c r="AS555" s="443"/>
      <c r="AT555" s="443"/>
      <c r="AU555" s="443"/>
      <c r="AV555" s="443"/>
      <c r="AW555" s="443"/>
      <c r="AX555" s="443"/>
      <c r="AY555" s="443"/>
      <c r="AZ555" s="443"/>
      <c r="BA555" s="443"/>
      <c r="BB555" s="443"/>
      <c r="BC555" s="443"/>
      <c r="BD555" s="443"/>
      <c r="BE555" s="445"/>
      <c r="BF555" s="445"/>
      <c r="BG555" s="443"/>
      <c r="BH555" s="443"/>
      <c r="BI555" s="445">
        <v>15</v>
      </c>
      <c r="BJ555" s="445"/>
      <c r="BK555" s="445"/>
      <c r="BL555" s="445"/>
      <c r="BM555" s="445"/>
      <c r="BN555" s="445"/>
      <c r="BO555" s="445"/>
      <c r="BP555" s="445"/>
      <c r="BQ555" s="462"/>
      <c r="BR555" s="462"/>
      <c r="BS555" s="442">
        <v>43</v>
      </c>
      <c r="BT555" s="446"/>
      <c r="BU555" s="446"/>
      <c r="BV555" s="446"/>
      <c r="BW555" s="446"/>
      <c r="BX555" s="756"/>
      <c r="BY555" s="850"/>
      <c r="BZ555" s="850"/>
      <c r="CA555" s="850"/>
      <c r="CB555" s="850"/>
      <c r="CC555" s="850"/>
      <c r="CD555" s="850"/>
      <c r="CE555" s="850"/>
      <c r="CF555" s="850"/>
      <c r="CG555" s="177" t="s">
        <v>957</v>
      </c>
      <c r="CH555" s="434"/>
      <c r="CI555" s="407"/>
      <c r="CJ555" s="23"/>
      <c r="CK555" s="648"/>
      <c r="CL555" s="692" t="s">
        <v>820</v>
      </c>
      <c r="CM555"/>
    </row>
    <row r="556" spans="1:91" x14ac:dyDescent="0.2">
      <c r="A556" s="654"/>
      <c r="B556" s="541"/>
      <c r="C556" s="14" t="s">
        <v>1214</v>
      </c>
      <c r="D556" s="177"/>
      <c r="E556" s="650" t="s">
        <v>934</v>
      </c>
      <c r="F556" s="650"/>
      <c r="G556" s="75"/>
      <c r="H556" s="74"/>
      <c r="I556" s="111">
        <v>2003</v>
      </c>
      <c r="J556" s="829"/>
      <c r="K556" s="829"/>
      <c r="L556" s="497"/>
      <c r="M556" s="75"/>
      <c r="N556" s="497"/>
      <c r="O556" s="98"/>
      <c r="P556" s="98"/>
      <c r="Q556" s="75"/>
      <c r="R556" s="584"/>
      <c r="S556" s="584"/>
      <c r="T556" s="584"/>
      <c r="U556" s="398">
        <v>435</v>
      </c>
      <c r="V556" s="501"/>
      <c r="W556" s="729"/>
      <c r="X556" s="254"/>
      <c r="Y556" s="443"/>
      <c r="Z556" s="460"/>
      <c r="AA556" s="460"/>
      <c r="AB556" s="460"/>
      <c r="AC556" s="460"/>
      <c r="AD556" s="460"/>
      <c r="AE556" s="460"/>
      <c r="AF556" s="460"/>
      <c r="AG556" s="460"/>
      <c r="AH556" s="460"/>
      <c r="AI556" s="460"/>
      <c r="AJ556" s="460"/>
      <c r="AK556" s="460"/>
      <c r="AL556" s="460"/>
      <c r="AM556" s="460"/>
      <c r="AN556" s="460"/>
      <c r="AO556" s="460"/>
      <c r="AP556" s="460"/>
      <c r="AQ556" s="460"/>
      <c r="AR556" s="460"/>
      <c r="AS556" s="460"/>
      <c r="AT556" s="460"/>
      <c r="AU556" s="460"/>
      <c r="AV556" s="460"/>
      <c r="AW556" s="460"/>
      <c r="AX556" s="460"/>
      <c r="AY556" s="460"/>
      <c r="AZ556" s="460"/>
      <c r="BA556" s="460"/>
      <c r="BB556" s="460"/>
      <c r="BC556" s="460"/>
      <c r="BD556" s="460"/>
      <c r="BE556" s="442"/>
      <c r="BF556" s="442"/>
      <c r="BG556" s="460"/>
      <c r="BH556" s="460"/>
      <c r="BI556" s="442">
        <v>22</v>
      </c>
      <c r="BJ556" s="442">
        <v>16</v>
      </c>
      <c r="BK556" s="442"/>
      <c r="BL556" s="442"/>
      <c r="BM556" s="442"/>
      <c r="BN556" s="442"/>
      <c r="BO556" s="442"/>
      <c r="BP556" s="442"/>
      <c r="BY556" s="861"/>
      <c r="BZ556" s="861"/>
      <c r="CA556" s="861"/>
      <c r="CB556" s="861"/>
      <c r="CC556" s="861"/>
      <c r="CD556" s="861"/>
      <c r="CE556" s="861"/>
      <c r="CF556" s="861"/>
      <c r="CG556" s="177" t="s">
        <v>957</v>
      </c>
      <c r="CI556" s="406"/>
      <c r="CJ556" s="23"/>
      <c r="CK556" s="648"/>
      <c r="CL556" s="692" t="s">
        <v>810</v>
      </c>
      <c r="CM556"/>
    </row>
    <row r="557" spans="1:91" x14ac:dyDescent="0.2">
      <c r="A557" s="654"/>
      <c r="B557" s="541"/>
      <c r="C557" s="14" t="s">
        <v>1214</v>
      </c>
      <c r="D557" s="177"/>
      <c r="E557" s="650" t="s">
        <v>933</v>
      </c>
      <c r="F557" s="650"/>
      <c r="G557" s="75"/>
      <c r="H557" s="74"/>
      <c r="I557" s="111">
        <v>2003</v>
      </c>
      <c r="J557" s="829"/>
      <c r="K557" s="829"/>
      <c r="L557" s="497" t="s">
        <v>783</v>
      </c>
      <c r="M557" s="75"/>
      <c r="N557" s="494" t="s">
        <v>783</v>
      </c>
      <c r="O557" s="98"/>
      <c r="P557" s="98"/>
      <c r="Q557" s="75"/>
      <c r="R557" s="584"/>
      <c r="S557" s="584"/>
      <c r="T557" s="584"/>
      <c r="U557" s="398">
        <v>399</v>
      </c>
      <c r="V557" s="501"/>
      <c r="W557" s="729"/>
      <c r="X557" s="254"/>
      <c r="Y557" s="443"/>
      <c r="Z557" s="460"/>
      <c r="AA557" s="460"/>
      <c r="AB557" s="460"/>
      <c r="AC557" s="460"/>
      <c r="AD557" s="460"/>
      <c r="AE557" s="460"/>
      <c r="AF557" s="460"/>
      <c r="AG557" s="460"/>
      <c r="AH557" s="460"/>
      <c r="AI557" s="460"/>
      <c r="AJ557" s="460"/>
      <c r="AK557" s="460"/>
      <c r="AL557" s="460"/>
      <c r="AM557" s="460"/>
      <c r="AN557" s="460"/>
      <c r="AO557" s="460"/>
      <c r="AP557" s="460"/>
      <c r="AQ557" s="460"/>
      <c r="AR557" s="460"/>
      <c r="AS557" s="460"/>
      <c r="AT557" s="460"/>
      <c r="AU557" s="460"/>
      <c r="AV557" s="460"/>
      <c r="AW557" s="460"/>
      <c r="AX557" s="460"/>
      <c r="AY557" s="460"/>
      <c r="AZ557" s="460"/>
      <c r="BA557" s="460"/>
      <c r="BB557" s="460"/>
      <c r="BC557" s="460"/>
      <c r="BD557" s="460"/>
      <c r="BE557" s="442"/>
      <c r="BF557" s="442"/>
      <c r="BG557" s="460"/>
      <c r="BH557" s="460"/>
      <c r="BI557" s="442"/>
      <c r="BJ557" s="442">
        <v>10.3</v>
      </c>
      <c r="BK557" s="442"/>
      <c r="BL557" s="442"/>
      <c r="BM557" s="442"/>
      <c r="BN557" s="442"/>
      <c r="BO557" s="442"/>
      <c r="BP557" s="442"/>
      <c r="BY557" s="861"/>
      <c r="BZ557" s="861"/>
      <c r="CA557" s="861"/>
      <c r="CB557" s="861"/>
      <c r="CC557" s="861"/>
      <c r="CD557" s="861"/>
      <c r="CE557" s="861"/>
      <c r="CF557" s="861"/>
      <c r="CG557" s="177" t="s">
        <v>957</v>
      </c>
      <c r="CI557" s="406"/>
      <c r="CJ557" s="23"/>
      <c r="CK557" s="648"/>
      <c r="CL557" s="692" t="s">
        <v>810</v>
      </c>
      <c r="CM557"/>
    </row>
    <row r="558" spans="1:91" x14ac:dyDescent="0.2">
      <c r="A558" s="654"/>
      <c r="B558" s="541"/>
      <c r="C558" s="14" t="s">
        <v>1214</v>
      </c>
      <c r="D558" s="177"/>
      <c r="E558" s="650" t="s">
        <v>798</v>
      </c>
      <c r="F558" s="650"/>
      <c r="G558" s="75"/>
      <c r="H558" s="74"/>
      <c r="I558" s="111">
        <v>2004</v>
      </c>
      <c r="J558" s="829"/>
      <c r="K558" s="829"/>
      <c r="L558" s="497" t="s">
        <v>794</v>
      </c>
      <c r="M558" s="75"/>
      <c r="N558" s="497"/>
      <c r="O558" s="98"/>
      <c r="P558" s="98"/>
      <c r="Q558" s="75"/>
      <c r="R558" s="584"/>
      <c r="S558" s="584"/>
      <c r="T558" s="584"/>
      <c r="U558" s="398">
        <v>1268</v>
      </c>
      <c r="V558" s="501"/>
      <c r="W558" s="729"/>
      <c r="X558" s="254"/>
      <c r="Y558" s="443"/>
      <c r="Z558" s="460"/>
      <c r="AA558" s="460"/>
      <c r="AB558" s="460"/>
      <c r="AC558" s="460"/>
      <c r="AD558" s="460"/>
      <c r="AE558" s="460"/>
      <c r="AF558" s="460"/>
      <c r="AG558" s="460"/>
      <c r="AH558" s="460"/>
      <c r="AI558" s="460"/>
      <c r="AJ558" s="460"/>
      <c r="AK558" s="460"/>
      <c r="AL558" s="460"/>
      <c r="AM558" s="460"/>
      <c r="AN558" s="460"/>
      <c r="AO558" s="460"/>
      <c r="AP558" s="460"/>
      <c r="AQ558" s="460"/>
      <c r="AR558" s="460"/>
      <c r="AS558" s="460"/>
      <c r="AT558" s="460"/>
      <c r="AU558" s="460"/>
      <c r="AV558" s="460"/>
      <c r="AW558" s="460"/>
      <c r="AX558" s="460"/>
      <c r="AY558" s="460"/>
      <c r="AZ558" s="460"/>
      <c r="BA558" s="460"/>
      <c r="BB558" s="460"/>
      <c r="BC558" s="460"/>
      <c r="BD558" s="460"/>
      <c r="BE558" s="442"/>
      <c r="BF558" s="442"/>
      <c r="BG558" s="460"/>
      <c r="BH558" s="460"/>
      <c r="BI558" s="442">
        <v>49.5</v>
      </c>
      <c r="BJ558" s="442">
        <v>11.7</v>
      </c>
      <c r="BK558" s="442"/>
      <c r="BL558" s="442"/>
      <c r="BM558" s="442"/>
      <c r="BN558" s="442"/>
      <c r="BO558" s="442"/>
      <c r="BP558" s="442"/>
      <c r="BY558" s="861"/>
      <c r="BZ558" s="861"/>
      <c r="CA558" s="861"/>
      <c r="CB558" s="861"/>
      <c r="CC558" s="861"/>
      <c r="CD558" s="861"/>
      <c r="CE558" s="861"/>
      <c r="CF558" s="861"/>
      <c r="CG558" s="177" t="s">
        <v>957</v>
      </c>
      <c r="CI558" s="406"/>
      <c r="CJ558" s="23"/>
      <c r="CK558" s="648"/>
      <c r="CL558" s="692" t="s">
        <v>810</v>
      </c>
      <c r="CM558"/>
    </row>
    <row r="559" spans="1:91" x14ac:dyDescent="0.2">
      <c r="A559" s="654"/>
      <c r="B559" s="541"/>
      <c r="C559" s="14" t="s">
        <v>1214</v>
      </c>
      <c r="D559" s="177"/>
      <c r="E559" s="650" t="s">
        <v>943</v>
      </c>
      <c r="F559" s="650"/>
      <c r="G559" s="75"/>
      <c r="H559" s="74"/>
      <c r="I559" s="111">
        <v>2004</v>
      </c>
      <c r="J559" s="829"/>
      <c r="K559" s="829"/>
      <c r="L559" s="497"/>
      <c r="M559" s="75"/>
      <c r="N559" s="497"/>
      <c r="O559" s="98"/>
      <c r="P559" s="98"/>
      <c r="Q559" s="75"/>
      <c r="R559" s="584"/>
      <c r="S559" s="584"/>
      <c r="T559" s="584"/>
      <c r="U559" s="398">
        <v>309</v>
      </c>
      <c r="V559" s="501"/>
      <c r="W559" s="729"/>
      <c r="X559" s="254"/>
      <c r="Y559" s="443"/>
      <c r="Z559" s="460"/>
      <c r="AA559" s="460"/>
      <c r="AB559" s="460"/>
      <c r="AC559" s="460"/>
      <c r="AD559" s="460"/>
      <c r="AE559" s="460"/>
      <c r="AF559" s="460"/>
      <c r="AG559" s="460"/>
      <c r="AH559" s="460"/>
      <c r="AI559" s="460"/>
      <c r="AJ559" s="460"/>
      <c r="AK559" s="460"/>
      <c r="AL559" s="460"/>
      <c r="AM559" s="460"/>
      <c r="AN559" s="460"/>
      <c r="AO559" s="460"/>
      <c r="AP559" s="460"/>
      <c r="AQ559" s="460"/>
      <c r="AR559" s="460"/>
      <c r="AS559" s="460"/>
      <c r="AT559" s="460"/>
      <c r="AU559" s="460"/>
      <c r="AV559" s="460"/>
      <c r="AW559" s="460"/>
      <c r="AX559" s="460"/>
      <c r="AY559" s="460"/>
      <c r="AZ559" s="460"/>
      <c r="BA559" s="460"/>
      <c r="BB559" s="460"/>
      <c r="BC559" s="460"/>
      <c r="BD559" s="460"/>
      <c r="BE559" s="442"/>
      <c r="BF559" s="442"/>
      <c r="BG559" s="460"/>
      <c r="BH559" s="460"/>
      <c r="BI559" s="442">
        <v>70</v>
      </c>
      <c r="BJ559" s="442">
        <v>17</v>
      </c>
      <c r="BK559" s="442"/>
      <c r="BL559" s="442"/>
      <c r="BM559" s="442"/>
      <c r="BN559" s="442"/>
      <c r="BO559" s="442"/>
      <c r="BP559" s="442"/>
      <c r="BY559" s="861"/>
      <c r="BZ559" s="861"/>
      <c r="CA559" s="861"/>
      <c r="CB559" s="861"/>
      <c r="CC559" s="861"/>
      <c r="CD559" s="861"/>
      <c r="CE559" s="861"/>
      <c r="CF559" s="861"/>
      <c r="CG559" s="177" t="s">
        <v>957</v>
      </c>
      <c r="CI559" s="406"/>
      <c r="CJ559" s="23"/>
      <c r="CK559" s="648"/>
      <c r="CL559" s="692" t="s">
        <v>810</v>
      </c>
      <c r="CM559"/>
    </row>
    <row r="560" spans="1:91" x14ac:dyDescent="0.2">
      <c r="A560" s="654"/>
      <c r="B560" s="541"/>
      <c r="C560" s="14" t="s">
        <v>1214</v>
      </c>
      <c r="D560" s="177"/>
      <c r="E560" s="650" t="s">
        <v>787</v>
      </c>
      <c r="F560" s="650"/>
      <c r="G560" s="75"/>
      <c r="H560" s="74"/>
      <c r="I560" s="111">
        <v>2005</v>
      </c>
      <c r="J560" s="829"/>
      <c r="K560" s="829"/>
      <c r="L560" s="497" t="s">
        <v>794</v>
      </c>
      <c r="M560" s="75"/>
      <c r="N560" s="497"/>
      <c r="O560" s="98"/>
      <c r="P560" s="98"/>
      <c r="Q560" s="75"/>
      <c r="R560" s="584"/>
      <c r="S560" s="584"/>
      <c r="T560" s="584"/>
      <c r="U560" s="398">
        <v>863</v>
      </c>
      <c r="V560" s="501"/>
      <c r="W560" s="729"/>
      <c r="X560" s="254"/>
      <c r="Y560" s="443"/>
      <c r="Z560" s="460"/>
      <c r="AA560" s="460"/>
      <c r="AB560" s="460"/>
      <c r="AC560" s="460"/>
      <c r="AD560" s="460"/>
      <c r="AE560" s="460"/>
      <c r="AF560" s="460"/>
      <c r="AG560" s="460"/>
      <c r="AH560" s="460"/>
      <c r="AI560" s="460"/>
      <c r="AJ560" s="460"/>
      <c r="AK560" s="460"/>
      <c r="AL560" s="460"/>
      <c r="AM560" s="460"/>
      <c r="AN560" s="460"/>
      <c r="AO560" s="460"/>
      <c r="AP560" s="460"/>
      <c r="AQ560" s="460"/>
      <c r="AR560" s="460"/>
      <c r="AS560" s="460"/>
      <c r="AT560" s="460"/>
      <c r="AU560" s="460"/>
      <c r="AV560" s="460"/>
      <c r="AW560" s="460"/>
      <c r="AX560" s="460"/>
      <c r="AY560" s="460"/>
      <c r="AZ560" s="460"/>
      <c r="BA560" s="460"/>
      <c r="BB560" s="460"/>
      <c r="BC560" s="460"/>
      <c r="BD560" s="460"/>
      <c r="BG560" s="460"/>
      <c r="BH560" s="460"/>
      <c r="BI560" s="445">
        <v>48</v>
      </c>
      <c r="BX560" s="756"/>
      <c r="BY560" s="850"/>
      <c r="BZ560" s="850"/>
      <c r="CA560" s="850"/>
      <c r="CB560" s="850"/>
      <c r="CC560" s="850"/>
      <c r="CD560" s="850"/>
      <c r="CE560" s="850"/>
      <c r="CF560" s="850"/>
      <c r="CG560" s="177" t="s">
        <v>957</v>
      </c>
      <c r="CH560" s="424"/>
      <c r="CI560" s="409"/>
      <c r="CJ560" s="23"/>
      <c r="CK560" s="648" t="s">
        <v>789</v>
      </c>
      <c r="CL560" s="572"/>
      <c r="CM560"/>
    </row>
    <row r="561" spans="1:105" x14ac:dyDescent="0.2">
      <c r="A561" s="654"/>
      <c r="B561" s="541"/>
      <c r="C561" s="14" t="s">
        <v>1214</v>
      </c>
      <c r="D561" s="177"/>
      <c r="E561" s="650" t="s">
        <v>931</v>
      </c>
      <c r="F561" s="650"/>
      <c r="G561" s="75"/>
      <c r="H561" s="74"/>
      <c r="I561" s="111">
        <v>2005</v>
      </c>
      <c r="J561" s="829"/>
      <c r="K561" s="829"/>
      <c r="L561" s="497" t="s">
        <v>794</v>
      </c>
      <c r="M561" s="75"/>
      <c r="N561" s="497"/>
      <c r="O561" s="98"/>
      <c r="P561" s="98"/>
      <c r="Q561" s="75"/>
      <c r="R561" s="584"/>
      <c r="S561" s="584"/>
      <c r="T561" s="584"/>
      <c r="U561" s="398">
        <v>461</v>
      </c>
      <c r="V561" s="501"/>
      <c r="W561" s="729"/>
      <c r="X561" s="254"/>
      <c r="Y561" s="443"/>
      <c r="Z561" s="460"/>
      <c r="AA561" s="460"/>
      <c r="AB561" s="460"/>
      <c r="AC561" s="460"/>
      <c r="AD561" s="460"/>
      <c r="AE561" s="460"/>
      <c r="AF561" s="460"/>
      <c r="AG561" s="460"/>
      <c r="AH561" s="460"/>
      <c r="AI561" s="460"/>
      <c r="AJ561" s="460"/>
      <c r="AK561" s="460"/>
      <c r="AL561" s="460"/>
      <c r="AM561" s="460"/>
      <c r="AN561" s="460"/>
      <c r="AO561" s="460"/>
      <c r="AP561" s="460"/>
      <c r="AQ561" s="460"/>
      <c r="AR561" s="460"/>
      <c r="AS561" s="460"/>
      <c r="AT561" s="460"/>
      <c r="AU561" s="460"/>
      <c r="AV561" s="460"/>
      <c r="AW561" s="460"/>
      <c r="AX561" s="460"/>
      <c r="AY561" s="460"/>
      <c r="AZ561" s="460"/>
      <c r="BA561" s="460"/>
      <c r="BB561" s="460"/>
      <c r="BC561" s="460"/>
      <c r="BD561" s="460"/>
      <c r="BE561" s="442"/>
      <c r="BF561" s="442"/>
      <c r="BG561" s="460"/>
      <c r="BH561" s="460"/>
      <c r="BI561" s="442"/>
      <c r="BJ561" s="442">
        <v>11</v>
      </c>
      <c r="BK561" s="442"/>
      <c r="BL561" s="442"/>
      <c r="BM561" s="442"/>
      <c r="BN561" s="442"/>
      <c r="BO561" s="442"/>
      <c r="BP561" s="442"/>
      <c r="BY561" s="861"/>
      <c r="BZ561" s="861"/>
      <c r="CA561" s="861"/>
      <c r="CB561" s="861"/>
      <c r="CC561" s="861"/>
      <c r="CD561" s="861"/>
      <c r="CE561" s="861"/>
      <c r="CF561" s="861"/>
      <c r="CG561" s="177" t="s">
        <v>957</v>
      </c>
      <c r="CI561" s="406"/>
      <c r="CJ561" s="23"/>
      <c r="CK561" s="648"/>
      <c r="CL561" s="692" t="s">
        <v>810</v>
      </c>
    </row>
    <row r="562" spans="1:105" x14ac:dyDescent="0.2">
      <c r="A562" s="654"/>
      <c r="B562" s="541"/>
      <c r="C562" s="14" t="s">
        <v>1214</v>
      </c>
      <c r="D562" s="177"/>
      <c r="E562" s="650" t="s">
        <v>929</v>
      </c>
      <c r="F562" s="650"/>
      <c r="G562" s="75"/>
      <c r="H562" s="74"/>
      <c r="I562" s="111">
        <v>2006</v>
      </c>
      <c r="J562" s="829"/>
      <c r="K562" s="829"/>
      <c r="L562" s="497" t="s">
        <v>783</v>
      </c>
      <c r="M562" s="75"/>
      <c r="N562" s="494" t="s">
        <v>783</v>
      </c>
      <c r="O562" s="98"/>
      <c r="P562" s="98"/>
      <c r="Q562" s="75"/>
      <c r="R562" s="584"/>
      <c r="S562" s="584"/>
      <c r="T562" s="584"/>
      <c r="U562" s="398">
        <v>323</v>
      </c>
      <c r="V562" s="501"/>
      <c r="W562" s="729"/>
      <c r="X562" s="254"/>
      <c r="Y562" s="443"/>
      <c r="Z562" s="460"/>
      <c r="AA562" s="460"/>
      <c r="AB562" s="460"/>
      <c r="AC562" s="460"/>
      <c r="AD562" s="460"/>
      <c r="AE562" s="460"/>
      <c r="AF562" s="460"/>
      <c r="AG562" s="460"/>
      <c r="AH562" s="460"/>
      <c r="AI562" s="460"/>
      <c r="AJ562" s="460"/>
      <c r="AK562" s="460"/>
      <c r="AL562" s="460"/>
      <c r="AM562" s="460"/>
      <c r="AN562" s="460"/>
      <c r="AO562" s="460"/>
      <c r="AP562" s="460"/>
      <c r="AQ562" s="460"/>
      <c r="AR562" s="460"/>
      <c r="AS562" s="460"/>
      <c r="AT562" s="460"/>
      <c r="AU562" s="460"/>
      <c r="AV562" s="460"/>
      <c r="AW562" s="460"/>
      <c r="AX562" s="460"/>
      <c r="AY562" s="460"/>
      <c r="AZ562" s="460"/>
      <c r="BA562" s="460"/>
      <c r="BB562" s="460"/>
      <c r="BC562" s="460"/>
      <c r="BD562" s="460"/>
      <c r="BE562" s="442"/>
      <c r="BF562" s="442"/>
      <c r="BG562" s="460"/>
      <c r="BH562" s="460"/>
      <c r="BI562" s="442">
        <v>13</v>
      </c>
      <c r="BJ562" s="442"/>
      <c r="BK562" s="442"/>
      <c r="BL562" s="442"/>
      <c r="BM562" s="442"/>
      <c r="BN562" s="442"/>
      <c r="BO562" s="442"/>
      <c r="BP562" s="442"/>
      <c r="BY562" s="861"/>
      <c r="BZ562" s="861"/>
      <c r="CA562" s="861"/>
      <c r="CB562" s="861"/>
      <c r="CC562" s="861"/>
      <c r="CD562" s="861"/>
      <c r="CE562" s="861"/>
      <c r="CF562" s="861"/>
      <c r="CG562" s="177" t="s">
        <v>957</v>
      </c>
      <c r="CI562" s="406"/>
      <c r="CJ562" s="23"/>
      <c r="CK562" s="648"/>
      <c r="CL562" s="692"/>
    </row>
    <row r="563" spans="1:105" x14ac:dyDescent="0.2">
      <c r="A563" s="654"/>
      <c r="B563" s="541"/>
      <c r="C563" s="14" t="s">
        <v>1214</v>
      </c>
      <c r="D563" s="177"/>
      <c r="E563" s="650" t="s">
        <v>944</v>
      </c>
      <c r="F563" s="650"/>
      <c r="G563" s="75"/>
      <c r="H563" s="74"/>
      <c r="I563" s="111">
        <v>2006</v>
      </c>
      <c r="J563" s="829"/>
      <c r="K563" s="829"/>
      <c r="L563" s="497"/>
      <c r="M563" s="75"/>
      <c r="N563" s="497"/>
      <c r="O563" s="98"/>
      <c r="P563" s="98"/>
      <c r="Q563" s="75"/>
      <c r="R563" s="584"/>
      <c r="S563" s="584"/>
      <c r="T563" s="584"/>
      <c r="U563" s="398">
        <v>2926</v>
      </c>
      <c r="V563" s="501"/>
      <c r="W563" s="729"/>
      <c r="X563" s="254"/>
      <c r="Y563" s="443"/>
      <c r="Z563" s="460"/>
      <c r="AA563" s="460"/>
      <c r="AB563" s="460"/>
      <c r="AC563" s="460"/>
      <c r="AD563" s="460"/>
      <c r="AE563" s="460"/>
      <c r="AF563" s="460"/>
      <c r="AG563" s="460"/>
      <c r="AH563" s="460"/>
      <c r="AI563" s="460"/>
      <c r="AJ563" s="460"/>
      <c r="AK563" s="460"/>
      <c r="AL563" s="460"/>
      <c r="AM563" s="460"/>
      <c r="AN563" s="460"/>
      <c r="AO563" s="460"/>
      <c r="AP563" s="460"/>
      <c r="AQ563" s="460"/>
      <c r="AR563" s="460"/>
      <c r="AS563" s="460"/>
      <c r="AT563" s="460"/>
      <c r="AU563" s="460"/>
      <c r="AV563" s="460"/>
      <c r="AW563" s="460"/>
      <c r="AX563" s="460"/>
      <c r="AY563" s="460"/>
      <c r="AZ563" s="460"/>
      <c r="BA563" s="460"/>
      <c r="BB563" s="460"/>
      <c r="BC563" s="460"/>
      <c r="BD563" s="460"/>
      <c r="BE563" s="442"/>
      <c r="BF563" s="442"/>
      <c r="BG563" s="460"/>
      <c r="BH563" s="460"/>
      <c r="BI563" s="442">
        <v>38.799999999999997</v>
      </c>
      <c r="BJ563" s="442"/>
      <c r="BK563" s="442"/>
      <c r="BL563" s="442"/>
      <c r="BM563" s="442"/>
      <c r="BN563" s="442"/>
      <c r="BO563" s="442"/>
      <c r="BP563" s="442"/>
      <c r="BY563" s="861"/>
      <c r="BZ563" s="861"/>
      <c r="CA563" s="861"/>
      <c r="CB563" s="861"/>
      <c r="CC563" s="861"/>
      <c r="CD563" s="861"/>
      <c r="CE563" s="861"/>
      <c r="CF563" s="861"/>
      <c r="CG563" s="177" t="s">
        <v>957</v>
      </c>
      <c r="CI563" s="406"/>
      <c r="CJ563" s="23"/>
      <c r="CK563" s="648"/>
      <c r="CL563" s="692"/>
    </row>
    <row r="564" spans="1:105" x14ac:dyDescent="0.2">
      <c r="A564" s="654"/>
      <c r="B564" s="541"/>
      <c r="C564" s="14" t="s">
        <v>1214</v>
      </c>
      <c r="D564" s="177"/>
      <c r="E564" s="650" t="s">
        <v>928</v>
      </c>
      <c r="F564" s="650"/>
      <c r="G564" s="75"/>
      <c r="H564" s="74"/>
      <c r="I564" s="111">
        <v>2006</v>
      </c>
      <c r="J564" s="829"/>
      <c r="K564" s="829"/>
      <c r="L564" s="497"/>
      <c r="N564" s="497"/>
      <c r="O564" s="98"/>
      <c r="P564" s="98"/>
      <c r="U564" s="398">
        <v>793</v>
      </c>
      <c r="V564" s="501"/>
      <c r="W564" s="729"/>
      <c r="X564" s="254"/>
      <c r="Y564" s="443"/>
      <c r="Z564" s="460"/>
      <c r="AA564" s="460"/>
      <c r="AB564" s="460"/>
      <c r="AC564" s="460"/>
      <c r="AD564" s="460"/>
      <c r="AE564" s="460"/>
      <c r="AF564" s="460"/>
      <c r="AG564" s="460"/>
      <c r="AH564" s="460"/>
      <c r="AI564" s="460"/>
      <c r="AJ564" s="460"/>
      <c r="AK564" s="460"/>
      <c r="AL564" s="460"/>
      <c r="AM564" s="460"/>
      <c r="AN564" s="460"/>
      <c r="AO564" s="460"/>
      <c r="AP564" s="460"/>
      <c r="AQ564" s="460"/>
      <c r="AR564" s="460"/>
      <c r="AS564" s="460"/>
      <c r="AT564" s="460"/>
      <c r="AU564" s="460"/>
      <c r="AV564" s="460"/>
      <c r="AW564" s="460"/>
      <c r="AX564" s="460"/>
      <c r="AY564" s="460"/>
      <c r="AZ564" s="460"/>
      <c r="BA564" s="460"/>
      <c r="BB564" s="460"/>
      <c r="BC564" s="460"/>
      <c r="BD564" s="460"/>
      <c r="BE564" s="442"/>
      <c r="BF564" s="442"/>
      <c r="BG564" s="460"/>
      <c r="BH564" s="460"/>
      <c r="BI564" s="444">
        <v>45</v>
      </c>
      <c r="BJ564" s="442"/>
      <c r="BK564" s="442"/>
      <c r="BL564" s="442"/>
      <c r="BM564" s="442"/>
      <c r="BN564" s="442"/>
      <c r="BO564" s="442"/>
      <c r="BP564" s="442"/>
      <c r="BY564" s="861"/>
      <c r="BZ564" s="861"/>
      <c r="CA564" s="861"/>
      <c r="CB564" s="861"/>
      <c r="CC564" s="861"/>
      <c r="CD564" s="861"/>
      <c r="CE564" s="861"/>
      <c r="CF564" s="861"/>
      <c r="CG564" s="177" t="s">
        <v>957</v>
      </c>
      <c r="CI564" s="406"/>
      <c r="CJ564" s="23"/>
      <c r="CK564" s="648"/>
      <c r="CL564" s="692"/>
    </row>
    <row r="565" spans="1:105" x14ac:dyDescent="0.2">
      <c r="A565" s="654"/>
      <c r="B565" s="541"/>
      <c r="C565" s="14" t="s">
        <v>1214</v>
      </c>
      <c r="D565" s="177"/>
      <c r="E565" s="650" t="s">
        <v>925</v>
      </c>
      <c r="F565" s="650"/>
      <c r="G565" s="75"/>
      <c r="H565" s="74"/>
      <c r="I565" s="111"/>
      <c r="J565" s="829"/>
      <c r="K565" s="829"/>
      <c r="L565" s="497"/>
      <c r="M565" s="75"/>
      <c r="N565" s="497"/>
      <c r="O565" s="98"/>
      <c r="P565" s="98"/>
      <c r="Q565" s="75"/>
      <c r="R565" s="584"/>
      <c r="S565" s="584"/>
      <c r="T565" s="584"/>
      <c r="U565" s="398">
        <v>480</v>
      </c>
      <c r="V565" s="501"/>
      <c r="W565" s="729"/>
      <c r="X565" s="254"/>
      <c r="Y565" s="443"/>
      <c r="Z565" s="460"/>
      <c r="AA565" s="460"/>
      <c r="AB565" s="460"/>
      <c r="AC565" s="460"/>
      <c r="AD565" s="460"/>
      <c r="AE565" s="460"/>
      <c r="AF565" s="460"/>
      <c r="AG565" s="460"/>
      <c r="AH565" s="460"/>
      <c r="AI565" s="460"/>
      <c r="AJ565" s="460"/>
      <c r="AK565" s="460"/>
      <c r="AL565" s="460"/>
      <c r="AM565" s="460"/>
      <c r="AN565" s="460"/>
      <c r="AO565" s="460"/>
      <c r="AP565" s="460"/>
      <c r="AQ565" s="460"/>
      <c r="AR565" s="460"/>
      <c r="AS565" s="460"/>
      <c r="AT565" s="460"/>
      <c r="AU565" s="460"/>
      <c r="AV565" s="460"/>
      <c r="AW565" s="460"/>
      <c r="AX565" s="460"/>
      <c r="AY565" s="460"/>
      <c r="AZ565" s="460"/>
      <c r="BA565" s="460"/>
      <c r="BB565" s="460"/>
      <c r="BC565" s="460"/>
      <c r="BD565" s="460"/>
      <c r="BE565" s="442"/>
      <c r="BF565" s="442"/>
      <c r="BG565" s="460"/>
      <c r="BH565" s="460"/>
      <c r="BI565" s="442">
        <v>14.7</v>
      </c>
      <c r="BJ565" s="442">
        <v>3.9</v>
      </c>
      <c r="BK565" s="442"/>
      <c r="BL565" s="442"/>
      <c r="BM565" s="442"/>
      <c r="BN565" s="442"/>
      <c r="BO565" s="442"/>
      <c r="BP565" s="442"/>
      <c r="BY565" s="861"/>
      <c r="BZ565" s="861"/>
      <c r="CA565" s="861"/>
      <c r="CB565" s="861"/>
      <c r="CC565" s="861"/>
      <c r="CD565" s="861"/>
      <c r="CE565" s="861"/>
      <c r="CF565" s="861"/>
      <c r="CG565" s="177" t="s">
        <v>957</v>
      </c>
      <c r="CI565" s="406"/>
      <c r="CJ565" s="23"/>
      <c r="CK565" s="648"/>
      <c r="CL565" s="692"/>
    </row>
    <row r="566" spans="1:105" x14ac:dyDescent="0.2">
      <c r="A566" s="654"/>
      <c r="B566" s="541" t="s">
        <v>2653</v>
      </c>
      <c r="C566" s="14" t="s">
        <v>70</v>
      </c>
      <c r="D566" s="36" t="s">
        <v>1125</v>
      </c>
      <c r="E566" s="650" t="s">
        <v>1584</v>
      </c>
      <c r="F566" s="650"/>
      <c r="G566" s="75"/>
      <c r="H566" s="74"/>
      <c r="I566" s="111"/>
      <c r="J566" s="829"/>
      <c r="K566" s="829"/>
      <c r="L566" s="497"/>
      <c r="M566" s="75"/>
      <c r="N566" s="497"/>
      <c r="O566" s="98"/>
      <c r="P566" s="98"/>
      <c r="Q566" s="75"/>
      <c r="R566" s="584">
        <v>36</v>
      </c>
      <c r="S566" s="584"/>
      <c r="T566" s="584"/>
      <c r="U566" s="398">
        <v>105</v>
      </c>
      <c r="V566" s="501"/>
      <c r="W566" s="548" t="s">
        <v>2652</v>
      </c>
      <c r="X566" s="254"/>
      <c r="Y566" s="443"/>
      <c r="Z566" s="460"/>
      <c r="AA566" s="460"/>
      <c r="AB566" s="460"/>
      <c r="AC566" s="460"/>
      <c r="AD566" s="460"/>
      <c r="AE566" s="460"/>
      <c r="AF566" s="460"/>
      <c r="AG566" s="460"/>
      <c r="AH566" s="460"/>
      <c r="AI566" s="460"/>
      <c r="AJ566" s="460"/>
      <c r="AK566" s="460"/>
      <c r="AL566" s="460"/>
      <c r="AM566" s="460"/>
      <c r="AN566" s="460"/>
      <c r="AO566" s="460"/>
      <c r="AP566" s="460"/>
      <c r="AQ566" s="460"/>
      <c r="AR566" s="460"/>
      <c r="AS566" s="460"/>
      <c r="AT566" s="460"/>
      <c r="AU566" s="460"/>
      <c r="AV566" s="460"/>
      <c r="AW566" s="460"/>
      <c r="AX566" s="460"/>
      <c r="AY566" s="460"/>
      <c r="AZ566" s="460"/>
      <c r="BA566" s="460"/>
      <c r="BB566" s="460"/>
      <c r="BC566" s="460"/>
      <c r="BD566" s="460"/>
      <c r="BE566" s="442"/>
      <c r="BF566" s="442"/>
      <c r="BG566" s="460"/>
      <c r="BH566" s="460"/>
      <c r="BI566" s="442"/>
      <c r="BJ566" s="442"/>
      <c r="BK566" s="442"/>
      <c r="BL566" s="442"/>
      <c r="BM566" s="442"/>
      <c r="BN566" s="442"/>
      <c r="BO566" s="442"/>
      <c r="BP566" s="442"/>
      <c r="BY566" s="861"/>
      <c r="BZ566" s="861"/>
      <c r="CA566" s="861"/>
      <c r="CB566" s="861"/>
      <c r="CC566" s="861"/>
      <c r="CD566" s="861"/>
      <c r="CE566" s="861"/>
      <c r="CF566" s="861"/>
      <c r="CG566" s="177"/>
      <c r="CI566" s="406"/>
      <c r="CJ566" s="23"/>
      <c r="CK566" s="648" t="s">
        <v>1583</v>
      </c>
      <c r="CL566" s="692" t="s">
        <v>820</v>
      </c>
    </row>
    <row r="567" spans="1:105" x14ac:dyDescent="0.2">
      <c r="A567" s="654"/>
      <c r="B567" s="541"/>
      <c r="C567" s="14" t="s">
        <v>70</v>
      </c>
      <c r="D567" s="36" t="s">
        <v>1125</v>
      </c>
      <c r="E567" s="650" t="s">
        <v>1581</v>
      </c>
      <c r="F567" s="650"/>
      <c r="G567" s="75"/>
      <c r="H567" s="74"/>
      <c r="I567" s="111"/>
      <c r="J567" s="829"/>
      <c r="K567" s="829"/>
      <c r="L567" s="497"/>
      <c r="M567" s="75"/>
      <c r="N567" s="497"/>
      <c r="O567" s="237"/>
      <c r="P567" s="237"/>
      <c r="Q567" s="75"/>
      <c r="R567" s="584"/>
      <c r="S567" s="584"/>
      <c r="T567" s="584"/>
      <c r="U567" s="398"/>
      <c r="V567" s="501"/>
      <c r="W567" s="729"/>
      <c r="X567" s="254"/>
      <c r="Y567" s="443"/>
      <c r="Z567" s="460"/>
      <c r="AA567" s="460"/>
      <c r="AB567" s="460"/>
      <c r="AC567" s="460"/>
      <c r="AD567" s="460"/>
      <c r="AE567" s="460"/>
      <c r="AF567" s="460"/>
      <c r="AG567" s="460"/>
      <c r="AH567" s="460"/>
      <c r="AI567" s="460"/>
      <c r="AJ567" s="460"/>
      <c r="AK567" s="460"/>
      <c r="AL567" s="460"/>
      <c r="AM567" s="460"/>
      <c r="AN567" s="460"/>
      <c r="AO567" s="460"/>
      <c r="AP567" s="460"/>
      <c r="AQ567" s="460"/>
      <c r="AR567" s="460"/>
      <c r="AS567" s="460"/>
      <c r="AT567" s="460"/>
      <c r="AU567" s="460"/>
      <c r="AV567" s="460"/>
      <c r="AW567" s="460"/>
      <c r="AX567" s="460"/>
      <c r="AY567" s="460"/>
      <c r="AZ567" s="460"/>
      <c r="BA567" s="460"/>
      <c r="BB567" s="460"/>
      <c r="BC567" s="460"/>
      <c r="BD567" s="460"/>
      <c r="BE567" s="442"/>
      <c r="BF567" s="442"/>
      <c r="BG567" s="460"/>
      <c r="BH567" s="460"/>
      <c r="BI567" s="442"/>
      <c r="BJ567" s="442"/>
      <c r="BK567" s="442"/>
      <c r="BL567" s="442"/>
      <c r="BM567" s="442"/>
      <c r="BN567" s="442"/>
      <c r="BO567" s="442"/>
      <c r="BP567" s="442"/>
      <c r="BY567" s="861"/>
      <c r="BZ567" s="861"/>
      <c r="CA567" s="861"/>
      <c r="CB567" s="861"/>
      <c r="CC567" s="861"/>
      <c r="CD567" s="861"/>
      <c r="CE567" s="861"/>
      <c r="CF567" s="861"/>
      <c r="CG567" s="177"/>
      <c r="CH567" s="418" t="s">
        <v>1586</v>
      </c>
      <c r="CI567" s="406" t="s">
        <v>1571</v>
      </c>
      <c r="CJ567" s="23"/>
      <c r="CK567" s="48" t="s">
        <v>1582</v>
      </c>
      <c r="CL567" s="692" t="s">
        <v>820</v>
      </c>
    </row>
    <row r="568" spans="1:105" x14ac:dyDescent="0.2">
      <c r="A568" s="654"/>
      <c r="B568" s="541"/>
      <c r="C568" s="14" t="s">
        <v>70</v>
      </c>
      <c r="D568" s="36" t="s">
        <v>1125</v>
      </c>
      <c r="E568" s="650" t="s">
        <v>1589</v>
      </c>
      <c r="F568" s="650"/>
      <c r="G568" s="75"/>
      <c r="H568" s="74"/>
      <c r="I568" s="111"/>
      <c r="J568" s="829"/>
      <c r="K568" s="829"/>
      <c r="L568" s="497"/>
      <c r="M568" s="75"/>
      <c r="N568" s="497"/>
      <c r="O568" s="98"/>
      <c r="P568" s="98"/>
      <c r="Q568" s="75"/>
      <c r="R568" s="584"/>
      <c r="S568" s="584"/>
      <c r="T568" s="584"/>
      <c r="U568" s="398">
        <v>15</v>
      </c>
      <c r="V568" s="501"/>
      <c r="W568" s="729"/>
      <c r="X568" s="254"/>
      <c r="Y568" s="443"/>
      <c r="Z568" s="460"/>
      <c r="AA568" s="460"/>
      <c r="AB568" s="460"/>
      <c r="AC568" s="460"/>
      <c r="AD568" s="460"/>
      <c r="AE568" s="460"/>
      <c r="AF568" s="460"/>
      <c r="AG568" s="460"/>
      <c r="AH568" s="460"/>
      <c r="AI568" s="460"/>
      <c r="AJ568" s="460"/>
      <c r="AK568" s="460"/>
      <c r="AL568" s="460"/>
      <c r="AM568" s="460"/>
      <c r="AN568" s="460"/>
      <c r="AO568" s="460"/>
      <c r="AP568" s="460"/>
      <c r="AQ568" s="460"/>
      <c r="AR568" s="460"/>
      <c r="AS568" s="460"/>
      <c r="AT568" s="460"/>
      <c r="AU568" s="460"/>
      <c r="AV568" s="460"/>
      <c r="AW568" s="460"/>
      <c r="AX568" s="460"/>
      <c r="AY568" s="460"/>
      <c r="AZ568" s="460"/>
      <c r="BA568" s="460"/>
      <c r="BB568" s="460"/>
      <c r="BC568" s="460"/>
      <c r="BD568" s="460"/>
      <c r="BE568" s="442"/>
      <c r="BF568" s="442"/>
      <c r="BG568" s="460"/>
      <c r="BH568" s="460"/>
      <c r="BI568" s="442"/>
      <c r="BJ568" s="442"/>
      <c r="BK568" s="442"/>
      <c r="BL568" s="442"/>
      <c r="BM568" s="442"/>
      <c r="BN568" s="442"/>
      <c r="BO568" s="442"/>
      <c r="BP568" s="442"/>
      <c r="BY568" s="861"/>
      <c r="BZ568" s="861"/>
      <c r="CA568" s="861"/>
      <c r="CB568" s="861"/>
      <c r="CC568" s="861"/>
      <c r="CD568" s="861"/>
      <c r="CE568" s="861"/>
      <c r="CF568" s="861"/>
      <c r="CG568" s="177"/>
      <c r="CH568" s="418" t="s">
        <v>1585</v>
      </c>
      <c r="CI568" s="406" t="s">
        <v>1571</v>
      </c>
      <c r="CJ568" s="23"/>
      <c r="CK568" s="648" t="s">
        <v>1587</v>
      </c>
      <c r="CL568" s="692" t="s">
        <v>1588</v>
      </c>
    </row>
    <row r="569" spans="1:105" x14ac:dyDescent="0.2">
      <c r="A569" s="654"/>
      <c r="B569" s="541"/>
      <c r="C569" s="14" t="s">
        <v>70</v>
      </c>
      <c r="D569" s="36" t="s">
        <v>1125</v>
      </c>
      <c r="E569" s="650" t="s">
        <v>1590</v>
      </c>
      <c r="F569" s="650"/>
      <c r="G569" s="75"/>
      <c r="H569" s="74"/>
      <c r="I569" s="111"/>
      <c r="J569" s="829"/>
      <c r="K569" s="829"/>
      <c r="L569" s="497"/>
      <c r="M569" s="75"/>
      <c r="N569" s="497"/>
      <c r="O569" s="98"/>
      <c r="P569" s="98"/>
      <c r="Q569" s="75"/>
      <c r="R569" s="584"/>
      <c r="S569" s="584"/>
      <c r="T569" s="584"/>
      <c r="U569" s="398" t="s">
        <v>1591</v>
      </c>
      <c r="V569" s="501"/>
      <c r="W569" s="729"/>
      <c r="X569" s="254"/>
      <c r="Y569" s="443"/>
      <c r="Z569" s="460"/>
      <c r="AA569" s="460"/>
      <c r="AB569" s="460"/>
      <c r="AC569" s="460"/>
      <c r="AD569" s="460"/>
      <c r="AE569" s="460"/>
      <c r="AF569" s="460"/>
      <c r="AG569" s="460"/>
      <c r="AH569" s="460"/>
      <c r="AI569" s="460"/>
      <c r="AJ569" s="460"/>
      <c r="AK569" s="460"/>
      <c r="AL569" s="460"/>
      <c r="AM569" s="460"/>
      <c r="AN569" s="460"/>
      <c r="AO569" s="460"/>
      <c r="AP569" s="460"/>
      <c r="AQ569" s="460"/>
      <c r="AR569" s="460"/>
      <c r="AS569" s="460"/>
      <c r="AT569" s="460"/>
      <c r="AU569" s="460"/>
      <c r="AV569" s="460"/>
      <c r="AW569" s="460"/>
      <c r="AX569" s="460"/>
      <c r="AY569" s="460"/>
      <c r="AZ569" s="460"/>
      <c r="BA569" s="460"/>
      <c r="BB569" s="460"/>
      <c r="BC569" s="460"/>
      <c r="BD569" s="460"/>
      <c r="BE569" s="442"/>
      <c r="BF569" s="442"/>
      <c r="BG569" s="460"/>
      <c r="BH569" s="460"/>
      <c r="BI569" s="442"/>
      <c r="BJ569" s="442"/>
      <c r="BK569" s="442"/>
      <c r="BL569" s="442"/>
      <c r="BM569" s="442"/>
      <c r="BN569" s="442"/>
      <c r="BO569" s="442"/>
      <c r="BP569" s="442"/>
      <c r="BY569" s="861"/>
      <c r="BZ569" s="861"/>
      <c r="CA569" s="861"/>
      <c r="CB569" s="861"/>
      <c r="CC569" s="861"/>
      <c r="CD569" s="861"/>
      <c r="CE569" s="861"/>
      <c r="CF569" s="861"/>
      <c r="CG569" s="177"/>
      <c r="CH569" s="418" t="s">
        <v>1592</v>
      </c>
      <c r="CI569" s="406" t="s">
        <v>1571</v>
      </c>
      <c r="CJ569" s="23"/>
      <c r="CK569" s="647" t="s">
        <v>1620</v>
      </c>
      <c r="CL569" s="692" t="s">
        <v>1593</v>
      </c>
    </row>
    <row r="570" spans="1:105" x14ac:dyDescent="0.2">
      <c r="A570" s="654"/>
      <c r="B570" s="541"/>
      <c r="C570" s="14" t="s">
        <v>70</v>
      </c>
      <c r="D570" s="36" t="s">
        <v>1125</v>
      </c>
      <c r="E570" s="650" t="s">
        <v>1602</v>
      </c>
      <c r="F570" s="650"/>
      <c r="G570" s="75"/>
      <c r="H570" s="74"/>
      <c r="I570" s="111"/>
      <c r="J570" s="829"/>
      <c r="K570" s="829"/>
      <c r="L570" s="497"/>
      <c r="M570" s="75"/>
      <c r="N570" s="497"/>
      <c r="O570" s="237" t="s">
        <v>232</v>
      </c>
      <c r="P570" s="237"/>
      <c r="Q570" s="75"/>
      <c r="R570" s="584"/>
      <c r="S570" s="584"/>
      <c r="T570" s="584"/>
      <c r="U570" s="4" t="s">
        <v>1598</v>
      </c>
      <c r="V570" s="504"/>
      <c r="X570" s="254"/>
      <c r="Y570" s="443"/>
      <c r="Z570" s="460"/>
      <c r="AA570" s="460"/>
      <c r="AB570" s="460"/>
      <c r="AC570" s="460"/>
      <c r="AD570" s="460"/>
      <c r="AE570" s="460"/>
      <c r="AF570" s="460"/>
      <c r="AG570" s="460"/>
      <c r="AH570" s="460"/>
      <c r="AI570" s="460"/>
      <c r="AJ570" s="460"/>
      <c r="AK570" s="460"/>
      <c r="AL570" s="460"/>
      <c r="AM570" s="460"/>
      <c r="AN570" s="460"/>
      <c r="AO570" s="460"/>
      <c r="AP570" s="460"/>
      <c r="AQ570" s="460"/>
      <c r="AR570" s="460"/>
      <c r="AS570" s="460"/>
      <c r="AT570" s="460"/>
      <c r="AU570" s="460"/>
      <c r="AV570" s="460"/>
      <c r="AW570" s="460"/>
      <c r="AX570" s="460"/>
      <c r="AY570" s="460"/>
      <c r="AZ570" s="460"/>
      <c r="BA570" s="460"/>
      <c r="BB570" s="460"/>
      <c r="BC570" s="460"/>
      <c r="BD570" s="460"/>
      <c r="BE570" s="442"/>
      <c r="BF570" s="442"/>
      <c r="BG570" s="460"/>
      <c r="BH570" s="460"/>
      <c r="BI570" s="442"/>
      <c r="BJ570" s="442"/>
      <c r="BK570" s="442"/>
      <c r="BL570" s="442"/>
      <c r="BM570" s="442"/>
      <c r="BN570" s="442"/>
      <c r="BO570" s="442"/>
      <c r="BP570" s="442"/>
      <c r="BY570" s="861"/>
      <c r="BZ570" s="861"/>
      <c r="CA570" s="861"/>
      <c r="CB570" s="861"/>
      <c r="CC570" s="861"/>
      <c r="CD570" s="861"/>
      <c r="CE570" s="861"/>
      <c r="CF570" s="861"/>
      <c r="CG570" s="177"/>
      <c r="CH570" s="418" t="s">
        <v>1594</v>
      </c>
      <c r="CI570" s="406" t="s">
        <v>1595</v>
      </c>
      <c r="CJ570" s="23"/>
      <c r="CK570" s="648" t="s">
        <v>1596</v>
      </c>
      <c r="CL570" s="692" t="s">
        <v>1597</v>
      </c>
    </row>
    <row r="571" spans="1:105" x14ac:dyDescent="0.2">
      <c r="A571" s="654"/>
      <c r="B571" s="541"/>
      <c r="C571" s="14" t="s">
        <v>70</v>
      </c>
      <c r="D571" s="36" t="s">
        <v>1125</v>
      </c>
      <c r="E571" s="650" t="s">
        <v>1601</v>
      </c>
      <c r="F571" s="650"/>
      <c r="G571" s="75"/>
      <c r="H571" s="74"/>
      <c r="I571" s="111"/>
      <c r="J571" s="829"/>
      <c r="K571" s="829"/>
      <c r="L571" s="497"/>
      <c r="M571" s="75"/>
      <c r="N571" s="497"/>
      <c r="O571" s="98"/>
      <c r="P571" s="98"/>
      <c r="Q571" s="75"/>
      <c r="R571" s="584"/>
      <c r="S571" s="584"/>
      <c r="T571" s="584"/>
      <c r="U571" s="398"/>
      <c r="V571" s="501"/>
      <c r="W571" s="729"/>
      <c r="X571" s="254"/>
      <c r="Y571" s="443"/>
      <c r="Z571" s="460"/>
      <c r="AA571" s="460"/>
      <c r="AB571" s="460"/>
      <c r="AC571" s="460"/>
      <c r="AD571" s="460"/>
      <c r="AE571" s="460"/>
      <c r="AF571" s="460"/>
      <c r="AG571" s="460"/>
      <c r="AH571" s="460"/>
      <c r="AI571" s="460"/>
      <c r="AJ571" s="460"/>
      <c r="AK571" s="460"/>
      <c r="AL571" s="460"/>
      <c r="AM571" s="460"/>
      <c r="AN571" s="460"/>
      <c r="AO571" s="460"/>
      <c r="AP571" s="460"/>
      <c r="AQ571" s="460"/>
      <c r="AR571" s="460"/>
      <c r="AS571" s="460"/>
      <c r="AT571" s="460"/>
      <c r="AU571" s="460"/>
      <c r="AV571" s="460"/>
      <c r="AW571" s="460"/>
      <c r="AX571" s="460"/>
      <c r="AY571" s="460"/>
      <c r="AZ571" s="460"/>
      <c r="BA571" s="460"/>
      <c r="BB571" s="460"/>
      <c r="BC571" s="460"/>
      <c r="BD571" s="460"/>
      <c r="BE571" s="442"/>
      <c r="BF571" s="442"/>
      <c r="BG571" s="460"/>
      <c r="BH571" s="460"/>
      <c r="BI571" s="442"/>
      <c r="BJ571" s="442"/>
      <c r="BK571" s="442"/>
      <c r="BL571" s="442"/>
      <c r="BM571" s="442"/>
      <c r="BN571" s="442"/>
      <c r="BO571" s="442"/>
      <c r="BP571" s="442"/>
      <c r="BY571" s="861"/>
      <c r="BZ571" s="861"/>
      <c r="CA571" s="861"/>
      <c r="CB571" s="861"/>
      <c r="CC571" s="861"/>
      <c r="CD571" s="861"/>
      <c r="CE571" s="861"/>
      <c r="CF571" s="861"/>
      <c r="CG571" s="177"/>
      <c r="CH571" s="424" t="s">
        <v>1600</v>
      </c>
      <c r="CI571" s="406" t="s">
        <v>1595</v>
      </c>
      <c r="CJ571" s="23"/>
      <c r="CK571" s="648"/>
      <c r="CL571" s="504" t="s">
        <v>1599</v>
      </c>
    </row>
    <row r="572" spans="1:105" x14ac:dyDescent="0.2">
      <c r="A572" s="654"/>
      <c r="B572" s="541"/>
      <c r="C572" s="14" t="s">
        <v>70</v>
      </c>
      <c r="D572" s="36" t="s">
        <v>1125</v>
      </c>
      <c r="E572" s="650" t="s">
        <v>1606</v>
      </c>
      <c r="F572" s="650"/>
      <c r="G572" s="75"/>
      <c r="H572" s="74"/>
      <c r="I572" s="111"/>
      <c r="J572" s="829"/>
      <c r="K572" s="829"/>
      <c r="L572" s="497"/>
      <c r="M572" s="75"/>
      <c r="N572" s="497"/>
      <c r="O572" s="98" t="s">
        <v>33</v>
      </c>
      <c r="P572" s="98"/>
      <c r="Q572" s="75"/>
      <c r="R572" s="584"/>
      <c r="S572" s="584"/>
      <c r="T572" s="584"/>
      <c r="U572" s="398">
        <v>32</v>
      </c>
      <c r="V572" s="501"/>
      <c r="W572" s="729"/>
      <c r="X572" s="254"/>
      <c r="Y572" s="443"/>
      <c r="Z572" s="460"/>
      <c r="AA572" s="460"/>
      <c r="AB572" s="460"/>
      <c r="AC572" s="460"/>
      <c r="AD572" s="460"/>
      <c r="AE572" s="460"/>
      <c r="AF572" s="460"/>
      <c r="AG572" s="460"/>
      <c r="AH572" s="460"/>
      <c r="AI572" s="460"/>
      <c r="AJ572" s="460"/>
      <c r="AK572" s="460"/>
      <c r="AL572" s="460"/>
      <c r="AM572" s="460"/>
      <c r="AN572" s="460"/>
      <c r="AO572" s="460"/>
      <c r="AP572" s="460"/>
      <c r="AQ572" s="460"/>
      <c r="AR572" s="460"/>
      <c r="AS572" s="460"/>
      <c r="AT572" s="460"/>
      <c r="AU572" s="460"/>
      <c r="AV572" s="460"/>
      <c r="AW572" s="460"/>
      <c r="AX572" s="460"/>
      <c r="AY572" s="460"/>
      <c r="AZ572" s="460"/>
      <c r="BA572" s="460"/>
      <c r="BB572" s="460"/>
      <c r="BC572" s="460"/>
      <c r="BD572" s="460"/>
      <c r="BE572" s="442"/>
      <c r="BF572" s="442"/>
      <c r="BG572" s="460"/>
      <c r="BH572" s="460"/>
      <c r="BI572" s="442"/>
      <c r="BJ572" s="442"/>
      <c r="BK572" s="442"/>
      <c r="BL572" s="442"/>
      <c r="BM572" s="442"/>
      <c r="BN572" s="442"/>
      <c r="BO572" s="442"/>
      <c r="BP572" s="442"/>
      <c r="BY572" s="861"/>
      <c r="BZ572" s="861"/>
      <c r="CA572" s="861"/>
      <c r="CB572" s="861"/>
      <c r="CC572" s="861"/>
      <c r="CD572" s="861"/>
      <c r="CE572" s="861"/>
      <c r="CF572" s="861"/>
      <c r="CG572" s="177"/>
      <c r="CH572" s="418" t="s">
        <v>1604</v>
      </c>
      <c r="CI572" s="406" t="s">
        <v>1595</v>
      </c>
      <c r="CJ572" s="23"/>
      <c r="CK572" s="647" t="s">
        <v>1605</v>
      </c>
      <c r="CL572" s="692" t="s">
        <v>1603</v>
      </c>
    </row>
    <row r="573" spans="1:105" x14ac:dyDescent="0.2">
      <c r="A573" s="654"/>
      <c r="B573" s="541"/>
      <c r="C573" s="14" t="s">
        <v>70</v>
      </c>
      <c r="D573" s="36" t="s">
        <v>1125</v>
      </c>
      <c r="E573" s="650" t="s">
        <v>1607</v>
      </c>
      <c r="F573" s="650"/>
      <c r="G573" s="75"/>
      <c r="H573" s="74"/>
      <c r="I573" s="111"/>
      <c r="J573" s="829"/>
      <c r="K573" s="829"/>
      <c r="L573" s="497"/>
      <c r="M573" s="75"/>
      <c r="N573" s="497"/>
      <c r="O573" s="98" t="s">
        <v>106</v>
      </c>
      <c r="P573" s="98"/>
      <c r="Q573" s="75"/>
      <c r="R573" s="584"/>
      <c r="S573" s="584"/>
      <c r="T573" s="584"/>
      <c r="U573" s="398">
        <v>44</v>
      </c>
      <c r="V573" s="501"/>
      <c r="W573" s="729"/>
      <c r="X573" s="254"/>
      <c r="Y573" s="443"/>
      <c r="Z573" s="460"/>
      <c r="AA573" s="460"/>
      <c r="AB573" s="460"/>
      <c r="AC573" s="460"/>
      <c r="AD573" s="460"/>
      <c r="AE573" s="460"/>
      <c r="AF573" s="460"/>
      <c r="AG573" s="460"/>
      <c r="AH573" s="460"/>
      <c r="AI573" s="460"/>
      <c r="AJ573" s="460"/>
      <c r="AK573" s="460"/>
      <c r="AL573" s="460"/>
      <c r="AM573" s="460"/>
      <c r="AN573" s="460"/>
      <c r="AO573" s="460"/>
      <c r="AP573" s="460"/>
      <c r="AQ573" s="460"/>
      <c r="AR573" s="460"/>
      <c r="AS573" s="460"/>
      <c r="AT573" s="460"/>
      <c r="AU573" s="460"/>
      <c r="AV573" s="460"/>
      <c r="AW573" s="460"/>
      <c r="AX573" s="460"/>
      <c r="AY573" s="460"/>
      <c r="AZ573" s="460"/>
      <c r="BA573" s="460"/>
      <c r="BB573" s="460"/>
      <c r="BC573" s="460"/>
      <c r="BD573" s="460"/>
      <c r="BE573" s="442"/>
      <c r="BF573" s="442"/>
      <c r="BG573" s="460"/>
      <c r="BH573" s="460"/>
      <c r="BI573" s="442"/>
      <c r="BJ573" s="442"/>
      <c r="BK573" s="442"/>
      <c r="BL573" s="442"/>
      <c r="BM573" s="442"/>
      <c r="BN573" s="442"/>
      <c r="BO573" s="442"/>
      <c r="BP573" s="442"/>
      <c r="BY573" s="861"/>
      <c r="BZ573" s="861"/>
      <c r="CA573" s="861"/>
      <c r="CB573" s="861"/>
      <c r="CC573" s="861"/>
      <c r="CD573" s="861"/>
      <c r="CE573" s="861"/>
      <c r="CF573" s="861"/>
      <c r="CG573" s="177"/>
      <c r="CH573" s="418" t="s">
        <v>1608</v>
      </c>
      <c r="CI573" s="406" t="s">
        <v>1595</v>
      </c>
      <c r="CJ573" s="23"/>
      <c r="CK573" s="647" t="s">
        <v>1609</v>
      </c>
      <c r="CL573" s="692" t="s">
        <v>1603</v>
      </c>
    </row>
    <row r="574" spans="1:105" x14ac:dyDescent="0.2">
      <c r="C574" s="14" t="s">
        <v>70</v>
      </c>
      <c r="D574" s="36" t="s">
        <v>1125</v>
      </c>
      <c r="E574" s="650" t="s">
        <v>1614</v>
      </c>
      <c r="F574" s="650"/>
      <c r="G574" s="75"/>
      <c r="H574" s="74"/>
      <c r="I574" s="82" t="s">
        <v>1615</v>
      </c>
      <c r="J574" s="829"/>
      <c r="K574" s="829"/>
      <c r="L574" s="497"/>
      <c r="M574" s="75" t="s">
        <v>78</v>
      </c>
      <c r="N574" s="497"/>
      <c r="O574" s="98" t="s">
        <v>49</v>
      </c>
      <c r="P574" s="98"/>
      <c r="Q574" s="75"/>
      <c r="R574" s="584"/>
      <c r="S574" s="584"/>
      <c r="T574" s="584"/>
      <c r="U574" s="4">
        <v>126</v>
      </c>
      <c r="V574" s="504"/>
      <c r="X574" s="254"/>
      <c r="BY574" s="861"/>
      <c r="BZ574" s="861"/>
      <c r="CA574" s="861"/>
      <c r="CB574" s="861"/>
      <c r="CC574" s="861"/>
      <c r="CD574" s="861"/>
      <c r="CE574" s="861"/>
      <c r="CF574" s="861"/>
      <c r="CG574" s="177"/>
      <c r="CH574" s="418" t="s">
        <v>1618</v>
      </c>
      <c r="CI574" s="406" t="s">
        <v>1595</v>
      </c>
      <c r="CJ574" s="23"/>
      <c r="CK574" s="647" t="s">
        <v>1619</v>
      </c>
      <c r="CL574" s="692" t="s">
        <v>1617</v>
      </c>
    </row>
    <row r="575" spans="1:105" s="72" customFormat="1" ht="13.5" customHeight="1" x14ac:dyDescent="0.2">
      <c r="A575" s="434"/>
      <c r="B575" s="418"/>
      <c r="C575" s="108" t="s">
        <v>70</v>
      </c>
      <c r="D575" s="36" t="s">
        <v>1125</v>
      </c>
      <c r="E575" s="650" t="s">
        <v>1577</v>
      </c>
      <c r="F575" s="650"/>
      <c r="G575" s="75"/>
      <c r="H575" s="74"/>
      <c r="I575" s="2"/>
      <c r="L575" s="498"/>
      <c r="M575" s="1"/>
      <c r="N575" s="497"/>
      <c r="O575" s="98" t="s">
        <v>89</v>
      </c>
      <c r="P575" s="98"/>
      <c r="Q575" s="1"/>
      <c r="R575" s="3"/>
      <c r="S575" s="3"/>
      <c r="T575" s="3"/>
      <c r="U575" s="396">
        <v>326</v>
      </c>
      <c r="V575" s="504"/>
      <c r="W575" s="653"/>
      <c r="X575" s="254"/>
      <c r="Y575" s="507"/>
      <c r="Z575" s="459"/>
      <c r="AA575" s="459"/>
      <c r="AB575" s="459"/>
      <c r="AC575" s="459"/>
      <c r="AD575" s="459"/>
      <c r="AE575" s="459"/>
      <c r="AF575" s="459"/>
      <c r="AG575" s="459"/>
      <c r="AH575" s="459"/>
      <c r="AI575" s="459"/>
      <c r="AJ575" s="459"/>
      <c r="AK575" s="459"/>
      <c r="AL575" s="459"/>
      <c r="AM575" s="459"/>
      <c r="AN575" s="459"/>
      <c r="AO575" s="459"/>
      <c r="AP575" s="459"/>
      <c r="AQ575" s="459"/>
      <c r="AR575" s="459"/>
      <c r="AS575" s="459"/>
      <c r="AT575" s="459"/>
      <c r="AU575" s="459"/>
      <c r="AV575" s="459"/>
      <c r="AW575" s="459"/>
      <c r="AX575" s="459"/>
      <c r="AY575" s="459"/>
      <c r="AZ575" s="459"/>
      <c r="BA575" s="459"/>
      <c r="BB575" s="459"/>
      <c r="BC575" s="459"/>
      <c r="BD575" s="459"/>
      <c r="BE575" s="457"/>
      <c r="BF575" s="457"/>
      <c r="BG575" s="459"/>
      <c r="BH575" s="459"/>
      <c r="BI575" s="457"/>
      <c r="BJ575" s="457"/>
      <c r="BK575" s="457"/>
      <c r="BL575" s="457"/>
      <c r="BM575" s="457"/>
      <c r="BN575" s="457"/>
      <c r="BO575" s="457"/>
      <c r="BP575" s="457"/>
      <c r="BQ575" s="457"/>
      <c r="BR575" s="457"/>
      <c r="BS575" s="457"/>
      <c r="BT575" s="457"/>
      <c r="BU575" s="457"/>
      <c r="BV575" s="457"/>
      <c r="BW575" s="457"/>
      <c r="BX575" s="756"/>
      <c r="BY575" s="850"/>
      <c r="BZ575" s="850"/>
      <c r="CA575" s="850"/>
      <c r="CB575" s="850"/>
      <c r="CC575" s="850"/>
      <c r="CD575" s="850"/>
      <c r="CE575" s="850"/>
      <c r="CF575" s="850"/>
      <c r="CG575" s="18"/>
      <c r="CH575" s="417" t="s">
        <v>1633</v>
      </c>
      <c r="CI575" s="406" t="s">
        <v>1627</v>
      </c>
      <c r="CJ575" s="23"/>
      <c r="CK575" s="648"/>
      <c r="CL575" s="694" t="s">
        <v>1632</v>
      </c>
      <c r="CM575" s="434"/>
      <c r="CR575" s="403"/>
      <c r="CS575" s="434"/>
      <c r="CU575" s="1"/>
      <c r="CV575" s="1"/>
      <c r="CW575" s="1"/>
      <c r="CX575" s="1"/>
      <c r="DA575" s="434"/>
    </row>
    <row r="576" spans="1:105" s="72" customFormat="1" ht="13.5" customHeight="1" x14ac:dyDescent="0.2">
      <c r="A576" s="434"/>
      <c r="B576" s="418"/>
      <c r="C576" s="108" t="s">
        <v>70</v>
      </c>
      <c r="D576" s="36" t="s">
        <v>1125</v>
      </c>
      <c r="E576" s="650" t="s">
        <v>211</v>
      </c>
      <c r="F576" s="650"/>
      <c r="G576" s="75"/>
      <c r="H576" s="74"/>
      <c r="I576" s="2"/>
      <c r="L576" s="498"/>
      <c r="M576" s="1"/>
      <c r="N576" s="497"/>
      <c r="O576" s="98"/>
      <c r="P576" s="98"/>
      <c r="Q576" s="1"/>
      <c r="R576" s="3"/>
      <c r="S576" s="3"/>
      <c r="T576" s="3"/>
      <c r="U576" s="396" t="s">
        <v>1637</v>
      </c>
      <c r="V576" s="504"/>
      <c r="W576" s="653"/>
      <c r="X576" s="254"/>
      <c r="Y576" s="507"/>
      <c r="Z576" s="459"/>
      <c r="AA576" s="459"/>
      <c r="AB576" s="459"/>
      <c r="AC576" s="459"/>
      <c r="AD576" s="459"/>
      <c r="AE576" s="459"/>
      <c r="AF576" s="459"/>
      <c r="AG576" s="459"/>
      <c r="AH576" s="459"/>
      <c r="AI576" s="459"/>
      <c r="AJ576" s="459"/>
      <c r="AK576" s="459"/>
      <c r="AL576" s="459"/>
      <c r="AM576" s="459"/>
      <c r="AN576" s="459"/>
      <c r="AO576" s="459"/>
      <c r="AP576" s="459"/>
      <c r="AQ576" s="459"/>
      <c r="AR576" s="459"/>
      <c r="AS576" s="459"/>
      <c r="AT576" s="459"/>
      <c r="AU576" s="459"/>
      <c r="AV576" s="459"/>
      <c r="AW576" s="459"/>
      <c r="AX576" s="459"/>
      <c r="AY576" s="459"/>
      <c r="AZ576" s="459"/>
      <c r="BA576" s="459"/>
      <c r="BB576" s="459"/>
      <c r="BC576" s="459"/>
      <c r="BD576" s="459"/>
      <c r="BE576" s="457"/>
      <c r="BF576" s="457"/>
      <c r="BG576" s="459"/>
      <c r="BH576" s="459"/>
      <c r="BI576" s="457"/>
      <c r="BJ576" s="457"/>
      <c r="BK576" s="457"/>
      <c r="BL576" s="457"/>
      <c r="BM576" s="457"/>
      <c r="BN576" s="457"/>
      <c r="BO576" s="457"/>
      <c r="BP576" s="457"/>
      <c r="BQ576" s="457"/>
      <c r="BR576" s="457"/>
      <c r="BS576" s="457"/>
      <c r="BT576" s="457"/>
      <c r="BU576" s="457"/>
      <c r="BV576" s="457"/>
      <c r="BW576" s="457"/>
      <c r="BX576" s="756"/>
      <c r="BY576" s="850"/>
      <c r="BZ576" s="850"/>
      <c r="CA576" s="850"/>
      <c r="CB576" s="850"/>
      <c r="CC576" s="850"/>
      <c r="CD576" s="850"/>
      <c r="CE576" s="850"/>
      <c r="CF576" s="850"/>
      <c r="CG576" s="18"/>
      <c r="CH576" s="417" t="s">
        <v>1638</v>
      </c>
      <c r="CI576" s="406" t="s">
        <v>1639</v>
      </c>
      <c r="CJ576" s="23"/>
      <c r="CK576" s="648"/>
      <c r="CL576" s="694" t="s">
        <v>1640</v>
      </c>
      <c r="CM576" s="434"/>
      <c r="CR576" s="403"/>
      <c r="CS576" s="434"/>
      <c r="CU576" s="1"/>
      <c r="CV576" s="1"/>
      <c r="CW576" s="1"/>
      <c r="CX576" s="1"/>
      <c r="DA576" s="434"/>
    </row>
    <row r="577" spans="1:105" s="72" customFormat="1" ht="13.5" customHeight="1" x14ac:dyDescent="0.2">
      <c r="A577" s="434"/>
      <c r="B577" s="418"/>
      <c r="C577" s="108" t="s">
        <v>70</v>
      </c>
      <c r="D577" s="36" t="s">
        <v>1125</v>
      </c>
      <c r="E577" s="650" t="s">
        <v>1644</v>
      </c>
      <c r="F577" s="650"/>
      <c r="G577" s="75"/>
      <c r="H577" s="74"/>
      <c r="I577" s="2"/>
      <c r="L577" s="498"/>
      <c r="M577" s="1"/>
      <c r="N577" s="497"/>
      <c r="O577" s="237" t="s">
        <v>541</v>
      </c>
      <c r="P577" s="237">
        <v>20</v>
      </c>
      <c r="Q577" s="1">
        <v>40</v>
      </c>
      <c r="R577" s="3"/>
      <c r="S577" s="3"/>
      <c r="T577" s="3"/>
      <c r="U577" s="396">
        <f>107+92</f>
        <v>199</v>
      </c>
      <c r="V577" s="504"/>
      <c r="W577" s="653"/>
      <c r="X577" s="254"/>
      <c r="Y577" s="507"/>
      <c r="Z577" s="459"/>
      <c r="AA577" s="459"/>
      <c r="AB577" s="459"/>
      <c r="AC577" s="459"/>
      <c r="AD577" s="459"/>
      <c r="AE577" s="459"/>
      <c r="AF577" s="459"/>
      <c r="AG577" s="459"/>
      <c r="AH577" s="459"/>
      <c r="AI577" s="459"/>
      <c r="AJ577" s="459"/>
      <c r="AK577" s="459"/>
      <c r="AL577" s="459"/>
      <c r="AM577" s="459"/>
      <c r="AN577" s="459"/>
      <c r="AO577" s="459"/>
      <c r="AP577" s="459"/>
      <c r="AQ577" s="459"/>
      <c r="AR577" s="459"/>
      <c r="AS577" s="459"/>
      <c r="AT577" s="459"/>
      <c r="AU577" s="459"/>
      <c r="AV577" s="459"/>
      <c r="AW577" s="459"/>
      <c r="AX577" s="459"/>
      <c r="AY577" s="459"/>
      <c r="AZ577" s="459"/>
      <c r="BA577" s="459"/>
      <c r="BB577" s="459"/>
      <c r="BC577" s="459"/>
      <c r="BD577" s="459"/>
      <c r="BE577" s="457"/>
      <c r="BF577" s="457"/>
      <c r="BG577" s="459"/>
      <c r="BH577" s="459"/>
      <c r="BI577" s="457"/>
      <c r="BJ577" s="457"/>
      <c r="BK577" s="457"/>
      <c r="BL577" s="457"/>
      <c r="BM577" s="457"/>
      <c r="BN577" s="457"/>
      <c r="BO577" s="457"/>
      <c r="BP577" s="457"/>
      <c r="BQ577" s="457"/>
      <c r="BR577" s="457"/>
      <c r="BS577" s="457"/>
      <c r="BT577" s="457"/>
      <c r="BU577" s="457"/>
      <c r="BV577" s="457"/>
      <c r="BW577" s="457"/>
      <c r="BX577" s="756"/>
      <c r="BY577" s="850"/>
      <c r="BZ577" s="850"/>
      <c r="CA577" s="850"/>
      <c r="CB577" s="850"/>
      <c r="CC577" s="850"/>
      <c r="CD577" s="850"/>
      <c r="CE577" s="850"/>
      <c r="CF577" s="850"/>
      <c r="CG577" s="18"/>
      <c r="CH577" s="419" t="s">
        <v>2068</v>
      </c>
      <c r="CI577" s="406" t="s">
        <v>1639</v>
      </c>
      <c r="CJ577" s="23"/>
      <c r="CK577" s="648"/>
      <c r="CL577" s="694" t="s">
        <v>1645</v>
      </c>
      <c r="CM577" s="434"/>
      <c r="CR577" s="403"/>
      <c r="CS577" s="434"/>
      <c r="CU577" s="1"/>
      <c r="CV577" s="1"/>
      <c r="CW577" s="1"/>
      <c r="CX577" s="1"/>
      <c r="DA577" s="434"/>
    </row>
    <row r="578" spans="1:105" ht="12" customHeight="1" x14ac:dyDescent="0.2">
      <c r="B578" s="537" t="s">
        <v>1721</v>
      </c>
      <c r="C578" s="390" t="s">
        <v>70</v>
      </c>
      <c r="D578" s="36" t="s">
        <v>1125</v>
      </c>
      <c r="E578" s="647" t="s">
        <v>1590</v>
      </c>
      <c r="F578" s="647"/>
      <c r="G578" s="479">
        <v>1</v>
      </c>
      <c r="H578" s="478">
        <v>2</v>
      </c>
      <c r="I578" s="2">
        <v>2004</v>
      </c>
      <c r="J578" s="72">
        <v>2004</v>
      </c>
      <c r="L578" s="494"/>
      <c r="M578" s="247"/>
      <c r="N578" s="494"/>
      <c r="O578" s="247" t="s">
        <v>19</v>
      </c>
      <c r="P578" s="247">
        <v>15</v>
      </c>
      <c r="Q578" s="247">
        <v>49</v>
      </c>
      <c r="R578" s="291"/>
      <c r="S578" s="291"/>
      <c r="T578" s="291"/>
      <c r="U578" s="395">
        <v>1974</v>
      </c>
      <c r="V578" s="694"/>
      <c r="W578" s="717" t="s">
        <v>2034</v>
      </c>
      <c r="X578" s="254"/>
      <c r="Y578" s="447"/>
      <c r="Z578" s="447"/>
      <c r="AA578" s="468"/>
      <c r="AB578" s="468"/>
      <c r="AC578" s="447"/>
      <c r="AD578" s="447"/>
      <c r="AE578" s="447">
        <f>100*985/1969</f>
        <v>50.025393600812592</v>
      </c>
      <c r="AF578" s="468">
        <v>47</v>
      </c>
      <c r="AG578" s="468"/>
      <c r="AH578" s="468"/>
      <c r="AI578" s="447"/>
      <c r="AJ578" s="447"/>
      <c r="AK578" s="447"/>
      <c r="AL578" s="447"/>
      <c r="AM578" s="447"/>
      <c r="AN578" s="447"/>
      <c r="AO578" s="447"/>
      <c r="AP578" s="447"/>
      <c r="AQ578" s="447"/>
      <c r="AR578" s="447"/>
      <c r="AS578" s="447">
        <f>100*491/1968</f>
        <v>24.949186991869919</v>
      </c>
      <c r="AT578" s="468">
        <f>100*(163+96+111)/1972</f>
        <v>18.762677484787019</v>
      </c>
      <c r="AU578" s="447"/>
      <c r="AV578" s="447"/>
      <c r="AW578" s="447"/>
      <c r="AX578" s="447"/>
      <c r="AY578" s="447"/>
      <c r="AZ578" s="447"/>
      <c r="BA578" s="468"/>
      <c r="BB578" s="468"/>
      <c r="BC578" s="447"/>
      <c r="BD578" s="447"/>
      <c r="BE578" s="468"/>
      <c r="BF578" s="468"/>
      <c r="BG578" s="447"/>
      <c r="BH578" s="447"/>
      <c r="BI578" s="452">
        <f>100*1963/1974</f>
        <v>99.442755825734551</v>
      </c>
      <c r="BJ578" s="468">
        <f>100*(1288+478+173)/1974</f>
        <v>98.226950354609926</v>
      </c>
      <c r="BK578" s="468"/>
      <c r="BL578" s="468"/>
      <c r="BM578" s="452">
        <f>100*1478/1970</f>
        <v>75.025380710659903</v>
      </c>
      <c r="BN578" s="468">
        <f>100*(881+435+132)/1974</f>
        <v>73.353596757852074</v>
      </c>
      <c r="BQ578" s="444"/>
      <c r="BR578" s="444"/>
      <c r="BS578" s="442"/>
      <c r="BT578" s="442"/>
      <c r="BU578" s="442"/>
      <c r="BV578" s="442"/>
      <c r="BW578" s="442"/>
      <c r="BY578" s="861"/>
      <c r="BZ578" s="861"/>
      <c r="CA578" s="861"/>
      <c r="CB578" s="861"/>
      <c r="CC578" s="861"/>
      <c r="CD578" s="861"/>
      <c r="CE578" s="861"/>
      <c r="CF578" s="861"/>
      <c r="CG578" s="36"/>
      <c r="CH578" s="419" t="s">
        <v>1724</v>
      </c>
      <c r="CI578" s="406" t="s">
        <v>1725</v>
      </c>
      <c r="CJ578" s="406"/>
      <c r="CK578" s="417" t="s">
        <v>1723</v>
      </c>
      <c r="CL578" s="695" t="s">
        <v>1757</v>
      </c>
      <c r="CM578" s="630"/>
    </row>
    <row r="579" spans="1:105" s="35" customFormat="1" ht="12" customHeight="1" x14ac:dyDescent="0.2">
      <c r="A579" s="537"/>
      <c r="B579" s="537" t="s">
        <v>1973</v>
      </c>
      <c r="C579" s="390" t="s">
        <v>70</v>
      </c>
      <c r="D579" s="36" t="s">
        <v>1125</v>
      </c>
      <c r="E579" s="647" t="s">
        <v>1581</v>
      </c>
      <c r="F579" s="699" t="s">
        <v>1974</v>
      </c>
      <c r="G579" s="237"/>
      <c r="H579" s="186"/>
      <c r="I579" s="533" t="s">
        <v>30</v>
      </c>
      <c r="J579" s="571">
        <v>2001</v>
      </c>
      <c r="K579" s="571">
        <v>2006</v>
      </c>
      <c r="L579" s="494"/>
      <c r="M579" s="247" t="s">
        <v>78</v>
      </c>
      <c r="N579" s="493"/>
      <c r="O579" s="98"/>
      <c r="P579" s="98"/>
      <c r="Q579" s="98"/>
      <c r="R579" s="38">
        <f>(28*110 + 23*130)/(110+130)</f>
        <v>25.291666666666668</v>
      </c>
      <c r="S579" s="38"/>
      <c r="T579" s="38"/>
      <c r="U579" s="395">
        <f>110+130</f>
        <v>240</v>
      </c>
      <c r="V579" s="794"/>
      <c r="W579" s="712"/>
      <c r="X579" s="121">
        <f>(0*(45+18) + 3*25 + 9*17 + 12*5)/(110)</f>
        <v>2.6181818181818182</v>
      </c>
      <c r="Y579" s="447"/>
      <c r="Z579" s="447"/>
      <c r="AA579" s="447"/>
      <c r="AB579" s="447"/>
      <c r="AC579" s="447"/>
      <c r="AD579" s="447"/>
      <c r="AE579" s="447"/>
      <c r="AF579" s="447"/>
      <c r="AG579" s="447"/>
      <c r="AH579" s="447"/>
      <c r="AI579" s="468"/>
      <c r="AJ579" s="468"/>
      <c r="AK579" s="468"/>
      <c r="AL579" s="468">
        <f>5.45*110/(110+130)</f>
        <v>2.4979166666666668</v>
      </c>
      <c r="AN579" s="468">
        <f>35.45*110/(110+130)</f>
        <v>16.247916666666669</v>
      </c>
      <c r="AO579" s="468"/>
      <c r="AP579" s="468"/>
      <c r="AQ579" s="468"/>
      <c r="AR579" s="468"/>
      <c r="AS579" s="468"/>
      <c r="AT579" s="468">
        <f>20*110/(110+130)</f>
        <v>9.1666666666666661</v>
      </c>
      <c r="AU579" s="468"/>
      <c r="AV579" s="468">
        <f>20.9*110/(110+130)</f>
        <v>9.5791666666666675</v>
      </c>
      <c r="AW579" s="468"/>
      <c r="AX579" s="468"/>
      <c r="AY579" s="468"/>
      <c r="AZ579" s="468"/>
      <c r="BA579" s="468"/>
      <c r="BB579" s="468"/>
      <c r="BC579" s="663"/>
      <c r="BD579" s="468">
        <f>16.36*110/(110+130)</f>
        <v>7.4983333333333331</v>
      </c>
      <c r="BE579" s="454"/>
      <c r="BF579" s="454"/>
      <c r="BG579" s="468"/>
      <c r="BH579" s="468"/>
      <c r="BI579" s="454"/>
      <c r="BJ579" s="454"/>
      <c r="BK579" s="454"/>
      <c r="BL579" s="454"/>
      <c r="BM579" s="271"/>
      <c r="BN579" s="454"/>
      <c r="BO579" s="271"/>
      <c r="BP579" s="271"/>
      <c r="BQ579" s="444"/>
      <c r="BR579" s="444"/>
      <c r="BS579" s="442"/>
      <c r="BT579" s="442"/>
      <c r="BU579" s="442">
        <v>9</v>
      </c>
      <c r="BV579" s="442">
        <v>1</v>
      </c>
      <c r="BW579" s="442"/>
      <c r="BX579" s="573"/>
      <c r="BY579" s="854"/>
      <c r="BZ579" s="854"/>
      <c r="CA579" s="854"/>
      <c r="CB579" s="854"/>
      <c r="CC579" s="854"/>
      <c r="CD579" s="854"/>
      <c r="CE579" s="854"/>
      <c r="CF579" s="854"/>
      <c r="CG579" s="36"/>
      <c r="CH579" s="419" t="s">
        <v>1976</v>
      </c>
      <c r="CI579" s="406" t="s">
        <v>1971</v>
      </c>
      <c r="CJ579" s="23"/>
      <c r="CK579" s="641" t="s">
        <v>1975</v>
      </c>
      <c r="CL579" s="692" t="s">
        <v>2096</v>
      </c>
      <c r="CM579" s="648"/>
      <c r="CR579" s="406"/>
      <c r="CS579" s="648"/>
      <c r="CU579" s="23"/>
      <c r="CV579" s="23"/>
      <c r="CW579" s="23"/>
      <c r="CX579" s="23"/>
      <c r="DA579" s="648"/>
    </row>
    <row r="580" spans="1:105" s="35" customFormat="1" ht="12" customHeight="1" x14ac:dyDescent="0.2">
      <c r="A580" s="651"/>
      <c r="B580" s="537" t="s">
        <v>2066</v>
      </c>
      <c r="C580" s="97" t="s">
        <v>70</v>
      </c>
      <c r="D580" s="169" t="s">
        <v>1125</v>
      </c>
      <c r="E580" s="647" t="s">
        <v>1650</v>
      </c>
      <c r="F580" s="699" t="s">
        <v>1956</v>
      </c>
      <c r="G580" s="98"/>
      <c r="H580" s="478">
        <v>6</v>
      </c>
      <c r="I580" s="481" t="s">
        <v>312</v>
      </c>
      <c r="J580" s="571">
        <v>2004</v>
      </c>
      <c r="K580" s="571"/>
      <c r="L580" s="493"/>
      <c r="M580" s="98"/>
      <c r="N580" s="493"/>
      <c r="O580" s="479" t="s">
        <v>21</v>
      </c>
      <c r="P580" s="98">
        <v>18</v>
      </c>
      <c r="Q580" s="98">
        <v>49</v>
      </c>
      <c r="R580" s="167">
        <v>36</v>
      </c>
      <c r="S580" s="167"/>
      <c r="T580" s="167"/>
      <c r="U580" s="393">
        <v>105</v>
      </c>
      <c r="V580" s="694"/>
      <c r="W580" s="711"/>
      <c r="X580" s="167"/>
      <c r="Y580" s="446"/>
      <c r="Z580" s="446"/>
      <c r="AA580" s="446"/>
      <c r="AB580" s="446"/>
      <c r="AC580" s="446"/>
      <c r="AD580" s="446"/>
      <c r="AE580" s="446"/>
      <c r="AF580" s="446"/>
      <c r="AG580" s="446"/>
      <c r="AH580" s="446"/>
      <c r="AI580" s="446"/>
      <c r="AJ580" s="446"/>
      <c r="AL580" s="446"/>
      <c r="AM580" s="442"/>
      <c r="AN580" s="446"/>
      <c r="AO580" s="442"/>
      <c r="AP580" s="446"/>
      <c r="AQ580" s="442"/>
      <c r="AR580" s="446"/>
      <c r="AS580" s="442"/>
      <c r="AT580" s="446"/>
      <c r="AU580" s="454"/>
      <c r="AV580" s="446"/>
      <c r="AW580" s="446"/>
      <c r="AX580" s="446"/>
      <c r="AY580" s="453"/>
      <c r="AZ580" s="453"/>
      <c r="BA580" s="446"/>
      <c r="BB580" s="446"/>
      <c r="BC580" s="440"/>
      <c r="BD580" s="453"/>
      <c r="BE580" s="445"/>
      <c r="BF580" s="445"/>
      <c r="BG580" s="446"/>
      <c r="BH580" s="446"/>
      <c r="BI580" s="442">
        <f>100*51/105</f>
        <v>48.571428571428569</v>
      </c>
      <c r="BJ580" s="445"/>
      <c r="BK580" s="445"/>
      <c r="BL580" s="445"/>
      <c r="BM580" s="445"/>
      <c r="BN580" s="445"/>
      <c r="BO580" s="445"/>
      <c r="BP580" s="445"/>
      <c r="BQ580" s="271"/>
      <c r="BR580" s="271"/>
      <c r="BS580" s="271">
        <v>56</v>
      </c>
      <c r="BT580" s="271"/>
      <c r="BU580" s="271"/>
      <c r="BV580" s="271"/>
      <c r="BW580" s="271"/>
      <c r="BX580" s="573"/>
      <c r="BY580" s="854"/>
      <c r="BZ580" s="854"/>
      <c r="CA580" s="854"/>
      <c r="CB580" s="854"/>
      <c r="CC580" s="854"/>
      <c r="CD580" s="854"/>
      <c r="CE580" s="854"/>
      <c r="CF580" s="854"/>
      <c r="CG580" s="169"/>
      <c r="CH580" s="419" t="s">
        <v>1958</v>
      </c>
      <c r="CI580" s="406" t="s">
        <v>1933</v>
      </c>
      <c r="CJ580" s="23"/>
      <c r="CK580" s="641" t="s">
        <v>1957</v>
      </c>
      <c r="CL580" s="692" t="s">
        <v>1959</v>
      </c>
      <c r="CM580" s="648"/>
      <c r="CR580" s="406"/>
      <c r="CS580" s="648"/>
      <c r="CU580" s="23"/>
      <c r="CV580" s="23"/>
      <c r="CW580" s="23"/>
      <c r="CX580" s="23"/>
      <c r="DA580" s="648"/>
    </row>
    <row r="581" spans="1:105" s="35" customFormat="1" ht="12" customHeight="1" x14ac:dyDescent="0.2">
      <c r="A581" s="651"/>
      <c r="B581" s="537" t="s">
        <v>2407</v>
      </c>
      <c r="C581" s="390" t="s">
        <v>70</v>
      </c>
      <c r="D581" s="36" t="s">
        <v>1125</v>
      </c>
      <c r="E581" s="647" t="s">
        <v>1644</v>
      </c>
      <c r="F581" s="469" t="s">
        <v>2410</v>
      </c>
      <c r="G581" s="479"/>
      <c r="H581" s="478">
        <v>2</v>
      </c>
      <c r="I581" s="166">
        <v>2008</v>
      </c>
      <c r="J581" s="571">
        <v>2008</v>
      </c>
      <c r="K581" s="571">
        <v>2013</v>
      </c>
      <c r="L581" s="469"/>
      <c r="M581" s="247" t="s">
        <v>18</v>
      </c>
      <c r="N581" s="494"/>
      <c r="O581" s="479" t="s">
        <v>1866</v>
      </c>
      <c r="P581" s="98">
        <v>18</v>
      </c>
      <c r="Q581" s="247">
        <v>45</v>
      </c>
      <c r="R581" s="291"/>
      <c r="S581" s="291"/>
      <c r="T581" s="291"/>
      <c r="U581" s="395">
        <v>105</v>
      </c>
      <c r="V581" s="794"/>
      <c r="W581" s="720" t="s">
        <v>2409</v>
      </c>
      <c r="X581" s="526"/>
      <c r="Z581" s="447"/>
      <c r="AA581" s="447"/>
      <c r="AB581" s="447"/>
      <c r="AC581" s="447"/>
      <c r="AD581" s="447"/>
      <c r="AF581" s="447"/>
      <c r="AG581" s="447"/>
      <c r="AH581" s="447"/>
      <c r="AI581" s="447"/>
      <c r="AJ581" s="447"/>
      <c r="AK581" s="532"/>
      <c r="AL581" s="532"/>
      <c r="AM581" s="447"/>
      <c r="AN581" s="447"/>
      <c r="AO581" s="447"/>
      <c r="AP581" s="447"/>
      <c r="AQ581" s="447"/>
      <c r="AR581" s="447"/>
      <c r="AS581" s="447"/>
      <c r="AT581" s="447"/>
      <c r="AU581" s="447"/>
      <c r="AV581" s="447"/>
      <c r="AW581" s="447"/>
      <c r="AX581" s="532"/>
      <c r="AY581" s="447"/>
      <c r="AZ581" s="447"/>
      <c r="BA581" s="447"/>
      <c r="BB581" s="447"/>
      <c r="BC581" s="447"/>
      <c r="BD581" s="447"/>
      <c r="BE581" s="737"/>
      <c r="BF581" s="737"/>
      <c r="BG581" s="447"/>
      <c r="BH581" s="447"/>
      <c r="BI581" s="454">
        <v>48.57</v>
      </c>
      <c r="BJ581" s="737"/>
      <c r="BK581" s="737"/>
      <c r="BL581" s="737"/>
      <c r="BM581" s="447"/>
      <c r="BN581" s="477"/>
      <c r="BO581" s="447"/>
      <c r="BP581" s="447"/>
      <c r="BQ581" s="447"/>
      <c r="BR581" s="446"/>
      <c r="BS581" s="442"/>
      <c r="BT581" s="442"/>
      <c r="BU581" s="442"/>
      <c r="BV581" s="442"/>
      <c r="BW581" s="442"/>
      <c r="BX581" s="573"/>
      <c r="BY581" s="854"/>
      <c r="BZ581" s="854"/>
      <c r="CA581" s="854"/>
      <c r="CB581" s="854"/>
      <c r="CC581" s="854"/>
      <c r="CD581" s="854"/>
      <c r="CE581" s="854"/>
      <c r="CF581" s="854"/>
      <c r="CH581" s="580" t="s">
        <v>2408</v>
      </c>
      <c r="CI581" s="406" t="s">
        <v>2403</v>
      </c>
      <c r="CJ581" s="23"/>
      <c r="CK581" s="469"/>
      <c r="CL581" s="692" t="s">
        <v>2411</v>
      </c>
      <c r="CM581" s="580"/>
      <c r="CR581" s="406"/>
      <c r="CS581" s="648"/>
      <c r="CU581" s="23"/>
      <c r="CV581" s="23"/>
      <c r="CW581" s="23"/>
      <c r="CX581" s="23"/>
      <c r="DA581" s="648"/>
    </row>
    <row r="582" spans="1:105" ht="12" customHeight="1" x14ac:dyDescent="0.2">
      <c r="A582" s="651"/>
      <c r="B582" s="537"/>
      <c r="C582" s="108" t="s">
        <v>70</v>
      </c>
      <c r="D582" s="36" t="s">
        <v>1125</v>
      </c>
      <c r="E582" s="650" t="s">
        <v>211</v>
      </c>
      <c r="F582" s="647"/>
      <c r="G582" s="237"/>
      <c r="H582" s="186"/>
      <c r="M582" s="479"/>
      <c r="N582" s="493" t="s">
        <v>2012</v>
      </c>
      <c r="O582" s="23"/>
      <c r="P582" s="23">
        <v>18</v>
      </c>
      <c r="Q582" s="237"/>
      <c r="R582" s="254"/>
      <c r="S582" s="254"/>
      <c r="T582" s="254"/>
      <c r="U582" s="393">
        <v>64</v>
      </c>
      <c r="V582" s="694"/>
      <c r="W582" s="711"/>
      <c r="X582" s="254"/>
      <c r="Y582" s="446"/>
      <c r="Z582" s="446"/>
      <c r="AA582" s="446"/>
      <c r="AB582" s="446"/>
      <c r="AC582" s="440"/>
      <c r="AD582" s="446"/>
      <c r="AE582" s="442"/>
      <c r="AF582" s="446"/>
      <c r="AG582" s="446"/>
      <c r="AH582" s="446"/>
      <c r="AI582" s="446"/>
      <c r="AJ582" s="446"/>
      <c r="AK582" s="446"/>
      <c r="AL582" s="446"/>
      <c r="AM582" s="442"/>
      <c r="AN582" s="446"/>
      <c r="AO582" s="446"/>
      <c r="AP582" s="446"/>
      <c r="AQ582" s="446"/>
      <c r="AR582" s="446"/>
      <c r="AS582" s="446"/>
      <c r="AT582" s="446"/>
      <c r="AU582" s="446"/>
      <c r="AV582" s="446"/>
      <c r="AW582" s="446"/>
      <c r="AX582" s="446"/>
      <c r="AY582" s="446"/>
      <c r="AZ582" s="446"/>
      <c r="BA582" s="446"/>
      <c r="BB582" s="446"/>
      <c r="BC582" s="446"/>
      <c r="BD582" s="446"/>
      <c r="BE582" s="445"/>
      <c r="BF582" s="445"/>
      <c r="BG582" s="446"/>
      <c r="BH582" s="446"/>
      <c r="BI582" s="445"/>
      <c r="BJ582" s="445"/>
      <c r="BK582" s="445"/>
      <c r="BL582" s="445"/>
      <c r="BM582" s="445"/>
      <c r="BN582" s="445"/>
      <c r="BO582" s="445"/>
      <c r="BP582" s="445"/>
      <c r="BQ582" s="444"/>
      <c r="BR582" s="444"/>
      <c r="BS582" s="442">
        <f>100*63/64</f>
        <v>98.4375</v>
      </c>
      <c r="BT582" s="445"/>
      <c r="BU582" s="445"/>
      <c r="BV582" s="445"/>
      <c r="BW582" s="445"/>
      <c r="BY582" s="861"/>
      <c r="BZ582" s="861"/>
      <c r="CA582" s="861"/>
      <c r="CB582" s="861"/>
      <c r="CC582" s="861"/>
      <c r="CD582" s="861"/>
      <c r="CE582" s="861"/>
      <c r="CF582" s="861"/>
      <c r="CG582" s="98"/>
      <c r="CH582" s="419" t="s">
        <v>2009</v>
      </c>
      <c r="CI582" s="403" t="s">
        <v>2010</v>
      </c>
      <c r="CJ582" s="23"/>
      <c r="CK582" s="417" t="s">
        <v>2011</v>
      </c>
      <c r="CL582" s="692" t="s">
        <v>2013</v>
      </c>
    </row>
    <row r="583" spans="1:105" ht="12" customHeight="1" x14ac:dyDescent="0.2">
      <c r="A583" s="651"/>
      <c r="B583" s="537" t="s">
        <v>2117</v>
      </c>
      <c r="C583" s="551" t="s">
        <v>70</v>
      </c>
      <c r="D583" s="527" t="s">
        <v>1125</v>
      </c>
      <c r="E583" s="647" t="s">
        <v>2118</v>
      </c>
      <c r="F583" s="647" t="s">
        <v>2119</v>
      </c>
      <c r="G583" s="237"/>
      <c r="H583" s="186"/>
      <c r="I583" s="2">
        <v>2009</v>
      </c>
      <c r="K583" s="72">
        <v>2013</v>
      </c>
      <c r="L583" s="493"/>
      <c r="M583" s="479"/>
      <c r="N583" s="493"/>
      <c r="O583" s="247" t="s">
        <v>2123</v>
      </c>
      <c r="P583" s="247">
        <v>18</v>
      </c>
      <c r="Q583" s="237"/>
      <c r="R583" s="277">
        <f>19.5*0.24 + 23.5*0.18 + 28*0.24 + 34*0.34</f>
        <v>27.189999999999998</v>
      </c>
      <c r="S583" s="277"/>
      <c r="T583" s="277"/>
      <c r="U583" s="393">
        <v>50</v>
      </c>
      <c r="V583" s="694"/>
      <c r="W583" s="717" t="s">
        <v>2122</v>
      </c>
      <c r="X583" s="277">
        <f>0*100</f>
        <v>0</v>
      </c>
      <c r="Y583" s="446"/>
      <c r="Z583" s="446"/>
      <c r="AB583" s="442"/>
      <c r="AC583" s="440"/>
      <c r="AD583" s="446"/>
      <c r="AE583" s="442">
        <v>48</v>
      </c>
      <c r="AF583" s="446"/>
      <c r="AG583" s="446"/>
      <c r="AH583" s="446"/>
      <c r="AI583" s="446"/>
      <c r="AJ583" s="446"/>
      <c r="AK583" s="446"/>
      <c r="AL583" s="446"/>
      <c r="AM583" s="442"/>
      <c r="AN583" s="446"/>
      <c r="AO583" s="446"/>
      <c r="AP583" s="446"/>
      <c r="AQ583" s="446"/>
      <c r="AR583" s="446"/>
      <c r="AS583" s="446"/>
      <c r="AT583" s="446"/>
      <c r="AU583" s="446"/>
      <c r="AV583" s="446"/>
      <c r="AW583" s="446"/>
      <c r="AX583" s="446"/>
      <c r="AY583" s="446"/>
      <c r="AZ583" s="446"/>
      <c r="BA583" s="446"/>
      <c r="BB583" s="446"/>
      <c r="BC583" s="446"/>
      <c r="BD583" s="446"/>
      <c r="BE583" s="445"/>
      <c r="BF583" s="445"/>
      <c r="BG583" s="446"/>
      <c r="BH583" s="446"/>
      <c r="BJ583" s="445"/>
      <c r="BK583" s="445"/>
      <c r="BL583" s="445"/>
      <c r="BM583" s="445"/>
      <c r="BN583" s="445"/>
      <c r="BO583" s="445"/>
      <c r="BP583" s="445"/>
      <c r="BR583" s="444"/>
      <c r="BS583" s="442"/>
      <c r="BT583" s="445"/>
      <c r="BU583" s="445"/>
      <c r="BV583" s="445">
        <v>1</v>
      </c>
      <c r="BW583" s="445"/>
      <c r="BX583" s="573">
        <v>0.12</v>
      </c>
      <c r="BY583" s="854"/>
      <c r="BZ583" s="854"/>
      <c r="CA583" s="854"/>
      <c r="CB583" s="854"/>
      <c r="CC583" s="854"/>
      <c r="CD583" s="854"/>
      <c r="CE583" s="854"/>
      <c r="CF583" s="854"/>
      <c r="CG583" s="98"/>
      <c r="CH583" s="419" t="s">
        <v>2121</v>
      </c>
      <c r="CI583" s="406" t="s">
        <v>2113</v>
      </c>
      <c r="CJ583" s="23"/>
      <c r="CK583" s="417" t="s">
        <v>2120</v>
      </c>
      <c r="CL583" s="693" t="s">
        <v>2124</v>
      </c>
    </row>
    <row r="584" spans="1:105" s="97" customFormat="1" ht="12" customHeight="1" x14ac:dyDescent="0.2">
      <c r="A584" s="652"/>
      <c r="B584" s="558" t="s">
        <v>2175</v>
      </c>
      <c r="C584" s="551" t="s">
        <v>70</v>
      </c>
      <c r="D584" s="527" t="s">
        <v>1125</v>
      </c>
      <c r="E584" s="647" t="s">
        <v>1644</v>
      </c>
      <c r="F584" s="647"/>
      <c r="G584" s="237">
        <v>1</v>
      </c>
      <c r="H584" s="478"/>
      <c r="I584" s="166"/>
      <c r="J584" s="551"/>
      <c r="K584" s="551"/>
      <c r="L584" s="493"/>
      <c r="M584" s="98"/>
      <c r="N584" s="494"/>
      <c r="O584" s="166"/>
      <c r="P584" s="98"/>
      <c r="Q584" s="98"/>
      <c r="R584" s="121"/>
      <c r="S584" s="121"/>
      <c r="T584" s="121"/>
      <c r="U584" s="393">
        <v>220</v>
      </c>
      <c r="V584" s="694"/>
      <c r="W584" s="717"/>
      <c r="X584" s="121"/>
      <c r="Y584" s="442"/>
      <c r="Z584" s="473"/>
      <c r="AA584" s="442"/>
      <c r="AC584" s="446"/>
      <c r="AD584" s="446"/>
      <c r="AE584" s="446"/>
      <c r="AF584" s="446"/>
      <c r="AG584" s="446"/>
      <c r="AH584" s="446"/>
      <c r="AI584" s="447"/>
      <c r="AJ584" s="447"/>
      <c r="AK584" s="447"/>
      <c r="AL584" s="447"/>
      <c r="AM584" s="442"/>
      <c r="AN584" s="442"/>
      <c r="AO584" s="442"/>
      <c r="AP584" s="442"/>
      <c r="AQ584" s="446"/>
      <c r="AR584" s="446"/>
      <c r="AS584" s="446"/>
      <c r="AT584" s="472"/>
      <c r="AU584" s="447"/>
      <c r="AV584" s="447"/>
      <c r="AW584" s="447"/>
      <c r="AX584" s="447"/>
      <c r="AY584" s="447"/>
      <c r="AZ584" s="447"/>
      <c r="BA584" s="472"/>
      <c r="BB584" s="472"/>
      <c r="BC584" s="447"/>
      <c r="BD584" s="447"/>
      <c r="BE584" s="525"/>
      <c r="BF584" s="525"/>
      <c r="BG584" s="447"/>
      <c r="BH584" s="447"/>
      <c r="BI584" s="42"/>
      <c r="BJ584" s="525"/>
      <c r="BK584" s="525"/>
      <c r="BL584" s="525"/>
      <c r="BM584" s="42"/>
      <c r="BN584" s="442"/>
      <c r="BO584" s="442"/>
      <c r="BR584" s="590">
        <v>35</v>
      </c>
      <c r="BS584" s="14"/>
      <c r="BT584" s="14"/>
      <c r="BU584" s="14">
        <v>3</v>
      </c>
      <c r="BV584" s="559"/>
      <c r="BW584" s="559"/>
      <c r="BX584" s="736"/>
      <c r="BY584" s="854"/>
      <c r="BZ584" s="854"/>
      <c r="CA584" s="854"/>
      <c r="CB584" s="854"/>
      <c r="CC584" s="854"/>
      <c r="CD584" s="854"/>
      <c r="CE584" s="854"/>
      <c r="CF584" s="854"/>
      <c r="CG584" s="98"/>
      <c r="CH584" s="746" t="s">
        <v>2176</v>
      </c>
      <c r="CI584" s="638" t="s">
        <v>2177</v>
      </c>
      <c r="CJ584" s="98"/>
      <c r="CK584" s="681"/>
      <c r="CL584" s="694" t="s">
        <v>2191</v>
      </c>
      <c r="CM584" s="647"/>
      <c r="CR584" s="638"/>
      <c r="CS584" s="647"/>
      <c r="CU584" s="98"/>
      <c r="CV584" s="98"/>
      <c r="CW584" s="98"/>
      <c r="CX584" s="98"/>
      <c r="DA584" s="647"/>
    </row>
    <row r="585" spans="1:105" ht="12" customHeight="1" x14ac:dyDescent="0.2">
      <c r="A585" s="651"/>
      <c r="B585" s="537"/>
      <c r="C585" s="551" t="s">
        <v>70</v>
      </c>
      <c r="D585" s="527" t="s">
        <v>1125</v>
      </c>
      <c r="E585" s="647"/>
      <c r="F585" s="647"/>
      <c r="G585" s="237"/>
      <c r="H585" s="186"/>
      <c r="L585" s="493"/>
      <c r="M585" s="479"/>
      <c r="N585" s="493"/>
      <c r="O585" s="247"/>
      <c r="P585" s="247"/>
      <c r="Q585" s="237"/>
      <c r="R585" s="277"/>
      <c r="S585" s="277"/>
      <c r="T585" s="277"/>
      <c r="U585" s="393">
        <v>16</v>
      </c>
      <c r="V585" s="694"/>
      <c r="W585" s="717"/>
      <c r="X585" s="277"/>
      <c r="Y585" s="446"/>
      <c r="Z585" s="446"/>
      <c r="AB585" s="442"/>
      <c r="AC585" s="440"/>
      <c r="AD585" s="446"/>
      <c r="AE585" s="442"/>
      <c r="AF585" s="446"/>
      <c r="AG585" s="446"/>
      <c r="AH585" s="446"/>
      <c r="AI585" s="446"/>
      <c r="AJ585" s="446"/>
      <c r="AK585" s="446"/>
      <c r="AL585" s="446"/>
      <c r="AM585" s="442"/>
      <c r="AN585" s="446"/>
      <c r="AO585" s="446"/>
      <c r="AP585" s="446"/>
      <c r="AQ585" s="446"/>
      <c r="AR585" s="446"/>
      <c r="AS585" s="446"/>
      <c r="AT585" s="446"/>
      <c r="AU585" s="446"/>
      <c r="AV585" s="446"/>
      <c r="AW585" s="446"/>
      <c r="AX585" s="446"/>
      <c r="AY585" s="446"/>
      <c r="AZ585" s="446"/>
      <c r="BA585" s="446"/>
      <c r="BB585" s="446"/>
      <c r="BC585" s="446"/>
      <c r="BD585" s="446"/>
      <c r="BE585" s="445"/>
      <c r="BF585" s="445"/>
      <c r="BG585" s="446"/>
      <c r="BH585" s="446"/>
      <c r="BJ585" s="445"/>
      <c r="BK585" s="445"/>
      <c r="BL585" s="445"/>
      <c r="BM585" s="445"/>
      <c r="BN585" s="445"/>
      <c r="BO585" s="445"/>
      <c r="BP585" s="445"/>
      <c r="BR585" s="444"/>
      <c r="BS585" s="442"/>
      <c r="BT585" s="445"/>
      <c r="BU585" s="445"/>
      <c r="BV585" s="445"/>
      <c r="BW585" s="445"/>
      <c r="BX585" s="573"/>
      <c r="BY585" s="854"/>
      <c r="BZ585" s="854"/>
      <c r="CA585" s="854"/>
      <c r="CB585" s="854"/>
      <c r="CC585" s="854"/>
      <c r="CD585" s="854"/>
      <c r="CE585" s="854"/>
      <c r="CF585" s="854"/>
      <c r="CG585" s="98"/>
      <c r="CH585" s="419" t="s">
        <v>2178</v>
      </c>
      <c r="CI585" s="406"/>
      <c r="CJ585" s="23"/>
      <c r="CK585" s="417"/>
      <c r="CL585" s="692"/>
    </row>
    <row r="586" spans="1:105" ht="12" customHeight="1" x14ac:dyDescent="0.2">
      <c r="A586" s="651"/>
      <c r="B586" s="537"/>
      <c r="C586" s="551" t="s">
        <v>70</v>
      </c>
      <c r="D586" s="527" t="s">
        <v>1125</v>
      </c>
      <c r="E586" s="647"/>
      <c r="F586" s="647"/>
      <c r="G586" s="237"/>
      <c r="H586" s="186"/>
      <c r="L586" s="493"/>
      <c r="M586" s="479"/>
      <c r="N586" s="493"/>
      <c r="O586" s="247"/>
      <c r="P586" s="247"/>
      <c r="Q586" s="237"/>
      <c r="R586" s="277"/>
      <c r="S586" s="277"/>
      <c r="T586" s="277"/>
      <c r="U586" s="393">
        <v>177</v>
      </c>
      <c r="V586" s="694"/>
      <c r="W586" s="717"/>
      <c r="X586" s="277"/>
      <c r="Y586" s="446"/>
      <c r="Z586" s="446"/>
      <c r="AB586" s="442"/>
      <c r="AC586" s="440"/>
      <c r="AD586" s="446"/>
      <c r="AE586" s="442"/>
      <c r="AF586" s="446"/>
      <c r="AG586" s="446"/>
      <c r="AH586" s="446"/>
      <c r="AI586" s="446"/>
      <c r="AJ586" s="446"/>
      <c r="AK586" s="446"/>
      <c r="AL586" s="446"/>
      <c r="AM586" s="442"/>
      <c r="AN586" s="446"/>
      <c r="AO586" s="446"/>
      <c r="AP586" s="446"/>
      <c r="AQ586" s="446"/>
      <c r="AR586" s="446"/>
      <c r="AS586" s="446"/>
      <c r="AT586" s="446"/>
      <c r="AU586" s="446"/>
      <c r="AV586" s="446"/>
      <c r="AW586" s="446"/>
      <c r="AX586" s="446"/>
      <c r="AY586" s="446"/>
      <c r="AZ586" s="446"/>
      <c r="BA586" s="446"/>
      <c r="BB586" s="446"/>
      <c r="BC586" s="446"/>
      <c r="BD586" s="446"/>
      <c r="BE586" s="445"/>
      <c r="BF586" s="445"/>
      <c r="BG586" s="446"/>
      <c r="BH586" s="446"/>
      <c r="BJ586" s="445"/>
      <c r="BK586" s="445"/>
      <c r="BL586" s="445"/>
      <c r="BM586" s="445"/>
      <c r="BN586" s="445"/>
      <c r="BO586" s="445"/>
      <c r="BP586" s="445"/>
      <c r="BR586" s="444"/>
      <c r="BS586" s="442"/>
      <c r="BT586" s="445"/>
      <c r="BU586" s="445"/>
      <c r="BV586" s="445"/>
      <c r="BW586" s="445"/>
      <c r="BX586" s="573"/>
      <c r="BY586" s="854"/>
      <c r="BZ586" s="854"/>
      <c r="CA586" s="854"/>
      <c r="CB586" s="854"/>
      <c r="CC586" s="854"/>
      <c r="CD586" s="854"/>
      <c r="CE586" s="854"/>
      <c r="CF586" s="854"/>
      <c r="CG586" s="98"/>
      <c r="CH586" s="419" t="s">
        <v>2190</v>
      </c>
      <c r="CI586" s="406"/>
      <c r="CJ586" s="23"/>
      <c r="CK586" s="417"/>
      <c r="CL586" s="694" t="s">
        <v>2191</v>
      </c>
    </row>
    <row r="587" spans="1:105" s="35" customFormat="1" ht="12" customHeight="1" x14ac:dyDescent="0.2">
      <c r="A587" s="651"/>
      <c r="B587" s="537" t="s">
        <v>2228</v>
      </c>
      <c r="C587" s="97" t="s">
        <v>70</v>
      </c>
      <c r="D587" s="169" t="s">
        <v>1125</v>
      </c>
      <c r="E587" s="647" t="s">
        <v>1650</v>
      </c>
      <c r="F587" s="647" t="s">
        <v>2230</v>
      </c>
      <c r="G587" s="479"/>
      <c r="H587" s="186"/>
      <c r="I587" s="741" t="s">
        <v>1519</v>
      </c>
      <c r="J587" s="571">
        <v>2012</v>
      </c>
      <c r="K587" s="571">
        <v>2015</v>
      </c>
      <c r="L587" s="493"/>
      <c r="M587" s="237" t="s">
        <v>18</v>
      </c>
      <c r="N587" s="493"/>
      <c r="O587" s="479"/>
      <c r="P587" s="479" t="s">
        <v>2231</v>
      </c>
      <c r="Q587" s="479" t="s">
        <v>2232</v>
      </c>
      <c r="R587" s="24">
        <v>31.4</v>
      </c>
      <c r="S587" s="24"/>
      <c r="T587" s="24"/>
      <c r="U587" s="393">
        <v>397</v>
      </c>
      <c r="V587" s="694"/>
      <c r="W587" s="711"/>
      <c r="X587" s="277"/>
      <c r="Y587" s="446"/>
      <c r="Z587" s="446"/>
      <c r="AA587" s="446"/>
      <c r="AB587" s="446"/>
      <c r="AC587" s="446"/>
      <c r="AD587" s="446"/>
      <c r="AE587" s="446"/>
      <c r="AF587" s="446"/>
      <c r="AG587" s="446"/>
      <c r="AH587" s="446"/>
      <c r="AI587" s="446"/>
      <c r="AJ587" s="446"/>
      <c r="AK587" s="446"/>
      <c r="AL587" s="446"/>
      <c r="AM587" s="446"/>
      <c r="AN587" s="446"/>
      <c r="AO587" s="446"/>
      <c r="AP587" s="446"/>
      <c r="AQ587" s="446"/>
      <c r="AR587" s="446"/>
      <c r="AS587" s="446"/>
      <c r="AT587" s="446"/>
      <c r="AU587" s="446"/>
      <c r="AV587" s="446"/>
      <c r="AW587" s="446"/>
      <c r="AX587" s="446"/>
      <c r="AY587" s="446"/>
      <c r="AZ587" s="446"/>
      <c r="BA587" s="446"/>
      <c r="BB587" s="446"/>
      <c r="BC587" s="446"/>
      <c r="BD587" s="446"/>
      <c r="BE587" s="442"/>
      <c r="BF587" s="442"/>
      <c r="BG587" s="446"/>
      <c r="BH587" s="446"/>
      <c r="BI587" s="271"/>
      <c r="BJ587" s="442"/>
      <c r="BK587" s="442"/>
      <c r="BL587" s="442"/>
      <c r="BM587" s="442"/>
      <c r="BN587" s="442"/>
      <c r="BO587" s="442" t="s">
        <v>2233</v>
      </c>
      <c r="BP587" s="442"/>
      <c r="BQ587" s="442"/>
      <c r="BR587" s="442"/>
      <c r="BS587" s="442"/>
      <c r="BT587" s="446"/>
      <c r="BU587" s="446"/>
      <c r="BV587" s="442"/>
      <c r="BW587" s="442"/>
      <c r="BX587" s="573"/>
      <c r="BY587" s="854"/>
      <c r="BZ587" s="854"/>
      <c r="CA587" s="854"/>
      <c r="CB587" s="854"/>
      <c r="CC587" s="854"/>
      <c r="CD587" s="854"/>
      <c r="CE587" s="854"/>
      <c r="CF587" s="854"/>
      <c r="CG587" s="169"/>
      <c r="CH587" s="433" t="s">
        <v>2227</v>
      </c>
      <c r="CI587" s="406" t="s">
        <v>2204</v>
      </c>
      <c r="CJ587" s="23"/>
      <c r="CK587" s="417" t="s">
        <v>2235</v>
      </c>
      <c r="CL587" s="692" t="s">
        <v>2236</v>
      </c>
      <c r="CM587" s="580"/>
      <c r="CN587" s="128"/>
      <c r="CO587" s="128"/>
      <c r="CP587" s="128"/>
      <c r="CQ587" s="128"/>
      <c r="CR587" s="406"/>
      <c r="CS587" s="431"/>
      <c r="CU587" s="23"/>
      <c r="CV587" s="23"/>
      <c r="CW587" s="23"/>
      <c r="CX587" s="23"/>
      <c r="DA587" s="648"/>
    </row>
    <row r="588" spans="1:105" s="35" customFormat="1" ht="12" customHeight="1" x14ac:dyDescent="0.2">
      <c r="A588" s="651"/>
      <c r="B588" s="537" t="s">
        <v>2229</v>
      </c>
      <c r="C588" s="97" t="s">
        <v>70</v>
      </c>
      <c r="D588" s="169" t="s">
        <v>1125</v>
      </c>
      <c r="E588" s="647" t="s">
        <v>1650</v>
      </c>
      <c r="F588" s="647" t="s">
        <v>2230</v>
      </c>
      <c r="G588" s="479"/>
      <c r="H588" s="186"/>
      <c r="I588" s="741" t="s">
        <v>1519</v>
      </c>
      <c r="J588" s="571">
        <v>2013</v>
      </c>
      <c r="K588" s="571">
        <v>2015</v>
      </c>
      <c r="L588" s="493"/>
      <c r="M588" s="237" t="s">
        <v>18</v>
      </c>
      <c r="N588" s="493"/>
      <c r="O588" s="479"/>
      <c r="P588" s="479" t="s">
        <v>2231</v>
      </c>
      <c r="Q588" s="479" t="s">
        <v>2232</v>
      </c>
      <c r="R588" s="24">
        <v>32.700000000000003</v>
      </c>
      <c r="S588" s="24"/>
      <c r="T588" s="24"/>
      <c r="U588" s="393">
        <v>401</v>
      </c>
      <c r="V588" s="694"/>
      <c r="W588" s="711"/>
      <c r="X588" s="277"/>
      <c r="Y588" s="446"/>
      <c r="Z588" s="446"/>
      <c r="AA588" s="446"/>
      <c r="AB588" s="446"/>
      <c r="AC588" s="446"/>
      <c r="AD588" s="446"/>
      <c r="AE588" s="446"/>
      <c r="AF588" s="446"/>
      <c r="AG588" s="446"/>
      <c r="AH588" s="446"/>
      <c r="AI588" s="446"/>
      <c r="AJ588" s="446"/>
      <c r="AK588" s="446"/>
      <c r="AL588" s="446"/>
      <c r="AM588" s="446"/>
      <c r="AN588" s="446"/>
      <c r="AO588" s="446"/>
      <c r="AP588" s="446"/>
      <c r="AQ588" s="446"/>
      <c r="AR588" s="446"/>
      <c r="AS588" s="446"/>
      <c r="AT588" s="446"/>
      <c r="AU588" s="446"/>
      <c r="AV588" s="446"/>
      <c r="AW588" s="446"/>
      <c r="AX588" s="446"/>
      <c r="AY588" s="446"/>
      <c r="AZ588" s="446"/>
      <c r="BA588" s="446"/>
      <c r="BB588" s="446"/>
      <c r="BC588" s="446"/>
      <c r="BD588" s="446"/>
      <c r="BE588" s="442"/>
      <c r="BF588" s="442"/>
      <c r="BG588" s="446"/>
      <c r="BH588" s="446"/>
      <c r="BI588" s="271"/>
      <c r="BJ588" s="442"/>
      <c r="BK588" s="442"/>
      <c r="BL588" s="442"/>
      <c r="BM588" s="442"/>
      <c r="BN588" s="442"/>
      <c r="BO588" s="442" t="s">
        <v>2234</v>
      </c>
      <c r="BP588" s="442"/>
      <c r="BQ588" s="442"/>
      <c r="BR588" s="442"/>
      <c r="BS588" s="442"/>
      <c r="BT588" s="446"/>
      <c r="BU588" s="446"/>
      <c r="BV588" s="442"/>
      <c r="BW588" s="442"/>
      <c r="BX588" s="573"/>
      <c r="BY588" s="854"/>
      <c r="BZ588" s="854"/>
      <c r="CA588" s="854"/>
      <c r="CB588" s="854"/>
      <c r="CC588" s="854"/>
      <c r="CD588" s="854"/>
      <c r="CE588" s="854"/>
      <c r="CF588" s="854"/>
      <c r="CG588" s="169"/>
      <c r="CH588" s="433" t="s">
        <v>2227</v>
      </c>
      <c r="CI588" s="406" t="s">
        <v>2204</v>
      </c>
      <c r="CJ588" s="23"/>
      <c r="CK588" s="417" t="s">
        <v>2235</v>
      </c>
      <c r="CL588" s="692" t="s">
        <v>2236</v>
      </c>
      <c r="CM588" s="580"/>
      <c r="CN588" s="128"/>
      <c r="CO588" s="128"/>
      <c r="CP588" s="128"/>
      <c r="CQ588" s="128"/>
      <c r="CR588" s="406"/>
      <c r="CS588" s="431"/>
      <c r="CU588" s="23"/>
      <c r="CV588" s="23"/>
      <c r="CW588" s="23"/>
      <c r="CX588" s="23"/>
      <c r="DA588" s="648"/>
    </row>
    <row r="589" spans="1:105" s="35" customFormat="1" ht="12" customHeight="1" x14ac:dyDescent="0.2">
      <c r="A589" s="664"/>
      <c r="B589" s="537" t="s">
        <v>2249</v>
      </c>
      <c r="C589" s="390" t="s">
        <v>70</v>
      </c>
      <c r="D589" s="36" t="s">
        <v>1125</v>
      </c>
      <c r="E589" s="647"/>
      <c r="F589" s="494" t="s">
        <v>2250</v>
      </c>
      <c r="G589" s="480"/>
      <c r="H589" s="478"/>
      <c r="I589" s="481">
        <v>2013</v>
      </c>
      <c r="J589" s="166"/>
      <c r="K589" s="571">
        <v>2016</v>
      </c>
      <c r="L589" s="494"/>
      <c r="M589" s="247"/>
      <c r="N589" s="494"/>
      <c r="O589" s="586" t="s">
        <v>19</v>
      </c>
      <c r="P589" s="98">
        <v>15</v>
      </c>
      <c r="Q589" s="98">
        <v>49</v>
      </c>
      <c r="R589" s="291"/>
      <c r="S589" s="291"/>
      <c r="T589" s="291"/>
      <c r="U589" s="395">
        <v>200</v>
      </c>
      <c r="V589" s="794"/>
      <c r="W589" s="720" t="s">
        <v>2251</v>
      </c>
      <c r="X589" s="121"/>
      <c r="Y589" s="447"/>
      <c r="Z589" s="473"/>
      <c r="AA589" s="447"/>
      <c r="AB589" s="447"/>
      <c r="AC589" s="636"/>
      <c r="AD589" s="447"/>
      <c r="AE589" s="447"/>
      <c r="AF589" s="447"/>
      <c r="AG589" s="447"/>
      <c r="AH589" s="447"/>
      <c r="AI589" s="447"/>
      <c r="AJ589" s="447"/>
      <c r="AL589" s="447"/>
      <c r="AM589" s="447"/>
      <c r="AN589" s="447"/>
      <c r="AO589" s="447"/>
      <c r="AP589" s="447"/>
      <c r="AQ589" s="447"/>
      <c r="AR589" s="447"/>
      <c r="AS589" s="447"/>
      <c r="AT589" s="447"/>
      <c r="AU589" s="447"/>
      <c r="AV589" s="447"/>
      <c r="AW589" s="447"/>
      <c r="AX589" s="447"/>
      <c r="AY589" s="447"/>
      <c r="AZ589" s="447"/>
      <c r="BA589" s="447"/>
      <c r="BB589" s="447"/>
      <c r="BC589" s="447"/>
      <c r="BD589" s="447"/>
      <c r="BE589" s="447"/>
      <c r="BF589" s="447"/>
      <c r="BG589" s="447"/>
      <c r="BH589" s="447"/>
      <c r="BI589" s="447"/>
      <c r="BJ589" s="447"/>
      <c r="BK589" s="447"/>
      <c r="BL589" s="447"/>
      <c r="BM589" s="454"/>
      <c r="BN589" s="271"/>
      <c r="BO589" s="447"/>
      <c r="BP589" s="447"/>
      <c r="BQ589" s="447"/>
      <c r="BR589" s="271"/>
      <c r="BS589" s="271">
        <v>66</v>
      </c>
      <c r="BT589" s="271"/>
      <c r="BU589" s="271"/>
      <c r="BV589" s="454"/>
      <c r="BW589" s="454"/>
      <c r="BX589" s="573"/>
      <c r="BY589" s="854"/>
      <c r="BZ589" s="854"/>
      <c r="CA589" s="854"/>
      <c r="CB589" s="854"/>
      <c r="CC589" s="854"/>
      <c r="CD589" s="854"/>
      <c r="CE589" s="854"/>
      <c r="CF589" s="854"/>
      <c r="CG589" s="36"/>
      <c r="CH589" s="419" t="s">
        <v>2252</v>
      </c>
      <c r="CI589" s="638" t="s">
        <v>2204</v>
      </c>
      <c r="CJ589" s="23"/>
      <c r="CK589" s="641"/>
      <c r="CL589" s="417"/>
      <c r="CM589" s="431"/>
      <c r="CN589" s="128"/>
      <c r="CO589" s="128"/>
      <c r="CP589" s="128"/>
      <c r="CQ589" s="128"/>
      <c r="CR589" s="406"/>
      <c r="CS589" s="431"/>
      <c r="CU589" s="23"/>
      <c r="CV589" s="23"/>
      <c r="CW589" s="23"/>
      <c r="CX589" s="23"/>
      <c r="DA589" s="648"/>
    </row>
    <row r="590" spans="1:105" x14ac:dyDescent="0.2">
      <c r="B590" s="541" t="s">
        <v>2297</v>
      </c>
      <c r="C590" s="390" t="s">
        <v>70</v>
      </c>
      <c r="D590" s="36" t="s">
        <v>1125</v>
      </c>
      <c r="E590" s="48" t="s">
        <v>1734</v>
      </c>
      <c r="F590" s="48" t="s">
        <v>2299</v>
      </c>
      <c r="H590" s="478">
        <v>2</v>
      </c>
      <c r="I590" s="481">
        <v>2014</v>
      </c>
      <c r="J590" s="551">
        <v>2014</v>
      </c>
      <c r="K590" s="827">
        <v>2015</v>
      </c>
      <c r="M590" s="586"/>
      <c r="O590" s="586" t="s">
        <v>603</v>
      </c>
      <c r="P590" s="98">
        <v>18</v>
      </c>
      <c r="Q590" s="98">
        <v>60</v>
      </c>
      <c r="U590" s="4">
        <v>150</v>
      </c>
      <c r="V590" s="504"/>
      <c r="W590" s="630" t="s">
        <v>2302</v>
      </c>
      <c r="X590" s="121"/>
      <c r="Y590" s="454"/>
      <c r="AA590" s="440">
        <v>20</v>
      </c>
      <c r="AB590" s="452"/>
      <c r="AK590" s="452"/>
      <c r="AM590" s="452"/>
      <c r="AN590" s="739"/>
      <c r="AO590" s="452"/>
      <c r="AQ590" s="452"/>
      <c r="AR590" s="739"/>
      <c r="AS590" s="452"/>
      <c r="AU590" s="452"/>
      <c r="AW590" s="452"/>
      <c r="AY590" s="452"/>
      <c r="AZ590" s="452"/>
      <c r="BC590" s="742"/>
      <c r="BD590" s="452"/>
      <c r="BE590" s="452"/>
      <c r="BF590" s="452"/>
      <c r="BI590" s="452">
        <v>54.7</v>
      </c>
      <c r="BJ590" s="452"/>
      <c r="BK590" s="452"/>
      <c r="BL590" s="452"/>
      <c r="BM590" s="452"/>
      <c r="BN590" s="744"/>
      <c r="BP590" s="447"/>
      <c r="BQ590" s="452"/>
      <c r="BR590" s="452"/>
      <c r="BT590" s="452"/>
      <c r="BV590" s="454"/>
      <c r="BW590" s="452"/>
      <c r="BX590" s="573"/>
      <c r="BY590" s="854"/>
      <c r="BZ590" s="854"/>
      <c r="CA590" s="854"/>
      <c r="CB590" s="854"/>
      <c r="CC590" s="854"/>
      <c r="CD590" s="854"/>
      <c r="CE590" s="854"/>
      <c r="CF590" s="854"/>
      <c r="CG590" s="745"/>
      <c r="CH590" s="424" t="s">
        <v>2301</v>
      </c>
      <c r="CI590" s="638" t="s">
        <v>2268</v>
      </c>
      <c r="CK590" s="48" t="s">
        <v>2300</v>
      </c>
      <c r="CL590" s="750" t="s">
        <v>2303</v>
      </c>
    </row>
    <row r="591" spans="1:105" ht="12" customHeight="1" x14ac:dyDescent="0.2">
      <c r="A591" s="651"/>
      <c r="B591" s="537" t="s">
        <v>2543</v>
      </c>
      <c r="C591" s="551" t="s">
        <v>70</v>
      </c>
      <c r="D591" s="527" t="s">
        <v>1125</v>
      </c>
      <c r="E591" s="48" t="s">
        <v>2544</v>
      </c>
      <c r="F591" s="647" t="s">
        <v>2545</v>
      </c>
      <c r="G591" s="479">
        <v>0</v>
      </c>
      <c r="H591" s="478"/>
      <c r="I591" s="2">
        <v>2009</v>
      </c>
      <c r="J591" s="72">
        <v>2009</v>
      </c>
      <c r="K591" s="72">
        <v>2009</v>
      </c>
      <c r="L591" s="493"/>
      <c r="M591" s="98" t="s">
        <v>15</v>
      </c>
      <c r="N591" s="494"/>
      <c r="O591" s="98" t="s">
        <v>2546</v>
      </c>
      <c r="P591" s="98"/>
      <c r="Q591" s="98"/>
      <c r="R591" s="167">
        <v>32.28</v>
      </c>
      <c r="S591" s="167"/>
      <c r="T591" s="167"/>
      <c r="U591" s="393">
        <v>4250</v>
      </c>
      <c r="V591" s="694"/>
      <c r="W591" s="717"/>
      <c r="X591" s="121">
        <f>0*0.2096 + 3.9*0.2473 + 5*0.2252 + 9*0.14 + 12* 0.0955 + 15*(0.0656 + 0.16)</f>
        <v>7.8804700000000008</v>
      </c>
      <c r="Y591" s="442">
        <v>39.46</v>
      </c>
      <c r="Z591" s="446"/>
      <c r="AA591" s="442">
        <f>100*2626/(2626+1429)</f>
        <v>64.759556103575832</v>
      </c>
      <c r="AB591" s="440"/>
      <c r="AC591" s="452">
        <v>31.13</v>
      </c>
      <c r="AD591" s="442"/>
      <c r="AE591" s="442">
        <v>10.42</v>
      </c>
      <c r="AF591" s="446"/>
      <c r="AG591" s="446"/>
      <c r="AH591" s="446"/>
      <c r="AI591" s="446"/>
      <c r="AJ591" s="446"/>
      <c r="AK591" s="442">
        <v>24.16</v>
      </c>
      <c r="AL591" s="446"/>
      <c r="AM591" s="442">
        <v>66.12</v>
      </c>
      <c r="AN591" s="446"/>
      <c r="AO591" s="446"/>
      <c r="AP591" s="446"/>
      <c r="AQ591" s="442">
        <v>65.150000000000006</v>
      </c>
      <c r="AR591" s="446"/>
      <c r="AS591" s="446"/>
      <c r="AT591" s="446"/>
      <c r="AU591" s="442">
        <v>57.81</v>
      </c>
      <c r="AV591" s="446"/>
      <c r="AW591" s="446"/>
      <c r="AX591" s="446"/>
      <c r="AY591" s="440"/>
      <c r="AZ591" s="440"/>
      <c r="BA591" s="442">
        <v>53.95</v>
      </c>
      <c r="BB591" s="446"/>
      <c r="BC591" s="452">
        <v>59.2</v>
      </c>
      <c r="BD591" s="440"/>
      <c r="BE591" s="445"/>
      <c r="BF591" s="445"/>
      <c r="BG591" s="446"/>
      <c r="BH591" s="446"/>
      <c r="BI591" s="442">
        <v>59.2</v>
      </c>
      <c r="BJ591" s="445"/>
      <c r="BK591" s="445"/>
      <c r="BL591" s="445"/>
      <c r="BM591" s="445"/>
      <c r="BN591" s="445"/>
      <c r="BO591" s="445">
        <v>56.56</v>
      </c>
      <c r="BR591" s="444"/>
      <c r="BS591" s="442"/>
      <c r="BT591" s="445"/>
      <c r="BU591" s="445"/>
      <c r="BV591" s="445"/>
      <c r="BW591" s="445"/>
      <c r="BX591" s="573">
        <f>1474/4250</f>
        <v>0.3468235294117647</v>
      </c>
      <c r="BY591" s="854"/>
      <c r="BZ591" s="854"/>
      <c r="CA591" s="854"/>
      <c r="CB591" s="854"/>
      <c r="CC591" s="854"/>
      <c r="CD591" s="854"/>
      <c r="CE591" s="854"/>
      <c r="CF591" s="854"/>
      <c r="CG591" s="98"/>
      <c r="CH591" s="419" t="s">
        <v>2547</v>
      </c>
      <c r="CI591" s="406" t="s">
        <v>2454</v>
      </c>
      <c r="CJ591" s="23"/>
      <c r="CK591" s="641" t="s">
        <v>2548</v>
      </c>
      <c r="CL591" s="693" t="s">
        <v>2549</v>
      </c>
    </row>
    <row r="592" spans="1:105" x14ac:dyDescent="0.2">
      <c r="C592" s="390" t="s">
        <v>70</v>
      </c>
      <c r="D592" s="36" t="s">
        <v>1125</v>
      </c>
      <c r="E592" s="48" t="s">
        <v>2412</v>
      </c>
      <c r="I592" s="749" t="s">
        <v>589</v>
      </c>
      <c r="J592" s="551">
        <v>2009</v>
      </c>
      <c r="U592" s="4">
        <v>405</v>
      </c>
      <c r="V592" s="504"/>
      <c r="BI592" s="775">
        <v>64.5</v>
      </c>
      <c r="BY592" s="861"/>
      <c r="BZ592" s="861"/>
      <c r="CA592" s="861"/>
      <c r="CB592" s="861"/>
      <c r="CC592" s="861"/>
      <c r="CD592" s="861"/>
      <c r="CE592" s="861"/>
      <c r="CF592" s="861"/>
      <c r="CL592" s="750" t="s">
        <v>2413</v>
      </c>
    </row>
    <row r="593" spans="1:105" x14ac:dyDescent="0.2">
      <c r="B593" s="541"/>
      <c r="C593" s="551" t="s">
        <v>70</v>
      </c>
      <c r="D593" s="527" t="s">
        <v>1125</v>
      </c>
      <c r="H593" s="478"/>
      <c r="I593" s="481"/>
      <c r="J593" s="551"/>
      <c r="K593" s="827"/>
      <c r="M593" s="586"/>
      <c r="O593" s="586"/>
      <c r="P593" s="98"/>
      <c r="Q593" s="98"/>
      <c r="V593" s="504"/>
      <c r="X593" s="121"/>
      <c r="Y593" s="454"/>
      <c r="AA593" s="440"/>
      <c r="AB593" s="452"/>
      <c r="AK593" s="452"/>
      <c r="AM593" s="452"/>
      <c r="AN593" s="739"/>
      <c r="AO593" s="452"/>
      <c r="AQ593" s="452"/>
      <c r="AR593" s="739"/>
      <c r="AS593" s="452"/>
      <c r="AU593" s="452"/>
      <c r="AW593" s="452"/>
      <c r="AY593" s="452"/>
      <c r="AZ593" s="452"/>
      <c r="BC593" s="742"/>
      <c r="BD593" s="452"/>
      <c r="BE593" s="452"/>
      <c r="BF593" s="452"/>
      <c r="BI593" s="452"/>
      <c r="BJ593" s="452"/>
      <c r="BK593" s="452"/>
      <c r="BL593" s="452"/>
      <c r="BM593" s="452"/>
      <c r="BN593" s="744"/>
      <c r="BP593" s="447"/>
      <c r="BQ593" s="452"/>
      <c r="BR593" s="452"/>
      <c r="BT593" s="452"/>
      <c r="BV593" s="454"/>
      <c r="BW593" s="452"/>
      <c r="BX593" s="573"/>
      <c r="BY593" s="854"/>
      <c r="BZ593" s="854"/>
      <c r="CA593" s="854"/>
      <c r="CB593" s="854"/>
      <c r="CC593" s="854"/>
      <c r="CD593" s="854"/>
      <c r="CE593" s="854"/>
      <c r="CF593" s="854"/>
      <c r="CG593" s="745"/>
      <c r="CH593" s="424" t="s">
        <v>2414</v>
      </c>
      <c r="CI593" s="638"/>
      <c r="CL593" s="750" t="s">
        <v>2415</v>
      </c>
    </row>
    <row r="594" spans="1:105" x14ac:dyDescent="0.2">
      <c r="B594" s="541"/>
      <c r="C594" s="551" t="s">
        <v>70</v>
      </c>
      <c r="D594" s="527" t="s">
        <v>1125</v>
      </c>
      <c r="E594" s="48" t="s">
        <v>1884</v>
      </c>
      <c r="H594" s="478"/>
      <c r="I594" s="481" t="s">
        <v>2432</v>
      </c>
      <c r="J594" s="551"/>
      <c r="K594" s="827"/>
      <c r="M594" s="586"/>
      <c r="O594" s="586"/>
      <c r="P594" s="98"/>
      <c r="Q594" s="98"/>
      <c r="U594" s="4">
        <v>114</v>
      </c>
      <c r="V594" s="504"/>
      <c r="X594" s="121"/>
      <c r="Y594" s="454"/>
      <c r="AA594" s="440"/>
      <c r="AB594" s="452"/>
      <c r="AK594" s="452"/>
      <c r="AM594" s="452"/>
      <c r="AN594" s="739"/>
      <c r="AO594" s="452"/>
      <c r="AQ594" s="452"/>
      <c r="AR594" s="739"/>
      <c r="AS594" s="452"/>
      <c r="AU594" s="452"/>
      <c r="AW594" s="452"/>
      <c r="AY594" s="452"/>
      <c r="AZ594" s="452"/>
      <c r="BC594" s="742"/>
      <c r="BD594" s="452"/>
      <c r="BE594" s="452"/>
      <c r="BF594" s="452"/>
      <c r="BI594" s="452"/>
      <c r="BJ594" s="452"/>
      <c r="BK594" s="452"/>
      <c r="BL594" s="452"/>
      <c r="BM594" s="452"/>
      <c r="BN594" s="744"/>
      <c r="BP594" s="447"/>
      <c r="BQ594" s="452"/>
      <c r="BR594" s="452"/>
      <c r="BT594" s="452"/>
      <c r="BV594" s="454"/>
      <c r="BW594" s="452"/>
      <c r="BX594" s="573"/>
      <c r="BY594" s="854"/>
      <c r="BZ594" s="854"/>
      <c r="CA594" s="854"/>
      <c r="CB594" s="854"/>
      <c r="CC594" s="854"/>
      <c r="CD594" s="854"/>
      <c r="CE594" s="854"/>
      <c r="CF594" s="854"/>
      <c r="CG594" s="745"/>
      <c r="CH594" s="424" t="s">
        <v>2434</v>
      </c>
      <c r="CI594" s="638"/>
      <c r="CL594" s="750" t="s">
        <v>2433</v>
      </c>
    </row>
    <row r="595" spans="1:105" s="97" customFormat="1" ht="12" customHeight="1" x14ac:dyDescent="0.2">
      <c r="A595" s="652"/>
      <c r="B595" s="558" t="s">
        <v>2435</v>
      </c>
      <c r="C595" s="97" t="s">
        <v>70</v>
      </c>
      <c r="D595" s="237" t="s">
        <v>1125</v>
      </c>
      <c r="E595" s="647" t="s">
        <v>1650</v>
      </c>
      <c r="F595" s="647" t="s">
        <v>1759</v>
      </c>
      <c r="G595" s="479"/>
      <c r="H595" s="478"/>
      <c r="I595" s="481">
        <v>2010</v>
      </c>
      <c r="J595" s="551"/>
      <c r="K595" s="827">
        <v>2013</v>
      </c>
      <c r="L595" s="493"/>
      <c r="M595" s="479"/>
      <c r="N595" s="494"/>
      <c r="O595" s="479"/>
      <c r="P595" s="98"/>
      <c r="Q595" s="98"/>
      <c r="R595" s="167"/>
      <c r="S595" s="167"/>
      <c r="T595" s="167"/>
      <c r="U595" s="393">
        <v>200</v>
      </c>
      <c r="V595" s="694"/>
      <c r="W595" s="717"/>
      <c r="X595" s="121"/>
      <c r="Y595" s="442"/>
      <c r="Z595" s="473"/>
      <c r="AA595" s="442"/>
      <c r="AC595" s="446"/>
      <c r="AD595" s="446"/>
      <c r="AE595" s="446"/>
      <c r="AF595" s="446"/>
      <c r="AG595" s="446"/>
      <c r="AH595" s="446"/>
      <c r="AI595" s="447"/>
      <c r="AJ595" s="447"/>
      <c r="AK595" s="447"/>
      <c r="AL595" s="447"/>
      <c r="AM595" s="442"/>
      <c r="AN595" s="453"/>
      <c r="AO595" s="442"/>
      <c r="AP595" s="442"/>
      <c r="AQ595" s="446"/>
      <c r="AR595" s="468"/>
      <c r="AS595" s="446"/>
      <c r="AT595" s="472"/>
      <c r="AU595" s="447"/>
      <c r="AV595" s="468"/>
      <c r="AW595" s="447"/>
      <c r="AX595" s="447"/>
      <c r="AY595" s="468"/>
      <c r="AZ595" s="468"/>
      <c r="BA595" s="472"/>
      <c r="BB595" s="472"/>
      <c r="BC595" s="447"/>
      <c r="BD595" s="468"/>
      <c r="BE595" s="453"/>
      <c r="BF595" s="453"/>
      <c r="BG595" s="468"/>
      <c r="BH595" s="468"/>
      <c r="BI595" s="42"/>
      <c r="BJ595" s="453"/>
      <c r="BK595" s="453"/>
      <c r="BL595" s="453"/>
      <c r="BM595" s="42"/>
      <c r="BO595" s="442"/>
      <c r="BP595" s="442"/>
      <c r="BR595" s="472"/>
      <c r="BS595" s="442"/>
      <c r="BT595" s="472"/>
      <c r="BU595" s="472"/>
      <c r="BV595" s="559"/>
      <c r="BW595" s="559"/>
      <c r="BX595" s="573"/>
      <c r="BY595" s="854"/>
      <c r="BZ595" s="854"/>
      <c r="CA595" s="854"/>
      <c r="CB595" s="854"/>
      <c r="CC595" s="854"/>
      <c r="CD595" s="854"/>
      <c r="CE595" s="854"/>
      <c r="CF595" s="854"/>
      <c r="CG595" s="98"/>
      <c r="CH595" s="556" t="s">
        <v>2436</v>
      </c>
      <c r="CI595" s="406"/>
      <c r="CJ595" s="98"/>
      <c r="CK595" s="681"/>
      <c r="CL595" s="776" t="s">
        <v>2437</v>
      </c>
      <c r="CM595" s="647"/>
      <c r="CR595" s="638"/>
      <c r="CS595" s="647"/>
      <c r="CU595" s="98"/>
      <c r="CV595" s="98"/>
      <c r="CW595" s="98"/>
      <c r="CX595" s="98"/>
      <c r="DA595" s="647"/>
    </row>
    <row r="596" spans="1:105" x14ac:dyDescent="0.2">
      <c r="B596" s="541" t="s">
        <v>2488</v>
      </c>
      <c r="C596" s="97" t="s">
        <v>70</v>
      </c>
      <c r="D596" s="237" t="s">
        <v>1125</v>
      </c>
      <c r="E596" s="48" t="s">
        <v>1752</v>
      </c>
      <c r="F596" s="48" t="s">
        <v>2492</v>
      </c>
      <c r="H596" s="478">
        <v>2</v>
      </c>
      <c r="I596" s="481">
        <v>2013</v>
      </c>
      <c r="J596" s="551">
        <v>2013</v>
      </c>
      <c r="K596" s="827">
        <v>2014</v>
      </c>
      <c r="M596" s="586" t="s">
        <v>15</v>
      </c>
      <c r="O596" s="586" t="s">
        <v>2490</v>
      </c>
      <c r="P596" s="98">
        <v>15</v>
      </c>
      <c r="Q596" s="98">
        <v>19</v>
      </c>
      <c r="R596" s="3">
        <f>15.5*0.477 + 18*0.523</f>
        <v>16.807499999999997</v>
      </c>
      <c r="U596" s="4">
        <v>30</v>
      </c>
      <c r="V596" s="504"/>
      <c r="W596" s="630" t="s">
        <v>2491</v>
      </c>
      <c r="X596" s="121">
        <f>4*0.253 + 10*0.574 + 15*0.173</f>
        <v>9.3469999999999978</v>
      </c>
      <c r="Y596" s="454"/>
      <c r="AA596" s="440"/>
      <c r="AB596" s="452"/>
      <c r="AK596" s="452"/>
      <c r="AL596" s="452">
        <v>2.5</v>
      </c>
      <c r="AN596" s="452">
        <v>5.2</v>
      </c>
      <c r="AO596" s="452"/>
      <c r="AQ596" s="452"/>
      <c r="AR596" s="452">
        <v>5.2</v>
      </c>
      <c r="AS596" s="452"/>
      <c r="AT596" s="440">
        <v>1</v>
      </c>
      <c r="AU596" s="452"/>
      <c r="AV596" s="452">
        <v>0.5</v>
      </c>
      <c r="AW596" s="452"/>
      <c r="AX596" s="452">
        <v>2.1</v>
      </c>
      <c r="AY596" s="452"/>
      <c r="AZ596" s="452"/>
      <c r="BC596" s="742"/>
      <c r="BD596" s="452"/>
      <c r="BE596" s="452"/>
      <c r="BF596" s="452"/>
      <c r="BG596" s="452"/>
      <c r="BH596" s="452"/>
      <c r="BI596" s="452"/>
      <c r="BJ596" s="452">
        <v>16.600000000000001</v>
      </c>
      <c r="BK596" s="452"/>
      <c r="BL596" s="452"/>
      <c r="BM596" s="452"/>
      <c r="BN596" s="452">
        <v>7.2</v>
      </c>
      <c r="BP596" s="447"/>
      <c r="BQ596" s="452"/>
      <c r="BR596" s="452">
        <v>19.399999999999999</v>
      </c>
      <c r="BT596" s="452"/>
      <c r="BU596" s="440">
        <v>12</v>
      </c>
      <c r="BV596" s="454">
        <v>0</v>
      </c>
      <c r="BW596" s="452"/>
      <c r="BX596" s="573"/>
      <c r="BY596" s="854"/>
      <c r="BZ596" s="854"/>
      <c r="CA596" s="854"/>
      <c r="CB596" s="854"/>
      <c r="CC596" s="854"/>
      <c r="CD596" s="854"/>
      <c r="CE596" s="854"/>
      <c r="CF596" s="854"/>
      <c r="CG596" s="745"/>
      <c r="CH596" s="424" t="s">
        <v>2489</v>
      </c>
      <c r="CI596" s="638" t="s">
        <v>2480</v>
      </c>
      <c r="CK596" s="48" t="s">
        <v>2494</v>
      </c>
      <c r="CL596" s="750" t="s">
        <v>2493</v>
      </c>
    </row>
    <row r="597" spans="1:105" s="97" customFormat="1" ht="12" customHeight="1" x14ac:dyDescent="0.2">
      <c r="A597" s="652"/>
      <c r="B597" s="558" t="s">
        <v>2038</v>
      </c>
      <c r="C597" s="390" t="s">
        <v>70</v>
      </c>
      <c r="D597" s="237" t="s">
        <v>1125</v>
      </c>
      <c r="E597" s="647" t="s">
        <v>1650</v>
      </c>
      <c r="F597" s="647" t="s">
        <v>1541</v>
      </c>
      <c r="G597" s="479">
        <v>0</v>
      </c>
      <c r="H597" s="186"/>
      <c r="I597" s="166">
        <v>2005</v>
      </c>
      <c r="J597" s="571">
        <v>2005</v>
      </c>
      <c r="K597" s="571">
        <v>2007</v>
      </c>
      <c r="L597" s="494"/>
      <c r="M597" s="247" t="s">
        <v>17</v>
      </c>
      <c r="N597" s="494" t="s">
        <v>783</v>
      </c>
      <c r="O597" s="479" t="s">
        <v>2082</v>
      </c>
      <c r="P597" s="98">
        <v>15</v>
      </c>
      <c r="Q597" s="247">
        <v>30</v>
      </c>
      <c r="R597" s="291">
        <f>17.5*0.41 + 23*0.43 + 28*0.16</f>
        <v>21.545000000000002</v>
      </c>
      <c r="S597" s="291"/>
      <c r="T597" s="291"/>
      <c r="U597" s="394">
        <v>245</v>
      </c>
      <c r="V597" s="727"/>
      <c r="W597" s="722" t="s">
        <v>2081</v>
      </c>
      <c r="X597" s="277">
        <f>4.5*0.62 + 12*0.38</f>
        <v>7.3500000000000005</v>
      </c>
      <c r="Y597" s="442"/>
      <c r="Z597" s="442"/>
      <c r="AA597" s="442">
        <v>69</v>
      </c>
      <c r="AB597" s="442"/>
      <c r="AC597" s="442"/>
      <c r="AD597" s="442"/>
      <c r="AE597" s="442"/>
      <c r="AF597" s="442"/>
      <c r="AG597" s="442"/>
      <c r="AH597" s="442"/>
      <c r="AI597" s="442"/>
      <c r="AJ597" s="442"/>
      <c r="AK597" s="442"/>
      <c r="AL597" s="442"/>
      <c r="AM597" s="442"/>
      <c r="AN597" s="442"/>
      <c r="AO597" s="442"/>
      <c r="AP597" s="442"/>
      <c r="AQ597" s="442"/>
      <c r="AR597" s="442"/>
      <c r="AS597" s="442"/>
      <c r="AT597" s="442"/>
      <c r="AU597" s="442"/>
      <c r="AV597" s="509"/>
      <c r="AW597" s="442"/>
      <c r="AX597" s="442"/>
      <c r="AY597" s="466"/>
      <c r="AZ597" s="466"/>
      <c r="BA597" s="442"/>
      <c r="BB597" s="442"/>
      <c r="BC597" s="442"/>
      <c r="BD597" s="466"/>
      <c r="BE597" s="453"/>
      <c r="BF597" s="453"/>
      <c r="BG597" s="509"/>
      <c r="BH597" s="509"/>
      <c r="BI597" s="442">
        <v>29</v>
      </c>
      <c r="BJ597" s="453">
        <v>19</v>
      </c>
      <c r="BK597" s="453"/>
      <c r="BL597" s="453"/>
      <c r="BM597" s="442">
        <v>1</v>
      </c>
      <c r="BN597" s="442"/>
      <c r="BO597" s="442"/>
      <c r="BP597" s="442"/>
      <c r="BQ597" s="446"/>
      <c r="BR597" s="446"/>
      <c r="BS597" s="442"/>
      <c r="BT597" s="442"/>
      <c r="BU597" s="442">
        <v>9</v>
      </c>
      <c r="BV597" s="442">
        <v>0</v>
      </c>
      <c r="BW597" s="442"/>
      <c r="BX597" s="736"/>
      <c r="BY597" s="854"/>
      <c r="BZ597" s="854"/>
      <c r="CA597" s="854"/>
      <c r="CB597" s="854"/>
      <c r="CC597" s="854"/>
      <c r="CD597" s="854"/>
      <c r="CE597" s="854"/>
      <c r="CF597" s="854"/>
      <c r="CH597" s="556" t="s">
        <v>2343</v>
      </c>
      <c r="CI597" s="638" t="s">
        <v>2337</v>
      </c>
      <c r="CJ597" s="98"/>
      <c r="CK597" s="681" t="s">
        <v>2080</v>
      </c>
      <c r="CL597" s="776" t="s">
        <v>2651</v>
      </c>
      <c r="CM597" s="647"/>
      <c r="CR597" s="638"/>
      <c r="CS597" s="647"/>
      <c r="CU597" s="98"/>
      <c r="CV597" s="98"/>
      <c r="CW597" s="98"/>
      <c r="CX597" s="98"/>
      <c r="DA597" s="647"/>
    </row>
    <row r="598" spans="1:105" x14ac:dyDescent="0.2">
      <c r="B598" s="541" t="s">
        <v>2422</v>
      </c>
      <c r="C598" s="390" t="s">
        <v>70</v>
      </c>
      <c r="D598" s="36" t="s">
        <v>1125</v>
      </c>
      <c r="E598" s="647" t="s">
        <v>14</v>
      </c>
      <c r="F598" s="434" t="s">
        <v>2420</v>
      </c>
      <c r="H598" s="478"/>
      <c r="I598" s="481">
        <v>2009</v>
      </c>
      <c r="J598" s="740">
        <v>2009</v>
      </c>
      <c r="K598" s="827">
        <v>2014</v>
      </c>
      <c r="M598" s="586" t="s">
        <v>18</v>
      </c>
      <c r="R598" s="3">
        <v>30</v>
      </c>
      <c r="U598" s="4">
        <v>951</v>
      </c>
      <c r="V598" s="504"/>
      <c r="X598" s="121"/>
      <c r="Y598" s="454"/>
      <c r="AA598" s="440">
        <v>49</v>
      </c>
      <c r="AK598" s="452"/>
      <c r="AM598" s="452">
        <f>42</f>
        <v>42</v>
      </c>
      <c r="AN598" s="739"/>
      <c r="AO598" s="452"/>
      <c r="AQ598" s="452"/>
      <c r="AR598" s="739"/>
      <c r="AS598" s="452">
        <f>31</f>
        <v>31</v>
      </c>
      <c r="AU598" s="452">
        <f>16</f>
        <v>16</v>
      </c>
      <c r="AW598" s="452"/>
      <c r="AY598" s="739"/>
      <c r="AZ598" s="739"/>
      <c r="BC598" s="452"/>
      <c r="BD598" s="739"/>
      <c r="BE598" s="739"/>
      <c r="BF598" s="739"/>
      <c r="BI598" s="452">
        <v>57</v>
      </c>
      <c r="BJ598" s="739"/>
      <c r="BK598" s="739"/>
      <c r="BL598" s="739"/>
      <c r="BM598" s="452">
        <v>65</v>
      </c>
      <c r="BO598" s="452">
        <v>32</v>
      </c>
      <c r="BQ598" s="440">
        <v>25</v>
      </c>
      <c r="BV598" s="440">
        <v>0</v>
      </c>
      <c r="BW598" s="452"/>
      <c r="BX598" s="573"/>
      <c r="BY598" s="854"/>
      <c r="BZ598" s="854"/>
      <c r="CA598" s="854"/>
      <c r="CB598" s="854"/>
      <c r="CC598" s="854"/>
      <c r="CD598" s="854"/>
      <c r="CE598" s="854"/>
      <c r="CF598" s="854"/>
      <c r="CH598" s="424" t="s">
        <v>2421</v>
      </c>
      <c r="CI598" s="638" t="s">
        <v>2403</v>
      </c>
      <c r="CK598" s="48" t="s">
        <v>2425</v>
      </c>
      <c r="CL598" s="750" t="s">
        <v>2520</v>
      </c>
    </row>
    <row r="599" spans="1:105" x14ac:dyDescent="0.2">
      <c r="B599" s="537" t="s">
        <v>2575</v>
      </c>
      <c r="C599" s="551" t="s">
        <v>70</v>
      </c>
      <c r="D599" s="527" t="s">
        <v>1125</v>
      </c>
      <c r="E599" s="647" t="s">
        <v>2570</v>
      </c>
      <c r="F599" s="48" t="s">
        <v>2576</v>
      </c>
      <c r="G599" s="1">
        <v>0</v>
      </c>
      <c r="H599" s="478">
        <v>6</v>
      </c>
      <c r="I599" s="740">
        <v>2013</v>
      </c>
      <c r="J599" s="827">
        <v>2013</v>
      </c>
      <c r="K599" s="827">
        <v>2015</v>
      </c>
      <c r="M599" s="586" t="s">
        <v>17</v>
      </c>
      <c r="O599" s="586" t="s">
        <v>2571</v>
      </c>
      <c r="P599" s="1">
        <v>18</v>
      </c>
      <c r="Q599" s="586"/>
      <c r="R599" s="3">
        <f>23*0.328 + 33.5*0.319 + 43.5*0.191 + 53.5*0.085 + 63.5*0.051 + 73.5*0.018 + 83.5*0.008</f>
        <v>36.316000000000003</v>
      </c>
      <c r="U599" s="4">
        <v>1200</v>
      </c>
      <c r="V599" s="504"/>
      <c r="X599" s="121">
        <f>0*0.305 + 3.9*0.158 + 9*0.135 + 12*0.259 + 15*0.143</f>
        <v>7.0841999999999992</v>
      </c>
      <c r="Y599" s="454"/>
      <c r="AB599" s="452"/>
      <c r="AC599" s="452">
        <v>81.8</v>
      </c>
      <c r="AK599" s="452"/>
      <c r="AM599" s="452">
        <v>73.3</v>
      </c>
      <c r="AN599" s="739"/>
      <c r="AO599" s="452"/>
      <c r="AQ599" s="452">
        <v>22.4</v>
      </c>
      <c r="AR599" s="739"/>
      <c r="AS599" s="452">
        <v>44.9</v>
      </c>
      <c r="AU599" s="452">
        <v>48.9</v>
      </c>
      <c r="AW599" s="452"/>
      <c r="AY599" s="452">
        <v>43.3</v>
      </c>
      <c r="AZ599" s="739"/>
      <c r="BD599" s="739"/>
      <c r="BE599" s="739"/>
      <c r="BF599" s="739"/>
      <c r="BG599" s="452">
        <v>8.3000000000000007</v>
      </c>
      <c r="BI599" s="452">
        <v>83.7</v>
      </c>
      <c r="BJ599" s="739"/>
      <c r="BK599" s="452">
        <v>48</v>
      </c>
      <c r="BL599" s="739"/>
      <c r="BM599" s="452">
        <v>34.1</v>
      </c>
      <c r="BO599" s="38">
        <v>11.6</v>
      </c>
      <c r="BQ599" s="452"/>
      <c r="BR599" s="452"/>
      <c r="BV599" s="440">
        <v>1</v>
      </c>
      <c r="BW599" s="452"/>
      <c r="BX599" s="573">
        <v>0.113</v>
      </c>
      <c r="BY599" s="854"/>
      <c r="BZ599" s="854"/>
      <c r="CA599" s="854"/>
      <c r="CB599" s="854"/>
      <c r="CC599" s="854"/>
      <c r="CD599" s="854"/>
      <c r="CE599" s="854"/>
      <c r="CF599" s="854"/>
      <c r="CH599" s="424" t="s">
        <v>2578</v>
      </c>
      <c r="CI599" s="638" t="s">
        <v>2577</v>
      </c>
      <c r="CK599" s="48" t="s">
        <v>2579</v>
      </c>
      <c r="CL599" s="750" t="s">
        <v>2612</v>
      </c>
    </row>
    <row r="600" spans="1:105" x14ac:dyDescent="0.2">
      <c r="B600" s="541" t="s">
        <v>2416</v>
      </c>
      <c r="C600" s="390" t="s">
        <v>70</v>
      </c>
      <c r="D600" s="36" t="s">
        <v>1125</v>
      </c>
      <c r="E600" s="647" t="s">
        <v>14</v>
      </c>
      <c r="F600" s="434" t="s">
        <v>2420</v>
      </c>
      <c r="H600" s="478"/>
      <c r="I600" s="481">
        <v>2013</v>
      </c>
      <c r="J600" s="551">
        <v>2013</v>
      </c>
      <c r="K600" s="827">
        <v>2014</v>
      </c>
      <c r="M600" s="586" t="s">
        <v>18</v>
      </c>
      <c r="R600" s="3">
        <v>30</v>
      </c>
      <c r="U600" s="4">
        <v>1960</v>
      </c>
      <c r="V600" s="504"/>
      <c r="X600" s="121"/>
      <c r="Y600" s="454"/>
      <c r="AK600" s="452"/>
      <c r="AW600" s="452"/>
      <c r="AY600" s="739"/>
      <c r="AZ600" s="739"/>
      <c r="BC600" s="452"/>
      <c r="BD600" s="739"/>
      <c r="BE600" s="739"/>
      <c r="BF600" s="739"/>
      <c r="BI600" s="452"/>
      <c r="BJ600" s="739"/>
      <c r="BK600" s="739"/>
      <c r="BL600" s="739"/>
      <c r="BM600" s="452">
        <v>65</v>
      </c>
      <c r="BO600" s="452"/>
      <c r="BV600" s="440">
        <v>0</v>
      </c>
      <c r="BW600" s="452"/>
      <c r="BX600" s="573"/>
      <c r="BY600" s="854"/>
      <c r="BZ600" s="854"/>
      <c r="CA600" s="854"/>
      <c r="CB600" s="854"/>
      <c r="CC600" s="854"/>
      <c r="CD600" s="854"/>
      <c r="CE600" s="854"/>
      <c r="CF600" s="854"/>
      <c r="CH600" s="424" t="s">
        <v>2423</v>
      </c>
      <c r="CI600" s="638" t="s">
        <v>2403</v>
      </c>
      <c r="CK600" s="48" t="s">
        <v>2424</v>
      </c>
      <c r="CL600" s="750" t="s">
        <v>2613</v>
      </c>
    </row>
    <row r="601" spans="1:105" s="35" customFormat="1" ht="12" customHeight="1" x14ac:dyDescent="0.2">
      <c r="A601" s="651"/>
      <c r="B601" s="537" t="s">
        <v>2097</v>
      </c>
      <c r="C601" s="390" t="s">
        <v>70</v>
      </c>
      <c r="D601" s="36" t="s">
        <v>1125</v>
      </c>
      <c r="E601" s="647" t="s">
        <v>1650</v>
      </c>
      <c r="F601" s="647" t="s">
        <v>2098</v>
      </c>
      <c r="G601" s="237">
        <v>0</v>
      </c>
      <c r="H601" s="186">
        <v>2</v>
      </c>
      <c r="I601" s="37">
        <v>2010</v>
      </c>
      <c r="J601" s="551">
        <v>2010</v>
      </c>
      <c r="K601" s="551">
        <v>2014</v>
      </c>
      <c r="L601" s="493"/>
      <c r="M601" s="98" t="s">
        <v>18</v>
      </c>
      <c r="N601" s="494" t="s">
        <v>783</v>
      </c>
      <c r="O601" s="166"/>
      <c r="P601" s="98"/>
      <c r="Q601" s="98"/>
      <c r="R601" s="121">
        <v>34.700000000000003</v>
      </c>
      <c r="S601" s="121"/>
      <c r="T601" s="121"/>
      <c r="U601" s="393">
        <v>100</v>
      </c>
      <c r="V601" s="694"/>
      <c r="W601" s="717" t="s">
        <v>2102</v>
      </c>
      <c r="X601" s="121">
        <f>0*0.35 + 3.9*0.28 + 9.1*0.24 + 15.2*0.12</f>
        <v>5.0999999999999996</v>
      </c>
      <c r="Y601" s="442"/>
      <c r="Z601" s="473"/>
      <c r="AA601" s="442"/>
      <c r="AC601" s="446"/>
      <c r="AD601" s="446"/>
      <c r="AE601" s="446"/>
      <c r="AF601" s="446"/>
      <c r="AG601" s="446"/>
      <c r="AH601" s="446"/>
      <c r="AI601" s="447"/>
      <c r="AJ601" s="447"/>
      <c r="AK601" s="447"/>
      <c r="AL601" s="447"/>
      <c r="AM601" s="442">
        <v>23</v>
      </c>
      <c r="AN601" s="442">
        <v>5</v>
      </c>
      <c r="AO601" s="442"/>
      <c r="AP601" s="442"/>
      <c r="AQ601" s="442">
        <f>29 + 25 -(29*25/100)</f>
        <v>46.75</v>
      </c>
      <c r="AR601" s="446">
        <f>9+5</f>
        <v>14</v>
      </c>
      <c r="AS601" s="446">
        <v>24</v>
      </c>
      <c r="AT601" s="271">
        <v>4</v>
      </c>
      <c r="AU601" s="447">
        <v>29</v>
      </c>
      <c r="AV601" s="447">
        <v>4</v>
      </c>
      <c r="AW601" s="447">
        <v>1</v>
      </c>
      <c r="AX601" s="447">
        <v>1</v>
      </c>
      <c r="AY601" s="447"/>
      <c r="AZ601" s="447"/>
      <c r="BA601" s="271"/>
      <c r="BB601" s="271"/>
      <c r="BC601" s="447"/>
      <c r="BD601" s="447"/>
      <c r="BE601" s="442"/>
      <c r="BF601" s="442"/>
      <c r="BG601" s="447"/>
      <c r="BH601" s="447"/>
      <c r="BI601" s="38">
        <v>44</v>
      </c>
      <c r="BJ601" s="442"/>
      <c r="BK601" s="442"/>
      <c r="BL601" s="442"/>
      <c r="BM601" s="38"/>
      <c r="BN601" s="442">
        <v>9</v>
      </c>
      <c r="BO601" s="442"/>
      <c r="BR601" s="271"/>
      <c r="BS601" s="442"/>
      <c r="BT601" s="271"/>
      <c r="BU601" s="271">
        <v>12</v>
      </c>
      <c r="BV601" s="454">
        <v>0</v>
      </c>
      <c r="BW601" s="454"/>
      <c r="BX601" s="573"/>
      <c r="BY601" s="854"/>
      <c r="BZ601" s="854"/>
      <c r="CA601" s="854"/>
      <c r="CB601" s="854">
        <v>0.24</v>
      </c>
      <c r="CC601" s="854"/>
      <c r="CD601" s="854"/>
      <c r="CE601" s="854"/>
      <c r="CF601" s="854">
        <f>0.18+0.6</f>
        <v>0.78</v>
      </c>
      <c r="CG601" s="98"/>
      <c r="CH601" s="419" t="s">
        <v>2100</v>
      </c>
      <c r="CI601" s="638" t="s">
        <v>2101</v>
      </c>
      <c r="CJ601" s="23"/>
      <c r="CK601" s="641" t="s">
        <v>2099</v>
      </c>
      <c r="CL601" s="693" t="s">
        <v>2615</v>
      </c>
      <c r="CM601" s="648"/>
      <c r="CR601" s="406"/>
      <c r="CS601" s="648"/>
      <c r="CU601" s="23"/>
      <c r="CV601" s="23"/>
      <c r="CW601" s="23"/>
      <c r="CX601" s="23"/>
      <c r="DA601" s="648"/>
    </row>
    <row r="602" spans="1:105" x14ac:dyDescent="0.2">
      <c r="B602" s="541" t="s">
        <v>2270</v>
      </c>
      <c r="C602" s="390" t="s">
        <v>70</v>
      </c>
      <c r="D602" s="36" t="s">
        <v>1125</v>
      </c>
      <c r="E602" s="48" t="s">
        <v>1652</v>
      </c>
      <c r="F602" s="48" t="s">
        <v>2271</v>
      </c>
      <c r="H602" s="478"/>
      <c r="I602" s="481">
        <v>2011</v>
      </c>
      <c r="J602" s="551"/>
      <c r="K602" s="551">
        <v>2014</v>
      </c>
      <c r="M602" s="586" t="s">
        <v>18</v>
      </c>
      <c r="O602" s="98" t="s">
        <v>19</v>
      </c>
      <c r="P602" s="98">
        <v>15</v>
      </c>
      <c r="Q602" s="98">
        <v>49</v>
      </c>
      <c r="R602" s="3">
        <v>30.13</v>
      </c>
      <c r="U602" s="4">
        <v>455</v>
      </c>
      <c r="V602" s="504"/>
      <c r="W602" s="630" t="s">
        <v>2272</v>
      </c>
      <c r="X602" s="121"/>
      <c r="Y602" s="454">
        <f>(95.2*168 + 96*124)/455</f>
        <v>61.31340659340659</v>
      </c>
      <c r="AA602" s="452">
        <f>100*(168+124)/455</f>
        <v>64.175824175824175</v>
      </c>
      <c r="AB602" s="452">
        <f>100*(137 + 99)/455</f>
        <v>51.868131868131869</v>
      </c>
      <c r="AC602" s="452">
        <f>(98.9*168 + 88.7*124)/455</f>
        <v>60.690109890109888</v>
      </c>
      <c r="AE602" s="452">
        <f>(49.4*168 + 27.3*124)/455</f>
        <v>25.68</v>
      </c>
      <c r="AK602" s="452">
        <f>(47.1*116 + 16.4*73)/(455)</f>
        <v>14.639120879120879</v>
      </c>
      <c r="AM602" s="452">
        <f>(97.4*116 + 87.7*73)/(455)</f>
        <v>38.902197802197804</v>
      </c>
      <c r="AO602" s="452"/>
      <c r="AQ602" s="452"/>
      <c r="AS602" s="452"/>
      <c r="AU602" s="452">
        <f>(70.7*116 + 64.4*73)/(455)</f>
        <v>28.356923076923081</v>
      </c>
      <c r="AW602" s="452">
        <f>((36.2+1.7)*116 + (16.4+4.1)*73)/(455)</f>
        <v>12.951428571428572</v>
      </c>
      <c r="AY602" s="452">
        <f>(72.4*116 + 61.6*73)/(455)</f>
        <v>28.341098901098903</v>
      </c>
      <c r="BC602" s="452">
        <f>(99.1*116 + 91.8*73)/(455)</f>
        <v>39.99340659340659</v>
      </c>
      <c r="BE602" s="739"/>
      <c r="BF602" s="739"/>
      <c r="BI602" s="452">
        <f>100*(116 + 73)/455</f>
        <v>41.53846153846154</v>
      </c>
      <c r="BJ602" s="452">
        <f>100*(83+52)/455</f>
        <v>29.670329670329672</v>
      </c>
      <c r="BK602" s="452">
        <f>100*(122+64)/455</f>
        <v>40.879120879120876</v>
      </c>
      <c r="BL602" s="452">
        <f>100*(98+49)/455</f>
        <v>32.307692307692307</v>
      </c>
      <c r="BM602" s="452">
        <f>100*(23 + 14)/455</f>
        <v>8.1318681318681314</v>
      </c>
      <c r="BN602" s="452">
        <f>100*(21+12)/455</f>
        <v>7.2527472527472527</v>
      </c>
      <c r="BO602" s="452"/>
      <c r="BQ602" s="452"/>
      <c r="BU602" s="440">
        <v>12</v>
      </c>
      <c r="BV602" s="440">
        <v>1</v>
      </c>
      <c r="BW602" s="452">
        <f>100*(164+93)/(169+124)</f>
        <v>87.713310580204777</v>
      </c>
      <c r="BX602" s="573"/>
      <c r="BY602" s="854"/>
      <c r="BZ602" s="854"/>
      <c r="CA602" s="854"/>
      <c r="CB602" s="854"/>
      <c r="CC602" s="854"/>
      <c r="CD602" s="854"/>
      <c r="CE602" s="854"/>
      <c r="CF602" s="854"/>
      <c r="CH602" s="424" t="s">
        <v>2274</v>
      </c>
      <c r="CI602" s="638" t="s">
        <v>2204</v>
      </c>
      <c r="CK602" s="48" t="s">
        <v>2273</v>
      </c>
      <c r="CL602" s="750" t="s">
        <v>2616</v>
      </c>
      <c r="CM602" s="26" t="s">
        <v>2525</v>
      </c>
    </row>
    <row r="603" spans="1:105" s="35" customFormat="1" ht="12" customHeight="1" x14ac:dyDescent="0.2">
      <c r="A603" s="651"/>
      <c r="B603" s="537" t="s">
        <v>2253</v>
      </c>
      <c r="C603" s="97" t="s">
        <v>70</v>
      </c>
      <c r="D603" s="237" t="s">
        <v>1125</v>
      </c>
      <c r="E603" s="48" t="s">
        <v>212</v>
      </c>
      <c r="F603" s="647" t="s">
        <v>2244</v>
      </c>
      <c r="G603" s="479"/>
      <c r="H603" s="478"/>
      <c r="I603" s="481">
        <v>2011</v>
      </c>
      <c r="J603" s="551"/>
      <c r="K603" s="551">
        <v>2014</v>
      </c>
      <c r="L603" s="677"/>
      <c r="M603" s="479" t="s">
        <v>18</v>
      </c>
      <c r="N603" s="493"/>
      <c r="O603" s="98" t="s">
        <v>2254</v>
      </c>
      <c r="P603" s="98">
        <v>16</v>
      </c>
      <c r="Q603" s="98">
        <v>40</v>
      </c>
      <c r="R603" s="121">
        <f>(27.37 + 32.4)/2</f>
        <v>29.884999999999998</v>
      </c>
      <c r="S603" s="121"/>
      <c r="T603" s="121"/>
      <c r="U603" s="393">
        <v>60</v>
      </c>
      <c r="V603" s="694"/>
      <c r="W603" s="717"/>
      <c r="X603" s="121">
        <f>0*0.083 + 5*0.2 + 9*0.267 + 12*0.283 + 15*0.1667</f>
        <v>9.2994999999999983</v>
      </c>
      <c r="Y603" s="442"/>
      <c r="Z603" s="473"/>
      <c r="AA603" s="442"/>
      <c r="AB603" s="446"/>
      <c r="AC603" s="446"/>
      <c r="AD603" s="446"/>
      <c r="AE603" s="446"/>
      <c r="AF603" s="446"/>
      <c r="AG603" s="446"/>
      <c r="AH603" s="446"/>
      <c r="AI603" s="447"/>
      <c r="AJ603" s="447"/>
      <c r="AK603" s="447"/>
      <c r="AL603" s="447"/>
      <c r="AM603" s="442"/>
      <c r="AN603" s="442"/>
      <c r="AO603" s="442"/>
      <c r="AP603" s="442"/>
      <c r="AQ603" s="446"/>
      <c r="AR603" s="446"/>
      <c r="AS603" s="446"/>
      <c r="AT603" s="271"/>
      <c r="AU603" s="447"/>
      <c r="AV603" s="447"/>
      <c r="AW603" s="447"/>
      <c r="AX603" s="447"/>
      <c r="AY603" s="447"/>
      <c r="AZ603" s="447"/>
      <c r="BA603" s="271"/>
      <c r="BB603" s="271"/>
      <c r="BC603" s="447"/>
      <c r="BD603" s="447"/>
      <c r="BE603" s="442"/>
      <c r="BF603" s="442"/>
      <c r="BG603" s="447"/>
      <c r="BH603" s="447"/>
      <c r="BI603" s="442"/>
      <c r="BJ603" s="442">
        <f>(1.96 + 2.26)/2</f>
        <v>2.11</v>
      </c>
      <c r="BK603" s="442"/>
      <c r="BL603" s="442"/>
      <c r="BM603" s="442"/>
      <c r="BO603" s="442"/>
      <c r="BP603" s="442"/>
      <c r="BQ603" s="271"/>
      <c r="BR603" s="271"/>
      <c r="BT603" s="454">
        <v>63.33</v>
      </c>
      <c r="BU603" s="271">
        <v>12</v>
      </c>
      <c r="BV603" s="454">
        <v>0</v>
      </c>
      <c r="BW603" s="454"/>
      <c r="BX603" s="573"/>
      <c r="BY603" s="854"/>
      <c r="BZ603" s="854"/>
      <c r="CA603" s="854"/>
      <c r="CB603" s="854"/>
      <c r="CC603" s="854"/>
      <c r="CD603" s="854"/>
      <c r="CE603" s="854"/>
      <c r="CF603" s="854"/>
      <c r="CG603" s="98"/>
      <c r="CH603" s="419" t="s">
        <v>2255</v>
      </c>
      <c r="CI603" s="406" t="s">
        <v>2204</v>
      </c>
      <c r="CJ603" s="23"/>
      <c r="CK603" s="680" t="s">
        <v>2256</v>
      </c>
      <c r="CL603" s="693" t="s">
        <v>2621</v>
      </c>
      <c r="CM603" s="648"/>
      <c r="CR603" s="406"/>
      <c r="CS603" s="648"/>
      <c r="CU603" s="23"/>
      <c r="CV603" s="23"/>
      <c r="CW603" s="23"/>
      <c r="CX603" s="23"/>
      <c r="DA603" s="648"/>
    </row>
    <row r="604" spans="1:105" s="35" customFormat="1" ht="12" customHeight="1" x14ac:dyDescent="0.2">
      <c r="A604" s="651"/>
      <c r="B604" s="537" t="s">
        <v>2515</v>
      </c>
      <c r="C604" s="97" t="s">
        <v>70</v>
      </c>
      <c r="D604" s="169" t="s">
        <v>1125</v>
      </c>
      <c r="E604" s="647" t="s">
        <v>1650</v>
      </c>
      <c r="F604" s="647" t="s">
        <v>1541</v>
      </c>
      <c r="G604" s="237"/>
      <c r="H604" s="186">
        <v>2</v>
      </c>
      <c r="I604" s="533">
        <v>1998</v>
      </c>
      <c r="J604" s="128"/>
      <c r="K604" s="571">
        <v>2001</v>
      </c>
      <c r="L604" s="493"/>
      <c r="M604" s="479" t="s">
        <v>18</v>
      </c>
      <c r="N604" s="493"/>
      <c r="O604" s="98"/>
      <c r="P604" s="98"/>
      <c r="Q604" s="237"/>
      <c r="R604" s="277"/>
      <c r="S604" s="277"/>
      <c r="T604" s="277"/>
      <c r="U604" s="393">
        <v>198</v>
      </c>
      <c r="V604" s="694">
        <v>1</v>
      </c>
      <c r="W604" s="717" t="s">
        <v>2516</v>
      </c>
      <c r="X604" s="277">
        <f>0*0.6 + 3.9*0.117 + 9.1* 0.09 + 15*(0.091+0.116)</f>
        <v>4.3803000000000001</v>
      </c>
      <c r="Y604" s="442">
        <f>36.4+16.7+1.5</f>
        <v>54.599999999999994</v>
      </c>
      <c r="Z604" s="446"/>
      <c r="AA604" s="442">
        <v>48.5</v>
      </c>
      <c r="AB604" s="446"/>
      <c r="AC604" s="446"/>
      <c r="AD604" s="446"/>
      <c r="AE604" s="442">
        <v>39.9</v>
      </c>
      <c r="AF604" s="446"/>
      <c r="AG604" s="446"/>
      <c r="AH604" s="446"/>
      <c r="AI604" s="446"/>
      <c r="AJ604" s="453"/>
      <c r="AK604" s="446"/>
      <c r="AL604" s="446"/>
      <c r="AM604" s="442">
        <f>15.2+14.1+5.1</f>
        <v>34.4</v>
      </c>
      <c r="AN604" s="453"/>
      <c r="AO604" s="442">
        <f>18.7+3.5</f>
        <v>22.2</v>
      </c>
      <c r="AP604" s="453"/>
      <c r="AQ604" s="442">
        <f>19.7 + 9.6 -(19.7*9.6/100)</f>
        <v>27.408799999999996</v>
      </c>
      <c r="AR604" s="446"/>
      <c r="AS604" s="38">
        <f>7.1+2</f>
        <v>9.1</v>
      </c>
      <c r="AU604" s="442">
        <f>19.7+13.1+2.5</f>
        <v>35.299999999999997</v>
      </c>
      <c r="AV604" s="453"/>
      <c r="AW604" s="442">
        <v>2.5</v>
      </c>
      <c r="AX604" s="446"/>
      <c r="AY604" s="453"/>
      <c r="AZ604" s="453"/>
      <c r="BA604" s="446">
        <f>2+2</f>
        <v>4</v>
      </c>
      <c r="BB604" s="453"/>
      <c r="BD604" s="453"/>
      <c r="BE604" s="453"/>
      <c r="BF604" s="453"/>
      <c r="BG604" s="442">
        <v>1.5</v>
      </c>
      <c r="BH604" s="453"/>
      <c r="BI604" s="454"/>
      <c r="BJ604" s="453"/>
      <c r="BK604" s="442">
        <v>4</v>
      </c>
      <c r="BL604" s="453"/>
      <c r="BN604" s="445"/>
      <c r="BO604" s="445">
        <f>36.9+16.2+3</f>
        <v>56.099999999999994</v>
      </c>
      <c r="BP604" s="445"/>
      <c r="BQ604" s="444"/>
      <c r="BR604" s="444"/>
      <c r="BS604" s="442"/>
      <c r="BT604" s="445"/>
      <c r="BU604" s="445"/>
      <c r="BV604" s="445">
        <v>0</v>
      </c>
      <c r="BW604" s="445"/>
      <c r="BX604" s="573"/>
      <c r="BY604" s="854"/>
      <c r="BZ604" s="854"/>
      <c r="CA604" s="854"/>
      <c r="CB604" s="854"/>
      <c r="CC604" s="854"/>
      <c r="CD604" s="854"/>
      <c r="CE604" s="854"/>
      <c r="CF604" s="854"/>
      <c r="CG604" s="169"/>
      <c r="CH604" s="419" t="s">
        <v>2517</v>
      </c>
      <c r="CI604" s="406" t="s">
        <v>2501</v>
      </c>
      <c r="CJ604" s="23"/>
      <c r="CK604" s="417" t="s">
        <v>2518</v>
      </c>
      <c r="CL604" s="693" t="s">
        <v>2622</v>
      </c>
      <c r="CM604" s="648"/>
      <c r="CR604" s="406"/>
      <c r="CS604" s="648"/>
      <c r="CU604" s="23"/>
      <c r="CV604" s="23"/>
      <c r="CW604" s="23"/>
      <c r="CX604" s="23"/>
      <c r="DA604" s="648"/>
    </row>
    <row r="605" spans="1:105" ht="13.5" thickBot="1" x14ac:dyDescent="0.25">
      <c r="B605" s="541" t="s">
        <v>2351</v>
      </c>
      <c r="C605" s="390" t="s">
        <v>70</v>
      </c>
      <c r="D605" s="36" t="s">
        <v>1125</v>
      </c>
      <c r="E605" s="48" t="s">
        <v>1752</v>
      </c>
      <c r="F605" s="48" t="s">
        <v>2352</v>
      </c>
      <c r="I605" s="2">
        <v>2010</v>
      </c>
      <c r="J605" s="551">
        <v>2010</v>
      </c>
      <c r="K605" s="551">
        <v>2011</v>
      </c>
      <c r="M605" s="586" t="s">
        <v>18</v>
      </c>
      <c r="O605" s="586" t="s">
        <v>1866</v>
      </c>
      <c r="P605" s="1">
        <v>18</v>
      </c>
      <c r="Q605" s="1">
        <v>45</v>
      </c>
      <c r="U605" s="4">
        <v>200</v>
      </c>
      <c r="V605" s="504">
        <v>1</v>
      </c>
      <c r="W605" s="630" t="s">
        <v>2647</v>
      </c>
      <c r="X605" s="39">
        <v>8.67</v>
      </c>
      <c r="Y605" s="454">
        <f>100*70/200</f>
        <v>35</v>
      </c>
      <c r="Z605" s="452">
        <f>100*62/200</f>
        <v>31</v>
      </c>
      <c r="AA605" s="452"/>
      <c r="AC605" s="452">
        <f>100*107/200</f>
        <v>53.5</v>
      </c>
      <c r="AD605" s="452">
        <f>100*98/200</f>
        <v>49</v>
      </c>
      <c r="AE605" s="452">
        <f>100*35/200</f>
        <v>17.5</v>
      </c>
      <c r="AF605" s="452">
        <f>100*26/200</f>
        <v>13</v>
      </c>
      <c r="AI605" s="452">
        <f>100*13/200</f>
        <v>6.5</v>
      </c>
      <c r="AM605" s="452">
        <f>100*(88/200)*(( 18.6 + 11.2)/(0.6 + 18.6 + 11.2))</f>
        <v>43.131578947368418</v>
      </c>
      <c r="AN605" s="452">
        <f>100*(78/200)*(( 18.6 + 11.2)/(0.6 + 18.6 + 11.2))</f>
        <v>38.23026315789474</v>
      </c>
      <c r="AO605" s="452">
        <f>100*(40/200)*((  4.4 +   8.6)/(3.2 +  4.4 +   8.6))</f>
        <v>16.049382716049383</v>
      </c>
      <c r="AQ605" s="452">
        <f>100*(88/200)*(( 0.6 + 11.2)/(0.6 + 18.6 + 11.2)) + 100*(40/200)*(( 3.2 +   8.6)/(3.2 +  4.4 +   8.6))</f>
        <v>31.646848602988953</v>
      </c>
      <c r="AR605" s="452">
        <f>100*(78/200)*(( 0.6 + 11.2)/(0.6 + 18.6 + 11.2))</f>
        <v>15.138157894736839</v>
      </c>
      <c r="AS605" s="452">
        <f>100*11/200</f>
        <v>5.5</v>
      </c>
      <c r="AU605" s="452">
        <f>100*20/200</f>
        <v>10</v>
      </c>
      <c r="AV605" s="452">
        <f>100*4/200</f>
        <v>2</v>
      </c>
      <c r="AW605" s="452">
        <f>100*4/200</f>
        <v>2</v>
      </c>
      <c r="BG605" s="452"/>
      <c r="BH605" s="452"/>
      <c r="BI605" s="452">
        <f>100*80/200</f>
        <v>40</v>
      </c>
      <c r="BM605" s="452">
        <f>100*13/200</f>
        <v>6.5</v>
      </c>
      <c r="BO605" s="452">
        <f>100*19/200</f>
        <v>9.5</v>
      </c>
      <c r="BU605" s="440">
        <v>12</v>
      </c>
      <c r="BV605" s="440">
        <v>0</v>
      </c>
      <c r="BX605" s="573"/>
      <c r="BY605" s="854"/>
      <c r="BZ605" s="854"/>
      <c r="CA605" s="854"/>
      <c r="CB605" s="854"/>
      <c r="CC605" s="854"/>
      <c r="CD605" s="854"/>
      <c r="CE605" s="854"/>
      <c r="CF605" s="854"/>
      <c r="CH605" s="424" t="s">
        <v>2354</v>
      </c>
      <c r="CI605" s="403" t="s">
        <v>2337</v>
      </c>
      <c r="CK605" s="48" t="s">
        <v>2353</v>
      </c>
      <c r="CL605" s="750" t="s">
        <v>2646</v>
      </c>
    </row>
    <row r="606" spans="1:105" s="35" customFormat="1" ht="12" customHeight="1" x14ac:dyDescent="0.2">
      <c r="A606" s="651"/>
      <c r="B606" s="595" t="s">
        <v>1758</v>
      </c>
      <c r="C606" s="618" t="s">
        <v>70</v>
      </c>
      <c r="D606" s="619" t="s">
        <v>1125</v>
      </c>
      <c r="E606" s="703" t="s">
        <v>1650</v>
      </c>
      <c r="F606" s="703" t="s">
        <v>1759</v>
      </c>
      <c r="G606" s="599"/>
      <c r="H606" s="598"/>
      <c r="I606" s="657" t="s">
        <v>235</v>
      </c>
      <c r="J606" s="823">
        <v>2006</v>
      </c>
      <c r="K606" s="823">
        <v>2014</v>
      </c>
      <c r="L606" s="621"/>
      <c r="M606" s="622" t="s">
        <v>18</v>
      </c>
      <c r="N606" s="621" t="s">
        <v>783</v>
      </c>
      <c r="O606" s="599" t="s">
        <v>1936</v>
      </c>
      <c r="P606" s="597">
        <v>16</v>
      </c>
      <c r="Q606" s="622">
        <v>30</v>
      </c>
      <c r="R606" s="643">
        <v>25.8</v>
      </c>
      <c r="S606" s="643"/>
      <c r="T606" s="643"/>
      <c r="U606" s="658">
        <v>897</v>
      </c>
      <c r="V606" s="799">
        <v>2</v>
      </c>
      <c r="W606" s="789" t="s">
        <v>2341</v>
      </c>
      <c r="X606" s="526">
        <f>(3.5*512 + 11*386)/(512+386)</f>
        <v>6.723830734966592</v>
      </c>
      <c r="Y606" s="442"/>
      <c r="Z606" s="442"/>
      <c r="AA606" s="442"/>
      <c r="AB606" s="442"/>
      <c r="AC606" s="442"/>
      <c r="AD606" s="442"/>
      <c r="AE606" s="442"/>
      <c r="AF606" s="442"/>
      <c r="AG606" s="442"/>
      <c r="AH606" s="442"/>
      <c r="AI606" s="442"/>
      <c r="AJ606" s="442"/>
      <c r="AK606" s="442">
        <v>0.7</v>
      </c>
      <c r="AL606" s="442"/>
      <c r="AM606" s="442">
        <v>44.6</v>
      </c>
      <c r="AO606" s="442">
        <v>15.7</v>
      </c>
      <c r="AP606" s="442"/>
      <c r="AQ606" s="442">
        <f>14.6+6.9</f>
        <v>21.5</v>
      </c>
      <c r="AR606" s="442"/>
      <c r="AU606" s="442">
        <v>32.4</v>
      </c>
      <c r="AV606" s="442"/>
      <c r="AW606" s="442">
        <v>10.4</v>
      </c>
      <c r="AX606" s="442"/>
      <c r="AY606" s="442">
        <v>35.799999999999997</v>
      </c>
      <c r="AZ606" s="442"/>
      <c r="BA606" s="442"/>
      <c r="BB606" s="442"/>
      <c r="BC606" s="442">
        <v>41.8</v>
      </c>
      <c r="BD606" s="442"/>
      <c r="BE606" s="38">
        <v>13.6</v>
      </c>
      <c r="BF606" s="442"/>
      <c r="BG606" s="442"/>
      <c r="BH606" s="442"/>
      <c r="BI606" s="442">
        <v>50</v>
      </c>
      <c r="BK606" s="442"/>
      <c r="BL606" s="442"/>
      <c r="BN606" s="442"/>
      <c r="BO606" s="442">
        <v>36</v>
      </c>
      <c r="BQ606" s="444"/>
      <c r="BR606" s="444"/>
      <c r="BS606" s="442"/>
      <c r="BT606" s="442"/>
      <c r="BU606" s="442">
        <v>12</v>
      </c>
      <c r="BV606" s="442">
        <v>0</v>
      </c>
      <c r="BW606" s="442"/>
      <c r="BX606" s="573"/>
      <c r="BY606" s="854"/>
      <c r="BZ606" s="854"/>
      <c r="CA606" s="854"/>
      <c r="CB606" s="854"/>
      <c r="CC606" s="854"/>
      <c r="CD606" s="854"/>
      <c r="CE606" s="854"/>
      <c r="CF606" s="854"/>
      <c r="CG606" s="36"/>
      <c r="CH606" s="419" t="s">
        <v>1760</v>
      </c>
      <c r="CI606" s="406" t="s">
        <v>1751</v>
      </c>
      <c r="CJ606" s="23"/>
      <c r="CK606" s="417" t="s">
        <v>1761</v>
      </c>
      <c r="CL606" s="417" t="s">
        <v>1965</v>
      </c>
      <c r="CM606" s="682"/>
      <c r="CN606" s="417" t="s">
        <v>2342</v>
      </c>
      <c r="CR606" s="406"/>
      <c r="CS606" s="648"/>
      <c r="CU606" s="23"/>
      <c r="CV606" s="23"/>
      <c r="CW606" s="23"/>
      <c r="CX606" s="23"/>
      <c r="DA606" s="648"/>
    </row>
    <row r="607" spans="1:105" s="35" customFormat="1" ht="12" customHeight="1" thickBot="1" x14ac:dyDescent="0.25">
      <c r="A607" s="651"/>
      <c r="B607" s="540" t="s">
        <v>1758</v>
      </c>
      <c r="C607" s="624" t="s">
        <v>70</v>
      </c>
      <c r="D607" s="625" t="s">
        <v>1125</v>
      </c>
      <c r="E607" s="704" t="s">
        <v>1650</v>
      </c>
      <c r="F607" s="704" t="s">
        <v>1759</v>
      </c>
      <c r="G607" s="524"/>
      <c r="H607" s="319"/>
      <c r="I607" s="659" t="s">
        <v>235</v>
      </c>
      <c r="J607" s="824">
        <v>2006</v>
      </c>
      <c r="K607" s="824">
        <v>2014</v>
      </c>
      <c r="L607" s="627"/>
      <c r="M607" s="607" t="s">
        <v>18</v>
      </c>
      <c r="N607" s="627" t="s">
        <v>783</v>
      </c>
      <c r="O607" s="524" t="s">
        <v>1936</v>
      </c>
      <c r="P607" s="522">
        <v>16</v>
      </c>
      <c r="Q607" s="607">
        <v>30</v>
      </c>
      <c r="R607" s="645">
        <v>25.8</v>
      </c>
      <c r="S607" s="291"/>
      <c r="T607" s="645"/>
      <c r="U607" s="660">
        <v>897</v>
      </c>
      <c r="V607" s="800">
        <v>2</v>
      </c>
      <c r="W607" s="748" t="s">
        <v>2341</v>
      </c>
      <c r="X607" s="526">
        <f>(3.5*512 + 11*386)/(512+386)</f>
        <v>6.723830734966592</v>
      </c>
      <c r="Y607" s="442"/>
      <c r="Z607" s="453"/>
      <c r="AA607" s="453"/>
      <c r="AB607" s="453"/>
      <c r="AC607" s="453"/>
      <c r="AD607" s="453"/>
      <c r="AE607" s="453"/>
      <c r="AF607" s="453"/>
      <c r="AG607" s="453"/>
      <c r="AH607" s="453"/>
      <c r="AI607" s="453"/>
      <c r="AJ607" s="453"/>
      <c r="AK607" s="453"/>
      <c r="AL607" s="661">
        <v>0.1</v>
      </c>
      <c r="AM607" s="655"/>
      <c r="AN607" s="453">
        <v>3.6</v>
      </c>
      <c r="AO607" s="655"/>
      <c r="AP607" s="453">
        <v>3</v>
      </c>
      <c r="AQ607" s="453"/>
      <c r="AR607" s="453">
        <v>3</v>
      </c>
      <c r="AU607" s="453"/>
      <c r="AV607" s="453">
        <v>3.6</v>
      </c>
      <c r="AW607" s="453"/>
      <c r="AX607" s="453">
        <v>1.6</v>
      </c>
      <c r="AY607" s="453"/>
      <c r="AZ607" s="453">
        <v>3.5</v>
      </c>
      <c r="BA607" s="453"/>
      <c r="BB607" s="453"/>
      <c r="BC607" s="453"/>
      <c r="BD607" s="453">
        <v>3.7</v>
      </c>
      <c r="BE607" s="453"/>
      <c r="BF607" s="737">
        <v>2</v>
      </c>
      <c r="BG607" s="453"/>
      <c r="BH607" s="453"/>
      <c r="BI607" s="655"/>
      <c r="BJ607" s="453">
        <v>5.7</v>
      </c>
      <c r="BK607" s="453"/>
      <c r="BL607" s="453"/>
      <c r="BM607" s="453"/>
      <c r="BN607" s="453"/>
      <c r="BO607" s="453"/>
      <c r="BP607" s="453"/>
      <c r="BQ607" s="656"/>
      <c r="BR607" s="656"/>
      <c r="BS607" s="453"/>
      <c r="BT607" s="453"/>
      <c r="BU607" s="442">
        <v>9</v>
      </c>
      <c r="BV607" s="442">
        <v>0</v>
      </c>
      <c r="BW607" s="442"/>
      <c r="BX607" s="573"/>
      <c r="BY607" s="854"/>
      <c r="BZ607" s="854"/>
      <c r="CA607" s="854"/>
      <c r="CB607" s="854"/>
      <c r="CC607" s="854"/>
      <c r="CD607" s="854"/>
      <c r="CE607" s="854"/>
      <c r="CF607" s="854"/>
      <c r="CG607" s="36"/>
      <c r="CH607" s="419" t="s">
        <v>1760</v>
      </c>
      <c r="CI607" s="406" t="s">
        <v>1751</v>
      </c>
      <c r="CK607" s="417" t="s">
        <v>1761</v>
      </c>
      <c r="CL607" s="693" t="s">
        <v>2625</v>
      </c>
      <c r="CM607" s="813" t="s">
        <v>2626</v>
      </c>
      <c r="CN607" s="170" t="s">
        <v>1937</v>
      </c>
      <c r="CR607" s="406"/>
      <c r="CS607" s="648"/>
      <c r="CU607" s="23"/>
      <c r="CV607" s="23"/>
      <c r="CW607" s="23"/>
      <c r="CX607" s="23"/>
      <c r="DA607" s="648"/>
    </row>
    <row r="608" spans="1:105" s="35" customFormat="1" ht="12" customHeight="1" x14ac:dyDescent="0.2">
      <c r="A608" s="664"/>
      <c r="B608" s="537" t="s">
        <v>1994</v>
      </c>
      <c r="C608" s="390" t="s">
        <v>70</v>
      </c>
      <c r="D608" s="36" t="s">
        <v>1125</v>
      </c>
      <c r="E608" s="665" t="s">
        <v>1661</v>
      </c>
      <c r="F608" s="665" t="s">
        <v>1998</v>
      </c>
      <c r="G608" s="480">
        <v>0</v>
      </c>
      <c r="H608" s="478"/>
      <c r="I608" s="166">
        <v>2013</v>
      </c>
      <c r="J608" s="571">
        <v>2013</v>
      </c>
      <c r="K608" s="571">
        <v>2015</v>
      </c>
      <c r="L608" s="494"/>
      <c r="M608" s="247" t="s">
        <v>15</v>
      </c>
      <c r="N608" s="494"/>
      <c r="O608" s="479" t="s">
        <v>1999</v>
      </c>
      <c r="P608" s="98">
        <v>18</v>
      </c>
      <c r="Q608" s="247">
        <v>62</v>
      </c>
      <c r="R608" s="291">
        <v>35.200000000000003</v>
      </c>
      <c r="S608" s="291">
        <f>R608-T608</f>
        <v>21.500000000000004</v>
      </c>
      <c r="T608" s="291">
        <v>13.7</v>
      </c>
      <c r="U608" s="395">
        <v>167</v>
      </c>
      <c r="V608" s="794">
        <v>1</v>
      </c>
      <c r="W608" s="720" t="s">
        <v>2056</v>
      </c>
      <c r="X608" s="291">
        <f>(3*28 + 5*22 + 6*6 + 7*44 + 9*40 + 12*15 + 15*(2+2))/(28+22+6+44+40+15+2+2)</f>
        <v>7.1572327044025155</v>
      </c>
      <c r="Y608" s="447"/>
      <c r="Z608" s="473"/>
      <c r="AA608" s="447">
        <v>26.3</v>
      </c>
      <c r="AB608" s="447"/>
      <c r="AC608" s="636"/>
      <c r="AD608" s="447"/>
      <c r="AE608" s="447"/>
      <c r="AF608" s="447"/>
      <c r="AG608" s="447"/>
      <c r="AH608" s="447"/>
      <c r="AI608" s="447"/>
      <c r="AJ608" s="447"/>
      <c r="AK608" s="447">
        <v>5.4</v>
      </c>
      <c r="AL608" s="447"/>
      <c r="AM608" s="447">
        <f>19.2*((21 +   8.9)/(0.3 + 21 +   8.9))</f>
        <v>19.009271523178803</v>
      </c>
      <c r="AN608" s="447"/>
      <c r="AO608" s="447"/>
      <c r="AP608" s="447"/>
      <c r="AQ608" s="447">
        <v>29.9</v>
      </c>
      <c r="AR608" s="447"/>
      <c r="AS608" s="447">
        <f>19.2*((0.3 +   8.9)/(0.3 + 21 +   8.9))</f>
        <v>5.8490066225165558</v>
      </c>
      <c r="AT608" s="447"/>
      <c r="AU608" s="447">
        <v>21.6</v>
      </c>
      <c r="AV608" s="447"/>
      <c r="AW608" s="447">
        <v>7.2</v>
      </c>
      <c r="AX608" s="447"/>
      <c r="AY608" s="447"/>
      <c r="AZ608" s="447"/>
      <c r="BA608" s="447"/>
      <c r="BB608" s="447"/>
      <c r="BC608" s="447"/>
      <c r="BD608" s="447"/>
      <c r="BE608" s="447"/>
      <c r="BF608" s="447"/>
      <c r="BG608" s="447"/>
      <c r="BH608" s="447"/>
      <c r="BI608" s="447">
        <v>41.9</v>
      </c>
      <c r="BJ608" s="447"/>
      <c r="BK608" s="447">
        <v>17.399999999999999</v>
      </c>
      <c r="BL608" s="447"/>
      <c r="BM608" s="454">
        <v>14.4</v>
      </c>
      <c r="BN608" s="271"/>
      <c r="BO608" s="447">
        <v>20.399999999999999</v>
      </c>
      <c r="BP608" s="447"/>
      <c r="BQ608" s="447"/>
      <c r="BR608" s="271"/>
      <c r="BS608" s="271"/>
      <c r="BT608" s="271"/>
      <c r="BU608" s="271"/>
      <c r="BV608" s="454">
        <v>0</v>
      </c>
      <c r="BW608" s="454"/>
      <c r="BX608" s="573">
        <v>8.4000000000000005E-2</v>
      </c>
      <c r="BY608" s="854"/>
      <c r="BZ608" s="854"/>
      <c r="CA608" s="854"/>
      <c r="CB608" s="854"/>
      <c r="CC608" s="854"/>
      <c r="CD608" s="854"/>
      <c r="CE608" s="854"/>
      <c r="CF608" s="854"/>
      <c r="CG608" s="36"/>
      <c r="CH608" s="419" t="s">
        <v>1995</v>
      </c>
      <c r="CI608" s="406" t="s">
        <v>1990</v>
      </c>
      <c r="CJ608" s="23"/>
      <c r="CK608" s="641" t="s">
        <v>1996</v>
      </c>
      <c r="CL608" s="693" t="s">
        <v>2631</v>
      </c>
      <c r="CM608" s="431" t="s">
        <v>2000</v>
      </c>
      <c r="CN608" s="128"/>
      <c r="CO608" s="128"/>
      <c r="CP608" s="128"/>
      <c r="CQ608" s="128"/>
      <c r="CR608" s="406"/>
      <c r="CS608" s="431"/>
      <c r="CU608" s="23"/>
      <c r="CV608" s="23"/>
      <c r="CW608" s="23"/>
      <c r="CX608" s="23"/>
      <c r="DA608" s="648"/>
    </row>
    <row r="609" spans="1:105" s="35" customFormat="1" ht="12" customHeight="1" x14ac:dyDescent="0.2">
      <c r="A609" s="651"/>
      <c r="B609" s="558" t="s">
        <v>2257</v>
      </c>
      <c r="C609" s="97" t="s">
        <v>70</v>
      </c>
      <c r="D609" s="237" t="s">
        <v>1125</v>
      </c>
      <c r="E609" s="647" t="s">
        <v>1652</v>
      </c>
      <c r="F609" s="647" t="s">
        <v>1607</v>
      </c>
      <c r="G609" s="480"/>
      <c r="H609" s="478">
        <v>2</v>
      </c>
      <c r="I609" s="166">
        <v>2012</v>
      </c>
      <c r="J609" s="571">
        <v>2012</v>
      </c>
      <c r="K609" s="571">
        <v>2014</v>
      </c>
      <c r="L609" s="494"/>
      <c r="M609" s="247" t="s">
        <v>18</v>
      </c>
      <c r="N609" s="494"/>
      <c r="O609" s="479" t="s">
        <v>21</v>
      </c>
      <c r="P609" s="98">
        <v>18</v>
      </c>
      <c r="Q609" s="247">
        <v>49</v>
      </c>
      <c r="R609" s="291">
        <f>23.5*0.693 + 34.5*0.201 + 44.5*0.106</f>
        <v>27.936999999999998</v>
      </c>
      <c r="S609" s="291"/>
      <c r="T609" s="291"/>
      <c r="U609" s="395">
        <v>369</v>
      </c>
      <c r="V609" s="794">
        <v>2</v>
      </c>
      <c r="W609" s="720" t="s">
        <v>2258</v>
      </c>
      <c r="X609" s="121"/>
      <c r="Y609" s="447"/>
      <c r="Z609" s="473"/>
      <c r="AA609" s="447">
        <v>30.4</v>
      </c>
      <c r="AB609" s="447"/>
      <c r="AC609" s="636"/>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v>30.4</v>
      </c>
      <c r="BJ609" s="447"/>
      <c r="BK609" s="447"/>
      <c r="BL609" s="447"/>
      <c r="BM609" s="454">
        <v>8.1</v>
      </c>
      <c r="BN609" s="271"/>
      <c r="BO609" s="447"/>
      <c r="BP609" s="447"/>
      <c r="BQ609" s="447"/>
      <c r="BR609" s="271"/>
      <c r="BS609" s="454">
        <v>49.9</v>
      </c>
      <c r="BT609" s="271"/>
      <c r="BU609" s="271"/>
      <c r="BV609" s="454">
        <v>0</v>
      </c>
      <c r="BW609" s="454"/>
      <c r="BX609" s="573"/>
      <c r="BY609" s="854"/>
      <c r="BZ609" s="854"/>
      <c r="CA609" s="854"/>
      <c r="CB609" s="854"/>
      <c r="CC609" s="854"/>
      <c r="CD609" s="854"/>
      <c r="CE609" s="854"/>
      <c r="CF609" s="854"/>
      <c r="CG609" s="36"/>
      <c r="CH609" s="419" t="s">
        <v>2259</v>
      </c>
      <c r="CI609" s="638" t="s">
        <v>2204</v>
      </c>
      <c r="CJ609" s="23"/>
      <c r="CK609" s="417" t="s">
        <v>2260</v>
      </c>
      <c r="CL609" s="750" t="s">
        <v>2632</v>
      </c>
      <c r="CM609" s="433"/>
      <c r="CN609" s="128"/>
      <c r="CO609" s="128"/>
      <c r="CP609" s="128"/>
      <c r="CQ609" s="128"/>
      <c r="CR609" s="406"/>
      <c r="CS609" s="431"/>
      <c r="CU609" s="23"/>
      <c r="CV609" s="23"/>
      <c r="CW609" s="23"/>
      <c r="CX609" s="23"/>
      <c r="DA609" s="648"/>
    </row>
    <row r="610" spans="1:105" s="35" customFormat="1" ht="12" customHeight="1" x14ac:dyDescent="0.2">
      <c r="A610" s="651"/>
      <c r="B610" s="537" t="s">
        <v>2146</v>
      </c>
      <c r="C610" s="390" t="s">
        <v>70</v>
      </c>
      <c r="D610" s="36" t="s">
        <v>1125</v>
      </c>
      <c r="E610" s="647" t="s">
        <v>1756</v>
      </c>
      <c r="F610" s="647" t="s">
        <v>2147</v>
      </c>
      <c r="G610" s="237">
        <v>1</v>
      </c>
      <c r="H610" s="186"/>
      <c r="I610" s="37" t="s">
        <v>235</v>
      </c>
      <c r="J610" s="571">
        <v>2005</v>
      </c>
      <c r="K610" s="571">
        <v>2008</v>
      </c>
      <c r="L610" s="494"/>
      <c r="M610" s="247" t="s">
        <v>18</v>
      </c>
      <c r="N610" s="494"/>
      <c r="O610" s="479" t="s">
        <v>1866</v>
      </c>
      <c r="P610" s="98">
        <v>18</v>
      </c>
      <c r="Q610" s="247">
        <v>45</v>
      </c>
      <c r="R610" s="291">
        <v>28.66</v>
      </c>
      <c r="S610" s="291"/>
      <c r="T610" s="291">
        <v>9.77</v>
      </c>
      <c r="U610" s="394">
        <v>294</v>
      </c>
      <c r="V610" s="727">
        <v>2</v>
      </c>
      <c r="W610" s="727" t="s">
        <v>2148</v>
      </c>
      <c r="X610" s="277">
        <f>0*0.483 + 3*0.181 + 7*0.211 + 9.5*0.095 + 15*0.031</f>
        <v>3.3874999999999993</v>
      </c>
      <c r="Y610" s="442"/>
      <c r="Z610" s="442"/>
      <c r="AA610" s="442"/>
      <c r="AB610" s="442"/>
      <c r="AC610" s="442"/>
      <c r="AD610" s="442"/>
      <c r="AE610" s="442"/>
      <c r="AF610" s="442"/>
      <c r="AG610" s="442"/>
      <c r="AH610" s="442"/>
      <c r="AI610" s="442"/>
      <c r="AJ610" s="442"/>
      <c r="AK610" s="442"/>
      <c r="AL610" s="442"/>
      <c r="AM610" s="442">
        <f>56.9*0.394</f>
        <v>22.418600000000001</v>
      </c>
      <c r="AN610" s="442"/>
      <c r="AO610" s="442"/>
      <c r="AP610" s="442"/>
      <c r="AQ610" s="442"/>
      <c r="AR610" s="442"/>
      <c r="AS610" s="442"/>
      <c r="AT610" s="442"/>
      <c r="AU610" s="442">
        <f>9.3*0.394</f>
        <v>3.6642000000000006</v>
      </c>
      <c r="AV610" s="442"/>
      <c r="AW610" s="442"/>
      <c r="AX610" s="442"/>
      <c r="AY610" s="442"/>
      <c r="AZ610" s="442"/>
      <c r="BA610" s="442"/>
      <c r="BB610" s="442"/>
      <c r="BC610" s="442"/>
      <c r="BD610" s="442"/>
      <c r="BE610" s="442"/>
      <c r="BF610" s="442"/>
      <c r="BG610" s="442"/>
      <c r="BH610" s="442"/>
      <c r="BI610" s="442">
        <v>39.4</v>
      </c>
      <c r="BJ610" s="442">
        <f>BI610*0.638</f>
        <v>25.1372</v>
      </c>
      <c r="BK610" s="442"/>
      <c r="BL610" s="442"/>
      <c r="BM610" s="442"/>
      <c r="BN610" s="442"/>
      <c r="BO610" s="442"/>
      <c r="BP610" s="442"/>
      <c r="BQ610" s="444"/>
      <c r="BR610" s="444"/>
      <c r="BS610" s="442"/>
      <c r="BT610" s="442"/>
      <c r="BU610" s="442">
        <v>12</v>
      </c>
      <c r="BV610" s="442">
        <v>1</v>
      </c>
      <c r="BW610" s="442">
        <v>84.5</v>
      </c>
      <c r="BX610" s="573"/>
      <c r="BY610" s="854"/>
      <c r="BZ610" s="854"/>
      <c r="CA610" s="854"/>
      <c r="CB610" s="854"/>
      <c r="CC610" s="854"/>
      <c r="CD610" s="854"/>
      <c r="CE610" s="854"/>
      <c r="CF610" s="854"/>
      <c r="CG610" s="36"/>
      <c r="CH610" s="417" t="s">
        <v>2145</v>
      </c>
      <c r="CI610" s="406" t="s">
        <v>2113</v>
      </c>
      <c r="CJ610" s="23"/>
      <c r="CK610" s="417" t="s">
        <v>2149</v>
      </c>
      <c r="CL610" s="750" t="s">
        <v>2632</v>
      </c>
      <c r="CM610" s="648"/>
      <c r="CR610" s="406"/>
      <c r="CS610" s="648"/>
      <c r="CU610" s="23"/>
      <c r="CV610" s="23"/>
      <c r="CW610" s="23"/>
      <c r="CX610" s="23"/>
      <c r="DA610" s="648"/>
    </row>
    <row r="611" spans="1:105" s="35" customFormat="1" ht="12" customHeight="1" x14ac:dyDescent="0.2">
      <c r="A611" s="651"/>
      <c r="B611" s="537" t="s">
        <v>2150</v>
      </c>
      <c r="C611" s="390" t="s">
        <v>70</v>
      </c>
      <c r="D611" s="36" t="s">
        <v>1125</v>
      </c>
      <c r="E611" s="647" t="s">
        <v>1735</v>
      </c>
      <c r="F611" s="647" t="s">
        <v>2151</v>
      </c>
      <c r="G611" s="237"/>
      <c r="H611" s="478">
        <v>2</v>
      </c>
      <c r="I611" s="37">
        <v>2006</v>
      </c>
      <c r="J611" s="571">
        <v>2006</v>
      </c>
      <c r="K611" s="571">
        <v>2008</v>
      </c>
      <c r="L611" s="494"/>
      <c r="M611" s="247" t="s">
        <v>18</v>
      </c>
      <c r="N611" s="494"/>
      <c r="O611" s="479" t="s">
        <v>546</v>
      </c>
      <c r="P611" s="98">
        <v>15</v>
      </c>
      <c r="Q611" s="247">
        <v>45</v>
      </c>
      <c r="R611" s="291">
        <f>19.5*0.348 + 30*0.507 + 40*0.145</f>
        <v>27.796000000000003</v>
      </c>
      <c r="S611" s="291"/>
      <c r="T611" s="291"/>
      <c r="U611" s="394">
        <v>276</v>
      </c>
      <c r="V611" s="727">
        <v>2</v>
      </c>
      <c r="W611" s="722" t="s">
        <v>2154</v>
      </c>
      <c r="X611" s="277">
        <f>0*0.417 + 6*0.5 + 15*0.083</f>
        <v>4.2450000000000001</v>
      </c>
      <c r="Y611" s="442"/>
      <c r="Z611" s="442"/>
      <c r="AA611" s="442"/>
      <c r="AB611" s="442">
        <v>40.6</v>
      </c>
      <c r="AC611" s="442"/>
      <c r="AD611" s="442"/>
      <c r="AE611" s="442"/>
      <c r="AF611" s="442"/>
      <c r="AG611" s="442"/>
      <c r="AH611" s="442"/>
      <c r="AI611" s="442"/>
      <c r="AJ611" s="442"/>
      <c r="AK611" s="442"/>
      <c r="AL611" s="442"/>
      <c r="AM611" s="442"/>
      <c r="AN611" s="442"/>
      <c r="AO611" s="442"/>
      <c r="AP611" s="442"/>
      <c r="AQ611" s="442"/>
      <c r="AR611" s="442"/>
      <c r="AS611" s="442"/>
      <c r="AT611" s="442"/>
      <c r="AU611" s="442"/>
      <c r="AV611" s="442"/>
      <c r="AW611" s="442"/>
      <c r="AX611" s="442"/>
      <c r="AY611" s="442"/>
      <c r="AZ611" s="442"/>
      <c r="BA611" s="442"/>
      <c r="BB611" s="442"/>
      <c r="BC611" s="442"/>
      <c r="BD611" s="442"/>
      <c r="BE611" s="442"/>
      <c r="BF611" s="442"/>
      <c r="BG611" s="442"/>
      <c r="BH611" s="442"/>
      <c r="BJ611" s="442">
        <v>22.4</v>
      </c>
      <c r="BK611" s="442"/>
      <c r="BL611" s="442">
        <v>37</v>
      </c>
      <c r="BM611" s="442"/>
      <c r="BN611" s="442"/>
      <c r="BO611" s="442"/>
      <c r="BP611" s="442"/>
      <c r="BQ611" s="444"/>
      <c r="BR611" s="444"/>
      <c r="BS611" s="442"/>
      <c r="BT611" s="442"/>
      <c r="BU611" s="442">
        <v>12</v>
      </c>
      <c r="BV611" s="442">
        <v>0</v>
      </c>
      <c r="BW611" s="442"/>
      <c r="BX611" s="573"/>
      <c r="BY611" s="854"/>
      <c r="BZ611" s="854"/>
      <c r="CA611" s="854"/>
      <c r="CB611" s="854"/>
      <c r="CC611" s="854"/>
      <c r="CD611" s="854"/>
      <c r="CE611" s="854"/>
      <c r="CF611" s="854"/>
      <c r="CG611" s="36"/>
      <c r="CH611" s="419" t="s">
        <v>2153</v>
      </c>
      <c r="CI611" s="406" t="s">
        <v>2113</v>
      </c>
      <c r="CJ611" s="23"/>
      <c r="CK611" s="417" t="s">
        <v>2152</v>
      </c>
      <c r="CL611" s="750" t="s">
        <v>2632</v>
      </c>
      <c r="CM611" s="648"/>
      <c r="CR611" s="406"/>
      <c r="CS611" s="648"/>
      <c r="CU611" s="23"/>
      <c r="CV611" s="23"/>
      <c r="CW611" s="23"/>
      <c r="CX611" s="23"/>
      <c r="DA611" s="648"/>
    </row>
    <row r="612" spans="1:105" s="35" customFormat="1" ht="12" customHeight="1" x14ac:dyDescent="0.2">
      <c r="A612" s="664"/>
      <c r="B612" s="537" t="s">
        <v>2158</v>
      </c>
      <c r="C612" s="390" t="s">
        <v>70</v>
      </c>
      <c r="D612" s="36" t="s">
        <v>1125</v>
      </c>
      <c r="E612" s="647" t="s">
        <v>1650</v>
      </c>
      <c r="F612" s="647" t="s">
        <v>1541</v>
      </c>
      <c r="G612" s="480"/>
      <c r="H612" s="478">
        <v>2</v>
      </c>
      <c r="I612" s="166">
        <v>2013</v>
      </c>
      <c r="J612" s="571">
        <v>2013</v>
      </c>
      <c r="K612" s="571">
        <v>2013</v>
      </c>
      <c r="L612" s="494" t="s">
        <v>2162</v>
      </c>
      <c r="M612" s="247" t="s">
        <v>17</v>
      </c>
      <c r="N612" s="469" t="s">
        <v>2202</v>
      </c>
      <c r="O612" s="479" t="s">
        <v>1561</v>
      </c>
      <c r="P612" s="98">
        <v>16</v>
      </c>
      <c r="Q612" s="247">
        <v>25</v>
      </c>
      <c r="R612" s="291"/>
      <c r="S612" s="291"/>
      <c r="T612" s="291"/>
      <c r="U612" s="395">
        <v>400</v>
      </c>
      <c r="V612" s="794">
        <v>2</v>
      </c>
      <c r="W612" s="720" t="s">
        <v>2201</v>
      </c>
      <c r="X612" s="121"/>
      <c r="Y612" s="447"/>
      <c r="Z612" s="473"/>
      <c r="AA612" s="447"/>
      <c r="AB612" s="447"/>
      <c r="AC612" s="636"/>
      <c r="AD612" s="447"/>
      <c r="AE612" s="447"/>
      <c r="AF612" s="447"/>
      <c r="AG612" s="447"/>
      <c r="AH612" s="447"/>
      <c r="AI612" s="447"/>
      <c r="AJ612" s="447"/>
      <c r="AL612" s="447"/>
      <c r="AM612" s="447"/>
      <c r="AN612" s="447"/>
      <c r="AO612" s="447"/>
      <c r="AP612" s="447"/>
      <c r="AQ612" s="447"/>
      <c r="AR612" s="447"/>
      <c r="AS612" s="447"/>
      <c r="AT612" s="447"/>
      <c r="AU612" s="447"/>
      <c r="AV612" s="447"/>
      <c r="AW612" s="447"/>
      <c r="AX612" s="447"/>
      <c r="AY612" s="447"/>
      <c r="AZ612" s="447"/>
      <c r="BA612" s="447"/>
      <c r="BB612" s="447"/>
      <c r="BC612" s="447"/>
      <c r="BD612" s="447"/>
      <c r="BE612" s="447"/>
      <c r="BF612" s="447"/>
      <c r="BG612" s="447"/>
      <c r="BH612" s="447"/>
      <c r="BI612" s="447"/>
      <c r="BJ612" s="447"/>
      <c r="BK612" s="447"/>
      <c r="BL612" s="447"/>
      <c r="BM612" s="454"/>
      <c r="BN612" s="271"/>
      <c r="BO612" s="447"/>
      <c r="BP612" s="447"/>
      <c r="BQ612" s="447"/>
      <c r="BR612" s="271"/>
      <c r="BS612" s="271">
        <v>80</v>
      </c>
      <c r="BT612" s="271"/>
      <c r="BU612" s="271"/>
      <c r="BV612" s="454"/>
      <c r="BW612" s="454"/>
      <c r="BX612" s="573"/>
      <c r="BY612" s="854"/>
      <c r="BZ612" s="854"/>
      <c r="CA612" s="854"/>
      <c r="CB612" s="854"/>
      <c r="CC612" s="854"/>
      <c r="CD612" s="854"/>
      <c r="CE612" s="854"/>
      <c r="CF612" s="854"/>
      <c r="CG612" s="36"/>
      <c r="CH612" s="419" t="s">
        <v>2161</v>
      </c>
      <c r="CI612" s="406" t="s">
        <v>2177</v>
      </c>
      <c r="CJ612" s="23"/>
      <c r="CK612" s="641"/>
      <c r="CL612" s="417"/>
      <c r="CM612" s="431"/>
      <c r="CN612" s="128"/>
      <c r="CO612" s="128"/>
      <c r="CP612" s="128"/>
      <c r="CQ612" s="128"/>
      <c r="CR612" s="406"/>
      <c r="CS612" s="431"/>
      <c r="CU612" s="23"/>
      <c r="CV612" s="23"/>
      <c r="CW612" s="23"/>
      <c r="CX612" s="23"/>
      <c r="DA612" s="648"/>
    </row>
    <row r="613" spans="1:105" x14ac:dyDescent="0.2">
      <c r="B613" s="541" t="s">
        <v>2237</v>
      </c>
      <c r="C613" s="390" t="s">
        <v>70</v>
      </c>
      <c r="D613" s="36" t="s">
        <v>1125</v>
      </c>
      <c r="E613" s="48" t="s">
        <v>1581</v>
      </c>
      <c r="F613" s="48" t="s">
        <v>2242</v>
      </c>
      <c r="H613" s="478">
        <v>2</v>
      </c>
      <c r="I613" s="481" t="s">
        <v>2238</v>
      </c>
      <c r="J613" s="551">
        <v>2013</v>
      </c>
      <c r="K613" s="827">
        <v>2014</v>
      </c>
      <c r="M613" s="586" t="s">
        <v>18</v>
      </c>
      <c r="N613" s="499" t="s">
        <v>783</v>
      </c>
      <c r="O613" s="586" t="s">
        <v>19</v>
      </c>
      <c r="P613" s="98">
        <v>15</v>
      </c>
      <c r="Q613" s="98">
        <v>49</v>
      </c>
      <c r="U613" s="4">
        <v>9050</v>
      </c>
      <c r="V613" s="504">
        <v>2</v>
      </c>
      <c r="W613" s="630" t="s">
        <v>2241</v>
      </c>
      <c r="X613" s="121"/>
      <c r="Y613" s="454"/>
      <c r="AB613" s="452">
        <f>100*706/9050</f>
        <v>7.8011049723756907</v>
      </c>
      <c r="AK613" s="452"/>
      <c r="AM613" s="452"/>
      <c r="AN613" s="739"/>
      <c r="AO613" s="452"/>
      <c r="AQ613" s="452"/>
      <c r="AR613" s="739"/>
      <c r="AS613" s="452"/>
      <c r="AU613" s="452"/>
      <c r="AW613" s="452"/>
      <c r="AY613" s="452"/>
      <c r="AZ613" s="452"/>
      <c r="BC613" s="742"/>
      <c r="BD613" s="452"/>
      <c r="BE613" s="452"/>
      <c r="BF613" s="452"/>
      <c r="BI613" s="452"/>
      <c r="BJ613" s="452">
        <f>100*(1010 + 355)/9050</f>
        <v>15.082872928176796</v>
      </c>
      <c r="BK613" s="452"/>
      <c r="BL613" s="452"/>
      <c r="BM613" s="452"/>
      <c r="BP613" s="447"/>
      <c r="BQ613" s="452">
        <v>55.63</v>
      </c>
      <c r="BR613" s="452">
        <v>40.07</v>
      </c>
      <c r="BU613" s="440">
        <v>12</v>
      </c>
      <c r="BV613" s="454">
        <v>0</v>
      </c>
      <c r="BW613" s="452"/>
      <c r="BX613" s="573">
        <v>1.26E-2</v>
      </c>
      <c r="BY613" s="854"/>
      <c r="BZ613" s="854"/>
      <c r="CA613" s="854"/>
      <c r="CB613" s="854"/>
      <c r="CC613" s="854"/>
      <c r="CD613" s="854"/>
      <c r="CE613" s="854"/>
      <c r="CF613" s="854"/>
      <c r="CH613" s="424" t="s">
        <v>2239</v>
      </c>
      <c r="CI613" s="638" t="s">
        <v>2204</v>
      </c>
      <c r="CK613" s="48" t="s">
        <v>2240</v>
      </c>
    </row>
    <row r="614" spans="1:105" x14ac:dyDescent="0.2">
      <c r="B614" s="537" t="s">
        <v>2210</v>
      </c>
      <c r="C614" s="390" t="s">
        <v>70</v>
      </c>
      <c r="D614" s="36" t="s">
        <v>1125</v>
      </c>
      <c r="E614" s="647" t="s">
        <v>2129</v>
      </c>
      <c r="F614" s="48" t="s">
        <v>2213</v>
      </c>
      <c r="H614" s="478">
        <v>2</v>
      </c>
      <c r="I614" s="740">
        <v>2014</v>
      </c>
      <c r="J614" s="827">
        <v>2014</v>
      </c>
      <c r="K614" s="827">
        <v>2015</v>
      </c>
      <c r="M614" s="586" t="s">
        <v>15</v>
      </c>
      <c r="N614" s="499" t="s">
        <v>783</v>
      </c>
      <c r="O614" s="586" t="s">
        <v>2214</v>
      </c>
      <c r="P614" s="1">
        <v>18</v>
      </c>
      <c r="Q614" s="586"/>
      <c r="R614" s="3">
        <f>23.5*0.237 + 34.5*0.255 + 44.5*0.203 + 54.5*0.306</f>
        <v>40.077500000000001</v>
      </c>
      <c r="T614" s="3">
        <v>17</v>
      </c>
      <c r="U614" s="4">
        <v>232</v>
      </c>
      <c r="V614" s="504">
        <v>2</v>
      </c>
      <c r="W614" s="630" t="s">
        <v>2212</v>
      </c>
      <c r="X614" s="121">
        <f>0*0.267 + 2.5*0.064 + 7*0.375 + 12*0.293</f>
        <v>6.3010000000000002</v>
      </c>
      <c r="Y614" s="454"/>
      <c r="AB614" s="452">
        <v>47.4</v>
      </c>
      <c r="AK614" s="452"/>
      <c r="AM614" s="452"/>
      <c r="AN614" s="739"/>
      <c r="AO614" s="452"/>
      <c r="AQ614" s="452"/>
      <c r="AR614" s="739"/>
      <c r="AS614" s="452"/>
      <c r="AU614" s="452"/>
      <c r="AW614" s="452"/>
      <c r="AY614" s="739"/>
      <c r="AZ614" s="739"/>
      <c r="BC614" s="452"/>
      <c r="BD614" s="739"/>
      <c r="BE614" s="739"/>
      <c r="BF614" s="739"/>
      <c r="BI614" s="452">
        <v>45.3</v>
      </c>
      <c r="BJ614" s="739"/>
      <c r="BK614" s="739"/>
      <c r="BL614" s="739"/>
      <c r="BM614" s="452">
        <v>11.2</v>
      </c>
      <c r="BO614" s="452"/>
      <c r="BQ614" s="452">
        <v>57.3</v>
      </c>
      <c r="BR614" s="452">
        <v>51.1</v>
      </c>
      <c r="BU614" s="440">
        <v>12</v>
      </c>
      <c r="BV614" s="440">
        <v>1</v>
      </c>
      <c r="BW614" s="452">
        <v>95.5</v>
      </c>
      <c r="BX614" s="573"/>
      <c r="BY614" s="854"/>
      <c r="BZ614" s="854"/>
      <c r="CA614" s="854"/>
      <c r="CB614" s="854"/>
      <c r="CC614" s="854"/>
      <c r="CD614" s="854"/>
      <c r="CE614" s="854"/>
      <c r="CF614" s="854"/>
      <c r="CH614" s="424" t="s">
        <v>2211</v>
      </c>
      <c r="CI614" s="638" t="s">
        <v>2204</v>
      </c>
      <c r="CK614" s="48" t="s">
        <v>2215</v>
      </c>
    </row>
    <row r="615" spans="1:105" x14ac:dyDescent="0.2">
      <c r="B615" s="541" t="s">
        <v>2473</v>
      </c>
      <c r="C615" s="390" t="s">
        <v>70</v>
      </c>
      <c r="D615" s="36" t="s">
        <v>1125</v>
      </c>
      <c r="E615" s="48" t="s">
        <v>2474</v>
      </c>
      <c r="F615" s="48" t="s">
        <v>2475</v>
      </c>
      <c r="I615" s="166">
        <v>2015</v>
      </c>
      <c r="J615" s="571">
        <v>2015</v>
      </c>
      <c r="K615" s="571">
        <v>2016</v>
      </c>
      <c r="M615" s="586" t="s">
        <v>15</v>
      </c>
      <c r="O615" s="586" t="s">
        <v>21</v>
      </c>
      <c r="P615" s="98">
        <v>18</v>
      </c>
      <c r="Q615" s="247">
        <v>49</v>
      </c>
      <c r="R615" s="3">
        <v>32</v>
      </c>
      <c r="U615" s="4">
        <v>519</v>
      </c>
      <c r="V615" s="504">
        <v>2</v>
      </c>
      <c r="W615" s="630" t="s">
        <v>2476</v>
      </c>
      <c r="X615" s="39">
        <f>0*0.092 + 3.9*0.312 + 9*0.414 + 15*0.181</f>
        <v>7.6577999999999999</v>
      </c>
      <c r="Y615" s="454">
        <v>12.3</v>
      </c>
      <c r="AA615" s="452">
        <v>78.400000000000006</v>
      </c>
      <c r="AC615" s="452">
        <v>23.7</v>
      </c>
      <c r="AE615" s="452"/>
      <c r="AI615" s="452"/>
      <c r="AM615" s="452">
        <v>34.1</v>
      </c>
      <c r="AN615" s="739">
        <f>100*37/(37+437)</f>
        <v>7.8059071729957807</v>
      </c>
      <c r="AO615" s="452">
        <v>14.8</v>
      </c>
      <c r="AQ615" s="452">
        <f>(134/519)*(26.9+14.2)</f>
        <v>10.611560693641618</v>
      </c>
      <c r="AS615" s="452"/>
      <c r="AU615" s="452">
        <f>0.5*13.1</f>
        <v>6.55</v>
      </c>
      <c r="AW615" s="452"/>
      <c r="BC615" s="452">
        <f>0.5*13.1</f>
        <v>6.55</v>
      </c>
      <c r="BI615" s="452">
        <v>48.2</v>
      </c>
      <c r="BM615" s="452">
        <v>9.6</v>
      </c>
      <c r="BO615" s="447"/>
      <c r="BS615" s="452">
        <v>53.6</v>
      </c>
      <c r="BU615" s="440">
        <v>9</v>
      </c>
      <c r="BV615" s="440">
        <v>1</v>
      </c>
      <c r="BW615" s="452">
        <v>82.4</v>
      </c>
      <c r="BX615" s="573"/>
      <c r="BY615" s="854"/>
      <c r="BZ615" s="854"/>
      <c r="CA615" s="854"/>
      <c r="CB615" s="854"/>
      <c r="CC615" s="854"/>
      <c r="CD615" s="854"/>
      <c r="CE615" s="854"/>
      <c r="CF615" s="854"/>
      <c r="CH615" s="424" t="s">
        <v>2478</v>
      </c>
      <c r="CI615" s="638" t="s">
        <v>2469</v>
      </c>
      <c r="CK615" s="48" t="s">
        <v>2477</v>
      </c>
    </row>
    <row r="616" spans="1:105" s="35" customFormat="1" ht="12" customHeight="1" x14ac:dyDescent="0.2">
      <c r="A616" s="651"/>
      <c r="B616" s="537" t="s">
        <v>2110</v>
      </c>
      <c r="C616" s="97" t="s">
        <v>70</v>
      </c>
      <c r="D616" s="169" t="s">
        <v>1125</v>
      </c>
      <c r="E616" s="647" t="s">
        <v>1652</v>
      </c>
      <c r="F616" s="647" t="s">
        <v>2219</v>
      </c>
      <c r="G616" s="98"/>
      <c r="H616" s="478"/>
      <c r="I616" s="166">
        <v>2005</v>
      </c>
      <c r="J616" s="571">
        <v>2005</v>
      </c>
      <c r="K616" s="571">
        <v>2007</v>
      </c>
      <c r="L616" s="493" t="s">
        <v>2115</v>
      </c>
      <c r="M616" s="479" t="s">
        <v>18</v>
      </c>
      <c r="N616" s="494"/>
      <c r="O616" s="479" t="s">
        <v>2111</v>
      </c>
      <c r="P616" s="98">
        <v>15</v>
      </c>
      <c r="Q616" s="98">
        <v>22</v>
      </c>
      <c r="R616" s="167"/>
      <c r="S616" s="167"/>
      <c r="T616" s="167"/>
      <c r="U616" s="393">
        <v>61</v>
      </c>
      <c r="V616" s="694">
        <v>0</v>
      </c>
      <c r="W616" s="717" t="s">
        <v>2116</v>
      </c>
      <c r="X616" s="121">
        <f>(0*13 + 3.9*5 + 9.1*42 + 12*1)/61</f>
        <v>6.7819672131147541</v>
      </c>
      <c r="Y616" s="446"/>
      <c r="Z616" s="446"/>
      <c r="AA616" s="446"/>
      <c r="AB616" s="446"/>
      <c r="AC616" s="446"/>
      <c r="AD616" s="446"/>
      <c r="AE616" s="446"/>
      <c r="AF616" s="446"/>
      <c r="AG616" s="446"/>
      <c r="AH616" s="446"/>
      <c r="AI616" s="446"/>
      <c r="AJ616" s="446"/>
      <c r="AK616" s="446"/>
      <c r="AL616" s="442"/>
      <c r="AM616" s="442">
        <f>100*7/61</f>
        <v>11.475409836065573</v>
      </c>
      <c r="AN616" s="446"/>
      <c r="AO616" s="446"/>
      <c r="AP616" s="446"/>
      <c r="AQ616" s="442"/>
      <c r="AR616" s="446"/>
      <c r="AS616" s="442">
        <f>100*5/61</f>
        <v>8.1967213114754092</v>
      </c>
      <c r="AT616" s="446"/>
      <c r="AU616" s="442">
        <f>100*8/61</f>
        <v>13.114754098360656</v>
      </c>
      <c r="AV616" s="446"/>
      <c r="AW616" s="446"/>
      <c r="AX616" s="446"/>
      <c r="AY616" s="446"/>
      <c r="AZ616" s="446"/>
      <c r="BA616" s="442">
        <f>100*9/61</f>
        <v>14.754098360655737</v>
      </c>
      <c r="BB616" s="446"/>
      <c r="BC616" s="440"/>
      <c r="BD616" s="446"/>
      <c r="BG616" s="446"/>
      <c r="BH616" s="446"/>
      <c r="BI616" s="445">
        <f>100*26/61</f>
        <v>42.622950819672134</v>
      </c>
      <c r="BM616" s="445"/>
      <c r="BN616" s="445"/>
      <c r="BO616" s="445"/>
      <c r="BP616" s="445"/>
      <c r="BQ616" s="454"/>
      <c r="BR616" s="454"/>
      <c r="BS616" s="454"/>
      <c r="BT616" s="271"/>
      <c r="BU616" s="271"/>
      <c r="BV616" s="454">
        <v>1</v>
      </c>
      <c r="BW616" s="454"/>
      <c r="BX616" s="573"/>
      <c r="BY616" s="854"/>
      <c r="BZ616" s="854"/>
      <c r="CA616" s="854"/>
      <c r="CB616" s="854"/>
      <c r="CC616" s="854"/>
      <c r="CD616" s="854"/>
      <c r="CE616" s="854"/>
      <c r="CF616" s="854"/>
      <c r="CG616" s="169"/>
      <c r="CH616" s="433" t="s">
        <v>2114</v>
      </c>
      <c r="CI616" s="406" t="s">
        <v>2113</v>
      </c>
      <c r="CJ616" s="23"/>
      <c r="CK616" s="417" t="s">
        <v>2112</v>
      </c>
      <c r="CL616" s="693" t="s">
        <v>2650</v>
      </c>
      <c r="CM616" s="648"/>
      <c r="CR616" s="406"/>
      <c r="CS616" s="648"/>
      <c r="CU616" s="23"/>
      <c r="CV616" s="23"/>
      <c r="CW616" s="23"/>
      <c r="CX616" s="23"/>
      <c r="DA616" s="648"/>
    </row>
    <row r="617" spans="1:105" s="35" customFormat="1" ht="12" customHeight="1" x14ac:dyDescent="0.2">
      <c r="A617" s="651"/>
      <c r="B617" s="537" t="s">
        <v>2183</v>
      </c>
      <c r="C617" s="390" t="s">
        <v>70</v>
      </c>
      <c r="D617" s="36" t="s">
        <v>1125</v>
      </c>
      <c r="E617" s="647" t="s">
        <v>1644</v>
      </c>
      <c r="F617" s="469" t="s">
        <v>2187</v>
      </c>
      <c r="G617" s="479">
        <v>1</v>
      </c>
      <c r="H617" s="478">
        <v>2</v>
      </c>
      <c r="I617" s="166">
        <v>2008</v>
      </c>
      <c r="J617" s="571">
        <v>2008</v>
      </c>
      <c r="K617" s="571">
        <v>2013</v>
      </c>
      <c r="L617" s="469"/>
      <c r="M617" s="247" t="s">
        <v>78</v>
      </c>
      <c r="N617" s="494"/>
      <c r="O617" s="479" t="s">
        <v>2186</v>
      </c>
      <c r="P617" s="98">
        <v>17</v>
      </c>
      <c r="Q617" s="247">
        <v>45</v>
      </c>
      <c r="R617" s="291">
        <f>18*0.079 + 22*0.46 + 27*0.304 + 37.5*0.156</f>
        <v>25.6</v>
      </c>
      <c r="S617" s="291"/>
      <c r="T617" s="291"/>
      <c r="U617" s="395">
        <v>467</v>
      </c>
      <c r="V617" s="794">
        <v>0</v>
      </c>
      <c r="W617" s="720" t="s">
        <v>2065</v>
      </c>
      <c r="X617" s="811"/>
      <c r="Z617" s="447"/>
      <c r="AA617" s="447"/>
      <c r="AB617" s="447"/>
      <c r="AC617" s="447"/>
      <c r="AD617" s="447"/>
      <c r="AF617" s="447"/>
      <c r="AG617" s="447"/>
      <c r="AH617" s="447"/>
      <c r="AI617" s="447"/>
      <c r="AJ617" s="447"/>
      <c r="AK617" s="532"/>
      <c r="AL617" s="532"/>
      <c r="AM617" s="447"/>
      <c r="AN617" s="447"/>
      <c r="AO617" s="447"/>
      <c r="AP617" s="447"/>
      <c r="AQ617" s="447"/>
      <c r="AR617" s="447"/>
      <c r="AS617" s="447"/>
      <c r="AT617" s="447"/>
      <c r="AU617" s="447"/>
      <c r="AV617" s="447"/>
      <c r="AW617" s="447"/>
      <c r="AX617" s="532"/>
      <c r="AY617" s="447"/>
      <c r="AZ617" s="447"/>
      <c r="BA617" s="447"/>
      <c r="BB617" s="447"/>
      <c r="BC617" s="447"/>
      <c r="BD617" s="447"/>
      <c r="BE617" s="737"/>
      <c r="BF617" s="737"/>
      <c r="BG617" s="447"/>
      <c r="BH617" s="447"/>
      <c r="BI617" s="454">
        <v>28.5</v>
      </c>
      <c r="BJ617" s="737">
        <v>12.4</v>
      </c>
      <c r="BK617" s="737"/>
      <c r="BL617" s="737"/>
      <c r="BM617" s="447">
        <v>15.2</v>
      </c>
      <c r="BN617" s="477"/>
      <c r="BO617" s="447"/>
      <c r="BP617" s="447"/>
      <c r="BQ617" s="447"/>
      <c r="BR617" s="446"/>
      <c r="BS617" s="442"/>
      <c r="BT617" s="442"/>
      <c r="BU617" s="442">
        <v>6</v>
      </c>
      <c r="BV617" s="442"/>
      <c r="BW617" s="442"/>
      <c r="BX617" s="573"/>
      <c r="BY617" s="854"/>
      <c r="BZ617" s="854"/>
      <c r="CA617" s="854"/>
      <c r="CB617" s="854"/>
      <c r="CC617" s="854"/>
      <c r="CD617" s="854"/>
      <c r="CE617" s="854"/>
      <c r="CF617" s="854"/>
      <c r="CH617" s="433" t="s">
        <v>2185</v>
      </c>
      <c r="CI617" s="638" t="s">
        <v>2177</v>
      </c>
      <c r="CJ617" s="23"/>
      <c r="CK617" s="469" t="s">
        <v>2184</v>
      </c>
      <c r="CL617" s="693" t="s">
        <v>2655</v>
      </c>
      <c r="CM617" s="580" t="s">
        <v>2209</v>
      </c>
      <c r="CR617" s="406"/>
      <c r="CS617" s="648"/>
      <c r="CU617" s="23"/>
      <c r="CV617" s="23"/>
      <c r="CW617" s="23"/>
      <c r="CX617" s="23"/>
      <c r="DA617" s="648"/>
    </row>
    <row r="618" spans="1:105" s="35" customFormat="1" ht="12" customHeight="1" x14ac:dyDescent="0.2">
      <c r="A618" s="651"/>
      <c r="B618" s="537" t="s">
        <v>2291</v>
      </c>
      <c r="C618" s="390" t="s">
        <v>70</v>
      </c>
      <c r="D618" s="36" t="s">
        <v>1125</v>
      </c>
      <c r="E618" s="647" t="s">
        <v>1644</v>
      </c>
      <c r="F618" s="469" t="s">
        <v>2295</v>
      </c>
      <c r="G618" s="479"/>
      <c r="H618" s="478">
        <v>2</v>
      </c>
      <c r="I618" s="166">
        <v>2008</v>
      </c>
      <c r="J618" s="571">
        <v>2008</v>
      </c>
      <c r="K618" s="571">
        <v>2015</v>
      </c>
      <c r="L618" s="469"/>
      <c r="M618" s="247" t="s">
        <v>18</v>
      </c>
      <c r="N618" s="494"/>
      <c r="O618" s="479" t="s">
        <v>19</v>
      </c>
      <c r="P618" s="98">
        <v>15</v>
      </c>
      <c r="Q618" s="247">
        <v>49</v>
      </c>
      <c r="R618" s="291">
        <f>18*0.126 + 25*0.439 + 35.5*0.283 + 45.5*0.101</f>
        <v>27.884999999999998</v>
      </c>
      <c r="S618" s="291"/>
      <c r="T618" s="291">
        <f>2*0.136 + 7.5*0.5 + 15*0.364</f>
        <v>9.4819999999999993</v>
      </c>
      <c r="U618" s="395">
        <v>198</v>
      </c>
      <c r="V618" s="794">
        <v>0</v>
      </c>
      <c r="W618" s="720" t="s">
        <v>2296</v>
      </c>
      <c r="X618" s="526">
        <f>0*0.182 + 3.9*0.303 + 9*0.414 + 15*0.101</f>
        <v>6.4227000000000007</v>
      </c>
      <c r="Z618" s="447"/>
      <c r="AA618" s="447"/>
      <c r="AB618" s="447"/>
      <c r="AC618" s="447"/>
      <c r="AD618" s="447"/>
      <c r="AF618" s="447"/>
      <c r="AG618" s="447"/>
      <c r="AH618" s="447"/>
      <c r="AI618" s="447"/>
      <c r="AJ618" s="447"/>
      <c r="AK618" s="532"/>
      <c r="AL618" s="532"/>
      <c r="AM618" s="447"/>
      <c r="AN618" s="447"/>
      <c r="AO618" s="447"/>
      <c r="AP618" s="447"/>
      <c r="AQ618" s="447"/>
      <c r="AR618" s="447"/>
      <c r="AS618" s="447"/>
      <c r="AT618" s="447"/>
      <c r="AU618" s="447"/>
      <c r="AV618" s="447"/>
      <c r="AW618" s="447"/>
      <c r="AX618" s="532"/>
      <c r="AY618" s="447"/>
      <c r="AZ618" s="447"/>
      <c r="BA618" s="447"/>
      <c r="BB618" s="447"/>
      <c r="BC618" s="447"/>
      <c r="BD618" s="447"/>
      <c r="BE618" s="737"/>
      <c r="BF618" s="737"/>
      <c r="BG618" s="447"/>
      <c r="BH618" s="447"/>
      <c r="BI618" s="454">
        <f>9.7+9.7</f>
        <v>19.399999999999999</v>
      </c>
      <c r="BJ618" s="737"/>
      <c r="BK618" s="737"/>
      <c r="BL618" s="737"/>
      <c r="BM618" s="447"/>
      <c r="BN618" s="477"/>
      <c r="BO618" s="447"/>
      <c r="BP618" s="447"/>
      <c r="BQ618" s="447"/>
      <c r="BR618" s="446"/>
      <c r="BS618" s="442">
        <v>52</v>
      </c>
      <c r="BT618" s="442"/>
      <c r="BU618" s="442"/>
      <c r="BV618" s="442"/>
      <c r="BW618" s="442"/>
      <c r="BX618" s="573"/>
      <c r="BY618" s="854"/>
      <c r="BZ618" s="854"/>
      <c r="CA618" s="854"/>
      <c r="CB618" s="854"/>
      <c r="CC618" s="854"/>
      <c r="CD618" s="854"/>
      <c r="CE618" s="854"/>
      <c r="CF618" s="854"/>
      <c r="CH618" s="433" t="s">
        <v>2292</v>
      </c>
      <c r="CI618" s="406" t="s">
        <v>2293</v>
      </c>
      <c r="CJ618" s="23"/>
      <c r="CK618" s="469" t="s">
        <v>2294</v>
      </c>
      <c r="CL618" s="693" t="s">
        <v>2656</v>
      </c>
      <c r="CM618" s="580"/>
      <c r="CR618" s="406"/>
      <c r="CS618" s="648"/>
      <c r="CU618" s="23"/>
      <c r="CV618" s="23"/>
      <c r="CW618" s="23"/>
      <c r="CX618" s="23"/>
      <c r="DA618" s="648"/>
    </row>
    <row r="619" spans="1:105" s="35" customFormat="1" ht="12" customHeight="1" x14ac:dyDescent="0.2">
      <c r="A619" s="431"/>
      <c r="B619" s="574" t="s">
        <v>1773</v>
      </c>
      <c r="C619" s="273" t="s">
        <v>70</v>
      </c>
      <c r="D619" s="36" t="s">
        <v>1125</v>
      </c>
      <c r="E619" s="647" t="s">
        <v>211</v>
      </c>
      <c r="F619" s="647" t="s">
        <v>253</v>
      </c>
      <c r="G619" s="479">
        <v>0</v>
      </c>
      <c r="H619" s="186">
        <v>2</v>
      </c>
      <c r="I619" s="37" t="s">
        <v>1923</v>
      </c>
      <c r="J619" s="571">
        <v>2006</v>
      </c>
      <c r="K619" s="571">
        <v>2013</v>
      </c>
      <c r="L619" s="128"/>
      <c r="M619" s="23" t="s">
        <v>78</v>
      </c>
      <c r="N619" s="575" t="s">
        <v>794</v>
      </c>
      <c r="O619" s="98" t="s">
        <v>21</v>
      </c>
      <c r="P619" s="98">
        <v>18</v>
      </c>
      <c r="Q619" s="23">
        <v>49</v>
      </c>
      <c r="R619" s="39">
        <v>26.68</v>
      </c>
      <c r="S619" s="39">
        <v>19.34</v>
      </c>
      <c r="T619" s="39"/>
      <c r="U619" s="576">
        <v>80</v>
      </c>
      <c r="V619" s="692">
        <v>0</v>
      </c>
      <c r="W619" s="724" t="s">
        <v>2059</v>
      </c>
      <c r="X619" s="277">
        <v>6.44</v>
      </c>
      <c r="Y619" s="507"/>
      <c r="Z619" s="507"/>
      <c r="AA619" s="507"/>
      <c r="AB619" s="507"/>
      <c r="AC619" s="507"/>
      <c r="AD619" s="507"/>
      <c r="AE619" s="507"/>
      <c r="AF619" s="507"/>
      <c r="AG619" s="507"/>
      <c r="AH619" s="507"/>
      <c r="AM619" s="577">
        <v>33.799999999999997</v>
      </c>
      <c r="AN619" s="676">
        <v>11.2</v>
      </c>
      <c r="AO619" s="507"/>
      <c r="AP619" s="507"/>
      <c r="AQ619" s="507"/>
      <c r="AR619" s="507"/>
      <c r="AS619" s="577">
        <v>1.2</v>
      </c>
      <c r="AT619" s="676">
        <v>1.2</v>
      </c>
      <c r="AU619" s="577">
        <v>7.5</v>
      </c>
      <c r="AV619" s="676">
        <v>5</v>
      </c>
      <c r="AW619" s="507"/>
      <c r="AX619" s="507"/>
      <c r="AY619" s="577">
        <v>1.2</v>
      </c>
      <c r="AZ619" s="578">
        <v>0</v>
      </c>
      <c r="BA619" s="577">
        <v>1.2</v>
      </c>
      <c r="BB619" s="578">
        <v>0</v>
      </c>
      <c r="BC619" s="577">
        <v>11.2</v>
      </c>
      <c r="BD619" s="676">
        <v>2.5</v>
      </c>
      <c r="BE619" s="458"/>
      <c r="BF619" s="458"/>
      <c r="BG619" s="676"/>
      <c r="BH619" s="676"/>
      <c r="BI619" s="577">
        <v>38.799999999999997</v>
      </c>
      <c r="BJ619" s="458"/>
      <c r="BK619" s="458"/>
      <c r="BL619" s="458"/>
      <c r="BM619" s="458">
        <v>15</v>
      </c>
      <c r="BN619" s="458"/>
      <c r="BO619" s="458"/>
      <c r="BP619" s="458"/>
      <c r="BQ619" s="458"/>
      <c r="BR619" s="458"/>
      <c r="BS619" s="458"/>
      <c r="BT619" s="458"/>
      <c r="BU619" s="458">
        <v>9</v>
      </c>
      <c r="BV619" s="577">
        <v>1</v>
      </c>
      <c r="BW619" s="577">
        <v>100</v>
      </c>
      <c r="BX619" s="573"/>
      <c r="BY619" s="854"/>
      <c r="BZ619" s="854"/>
      <c r="CA619" s="854"/>
      <c r="CB619" s="854"/>
      <c r="CC619" s="854"/>
      <c r="CD619" s="854"/>
      <c r="CE619" s="854"/>
      <c r="CF619" s="854"/>
      <c r="CG619" s="579"/>
      <c r="CH619" s="417" t="s">
        <v>1642</v>
      </c>
      <c r="CI619" s="406" t="s">
        <v>1639</v>
      </c>
      <c r="CJ619" s="23"/>
      <c r="CK619" s="648" t="s">
        <v>1643</v>
      </c>
      <c r="CL619" s="842" t="s">
        <v>2658</v>
      </c>
      <c r="CM619" s="431"/>
      <c r="CN619" s="128"/>
      <c r="CO619" s="128"/>
      <c r="CP619" s="128"/>
      <c r="CQ619" s="128"/>
      <c r="CR619" s="406"/>
      <c r="CS619" s="431"/>
      <c r="CU619" s="23"/>
      <c r="CV619" s="23"/>
      <c r="CW619" s="23"/>
      <c r="CX619" s="23"/>
      <c r="DA619" s="648"/>
    </row>
    <row r="620" spans="1:105" s="35" customFormat="1" ht="12" customHeight="1" x14ac:dyDescent="0.2">
      <c r="A620" s="651"/>
      <c r="B620" s="537"/>
      <c r="C620" s="390"/>
      <c r="D620" s="36"/>
      <c r="E620" s="647"/>
      <c r="F620" s="469"/>
      <c r="G620" s="479"/>
      <c r="H620" s="478"/>
      <c r="I620" s="166"/>
      <c r="J620" s="571"/>
      <c r="K620" s="571"/>
      <c r="L620" s="469"/>
      <c r="M620" s="247"/>
      <c r="N620" s="494"/>
      <c r="O620" s="479"/>
      <c r="P620" s="98"/>
      <c r="Q620" s="247"/>
      <c r="R620" s="291"/>
      <c r="S620" s="291"/>
      <c r="T620" s="291"/>
      <c r="U620" s="395"/>
      <c r="V620" s="794"/>
      <c r="W620" s="720"/>
      <c r="X620" s="811"/>
      <c r="Z620" s="447"/>
      <c r="AA620" s="447"/>
      <c r="AB620" s="447"/>
      <c r="AC620" s="447"/>
      <c r="AD620" s="447"/>
      <c r="AF620" s="447"/>
      <c r="AG620" s="447"/>
      <c r="AH620" s="447"/>
      <c r="AI620" s="447"/>
      <c r="AJ620" s="447"/>
      <c r="AK620" s="532"/>
      <c r="AL620" s="532"/>
      <c r="AM620" s="447"/>
      <c r="AN620" s="447"/>
      <c r="AO620" s="447"/>
      <c r="AP620" s="447"/>
      <c r="AQ620" s="447"/>
      <c r="AR620" s="447"/>
      <c r="AS620" s="447"/>
      <c r="AT620" s="447"/>
      <c r="AU620" s="447"/>
      <c r="AV620" s="447"/>
      <c r="AW620" s="447"/>
      <c r="AX620" s="532"/>
      <c r="AY620" s="447"/>
      <c r="AZ620" s="447"/>
      <c r="BA620" s="447"/>
      <c r="BB620" s="447"/>
      <c r="BC620" s="447"/>
      <c r="BD620" s="447"/>
      <c r="BE620" s="737"/>
      <c r="BF620" s="737"/>
      <c r="BG620" s="447"/>
      <c r="BH620" s="447"/>
      <c r="BI620" s="454"/>
      <c r="BJ620" s="737"/>
      <c r="BK620" s="737"/>
      <c r="BL620" s="737"/>
      <c r="BM620" s="447"/>
      <c r="BN620" s="477"/>
      <c r="BO620" s="447"/>
      <c r="BP620" s="447"/>
      <c r="BQ620" s="447"/>
      <c r="BR620" s="446"/>
      <c r="BS620" s="442"/>
      <c r="BT620" s="442"/>
      <c r="BU620" s="442"/>
      <c r="BV620" s="442"/>
      <c r="BW620" s="442"/>
      <c r="BX620" s="573"/>
      <c r="BY620" s="854"/>
      <c r="BZ620" s="854"/>
      <c r="CA620" s="854"/>
      <c r="CB620" s="854"/>
      <c r="CC620" s="854"/>
      <c r="CD620" s="854"/>
      <c r="CE620" s="854"/>
      <c r="CF620" s="854"/>
      <c r="CH620" s="433"/>
      <c r="CI620" s="638"/>
      <c r="CJ620" s="23"/>
      <c r="CK620" s="469"/>
      <c r="CL620" s="693"/>
      <c r="CM620" s="580"/>
      <c r="CR620" s="406"/>
      <c r="CS620" s="648"/>
      <c r="CU620" s="23"/>
      <c r="CV620" s="23"/>
      <c r="CW620" s="23"/>
      <c r="CX620" s="23"/>
      <c r="DA620" s="648"/>
    </row>
    <row r="621" spans="1:105" s="512" customFormat="1" ht="12" customHeight="1" x14ac:dyDescent="0.2">
      <c r="A621" s="735" t="s">
        <v>2050</v>
      </c>
      <c r="C621" s="512" t="s">
        <v>70</v>
      </c>
      <c r="D621" s="516" t="s">
        <v>1125</v>
      </c>
      <c r="E621" s="702" t="s">
        <v>1854</v>
      </c>
      <c r="F621" s="702"/>
      <c r="G621" s="669"/>
      <c r="H621" s="670">
        <v>2</v>
      </c>
      <c r="I621" s="671">
        <v>2009</v>
      </c>
      <c r="J621" s="830">
        <v>2009</v>
      </c>
      <c r="K621" s="830"/>
      <c r="L621" s="515"/>
      <c r="M621" s="513" t="s">
        <v>289</v>
      </c>
      <c r="N621" s="545"/>
      <c r="O621" s="513"/>
      <c r="P621" s="513"/>
      <c r="Q621" s="513"/>
      <c r="R621" s="583"/>
      <c r="S621" s="583"/>
      <c r="T621" s="583"/>
      <c r="U621" s="667">
        <v>1000</v>
      </c>
      <c r="V621" s="803"/>
      <c r="W621" s="728"/>
      <c r="X621" s="812">
        <f>3.9*0.093 + 9.1*0.481 + 15.2*0.426</f>
        <v>11.215</v>
      </c>
      <c r="Y621" s="518"/>
      <c r="Z621" s="672"/>
      <c r="AA621" s="517"/>
      <c r="AB621" s="517"/>
      <c r="AC621" s="517"/>
      <c r="AD621" s="517"/>
      <c r="AE621" s="517"/>
      <c r="AF621" s="517"/>
      <c r="AG621" s="517"/>
      <c r="AH621" s="517"/>
      <c r="AI621" s="674"/>
      <c r="AJ621" s="674"/>
      <c r="AK621" s="674"/>
      <c r="AL621" s="674"/>
      <c r="AM621" s="518"/>
      <c r="AN621" s="518"/>
      <c r="AO621" s="518"/>
      <c r="AP621" s="518"/>
      <c r="AQ621" s="517"/>
      <c r="AR621" s="517"/>
      <c r="AS621" s="517"/>
      <c r="AT621" s="673"/>
      <c r="AU621" s="674"/>
      <c r="AV621" s="674"/>
      <c r="AW621" s="674"/>
      <c r="AX621" s="674"/>
      <c r="AY621" s="674"/>
      <c r="AZ621" s="674"/>
      <c r="BA621" s="673"/>
      <c r="BB621" s="673"/>
      <c r="BC621" s="674"/>
      <c r="BD621" s="674"/>
      <c r="BE621" s="518"/>
      <c r="BF621" s="518"/>
      <c r="BG621" s="674"/>
      <c r="BH621" s="674"/>
      <c r="BI621" s="673">
        <v>34</v>
      </c>
      <c r="BJ621" s="518"/>
      <c r="BK621" s="518"/>
      <c r="BL621" s="518"/>
      <c r="BM621" s="675"/>
      <c r="BN621" s="518"/>
      <c r="BO621" s="518"/>
      <c r="BP621" s="518"/>
      <c r="BQ621" s="673"/>
      <c r="BR621" s="673"/>
      <c r="BS621" s="673"/>
      <c r="BT621" s="673"/>
      <c r="BU621" s="673"/>
      <c r="BV621" s="675">
        <v>0</v>
      </c>
      <c r="BW621" s="675"/>
      <c r="BX621" s="768"/>
      <c r="BY621" s="850"/>
      <c r="BZ621" s="850"/>
      <c r="CA621" s="850"/>
      <c r="CB621" s="850"/>
      <c r="CC621" s="850"/>
      <c r="CD621" s="850"/>
      <c r="CE621" s="850"/>
      <c r="CF621" s="850"/>
      <c r="CG621" s="513"/>
      <c r="CH621" s="519" t="s">
        <v>1892</v>
      </c>
      <c r="CI621" s="520" t="s">
        <v>1856</v>
      </c>
      <c r="CJ621" s="513"/>
      <c r="CK621" s="687" t="s">
        <v>1855</v>
      </c>
      <c r="CL621" s="696" t="s">
        <v>2049</v>
      </c>
      <c r="CM621" s="702"/>
      <c r="CR621" s="520"/>
      <c r="CS621" s="702"/>
      <c r="CU621" s="513"/>
      <c r="CV621" s="513"/>
      <c r="CW621" s="513"/>
      <c r="CX621" s="513"/>
      <c r="DA621" s="702"/>
    </row>
    <row r="622" spans="1:105" s="512" customFormat="1" ht="12" customHeight="1" x14ac:dyDescent="0.2">
      <c r="A622" s="735"/>
      <c r="D622" s="516"/>
      <c r="E622" s="702"/>
      <c r="F622" s="702"/>
      <c r="G622" s="669"/>
      <c r="H622" s="670"/>
      <c r="I622" s="671"/>
      <c r="J622" s="830"/>
      <c r="K622" s="830"/>
      <c r="L622" s="515"/>
      <c r="M622" s="513"/>
      <c r="N622" s="545"/>
      <c r="O622" s="513"/>
      <c r="P622" s="513"/>
      <c r="Q622" s="513"/>
      <c r="R622" s="583"/>
      <c r="S622" s="583"/>
      <c r="T622" s="583"/>
      <c r="U622" s="667"/>
      <c r="V622" s="803"/>
      <c r="W622" s="728"/>
      <c r="X622" s="812"/>
      <c r="Y622" s="518"/>
      <c r="Z622" s="672"/>
      <c r="AA622" s="517"/>
      <c r="AB622" s="517"/>
      <c r="AC622" s="517"/>
      <c r="AD622" s="517"/>
      <c r="AE622" s="517"/>
      <c r="AF622" s="517"/>
      <c r="AG622" s="517"/>
      <c r="AH622" s="517"/>
      <c r="AI622" s="674"/>
      <c r="AJ622" s="674"/>
      <c r="AK622" s="674"/>
      <c r="AL622" s="674"/>
      <c r="AM622" s="518"/>
      <c r="AN622" s="518"/>
      <c r="AO622" s="518"/>
      <c r="AP622" s="518"/>
      <c r="AQ622" s="517"/>
      <c r="AR622" s="517"/>
      <c r="AS622" s="517"/>
      <c r="AT622" s="673"/>
      <c r="AU622" s="674"/>
      <c r="AV622" s="674"/>
      <c r="AW622" s="674"/>
      <c r="AX622" s="674"/>
      <c r="AY622" s="674"/>
      <c r="AZ622" s="674"/>
      <c r="BA622" s="673"/>
      <c r="BB622" s="673"/>
      <c r="BC622" s="674"/>
      <c r="BD622" s="674"/>
      <c r="BE622" s="518"/>
      <c r="BF622" s="518"/>
      <c r="BG622" s="674"/>
      <c r="BH622" s="674"/>
      <c r="BI622" s="673"/>
      <c r="BJ622" s="518"/>
      <c r="BK622" s="518"/>
      <c r="BL622" s="518"/>
      <c r="BM622" s="675"/>
      <c r="BN622" s="518"/>
      <c r="BO622" s="518"/>
      <c r="BP622" s="518"/>
      <c r="BQ622" s="673"/>
      <c r="BR622" s="673"/>
      <c r="BS622" s="673"/>
      <c r="BT622" s="673"/>
      <c r="BU622" s="673"/>
      <c r="BV622" s="675"/>
      <c r="BW622" s="675"/>
      <c r="BX622" s="768"/>
      <c r="BY622" s="850"/>
      <c r="BZ622" s="850"/>
      <c r="CA622" s="850"/>
      <c r="CB622" s="850"/>
      <c r="CC622" s="850"/>
      <c r="CD622" s="850"/>
      <c r="CE622" s="850"/>
      <c r="CF622" s="850"/>
      <c r="CG622" s="513"/>
      <c r="CH622" s="519"/>
      <c r="CI622" s="520"/>
      <c r="CJ622" s="513"/>
      <c r="CK622" s="687"/>
      <c r="CL622" s="696"/>
      <c r="CM622" s="702"/>
      <c r="CR622" s="520"/>
      <c r="CS622" s="702"/>
      <c r="CU622" s="513"/>
      <c r="CV622" s="513"/>
      <c r="CW622" s="513"/>
      <c r="CX622" s="513"/>
      <c r="DA622" s="702"/>
    </row>
    <row r="623" spans="1:105" x14ac:dyDescent="0.2">
      <c r="V623" s="504"/>
      <c r="BY623" s="861"/>
      <c r="BZ623" s="861"/>
      <c r="CA623" s="861"/>
      <c r="CB623" s="861"/>
      <c r="CC623" s="861"/>
      <c r="CD623" s="861"/>
      <c r="CE623" s="861"/>
      <c r="CF623" s="861"/>
    </row>
    <row r="624" spans="1:105" x14ac:dyDescent="0.2">
      <c r="V624" s="504"/>
      <c r="BY624" s="861"/>
      <c r="BZ624" s="861"/>
      <c r="CA624" s="861"/>
      <c r="CB624" s="861"/>
      <c r="CC624" s="861"/>
      <c r="CD624" s="861"/>
      <c r="CE624" s="861"/>
      <c r="CF624" s="861"/>
    </row>
    <row r="625" spans="1:115" ht="12" customHeight="1" x14ac:dyDescent="0.2">
      <c r="C625" s="14"/>
      <c r="D625" s="177"/>
      <c r="E625" s="650"/>
      <c r="F625" s="650"/>
      <c r="G625" s="75"/>
      <c r="H625" s="74"/>
      <c r="I625" s="111"/>
      <c r="J625" s="829"/>
      <c r="K625" s="829"/>
      <c r="L625" s="497"/>
      <c r="M625" s="75"/>
      <c r="N625" s="546"/>
      <c r="Q625" s="75"/>
      <c r="R625" s="584"/>
      <c r="S625" s="584"/>
      <c r="T625" s="584"/>
      <c r="U625" s="96" t="s">
        <v>542</v>
      </c>
      <c r="V625" s="805"/>
      <c r="W625" s="731"/>
      <c r="X625" s="254"/>
      <c r="Y625" s="508"/>
      <c r="Z625" s="465"/>
      <c r="AA625" s="465"/>
      <c r="AB625" s="465"/>
      <c r="AC625" s="465"/>
      <c r="AD625" s="465"/>
      <c r="AE625" s="465"/>
      <c r="AF625" s="465"/>
      <c r="AG625" s="465"/>
      <c r="AH625" s="465"/>
      <c r="AI625" s="465"/>
      <c r="AJ625" s="465"/>
      <c r="AK625" s="465"/>
      <c r="AL625" s="465"/>
      <c r="AM625" s="465"/>
      <c r="AN625" s="465"/>
      <c r="AO625" s="465"/>
      <c r="AP625" s="465"/>
      <c r="AQ625" s="465"/>
      <c r="AR625" s="465"/>
      <c r="AS625" s="465"/>
      <c r="AT625" s="465"/>
      <c r="AU625" s="465"/>
      <c r="AV625" s="465"/>
      <c r="AW625" s="465"/>
      <c r="AX625" s="465"/>
      <c r="AY625" s="465"/>
      <c r="AZ625" s="465"/>
      <c r="BA625" s="465"/>
      <c r="BB625" s="465"/>
      <c r="BC625" s="465"/>
      <c r="BD625" s="465"/>
      <c r="BG625" s="465"/>
      <c r="BH625" s="465"/>
      <c r="BX625" s="756"/>
      <c r="BY625" s="850"/>
      <c r="BZ625" s="850"/>
      <c r="CA625" s="850"/>
      <c r="CB625" s="850"/>
      <c r="CC625" s="850"/>
      <c r="CD625" s="850"/>
      <c r="CE625" s="850"/>
      <c r="CF625" s="850"/>
      <c r="CG625" s="177"/>
      <c r="CH625" s="424"/>
      <c r="CI625" s="410"/>
      <c r="CL625" s="692"/>
      <c r="CS625" s="700"/>
    </row>
    <row r="626" spans="1:115" ht="12" customHeight="1" x14ac:dyDescent="0.2">
      <c r="C626" s="45"/>
      <c r="E626" s="650"/>
      <c r="F626" s="650"/>
      <c r="G626" s="75"/>
      <c r="H626" s="74"/>
      <c r="J626" s="829"/>
      <c r="K626" s="829"/>
      <c r="M626" s="528" t="s">
        <v>324</v>
      </c>
      <c r="N626" s="529" t="s">
        <v>1755</v>
      </c>
      <c r="O626" s="75"/>
      <c r="P626" s="75"/>
      <c r="V626" s="504"/>
      <c r="X626" s="254"/>
      <c r="BY626" s="861"/>
      <c r="BZ626" s="861"/>
      <c r="CA626" s="861"/>
      <c r="CB626" s="861"/>
      <c r="CC626" s="861"/>
      <c r="CD626" s="861"/>
      <c r="CE626" s="861"/>
      <c r="CF626" s="861"/>
      <c r="DB626" s="849"/>
      <c r="DC626" s="849"/>
      <c r="DD626" s="849"/>
      <c r="DE626" s="849"/>
      <c r="DF626" s="849"/>
      <c r="DG626" s="849"/>
      <c r="DH626" s="849"/>
      <c r="DI626" s="849"/>
      <c r="DJ626" s="849"/>
    </row>
    <row r="627" spans="1:115" s="72" customFormat="1" ht="13.5" customHeight="1" x14ac:dyDescent="0.2">
      <c r="A627" s="649"/>
      <c r="B627" s="543"/>
      <c r="D627" s="45"/>
      <c r="E627" s="434"/>
      <c r="F627" s="434"/>
      <c r="G627" s="1"/>
      <c r="I627" s="2"/>
      <c r="L627" s="530" t="s">
        <v>117</v>
      </c>
      <c r="M627" s="1" t="s">
        <v>17</v>
      </c>
      <c r="N627" s="499" t="s">
        <v>783</v>
      </c>
      <c r="O627" s="106"/>
      <c r="P627" s="106"/>
      <c r="Q627" s="1"/>
      <c r="R627" s="3"/>
      <c r="S627" s="3"/>
      <c r="T627" s="3"/>
      <c r="U627" s="396"/>
      <c r="V627" s="504"/>
      <c r="W627" s="653"/>
      <c r="X627" s="24"/>
      <c r="Y627" s="507"/>
      <c r="Z627" s="459"/>
      <c r="AA627" s="459"/>
      <c r="AB627" s="459"/>
      <c r="AC627" s="459"/>
      <c r="AD627" s="459"/>
      <c r="AE627" s="459"/>
      <c r="AF627" s="459"/>
      <c r="AG627" s="459"/>
      <c r="AH627" s="459"/>
      <c r="AI627" s="459"/>
      <c r="AJ627" s="459"/>
      <c r="AK627" s="459"/>
      <c r="AL627" s="459"/>
      <c r="AM627" s="459"/>
      <c r="AN627" s="459"/>
      <c r="AO627" s="459"/>
      <c r="AP627" s="459"/>
      <c r="AQ627" s="459"/>
      <c r="AR627" s="459"/>
      <c r="AS627" s="459"/>
      <c r="AT627" s="459"/>
      <c r="AU627" s="459"/>
      <c r="AV627" s="459"/>
      <c r="AW627" s="459"/>
      <c r="AX627" s="459"/>
      <c r="AY627" s="459"/>
      <c r="AZ627" s="459"/>
      <c r="BA627" s="459"/>
      <c r="BB627" s="459"/>
      <c r="BC627" s="459"/>
      <c r="BD627" s="459"/>
      <c r="BE627" s="457"/>
      <c r="BF627" s="457"/>
      <c r="BG627" s="459"/>
      <c r="BH627" s="459"/>
      <c r="BI627" s="457"/>
      <c r="BJ627" s="457"/>
      <c r="BK627" s="457"/>
      <c r="BL627" s="457"/>
      <c r="BM627" s="457"/>
      <c r="BN627" s="457"/>
      <c r="BO627" s="457"/>
      <c r="BP627" s="457"/>
      <c r="BQ627" s="457"/>
      <c r="BR627" s="457"/>
      <c r="BS627" s="457"/>
      <c r="BT627" s="457"/>
      <c r="BU627" s="457"/>
      <c r="BV627" s="457"/>
      <c r="BW627" s="457"/>
      <c r="BX627" s="762"/>
      <c r="BY627" s="857"/>
      <c r="BZ627" s="857"/>
      <c r="CA627" s="857"/>
      <c r="CB627" s="857"/>
      <c r="CC627" s="857"/>
      <c r="CD627" s="857"/>
      <c r="CE627" s="857"/>
      <c r="CF627" s="857"/>
      <c r="CG627" s="21" t="s">
        <v>648</v>
      </c>
      <c r="CH627" s="435"/>
      <c r="CI627" s="403"/>
      <c r="CJ627" s="351"/>
      <c r="CK627" s="688"/>
      <c r="CL627" s="490"/>
      <c r="CM627" s="434"/>
      <c r="CR627" s="403"/>
      <c r="CS627" s="434"/>
      <c r="CU627" s="1"/>
      <c r="CV627" s="1"/>
      <c r="CW627" s="1"/>
      <c r="CX627" s="1"/>
      <c r="DA627" s="434"/>
      <c r="DF627"/>
      <c r="DG627"/>
    </row>
    <row r="628" spans="1:115" s="72" customFormat="1" ht="13.5" customHeight="1" x14ac:dyDescent="0.2">
      <c r="A628" s="434"/>
      <c r="B628" s="418"/>
      <c r="D628" s="45"/>
      <c r="E628" s="708"/>
      <c r="F628" s="708"/>
      <c r="G628" s="116"/>
      <c r="H628" s="116"/>
      <c r="I628" s="2"/>
      <c r="J628" s="831"/>
      <c r="K628" s="831"/>
      <c r="L628" s="530" t="s">
        <v>118</v>
      </c>
      <c r="M628" s="1" t="s">
        <v>18</v>
      </c>
      <c r="N628" s="497" t="s">
        <v>794</v>
      </c>
      <c r="O628" s="1"/>
      <c r="P628" s="1"/>
      <c r="Q628" s="1"/>
      <c r="R628" s="3"/>
      <c r="S628" s="3"/>
      <c r="T628" s="3"/>
      <c r="U628" s="396"/>
      <c r="V628" s="504"/>
      <c r="W628" s="653"/>
      <c r="X628" s="585"/>
      <c r="Y628" s="507"/>
      <c r="Z628" s="459"/>
      <c r="AA628" s="459"/>
      <c r="AB628" s="459"/>
      <c r="AC628" s="459"/>
      <c r="AD628" s="459"/>
      <c r="AE628" s="459"/>
      <c r="AF628" s="459"/>
      <c r="AG628" s="459"/>
      <c r="AH628" s="459"/>
      <c r="AI628" s="459"/>
      <c r="AJ628" s="459"/>
      <c r="AK628" s="459"/>
      <c r="AL628" s="459"/>
      <c r="AM628" s="459"/>
      <c r="AN628" s="459"/>
      <c r="AO628" s="459"/>
      <c r="AP628" s="459"/>
      <c r="AQ628" s="459"/>
      <c r="AR628" s="459"/>
      <c r="AS628" s="459"/>
      <c r="AT628" s="459"/>
      <c r="AU628" s="459"/>
      <c r="AV628" s="459"/>
      <c r="AW628" s="459"/>
      <c r="AX628" s="459"/>
      <c r="AY628" s="459"/>
      <c r="AZ628" s="459"/>
      <c r="BA628" s="459"/>
      <c r="BB628" s="459"/>
      <c r="BC628" s="459"/>
      <c r="BD628" s="459"/>
      <c r="BE628" s="457"/>
      <c r="BF628" s="457"/>
      <c r="BG628" s="459"/>
      <c r="BH628" s="459"/>
      <c r="BI628" s="457"/>
      <c r="BJ628" s="457"/>
      <c r="BK628" s="457"/>
      <c r="BL628" s="457"/>
      <c r="BM628" s="457"/>
      <c r="BN628" s="457"/>
      <c r="BO628" s="457"/>
      <c r="BP628" s="457"/>
      <c r="BQ628" s="457"/>
      <c r="BR628" s="457"/>
      <c r="BS628" s="457"/>
      <c r="BT628" s="457"/>
      <c r="BU628" s="457"/>
      <c r="BV628" s="457"/>
      <c r="BW628" s="457"/>
      <c r="BX628" s="769"/>
      <c r="BY628" s="861"/>
      <c r="BZ628" s="861"/>
      <c r="CA628" s="861"/>
      <c r="CB628" s="861"/>
      <c r="CC628" s="861"/>
      <c r="CD628" s="861"/>
      <c r="CE628" s="861"/>
      <c r="CF628" s="861"/>
      <c r="CG628" s="180" t="s">
        <v>219</v>
      </c>
      <c r="CH628" s="436" t="s">
        <v>664</v>
      </c>
      <c r="CI628" s="411">
        <v>39095</v>
      </c>
      <c r="CJ628" s="19" t="s">
        <v>649</v>
      </c>
      <c r="CK628" s="434" t="s">
        <v>1063</v>
      </c>
      <c r="CL628" s="490" t="s">
        <v>665</v>
      </c>
      <c r="CM628" s="434"/>
      <c r="CR628" s="403"/>
      <c r="CS628" s="48"/>
      <c r="CT628"/>
      <c r="CU628" s="1"/>
      <c r="CV628" s="1"/>
      <c r="CW628" s="1"/>
      <c r="CX628" s="1"/>
      <c r="CY628"/>
      <c r="CZ628"/>
      <c r="DA628" s="48"/>
      <c r="DF628"/>
      <c r="DG628"/>
    </row>
    <row r="629" spans="1:115" s="72" customFormat="1" ht="13.5" customHeight="1" x14ac:dyDescent="0.2">
      <c r="A629" s="434"/>
      <c r="B629" s="418"/>
      <c r="D629" s="23"/>
      <c r="E629" s="708"/>
      <c r="F629" s="708"/>
      <c r="G629" s="116"/>
      <c r="H629" s="116"/>
      <c r="I629" s="2"/>
      <c r="J629" s="831"/>
      <c r="K629" s="831"/>
      <c r="L629" s="530" t="s">
        <v>119</v>
      </c>
      <c r="M629" s="1" t="s">
        <v>15</v>
      </c>
      <c r="N629" s="499"/>
      <c r="O629" s="1"/>
      <c r="P629" s="1"/>
      <c r="Q629" s="1"/>
      <c r="R629" s="3"/>
      <c r="S629" s="3"/>
      <c r="T629" s="3"/>
      <c r="U629" s="396"/>
      <c r="V629" s="504"/>
      <c r="W629" s="653"/>
      <c r="X629" s="585"/>
      <c r="Y629" s="507"/>
      <c r="Z629" s="459"/>
      <c r="AA629" s="459"/>
      <c r="AB629" s="459"/>
      <c r="AC629" s="459"/>
      <c r="AD629" s="459"/>
      <c r="AE629" s="459"/>
      <c r="AF629" s="459"/>
      <c r="AG629" s="459"/>
      <c r="AH629" s="459"/>
      <c r="AI629" s="459"/>
      <c r="AJ629" s="459"/>
      <c r="AK629" s="459"/>
      <c r="AL629" s="459"/>
      <c r="AM629" s="459"/>
      <c r="AN629" s="459"/>
      <c r="AO629" s="459"/>
      <c r="AP629" s="459"/>
      <c r="AQ629" s="459"/>
      <c r="AR629" s="459"/>
      <c r="AS629" s="459"/>
      <c r="AT629" s="459"/>
      <c r="AU629" s="459"/>
      <c r="AV629" s="459"/>
      <c r="AW629" s="459"/>
      <c r="AX629" s="459"/>
      <c r="AY629" s="459"/>
      <c r="AZ629" s="459"/>
      <c r="BA629" s="459"/>
      <c r="BB629" s="459"/>
      <c r="BC629" s="459"/>
      <c r="BD629" s="459"/>
      <c r="BE629" s="457"/>
      <c r="BF629" s="457"/>
      <c r="BG629" s="459"/>
      <c r="BH629" s="459"/>
      <c r="BI629" s="457"/>
      <c r="BJ629" s="457"/>
      <c r="BK629" s="457"/>
      <c r="BL629" s="457"/>
      <c r="BM629" s="457"/>
      <c r="BN629" s="457"/>
      <c r="BO629" s="457"/>
      <c r="BP629" s="457"/>
      <c r="BQ629" s="457"/>
      <c r="BR629" s="457"/>
      <c r="BS629" s="457"/>
      <c r="BT629" s="457"/>
      <c r="BU629" s="457"/>
      <c r="BV629" s="457"/>
      <c r="BW629" s="457"/>
      <c r="BX629" s="769"/>
      <c r="BY629" s="861"/>
      <c r="BZ629" s="861"/>
      <c r="CA629" s="861"/>
      <c r="CB629" s="861"/>
      <c r="CC629" s="861"/>
      <c r="CD629" s="861"/>
      <c r="CE629" s="861"/>
      <c r="CF629" s="861"/>
      <c r="CG629" s="34" t="s">
        <v>218</v>
      </c>
      <c r="CH629" s="419" t="s">
        <v>1050</v>
      </c>
      <c r="CI629" s="412">
        <v>39094</v>
      </c>
      <c r="CJ629" s="1" t="s">
        <v>667</v>
      </c>
      <c r="CK629" s="434" t="s">
        <v>1059</v>
      </c>
      <c r="CL629" s="697" t="s">
        <v>666</v>
      </c>
      <c r="CM629" s="434"/>
      <c r="CR629" s="403"/>
      <c r="CS629" s="48"/>
      <c r="CT629"/>
      <c r="CU629" s="1"/>
      <c r="CV629" s="1"/>
      <c r="CW629" s="1"/>
      <c r="CX629" s="1"/>
      <c r="CY629"/>
      <c r="CZ629"/>
      <c r="DA629" s="48"/>
      <c r="DF629"/>
      <c r="DG629"/>
    </row>
    <row r="630" spans="1:115" s="72" customFormat="1" ht="13.5" customHeight="1" x14ac:dyDescent="0.2">
      <c r="A630" s="434"/>
      <c r="B630" s="418"/>
      <c r="D630" s="36"/>
      <c r="E630" s="48"/>
      <c r="F630" s="48"/>
      <c r="G630" s="1"/>
      <c r="H630"/>
      <c r="I630" s="2"/>
      <c r="L630" s="530" t="s">
        <v>120</v>
      </c>
      <c r="M630" s="1" t="s">
        <v>78</v>
      </c>
      <c r="N630" s="499"/>
      <c r="O630" s="98"/>
      <c r="P630" s="98"/>
      <c r="Q630" s="1"/>
      <c r="R630" s="3"/>
      <c r="S630" s="3"/>
      <c r="T630" s="3"/>
      <c r="U630" s="396"/>
      <c r="V630" s="504"/>
      <c r="W630" s="653"/>
      <c r="X630" s="24"/>
      <c r="Y630" s="507"/>
      <c r="Z630" s="459"/>
      <c r="AA630" s="459"/>
      <c r="AB630" s="459"/>
      <c r="AC630" s="459"/>
      <c r="AD630" s="459"/>
      <c r="AE630" s="459"/>
      <c r="AF630" s="459"/>
      <c r="AG630" s="459"/>
      <c r="AH630" s="459"/>
      <c r="AI630" s="459"/>
      <c r="AJ630" s="459"/>
      <c r="AK630" s="459"/>
      <c r="AL630" s="459"/>
      <c r="AM630" s="459"/>
      <c r="AN630" s="459"/>
      <c r="AO630" s="459"/>
      <c r="AP630" s="459"/>
      <c r="AQ630" s="459"/>
      <c r="AR630" s="459"/>
      <c r="AS630" s="459"/>
      <c r="AT630" s="459"/>
      <c r="AU630" s="459"/>
      <c r="AV630" s="459"/>
      <c r="AW630" s="459"/>
      <c r="AX630" s="459"/>
      <c r="AY630" s="459"/>
      <c r="AZ630" s="459"/>
      <c r="BA630" s="459"/>
      <c r="BB630" s="459"/>
      <c r="BC630" s="459"/>
      <c r="BD630" s="459"/>
      <c r="BE630" s="457"/>
      <c r="BF630" s="457"/>
      <c r="BG630" s="459"/>
      <c r="BH630" s="459"/>
      <c r="BI630" s="457"/>
      <c r="BJ630" s="457"/>
      <c r="BK630" s="457"/>
      <c r="BL630" s="457"/>
      <c r="BM630" s="457"/>
      <c r="BN630" s="457"/>
      <c r="BO630" s="457"/>
      <c r="BP630" s="457"/>
      <c r="BQ630" s="457"/>
      <c r="BR630" s="457"/>
      <c r="BS630" s="457"/>
      <c r="BT630" s="457"/>
      <c r="BU630" s="457"/>
      <c r="BV630" s="457"/>
      <c r="BW630" s="457"/>
      <c r="BX630" s="769"/>
      <c r="BY630" s="861"/>
      <c r="BZ630" s="861"/>
      <c r="CA630" s="861"/>
      <c r="CB630" s="861"/>
      <c r="CC630" s="861"/>
      <c r="CD630" s="861"/>
      <c r="CE630" s="861"/>
      <c r="CF630" s="861"/>
      <c r="CG630" s="182" t="s">
        <v>222</v>
      </c>
      <c r="CH630" s="419" t="s">
        <v>952</v>
      </c>
      <c r="CI630" s="412">
        <v>40767</v>
      </c>
      <c r="CJ630" s="1">
        <v>34</v>
      </c>
      <c r="CK630" s="48"/>
      <c r="CL630" s="490"/>
      <c r="CM630" s="434"/>
      <c r="CR630" s="403"/>
      <c r="CS630" s="48"/>
      <c r="CT630"/>
      <c r="CU630" s="1"/>
      <c r="CV630" s="1"/>
      <c r="CW630" s="1"/>
      <c r="CX630" s="1"/>
      <c r="CY630"/>
      <c r="CZ630"/>
      <c r="DA630" s="48"/>
      <c r="DF630"/>
      <c r="DG630"/>
    </row>
    <row r="631" spans="1:115" s="72" customFormat="1" ht="13.5" customHeight="1" x14ac:dyDescent="0.2">
      <c r="A631" s="434"/>
      <c r="B631" s="418"/>
      <c r="D631" s="36"/>
      <c r="E631" s="48"/>
      <c r="F631" s="48"/>
      <c r="G631" s="1"/>
      <c r="H631"/>
      <c r="I631" s="2"/>
      <c r="L631" s="530" t="s">
        <v>121</v>
      </c>
      <c r="M631" s="1" t="s">
        <v>16</v>
      </c>
      <c r="N631" s="499"/>
      <c r="O631" s="19"/>
      <c r="P631" s="19"/>
      <c r="Q631" s="1"/>
      <c r="R631" s="3"/>
      <c r="S631" s="3"/>
      <c r="T631" s="3"/>
      <c r="U631" s="396"/>
      <c r="V631" s="504"/>
      <c r="W631" s="653"/>
      <c r="X631" s="24"/>
      <c r="Y631" s="507"/>
      <c r="Z631" s="459"/>
      <c r="AA631" s="459"/>
      <c r="AB631" s="459"/>
      <c r="AC631" s="459"/>
      <c r="AD631" s="459"/>
      <c r="AE631" s="459"/>
      <c r="AF631" s="459"/>
      <c r="AG631" s="459"/>
      <c r="AH631" s="459"/>
      <c r="AI631" s="459"/>
      <c r="AJ631" s="459"/>
      <c r="AK631" s="459"/>
      <c r="AL631" s="459"/>
      <c r="AM631" s="459"/>
      <c r="AN631" s="459"/>
      <c r="AO631" s="459"/>
      <c r="AP631" s="459"/>
      <c r="AQ631" s="459"/>
      <c r="AR631" s="459"/>
      <c r="AS631" s="459"/>
      <c r="AT631" s="459"/>
      <c r="AU631" s="459"/>
      <c r="AV631" s="459"/>
      <c r="AW631" s="459"/>
      <c r="AX631" s="459"/>
      <c r="AY631" s="459"/>
      <c r="AZ631" s="459"/>
      <c r="BA631" s="459"/>
      <c r="BB631" s="459"/>
      <c r="BC631" s="459"/>
      <c r="BD631" s="459"/>
      <c r="BE631" s="457"/>
      <c r="BF631" s="457"/>
      <c r="BG631" s="459"/>
      <c r="BH631" s="459"/>
      <c r="BI631" s="457"/>
      <c r="BJ631" s="457"/>
      <c r="BK631" s="457"/>
      <c r="BL631" s="457"/>
      <c r="BM631" s="457"/>
      <c r="BN631" s="457"/>
      <c r="BO631" s="457"/>
      <c r="BP631" s="457"/>
      <c r="BQ631" s="457"/>
      <c r="BR631" s="457"/>
      <c r="BS631" s="457"/>
      <c r="BT631" s="457"/>
      <c r="BU631" s="457"/>
      <c r="BV631" s="457"/>
      <c r="BW631" s="457"/>
      <c r="BX631" s="769"/>
      <c r="BY631" s="861"/>
      <c r="BZ631" s="861"/>
      <c r="CA631" s="861"/>
      <c r="CB631" s="861"/>
      <c r="CC631" s="861"/>
      <c r="CD631" s="861"/>
      <c r="CE631" s="861"/>
      <c r="CF631" s="861"/>
      <c r="CG631" s="182" t="s">
        <v>223</v>
      </c>
      <c r="CH631" s="419" t="s">
        <v>636</v>
      </c>
      <c r="CI631" s="412">
        <v>40498</v>
      </c>
      <c r="CJ631" s="1"/>
      <c r="CK631" s="48" t="s">
        <v>704</v>
      </c>
      <c r="CL631" s="490"/>
      <c r="CM631" s="434"/>
      <c r="CR631" s="403"/>
      <c r="CS631" s="48"/>
      <c r="CT631"/>
      <c r="CU631" s="1"/>
      <c r="CV631" s="1"/>
      <c r="CW631" s="1"/>
      <c r="CX631" s="1"/>
      <c r="CY631"/>
      <c r="CZ631"/>
      <c r="DA631" s="48"/>
      <c r="DF631"/>
      <c r="DG631"/>
    </row>
    <row r="632" spans="1:115" s="72" customFormat="1" ht="13.5" customHeight="1" x14ac:dyDescent="0.2">
      <c r="A632" s="434"/>
      <c r="B632" s="418"/>
      <c r="D632" s="36"/>
      <c r="E632" s="48"/>
      <c r="F632" s="48"/>
      <c r="G632" s="1"/>
      <c r="H632"/>
      <c r="I632" s="2"/>
      <c r="L632" s="530" t="s">
        <v>122</v>
      </c>
      <c r="M632" s="1" t="s">
        <v>47</v>
      </c>
      <c r="N632" s="499"/>
      <c r="O632" s="106"/>
      <c r="P632" s="106"/>
      <c r="Q632" s="1"/>
      <c r="R632" s="3"/>
      <c r="S632" s="3"/>
      <c r="T632" s="3"/>
      <c r="U632" s="396"/>
      <c r="V632" s="504"/>
      <c r="W632" s="653"/>
      <c r="X632" s="24"/>
      <c r="Y632" s="507"/>
      <c r="Z632" s="459"/>
      <c r="AA632" s="459"/>
      <c r="AB632" s="459"/>
      <c r="AC632" s="459"/>
      <c r="AD632" s="459"/>
      <c r="AE632" s="459"/>
      <c r="AF632" s="459"/>
      <c r="AG632" s="459"/>
      <c r="AH632" s="459"/>
      <c r="AI632" s="459"/>
      <c r="AJ632" s="459"/>
      <c r="AK632" s="459"/>
      <c r="AL632" s="459"/>
      <c r="AM632" s="459"/>
      <c r="AN632" s="459"/>
      <c r="AO632" s="459"/>
      <c r="AP632" s="459"/>
      <c r="AQ632" s="459"/>
      <c r="AR632" s="459"/>
      <c r="AS632" s="459"/>
      <c r="AT632" s="459"/>
      <c r="AU632" s="459"/>
      <c r="AV632" s="459"/>
      <c r="AW632" s="459"/>
      <c r="AX632" s="459"/>
      <c r="AY632" s="459"/>
      <c r="AZ632" s="459"/>
      <c r="BA632" s="459"/>
      <c r="BB632" s="459"/>
      <c r="BC632" s="459"/>
      <c r="BD632" s="459"/>
      <c r="BE632" s="457"/>
      <c r="BF632" s="457"/>
      <c r="BG632" s="459"/>
      <c r="BH632" s="459"/>
      <c r="BI632" s="457"/>
      <c r="BJ632" s="457"/>
      <c r="BK632" s="457"/>
      <c r="BL632" s="457"/>
      <c r="BM632" s="457"/>
      <c r="BN632" s="457"/>
      <c r="BO632" s="457"/>
      <c r="BP632" s="457"/>
      <c r="BQ632" s="457"/>
      <c r="BR632" s="457"/>
      <c r="BS632" s="457"/>
      <c r="BT632" s="457"/>
      <c r="BU632" s="457"/>
      <c r="BV632" s="457"/>
      <c r="BW632" s="457"/>
      <c r="BX632" s="769"/>
      <c r="BY632" s="861"/>
      <c r="BZ632" s="861"/>
      <c r="CA632" s="861"/>
      <c r="CB632" s="861"/>
      <c r="CC632" s="861"/>
      <c r="CD632" s="861"/>
      <c r="CE632" s="861"/>
      <c r="CF632" s="861"/>
      <c r="CG632" s="182" t="s">
        <v>225</v>
      </c>
      <c r="CH632" s="419" t="s">
        <v>637</v>
      </c>
      <c r="CI632" s="412">
        <v>40499</v>
      </c>
      <c r="CJ632" s="1"/>
      <c r="CK632" s="48" t="s">
        <v>705</v>
      </c>
      <c r="CL632" s="490"/>
      <c r="CM632" s="434"/>
      <c r="CR632" s="403"/>
      <c r="CS632" s="48"/>
      <c r="CT632"/>
      <c r="CU632" s="1"/>
      <c r="CV632" s="586"/>
      <c r="CW632" s="1"/>
      <c r="CX632" s="1"/>
      <c r="CY632"/>
      <c r="CZ632"/>
      <c r="DA632" s="48"/>
      <c r="DF632"/>
      <c r="DG632"/>
    </row>
    <row r="633" spans="1:115" s="72" customFormat="1" ht="13.5" customHeight="1" x14ac:dyDescent="0.2">
      <c r="A633" s="434"/>
      <c r="B633" s="418"/>
      <c r="D633" s="36"/>
      <c r="E633" s="48"/>
      <c r="F633" s="48"/>
      <c r="G633" s="1"/>
      <c r="H633"/>
      <c r="I633" s="2"/>
      <c r="L633" s="530" t="s">
        <v>290</v>
      </c>
      <c r="M633" s="1" t="s">
        <v>289</v>
      </c>
      <c r="N633" s="499"/>
      <c r="O633" s="75"/>
      <c r="P633" s="75"/>
      <c r="Q633" s="1"/>
      <c r="R633" s="3"/>
      <c r="S633" s="3"/>
      <c r="T633" s="3"/>
      <c r="U633" s="396"/>
      <c r="V633" s="504"/>
      <c r="W633" s="653"/>
      <c r="X633" s="24"/>
      <c r="Y633" s="507"/>
      <c r="Z633" s="459"/>
      <c r="AA633" s="459"/>
      <c r="AB633" s="459"/>
      <c r="AC633" s="459"/>
      <c r="AD633" s="459"/>
      <c r="AE633" s="459"/>
      <c r="AF633" s="459"/>
      <c r="AG633" s="459"/>
      <c r="AH633" s="459"/>
      <c r="AI633" s="459"/>
      <c r="AJ633" s="459"/>
      <c r="AK633" s="459"/>
      <c r="AL633" s="459"/>
      <c r="AM633" s="459"/>
      <c r="AN633" s="459"/>
      <c r="AO633" s="459"/>
      <c r="AP633" s="459"/>
      <c r="AQ633" s="459"/>
      <c r="AR633" s="459"/>
      <c r="AS633" s="459"/>
      <c r="AT633" s="459"/>
      <c r="AU633" s="459"/>
      <c r="AV633" s="459"/>
      <c r="AW633" s="459"/>
      <c r="AX633" s="459"/>
      <c r="AY633" s="459"/>
      <c r="AZ633" s="459"/>
      <c r="BA633" s="459"/>
      <c r="BB633" s="459"/>
      <c r="BC633" s="459"/>
      <c r="BD633" s="459"/>
      <c r="BE633" s="457"/>
      <c r="BF633" s="457"/>
      <c r="BG633" s="459"/>
      <c r="BH633" s="459"/>
      <c r="BI633" s="457"/>
      <c r="BJ633" s="457"/>
      <c r="BK633" s="457"/>
      <c r="BL633" s="457"/>
      <c r="BM633" s="457"/>
      <c r="BN633" s="457"/>
      <c r="BO633" s="457"/>
      <c r="BP633" s="457"/>
      <c r="BQ633" s="457"/>
      <c r="BR633" s="457"/>
      <c r="BS633" s="457"/>
      <c r="BT633" s="457"/>
      <c r="BU633" s="457"/>
      <c r="BV633" s="457"/>
      <c r="BW633" s="457"/>
      <c r="BX633" s="769"/>
      <c r="BY633" s="861"/>
      <c r="BZ633" s="861"/>
      <c r="CA633" s="861"/>
      <c r="CB633" s="861"/>
      <c r="CC633" s="861"/>
      <c r="CD633" s="861"/>
      <c r="CE633" s="861"/>
      <c r="CF633" s="861"/>
      <c r="CG633" s="182" t="s">
        <v>226</v>
      </c>
      <c r="CH633" s="419" t="s">
        <v>280</v>
      </c>
      <c r="CI633" s="412">
        <v>39095</v>
      </c>
      <c r="CJ633" s="1"/>
      <c r="CK633" s="689" t="s">
        <v>672</v>
      </c>
      <c r="CL633" s="490"/>
      <c r="CM633" s="434"/>
      <c r="CR633" s="403"/>
      <c r="CS633" s="48"/>
      <c r="CT633"/>
      <c r="CU633" s="1"/>
      <c r="CV633" s="1"/>
      <c r="CW633" s="1"/>
      <c r="CX633" s="1"/>
      <c r="CY633"/>
      <c r="CZ633"/>
      <c r="DA633" s="48"/>
      <c r="DB633"/>
      <c r="DC633"/>
      <c r="DD633"/>
      <c r="DE633"/>
      <c r="DF633"/>
      <c r="DG633"/>
    </row>
    <row r="634" spans="1:115" s="72" customFormat="1" ht="13.5" customHeight="1" x14ac:dyDescent="0.2">
      <c r="A634" s="434"/>
      <c r="B634" s="418"/>
      <c r="D634" s="23"/>
      <c r="E634" s="48"/>
      <c r="F634" s="48"/>
      <c r="G634" s="1"/>
      <c r="H634"/>
      <c r="I634" s="2"/>
      <c r="L634" s="530" t="s">
        <v>647</v>
      </c>
      <c r="M634" s="19" t="s">
        <v>646</v>
      </c>
      <c r="N634" s="499"/>
      <c r="O634" s="75"/>
      <c r="P634" s="75"/>
      <c r="Q634" s="1"/>
      <c r="R634" s="3"/>
      <c r="S634" s="3"/>
      <c r="T634" s="3"/>
      <c r="U634" s="396"/>
      <c r="V634" s="504"/>
      <c r="W634" s="653"/>
      <c r="X634" s="24"/>
      <c r="Y634" s="507"/>
      <c r="Z634" s="459"/>
      <c r="AA634" s="459"/>
      <c r="AB634" s="459"/>
      <c r="AC634" s="459"/>
      <c r="AD634" s="459"/>
      <c r="AE634" s="459"/>
      <c r="AF634" s="459"/>
      <c r="AG634" s="459"/>
      <c r="AH634" s="459"/>
      <c r="AI634" s="459"/>
      <c r="AJ634" s="459"/>
      <c r="AK634" s="459"/>
      <c r="AL634" s="459"/>
      <c r="AM634" s="459"/>
      <c r="AN634" s="459"/>
      <c r="AO634" s="459"/>
      <c r="AP634" s="459"/>
      <c r="AQ634" s="459"/>
      <c r="AR634" s="459"/>
      <c r="AS634" s="459"/>
      <c r="AT634" s="459"/>
      <c r="AU634" s="459"/>
      <c r="AV634" s="459"/>
      <c r="AW634" s="459"/>
      <c r="AX634" s="459"/>
      <c r="AY634" s="459"/>
      <c r="AZ634" s="459"/>
      <c r="BA634" s="459"/>
      <c r="BB634" s="459"/>
      <c r="BC634" s="459"/>
      <c r="BD634" s="459"/>
      <c r="BE634" s="457"/>
      <c r="BF634" s="457"/>
      <c r="BG634" s="459"/>
      <c r="BH634" s="459"/>
      <c r="BI634" s="457"/>
      <c r="BJ634" s="457"/>
      <c r="BK634" s="457"/>
      <c r="BL634" s="457"/>
      <c r="BM634" s="457"/>
      <c r="BN634" s="457"/>
      <c r="BO634" s="457"/>
      <c r="BP634" s="457"/>
      <c r="BQ634" s="457"/>
      <c r="BR634" s="457"/>
      <c r="BS634" s="457"/>
      <c r="BT634" s="457"/>
      <c r="BU634" s="457"/>
      <c r="BV634" s="457"/>
      <c r="BW634" s="457"/>
      <c r="BX634" s="769"/>
      <c r="BY634" s="861"/>
      <c r="BZ634" s="861"/>
      <c r="CA634" s="861"/>
      <c r="CB634" s="861"/>
      <c r="CC634" s="861"/>
      <c r="CD634" s="861"/>
      <c r="CE634" s="861"/>
      <c r="CF634" s="861"/>
      <c r="CG634" s="34" t="s">
        <v>236</v>
      </c>
      <c r="CH634" s="422" t="s">
        <v>670</v>
      </c>
      <c r="CI634" s="412">
        <v>39095</v>
      </c>
      <c r="CJ634" s="1">
        <v>5</v>
      </c>
      <c r="CK634" s="434"/>
      <c r="CL634" s="697" t="s">
        <v>671</v>
      </c>
      <c r="CM634" s="434"/>
      <c r="CR634" s="403"/>
      <c r="CS634" s="48"/>
      <c r="CT634"/>
      <c r="CU634" s="1"/>
      <c r="CV634" s="586"/>
      <c r="CW634" s="1"/>
      <c r="CX634" s="1"/>
      <c r="CY634"/>
      <c r="CZ634"/>
      <c r="DA634" s="48"/>
      <c r="DC634"/>
      <c r="DF634"/>
      <c r="DG634"/>
    </row>
    <row r="635" spans="1:115" s="72" customFormat="1" ht="13.5" customHeight="1" x14ac:dyDescent="0.2">
      <c r="A635" s="434"/>
      <c r="B635" s="418"/>
      <c r="D635" s="23"/>
      <c r="E635" s="48"/>
      <c r="F635" s="48"/>
      <c r="G635" s="1"/>
      <c r="H635"/>
      <c r="I635" s="2"/>
      <c r="L635" s="504"/>
      <c r="M635" s="73"/>
      <c r="N635" s="499"/>
      <c r="O635" s="75"/>
      <c r="P635" s="75"/>
      <c r="Q635" s="1"/>
      <c r="R635" s="3"/>
      <c r="S635" s="3"/>
      <c r="T635" s="3"/>
      <c r="U635" s="396"/>
      <c r="V635" s="504"/>
      <c r="W635" s="653"/>
      <c r="X635" s="24"/>
      <c r="Y635" s="507"/>
      <c r="Z635" s="459"/>
      <c r="AA635" s="459"/>
      <c r="AB635" s="459"/>
      <c r="AC635" s="459"/>
      <c r="AD635" s="459"/>
      <c r="AE635" s="459"/>
      <c r="AF635" s="459"/>
      <c r="AG635" s="459"/>
      <c r="AH635" s="459"/>
      <c r="AI635" s="459"/>
      <c r="AJ635" s="459"/>
      <c r="AK635" s="459"/>
      <c r="AL635" s="459"/>
      <c r="AM635" s="459"/>
      <c r="AN635" s="459"/>
      <c r="AO635" s="459"/>
      <c r="AP635" s="459"/>
      <c r="AQ635" s="459"/>
      <c r="AR635" s="459"/>
      <c r="AS635" s="459"/>
      <c r="AT635" s="459"/>
      <c r="AU635" s="459"/>
      <c r="AV635" s="459"/>
      <c r="AW635" s="459"/>
      <c r="AX635" s="459"/>
      <c r="AY635" s="459"/>
      <c r="AZ635" s="459"/>
      <c r="BA635" s="459"/>
      <c r="BB635" s="459"/>
      <c r="BC635" s="459"/>
      <c r="BD635" s="459"/>
      <c r="BE635" s="457"/>
      <c r="BF635" s="457"/>
      <c r="BG635" s="459"/>
      <c r="BH635" s="459"/>
      <c r="BI635" s="457"/>
      <c r="BJ635" s="457"/>
      <c r="BK635" s="457"/>
      <c r="BL635" s="457"/>
      <c r="BM635" s="457"/>
      <c r="BN635" s="457"/>
      <c r="BO635" s="457"/>
      <c r="BP635" s="457"/>
      <c r="BQ635" s="457"/>
      <c r="BR635" s="457"/>
      <c r="BS635" s="457"/>
      <c r="BT635" s="457"/>
      <c r="BU635" s="457"/>
      <c r="BV635" s="457"/>
      <c r="BW635" s="457"/>
      <c r="BX635" s="769"/>
      <c r="BY635" s="861"/>
      <c r="BZ635" s="861"/>
      <c r="CA635" s="861"/>
      <c r="CB635" s="861"/>
      <c r="CC635" s="861"/>
      <c r="CD635" s="861"/>
      <c r="CE635" s="861"/>
      <c r="CF635" s="861"/>
      <c r="CG635" s="34" t="s">
        <v>237</v>
      </c>
      <c r="CH635" s="419" t="s">
        <v>685</v>
      </c>
      <c r="CI635" s="412">
        <v>40513</v>
      </c>
      <c r="CJ635" s="1"/>
      <c r="CK635" s="434"/>
      <c r="CL635" s="490"/>
      <c r="CM635" s="434"/>
      <c r="CR635" s="403"/>
      <c r="CS635" s="48"/>
      <c r="CT635"/>
      <c r="CU635" s="1"/>
      <c r="CV635" s="1"/>
      <c r="CW635" s="1"/>
      <c r="CX635" s="1"/>
      <c r="CY635"/>
      <c r="CZ635"/>
      <c r="DA635" s="48"/>
      <c r="DB635"/>
      <c r="DC635"/>
    </row>
    <row r="636" spans="1:115" s="72" customFormat="1" ht="13.5" customHeight="1" x14ac:dyDescent="0.2">
      <c r="A636" s="434"/>
      <c r="B636" s="418"/>
      <c r="D636" s="36"/>
      <c r="E636" s="48"/>
      <c r="F636" s="48"/>
      <c r="G636" s="1"/>
      <c r="H636"/>
      <c r="I636" s="2"/>
      <c r="L636" s="499"/>
      <c r="M636" s="1"/>
      <c r="N636" s="499"/>
      <c r="O636" s="98"/>
      <c r="P636" s="98"/>
      <c r="Q636" s="1"/>
      <c r="R636" s="3"/>
      <c r="S636" s="3"/>
      <c r="T636" s="3"/>
      <c r="U636" s="396"/>
      <c r="V636" s="504"/>
      <c r="W636" s="653"/>
      <c r="X636" s="24"/>
      <c r="Y636" s="507"/>
      <c r="Z636" s="459"/>
      <c r="AA636" s="459"/>
      <c r="AB636" s="459"/>
      <c r="AC636" s="459"/>
      <c r="AD636" s="459"/>
      <c r="AE636" s="459"/>
      <c r="AF636" s="459"/>
      <c r="AG636" s="459"/>
      <c r="AH636" s="459"/>
      <c r="AI636" s="459"/>
      <c r="AJ636" s="459"/>
      <c r="AK636" s="459"/>
      <c r="AL636" s="459"/>
      <c r="AM636" s="459"/>
      <c r="AN636" s="459"/>
      <c r="AO636" s="459"/>
      <c r="AP636" s="459"/>
      <c r="AQ636" s="459"/>
      <c r="AR636" s="459"/>
      <c r="AS636" s="459"/>
      <c r="AT636" s="459"/>
      <c r="AU636" s="459"/>
      <c r="AV636" s="459"/>
      <c r="AW636" s="459"/>
      <c r="AX636" s="459"/>
      <c r="AY636" s="459"/>
      <c r="AZ636" s="459"/>
      <c r="BA636" s="459"/>
      <c r="BB636" s="459"/>
      <c r="BC636" s="459"/>
      <c r="BD636" s="459"/>
      <c r="BE636" s="457"/>
      <c r="BF636" s="457"/>
      <c r="BG636" s="459"/>
      <c r="BH636" s="459"/>
      <c r="BI636" s="457"/>
      <c r="BJ636" s="457"/>
      <c r="BK636" s="457"/>
      <c r="BL636" s="457"/>
      <c r="BM636" s="457"/>
      <c r="BN636" s="457"/>
      <c r="BO636" s="457"/>
      <c r="BP636" s="457"/>
      <c r="BQ636" s="457"/>
      <c r="BR636" s="457"/>
      <c r="BS636" s="457"/>
      <c r="BT636" s="457"/>
      <c r="BU636" s="457"/>
      <c r="BV636" s="457"/>
      <c r="BW636" s="457"/>
      <c r="BX636" s="769"/>
      <c r="BY636" s="861"/>
      <c r="BZ636" s="861"/>
      <c r="CA636" s="861"/>
      <c r="CB636" s="861"/>
      <c r="CC636" s="861"/>
      <c r="CD636" s="861"/>
      <c r="CE636" s="861"/>
      <c r="CF636" s="861"/>
      <c r="CG636" s="182" t="s">
        <v>240</v>
      </c>
      <c r="CH636" s="419" t="s">
        <v>691</v>
      </c>
      <c r="CI636" s="412">
        <v>40513</v>
      </c>
      <c r="CJ636" s="1"/>
      <c r="CK636" s="434"/>
      <c r="CL636" s="490"/>
      <c r="CM636" s="434"/>
      <c r="CR636" s="403"/>
      <c r="CS636" s="48"/>
      <c r="CT636"/>
      <c r="CU636" s="1"/>
      <c r="CV636" s="1"/>
      <c r="CW636" s="1"/>
      <c r="CX636" s="1"/>
      <c r="CY636"/>
      <c r="CZ636"/>
      <c r="DA636" s="48"/>
    </row>
    <row r="637" spans="1:115" s="72" customFormat="1" ht="13.5" customHeight="1" x14ac:dyDescent="0.2">
      <c r="A637" s="434"/>
      <c r="B637" s="418"/>
      <c r="D637" s="36"/>
      <c r="E637" s="48"/>
      <c r="F637" s="48"/>
      <c r="G637" s="1"/>
      <c r="H637"/>
      <c r="I637" s="2"/>
      <c r="L637" s="499"/>
      <c r="M637" s="1"/>
      <c r="N637" s="499"/>
      <c r="O637" s="75"/>
      <c r="P637" s="75"/>
      <c r="Q637" s="1"/>
      <c r="R637" s="3"/>
      <c r="S637" s="3"/>
      <c r="T637" s="3"/>
      <c r="U637" s="396"/>
      <c r="V637" s="504"/>
      <c r="W637" s="653"/>
      <c r="X637" s="24"/>
      <c r="Y637" s="507"/>
      <c r="Z637" s="459"/>
      <c r="AA637" s="459"/>
      <c r="AB637" s="459"/>
      <c r="AC637" s="459"/>
      <c r="AD637" s="459"/>
      <c r="AE637" s="459"/>
      <c r="AF637" s="459"/>
      <c r="AG637" s="459"/>
      <c r="AH637" s="459"/>
      <c r="AI637" s="459"/>
      <c r="AJ637" s="459"/>
      <c r="AK637" s="459"/>
      <c r="AL637" s="459"/>
      <c r="AM637" s="459"/>
      <c r="AN637" s="459"/>
      <c r="AO637" s="459"/>
      <c r="AP637" s="459"/>
      <c r="AQ637" s="459"/>
      <c r="AR637" s="459"/>
      <c r="AS637" s="459"/>
      <c r="AT637" s="459"/>
      <c r="AU637" s="459"/>
      <c r="AV637" s="459"/>
      <c r="AW637" s="459"/>
      <c r="AX637" s="459"/>
      <c r="AY637" s="459"/>
      <c r="AZ637" s="459"/>
      <c r="BA637" s="459"/>
      <c r="BB637" s="459"/>
      <c r="BC637" s="459"/>
      <c r="BD637" s="459"/>
      <c r="BE637" s="457"/>
      <c r="BF637" s="457"/>
      <c r="BG637" s="459"/>
      <c r="BH637" s="459"/>
      <c r="BI637" s="457"/>
      <c r="BJ637" s="457"/>
      <c r="BK637" s="457"/>
      <c r="BL637" s="457"/>
      <c r="BM637" s="457"/>
      <c r="BN637" s="457"/>
      <c r="BO637" s="457"/>
      <c r="BP637" s="457"/>
      <c r="BQ637" s="457"/>
      <c r="BR637" s="457"/>
      <c r="BS637" s="457"/>
      <c r="BT637" s="457"/>
      <c r="BU637" s="457"/>
      <c r="BV637" s="457"/>
      <c r="BW637" s="457"/>
      <c r="BX637" s="769"/>
      <c r="BY637" s="861"/>
      <c r="BZ637" s="861"/>
      <c r="CA637" s="861"/>
      <c r="CB637" s="861"/>
      <c r="CC637" s="861"/>
      <c r="CD637" s="861"/>
      <c r="CE637" s="861"/>
      <c r="CF637" s="861"/>
      <c r="CG637" s="182" t="s">
        <v>343</v>
      </c>
      <c r="CH637" s="419" t="s">
        <v>686</v>
      </c>
      <c r="CI637" s="412">
        <v>40513</v>
      </c>
      <c r="CJ637" s="1"/>
      <c r="CK637" s="434"/>
      <c r="CL637" s="490"/>
      <c r="CM637" s="434"/>
      <c r="CR637" s="403"/>
      <c r="CS637" s="48"/>
      <c r="CT637"/>
      <c r="CU637" s="1"/>
      <c r="CV637" s="1"/>
      <c r="CW637" s="1"/>
      <c r="CX637" s="1"/>
      <c r="CY637"/>
      <c r="CZ637"/>
      <c r="DA637" s="48"/>
      <c r="DB637"/>
      <c r="DC637"/>
      <c r="DD637"/>
      <c r="DE637"/>
      <c r="DF637"/>
      <c r="DG637"/>
    </row>
    <row r="638" spans="1:115" s="72" customFormat="1" ht="13.5" customHeight="1" x14ac:dyDescent="0.2">
      <c r="A638" s="434"/>
      <c r="B638" s="418"/>
      <c r="D638" s="36"/>
      <c r="E638" s="48"/>
      <c r="F638" s="48"/>
      <c r="G638" s="1"/>
      <c r="H638"/>
      <c r="I638" s="2"/>
      <c r="L638" s="499"/>
      <c r="M638" s="1"/>
      <c r="N638" s="499"/>
      <c r="O638" s="75"/>
      <c r="P638" s="75"/>
      <c r="Q638" s="1"/>
      <c r="R638" s="3"/>
      <c r="S638" s="3"/>
      <c r="T638" s="3"/>
      <c r="U638" s="396"/>
      <c r="V638" s="504"/>
      <c r="W638" s="653"/>
      <c r="X638" s="24"/>
      <c r="Y638" s="507"/>
      <c r="Z638" s="459"/>
      <c r="AA638" s="459"/>
      <c r="AB638" s="459"/>
      <c r="AC638" s="459"/>
      <c r="AD638" s="459"/>
      <c r="AE638" s="459"/>
      <c r="AF638" s="459"/>
      <c r="AG638" s="459"/>
      <c r="AH638" s="459"/>
      <c r="AI638" s="459"/>
      <c r="AJ638" s="459"/>
      <c r="AK638" s="459"/>
      <c r="AL638" s="459"/>
      <c r="AM638" s="459"/>
      <c r="AN638" s="459"/>
      <c r="AO638" s="459"/>
      <c r="AP638" s="459"/>
      <c r="AQ638" s="459"/>
      <c r="AR638" s="459"/>
      <c r="AS638" s="459"/>
      <c r="AT638" s="459"/>
      <c r="AU638" s="459"/>
      <c r="AV638" s="459"/>
      <c r="AW638" s="459"/>
      <c r="AX638" s="459"/>
      <c r="AY638" s="459"/>
      <c r="AZ638" s="459"/>
      <c r="BA638" s="459"/>
      <c r="BB638" s="459"/>
      <c r="BC638" s="459"/>
      <c r="BD638" s="459"/>
      <c r="BE638" s="457"/>
      <c r="BF638" s="457"/>
      <c r="BG638" s="459"/>
      <c r="BH638" s="459"/>
      <c r="BI638" s="457"/>
      <c r="BJ638" s="457"/>
      <c r="BK638" s="457"/>
      <c r="BL638" s="457"/>
      <c r="BM638" s="457"/>
      <c r="BN638" s="457"/>
      <c r="BO638" s="457"/>
      <c r="BP638" s="457"/>
      <c r="BQ638" s="457"/>
      <c r="BR638" s="457"/>
      <c r="BS638" s="457"/>
      <c r="BT638" s="457"/>
      <c r="BU638" s="457"/>
      <c r="BV638" s="457"/>
      <c r="BW638" s="457"/>
      <c r="BX638" s="769"/>
      <c r="BY638" s="861"/>
      <c r="BZ638" s="861"/>
      <c r="CA638" s="861"/>
      <c r="CB638" s="861"/>
      <c r="CC638" s="861"/>
      <c r="CD638" s="861"/>
      <c r="CE638" s="861"/>
      <c r="CF638" s="861"/>
      <c r="CG638" s="182" t="s">
        <v>246</v>
      </c>
      <c r="CH638" s="419" t="s">
        <v>690</v>
      </c>
      <c r="CI638" s="412">
        <v>40515</v>
      </c>
      <c r="CJ638" s="1"/>
      <c r="CK638" s="434"/>
      <c r="CL638" s="490"/>
      <c r="CM638" s="434"/>
      <c r="CR638" s="403"/>
      <c r="CS638" s="48"/>
      <c r="CT638"/>
      <c r="CU638" s="1"/>
      <c r="CV638" s="1"/>
      <c r="CW638" s="1"/>
      <c r="CX638" s="1"/>
      <c r="CY638"/>
      <c r="CZ638"/>
      <c r="DA638" s="48"/>
      <c r="DB638"/>
      <c r="DC638"/>
      <c r="DD638"/>
      <c r="DE638"/>
      <c r="DF638"/>
      <c r="DG638"/>
    </row>
    <row r="639" spans="1:115" s="72" customFormat="1" ht="13.5" customHeight="1" x14ac:dyDescent="0.2">
      <c r="A639" s="434"/>
      <c r="B639" s="418"/>
      <c r="D639" s="23"/>
      <c r="E639" s="709"/>
      <c r="F639" s="709"/>
      <c r="G639" s="148"/>
      <c r="H639" s="115"/>
      <c r="I639" s="2"/>
      <c r="J639" s="832"/>
      <c r="K639" s="832"/>
      <c r="L639" s="499"/>
      <c r="M639" s="148"/>
      <c r="N639" s="499"/>
      <c r="O639" s="75"/>
      <c r="P639" s="75"/>
      <c r="Q639" s="148"/>
      <c r="R639" s="115"/>
      <c r="S639" s="115"/>
      <c r="T639" s="115"/>
      <c r="U639" s="396"/>
      <c r="V639" s="504"/>
      <c r="W639" s="653"/>
      <c r="X639" s="115"/>
      <c r="Y639" s="507"/>
      <c r="Z639" s="459"/>
      <c r="AA639" s="459"/>
      <c r="AB639" s="459"/>
      <c r="AC639" s="459"/>
      <c r="AD639" s="459"/>
      <c r="AE639" s="459"/>
      <c r="AF639" s="459"/>
      <c r="AG639" s="459"/>
      <c r="AH639" s="459"/>
      <c r="AI639" s="459"/>
      <c r="AJ639" s="459"/>
      <c r="AK639" s="459"/>
      <c r="AL639" s="459"/>
      <c r="AM639" s="459"/>
      <c r="AN639" s="459"/>
      <c r="AO639" s="459"/>
      <c r="AP639" s="459"/>
      <c r="AQ639" s="459"/>
      <c r="AR639" s="459"/>
      <c r="AS639" s="459"/>
      <c r="AT639" s="459"/>
      <c r="AU639" s="459"/>
      <c r="AV639" s="459"/>
      <c r="AW639" s="459"/>
      <c r="AX639" s="459"/>
      <c r="AY639" s="459"/>
      <c r="AZ639" s="459"/>
      <c r="BA639" s="459"/>
      <c r="BB639" s="459"/>
      <c r="BC639" s="459"/>
      <c r="BD639" s="459"/>
      <c r="BE639" s="457"/>
      <c r="BF639" s="457"/>
      <c r="BG639" s="459"/>
      <c r="BH639" s="459"/>
      <c r="BI639" s="457"/>
      <c r="BJ639" s="457"/>
      <c r="BK639" s="457"/>
      <c r="BL639" s="457"/>
      <c r="BM639" s="457"/>
      <c r="BN639" s="457"/>
      <c r="BO639" s="457"/>
      <c r="BP639" s="457"/>
      <c r="BQ639" s="457"/>
      <c r="BR639" s="457"/>
      <c r="BS639" s="457"/>
      <c r="BT639" s="457"/>
      <c r="BU639" s="457"/>
      <c r="BV639" s="457"/>
      <c r="BW639" s="457"/>
      <c r="BX639" s="769"/>
      <c r="BY639" s="861"/>
      <c r="BZ639" s="861"/>
      <c r="CA639" s="861"/>
      <c r="CB639" s="861"/>
      <c r="CC639" s="861"/>
      <c r="CD639" s="861"/>
      <c r="CE639" s="861"/>
      <c r="CF639" s="861"/>
      <c r="CG639" s="34" t="s">
        <v>261</v>
      </c>
      <c r="CH639" s="422" t="s">
        <v>673</v>
      </c>
      <c r="CI639" s="412">
        <v>39096</v>
      </c>
      <c r="CJ639" s="1"/>
      <c r="CK639" s="434"/>
      <c r="CL639" s="697" t="s">
        <v>674</v>
      </c>
      <c r="CM639" s="434"/>
      <c r="CR639" s="403"/>
      <c r="CS639" s="48"/>
      <c r="CT639"/>
      <c r="CU639" s="1"/>
      <c r="CV639" s="1"/>
      <c r="CW639" s="1"/>
      <c r="CX639" s="1"/>
      <c r="CY639"/>
      <c r="CZ639"/>
      <c r="DA639" s="48"/>
      <c r="DB639"/>
      <c r="DC639"/>
      <c r="DD639"/>
      <c r="DE639"/>
      <c r="DF639"/>
      <c r="DG639"/>
      <c r="DH639"/>
      <c r="DI639"/>
      <c r="DJ639"/>
      <c r="DK639"/>
    </row>
    <row r="640" spans="1:115" s="72" customFormat="1" ht="13.5" customHeight="1" x14ac:dyDescent="0.2">
      <c r="A640" s="434"/>
      <c r="B640" s="418"/>
      <c r="D640" s="23"/>
      <c r="E640" s="709"/>
      <c r="F640" s="709"/>
      <c r="G640" s="148"/>
      <c r="H640" s="115"/>
      <c r="I640" s="2"/>
      <c r="J640" s="832"/>
      <c r="K640" s="832"/>
      <c r="L640" s="499"/>
      <c r="M640" s="148"/>
      <c r="N640" s="499"/>
      <c r="O640" s="75"/>
      <c r="P640" s="75"/>
      <c r="Q640" s="148"/>
      <c r="R640" s="115"/>
      <c r="S640" s="115"/>
      <c r="T640" s="115"/>
      <c r="U640" s="396"/>
      <c r="V640" s="504"/>
      <c r="W640" s="653"/>
      <c r="X640" s="115"/>
      <c r="Y640" s="507"/>
      <c r="Z640" s="459"/>
      <c r="AA640" s="459"/>
      <c r="AB640" s="459"/>
      <c r="AC640" s="459"/>
      <c r="AD640" s="459"/>
      <c r="AE640" s="459"/>
      <c r="AF640" s="459"/>
      <c r="AG640" s="459"/>
      <c r="AH640" s="459"/>
      <c r="AI640" s="459"/>
      <c r="AJ640" s="459"/>
      <c r="AK640" s="459"/>
      <c r="AL640" s="459"/>
      <c r="AM640" s="459"/>
      <c r="AN640" s="459"/>
      <c r="AO640" s="459"/>
      <c r="AP640" s="459"/>
      <c r="AQ640" s="459"/>
      <c r="AR640" s="459"/>
      <c r="AS640" s="459"/>
      <c r="AT640" s="459"/>
      <c r="AU640" s="459"/>
      <c r="AV640" s="459"/>
      <c r="AW640" s="459"/>
      <c r="AX640" s="459"/>
      <c r="AY640" s="459"/>
      <c r="AZ640" s="459"/>
      <c r="BA640" s="459"/>
      <c r="BB640" s="459"/>
      <c r="BC640" s="459"/>
      <c r="BD640" s="459"/>
      <c r="BE640" s="457"/>
      <c r="BF640" s="457"/>
      <c r="BG640" s="459"/>
      <c r="BH640" s="459"/>
      <c r="BI640" s="457"/>
      <c r="BJ640" s="457"/>
      <c r="BK640" s="457"/>
      <c r="BL640" s="457"/>
      <c r="BM640" s="457"/>
      <c r="BN640" s="457"/>
      <c r="BO640" s="457"/>
      <c r="BP640" s="457"/>
      <c r="BQ640" s="457"/>
      <c r="BR640" s="457"/>
      <c r="BS640" s="457"/>
      <c r="BT640" s="457"/>
      <c r="BU640" s="457"/>
      <c r="BV640" s="457"/>
      <c r="BW640" s="457"/>
      <c r="BX640" s="769"/>
      <c r="BY640" s="861"/>
      <c r="BZ640" s="861"/>
      <c r="CA640" s="861"/>
      <c r="CB640" s="861"/>
      <c r="CC640" s="861"/>
      <c r="CD640" s="861"/>
      <c r="CE640" s="861"/>
      <c r="CF640" s="861"/>
      <c r="CG640" s="34" t="s">
        <v>268</v>
      </c>
      <c r="CH640" s="422" t="s">
        <v>779</v>
      </c>
      <c r="CI640" s="412">
        <v>40517</v>
      </c>
      <c r="CJ640" s="1"/>
      <c r="CK640" s="48"/>
      <c r="CL640" s="490"/>
      <c r="CM640" s="434"/>
      <c r="CR640" s="403"/>
      <c r="CS640" s="48"/>
      <c r="CT640"/>
      <c r="CU640" s="1"/>
      <c r="CV640" s="1"/>
      <c r="CW640" s="1"/>
      <c r="CX640" s="1"/>
      <c r="CY640"/>
      <c r="CZ640"/>
      <c r="DA640" s="48"/>
      <c r="DB640"/>
      <c r="DC640"/>
      <c r="DD640"/>
      <c r="DE640"/>
      <c r="DF640"/>
      <c r="DG640"/>
      <c r="DH640"/>
      <c r="DI640"/>
      <c r="DJ640"/>
      <c r="DK640"/>
    </row>
    <row r="641" spans="1:126" s="72" customFormat="1" ht="13.5" customHeight="1" x14ac:dyDescent="0.2">
      <c r="A641" s="434"/>
      <c r="B641" s="418"/>
      <c r="D641" s="23"/>
      <c r="E641" s="709"/>
      <c r="F641" s="709"/>
      <c r="G641" s="148"/>
      <c r="H641" s="115"/>
      <c r="I641" s="2"/>
      <c r="J641" s="832"/>
      <c r="K641" s="832"/>
      <c r="L641" s="499"/>
      <c r="M641" s="148"/>
      <c r="N641" s="499"/>
      <c r="O641" s="75"/>
      <c r="P641" s="75"/>
      <c r="Q641" s="148"/>
      <c r="R641" s="115"/>
      <c r="S641" s="115"/>
      <c r="T641" s="115"/>
      <c r="U641" s="396"/>
      <c r="V641" s="504"/>
      <c r="W641" s="653"/>
      <c r="X641" s="115"/>
      <c r="Y641" s="507"/>
      <c r="Z641" s="459"/>
      <c r="AA641" s="459"/>
      <c r="AB641" s="459"/>
      <c r="AC641" s="459"/>
      <c r="AD641" s="459"/>
      <c r="AE641" s="459"/>
      <c r="AF641" s="459"/>
      <c r="AG641" s="459"/>
      <c r="AH641" s="459"/>
      <c r="AI641" s="459"/>
      <c r="AJ641" s="459"/>
      <c r="AK641" s="459"/>
      <c r="AL641" s="459"/>
      <c r="AM641" s="459"/>
      <c r="AN641" s="459"/>
      <c r="AO641" s="459"/>
      <c r="AP641" s="459"/>
      <c r="AQ641" s="459"/>
      <c r="AR641" s="459"/>
      <c r="AS641" s="459"/>
      <c r="AT641" s="459"/>
      <c r="AU641" s="459"/>
      <c r="AV641" s="459"/>
      <c r="AW641" s="459"/>
      <c r="AX641" s="459"/>
      <c r="AY641" s="459"/>
      <c r="AZ641" s="459"/>
      <c r="BA641" s="459"/>
      <c r="BB641" s="459"/>
      <c r="BC641" s="459"/>
      <c r="BD641" s="459"/>
      <c r="BE641" s="457"/>
      <c r="BF641" s="457"/>
      <c r="BG641" s="459"/>
      <c r="BH641" s="459"/>
      <c r="BI641" s="457"/>
      <c r="BJ641" s="457"/>
      <c r="BK641" s="457"/>
      <c r="BL641" s="457"/>
      <c r="BM641" s="457"/>
      <c r="BN641" s="457"/>
      <c r="BO641" s="457"/>
      <c r="BP641" s="457"/>
      <c r="BQ641" s="457"/>
      <c r="BR641" s="457"/>
      <c r="BS641" s="457"/>
      <c r="BT641" s="457"/>
      <c r="BU641" s="457"/>
      <c r="BV641" s="457"/>
      <c r="BW641" s="457"/>
      <c r="BX641" s="769"/>
      <c r="BY641" s="861"/>
      <c r="BZ641" s="861"/>
      <c r="CA641" s="861"/>
      <c r="CB641" s="861"/>
      <c r="CC641" s="861"/>
      <c r="CD641" s="861"/>
      <c r="CE641" s="861"/>
      <c r="CF641" s="861"/>
      <c r="CG641" s="34" t="s">
        <v>346</v>
      </c>
      <c r="CH641" s="419" t="s">
        <v>723</v>
      </c>
      <c r="CI641" s="412">
        <v>40515</v>
      </c>
      <c r="CJ641" s="1"/>
      <c r="CK641" s="48"/>
      <c r="CL641" s="490"/>
      <c r="CM641" s="434"/>
      <c r="CR641" s="403"/>
      <c r="CS641" s="48"/>
      <c r="CT641"/>
      <c r="CU641" s="1"/>
      <c r="CV641" s="1"/>
      <c r="CW641" s="1"/>
      <c r="CX641" s="1"/>
      <c r="CY641"/>
      <c r="CZ641"/>
      <c r="DA641" s="48"/>
      <c r="DB641"/>
      <c r="DC641"/>
      <c r="DD641"/>
      <c r="DE641"/>
      <c r="DF641"/>
      <c r="DG641"/>
      <c r="DH641"/>
      <c r="DI641"/>
      <c r="DJ641"/>
      <c r="DK641"/>
      <c r="DL641"/>
    </row>
    <row r="642" spans="1:126" s="72" customFormat="1" ht="13.5" customHeight="1" x14ac:dyDescent="0.2">
      <c r="A642" s="434"/>
      <c r="B642" s="418"/>
      <c r="D642" s="23"/>
      <c r="E642" s="708"/>
      <c r="F642" s="708"/>
      <c r="G642" s="116"/>
      <c r="H642" s="116"/>
      <c r="I642" s="2"/>
      <c r="J642" s="831"/>
      <c r="K642" s="831"/>
      <c r="L642" s="499"/>
      <c r="M642" s="116"/>
      <c r="N642" s="499"/>
      <c r="O642" s="75"/>
      <c r="P642" s="75"/>
      <c r="Q642" s="116"/>
      <c r="R642" s="585"/>
      <c r="S642" s="585"/>
      <c r="T642" s="585"/>
      <c r="U642" s="396"/>
      <c r="V642" s="504"/>
      <c r="W642" s="653"/>
      <c r="X642" s="585"/>
      <c r="Y642" s="507"/>
      <c r="Z642" s="459"/>
      <c r="AA642" s="459"/>
      <c r="AB642" s="459"/>
      <c r="AC642" s="459"/>
      <c r="AD642" s="459"/>
      <c r="AE642" s="459"/>
      <c r="AF642" s="459"/>
      <c r="AG642" s="459"/>
      <c r="AH642" s="459"/>
      <c r="AI642" s="459"/>
      <c r="AJ642" s="459"/>
      <c r="AK642" s="459"/>
      <c r="AL642" s="459"/>
      <c r="AM642" s="459"/>
      <c r="AN642" s="459"/>
      <c r="AO642" s="459"/>
      <c r="AP642" s="459"/>
      <c r="AQ642" s="459"/>
      <c r="AR642" s="459"/>
      <c r="AS642" s="459"/>
      <c r="AT642" s="459"/>
      <c r="AU642" s="459"/>
      <c r="AV642" s="459"/>
      <c r="AW642" s="459"/>
      <c r="AX642" s="459"/>
      <c r="AY642" s="459"/>
      <c r="AZ642" s="459"/>
      <c r="BA642" s="459"/>
      <c r="BB642" s="459"/>
      <c r="BC642" s="459"/>
      <c r="BD642" s="459"/>
      <c r="BE642" s="457"/>
      <c r="BF642" s="457"/>
      <c r="BG642" s="459"/>
      <c r="BH642" s="459"/>
      <c r="BI642" s="457"/>
      <c r="BJ642" s="457"/>
      <c r="BK642" s="457"/>
      <c r="BL642" s="457"/>
      <c r="BM642" s="457"/>
      <c r="BN642" s="457"/>
      <c r="BO642" s="457"/>
      <c r="BP642" s="457"/>
      <c r="BQ642" s="457"/>
      <c r="BR642" s="457"/>
      <c r="BS642" s="457"/>
      <c r="BT642" s="457"/>
      <c r="BU642" s="457"/>
      <c r="BV642" s="457"/>
      <c r="BW642" s="457"/>
      <c r="BX642" s="769"/>
      <c r="BY642" s="861"/>
      <c r="BZ642" s="861"/>
      <c r="CA642" s="861"/>
      <c r="CB642" s="861"/>
      <c r="CC642" s="861"/>
      <c r="CD642" s="861"/>
      <c r="CE642" s="861"/>
      <c r="CF642" s="861"/>
      <c r="CG642" s="34" t="s">
        <v>270</v>
      </c>
      <c r="CH642" s="419" t="s">
        <v>725</v>
      </c>
      <c r="CI642" s="412">
        <v>40515</v>
      </c>
      <c r="CJ642" s="1"/>
      <c r="CK642" s="48"/>
      <c r="CL642" s="490"/>
      <c r="CM642" s="434"/>
      <c r="CR642" s="403"/>
      <c r="CS642" s="48"/>
      <c r="CT642"/>
      <c r="CU642" s="1"/>
      <c r="CV642" s="1"/>
      <c r="CW642" s="1"/>
      <c r="CX642" s="1"/>
      <c r="CY642"/>
      <c r="CZ642"/>
      <c r="DA642" s="48"/>
      <c r="DB642"/>
      <c r="DC642"/>
      <c r="DD642"/>
      <c r="DE642"/>
      <c r="DF642"/>
      <c r="DG642"/>
      <c r="DH642"/>
      <c r="DI642"/>
      <c r="DJ642"/>
      <c r="DK642"/>
      <c r="DL642"/>
      <c r="DM642"/>
    </row>
    <row r="643" spans="1:126" s="72" customFormat="1" ht="13.5" customHeight="1" x14ac:dyDescent="0.2">
      <c r="A643" s="434"/>
      <c r="B643" s="418"/>
      <c r="D643" s="36"/>
      <c r="E643" s="709"/>
      <c r="F643" s="709"/>
      <c r="G643" s="148"/>
      <c r="H643" s="115"/>
      <c r="I643" s="2"/>
      <c r="J643" s="832"/>
      <c r="K643" s="832"/>
      <c r="L643" s="499"/>
      <c r="M643" s="148"/>
      <c r="N643" s="499"/>
      <c r="O643" s="75"/>
      <c r="P643" s="75"/>
      <c r="Q643" s="148"/>
      <c r="R643" s="115"/>
      <c r="S643" s="115"/>
      <c r="T643" s="115"/>
      <c r="U643" s="396"/>
      <c r="V643" s="504"/>
      <c r="W643" s="653"/>
      <c r="X643" s="115"/>
      <c r="Y643" s="507"/>
      <c r="Z643" s="459"/>
      <c r="AA643" s="459"/>
      <c r="AB643" s="459"/>
      <c r="AC643" s="459"/>
      <c r="AD643" s="459"/>
      <c r="AE643" s="459"/>
      <c r="AF643" s="459"/>
      <c r="AG643" s="459"/>
      <c r="AH643" s="459"/>
      <c r="AI643" s="459"/>
      <c r="AJ643" s="459"/>
      <c r="AK643" s="459"/>
      <c r="AL643" s="459"/>
      <c r="AM643" s="459"/>
      <c r="AN643" s="459"/>
      <c r="AO643" s="459"/>
      <c r="AP643" s="459"/>
      <c r="AQ643" s="459"/>
      <c r="AR643" s="459"/>
      <c r="AS643" s="459"/>
      <c r="AT643" s="459"/>
      <c r="AU643" s="459"/>
      <c r="AV643" s="459"/>
      <c r="AW643" s="459"/>
      <c r="AX643" s="459"/>
      <c r="AY643" s="459"/>
      <c r="AZ643" s="459"/>
      <c r="BA643" s="459"/>
      <c r="BB643" s="459"/>
      <c r="BC643" s="459"/>
      <c r="BD643" s="459"/>
      <c r="BE643" s="457"/>
      <c r="BF643" s="457"/>
      <c r="BG643" s="459"/>
      <c r="BH643" s="459"/>
      <c r="BI643" s="457"/>
      <c r="BJ643" s="457"/>
      <c r="BK643" s="457"/>
      <c r="BL643" s="457"/>
      <c r="BM643" s="457"/>
      <c r="BN643" s="457"/>
      <c r="BO643" s="457"/>
      <c r="BP643" s="457"/>
      <c r="BQ643" s="457"/>
      <c r="BR643" s="457"/>
      <c r="BS643" s="457"/>
      <c r="BT643" s="457"/>
      <c r="BU643" s="457"/>
      <c r="BV643" s="457"/>
      <c r="BW643" s="457"/>
      <c r="BX643" s="769"/>
      <c r="BY643" s="861"/>
      <c r="BZ643" s="861"/>
      <c r="CA643" s="861"/>
      <c r="CB643" s="861"/>
      <c r="CC643" s="861"/>
      <c r="CD643" s="861"/>
      <c r="CE643" s="861"/>
      <c r="CF643" s="861"/>
      <c r="CG643" s="182" t="s">
        <v>272</v>
      </c>
      <c r="CH643" s="419" t="s">
        <v>669</v>
      </c>
      <c r="CI643" s="412">
        <v>40508</v>
      </c>
      <c r="CJ643" s="1"/>
      <c r="CK643" s="48"/>
      <c r="CL643" s="490"/>
      <c r="CM643" s="434"/>
      <c r="CR643" s="403"/>
      <c r="CS643" s="48"/>
      <c r="CT643"/>
      <c r="CU643" s="1"/>
      <c r="CV643" s="1"/>
      <c r="CW643" s="1"/>
      <c r="CX643" s="1"/>
      <c r="CY643"/>
      <c r="CZ643"/>
      <c r="DA643" s="48"/>
      <c r="DB643"/>
      <c r="DC643"/>
      <c r="DD643"/>
      <c r="DE643"/>
      <c r="DF643"/>
      <c r="DG643"/>
      <c r="DH643"/>
      <c r="DI643"/>
      <c r="DJ643"/>
      <c r="DK643"/>
      <c r="DL643"/>
      <c r="DM643"/>
      <c r="DN643"/>
      <c r="DO643"/>
      <c r="DP643"/>
      <c r="DQ643"/>
      <c r="DR643"/>
      <c r="DS643"/>
      <c r="DT643"/>
      <c r="DU643"/>
      <c r="DV643"/>
    </row>
    <row r="644" spans="1:126" x14ac:dyDescent="0.2">
      <c r="D644" s="36"/>
      <c r="E644" s="708"/>
      <c r="F644" s="708"/>
      <c r="G644" s="116"/>
      <c r="H644" s="116"/>
      <c r="J644" s="831"/>
      <c r="K644" s="831"/>
      <c r="L644" s="499"/>
      <c r="M644" s="116"/>
      <c r="O644" s="75"/>
      <c r="P644" s="75"/>
      <c r="Q644" s="116"/>
      <c r="R644" s="585"/>
      <c r="S644" s="585"/>
      <c r="T644" s="585"/>
      <c r="V644" s="504"/>
      <c r="X644" s="585"/>
      <c r="BX644" s="769"/>
      <c r="BY644" s="861"/>
      <c r="BZ644" s="861"/>
      <c r="CA644" s="861"/>
      <c r="CB644" s="861"/>
      <c r="CC644" s="861"/>
      <c r="CD644" s="861"/>
      <c r="CE644" s="861"/>
      <c r="CF644" s="861"/>
      <c r="CG644" s="182" t="s">
        <v>273</v>
      </c>
      <c r="CH644" s="419" t="s">
        <v>638</v>
      </c>
      <c r="CI644" s="412">
        <v>40502</v>
      </c>
      <c r="CK644" s="48" t="s">
        <v>735</v>
      </c>
      <c r="CL644" s="698"/>
    </row>
    <row r="645" spans="1:126" x14ac:dyDescent="0.2">
      <c r="D645" s="36"/>
      <c r="E645" s="709"/>
      <c r="F645" s="709"/>
      <c r="G645" s="148"/>
      <c r="H645" s="115"/>
      <c r="J645" s="832"/>
      <c r="K645" s="832"/>
      <c r="L645" s="499"/>
      <c r="M645" s="148"/>
      <c r="O645" s="75"/>
      <c r="P645" s="75"/>
      <c r="Q645" s="148"/>
      <c r="R645" s="115"/>
      <c r="S645" s="115"/>
      <c r="T645" s="115"/>
      <c r="V645" s="504"/>
      <c r="X645" s="115"/>
      <c r="BX645" s="769"/>
      <c r="BY645" s="861"/>
      <c r="BZ645" s="861"/>
      <c r="CA645" s="861"/>
      <c r="CB645" s="861"/>
      <c r="CC645" s="861"/>
      <c r="CD645" s="861"/>
      <c r="CE645" s="861"/>
      <c r="CF645" s="861"/>
      <c r="CG645" s="182" t="s">
        <v>329</v>
      </c>
      <c r="CH645" s="418" t="s">
        <v>1086</v>
      </c>
      <c r="CI645" s="412">
        <v>40517</v>
      </c>
      <c r="DF645" s="72"/>
      <c r="DG645" s="72"/>
    </row>
    <row r="646" spans="1:126" x14ac:dyDescent="0.2">
      <c r="D646" s="36"/>
      <c r="E646" s="709"/>
      <c r="F646" s="709"/>
      <c r="G646" s="148"/>
      <c r="H646" s="115"/>
      <c r="J646" s="832"/>
      <c r="K646" s="832"/>
      <c r="L646" s="499"/>
      <c r="M646" s="148"/>
      <c r="O646" s="75"/>
      <c r="P646" s="75"/>
      <c r="Q646" s="148"/>
      <c r="R646" s="115"/>
      <c r="S646" s="115"/>
      <c r="T646" s="115"/>
      <c r="V646" s="504"/>
      <c r="X646" s="115"/>
      <c r="BX646" s="769"/>
      <c r="BY646" s="861"/>
      <c r="BZ646" s="861"/>
      <c r="CA646" s="861"/>
      <c r="CB646" s="861"/>
      <c r="CC646" s="861"/>
      <c r="CD646" s="861"/>
      <c r="CE646" s="861"/>
      <c r="CF646" s="861"/>
      <c r="CG646" s="182" t="s">
        <v>334</v>
      </c>
      <c r="CH646" s="419" t="s">
        <v>682</v>
      </c>
      <c r="CI646" s="412">
        <v>40513</v>
      </c>
      <c r="CJ646" s="19" t="s">
        <v>683</v>
      </c>
      <c r="CK646" s="48" t="s">
        <v>736</v>
      </c>
      <c r="CL646" s="698"/>
    </row>
    <row r="647" spans="1:126" x14ac:dyDescent="0.2">
      <c r="D647" s="36"/>
      <c r="E647" s="709"/>
      <c r="F647" s="709"/>
      <c r="G647" s="148"/>
      <c r="H647" s="115"/>
      <c r="J647" s="832"/>
      <c r="K647" s="832"/>
      <c r="L647" s="499"/>
      <c r="M647" s="148"/>
      <c r="O647" s="75"/>
      <c r="P647" s="75"/>
      <c r="Q647" s="148"/>
      <c r="R647" s="115"/>
      <c r="S647" s="115"/>
      <c r="T647" s="115"/>
      <c r="V647" s="504"/>
      <c r="X647" s="115"/>
      <c r="BX647" s="769"/>
      <c r="BY647" s="861"/>
      <c r="BZ647" s="861"/>
      <c r="CA647" s="861"/>
      <c r="CB647" s="861"/>
      <c r="CC647" s="861"/>
      <c r="CD647" s="861"/>
      <c r="CE647" s="861"/>
      <c r="CF647" s="861"/>
      <c r="CG647" s="182" t="s">
        <v>335</v>
      </c>
      <c r="CH647" s="419" t="s">
        <v>610</v>
      </c>
      <c r="CI647" s="412">
        <v>40506</v>
      </c>
      <c r="CK647" s="48" t="s">
        <v>598</v>
      </c>
      <c r="CL647" s="698" t="s">
        <v>597</v>
      </c>
    </row>
    <row r="648" spans="1:126" x14ac:dyDescent="0.2">
      <c r="D648" s="36"/>
      <c r="E648" s="709"/>
      <c r="F648" s="709"/>
      <c r="G648" s="148"/>
      <c r="H648" s="115"/>
      <c r="J648" s="832"/>
      <c r="K648" s="832"/>
      <c r="L648" s="499"/>
      <c r="M648" s="148"/>
      <c r="O648" s="98"/>
      <c r="P648" s="98"/>
      <c r="Q648" s="148"/>
      <c r="R648" s="115"/>
      <c r="S648" s="115"/>
      <c r="T648" s="115"/>
      <c r="V648" s="504"/>
      <c r="X648" s="115"/>
      <c r="BX648" s="769"/>
      <c r="BY648" s="861"/>
      <c r="BZ648" s="861"/>
      <c r="CA648" s="861"/>
      <c r="CB648" s="861"/>
      <c r="CC648" s="861"/>
      <c r="CD648" s="861"/>
      <c r="CE648" s="861"/>
      <c r="CF648" s="861"/>
      <c r="CG648" s="182" t="s">
        <v>336</v>
      </c>
      <c r="CH648" s="419" t="s">
        <v>699</v>
      </c>
      <c r="CI648" s="412">
        <v>40514</v>
      </c>
    </row>
    <row r="649" spans="1:126" x14ac:dyDescent="0.2">
      <c r="D649" s="36"/>
      <c r="E649" s="708"/>
      <c r="F649" s="708"/>
      <c r="G649" s="116"/>
      <c r="H649" s="116"/>
      <c r="J649" s="831"/>
      <c r="K649" s="831"/>
      <c r="L649" s="499"/>
      <c r="M649" s="116"/>
      <c r="O649" s="75"/>
      <c r="P649" s="75"/>
      <c r="Q649" s="116"/>
      <c r="R649" s="585"/>
      <c r="S649" s="585"/>
      <c r="T649" s="585"/>
      <c r="V649" s="504"/>
      <c r="X649" s="585"/>
      <c r="BX649" s="769"/>
      <c r="BY649" s="861"/>
      <c r="BZ649" s="861"/>
      <c r="CA649" s="861"/>
      <c r="CB649" s="861"/>
      <c r="CC649" s="861"/>
      <c r="CD649" s="861"/>
      <c r="CE649" s="861"/>
      <c r="CF649" s="861"/>
      <c r="CG649" s="182" t="s">
        <v>337</v>
      </c>
      <c r="CH649" s="419" t="s">
        <v>613</v>
      </c>
      <c r="CI649" s="412">
        <v>40496</v>
      </c>
    </row>
    <row r="650" spans="1:126" x14ac:dyDescent="0.2">
      <c r="D650" s="36"/>
      <c r="E650" s="708"/>
      <c r="F650" s="708"/>
      <c r="G650" s="116"/>
      <c r="H650" s="116"/>
      <c r="J650" s="831"/>
      <c r="K650" s="831"/>
      <c r="L650" s="499"/>
      <c r="M650" s="116"/>
      <c r="O650" s="75"/>
      <c r="P650" s="75"/>
      <c r="Q650" s="116"/>
      <c r="R650" s="585"/>
      <c r="S650" s="585"/>
      <c r="T650" s="585"/>
      <c r="V650" s="504"/>
      <c r="X650" s="585"/>
      <c r="BX650" s="769"/>
      <c r="BY650" s="861"/>
      <c r="BZ650" s="861"/>
      <c r="CA650" s="861"/>
      <c r="CB650" s="861"/>
      <c r="CC650" s="861"/>
      <c r="CD650" s="861"/>
      <c r="CE650" s="861"/>
      <c r="CF650" s="861"/>
      <c r="CG650" s="182" t="s">
        <v>339</v>
      </c>
      <c r="CH650" s="419" t="s">
        <v>614</v>
      </c>
      <c r="CI650" s="412">
        <v>40505</v>
      </c>
    </row>
    <row r="651" spans="1:126" x14ac:dyDescent="0.2">
      <c r="D651" s="36"/>
      <c r="E651" s="709"/>
      <c r="F651" s="709"/>
      <c r="G651" s="148"/>
      <c r="H651" s="115"/>
      <c r="J651" s="832"/>
      <c r="K651" s="832"/>
      <c r="L651" s="499"/>
      <c r="M651" s="148"/>
      <c r="O651" s="75"/>
      <c r="P651" s="75"/>
      <c r="Q651" s="148"/>
      <c r="R651" s="115"/>
      <c r="S651" s="115"/>
      <c r="T651" s="115"/>
      <c r="V651" s="504"/>
      <c r="X651" s="115"/>
      <c r="BX651" s="769"/>
      <c r="BY651" s="861"/>
      <c r="BZ651" s="861"/>
      <c r="CA651" s="861"/>
      <c r="CB651" s="861"/>
      <c r="CC651" s="861"/>
      <c r="CD651" s="861"/>
      <c r="CE651" s="861"/>
      <c r="CF651" s="861"/>
      <c r="CG651" s="182" t="s">
        <v>340</v>
      </c>
      <c r="CH651" s="419" t="s">
        <v>621</v>
      </c>
      <c r="CI651" s="412">
        <v>40508</v>
      </c>
      <c r="DF651" s="72"/>
      <c r="DG651" s="72"/>
    </row>
    <row r="652" spans="1:126" x14ac:dyDescent="0.2">
      <c r="D652" s="23"/>
      <c r="E652" s="709"/>
      <c r="F652" s="709"/>
      <c r="G652" s="148"/>
      <c r="H652" s="115"/>
      <c r="J652" s="832"/>
      <c r="K652" s="832"/>
      <c r="M652" s="148"/>
      <c r="O652" s="75"/>
      <c r="P652" s="75"/>
      <c r="Q652" s="148"/>
      <c r="R652" s="115"/>
      <c r="S652" s="115"/>
      <c r="T652" s="115"/>
      <c r="V652" s="504"/>
      <c r="X652" s="115"/>
      <c r="BX652" s="769"/>
      <c r="BY652" s="861"/>
      <c r="BZ652" s="861"/>
      <c r="CA652" s="861"/>
      <c r="CB652" s="861"/>
      <c r="CC652" s="861"/>
      <c r="CD652" s="861"/>
      <c r="CE652" s="861"/>
      <c r="CF652" s="861"/>
      <c r="CG652" s="34" t="s">
        <v>341</v>
      </c>
      <c r="CH652" s="419" t="s">
        <v>310</v>
      </c>
      <c r="CI652" s="412">
        <v>39098</v>
      </c>
      <c r="DF652" s="72"/>
      <c r="DG652" s="72"/>
    </row>
    <row r="653" spans="1:126" x14ac:dyDescent="0.2">
      <c r="D653" s="23"/>
      <c r="E653" s="709"/>
      <c r="F653" s="709"/>
      <c r="G653" s="148"/>
      <c r="H653" s="115"/>
      <c r="J653" s="832"/>
      <c r="K653" s="832"/>
      <c r="L653" s="499"/>
      <c r="M653" s="148"/>
      <c r="Q653" s="148"/>
      <c r="R653" s="115"/>
      <c r="S653" s="115"/>
      <c r="T653" s="115"/>
      <c r="V653" s="504"/>
      <c r="X653" s="115"/>
      <c r="BX653" s="769"/>
      <c r="BY653" s="861"/>
      <c r="BZ653" s="861"/>
      <c r="CA653" s="861"/>
      <c r="CB653" s="861"/>
      <c r="CC653" s="861"/>
      <c r="CD653" s="861"/>
      <c r="CE653" s="861"/>
      <c r="CF653" s="861"/>
      <c r="CG653" s="34" t="s">
        <v>342</v>
      </c>
      <c r="CH653" s="419" t="s">
        <v>295</v>
      </c>
      <c r="CI653" s="412">
        <v>39098</v>
      </c>
      <c r="DF653" s="72"/>
      <c r="DG653" s="72"/>
    </row>
    <row r="654" spans="1:126" ht="12.75" customHeight="1" x14ac:dyDescent="0.2">
      <c r="D654" s="23"/>
      <c r="E654" s="709"/>
      <c r="F654" s="709"/>
      <c r="G654" s="148"/>
      <c r="H654" s="115"/>
      <c r="J654" s="832"/>
      <c r="K654" s="832"/>
      <c r="L654" s="499"/>
      <c r="M654" s="148"/>
      <c r="Q654" s="148"/>
      <c r="R654" s="115"/>
      <c r="S654" s="115"/>
      <c r="T654" s="115"/>
      <c r="V654" s="504"/>
      <c r="X654" s="115"/>
      <c r="BX654" s="769"/>
      <c r="BY654" s="861"/>
      <c r="BZ654" s="861"/>
      <c r="CA654" s="861"/>
      <c r="CB654" s="861"/>
      <c r="CC654" s="861"/>
      <c r="CD654" s="861"/>
      <c r="CE654" s="861"/>
      <c r="CF654" s="861"/>
      <c r="CG654" s="34" t="s">
        <v>524</v>
      </c>
      <c r="CH654" s="417" t="s">
        <v>663</v>
      </c>
      <c r="CI654" s="412">
        <v>40497</v>
      </c>
      <c r="CK654" s="417" t="s">
        <v>1062</v>
      </c>
      <c r="DF654" s="72"/>
      <c r="DG654" s="72"/>
    </row>
    <row r="655" spans="1:126" x14ac:dyDescent="0.2">
      <c r="D655" s="23"/>
      <c r="E655" s="709"/>
      <c r="F655" s="709"/>
      <c r="G655" s="148"/>
      <c r="H655" s="115"/>
      <c r="J655" s="832"/>
      <c r="K655" s="832"/>
      <c r="L655" s="499"/>
      <c r="M655" s="148"/>
      <c r="Q655" s="148"/>
      <c r="R655" s="115"/>
      <c r="S655" s="115"/>
      <c r="T655" s="115"/>
      <c r="V655" s="504"/>
      <c r="X655" s="115"/>
      <c r="BX655" s="769"/>
      <c r="BY655" s="861"/>
      <c r="BZ655" s="861"/>
      <c r="CA655" s="861"/>
      <c r="CB655" s="861"/>
      <c r="CC655" s="861"/>
      <c r="CD655" s="861"/>
      <c r="CE655" s="861"/>
      <c r="CF655" s="861"/>
      <c r="CG655" s="34" t="s">
        <v>523</v>
      </c>
      <c r="CH655" s="419" t="s">
        <v>662</v>
      </c>
      <c r="CI655" s="412">
        <v>40497</v>
      </c>
      <c r="CK655" s="48" t="s">
        <v>650</v>
      </c>
      <c r="DF655" s="72"/>
      <c r="DG655" s="72"/>
    </row>
    <row r="656" spans="1:126" x14ac:dyDescent="0.2">
      <c r="D656" s="23"/>
      <c r="E656" s="709"/>
      <c r="F656" s="709"/>
      <c r="G656" s="148"/>
      <c r="H656" s="115"/>
      <c r="J656" s="832"/>
      <c r="K656" s="832"/>
      <c r="L656" s="499"/>
      <c r="M656" s="148"/>
      <c r="O656" s="98"/>
      <c r="P656" s="98"/>
      <c r="Q656" s="148"/>
      <c r="R656" s="115"/>
      <c r="S656" s="115"/>
      <c r="T656" s="115"/>
      <c r="V656" s="504"/>
      <c r="X656" s="115"/>
      <c r="BX656" s="769"/>
      <c r="BY656" s="861"/>
      <c r="BZ656" s="861"/>
      <c r="CA656" s="861"/>
      <c r="CB656" s="861"/>
      <c r="CC656" s="861"/>
      <c r="CD656" s="861"/>
      <c r="CE656" s="861"/>
      <c r="CF656" s="861"/>
      <c r="CG656" s="34" t="s">
        <v>525</v>
      </c>
      <c r="CH656" s="419" t="s">
        <v>661</v>
      </c>
      <c r="CI656" s="412">
        <v>40507</v>
      </c>
      <c r="DF656" s="72"/>
      <c r="DG656" s="72"/>
    </row>
    <row r="657" spans="1:111" x14ac:dyDescent="0.2">
      <c r="A657"/>
      <c r="B657"/>
      <c r="D657" s="23"/>
      <c r="E657" s="708"/>
      <c r="F657" s="708"/>
      <c r="G657" s="116"/>
      <c r="H657" s="116"/>
      <c r="J657" s="831"/>
      <c r="K657" s="831"/>
      <c r="L657" s="499"/>
      <c r="M657" s="116"/>
      <c r="O657" s="98"/>
      <c r="P657" s="98"/>
      <c r="Q657" s="116"/>
      <c r="R657" s="585"/>
      <c r="S657" s="585"/>
      <c r="T657" s="585"/>
      <c r="V657" s="504"/>
      <c r="X657" s="585"/>
      <c r="BX657" s="769"/>
      <c r="BY657" s="861"/>
      <c r="BZ657" s="861"/>
      <c r="CA657" s="861"/>
      <c r="CB657" s="861"/>
      <c r="CC657" s="861"/>
      <c r="CD657" s="861"/>
      <c r="CE657" s="861"/>
      <c r="CF657" s="861"/>
      <c r="CG657" s="34" t="s">
        <v>537</v>
      </c>
      <c r="CH657" s="419" t="s">
        <v>538</v>
      </c>
      <c r="CI657" s="412">
        <v>40516</v>
      </c>
      <c r="CL657"/>
      <c r="CM657"/>
    </row>
    <row r="658" spans="1:111" x14ac:dyDescent="0.2">
      <c r="A658"/>
      <c r="B658"/>
      <c r="D658" s="36"/>
      <c r="E658" s="709"/>
      <c r="F658" s="709"/>
      <c r="G658" s="148"/>
      <c r="H658" s="115"/>
      <c r="J658" s="832"/>
      <c r="K658" s="832"/>
      <c r="L658" s="499"/>
      <c r="M658" s="148"/>
      <c r="Q658" s="148"/>
      <c r="R658" s="115"/>
      <c r="S658" s="115"/>
      <c r="T658" s="115"/>
      <c r="V658" s="504"/>
      <c r="X658" s="115"/>
      <c r="BY658" s="861"/>
      <c r="BZ658" s="861"/>
      <c r="CA658" s="861"/>
      <c r="CB658" s="861"/>
      <c r="CC658" s="861"/>
      <c r="CD658" s="861"/>
      <c r="CE658" s="861"/>
      <c r="CF658" s="861"/>
      <c r="CG658" s="182" t="s">
        <v>548</v>
      </c>
      <c r="CH658" s="419" t="s">
        <v>625</v>
      </c>
      <c r="CI658" s="412">
        <v>40508</v>
      </c>
      <c r="CL658"/>
      <c r="CM658"/>
      <c r="DF658" s="72"/>
      <c r="DG658" s="72"/>
    </row>
    <row r="659" spans="1:111" x14ac:dyDescent="0.2">
      <c r="A659"/>
      <c r="B659"/>
      <c r="D659" s="23"/>
      <c r="E659" s="709"/>
      <c r="F659" s="709"/>
      <c r="G659" s="148"/>
      <c r="H659" s="115"/>
      <c r="J659" s="832"/>
      <c r="K659" s="832"/>
      <c r="L659" s="499"/>
      <c r="M659" s="148"/>
      <c r="O659" s="98"/>
      <c r="P659" s="98"/>
      <c r="Q659" s="148"/>
      <c r="R659" s="115"/>
      <c r="S659" s="115"/>
      <c r="T659" s="115"/>
      <c r="V659" s="504"/>
      <c r="X659" s="115"/>
      <c r="BX659" s="769"/>
      <c r="BY659" s="861"/>
      <c r="BZ659" s="861"/>
      <c r="CA659" s="861"/>
      <c r="CB659" s="861"/>
      <c r="CC659" s="861"/>
      <c r="CD659" s="861"/>
      <c r="CE659" s="861"/>
      <c r="CF659" s="861"/>
      <c r="CG659" s="34" t="s">
        <v>553</v>
      </c>
      <c r="CH659" s="419" t="s">
        <v>659</v>
      </c>
      <c r="CI659" s="412">
        <v>40499</v>
      </c>
      <c r="CL659"/>
      <c r="CM659"/>
      <c r="DF659" s="72"/>
      <c r="DG659" s="72"/>
    </row>
    <row r="660" spans="1:111" x14ac:dyDescent="0.2">
      <c r="A660"/>
      <c r="B660"/>
      <c r="D660" s="23"/>
      <c r="E660" s="708"/>
      <c r="F660" s="708"/>
      <c r="G660" s="116"/>
      <c r="H660" s="116"/>
      <c r="J660" s="831"/>
      <c r="K660" s="831"/>
      <c r="L660" s="499"/>
      <c r="M660" s="148"/>
      <c r="O660" s="75"/>
      <c r="P660" s="75"/>
      <c r="Q660" s="116"/>
      <c r="R660" s="585"/>
      <c r="S660" s="585"/>
      <c r="T660" s="585"/>
      <c r="V660" s="504"/>
      <c r="X660" s="585"/>
      <c r="BX660" s="769"/>
      <c r="BY660" s="861"/>
      <c r="BZ660" s="861"/>
      <c r="CA660" s="861"/>
      <c r="CB660" s="861"/>
      <c r="CC660" s="861"/>
      <c r="CD660" s="861"/>
      <c r="CE660" s="861"/>
      <c r="CF660" s="861"/>
      <c r="CG660" s="34" t="s">
        <v>651</v>
      </c>
      <c r="CH660" s="419" t="s">
        <v>658</v>
      </c>
      <c r="CI660" s="412">
        <v>40499</v>
      </c>
      <c r="CL660"/>
      <c r="CM660"/>
      <c r="DF660" s="72"/>
      <c r="DG660" s="72"/>
    </row>
    <row r="661" spans="1:111" x14ac:dyDescent="0.2">
      <c r="A661"/>
      <c r="B661"/>
      <c r="D661" s="23"/>
      <c r="E661" s="709"/>
      <c r="F661" s="709"/>
      <c r="G661" s="148"/>
      <c r="H661" s="115"/>
      <c r="J661" s="832"/>
      <c r="K661" s="832"/>
      <c r="L661" s="499"/>
      <c r="M661" s="148"/>
      <c r="O661" s="75"/>
      <c r="P661" s="75"/>
      <c r="Q661" s="148"/>
      <c r="R661" s="115"/>
      <c r="S661" s="115"/>
      <c r="T661" s="115"/>
      <c r="V661" s="504"/>
      <c r="X661" s="115"/>
      <c r="BX661" s="769"/>
      <c r="BY661" s="861"/>
      <c r="BZ661" s="861"/>
      <c r="CA661" s="861"/>
      <c r="CB661" s="861"/>
      <c r="CC661" s="861"/>
      <c r="CD661" s="861"/>
      <c r="CE661" s="861"/>
      <c r="CF661" s="861"/>
      <c r="CG661" s="34" t="s">
        <v>554</v>
      </c>
      <c r="CH661" s="419" t="s">
        <v>657</v>
      </c>
      <c r="CI661" s="412">
        <v>40516</v>
      </c>
      <c r="CK661" s="417" t="s">
        <v>1085</v>
      </c>
      <c r="CL661"/>
      <c r="CM661"/>
      <c r="DF661" s="72"/>
      <c r="DG661" s="72"/>
    </row>
    <row r="662" spans="1:111" ht="12" customHeight="1" x14ac:dyDescent="0.2">
      <c r="A662"/>
      <c r="B662"/>
      <c r="D662" s="23"/>
      <c r="E662" s="709"/>
      <c r="F662" s="709"/>
      <c r="G662" s="148"/>
      <c r="H662" s="115"/>
      <c r="J662" s="832"/>
      <c r="K662" s="832"/>
      <c r="L662" s="499"/>
      <c r="M662" s="148"/>
      <c r="O662" s="75"/>
      <c r="P662" s="75"/>
      <c r="Q662" s="148"/>
      <c r="R662" s="115"/>
      <c r="S662" s="115"/>
      <c r="T662" s="115"/>
      <c r="V662" s="504"/>
      <c r="X662" s="115"/>
      <c r="BX662" s="769"/>
      <c r="BY662" s="861"/>
      <c r="BZ662" s="861"/>
      <c r="CA662" s="861"/>
      <c r="CB662" s="861"/>
      <c r="CC662" s="861"/>
      <c r="CD662" s="861"/>
      <c r="CE662" s="861"/>
      <c r="CF662" s="861"/>
      <c r="CG662" s="34" t="s">
        <v>556</v>
      </c>
      <c r="CH662" s="417" t="s">
        <v>760</v>
      </c>
      <c r="CI662" s="412">
        <v>40516</v>
      </c>
      <c r="CL662"/>
      <c r="CM662"/>
    </row>
    <row r="663" spans="1:111" x14ac:dyDescent="0.2">
      <c r="A663"/>
      <c r="B663"/>
      <c r="D663" s="23"/>
      <c r="E663" s="709"/>
      <c r="F663" s="709"/>
      <c r="G663" s="148"/>
      <c r="H663" s="115"/>
      <c r="J663" s="832"/>
      <c r="K663" s="832"/>
      <c r="L663" s="499"/>
      <c r="M663" s="148"/>
      <c r="O663" s="75"/>
      <c r="P663" s="75"/>
      <c r="Q663" s="148"/>
      <c r="R663" s="115"/>
      <c r="S663" s="115"/>
      <c r="T663" s="115"/>
      <c r="V663" s="504"/>
      <c r="X663" s="115"/>
      <c r="BX663" s="769"/>
      <c r="BY663" s="861"/>
      <c r="BZ663" s="861"/>
      <c r="CA663" s="861"/>
      <c r="CB663" s="861"/>
      <c r="CC663" s="861"/>
      <c r="CD663" s="861"/>
      <c r="CE663" s="861"/>
      <c r="CF663" s="861"/>
      <c r="CG663" s="34" t="s">
        <v>560</v>
      </c>
      <c r="CH663" s="419" t="s">
        <v>655</v>
      </c>
      <c r="CI663" s="412">
        <v>40502</v>
      </c>
      <c r="CL663"/>
      <c r="CM663"/>
    </row>
    <row r="664" spans="1:111" x14ac:dyDescent="0.2">
      <c r="A664"/>
      <c r="B664"/>
      <c r="D664" s="98"/>
      <c r="E664" s="708"/>
      <c r="F664" s="708"/>
      <c r="G664" s="116"/>
      <c r="H664" s="116"/>
      <c r="J664" s="831"/>
      <c r="K664" s="831"/>
      <c r="L664" s="499"/>
      <c r="M664" s="116"/>
      <c r="O664" s="75"/>
      <c r="P664" s="75"/>
      <c r="Q664" s="116"/>
      <c r="R664" s="585"/>
      <c r="S664" s="585"/>
      <c r="T664" s="585"/>
      <c r="V664" s="504"/>
      <c r="X664" s="585"/>
      <c r="BX664" s="769"/>
      <c r="BY664" s="861"/>
      <c r="BZ664" s="861"/>
      <c r="CA664" s="861"/>
      <c r="CB664" s="861"/>
      <c r="CC664" s="861"/>
      <c r="CD664" s="861"/>
      <c r="CE664" s="861"/>
      <c r="CF664" s="861"/>
      <c r="CG664" s="183" t="s">
        <v>565</v>
      </c>
      <c r="CH664" s="419" t="s">
        <v>778</v>
      </c>
      <c r="CI664" s="412">
        <v>40517</v>
      </c>
      <c r="CL664"/>
      <c r="CM664"/>
    </row>
    <row r="665" spans="1:111" x14ac:dyDescent="0.2">
      <c r="A665"/>
      <c r="B665"/>
      <c r="D665" s="23"/>
      <c r="E665" s="709"/>
      <c r="F665" s="709"/>
      <c r="G665" s="148"/>
      <c r="H665" s="115"/>
      <c r="J665" s="832"/>
      <c r="K665" s="832"/>
      <c r="L665" s="500"/>
      <c r="M665" s="148"/>
      <c r="N665" s="547"/>
      <c r="O665" s="75"/>
      <c r="P665" s="75"/>
      <c r="Q665" s="148"/>
      <c r="R665" s="115"/>
      <c r="S665" s="115"/>
      <c r="T665" s="115"/>
      <c r="V665" s="504"/>
      <c r="X665" s="115"/>
      <c r="BX665" s="769"/>
      <c r="BY665" s="861"/>
      <c r="BZ665" s="861"/>
      <c r="CA665" s="861"/>
      <c r="CB665" s="861"/>
      <c r="CC665" s="861"/>
      <c r="CD665" s="861"/>
      <c r="CE665" s="861"/>
      <c r="CF665" s="861"/>
      <c r="CG665" s="34" t="s">
        <v>576</v>
      </c>
      <c r="CH665" s="421" t="s">
        <v>1046</v>
      </c>
      <c r="CI665" s="412">
        <v>40503</v>
      </c>
      <c r="CL665"/>
      <c r="CM665"/>
    </row>
    <row r="666" spans="1:111" x14ac:dyDescent="0.2">
      <c r="A666"/>
      <c r="B666"/>
      <c r="D666" s="23"/>
      <c r="E666" s="709"/>
      <c r="F666" s="709"/>
      <c r="G666" s="148"/>
      <c r="H666" s="115"/>
      <c r="J666" s="832"/>
      <c r="K666" s="832"/>
      <c r="L666" s="499"/>
      <c r="M666" s="148"/>
      <c r="O666" s="75"/>
      <c r="P666" s="75"/>
      <c r="Q666" s="148"/>
      <c r="R666" s="115"/>
      <c r="S666" s="115"/>
      <c r="T666" s="115"/>
      <c r="V666" s="504"/>
      <c r="X666" s="115"/>
      <c r="BX666" s="769"/>
      <c r="BY666" s="861"/>
      <c r="BZ666" s="861"/>
      <c r="CA666" s="861"/>
      <c r="CB666" s="861"/>
      <c r="CC666" s="861"/>
      <c r="CD666" s="861"/>
      <c r="CE666" s="861"/>
      <c r="CF666" s="861"/>
      <c r="CG666" s="34" t="s">
        <v>604</v>
      </c>
      <c r="CH666" s="419" t="s">
        <v>653</v>
      </c>
      <c r="CI666" s="412">
        <v>40508</v>
      </c>
      <c r="CK666" s="426" t="s">
        <v>1072</v>
      </c>
      <c r="CL666"/>
      <c r="CM666"/>
    </row>
    <row r="667" spans="1:111" x14ac:dyDescent="0.2">
      <c r="A667"/>
      <c r="B667"/>
      <c r="D667" s="23"/>
      <c r="E667" s="709"/>
      <c r="F667" s="709"/>
      <c r="G667" s="148"/>
      <c r="H667" s="115"/>
      <c r="J667" s="832"/>
      <c r="K667" s="832"/>
      <c r="L667" s="499"/>
      <c r="M667" s="148"/>
      <c r="O667" s="75"/>
      <c r="P667" s="75"/>
      <c r="Q667" s="148"/>
      <c r="R667" s="115"/>
      <c r="S667" s="115"/>
      <c r="T667" s="115"/>
      <c r="V667" s="504"/>
      <c r="X667" s="115"/>
      <c r="BX667" s="769"/>
      <c r="BY667" s="861"/>
      <c r="BZ667" s="861"/>
      <c r="CA667" s="861"/>
      <c r="CB667" s="861"/>
      <c r="CC667" s="861"/>
      <c r="CD667" s="861"/>
      <c r="CE667" s="861"/>
      <c r="CF667" s="861"/>
      <c r="CG667" s="34" t="s">
        <v>632</v>
      </c>
      <c r="CH667" s="419" t="s">
        <v>652</v>
      </c>
      <c r="CI667" s="412">
        <v>40513</v>
      </c>
      <c r="CL667"/>
      <c r="CM667"/>
    </row>
    <row r="668" spans="1:111" x14ac:dyDescent="0.2">
      <c r="A668"/>
      <c r="B668"/>
      <c r="D668" s="23"/>
      <c r="E668" s="709"/>
      <c r="F668" s="709"/>
      <c r="G668" s="148"/>
      <c r="H668" s="115"/>
      <c r="J668" s="832"/>
      <c r="K668" s="832"/>
      <c r="L668" s="499"/>
      <c r="M668" s="148"/>
      <c r="Q668" s="148"/>
      <c r="R668" s="115"/>
      <c r="S668" s="115"/>
      <c r="T668" s="115"/>
      <c r="V668" s="504"/>
      <c r="X668" s="115"/>
      <c r="BX668" s="769"/>
      <c r="BY668" s="861"/>
      <c r="BZ668" s="861"/>
      <c r="CA668" s="861"/>
      <c r="CB668" s="861"/>
      <c r="CC668" s="861"/>
      <c r="CD668" s="861"/>
      <c r="CE668" s="861"/>
      <c r="CF668" s="861"/>
      <c r="CG668" s="34" t="s">
        <v>747</v>
      </c>
      <c r="CH668" s="419" t="s">
        <v>734</v>
      </c>
      <c r="CI668" s="412">
        <v>40508</v>
      </c>
      <c r="CL668"/>
      <c r="CM668"/>
    </row>
    <row r="669" spans="1:111" x14ac:dyDescent="0.2">
      <c r="A669"/>
      <c r="B669"/>
      <c r="D669" s="23"/>
      <c r="E669" s="709"/>
      <c r="F669" s="709"/>
      <c r="G669" s="148"/>
      <c r="H669" s="115"/>
      <c r="J669" s="832"/>
      <c r="K669" s="832"/>
      <c r="L669" s="499"/>
      <c r="M669" s="148"/>
      <c r="O669" s="75"/>
      <c r="P669" s="75"/>
      <c r="Q669" s="148"/>
      <c r="R669" s="115"/>
      <c r="S669" s="115"/>
      <c r="T669" s="115"/>
      <c r="V669" s="504"/>
      <c r="X669" s="115"/>
      <c r="BX669" s="769"/>
      <c r="BY669" s="861"/>
      <c r="BZ669" s="861"/>
      <c r="CA669" s="861"/>
      <c r="CB669" s="861"/>
      <c r="CC669" s="861"/>
      <c r="CD669" s="861"/>
      <c r="CE669" s="861"/>
      <c r="CF669" s="861"/>
      <c r="CG669" s="34" t="s">
        <v>752</v>
      </c>
      <c r="CH669" s="417" t="s">
        <v>626</v>
      </c>
      <c r="CI669" s="412">
        <v>40508</v>
      </c>
      <c r="CL669"/>
      <c r="CM669"/>
    </row>
    <row r="670" spans="1:111" x14ac:dyDescent="0.2">
      <c r="A670"/>
      <c r="B670"/>
      <c r="D670" s="36"/>
      <c r="E670" s="709"/>
      <c r="F670" s="709"/>
      <c r="G670" s="148"/>
      <c r="H670" s="115"/>
      <c r="J670" s="832"/>
      <c r="K670" s="832"/>
      <c r="L670" s="499"/>
      <c r="M670" s="148"/>
      <c r="O670" s="75"/>
      <c r="P670" s="75"/>
      <c r="Q670" s="148"/>
      <c r="R670" s="115"/>
      <c r="S670" s="115"/>
      <c r="T670" s="115"/>
      <c r="V670" s="504"/>
      <c r="X670" s="115"/>
      <c r="BX670" s="769"/>
      <c r="BY670" s="861"/>
      <c r="BZ670" s="861"/>
      <c r="CA670" s="861"/>
      <c r="CB670" s="861"/>
      <c r="CC670" s="861"/>
      <c r="CD670" s="861"/>
      <c r="CE670" s="861"/>
      <c r="CF670" s="861"/>
      <c r="CG670" s="182" t="s">
        <v>764</v>
      </c>
      <c r="CH670" s="417" t="s">
        <v>765</v>
      </c>
      <c r="CI670" s="412">
        <v>40516</v>
      </c>
      <c r="CL670"/>
      <c r="CM670"/>
    </row>
    <row r="671" spans="1:111" x14ac:dyDescent="0.2">
      <c r="A671"/>
      <c r="B671"/>
      <c r="D671" s="36"/>
      <c r="E671" s="709"/>
      <c r="F671" s="709"/>
      <c r="G671" s="148"/>
      <c r="H671" s="115"/>
      <c r="J671" s="832"/>
      <c r="K671" s="832"/>
      <c r="L671" s="499"/>
      <c r="M671" s="148"/>
      <c r="O671" s="75"/>
      <c r="P671" s="75"/>
      <c r="Q671" s="148"/>
      <c r="R671" s="115"/>
      <c r="S671" s="115"/>
      <c r="T671" s="115"/>
      <c r="V671" s="504"/>
      <c r="X671" s="115"/>
      <c r="BX671" s="769"/>
      <c r="BY671" s="861"/>
      <c r="BZ671" s="861"/>
      <c r="CA671" s="861"/>
      <c r="CB671" s="861"/>
      <c r="CC671" s="861"/>
      <c r="CD671" s="861"/>
      <c r="CE671" s="861"/>
      <c r="CF671" s="861"/>
      <c r="CG671" s="182" t="s">
        <v>768</v>
      </c>
      <c r="CH671" s="417" t="s">
        <v>769</v>
      </c>
      <c r="CI671" s="412">
        <v>40516</v>
      </c>
      <c r="CL671"/>
      <c r="CM671"/>
    </row>
    <row r="672" spans="1:111" x14ac:dyDescent="0.2">
      <c r="A672"/>
      <c r="B672"/>
      <c r="D672" s="23"/>
      <c r="E672" s="709"/>
      <c r="F672" s="709"/>
      <c r="G672" s="148"/>
      <c r="H672" s="115"/>
      <c r="J672" s="832"/>
      <c r="K672" s="832"/>
      <c r="L672" s="499"/>
      <c r="M672" s="148"/>
      <c r="O672" s="75"/>
      <c r="P672" s="75"/>
      <c r="Q672" s="148"/>
      <c r="R672" s="115"/>
      <c r="S672" s="115"/>
      <c r="T672" s="115"/>
      <c r="V672" s="504"/>
      <c r="X672" s="115"/>
      <c r="BX672" s="769"/>
      <c r="BY672" s="861"/>
      <c r="BZ672" s="861"/>
      <c r="CA672" s="861"/>
      <c r="CB672" s="861"/>
      <c r="CC672" s="861"/>
      <c r="CD672" s="861"/>
      <c r="CE672" s="861"/>
      <c r="CF672" s="861"/>
      <c r="CG672" s="34" t="s">
        <v>770</v>
      </c>
      <c r="CH672" s="437" t="s">
        <v>772</v>
      </c>
      <c r="CI672" s="412">
        <v>40530</v>
      </c>
      <c r="CJ672" s="23"/>
      <c r="CK672" s="418" t="s">
        <v>1066</v>
      </c>
      <c r="CL672"/>
      <c r="CM672"/>
      <c r="CV672" s="586"/>
    </row>
    <row r="673" spans="1:91" x14ac:dyDescent="0.2">
      <c r="D673" s="98"/>
      <c r="E673" s="709"/>
      <c r="F673" s="709"/>
      <c r="G673" s="148"/>
      <c r="H673" s="115"/>
      <c r="J673" s="832"/>
      <c r="K673" s="832"/>
      <c r="L673" s="499"/>
      <c r="M673" s="148"/>
      <c r="O673" s="75"/>
      <c r="P673" s="75"/>
      <c r="Q673" s="148"/>
      <c r="R673" s="115"/>
      <c r="S673" s="115"/>
      <c r="T673" s="115"/>
      <c r="V673" s="504"/>
      <c r="X673" s="115"/>
      <c r="BX673" s="769"/>
      <c r="BY673" s="861"/>
      <c r="BZ673" s="861"/>
      <c r="CA673" s="861"/>
      <c r="CB673" s="861"/>
      <c r="CC673" s="861"/>
      <c r="CD673" s="861"/>
      <c r="CE673" s="861"/>
      <c r="CF673" s="861"/>
      <c r="CG673" s="98" t="s">
        <v>775</v>
      </c>
      <c r="CH673" s="419" t="s">
        <v>872</v>
      </c>
      <c r="CI673" s="405">
        <v>40529</v>
      </c>
      <c r="CL673"/>
      <c r="CM673"/>
    </row>
    <row r="674" spans="1:91" x14ac:dyDescent="0.2">
      <c r="D674" s="98"/>
      <c r="E674" s="709"/>
      <c r="F674" s="709"/>
      <c r="G674" s="148"/>
      <c r="H674" s="115"/>
      <c r="J674" s="832"/>
      <c r="K674" s="832"/>
      <c r="L674" s="499"/>
      <c r="M674" s="148"/>
      <c r="O674" s="75"/>
      <c r="P674" s="75"/>
      <c r="Q674" s="148"/>
      <c r="R674" s="115"/>
      <c r="S674" s="115"/>
      <c r="T674" s="115"/>
      <c r="V674" s="504"/>
      <c r="X674" s="115"/>
      <c r="BX674" s="769"/>
      <c r="BY674" s="861"/>
      <c r="BZ674" s="861"/>
      <c r="CA674" s="861"/>
      <c r="CB674" s="861"/>
      <c r="CC674" s="861"/>
      <c r="CD674" s="861"/>
      <c r="CE674" s="861"/>
      <c r="CF674" s="861"/>
      <c r="CG674" s="98" t="s">
        <v>876</v>
      </c>
      <c r="CI674" s="413" t="s">
        <v>994</v>
      </c>
      <c r="CK674" s="418" t="s">
        <v>1069</v>
      </c>
      <c r="CL674"/>
      <c r="CM674"/>
    </row>
    <row r="675" spans="1:91" x14ac:dyDescent="0.2">
      <c r="D675" s="98"/>
      <c r="E675" s="709"/>
      <c r="F675" s="709"/>
      <c r="G675" s="148"/>
      <c r="H675" s="115"/>
      <c r="J675" s="832"/>
      <c r="K675" s="832"/>
      <c r="L675" s="499"/>
      <c r="M675" s="148"/>
      <c r="O675" s="75"/>
      <c r="P675" s="75"/>
      <c r="Q675" s="148"/>
      <c r="R675" s="115"/>
      <c r="S675" s="115"/>
      <c r="T675" s="115"/>
      <c r="V675" s="504"/>
      <c r="X675" s="115"/>
      <c r="BX675" s="769"/>
      <c r="BY675" s="861"/>
      <c r="BZ675" s="861"/>
      <c r="CA675" s="861"/>
      <c r="CB675" s="861"/>
      <c r="CC675" s="861"/>
      <c r="CD675" s="861"/>
      <c r="CE675" s="861"/>
      <c r="CF675" s="861"/>
      <c r="CG675" s="98" t="s">
        <v>877</v>
      </c>
      <c r="CH675" s="419" t="s">
        <v>887</v>
      </c>
      <c r="CI675" s="405">
        <v>40530</v>
      </c>
      <c r="CL675"/>
      <c r="CM675"/>
    </row>
    <row r="676" spans="1:91" x14ac:dyDescent="0.2">
      <c r="D676" s="98"/>
      <c r="E676" s="709"/>
      <c r="F676" s="709"/>
      <c r="G676" s="148"/>
      <c r="H676" s="115"/>
      <c r="J676" s="832"/>
      <c r="K676" s="832"/>
      <c r="L676" s="499"/>
      <c r="M676" s="148"/>
      <c r="O676" s="75"/>
      <c r="P676" s="75"/>
      <c r="Q676" s="148"/>
      <c r="R676" s="115"/>
      <c r="S676" s="115"/>
      <c r="T676" s="115"/>
      <c r="V676" s="504"/>
      <c r="X676" s="115"/>
      <c r="BX676" s="769"/>
      <c r="BY676" s="861"/>
      <c r="BZ676" s="861"/>
      <c r="CA676" s="861"/>
      <c r="CB676" s="861"/>
      <c r="CC676" s="861"/>
      <c r="CD676" s="861"/>
      <c r="CE676" s="861"/>
      <c r="CF676" s="861"/>
      <c r="CG676" s="98" t="s">
        <v>879</v>
      </c>
      <c r="CH676" s="419" t="s">
        <v>886</v>
      </c>
      <c r="CI676" s="405">
        <v>40530</v>
      </c>
      <c r="CL676"/>
      <c r="CM676"/>
    </row>
    <row r="677" spans="1:91" x14ac:dyDescent="0.2">
      <c r="D677" s="98"/>
      <c r="E677" s="709"/>
      <c r="F677" s="709"/>
      <c r="G677" s="148"/>
      <c r="H677" s="115"/>
      <c r="J677" s="832"/>
      <c r="K677" s="832"/>
      <c r="L677" s="499"/>
      <c r="M677" s="148"/>
      <c r="O677" s="75"/>
      <c r="P677" s="75"/>
      <c r="Q677" s="148"/>
      <c r="R677" s="115"/>
      <c r="S677" s="115"/>
      <c r="T677" s="115"/>
      <c r="V677" s="504"/>
      <c r="X677" s="115"/>
      <c r="BX677" s="769"/>
      <c r="BY677" s="861"/>
      <c r="BZ677" s="861"/>
      <c r="CA677" s="861"/>
      <c r="CB677" s="861"/>
      <c r="CC677" s="861"/>
      <c r="CD677" s="861"/>
      <c r="CE677" s="861"/>
      <c r="CF677" s="861"/>
      <c r="CG677" s="98" t="s">
        <v>881</v>
      </c>
      <c r="CH677" s="419" t="s">
        <v>885</v>
      </c>
      <c r="CI677" s="405">
        <v>40530</v>
      </c>
      <c r="CL677"/>
      <c r="CM677"/>
    </row>
    <row r="678" spans="1:91" x14ac:dyDescent="0.2">
      <c r="D678" s="237"/>
      <c r="E678" s="709"/>
      <c r="F678" s="709"/>
      <c r="G678" s="148"/>
      <c r="H678" s="115"/>
      <c r="J678" s="832"/>
      <c r="K678" s="832"/>
      <c r="L678" s="499"/>
      <c r="M678" s="148"/>
      <c r="O678" s="75"/>
      <c r="P678" s="75"/>
      <c r="Q678" s="148"/>
      <c r="R678" s="115"/>
      <c r="S678" s="115"/>
      <c r="T678" s="115"/>
      <c r="V678" s="504"/>
      <c r="X678" s="115"/>
      <c r="BX678" s="769"/>
      <c r="BY678" s="861"/>
      <c r="BZ678" s="861"/>
      <c r="CA678" s="861"/>
      <c r="CB678" s="861"/>
      <c r="CC678" s="861"/>
      <c r="CD678" s="861"/>
      <c r="CE678" s="861"/>
      <c r="CF678" s="861"/>
      <c r="CG678" s="237" t="s">
        <v>883</v>
      </c>
      <c r="CH678" s="419" t="s">
        <v>884</v>
      </c>
      <c r="CI678" s="405">
        <v>40531</v>
      </c>
      <c r="CL678"/>
      <c r="CM678"/>
    </row>
    <row r="679" spans="1:91" x14ac:dyDescent="0.2">
      <c r="D679" s="237"/>
      <c r="E679" s="709"/>
      <c r="F679" s="709"/>
      <c r="G679" s="148"/>
      <c r="H679" s="115"/>
      <c r="J679" s="832"/>
      <c r="K679" s="832"/>
      <c r="L679" s="499"/>
      <c r="M679" s="148"/>
      <c r="O679" s="19"/>
      <c r="P679" s="19"/>
      <c r="Q679" s="148"/>
      <c r="R679" s="115"/>
      <c r="S679" s="115"/>
      <c r="T679" s="115"/>
      <c r="V679" s="504"/>
      <c r="X679" s="115"/>
      <c r="BX679" s="769"/>
      <c r="BY679" s="861"/>
      <c r="BZ679" s="861"/>
      <c r="CA679" s="861"/>
      <c r="CB679" s="861"/>
      <c r="CC679" s="861"/>
      <c r="CD679" s="861"/>
      <c r="CE679" s="861"/>
      <c r="CF679" s="861"/>
      <c r="CG679" s="237" t="s">
        <v>889</v>
      </c>
      <c r="CH679" s="419" t="s">
        <v>888</v>
      </c>
      <c r="CI679" s="405">
        <v>40531</v>
      </c>
      <c r="CL679"/>
      <c r="CM679"/>
    </row>
    <row r="680" spans="1:91" x14ac:dyDescent="0.2">
      <c r="D680" s="237"/>
      <c r="E680" s="709"/>
      <c r="F680" s="709"/>
      <c r="G680" s="148"/>
      <c r="H680" s="115"/>
      <c r="J680" s="832"/>
      <c r="K680" s="832"/>
      <c r="L680" s="499"/>
      <c r="M680" s="148"/>
      <c r="Q680" s="148"/>
      <c r="R680" s="115"/>
      <c r="S680" s="115"/>
      <c r="T680" s="115"/>
      <c r="V680" s="504"/>
      <c r="X680" s="115"/>
      <c r="BX680" s="769"/>
      <c r="BY680" s="861"/>
      <c r="BZ680" s="861"/>
      <c r="CA680" s="861"/>
      <c r="CB680" s="861"/>
      <c r="CC680" s="861"/>
      <c r="CD680" s="861"/>
      <c r="CE680" s="861"/>
      <c r="CF680" s="861"/>
      <c r="CG680" s="237" t="s">
        <v>907</v>
      </c>
      <c r="CH680" s="419" t="s">
        <v>908</v>
      </c>
      <c r="CI680" s="405">
        <v>40532</v>
      </c>
      <c r="CL680"/>
      <c r="CM680"/>
    </row>
    <row r="681" spans="1:91" x14ac:dyDescent="0.2">
      <c r="D681" s="237"/>
      <c r="E681" s="709"/>
      <c r="F681" s="709"/>
      <c r="G681" s="148"/>
      <c r="H681" s="115"/>
      <c r="J681" s="832"/>
      <c r="K681" s="832"/>
      <c r="L681" s="499"/>
      <c r="M681" s="148"/>
      <c r="Q681" s="148"/>
      <c r="R681" s="115"/>
      <c r="S681" s="115"/>
      <c r="T681" s="115"/>
      <c r="V681" s="504"/>
      <c r="X681" s="115"/>
      <c r="BX681" s="769"/>
      <c r="BY681" s="861"/>
      <c r="BZ681" s="861"/>
      <c r="CA681" s="861"/>
      <c r="CB681" s="861"/>
      <c r="CC681" s="861"/>
      <c r="CD681" s="861"/>
      <c r="CE681" s="861"/>
      <c r="CF681" s="861"/>
      <c r="CG681" s="237" t="s">
        <v>911</v>
      </c>
      <c r="CH681" s="419" t="s">
        <v>912</v>
      </c>
      <c r="CI681" s="405">
        <v>40532</v>
      </c>
      <c r="CL681"/>
      <c r="CM681"/>
    </row>
    <row r="682" spans="1:91" x14ac:dyDescent="0.2">
      <c r="D682" s="237"/>
      <c r="E682" s="709"/>
      <c r="F682" s="709"/>
      <c r="G682" s="148"/>
      <c r="H682" s="115"/>
      <c r="J682" s="832"/>
      <c r="K682" s="832"/>
      <c r="L682" s="499"/>
      <c r="M682" s="148"/>
      <c r="Q682" s="148"/>
      <c r="R682" s="115"/>
      <c r="S682" s="115"/>
      <c r="T682" s="115"/>
      <c r="V682" s="504"/>
      <c r="X682" s="115"/>
      <c r="BX682" s="769"/>
      <c r="BY682" s="861"/>
      <c r="BZ682" s="861"/>
      <c r="CA682" s="861"/>
      <c r="CB682" s="861"/>
      <c r="CC682" s="861"/>
      <c r="CD682" s="861"/>
      <c r="CE682" s="861"/>
      <c r="CF682" s="861"/>
      <c r="CG682" s="237" t="s">
        <v>918</v>
      </c>
      <c r="CH682" s="419" t="s">
        <v>919</v>
      </c>
      <c r="CI682" s="405">
        <v>40533</v>
      </c>
      <c r="CL682"/>
      <c r="CM682"/>
    </row>
    <row r="683" spans="1:91" x14ac:dyDescent="0.2">
      <c r="D683" s="237"/>
      <c r="E683" s="709"/>
      <c r="F683" s="709"/>
      <c r="G683" s="148"/>
      <c r="H683" s="115"/>
      <c r="J683" s="832"/>
      <c r="K683" s="832"/>
      <c r="L683" s="499"/>
      <c r="M683" s="148"/>
      <c r="Q683" s="148"/>
      <c r="R683" s="115"/>
      <c r="S683" s="115"/>
      <c r="T683" s="115"/>
      <c r="V683" s="504"/>
      <c r="X683" s="115"/>
      <c r="BX683" s="769"/>
      <c r="BY683" s="861"/>
      <c r="BZ683" s="861"/>
      <c r="CA683" s="861"/>
      <c r="CB683" s="861"/>
      <c r="CC683" s="861"/>
      <c r="CD683" s="861"/>
      <c r="CE683" s="861"/>
      <c r="CF683" s="861"/>
      <c r="CG683" s="237" t="s">
        <v>920</v>
      </c>
      <c r="CH683" s="419" t="s">
        <v>921</v>
      </c>
      <c r="CI683" s="405">
        <v>40533</v>
      </c>
      <c r="CL683"/>
      <c r="CM683"/>
    </row>
    <row r="684" spans="1:91" x14ac:dyDescent="0.2">
      <c r="D684" s="237"/>
      <c r="E684" s="709"/>
      <c r="F684" s="709"/>
      <c r="G684" s="148"/>
      <c r="H684" s="115"/>
      <c r="J684" s="832"/>
      <c r="K684" s="832"/>
      <c r="L684" s="499"/>
      <c r="M684" s="148"/>
      <c r="O684" s="247"/>
      <c r="P684" s="247"/>
      <c r="Q684" s="148"/>
      <c r="R684" s="115"/>
      <c r="S684" s="115"/>
      <c r="T684" s="115"/>
      <c r="V684" s="504"/>
      <c r="X684" s="115"/>
      <c r="BX684" s="769"/>
      <c r="BY684" s="861"/>
      <c r="BZ684" s="861"/>
      <c r="CA684" s="861"/>
      <c r="CB684" s="861"/>
      <c r="CC684" s="861"/>
      <c r="CD684" s="861"/>
      <c r="CE684" s="861"/>
      <c r="CF684" s="861"/>
      <c r="CG684" s="237" t="s">
        <v>922</v>
      </c>
      <c r="CH684" s="419" t="s">
        <v>954</v>
      </c>
      <c r="CI684" s="405">
        <v>40534</v>
      </c>
      <c r="CJ684" s="1" t="s">
        <v>923</v>
      </c>
      <c r="CL684"/>
      <c r="CM684"/>
    </row>
    <row r="685" spans="1:91" x14ac:dyDescent="0.2">
      <c r="D685" s="237"/>
      <c r="E685" s="709"/>
      <c r="F685" s="709"/>
      <c r="G685" s="148"/>
      <c r="H685" s="115"/>
      <c r="J685" s="832"/>
      <c r="K685" s="832"/>
      <c r="L685" s="499"/>
      <c r="M685" s="148"/>
      <c r="O685" s="494"/>
      <c r="P685" s="98"/>
      <c r="Q685" s="148"/>
      <c r="R685" s="115"/>
      <c r="S685" s="115"/>
      <c r="T685" s="115"/>
      <c r="V685" s="504"/>
      <c r="X685" s="115"/>
      <c r="BX685" s="769"/>
      <c r="BY685" s="861"/>
      <c r="BZ685" s="861"/>
      <c r="CA685" s="861"/>
      <c r="CB685" s="861"/>
      <c r="CC685" s="861"/>
      <c r="CD685" s="861"/>
      <c r="CE685" s="861"/>
      <c r="CF685" s="861"/>
      <c r="CG685" s="237" t="s">
        <v>953</v>
      </c>
      <c r="CI685" s="405"/>
      <c r="CK685" s="418" t="s">
        <v>675</v>
      </c>
      <c r="CL685"/>
      <c r="CM685"/>
    </row>
    <row r="686" spans="1:91" x14ac:dyDescent="0.2">
      <c r="A686" s="434"/>
      <c r="E686" s="709"/>
      <c r="F686" s="709"/>
      <c r="G686" s="148"/>
      <c r="H686" s="115"/>
      <c r="I686" s="819"/>
      <c r="J686" s="832"/>
      <c r="K686" s="832"/>
      <c r="M686" s="148"/>
      <c r="O686" s="247"/>
      <c r="P686" s="247"/>
      <c r="Q686" s="148"/>
      <c r="R686" s="115"/>
      <c r="S686" s="115"/>
      <c r="T686" s="115"/>
      <c r="V686" s="504"/>
      <c r="X686" s="115"/>
      <c r="BX686" s="769"/>
      <c r="BY686" s="861"/>
      <c r="BZ686" s="861"/>
      <c r="CA686" s="861"/>
      <c r="CB686" s="861"/>
      <c r="CC686" s="861"/>
      <c r="CD686" s="861"/>
      <c r="CE686" s="861"/>
      <c r="CF686" s="861"/>
      <c r="CG686" s="1" t="s">
        <v>956</v>
      </c>
      <c r="CI686" s="414"/>
      <c r="CK686" s="418" t="s">
        <v>707</v>
      </c>
      <c r="CL686"/>
      <c r="CM686"/>
    </row>
    <row r="687" spans="1:91" x14ac:dyDescent="0.2">
      <c r="A687" s="434"/>
      <c r="E687" s="708"/>
      <c r="F687" s="708"/>
      <c r="G687" s="116"/>
      <c r="H687" s="116"/>
      <c r="I687" s="819"/>
      <c r="J687" s="831"/>
      <c r="K687" s="831"/>
      <c r="L687" s="501"/>
      <c r="M687" s="116"/>
      <c r="N687" s="501"/>
      <c r="O687" s="237"/>
      <c r="P687" s="98"/>
      <c r="Q687" s="116"/>
      <c r="R687" s="585"/>
      <c r="S687" s="585"/>
      <c r="T687" s="585"/>
      <c r="V687" s="504"/>
      <c r="X687" s="585"/>
      <c r="BX687" s="769"/>
      <c r="BY687" s="861"/>
      <c r="BZ687" s="861"/>
      <c r="CA687" s="861"/>
      <c r="CB687" s="861"/>
      <c r="CC687" s="861"/>
      <c r="CD687" s="861"/>
      <c r="CE687" s="861"/>
      <c r="CF687" s="861"/>
      <c r="CG687" s="1" t="s">
        <v>957</v>
      </c>
      <c r="CK687" s="418" t="s">
        <v>873</v>
      </c>
      <c r="CL687"/>
      <c r="CM687"/>
    </row>
    <row r="688" spans="1:91" x14ac:dyDescent="0.2">
      <c r="A688" s="434"/>
      <c r="E688" s="709"/>
      <c r="F688" s="709"/>
      <c r="G688" s="148"/>
      <c r="H688" s="115"/>
      <c r="I688" s="819"/>
      <c r="J688" s="832"/>
      <c r="K688" s="832"/>
      <c r="L688" s="499"/>
      <c r="M688" s="148"/>
      <c r="O688" s="237"/>
      <c r="P688" s="98"/>
      <c r="Q688" s="148"/>
      <c r="R688" s="115"/>
      <c r="S688" s="115"/>
      <c r="T688" s="115"/>
      <c r="V688" s="504"/>
      <c r="X688" s="115"/>
      <c r="BX688" s="769"/>
      <c r="BY688" s="861"/>
      <c r="BZ688" s="861"/>
      <c r="CA688" s="861"/>
      <c r="CB688" s="861"/>
      <c r="CC688" s="861"/>
      <c r="CD688" s="861"/>
      <c r="CE688" s="861"/>
      <c r="CF688" s="861"/>
      <c r="CG688" s="1" t="s">
        <v>958</v>
      </c>
      <c r="CH688" s="425" t="s">
        <v>656</v>
      </c>
      <c r="CI688" s="405">
        <v>41268</v>
      </c>
      <c r="CK688" s="417" t="s">
        <v>1047</v>
      </c>
      <c r="CL688"/>
      <c r="CM688"/>
    </row>
    <row r="689" spans="1:104" x14ac:dyDescent="0.2">
      <c r="A689" s="434"/>
      <c r="E689" s="648"/>
      <c r="F689" s="648"/>
      <c r="G689" s="23"/>
      <c r="H689" s="35"/>
      <c r="I689" s="37"/>
      <c r="J689" s="128"/>
      <c r="K689" s="128"/>
      <c r="L689" s="499"/>
      <c r="M689" s="23"/>
      <c r="O689" s="237"/>
      <c r="P689" s="98"/>
      <c r="Q689" s="23"/>
      <c r="R689" s="24"/>
      <c r="S689" s="24"/>
      <c r="T689" s="24"/>
      <c r="V689" s="504"/>
      <c r="BX689" s="769"/>
      <c r="BY689" s="861"/>
      <c r="BZ689" s="861"/>
      <c r="CA689" s="861"/>
      <c r="CB689" s="861"/>
      <c r="CC689" s="861"/>
      <c r="CD689" s="861"/>
      <c r="CE689" s="861"/>
      <c r="CF689" s="861"/>
      <c r="CG689" s="1" t="s">
        <v>959</v>
      </c>
      <c r="CK689" s="418" t="s">
        <v>706</v>
      </c>
      <c r="CL689"/>
      <c r="CM689"/>
    </row>
    <row r="690" spans="1:104" x14ac:dyDescent="0.2">
      <c r="A690" s="434"/>
      <c r="E690" s="648"/>
      <c r="F690" s="648"/>
      <c r="G690" s="23"/>
      <c r="H690" s="35"/>
      <c r="I690" s="37"/>
      <c r="J690" s="128"/>
      <c r="K690" s="128"/>
      <c r="L690" s="499"/>
      <c r="M690" s="23"/>
      <c r="O690" s="237"/>
      <c r="P690" s="98"/>
      <c r="Q690" s="23"/>
      <c r="R690" s="24"/>
      <c r="S690" s="24"/>
      <c r="T690" s="24"/>
      <c r="V690" s="504"/>
      <c r="BX690" s="769"/>
      <c r="BY690" s="861"/>
      <c r="BZ690" s="861"/>
      <c r="CA690" s="861"/>
      <c r="CB690" s="861"/>
      <c r="CC690" s="861"/>
      <c r="CD690" s="861"/>
      <c r="CE690" s="861"/>
      <c r="CF690" s="861"/>
      <c r="CG690" s="1" t="s">
        <v>960</v>
      </c>
      <c r="CK690" s="418" t="s">
        <v>710</v>
      </c>
      <c r="CL690"/>
      <c r="CM690"/>
    </row>
    <row r="691" spans="1:104" x14ac:dyDescent="0.2">
      <c r="A691" s="434"/>
      <c r="L691" s="499"/>
      <c r="O691" s="237"/>
      <c r="P691" s="98"/>
      <c r="V691" s="504"/>
      <c r="BX691" s="769"/>
      <c r="BY691" s="861"/>
      <c r="BZ691" s="861"/>
      <c r="CA691" s="861"/>
      <c r="CB691" s="861"/>
      <c r="CC691" s="861"/>
      <c r="CD691" s="861"/>
      <c r="CE691" s="861"/>
      <c r="CF691" s="861"/>
      <c r="CG691" s="1" t="s">
        <v>961</v>
      </c>
      <c r="CK691" s="418" t="s">
        <v>692</v>
      </c>
      <c r="CL691"/>
      <c r="CM691"/>
    </row>
    <row r="692" spans="1:104" x14ac:dyDescent="0.2">
      <c r="A692" s="434"/>
      <c r="L692" s="499"/>
      <c r="O692" s="237"/>
      <c r="P692" s="98"/>
      <c r="V692" s="504"/>
      <c r="BX692" s="769"/>
      <c r="BY692" s="861"/>
      <c r="BZ692" s="861"/>
      <c r="CA692" s="861"/>
      <c r="CB692" s="861"/>
      <c r="CC692" s="861"/>
      <c r="CD692" s="861"/>
      <c r="CE692" s="861"/>
      <c r="CF692" s="861"/>
      <c r="CG692" s="1" t="s">
        <v>962</v>
      </c>
      <c r="CK692" s="418" t="s">
        <v>693</v>
      </c>
      <c r="CL692"/>
      <c r="CM692"/>
    </row>
    <row r="693" spans="1:104" x14ac:dyDescent="0.2">
      <c r="A693" s="434"/>
      <c r="L693" s="499"/>
      <c r="O693" s="75"/>
      <c r="P693" s="75"/>
      <c r="V693" s="504"/>
      <c r="BX693" s="769"/>
      <c r="BY693" s="861"/>
      <c r="BZ693" s="861"/>
      <c r="CA693" s="861"/>
      <c r="CB693" s="861"/>
      <c r="CC693" s="861"/>
      <c r="CD693" s="861"/>
      <c r="CE693" s="861"/>
      <c r="CF693" s="861"/>
      <c r="CG693" s="1" t="s">
        <v>963</v>
      </c>
      <c r="CK693" s="418" t="s">
        <v>712</v>
      </c>
      <c r="CL693"/>
      <c r="CM693"/>
    </row>
    <row r="694" spans="1:104" x14ac:dyDescent="0.2">
      <c r="A694" s="434"/>
      <c r="L694" s="499"/>
      <c r="V694" s="504"/>
      <c r="BX694" s="769"/>
      <c r="BY694" s="861"/>
      <c r="BZ694" s="861"/>
      <c r="CA694" s="861"/>
      <c r="CB694" s="861"/>
      <c r="CC694" s="861"/>
      <c r="CD694" s="861"/>
      <c r="CE694" s="861"/>
      <c r="CF694" s="861"/>
      <c r="CG694" s="1" t="s">
        <v>964</v>
      </c>
      <c r="CK694" s="418" t="s">
        <v>713</v>
      </c>
      <c r="CL694"/>
      <c r="CM694"/>
    </row>
    <row r="695" spans="1:104" x14ac:dyDescent="0.2">
      <c r="A695" s="434"/>
      <c r="L695" s="499"/>
      <c r="O695" s="586"/>
      <c r="V695" s="504"/>
      <c r="BX695" s="769"/>
      <c r="BY695" s="861"/>
      <c r="BZ695" s="861"/>
      <c r="CA695" s="861"/>
      <c r="CB695" s="861"/>
      <c r="CC695" s="861"/>
      <c r="CD695" s="861"/>
      <c r="CE695" s="861"/>
      <c r="CF695" s="861"/>
      <c r="CG695" s="1" t="s">
        <v>965</v>
      </c>
      <c r="CK695" s="418" t="s">
        <v>694</v>
      </c>
      <c r="CL695"/>
      <c r="CM695"/>
    </row>
    <row r="696" spans="1:104" x14ac:dyDescent="0.2">
      <c r="A696" s="434"/>
      <c r="L696" s="499"/>
      <c r="O696" s="586"/>
      <c r="V696" s="504"/>
      <c r="BX696" s="769"/>
      <c r="BY696" s="861"/>
      <c r="BZ696" s="861"/>
      <c r="CA696" s="861"/>
      <c r="CB696" s="861"/>
      <c r="CC696" s="861"/>
      <c r="CD696" s="861"/>
      <c r="CE696" s="861"/>
      <c r="CF696" s="861"/>
      <c r="CG696" s="1" t="s">
        <v>966</v>
      </c>
      <c r="CK696" s="418" t="s">
        <v>689</v>
      </c>
      <c r="CL696"/>
      <c r="CM696"/>
      <c r="CT696" s="849"/>
      <c r="CU696" s="586"/>
      <c r="CV696" s="586"/>
      <c r="CW696" s="586"/>
      <c r="CX696" s="586"/>
      <c r="CY696" s="849"/>
      <c r="CZ696" s="849"/>
    </row>
    <row r="697" spans="1:104" x14ac:dyDescent="0.2">
      <c r="A697" s="434"/>
      <c r="L697" s="499"/>
      <c r="V697" s="504"/>
      <c r="BX697" s="769"/>
      <c r="BY697" s="861"/>
      <c r="BZ697" s="861"/>
      <c r="CA697" s="861"/>
      <c r="CB697" s="861"/>
      <c r="CC697" s="861"/>
      <c r="CD697" s="861"/>
      <c r="CE697" s="861"/>
      <c r="CF697" s="861"/>
      <c r="CG697" s="1" t="s">
        <v>967</v>
      </c>
      <c r="CK697" s="418" t="s">
        <v>688</v>
      </c>
      <c r="CL697"/>
      <c r="CM697"/>
    </row>
    <row r="698" spans="1:104" x14ac:dyDescent="0.2">
      <c r="A698" s="434"/>
      <c r="L698" s="499"/>
      <c r="V698" s="504"/>
      <c r="BX698" s="769"/>
      <c r="BY698" s="861"/>
      <c r="BZ698" s="861"/>
      <c r="CA698" s="861"/>
      <c r="CB698" s="861"/>
      <c r="CC698" s="861"/>
      <c r="CD698" s="861"/>
      <c r="CE698" s="861"/>
      <c r="CF698" s="861"/>
      <c r="CG698" s="1" t="s">
        <v>968</v>
      </c>
      <c r="CK698" s="418" t="s">
        <v>687</v>
      </c>
      <c r="CL698"/>
      <c r="CM698"/>
    </row>
    <row r="699" spans="1:104" x14ac:dyDescent="0.2">
      <c r="A699" s="434"/>
      <c r="L699" s="499"/>
      <c r="V699" s="504"/>
      <c r="BX699" s="769"/>
      <c r="BY699" s="861"/>
      <c r="BZ699" s="861"/>
      <c r="CA699" s="861"/>
      <c r="CB699" s="861"/>
      <c r="CC699" s="861"/>
      <c r="CD699" s="861"/>
      <c r="CE699" s="861"/>
      <c r="CF699" s="861"/>
      <c r="CG699" s="1" t="s">
        <v>969</v>
      </c>
      <c r="CK699" s="418" t="s">
        <v>748</v>
      </c>
      <c r="CL699"/>
      <c r="CM699"/>
    </row>
    <row r="700" spans="1:104" x14ac:dyDescent="0.2">
      <c r="A700" s="434"/>
      <c r="L700" s="499"/>
      <c r="V700" s="504"/>
      <c r="BX700" s="769"/>
      <c r="BY700" s="861"/>
      <c r="BZ700" s="861"/>
      <c r="CA700" s="861"/>
      <c r="CB700" s="861"/>
      <c r="CC700" s="861"/>
      <c r="CD700" s="861"/>
      <c r="CE700" s="861"/>
      <c r="CF700" s="861"/>
      <c r="CG700" s="1" t="s">
        <v>970</v>
      </c>
      <c r="CK700" s="418" t="s">
        <v>955</v>
      </c>
      <c r="CL700"/>
      <c r="CM700"/>
    </row>
    <row r="701" spans="1:104" x14ac:dyDescent="0.2">
      <c r="A701" s="434"/>
      <c r="L701" s="499"/>
      <c r="V701" s="504"/>
      <c r="BX701" s="769"/>
      <c r="BY701" s="861"/>
      <c r="BZ701" s="861"/>
      <c r="CA701" s="861"/>
      <c r="CB701" s="861"/>
      <c r="CC701" s="861"/>
      <c r="CD701" s="861"/>
      <c r="CE701" s="861"/>
      <c r="CF701" s="861"/>
      <c r="CG701" s="1" t="s">
        <v>971</v>
      </c>
      <c r="CK701" s="418" t="s">
        <v>678</v>
      </c>
      <c r="CL701"/>
      <c r="CM701"/>
    </row>
    <row r="702" spans="1:104" x14ac:dyDescent="0.2">
      <c r="A702" s="434"/>
      <c r="L702" s="499"/>
      <c r="V702" s="504"/>
      <c r="BX702" s="769"/>
      <c r="BY702" s="861"/>
      <c r="BZ702" s="861"/>
      <c r="CA702" s="861"/>
      <c r="CB702" s="861"/>
      <c r="CC702" s="861"/>
      <c r="CD702" s="861"/>
      <c r="CE702" s="861"/>
      <c r="CF702" s="861"/>
      <c r="CG702" s="1" t="s">
        <v>972</v>
      </c>
      <c r="CK702" s="418" t="s">
        <v>727</v>
      </c>
      <c r="CL702"/>
      <c r="CM702"/>
      <c r="CV702" s="586"/>
    </row>
    <row r="703" spans="1:104" x14ac:dyDescent="0.2">
      <c r="A703" s="434"/>
      <c r="L703" s="499"/>
      <c r="V703" s="504"/>
      <c r="BX703" s="769"/>
      <c r="BY703" s="861"/>
      <c r="BZ703" s="861"/>
      <c r="CA703" s="861"/>
      <c r="CB703" s="861"/>
      <c r="CC703" s="861"/>
      <c r="CD703" s="861"/>
      <c r="CE703" s="861"/>
      <c r="CF703" s="861"/>
      <c r="CG703" s="1" t="s">
        <v>973</v>
      </c>
      <c r="CK703" s="418" t="s">
        <v>753</v>
      </c>
      <c r="CL703"/>
      <c r="CM703"/>
    </row>
    <row r="704" spans="1:104" x14ac:dyDescent="0.2">
      <c r="A704" s="434"/>
      <c r="L704" s="499"/>
      <c r="V704" s="504"/>
      <c r="BX704" s="769"/>
      <c r="BY704" s="861"/>
      <c r="BZ704" s="861"/>
      <c r="CA704" s="861"/>
      <c r="CB704" s="861"/>
      <c r="CC704" s="861"/>
      <c r="CD704" s="861"/>
      <c r="CE704" s="861"/>
      <c r="CF704" s="861"/>
      <c r="CG704" s="1" t="s">
        <v>974</v>
      </c>
      <c r="CK704" s="418" t="s">
        <v>696</v>
      </c>
      <c r="CL704"/>
      <c r="CM704"/>
    </row>
    <row r="705" spans="1:105" x14ac:dyDescent="0.2">
      <c r="A705" s="434"/>
      <c r="L705" s="499"/>
      <c r="V705" s="504"/>
      <c r="BX705" s="769"/>
      <c r="BY705" s="861"/>
      <c r="BZ705" s="861"/>
      <c r="CA705" s="861"/>
      <c r="CB705" s="861"/>
      <c r="CC705" s="861"/>
      <c r="CD705" s="861"/>
      <c r="CE705" s="861"/>
      <c r="CF705" s="861"/>
      <c r="CG705" s="1" t="s">
        <v>975</v>
      </c>
      <c r="CK705" s="418" t="s">
        <v>805</v>
      </c>
      <c r="CL705"/>
      <c r="CM705"/>
    </row>
    <row r="706" spans="1:105" x14ac:dyDescent="0.2">
      <c r="A706" s="434"/>
      <c r="L706" s="499"/>
      <c r="V706" s="504"/>
      <c r="BX706" s="769"/>
      <c r="BY706" s="861"/>
      <c r="BZ706" s="861"/>
      <c r="CA706" s="861"/>
      <c r="CB706" s="861"/>
      <c r="CC706" s="861"/>
      <c r="CD706" s="861"/>
      <c r="CE706" s="861"/>
      <c r="CF706" s="861"/>
      <c r="CG706" s="1" t="s">
        <v>976</v>
      </c>
      <c r="CK706" s="418" t="s">
        <v>737</v>
      </c>
      <c r="CL706"/>
      <c r="CM706"/>
    </row>
    <row r="707" spans="1:105" x14ac:dyDescent="0.2">
      <c r="A707" s="434"/>
      <c r="L707" s="499"/>
      <c r="O707" s="148"/>
      <c r="P707" s="148"/>
      <c r="V707" s="504"/>
      <c r="BX707" s="769"/>
      <c r="BY707" s="861"/>
      <c r="BZ707" s="861"/>
      <c r="CA707" s="861"/>
      <c r="CB707" s="861"/>
      <c r="CC707" s="861"/>
      <c r="CD707" s="861"/>
      <c r="CE707" s="861"/>
      <c r="CF707" s="861"/>
      <c r="CG707" s="1" t="s">
        <v>977</v>
      </c>
      <c r="CK707" s="418" t="s">
        <v>715</v>
      </c>
      <c r="CL707"/>
      <c r="CM707"/>
    </row>
    <row r="708" spans="1:105" x14ac:dyDescent="0.2">
      <c r="A708" s="434"/>
      <c r="L708" s="499"/>
      <c r="O708" s="148"/>
      <c r="P708" s="148"/>
      <c r="V708" s="504"/>
      <c r="BX708" s="769"/>
      <c r="BY708" s="861"/>
      <c r="BZ708" s="861"/>
      <c r="CA708" s="861"/>
      <c r="CB708" s="861"/>
      <c r="CC708" s="861"/>
      <c r="CD708" s="861"/>
      <c r="CE708" s="861"/>
      <c r="CF708" s="861"/>
      <c r="CG708" s="1" t="s">
        <v>978</v>
      </c>
      <c r="CK708" s="418" t="s">
        <v>716</v>
      </c>
      <c r="CL708"/>
      <c r="CM708"/>
    </row>
    <row r="709" spans="1:105" x14ac:dyDescent="0.2">
      <c r="A709" s="434"/>
      <c r="L709" s="499"/>
      <c r="O709" s="148"/>
      <c r="P709" s="148"/>
      <c r="V709" s="504"/>
      <c r="BX709" s="769"/>
      <c r="BY709" s="861"/>
      <c r="BZ709" s="861"/>
      <c r="CA709" s="861"/>
      <c r="CB709" s="861"/>
      <c r="CC709" s="861"/>
      <c r="CD709" s="861"/>
      <c r="CE709" s="861"/>
      <c r="CF709" s="861"/>
      <c r="CG709" s="1" t="s">
        <v>979</v>
      </c>
      <c r="CK709" s="418" t="s">
        <v>800</v>
      </c>
      <c r="CL709"/>
      <c r="CM709"/>
    </row>
    <row r="710" spans="1:105" x14ac:dyDescent="0.2">
      <c r="A710" s="434"/>
      <c r="L710" s="499"/>
      <c r="O710" s="116"/>
      <c r="P710" s="116"/>
      <c r="V710" s="504"/>
      <c r="BX710" s="769"/>
      <c r="BY710" s="861"/>
      <c r="BZ710" s="861"/>
      <c r="CA710" s="861"/>
      <c r="CB710" s="861"/>
      <c r="CC710" s="861"/>
      <c r="CD710" s="861"/>
      <c r="CE710" s="861"/>
      <c r="CF710" s="861"/>
      <c r="CG710" s="1" t="s">
        <v>980</v>
      </c>
      <c r="CK710" s="418" t="s">
        <v>717</v>
      </c>
      <c r="CL710"/>
      <c r="CM710"/>
      <c r="CS710" s="434"/>
      <c r="CT710" s="72"/>
      <c r="CY710" s="72"/>
      <c r="CZ710" s="72"/>
      <c r="DA710" s="434"/>
    </row>
    <row r="711" spans="1:105" x14ac:dyDescent="0.2">
      <c r="A711" s="434"/>
      <c r="L711" s="499"/>
      <c r="O711" s="148"/>
      <c r="P711" s="148"/>
      <c r="V711" s="504"/>
      <c r="BX711" s="769"/>
      <c r="BY711" s="861"/>
      <c r="BZ711" s="861"/>
      <c r="CA711" s="861"/>
      <c r="CB711" s="861"/>
      <c r="CC711" s="861"/>
      <c r="CD711" s="861"/>
      <c r="CE711" s="861"/>
      <c r="CF711" s="861"/>
      <c r="CG711" s="1" t="s">
        <v>981</v>
      </c>
      <c r="CK711" s="417" t="s">
        <v>777</v>
      </c>
      <c r="CL711"/>
      <c r="CM711"/>
    </row>
    <row r="712" spans="1:105" x14ac:dyDescent="0.2">
      <c r="A712" s="434"/>
      <c r="L712" s="499"/>
      <c r="O712" s="116"/>
      <c r="P712" s="116"/>
      <c r="V712" s="504"/>
      <c r="BX712" s="769"/>
      <c r="BY712" s="861"/>
      <c r="BZ712" s="861"/>
      <c r="CA712" s="861"/>
      <c r="CB712" s="861"/>
      <c r="CC712" s="861"/>
      <c r="CD712" s="861"/>
      <c r="CE712" s="861"/>
      <c r="CF712" s="861"/>
      <c r="CG712" s="1" t="s">
        <v>982</v>
      </c>
      <c r="CK712" s="418" t="s">
        <v>721</v>
      </c>
      <c r="CL712"/>
      <c r="CM712"/>
    </row>
    <row r="713" spans="1:105" x14ac:dyDescent="0.2">
      <c r="A713" s="434"/>
      <c r="L713" s="499"/>
      <c r="O713" s="148"/>
      <c r="P713" s="148"/>
      <c r="V713" s="504"/>
      <c r="BX713" s="769"/>
      <c r="BY713" s="861"/>
      <c r="BZ713" s="861"/>
      <c r="CA713" s="861"/>
      <c r="CB713" s="861"/>
      <c r="CC713" s="861"/>
      <c r="CD713" s="861"/>
      <c r="CE713" s="861"/>
      <c r="CF713" s="861"/>
      <c r="CG713" s="1" t="s">
        <v>983</v>
      </c>
      <c r="CK713" s="418" t="s">
        <v>870</v>
      </c>
      <c r="CL713"/>
      <c r="CM713"/>
      <c r="CV713" s="586"/>
    </row>
    <row r="714" spans="1:105" x14ac:dyDescent="0.2">
      <c r="A714" s="434"/>
      <c r="L714" s="499"/>
      <c r="O714" s="148"/>
      <c r="P714" s="148"/>
      <c r="V714" s="504"/>
      <c r="BX714" s="769"/>
      <c r="BY714" s="861"/>
      <c r="BZ714" s="861"/>
      <c r="CA714" s="861"/>
      <c r="CB714" s="861"/>
      <c r="CC714" s="861"/>
      <c r="CD714" s="861"/>
      <c r="CE714" s="861"/>
      <c r="CF714" s="861"/>
      <c r="CG714" s="1" t="s">
        <v>984</v>
      </c>
      <c r="CK714" s="418" t="s">
        <v>757</v>
      </c>
      <c r="CL714"/>
      <c r="CM714"/>
    </row>
    <row r="715" spans="1:105" x14ac:dyDescent="0.2">
      <c r="A715" s="434"/>
      <c r="L715" s="499"/>
      <c r="O715" s="148"/>
      <c r="P715" s="148"/>
      <c r="V715" s="504"/>
      <c r="BX715" s="769"/>
      <c r="BY715" s="861"/>
      <c r="BZ715" s="861"/>
      <c r="CA715" s="861"/>
      <c r="CB715" s="861"/>
      <c r="CC715" s="861"/>
      <c r="CD715" s="861"/>
      <c r="CE715" s="861"/>
      <c r="CF715" s="861"/>
      <c r="CG715" s="1" t="s">
        <v>985</v>
      </c>
      <c r="CK715" s="418" t="s">
        <v>718</v>
      </c>
      <c r="CL715"/>
      <c r="CM715"/>
    </row>
    <row r="716" spans="1:105" x14ac:dyDescent="0.2">
      <c r="A716" s="434"/>
      <c r="L716" s="499"/>
      <c r="O716" s="148"/>
      <c r="P716" s="148"/>
      <c r="V716" s="504"/>
      <c r="BX716" s="769"/>
      <c r="BY716" s="861"/>
      <c r="BZ716" s="861"/>
      <c r="CA716" s="861"/>
      <c r="CB716" s="861"/>
      <c r="CC716" s="861"/>
      <c r="CD716" s="861"/>
      <c r="CE716" s="861"/>
      <c r="CF716" s="861"/>
      <c r="CG716" s="1" t="s">
        <v>986</v>
      </c>
      <c r="CK716" s="418" t="s">
        <v>720</v>
      </c>
      <c r="CL716"/>
      <c r="CM716"/>
    </row>
    <row r="717" spans="1:105" x14ac:dyDescent="0.2">
      <c r="A717" s="434"/>
      <c r="L717" s="499"/>
      <c r="O717" s="116"/>
      <c r="P717" s="116"/>
      <c r="V717" s="504"/>
      <c r="BX717" s="769"/>
      <c r="BY717" s="861"/>
      <c r="BZ717" s="861"/>
      <c r="CA717" s="861"/>
      <c r="CB717" s="861"/>
      <c r="CC717" s="861"/>
      <c r="CD717" s="861"/>
      <c r="CE717" s="861"/>
      <c r="CF717" s="861"/>
      <c r="CG717" s="1" t="s">
        <v>987</v>
      </c>
      <c r="CK717" s="418" t="s">
        <v>697</v>
      </c>
      <c r="CL717"/>
      <c r="CM717"/>
    </row>
    <row r="718" spans="1:105" x14ac:dyDescent="0.2">
      <c r="A718" s="434"/>
      <c r="L718" s="499"/>
      <c r="O718" s="116"/>
      <c r="P718" s="116"/>
      <c r="V718" s="504"/>
      <c r="BX718" s="769"/>
      <c r="BY718" s="861"/>
      <c r="BZ718" s="861"/>
      <c r="CA718" s="861"/>
      <c r="CB718" s="861"/>
      <c r="CC718" s="861"/>
      <c r="CD718" s="861"/>
      <c r="CE718" s="861"/>
      <c r="CF718" s="861"/>
      <c r="CG718" s="1" t="s">
        <v>988</v>
      </c>
      <c r="CK718" s="418" t="s">
        <v>751</v>
      </c>
      <c r="CL718"/>
      <c r="CM718"/>
    </row>
    <row r="719" spans="1:105" x14ac:dyDescent="0.2">
      <c r="A719" s="434"/>
      <c r="L719" s="499"/>
      <c r="O719" s="148"/>
      <c r="P719" s="148"/>
      <c r="V719" s="504"/>
      <c r="BX719" s="769"/>
      <c r="BY719" s="861"/>
      <c r="BZ719" s="861"/>
      <c r="CA719" s="861"/>
      <c r="CB719" s="861"/>
      <c r="CC719" s="861"/>
      <c r="CD719" s="861"/>
      <c r="CE719" s="861"/>
      <c r="CF719" s="861"/>
      <c r="CG719" s="1" t="s">
        <v>989</v>
      </c>
      <c r="CK719" s="418" t="s">
        <v>743</v>
      </c>
      <c r="CL719"/>
      <c r="CM719"/>
    </row>
    <row r="720" spans="1:105" x14ac:dyDescent="0.2">
      <c r="A720" s="434"/>
      <c r="L720" s="499"/>
      <c r="O720" s="148"/>
      <c r="P720" s="148"/>
      <c r="V720" s="504"/>
      <c r="BX720" s="769"/>
      <c r="BY720" s="861"/>
      <c r="BZ720" s="861"/>
      <c r="CA720" s="861"/>
      <c r="CB720" s="861"/>
      <c r="CC720" s="861"/>
      <c r="CD720" s="861"/>
      <c r="CE720" s="861"/>
      <c r="CF720" s="861"/>
      <c r="CG720" s="1" t="s">
        <v>990</v>
      </c>
      <c r="CK720" s="418" t="s">
        <v>741</v>
      </c>
      <c r="CL720"/>
      <c r="CM720"/>
    </row>
    <row r="721" spans="1:91" x14ac:dyDescent="0.2">
      <c r="A721" s="434"/>
      <c r="L721" s="499"/>
      <c r="O721" s="148"/>
      <c r="P721" s="148"/>
      <c r="V721" s="504"/>
      <c r="BX721" s="769"/>
      <c r="BY721" s="861"/>
      <c r="BZ721" s="861"/>
      <c r="CA721" s="861"/>
      <c r="CB721" s="861"/>
      <c r="CC721" s="861"/>
      <c r="CD721" s="861"/>
      <c r="CE721" s="861"/>
      <c r="CF721" s="861"/>
      <c r="CG721" s="1" t="s">
        <v>991</v>
      </c>
      <c r="CK721" s="418" t="s">
        <v>992</v>
      </c>
      <c r="CL721"/>
      <c r="CM721"/>
    </row>
    <row r="722" spans="1:91" x14ac:dyDescent="0.2">
      <c r="A722" s="434"/>
      <c r="L722" s="499"/>
      <c r="O722" s="148"/>
      <c r="P722" s="148"/>
      <c r="V722" s="504"/>
      <c r="BX722" s="769"/>
      <c r="BY722" s="861"/>
      <c r="BZ722" s="861"/>
      <c r="CA722" s="861"/>
      <c r="CB722" s="861"/>
      <c r="CC722" s="861"/>
      <c r="CD722" s="861"/>
      <c r="CE722" s="861"/>
      <c r="CF722" s="861"/>
      <c r="CG722" s="1" t="s">
        <v>993</v>
      </c>
      <c r="CK722" s="418" t="s">
        <v>746</v>
      </c>
      <c r="CL722"/>
      <c r="CM722"/>
    </row>
    <row r="723" spans="1:91" x14ac:dyDescent="0.2">
      <c r="D723" s="19"/>
      <c r="L723" s="499"/>
      <c r="O723" s="148"/>
      <c r="P723" s="148"/>
      <c r="V723" s="504"/>
      <c r="BX723" s="769"/>
      <c r="BY723" s="861"/>
      <c r="BZ723" s="861"/>
      <c r="CA723" s="861"/>
      <c r="CB723" s="861"/>
      <c r="CC723" s="861"/>
      <c r="CD723" s="861"/>
      <c r="CE723" s="861"/>
      <c r="CF723" s="861"/>
      <c r="CG723" s="19" t="s">
        <v>1003</v>
      </c>
      <c r="CK723" s="418" t="s">
        <v>1167</v>
      </c>
      <c r="CL723"/>
      <c r="CM723"/>
    </row>
    <row r="724" spans="1:91" x14ac:dyDescent="0.2">
      <c r="D724" s="19"/>
      <c r="L724" s="499"/>
      <c r="O724" s="148"/>
      <c r="P724" s="148"/>
      <c r="V724" s="504"/>
      <c r="BX724" s="769"/>
      <c r="BY724" s="861"/>
      <c r="BZ724" s="861"/>
      <c r="CA724" s="861"/>
      <c r="CB724" s="861"/>
      <c r="CC724" s="861"/>
      <c r="CD724" s="861"/>
      <c r="CE724" s="861"/>
      <c r="CF724" s="861"/>
      <c r="CG724" s="19" t="s">
        <v>1006</v>
      </c>
      <c r="CI724" s="415">
        <v>40992</v>
      </c>
      <c r="CJ724" s="1">
        <v>371</v>
      </c>
      <c r="CK724" s="48" t="s">
        <v>1012</v>
      </c>
      <c r="CL724"/>
      <c r="CM724"/>
    </row>
    <row r="725" spans="1:91" x14ac:dyDescent="0.2">
      <c r="D725" s="19"/>
      <c r="L725" s="499"/>
      <c r="O725" s="116"/>
      <c r="P725" s="116"/>
      <c r="V725" s="504"/>
      <c r="BX725" s="769"/>
      <c r="BY725" s="861"/>
      <c r="BZ725" s="861"/>
      <c r="CA725" s="861"/>
      <c r="CB725" s="861"/>
      <c r="CC725" s="861"/>
      <c r="CD725" s="861"/>
      <c r="CE725" s="861"/>
      <c r="CF725" s="861"/>
      <c r="CG725" s="19" t="s">
        <v>1010</v>
      </c>
      <c r="CH725" s="419" t="s">
        <v>1011</v>
      </c>
      <c r="CI725" s="415">
        <v>40992</v>
      </c>
      <c r="CJ725" s="1">
        <v>241</v>
      </c>
      <c r="CK725" s="48" t="s">
        <v>1013</v>
      </c>
      <c r="CL725"/>
      <c r="CM725"/>
    </row>
    <row r="726" spans="1:91" x14ac:dyDescent="0.2">
      <c r="D726" s="19"/>
      <c r="L726" s="499"/>
      <c r="O726" s="148"/>
      <c r="P726" s="148"/>
      <c r="V726" s="504"/>
      <c r="BX726" s="769"/>
      <c r="BY726" s="861"/>
      <c r="BZ726" s="861"/>
      <c r="CA726" s="861"/>
      <c r="CB726" s="861"/>
      <c r="CC726" s="861"/>
      <c r="CD726" s="861"/>
      <c r="CE726" s="861"/>
      <c r="CF726" s="861"/>
      <c r="CG726" s="19" t="s">
        <v>1016</v>
      </c>
      <c r="CH726" s="419" t="s">
        <v>1017</v>
      </c>
      <c r="CI726" s="415">
        <v>40992</v>
      </c>
      <c r="CJ726" s="1">
        <v>27</v>
      </c>
      <c r="CK726" s="48" t="s">
        <v>1019</v>
      </c>
      <c r="CL726"/>
      <c r="CM726"/>
    </row>
    <row r="727" spans="1:91" x14ac:dyDescent="0.2">
      <c r="D727" s="19"/>
      <c r="L727" s="499"/>
      <c r="O727" s="148"/>
      <c r="P727" s="148"/>
      <c r="V727" s="504"/>
      <c r="BX727" s="769"/>
      <c r="BY727" s="861"/>
      <c r="BZ727" s="861"/>
      <c r="CA727" s="861"/>
      <c r="CB727" s="861"/>
      <c r="CC727" s="861"/>
      <c r="CD727" s="861"/>
      <c r="CE727" s="861"/>
      <c r="CF727" s="861"/>
      <c r="CG727" s="19" t="s">
        <v>1021</v>
      </c>
      <c r="CH727" s="419" t="s">
        <v>1022</v>
      </c>
      <c r="CI727" s="415">
        <v>40993</v>
      </c>
      <c r="CJ727" s="36">
        <v>246</v>
      </c>
      <c r="CK727" s="48" t="s">
        <v>1024</v>
      </c>
      <c r="CL727"/>
      <c r="CM727"/>
    </row>
    <row r="728" spans="1:91" x14ac:dyDescent="0.2">
      <c r="D728" s="19"/>
      <c r="L728" s="499"/>
      <c r="O728" s="116"/>
      <c r="P728" s="116"/>
      <c r="V728" s="504"/>
      <c r="BX728" s="769"/>
      <c r="BY728" s="861"/>
      <c r="BZ728" s="861"/>
      <c r="CA728" s="861"/>
      <c r="CB728" s="861"/>
      <c r="CC728" s="861"/>
      <c r="CD728" s="861"/>
      <c r="CE728" s="861"/>
      <c r="CF728" s="861"/>
      <c r="CG728" s="19" t="s">
        <v>1026</v>
      </c>
      <c r="CH728" s="419" t="s">
        <v>1027</v>
      </c>
      <c r="CI728" s="415">
        <v>40993</v>
      </c>
      <c r="CJ728" s="36">
        <v>271</v>
      </c>
      <c r="CK728" s="48" t="s">
        <v>1029</v>
      </c>
      <c r="CL728"/>
      <c r="CM728"/>
    </row>
    <row r="729" spans="1:91" x14ac:dyDescent="0.2">
      <c r="D729" s="19"/>
      <c r="L729" s="499"/>
      <c r="O729" s="148"/>
      <c r="P729" s="148"/>
      <c r="V729" s="504"/>
      <c r="BX729" s="769"/>
      <c r="BY729" s="861"/>
      <c r="BZ729" s="861"/>
      <c r="CA729" s="861"/>
      <c r="CB729" s="861"/>
      <c r="CC729" s="861"/>
      <c r="CD729" s="861"/>
      <c r="CE729" s="861"/>
      <c r="CF729" s="861"/>
      <c r="CG729" s="19" t="s">
        <v>1032</v>
      </c>
      <c r="CI729" s="415"/>
      <c r="CJ729" s="36"/>
      <c r="CK729" s="690" t="s">
        <v>1033</v>
      </c>
      <c r="CL729"/>
      <c r="CM729"/>
    </row>
    <row r="730" spans="1:91" x14ac:dyDescent="0.2">
      <c r="N730" s="548"/>
      <c r="O730" s="148"/>
      <c r="P730" s="148"/>
      <c r="V730" s="504"/>
      <c r="BX730" s="769"/>
      <c r="BY730" s="861"/>
      <c r="BZ730" s="861"/>
      <c r="CA730" s="861"/>
      <c r="CB730" s="861"/>
      <c r="CC730" s="861"/>
      <c r="CD730" s="861"/>
      <c r="CE730" s="861"/>
      <c r="CF730" s="861"/>
      <c r="CG730" s="1" t="s">
        <v>1139</v>
      </c>
      <c r="CH730" s="424" t="s">
        <v>1138</v>
      </c>
      <c r="CI730" s="415">
        <v>42449</v>
      </c>
      <c r="CJ730" s="1">
        <v>194</v>
      </c>
      <c r="CK730" s="48" t="s">
        <v>1140</v>
      </c>
      <c r="CL730"/>
      <c r="CM730"/>
    </row>
    <row r="731" spans="1:91" x14ac:dyDescent="0.2">
      <c r="N731" s="548"/>
      <c r="O731" s="148"/>
      <c r="P731" s="148"/>
      <c r="V731" s="504"/>
      <c r="BX731" s="769"/>
      <c r="BY731" s="861"/>
      <c r="BZ731" s="861"/>
      <c r="CA731" s="861"/>
      <c r="CB731" s="861"/>
      <c r="CC731" s="861"/>
      <c r="CD731" s="861"/>
      <c r="CE731" s="861"/>
      <c r="CF731" s="861"/>
      <c r="CG731" s="19" t="s">
        <v>1142</v>
      </c>
      <c r="CH731" s="424"/>
      <c r="CI731" s="415">
        <v>42449</v>
      </c>
      <c r="CK731" s="48" t="s">
        <v>1143</v>
      </c>
      <c r="CL731"/>
      <c r="CM731"/>
    </row>
    <row r="732" spans="1:91" x14ac:dyDescent="0.2">
      <c r="N732" s="548"/>
      <c r="O732" s="116"/>
      <c r="P732" s="116"/>
      <c r="V732" s="504"/>
      <c r="BX732" s="769"/>
      <c r="BY732" s="861"/>
      <c r="BZ732" s="861"/>
      <c r="CA732" s="861"/>
      <c r="CB732" s="861"/>
      <c r="CC732" s="861"/>
      <c r="CD732" s="861"/>
      <c r="CE732" s="861"/>
      <c r="CF732" s="861"/>
      <c r="CH732" s="424"/>
      <c r="CI732" s="415"/>
      <c r="CL732"/>
      <c r="CM732"/>
    </row>
    <row r="733" spans="1:91" x14ac:dyDescent="0.2">
      <c r="N733" s="548"/>
      <c r="O733" s="148"/>
      <c r="P733" s="148"/>
      <c r="V733" s="504"/>
      <c r="BX733" s="769"/>
      <c r="BY733" s="861"/>
      <c r="BZ733" s="861"/>
      <c r="CA733" s="861"/>
      <c r="CB733" s="861"/>
      <c r="CC733" s="861"/>
      <c r="CD733" s="861"/>
      <c r="CE733" s="861"/>
      <c r="CF733" s="861"/>
      <c r="CH733" s="424"/>
      <c r="CI733" s="415"/>
      <c r="CL733"/>
      <c r="CM733"/>
    </row>
    <row r="734" spans="1:91" x14ac:dyDescent="0.2">
      <c r="N734" s="548"/>
      <c r="O734" s="148"/>
      <c r="P734" s="148"/>
      <c r="V734" s="504"/>
      <c r="BX734" s="769"/>
      <c r="BY734" s="861"/>
      <c r="BZ734" s="861"/>
      <c r="CA734" s="861"/>
      <c r="CB734" s="861"/>
      <c r="CC734" s="861"/>
      <c r="CD734" s="861"/>
      <c r="CE734" s="861"/>
      <c r="CF734" s="861"/>
      <c r="CH734" s="424"/>
      <c r="CI734" s="415"/>
      <c r="CL734"/>
      <c r="CM734"/>
    </row>
    <row r="735" spans="1:91" x14ac:dyDescent="0.2">
      <c r="N735" s="548"/>
      <c r="O735" s="148"/>
      <c r="P735" s="148"/>
      <c r="V735" s="504"/>
      <c r="BX735" s="769"/>
      <c r="BY735" s="861"/>
      <c r="BZ735" s="861"/>
      <c r="CA735" s="861"/>
      <c r="CB735" s="861"/>
      <c r="CC735" s="861"/>
      <c r="CD735" s="861"/>
      <c r="CE735" s="861"/>
      <c r="CF735" s="861"/>
      <c r="CH735" s="424"/>
      <c r="CI735" s="415"/>
      <c r="CL735"/>
      <c r="CM735"/>
    </row>
    <row r="736" spans="1:91" x14ac:dyDescent="0.2">
      <c r="N736" s="548"/>
      <c r="O736" s="148"/>
      <c r="P736" s="148"/>
      <c r="V736" s="504"/>
      <c r="BX736" s="769"/>
      <c r="BY736" s="861"/>
      <c r="BZ736" s="861"/>
      <c r="CA736" s="861"/>
      <c r="CB736" s="861"/>
      <c r="CC736" s="861"/>
      <c r="CD736" s="861"/>
      <c r="CE736" s="861"/>
      <c r="CF736" s="861"/>
      <c r="CH736" s="424"/>
      <c r="CI736" s="415"/>
      <c r="CL736"/>
      <c r="CM736"/>
    </row>
    <row r="737" spans="1:105" x14ac:dyDescent="0.2">
      <c r="A737"/>
      <c r="B737"/>
      <c r="D737" s="15"/>
      <c r="L737" s="501"/>
      <c r="N737" s="497"/>
      <c r="O737" s="148"/>
      <c r="P737" s="148"/>
      <c r="V737" s="504"/>
      <c r="BY737" s="861"/>
      <c r="BZ737" s="861"/>
      <c r="CA737" s="861"/>
      <c r="CB737" s="861"/>
      <c r="CC737" s="861"/>
      <c r="CD737" s="861"/>
      <c r="CE737" s="861"/>
      <c r="CF737" s="861"/>
      <c r="CG737" s="15"/>
      <c r="CH737" s="425" t="s">
        <v>714</v>
      </c>
      <c r="CI737" s="414">
        <v>40513</v>
      </c>
      <c r="CJ737" s="1">
        <v>30</v>
      </c>
      <c r="CK737" s="48" t="s">
        <v>679</v>
      </c>
      <c r="CL737"/>
      <c r="CM737"/>
    </row>
    <row r="738" spans="1:105" x14ac:dyDescent="0.2">
      <c r="A738"/>
      <c r="B738"/>
      <c r="L738" s="499"/>
      <c r="O738" s="148"/>
      <c r="P738" s="148"/>
      <c r="V738" s="504"/>
      <c r="BX738" s="769"/>
      <c r="BY738" s="861"/>
      <c r="BZ738" s="861"/>
      <c r="CA738" s="861"/>
      <c r="CB738" s="861"/>
      <c r="CC738" s="861"/>
      <c r="CD738" s="861"/>
      <c r="CE738" s="861"/>
      <c r="CF738" s="861"/>
      <c r="CL738"/>
      <c r="CM738"/>
    </row>
    <row r="739" spans="1:105" x14ac:dyDescent="0.2">
      <c r="A739"/>
      <c r="B739"/>
      <c r="L739" s="499"/>
      <c r="O739" s="148"/>
      <c r="P739" s="148"/>
      <c r="V739" s="504"/>
      <c r="BX739" s="769"/>
      <c r="BY739" s="861"/>
      <c r="BZ739" s="861"/>
      <c r="CA739" s="861"/>
      <c r="CB739" s="861"/>
      <c r="CC739" s="861"/>
      <c r="CD739" s="861"/>
      <c r="CE739" s="861"/>
      <c r="CF739" s="861"/>
      <c r="CL739"/>
      <c r="CM739"/>
    </row>
    <row r="740" spans="1:105" x14ac:dyDescent="0.2">
      <c r="A740"/>
      <c r="B740"/>
      <c r="L740" s="499"/>
      <c r="O740" s="148"/>
      <c r="P740" s="148"/>
      <c r="V740" s="504"/>
      <c r="BX740" s="769"/>
      <c r="BY740" s="861"/>
      <c r="BZ740" s="861"/>
      <c r="CA740" s="861"/>
      <c r="CB740" s="861"/>
      <c r="CC740" s="861"/>
      <c r="CD740" s="861"/>
      <c r="CE740" s="861"/>
      <c r="CF740" s="861"/>
      <c r="CL740"/>
      <c r="CM740"/>
    </row>
    <row r="741" spans="1:105" x14ac:dyDescent="0.2">
      <c r="A741"/>
      <c r="B741"/>
      <c r="L741" s="499"/>
      <c r="O741" s="148"/>
      <c r="P741" s="148"/>
      <c r="V741" s="504"/>
      <c r="BX741" s="769"/>
      <c r="BY741" s="861"/>
      <c r="BZ741" s="861"/>
      <c r="CA741" s="861"/>
      <c r="CB741" s="861"/>
      <c r="CC741" s="861"/>
      <c r="CD741" s="861"/>
      <c r="CE741" s="861"/>
      <c r="CF741" s="861"/>
      <c r="CL741"/>
      <c r="CM741"/>
      <c r="CW741" s="586"/>
    </row>
    <row r="742" spans="1:105" x14ac:dyDescent="0.2">
      <c r="A742"/>
      <c r="B742"/>
      <c r="L742" s="499"/>
      <c r="O742" s="148"/>
      <c r="P742" s="148"/>
      <c r="V742" s="504"/>
      <c r="BX742" s="769"/>
      <c r="BY742" s="861"/>
      <c r="BZ742" s="861"/>
      <c r="CA742" s="861"/>
      <c r="CB742" s="861"/>
      <c r="CC742" s="861"/>
      <c r="CD742" s="861"/>
      <c r="CE742" s="861"/>
      <c r="CF742" s="861"/>
      <c r="CL742"/>
      <c r="CM742"/>
      <c r="CS742" s="434"/>
      <c r="CT742" s="72"/>
      <c r="CY742" s="72"/>
      <c r="CZ742" s="72"/>
      <c r="DA742" s="434"/>
    </row>
    <row r="743" spans="1:105" x14ac:dyDescent="0.2">
      <c r="A743"/>
      <c r="B743"/>
      <c r="L743" s="499"/>
      <c r="O743" s="148"/>
      <c r="P743" s="148"/>
      <c r="V743" s="504"/>
      <c r="BX743" s="769"/>
      <c r="BY743" s="861"/>
      <c r="BZ743" s="861"/>
      <c r="CA743" s="861"/>
      <c r="CB743" s="861"/>
      <c r="CC743" s="861"/>
      <c r="CD743" s="861"/>
      <c r="CE743" s="861"/>
      <c r="CF743" s="861"/>
      <c r="CL743"/>
      <c r="CM743"/>
    </row>
    <row r="744" spans="1:105" x14ac:dyDescent="0.2">
      <c r="A744"/>
      <c r="B744"/>
      <c r="L744" s="499"/>
      <c r="O744" s="148"/>
      <c r="P744" s="148"/>
      <c r="V744" s="504"/>
      <c r="BX744" s="769"/>
      <c r="BY744" s="861"/>
      <c r="BZ744" s="861"/>
      <c r="CA744" s="861"/>
      <c r="CB744" s="861"/>
      <c r="CC744" s="861"/>
      <c r="CD744" s="861"/>
      <c r="CE744" s="861"/>
      <c r="CF744" s="861"/>
      <c r="CL744"/>
      <c r="CM744"/>
      <c r="CV744" s="586"/>
    </row>
    <row r="745" spans="1:105" x14ac:dyDescent="0.2">
      <c r="A745"/>
      <c r="B745"/>
      <c r="L745" s="499"/>
      <c r="O745" s="148"/>
      <c r="P745" s="148"/>
      <c r="V745" s="504"/>
      <c r="BX745" s="769"/>
      <c r="BY745" s="861"/>
      <c r="BZ745" s="861"/>
      <c r="CA745" s="861"/>
      <c r="CB745" s="861"/>
      <c r="CC745" s="861"/>
      <c r="CD745" s="861"/>
      <c r="CE745" s="861"/>
      <c r="CF745" s="861"/>
      <c r="CL745"/>
      <c r="CM745"/>
    </row>
    <row r="746" spans="1:105" x14ac:dyDescent="0.2">
      <c r="A746"/>
      <c r="B746"/>
      <c r="L746" s="499"/>
      <c r="O746" s="148"/>
      <c r="P746" s="148"/>
      <c r="V746" s="504"/>
      <c r="BX746" s="769"/>
      <c r="BY746" s="861"/>
      <c r="BZ746" s="861"/>
      <c r="CA746" s="861"/>
      <c r="CB746" s="861"/>
      <c r="CC746" s="861"/>
      <c r="CD746" s="861"/>
      <c r="CE746" s="861"/>
      <c r="CF746" s="861"/>
      <c r="CL746"/>
      <c r="CM746"/>
    </row>
    <row r="747" spans="1:105" x14ac:dyDescent="0.2">
      <c r="A747"/>
      <c r="B747"/>
      <c r="L747" s="499"/>
      <c r="O747" s="148"/>
      <c r="P747" s="148"/>
      <c r="V747" s="504"/>
      <c r="BX747" s="769"/>
      <c r="BY747" s="861"/>
      <c r="BZ747" s="861"/>
      <c r="CA747" s="861"/>
      <c r="CB747" s="861"/>
      <c r="CC747" s="861"/>
      <c r="CD747" s="861"/>
      <c r="CE747" s="861"/>
      <c r="CF747" s="861"/>
      <c r="CL747"/>
      <c r="CM747"/>
    </row>
    <row r="748" spans="1:105" x14ac:dyDescent="0.2">
      <c r="A748"/>
      <c r="B748"/>
      <c r="L748" s="499"/>
      <c r="O748" s="148"/>
      <c r="P748" s="148"/>
      <c r="V748" s="504"/>
      <c r="BX748" s="769"/>
      <c r="BY748" s="861"/>
      <c r="BZ748" s="861"/>
      <c r="CA748" s="861"/>
      <c r="CB748" s="861"/>
      <c r="CC748" s="861"/>
      <c r="CD748" s="861"/>
      <c r="CE748" s="861"/>
      <c r="CF748" s="861"/>
      <c r="CL748"/>
      <c r="CM748"/>
    </row>
    <row r="749" spans="1:105" x14ac:dyDescent="0.2">
      <c r="A749"/>
      <c r="B749"/>
      <c r="L749" s="499"/>
      <c r="O749" s="148"/>
      <c r="P749" s="148"/>
      <c r="V749" s="504"/>
      <c r="BX749" s="769"/>
      <c r="BY749" s="861"/>
      <c r="BZ749" s="861"/>
      <c r="CA749" s="861"/>
      <c r="CB749" s="861"/>
      <c r="CC749" s="861"/>
      <c r="CD749" s="861"/>
      <c r="CE749" s="861"/>
      <c r="CF749" s="861"/>
      <c r="CL749"/>
      <c r="CM749"/>
      <c r="CS749" s="434"/>
      <c r="CT749" s="72"/>
      <c r="CY749" s="72"/>
      <c r="CZ749" s="72"/>
      <c r="DA749" s="434"/>
    </row>
    <row r="750" spans="1:105" x14ac:dyDescent="0.2">
      <c r="A750"/>
      <c r="B750"/>
      <c r="L750" s="499"/>
      <c r="O750" s="148"/>
      <c r="P750" s="148"/>
      <c r="V750" s="504"/>
      <c r="BX750" s="769"/>
      <c r="BY750" s="861"/>
      <c r="BZ750" s="861"/>
      <c r="CA750" s="861"/>
      <c r="CB750" s="861"/>
      <c r="CC750" s="861"/>
      <c r="CD750" s="861"/>
      <c r="CE750" s="861"/>
      <c r="CF750" s="861"/>
      <c r="CL750"/>
      <c r="CM750"/>
      <c r="CS750" s="434"/>
      <c r="CT750" s="72"/>
      <c r="CY750" s="72"/>
      <c r="CZ750" s="72"/>
      <c r="DA750" s="434"/>
    </row>
    <row r="751" spans="1:105" x14ac:dyDescent="0.2">
      <c r="A751"/>
      <c r="B751"/>
      <c r="L751" s="499"/>
      <c r="O751" s="148"/>
      <c r="P751" s="148"/>
      <c r="V751" s="504"/>
      <c r="BX751" s="769"/>
      <c r="BY751" s="861"/>
      <c r="BZ751" s="861"/>
      <c r="CA751" s="861"/>
      <c r="CB751" s="861"/>
      <c r="CC751" s="861"/>
      <c r="CD751" s="861"/>
      <c r="CE751" s="861"/>
      <c r="CF751" s="861"/>
      <c r="CL751"/>
      <c r="CM751"/>
      <c r="CS751" s="434"/>
      <c r="CT751" s="72"/>
      <c r="CY751" s="72"/>
      <c r="CZ751" s="72"/>
      <c r="DA751" s="434"/>
    </row>
    <row r="752" spans="1:105" x14ac:dyDescent="0.2">
      <c r="A752"/>
      <c r="B752"/>
      <c r="L752" s="499"/>
      <c r="O752" s="148"/>
      <c r="P752" s="148"/>
      <c r="V752" s="504"/>
      <c r="BX752" s="769"/>
      <c r="BY752" s="861"/>
      <c r="BZ752" s="861"/>
      <c r="CA752" s="861"/>
      <c r="CB752" s="861"/>
      <c r="CC752" s="861"/>
      <c r="CD752" s="861"/>
      <c r="CE752" s="861"/>
      <c r="CF752" s="861"/>
      <c r="CL752"/>
      <c r="CM752"/>
    </row>
    <row r="753" spans="1:100" x14ac:dyDescent="0.2">
      <c r="A753"/>
      <c r="B753"/>
      <c r="D753"/>
      <c r="E753"/>
      <c r="F753"/>
      <c r="G753"/>
      <c r="I753"/>
      <c r="J753"/>
      <c r="K753"/>
      <c r="L753" s="499"/>
      <c r="O753" s="148"/>
      <c r="P753" s="148"/>
      <c r="V753" s="504"/>
      <c r="BX753" s="769"/>
      <c r="BY753" s="179"/>
      <c r="BZ753" s="179"/>
      <c r="CA753" s="179"/>
      <c r="CB753" s="179"/>
      <c r="CC753" s="179"/>
      <c r="CD753" s="179"/>
      <c r="CE753" s="179"/>
      <c r="CF753" s="179"/>
      <c r="CG753"/>
      <c r="CH753"/>
      <c r="CI753"/>
      <c r="CJ753"/>
      <c r="CK753"/>
      <c r="CL753"/>
      <c r="CM753"/>
    </row>
    <row r="754" spans="1:100" x14ac:dyDescent="0.2">
      <c r="A754"/>
      <c r="B754"/>
      <c r="D754"/>
      <c r="E754"/>
      <c r="F754"/>
      <c r="G754"/>
      <c r="I754"/>
      <c r="J754"/>
      <c r="K754"/>
      <c r="L754" s="499"/>
      <c r="O754" s="148"/>
      <c r="P754" s="148"/>
      <c r="V754" s="504"/>
      <c r="BX754" s="769"/>
      <c r="BY754" s="179"/>
      <c r="BZ754" s="179"/>
      <c r="CA754" s="179"/>
      <c r="CB754" s="179"/>
      <c r="CC754" s="179"/>
      <c r="CD754" s="179"/>
      <c r="CE754" s="179"/>
      <c r="CF754" s="179"/>
      <c r="CG754"/>
      <c r="CH754"/>
      <c r="CI754"/>
      <c r="CJ754"/>
      <c r="CK754"/>
      <c r="CL754"/>
      <c r="CM754"/>
      <c r="CV754" s="586"/>
    </row>
    <row r="755" spans="1:100" x14ac:dyDescent="0.2">
      <c r="A755"/>
      <c r="B755"/>
      <c r="D755"/>
      <c r="E755"/>
      <c r="F755"/>
      <c r="G755"/>
      <c r="I755"/>
      <c r="J755"/>
      <c r="K755"/>
      <c r="L755" s="499"/>
      <c r="O755" s="116"/>
      <c r="P755" s="116"/>
      <c r="V755" s="504"/>
      <c r="BX755" s="769"/>
      <c r="BY755" s="179"/>
      <c r="BZ755" s="179"/>
      <c r="CA755" s="179"/>
      <c r="CB755" s="179"/>
      <c r="CC755" s="179"/>
      <c r="CD755" s="179"/>
      <c r="CE755" s="179"/>
      <c r="CF755" s="179"/>
      <c r="CG755"/>
      <c r="CH755"/>
      <c r="CI755"/>
      <c r="CJ755"/>
      <c r="CK755"/>
      <c r="CL755"/>
      <c r="CM755"/>
    </row>
    <row r="756" spans="1:100" x14ac:dyDescent="0.2">
      <c r="A756"/>
      <c r="B756"/>
      <c r="D756"/>
      <c r="E756"/>
      <c r="F756"/>
      <c r="G756"/>
      <c r="I756"/>
      <c r="J756"/>
      <c r="K756"/>
      <c r="L756" s="499"/>
      <c r="O756" s="148"/>
      <c r="P756" s="148"/>
      <c r="V756" s="504"/>
      <c r="BX756" s="769"/>
      <c r="BY756" s="179"/>
      <c r="BZ756" s="179"/>
      <c r="CA756" s="179"/>
      <c r="CB756" s="179"/>
      <c r="CC756" s="179"/>
      <c r="CD756" s="179"/>
      <c r="CE756" s="179"/>
      <c r="CF756" s="179"/>
      <c r="CG756"/>
      <c r="CH756"/>
      <c r="CI756"/>
      <c r="CJ756"/>
      <c r="CK756"/>
      <c r="CL756"/>
      <c r="CM756"/>
    </row>
    <row r="757" spans="1:100" x14ac:dyDescent="0.2">
      <c r="A757"/>
      <c r="B757"/>
      <c r="D757"/>
      <c r="E757"/>
      <c r="F757"/>
      <c r="G757"/>
      <c r="I757"/>
      <c r="J757"/>
      <c r="K757"/>
      <c r="L757" s="499"/>
      <c r="O757" s="23"/>
      <c r="P757" s="23"/>
      <c r="V757" s="504"/>
      <c r="BX757" s="769"/>
      <c r="BY757" s="179"/>
      <c r="BZ757" s="179"/>
      <c r="CA757" s="179"/>
      <c r="CB757" s="179"/>
      <c r="CC757" s="179"/>
      <c r="CD757" s="179"/>
      <c r="CE757" s="179"/>
      <c r="CF757" s="179"/>
      <c r="CG757"/>
      <c r="CH757"/>
      <c r="CI757"/>
      <c r="CJ757"/>
      <c r="CK757"/>
      <c r="CL757"/>
      <c r="CM757"/>
    </row>
    <row r="758" spans="1:100" x14ac:dyDescent="0.2">
      <c r="A758"/>
      <c r="B758"/>
      <c r="D758"/>
      <c r="E758"/>
      <c r="F758"/>
      <c r="G758"/>
      <c r="I758"/>
      <c r="J758"/>
      <c r="K758"/>
      <c r="L758" s="499"/>
      <c r="O758" s="23"/>
      <c r="P758" s="23"/>
      <c r="V758" s="504"/>
      <c r="BX758" s="769"/>
      <c r="BY758" s="179"/>
      <c r="BZ758" s="179"/>
      <c r="CA758" s="179"/>
      <c r="CB758" s="179"/>
      <c r="CC758" s="179"/>
      <c r="CD758" s="179"/>
      <c r="CE758" s="179"/>
      <c r="CF758" s="179"/>
      <c r="CG758"/>
      <c r="CH758"/>
      <c r="CI758"/>
      <c r="CJ758"/>
      <c r="CK758"/>
      <c r="CL758"/>
      <c r="CM758"/>
    </row>
    <row r="759" spans="1:100" x14ac:dyDescent="0.2">
      <c r="A759"/>
      <c r="B759"/>
      <c r="D759"/>
      <c r="E759"/>
      <c r="F759"/>
      <c r="G759"/>
      <c r="I759"/>
      <c r="J759"/>
      <c r="K759"/>
      <c r="L759" s="499"/>
      <c r="V759" s="504"/>
      <c r="BX759" s="769"/>
      <c r="BY759" s="179"/>
      <c r="BZ759" s="179"/>
      <c r="CA759" s="179"/>
      <c r="CB759" s="179"/>
      <c r="CC759" s="179"/>
      <c r="CD759" s="179"/>
      <c r="CE759" s="179"/>
      <c r="CF759" s="179"/>
      <c r="CG759"/>
      <c r="CH759"/>
      <c r="CI759"/>
      <c r="CJ759"/>
      <c r="CK759"/>
      <c r="CL759"/>
      <c r="CM759"/>
    </row>
    <row r="760" spans="1:100" x14ac:dyDescent="0.2">
      <c r="A760"/>
      <c r="B760"/>
      <c r="D760"/>
      <c r="E760"/>
      <c r="F760"/>
      <c r="G760"/>
      <c r="I760"/>
      <c r="J760"/>
      <c r="K760"/>
      <c r="L760" s="499"/>
      <c r="V760" s="504"/>
      <c r="BX760" s="769"/>
      <c r="BY760" s="179"/>
      <c r="BZ760" s="179"/>
      <c r="CA760" s="179"/>
      <c r="CB760" s="179"/>
      <c r="CC760" s="179"/>
      <c r="CD760" s="179"/>
      <c r="CE760" s="179"/>
      <c r="CF760" s="179"/>
      <c r="CG760"/>
      <c r="CH760"/>
      <c r="CI760"/>
      <c r="CJ760"/>
      <c r="CK760"/>
      <c r="CL760"/>
      <c r="CM760"/>
    </row>
    <row r="761" spans="1:100" x14ac:dyDescent="0.2">
      <c r="A761"/>
      <c r="B761"/>
      <c r="D761"/>
      <c r="E761"/>
      <c r="F761"/>
      <c r="G761"/>
      <c r="I761"/>
      <c r="J761"/>
      <c r="K761"/>
      <c r="L761" s="499"/>
      <c r="V761" s="504"/>
      <c r="BX761" s="769"/>
      <c r="BY761" s="179"/>
      <c r="BZ761" s="179"/>
      <c r="CA761" s="179"/>
      <c r="CB761" s="179"/>
      <c r="CC761" s="179"/>
      <c r="CD761" s="179"/>
      <c r="CE761" s="179"/>
      <c r="CF761" s="179"/>
      <c r="CG761"/>
      <c r="CH761"/>
      <c r="CI761"/>
      <c r="CJ761"/>
      <c r="CK761"/>
      <c r="CL761"/>
      <c r="CM761"/>
    </row>
    <row r="762" spans="1:100" x14ac:dyDescent="0.2">
      <c r="A762"/>
      <c r="B762"/>
      <c r="D762"/>
      <c r="E762"/>
      <c r="F762"/>
      <c r="G762"/>
      <c r="I762"/>
      <c r="J762"/>
      <c r="K762"/>
      <c r="L762" s="499"/>
      <c r="V762" s="504"/>
      <c r="BX762" s="769"/>
      <c r="BY762" s="179"/>
      <c r="BZ762" s="179"/>
      <c r="CA762" s="179"/>
      <c r="CB762" s="179"/>
      <c r="CC762" s="179"/>
      <c r="CD762" s="179"/>
      <c r="CE762" s="179"/>
      <c r="CF762" s="179"/>
      <c r="CG762"/>
      <c r="CH762"/>
      <c r="CI762"/>
      <c r="CJ762"/>
      <c r="CK762"/>
      <c r="CL762"/>
      <c r="CM762"/>
    </row>
    <row r="763" spans="1:100" x14ac:dyDescent="0.2">
      <c r="A763"/>
      <c r="B763"/>
      <c r="D763"/>
      <c r="E763"/>
      <c r="F763"/>
      <c r="G763"/>
      <c r="I763"/>
      <c r="J763"/>
      <c r="K763"/>
      <c r="L763" s="499"/>
      <c r="V763" s="504"/>
      <c r="BX763" s="769"/>
      <c r="BY763" s="179"/>
      <c r="BZ763" s="179"/>
      <c r="CA763" s="179"/>
      <c r="CB763" s="179"/>
      <c r="CC763" s="179"/>
      <c r="CD763" s="179"/>
      <c r="CE763" s="179"/>
      <c r="CF763" s="179"/>
      <c r="CG763"/>
      <c r="CH763"/>
      <c r="CI763"/>
      <c r="CJ763"/>
      <c r="CK763"/>
      <c r="CL763"/>
      <c r="CM763"/>
    </row>
    <row r="764" spans="1:100" x14ac:dyDescent="0.2">
      <c r="A764"/>
      <c r="B764"/>
      <c r="D764"/>
      <c r="E764"/>
      <c r="F764"/>
      <c r="G764"/>
      <c r="I764"/>
      <c r="J764"/>
      <c r="K764"/>
      <c r="L764" s="499"/>
      <c r="V764" s="504"/>
      <c r="BX764" s="769"/>
      <c r="BY764" s="179"/>
      <c r="BZ764" s="179"/>
      <c r="CA764" s="179"/>
      <c r="CB764" s="179"/>
      <c r="CC764" s="179"/>
      <c r="CD764" s="179"/>
      <c r="CE764" s="179"/>
      <c r="CF764" s="179"/>
      <c r="CG764"/>
      <c r="CH764"/>
      <c r="CI764"/>
      <c r="CJ764"/>
      <c r="CK764"/>
      <c r="CL764"/>
      <c r="CM764"/>
    </row>
    <row r="765" spans="1:100" x14ac:dyDescent="0.2">
      <c r="A765"/>
      <c r="B765"/>
      <c r="D765"/>
      <c r="E765"/>
      <c r="F765"/>
      <c r="G765"/>
      <c r="I765"/>
      <c r="J765"/>
      <c r="K765"/>
      <c r="L765" s="499"/>
      <c r="V765" s="504"/>
      <c r="BX765" s="769"/>
      <c r="BY765" s="179"/>
      <c r="BZ765" s="179"/>
      <c r="CA765" s="179"/>
      <c r="CB765" s="179"/>
      <c r="CC765" s="179"/>
      <c r="CD765" s="179"/>
      <c r="CE765" s="179"/>
      <c r="CF765" s="179"/>
      <c r="CG765"/>
      <c r="CH765"/>
      <c r="CI765"/>
      <c r="CJ765"/>
      <c r="CK765"/>
      <c r="CL765"/>
      <c r="CM765"/>
    </row>
    <row r="766" spans="1:100" x14ac:dyDescent="0.2">
      <c r="A766"/>
      <c r="B766"/>
      <c r="D766"/>
      <c r="E766"/>
      <c r="F766"/>
      <c r="G766"/>
      <c r="I766"/>
      <c r="J766"/>
      <c r="K766"/>
      <c r="L766" s="499"/>
      <c r="V766" s="504"/>
      <c r="BX766" s="769"/>
      <c r="BY766" s="179"/>
      <c r="BZ766" s="179"/>
      <c r="CA766" s="179"/>
      <c r="CB766" s="179"/>
      <c r="CC766" s="179"/>
      <c r="CD766" s="179"/>
      <c r="CE766" s="179"/>
      <c r="CF766" s="179"/>
      <c r="CG766"/>
      <c r="CH766"/>
      <c r="CI766"/>
      <c r="CJ766"/>
      <c r="CK766"/>
      <c r="CL766"/>
      <c r="CM766"/>
    </row>
    <row r="767" spans="1:100" x14ac:dyDescent="0.2">
      <c r="A767"/>
      <c r="B767"/>
      <c r="D767"/>
      <c r="E767"/>
      <c r="F767"/>
      <c r="G767"/>
      <c r="I767"/>
      <c r="J767"/>
      <c r="K767"/>
      <c r="L767" s="499"/>
      <c r="V767" s="504"/>
      <c r="BX767" s="769"/>
      <c r="BY767" s="179"/>
      <c r="BZ767" s="179"/>
      <c r="CA767" s="179"/>
      <c r="CB767" s="179"/>
      <c r="CC767" s="179"/>
      <c r="CD767" s="179"/>
      <c r="CE767" s="179"/>
      <c r="CF767" s="179"/>
      <c r="CG767"/>
      <c r="CH767"/>
      <c r="CI767"/>
      <c r="CJ767"/>
      <c r="CK767"/>
      <c r="CL767"/>
      <c r="CM767"/>
    </row>
    <row r="768" spans="1:100" x14ac:dyDescent="0.2">
      <c r="A768"/>
      <c r="B768"/>
      <c r="D768"/>
      <c r="E768"/>
      <c r="F768"/>
      <c r="G768"/>
      <c r="I768"/>
      <c r="J768"/>
      <c r="K768"/>
      <c r="L768" s="499"/>
      <c r="V768" s="504"/>
      <c r="BX768" s="769"/>
      <c r="BY768" s="179"/>
      <c r="BZ768" s="179"/>
      <c r="CA768" s="179"/>
      <c r="CB768" s="179"/>
      <c r="CC768" s="179"/>
      <c r="CD768" s="179"/>
      <c r="CE768" s="179"/>
      <c r="CF768" s="179"/>
      <c r="CG768"/>
      <c r="CH768"/>
      <c r="CI768"/>
      <c r="CJ768"/>
      <c r="CK768"/>
      <c r="CL768"/>
      <c r="CM768"/>
    </row>
    <row r="769" spans="1:91" x14ac:dyDescent="0.2">
      <c r="A769"/>
      <c r="B769"/>
      <c r="D769"/>
      <c r="E769"/>
      <c r="F769"/>
      <c r="G769"/>
      <c r="I769"/>
      <c r="J769"/>
      <c r="K769"/>
      <c r="L769" s="499"/>
      <c r="V769" s="504"/>
      <c r="BX769" s="769"/>
      <c r="BY769" s="179"/>
      <c r="BZ769" s="179"/>
      <c r="CA769" s="179"/>
      <c r="CB769" s="179"/>
      <c r="CC769" s="179"/>
      <c r="CD769" s="179"/>
      <c r="CE769" s="179"/>
      <c r="CF769" s="179"/>
      <c r="CG769"/>
      <c r="CH769"/>
      <c r="CI769"/>
      <c r="CJ769"/>
      <c r="CK769"/>
      <c r="CL769"/>
      <c r="CM769"/>
    </row>
    <row r="770" spans="1:91" x14ac:dyDescent="0.2">
      <c r="A770"/>
      <c r="B770"/>
      <c r="D770"/>
      <c r="E770"/>
      <c r="F770"/>
      <c r="G770"/>
      <c r="I770"/>
      <c r="J770"/>
      <c r="K770"/>
      <c r="L770" s="499"/>
      <c r="V770" s="504"/>
      <c r="BX770" s="769"/>
      <c r="BY770" s="179"/>
      <c r="BZ770" s="179"/>
      <c r="CA770" s="179"/>
      <c r="CB770" s="179"/>
      <c r="CC770" s="179"/>
      <c r="CD770" s="179"/>
      <c r="CE770" s="179"/>
      <c r="CF770" s="179"/>
      <c r="CG770"/>
      <c r="CH770"/>
      <c r="CI770"/>
      <c r="CJ770"/>
      <c r="CK770"/>
      <c r="CL770"/>
      <c r="CM770"/>
    </row>
    <row r="771" spans="1:91" x14ac:dyDescent="0.2">
      <c r="A771"/>
      <c r="B771"/>
      <c r="D771"/>
      <c r="E771"/>
      <c r="F771"/>
      <c r="G771"/>
      <c r="I771"/>
      <c r="J771"/>
      <c r="K771"/>
      <c r="L771" s="499"/>
      <c r="V771" s="504"/>
      <c r="BX771" s="769"/>
      <c r="BY771" s="179"/>
      <c r="BZ771" s="179"/>
      <c r="CA771" s="179"/>
      <c r="CB771" s="179"/>
      <c r="CC771" s="179"/>
      <c r="CD771" s="179"/>
      <c r="CE771" s="179"/>
      <c r="CF771" s="179"/>
      <c r="CG771"/>
      <c r="CH771"/>
      <c r="CI771"/>
      <c r="CJ771"/>
      <c r="CK771"/>
      <c r="CL771"/>
      <c r="CM771"/>
    </row>
    <row r="772" spans="1:91" x14ac:dyDescent="0.2">
      <c r="A772"/>
      <c r="B772"/>
      <c r="D772"/>
      <c r="E772"/>
      <c r="F772"/>
      <c r="G772"/>
      <c r="I772"/>
      <c r="J772"/>
      <c r="K772"/>
      <c r="L772" s="499"/>
      <c r="V772" s="504"/>
      <c r="BX772" s="769"/>
      <c r="BY772" s="179"/>
      <c r="BZ772" s="179"/>
      <c r="CA772" s="179"/>
      <c r="CB772" s="179"/>
      <c r="CC772" s="179"/>
      <c r="CD772" s="179"/>
      <c r="CE772" s="179"/>
      <c r="CF772" s="179"/>
      <c r="CG772"/>
      <c r="CH772"/>
      <c r="CI772"/>
      <c r="CJ772"/>
      <c r="CK772"/>
      <c r="CL772"/>
      <c r="CM772"/>
    </row>
    <row r="773" spans="1:91" x14ac:dyDescent="0.2">
      <c r="A773"/>
      <c r="B773"/>
      <c r="D773"/>
      <c r="E773"/>
      <c r="F773"/>
      <c r="G773"/>
      <c r="I773"/>
      <c r="J773"/>
      <c r="K773"/>
      <c r="L773" s="499"/>
      <c r="V773" s="504"/>
      <c r="BX773" s="769"/>
      <c r="BY773" s="179"/>
      <c r="BZ773" s="179"/>
      <c r="CA773" s="179"/>
      <c r="CB773" s="179"/>
      <c r="CC773" s="179"/>
      <c r="CD773" s="179"/>
      <c r="CE773" s="179"/>
      <c r="CF773" s="179"/>
      <c r="CG773"/>
      <c r="CH773"/>
      <c r="CI773"/>
      <c r="CJ773"/>
      <c r="CK773"/>
      <c r="CL773"/>
      <c r="CM773"/>
    </row>
    <row r="774" spans="1:91" x14ac:dyDescent="0.2">
      <c r="A774"/>
      <c r="B774"/>
      <c r="D774"/>
      <c r="E774"/>
      <c r="F774"/>
      <c r="G774"/>
      <c r="I774"/>
      <c r="J774"/>
      <c r="K774"/>
      <c r="L774" s="499"/>
      <c r="V774" s="504"/>
      <c r="BX774" s="769"/>
      <c r="BY774" s="179"/>
      <c r="BZ774" s="179"/>
      <c r="CA774" s="179"/>
      <c r="CB774" s="179"/>
      <c r="CC774" s="179"/>
      <c r="CD774" s="179"/>
      <c r="CE774" s="179"/>
      <c r="CF774" s="179"/>
      <c r="CG774"/>
      <c r="CH774"/>
      <c r="CI774"/>
      <c r="CJ774"/>
      <c r="CK774"/>
      <c r="CL774"/>
      <c r="CM774"/>
    </row>
    <row r="775" spans="1:91" x14ac:dyDescent="0.2">
      <c r="A775"/>
      <c r="B775"/>
      <c r="D775"/>
      <c r="E775"/>
      <c r="F775"/>
      <c r="G775"/>
      <c r="I775"/>
      <c r="J775"/>
      <c r="K775"/>
      <c r="L775" s="499"/>
      <c r="V775" s="504"/>
      <c r="BX775" s="769"/>
      <c r="BY775" s="179"/>
      <c r="BZ775" s="179"/>
      <c r="CA775" s="179"/>
      <c r="CB775" s="179"/>
      <c r="CC775" s="179"/>
      <c r="CD775" s="179"/>
      <c r="CE775" s="179"/>
      <c r="CF775" s="179"/>
      <c r="CG775"/>
      <c r="CH775"/>
      <c r="CI775"/>
      <c r="CJ775"/>
      <c r="CK775"/>
      <c r="CL775"/>
      <c r="CM775"/>
    </row>
    <row r="776" spans="1:91" x14ac:dyDescent="0.2">
      <c r="A776"/>
      <c r="B776"/>
      <c r="D776"/>
      <c r="E776"/>
      <c r="F776"/>
      <c r="G776"/>
      <c r="I776"/>
      <c r="J776"/>
      <c r="K776"/>
      <c r="L776" s="499"/>
      <c r="V776" s="504"/>
      <c r="BX776" s="769"/>
      <c r="BY776" s="179"/>
      <c r="BZ776" s="179"/>
      <c r="CA776" s="179"/>
      <c r="CB776" s="179"/>
      <c r="CC776" s="179"/>
      <c r="CD776" s="179"/>
      <c r="CE776" s="179"/>
      <c r="CF776" s="179"/>
      <c r="CG776"/>
      <c r="CH776"/>
      <c r="CI776"/>
      <c r="CJ776"/>
      <c r="CK776"/>
      <c r="CL776"/>
      <c r="CM776"/>
    </row>
    <row r="777" spans="1:91" x14ac:dyDescent="0.2">
      <c r="A777"/>
      <c r="B777"/>
      <c r="D777"/>
      <c r="E777"/>
      <c r="F777"/>
      <c r="G777"/>
      <c r="I777"/>
      <c r="J777"/>
      <c r="K777"/>
      <c r="L777" s="499"/>
      <c r="V777" s="504"/>
      <c r="BX777" s="769"/>
      <c r="BY777" s="179"/>
      <c r="BZ777" s="179"/>
      <c r="CA777" s="179"/>
      <c r="CB777" s="179"/>
      <c r="CC777" s="179"/>
      <c r="CD777" s="179"/>
      <c r="CE777" s="179"/>
      <c r="CF777" s="179"/>
      <c r="CG777"/>
      <c r="CH777"/>
      <c r="CI777"/>
      <c r="CJ777"/>
      <c r="CK777"/>
      <c r="CL777"/>
      <c r="CM777"/>
    </row>
    <row r="778" spans="1:91" x14ac:dyDescent="0.2">
      <c r="A778"/>
      <c r="B778"/>
      <c r="D778"/>
      <c r="E778"/>
      <c r="F778"/>
      <c r="G778"/>
      <c r="I778"/>
      <c r="J778"/>
      <c r="K778"/>
      <c r="L778" s="499"/>
      <c r="V778" s="504"/>
      <c r="BX778" s="769"/>
      <c r="BY778" s="179"/>
      <c r="BZ778" s="179"/>
      <c r="CA778" s="179"/>
      <c r="CB778" s="179"/>
      <c r="CC778" s="179"/>
      <c r="CD778" s="179"/>
      <c r="CE778" s="179"/>
      <c r="CF778" s="179"/>
      <c r="CG778"/>
      <c r="CH778"/>
      <c r="CI778"/>
      <c r="CJ778"/>
      <c r="CK778"/>
      <c r="CL778"/>
      <c r="CM778"/>
    </row>
    <row r="779" spans="1:91" x14ac:dyDescent="0.2">
      <c r="A779"/>
      <c r="B779"/>
      <c r="D779"/>
      <c r="E779"/>
      <c r="F779"/>
      <c r="G779"/>
      <c r="I779"/>
      <c r="J779"/>
      <c r="K779"/>
      <c r="L779" s="499"/>
      <c r="V779" s="504"/>
      <c r="BX779" s="769"/>
      <c r="BY779" s="179"/>
      <c r="BZ779" s="179"/>
      <c r="CA779" s="179"/>
      <c r="CB779" s="179"/>
      <c r="CC779" s="179"/>
      <c r="CD779" s="179"/>
      <c r="CE779" s="179"/>
      <c r="CF779" s="179"/>
      <c r="CG779"/>
      <c r="CH779"/>
      <c r="CI779"/>
      <c r="CJ779"/>
      <c r="CK779"/>
      <c r="CL779"/>
      <c r="CM779"/>
    </row>
    <row r="780" spans="1:91" x14ac:dyDescent="0.2">
      <c r="A780"/>
      <c r="B780"/>
      <c r="D780"/>
      <c r="E780"/>
      <c r="F780"/>
      <c r="G780"/>
      <c r="I780"/>
      <c r="J780"/>
      <c r="K780"/>
      <c r="L780" s="499"/>
      <c r="V780" s="504"/>
      <c r="BX780" s="769"/>
      <c r="BY780" s="179"/>
      <c r="BZ780" s="179"/>
      <c r="CA780" s="179"/>
      <c r="CB780" s="179"/>
      <c r="CC780" s="179"/>
      <c r="CD780" s="179"/>
      <c r="CE780" s="179"/>
      <c r="CF780" s="179"/>
      <c r="CG780"/>
      <c r="CH780"/>
      <c r="CI780"/>
      <c r="CJ780"/>
      <c r="CK780"/>
      <c r="CL780"/>
      <c r="CM780"/>
    </row>
    <row r="781" spans="1:91" x14ac:dyDescent="0.2">
      <c r="A781"/>
      <c r="B781"/>
      <c r="D781"/>
      <c r="E781"/>
      <c r="F781"/>
      <c r="G781"/>
      <c r="I781"/>
      <c r="J781"/>
      <c r="K781"/>
      <c r="L781" s="499"/>
      <c r="V781" s="504"/>
      <c r="BX781" s="769"/>
      <c r="BY781" s="179"/>
      <c r="BZ781" s="179"/>
      <c r="CA781" s="179"/>
      <c r="CB781" s="179"/>
      <c r="CC781" s="179"/>
      <c r="CD781" s="179"/>
      <c r="CE781" s="179"/>
      <c r="CF781" s="179"/>
      <c r="CG781"/>
      <c r="CH781"/>
      <c r="CI781"/>
      <c r="CJ781"/>
      <c r="CK781"/>
      <c r="CL781"/>
      <c r="CM781"/>
    </row>
    <row r="782" spans="1:91" x14ac:dyDescent="0.2">
      <c r="A782"/>
      <c r="B782"/>
      <c r="D782"/>
      <c r="E782"/>
      <c r="F782"/>
      <c r="G782"/>
      <c r="I782"/>
      <c r="J782"/>
      <c r="K782"/>
      <c r="L782" s="499"/>
      <c r="V782" s="504"/>
      <c r="BX782" s="769"/>
      <c r="BY782" s="179"/>
      <c r="BZ782" s="179"/>
      <c r="CA782" s="179"/>
      <c r="CB782" s="179"/>
      <c r="CC782" s="179"/>
      <c r="CD782" s="179"/>
      <c r="CE782" s="179"/>
      <c r="CF782" s="179"/>
      <c r="CG782"/>
      <c r="CH782"/>
      <c r="CI782"/>
      <c r="CJ782"/>
      <c r="CK782"/>
      <c r="CL782"/>
      <c r="CM782"/>
    </row>
    <row r="783" spans="1:91" x14ac:dyDescent="0.2">
      <c r="A783"/>
      <c r="B783"/>
      <c r="D783"/>
      <c r="E783"/>
      <c r="F783"/>
      <c r="G783"/>
      <c r="I783"/>
      <c r="J783"/>
      <c r="K783"/>
      <c r="L783" s="499"/>
      <c r="V783" s="504"/>
      <c r="BX783" s="769"/>
      <c r="BY783" s="179"/>
      <c r="BZ783" s="179"/>
      <c r="CA783" s="179"/>
      <c r="CB783" s="179"/>
      <c r="CC783" s="179"/>
      <c r="CD783" s="179"/>
      <c r="CE783" s="179"/>
      <c r="CF783" s="179"/>
      <c r="CG783"/>
      <c r="CH783"/>
      <c r="CI783"/>
      <c r="CJ783"/>
      <c r="CK783"/>
      <c r="CL783"/>
      <c r="CM783"/>
    </row>
    <row r="784" spans="1:91" x14ac:dyDescent="0.2">
      <c r="A784"/>
      <c r="B784"/>
      <c r="D784"/>
      <c r="E784"/>
      <c r="F784"/>
      <c r="G784"/>
      <c r="I784"/>
      <c r="J784"/>
      <c r="K784"/>
      <c r="L784" s="499"/>
      <c r="V784" s="504"/>
      <c r="BX784" s="769"/>
      <c r="BY784" s="179"/>
      <c r="BZ784" s="179"/>
      <c r="CA784" s="179"/>
      <c r="CB784" s="179"/>
      <c r="CC784" s="179"/>
      <c r="CD784" s="179"/>
      <c r="CE784" s="179"/>
      <c r="CF784" s="179"/>
      <c r="CG784"/>
      <c r="CH784"/>
      <c r="CI784"/>
      <c r="CJ784"/>
      <c r="CK784"/>
      <c r="CL784"/>
      <c r="CM784"/>
    </row>
    <row r="785" spans="1:91" x14ac:dyDescent="0.2">
      <c r="A785"/>
      <c r="B785"/>
      <c r="D785"/>
      <c r="E785"/>
      <c r="F785"/>
      <c r="G785"/>
      <c r="I785"/>
      <c r="J785"/>
      <c r="K785"/>
      <c r="L785" s="499"/>
      <c r="V785" s="504"/>
      <c r="BX785" s="769"/>
      <c r="BY785" s="179"/>
      <c r="BZ785" s="179"/>
      <c r="CA785" s="179"/>
      <c r="CB785" s="179"/>
      <c r="CC785" s="179"/>
      <c r="CD785" s="179"/>
      <c r="CE785" s="179"/>
      <c r="CF785" s="179"/>
      <c r="CG785"/>
      <c r="CH785"/>
      <c r="CI785"/>
      <c r="CJ785"/>
      <c r="CK785"/>
      <c r="CL785"/>
      <c r="CM785"/>
    </row>
    <row r="786" spans="1:91" x14ac:dyDescent="0.2">
      <c r="A786"/>
      <c r="B786"/>
      <c r="D786"/>
      <c r="E786"/>
      <c r="F786"/>
      <c r="G786"/>
      <c r="I786"/>
      <c r="J786"/>
      <c r="K786"/>
      <c r="L786" s="499"/>
      <c r="V786" s="504"/>
      <c r="BX786" s="769"/>
      <c r="BY786" s="179"/>
      <c r="BZ786" s="179"/>
      <c r="CA786" s="179"/>
      <c r="CB786" s="179"/>
      <c r="CC786" s="179"/>
      <c r="CD786" s="179"/>
      <c r="CE786" s="179"/>
      <c r="CF786" s="179"/>
      <c r="CG786"/>
      <c r="CH786"/>
      <c r="CI786"/>
      <c r="CJ786"/>
      <c r="CK786"/>
      <c r="CL786"/>
      <c r="CM786"/>
    </row>
    <row r="787" spans="1:91" x14ac:dyDescent="0.2">
      <c r="A787"/>
      <c r="B787"/>
      <c r="D787"/>
      <c r="E787"/>
      <c r="F787"/>
      <c r="G787"/>
      <c r="I787"/>
      <c r="J787"/>
      <c r="K787"/>
      <c r="L787" s="499"/>
      <c r="V787" s="504"/>
      <c r="BX787" s="769"/>
      <c r="BY787" s="179"/>
      <c r="BZ787" s="179"/>
      <c r="CA787" s="179"/>
      <c r="CB787" s="179"/>
      <c r="CC787" s="179"/>
      <c r="CD787" s="179"/>
      <c r="CE787" s="179"/>
      <c r="CF787" s="179"/>
      <c r="CG787"/>
      <c r="CH787"/>
      <c r="CI787"/>
      <c r="CJ787"/>
      <c r="CK787"/>
      <c r="CL787"/>
      <c r="CM787"/>
    </row>
    <row r="788" spans="1:91" x14ac:dyDescent="0.2">
      <c r="A788"/>
      <c r="B788"/>
      <c r="D788"/>
      <c r="E788"/>
      <c r="F788"/>
      <c r="G788"/>
      <c r="I788"/>
      <c r="J788"/>
      <c r="K788"/>
      <c r="L788" s="499"/>
      <c r="V788" s="504"/>
      <c r="BX788" s="769"/>
      <c r="BY788" s="179"/>
      <c r="BZ788" s="179"/>
      <c r="CA788" s="179"/>
      <c r="CB788" s="179"/>
      <c r="CC788" s="179"/>
      <c r="CD788" s="179"/>
      <c r="CE788" s="179"/>
      <c r="CF788" s="179"/>
      <c r="CG788"/>
      <c r="CH788"/>
      <c r="CI788"/>
      <c r="CJ788"/>
      <c r="CK788"/>
      <c r="CL788"/>
      <c r="CM788"/>
    </row>
    <row r="789" spans="1:91" x14ac:dyDescent="0.2">
      <c r="A789"/>
      <c r="B789"/>
      <c r="D789"/>
      <c r="E789"/>
      <c r="F789"/>
      <c r="G789"/>
      <c r="I789"/>
      <c r="J789"/>
      <c r="K789"/>
      <c r="L789" s="499"/>
      <c r="V789" s="504"/>
      <c r="BX789" s="769"/>
      <c r="BY789" s="179"/>
      <c r="BZ789" s="179"/>
      <c r="CA789" s="179"/>
      <c r="CB789" s="179"/>
      <c r="CC789" s="179"/>
      <c r="CD789" s="179"/>
      <c r="CE789" s="179"/>
      <c r="CF789" s="179"/>
      <c r="CG789"/>
      <c r="CH789"/>
      <c r="CI789"/>
      <c r="CJ789"/>
      <c r="CK789"/>
      <c r="CL789"/>
      <c r="CM789"/>
    </row>
    <row r="790" spans="1:91" x14ac:dyDescent="0.2">
      <c r="A790"/>
      <c r="B790"/>
      <c r="D790"/>
      <c r="E790"/>
      <c r="F790"/>
      <c r="G790"/>
      <c r="I790"/>
      <c r="J790"/>
      <c r="K790"/>
      <c r="L790" s="499"/>
      <c r="V790" s="504"/>
      <c r="BX790" s="769"/>
      <c r="BY790" s="179"/>
      <c r="BZ790" s="179"/>
      <c r="CA790" s="179"/>
      <c r="CB790" s="179"/>
      <c r="CC790" s="179"/>
      <c r="CD790" s="179"/>
      <c r="CE790" s="179"/>
      <c r="CF790" s="179"/>
      <c r="CG790"/>
      <c r="CH790"/>
      <c r="CI790"/>
      <c r="CJ790"/>
      <c r="CK790"/>
      <c r="CL790"/>
      <c r="CM790"/>
    </row>
    <row r="791" spans="1:91" x14ac:dyDescent="0.2">
      <c r="A791"/>
      <c r="B791"/>
      <c r="D791"/>
      <c r="E791"/>
      <c r="F791"/>
      <c r="G791"/>
      <c r="I791"/>
      <c r="J791"/>
      <c r="K791"/>
      <c r="L791" s="499"/>
      <c r="V791" s="504"/>
      <c r="BX791" s="769"/>
      <c r="BY791" s="179"/>
      <c r="BZ791" s="179"/>
      <c r="CA791" s="179"/>
      <c r="CB791" s="179"/>
      <c r="CC791" s="179"/>
      <c r="CD791" s="179"/>
      <c r="CE791" s="179"/>
      <c r="CF791" s="179"/>
      <c r="CG791"/>
      <c r="CH791"/>
      <c r="CI791"/>
      <c r="CJ791"/>
      <c r="CK791"/>
      <c r="CL791"/>
      <c r="CM791"/>
    </row>
    <row r="792" spans="1:91" x14ac:dyDescent="0.2">
      <c r="A792"/>
      <c r="B792"/>
      <c r="D792"/>
      <c r="E792"/>
      <c r="F792"/>
      <c r="G792"/>
      <c r="I792"/>
      <c r="J792"/>
      <c r="K792"/>
      <c r="L792" s="499"/>
      <c r="V792" s="504"/>
      <c r="BX792" s="769"/>
      <c r="BY792" s="179"/>
      <c r="BZ792" s="179"/>
      <c r="CA792" s="179"/>
      <c r="CB792" s="179"/>
      <c r="CC792" s="179"/>
      <c r="CD792" s="179"/>
      <c r="CE792" s="179"/>
      <c r="CF792" s="179"/>
      <c r="CG792"/>
      <c r="CH792"/>
      <c r="CI792"/>
      <c r="CJ792"/>
      <c r="CK792"/>
      <c r="CL792"/>
      <c r="CM792"/>
    </row>
    <row r="793" spans="1:91" x14ac:dyDescent="0.2">
      <c r="A793"/>
      <c r="B793"/>
      <c r="D793"/>
      <c r="E793"/>
      <c r="F793"/>
      <c r="G793"/>
      <c r="I793"/>
      <c r="J793"/>
      <c r="K793"/>
      <c r="L793" s="499"/>
      <c r="V793" s="504"/>
      <c r="BX793" s="769"/>
      <c r="BY793" s="179"/>
      <c r="BZ793" s="179"/>
      <c r="CA793" s="179"/>
      <c r="CB793" s="179"/>
      <c r="CC793" s="179"/>
      <c r="CD793" s="179"/>
      <c r="CE793" s="179"/>
      <c r="CF793" s="179"/>
      <c r="CG793"/>
      <c r="CH793"/>
      <c r="CI793"/>
      <c r="CJ793"/>
      <c r="CK793"/>
      <c r="CL793"/>
      <c r="CM793"/>
    </row>
    <row r="794" spans="1:91" x14ac:dyDescent="0.2">
      <c r="A794"/>
      <c r="B794"/>
      <c r="D794"/>
      <c r="E794"/>
      <c r="F794"/>
      <c r="G794"/>
      <c r="I794"/>
      <c r="J794"/>
      <c r="K794"/>
      <c r="L794" s="499"/>
      <c r="V794" s="504"/>
      <c r="BX794" s="769"/>
      <c r="BY794" s="179"/>
      <c r="BZ794" s="179"/>
      <c r="CA794" s="179"/>
      <c r="CB794" s="179"/>
      <c r="CC794" s="179"/>
      <c r="CD794" s="179"/>
      <c r="CE794" s="179"/>
      <c r="CF794" s="179"/>
      <c r="CG794"/>
      <c r="CH794"/>
      <c r="CI794"/>
      <c r="CJ794"/>
      <c r="CK794"/>
      <c r="CL794"/>
      <c r="CM794"/>
    </row>
    <row r="795" spans="1:91" x14ac:dyDescent="0.2">
      <c r="A795"/>
      <c r="B795"/>
      <c r="D795"/>
      <c r="E795"/>
      <c r="F795"/>
      <c r="G795"/>
      <c r="I795"/>
      <c r="J795"/>
      <c r="K795"/>
      <c r="L795" s="499"/>
      <c r="V795" s="504"/>
      <c r="BX795" s="769"/>
      <c r="BY795" s="179"/>
      <c r="BZ795" s="179"/>
      <c r="CA795" s="179"/>
      <c r="CB795" s="179"/>
      <c r="CC795" s="179"/>
      <c r="CD795" s="179"/>
      <c r="CE795" s="179"/>
      <c r="CF795" s="179"/>
      <c r="CG795"/>
      <c r="CH795"/>
      <c r="CI795"/>
      <c r="CJ795"/>
      <c r="CK795"/>
      <c r="CL795"/>
      <c r="CM795"/>
    </row>
    <row r="796" spans="1:91" x14ac:dyDescent="0.2">
      <c r="A796"/>
      <c r="B796"/>
      <c r="D796"/>
      <c r="E796"/>
      <c r="F796"/>
      <c r="G796"/>
      <c r="I796"/>
      <c r="J796"/>
      <c r="K796"/>
      <c r="L796" s="499"/>
      <c r="V796" s="504"/>
      <c r="BX796" s="769"/>
      <c r="BY796" s="179"/>
      <c r="BZ796" s="179"/>
      <c r="CA796" s="179"/>
      <c r="CB796" s="179"/>
      <c r="CC796" s="179"/>
      <c r="CD796" s="179"/>
      <c r="CE796" s="179"/>
      <c r="CF796" s="179"/>
      <c r="CG796"/>
      <c r="CH796"/>
      <c r="CI796"/>
      <c r="CJ796"/>
      <c r="CK796"/>
      <c r="CL796"/>
      <c r="CM796"/>
    </row>
    <row r="797" spans="1:91" x14ac:dyDescent="0.2">
      <c r="A797"/>
      <c r="B797"/>
      <c r="D797"/>
      <c r="E797"/>
      <c r="F797"/>
      <c r="G797"/>
      <c r="I797"/>
      <c r="J797"/>
      <c r="K797"/>
      <c r="L797" s="499"/>
      <c r="V797" s="504"/>
      <c r="BX797" s="769"/>
      <c r="BY797" s="179"/>
      <c r="BZ797" s="179"/>
      <c r="CA797" s="179"/>
      <c r="CB797" s="179"/>
      <c r="CC797" s="179"/>
      <c r="CD797" s="179"/>
      <c r="CE797" s="179"/>
      <c r="CF797" s="179"/>
      <c r="CG797"/>
      <c r="CH797"/>
      <c r="CI797"/>
      <c r="CJ797"/>
      <c r="CK797"/>
      <c r="CL797"/>
      <c r="CM797"/>
    </row>
    <row r="798" spans="1:91" x14ac:dyDescent="0.2">
      <c r="A798"/>
      <c r="B798"/>
      <c r="D798"/>
      <c r="E798"/>
      <c r="F798"/>
      <c r="G798"/>
      <c r="I798"/>
      <c r="J798"/>
      <c r="K798"/>
      <c r="L798" s="499"/>
      <c r="V798" s="504"/>
      <c r="BX798" s="769"/>
      <c r="BY798" s="179"/>
      <c r="BZ798" s="179"/>
      <c r="CA798" s="179"/>
      <c r="CB798" s="179"/>
      <c r="CC798" s="179"/>
      <c r="CD798" s="179"/>
      <c r="CE798" s="179"/>
      <c r="CF798" s="179"/>
      <c r="CG798"/>
      <c r="CH798"/>
      <c r="CI798"/>
      <c r="CJ798"/>
      <c r="CK798"/>
      <c r="CL798"/>
      <c r="CM798"/>
    </row>
    <row r="799" spans="1:91" x14ac:dyDescent="0.2">
      <c r="A799"/>
      <c r="B799"/>
      <c r="D799"/>
      <c r="E799"/>
      <c r="F799"/>
      <c r="G799"/>
      <c r="I799"/>
      <c r="J799"/>
      <c r="K799"/>
      <c r="L799" s="499"/>
      <c r="V799" s="504"/>
      <c r="BX799" s="769"/>
      <c r="BY799" s="179"/>
      <c r="BZ799" s="179"/>
      <c r="CA799" s="179"/>
      <c r="CB799" s="179"/>
      <c r="CC799" s="179"/>
      <c r="CD799" s="179"/>
      <c r="CE799" s="179"/>
      <c r="CF799" s="179"/>
      <c r="CG799"/>
      <c r="CH799"/>
      <c r="CI799"/>
      <c r="CJ799"/>
      <c r="CK799"/>
      <c r="CL799"/>
      <c r="CM799"/>
    </row>
    <row r="800" spans="1:91" x14ac:dyDescent="0.2">
      <c r="A800"/>
      <c r="B800"/>
      <c r="D800"/>
      <c r="E800"/>
      <c r="F800"/>
      <c r="G800"/>
      <c r="I800"/>
      <c r="J800"/>
      <c r="K800"/>
      <c r="L800" s="499"/>
      <c r="V800" s="504"/>
      <c r="BX800" s="769"/>
      <c r="BY800" s="179"/>
      <c r="BZ800" s="179"/>
      <c r="CA800" s="179"/>
      <c r="CB800" s="179"/>
      <c r="CC800" s="179"/>
      <c r="CD800" s="179"/>
      <c r="CE800" s="179"/>
      <c r="CF800" s="179"/>
      <c r="CG800"/>
      <c r="CH800"/>
      <c r="CI800"/>
      <c r="CJ800"/>
      <c r="CK800"/>
      <c r="CL800"/>
      <c r="CM800"/>
    </row>
    <row r="801" spans="1:91" x14ac:dyDescent="0.2">
      <c r="A801"/>
      <c r="B801"/>
      <c r="D801"/>
      <c r="E801"/>
      <c r="F801"/>
      <c r="G801"/>
      <c r="I801"/>
      <c r="J801"/>
      <c r="K801"/>
      <c r="L801" s="499"/>
      <c r="V801" s="504"/>
      <c r="BX801" s="769"/>
      <c r="BY801" s="179"/>
      <c r="BZ801" s="179"/>
      <c r="CA801" s="179"/>
      <c r="CB801" s="179"/>
      <c r="CC801" s="179"/>
      <c r="CD801" s="179"/>
      <c r="CE801" s="179"/>
      <c r="CF801" s="179"/>
      <c r="CG801"/>
      <c r="CH801"/>
      <c r="CI801"/>
      <c r="CJ801"/>
      <c r="CK801"/>
      <c r="CL801"/>
      <c r="CM801"/>
    </row>
    <row r="802" spans="1:91" x14ac:dyDescent="0.2">
      <c r="A802"/>
      <c r="B802"/>
      <c r="D802"/>
      <c r="E802"/>
      <c r="F802"/>
      <c r="G802"/>
      <c r="I802"/>
      <c r="J802"/>
      <c r="K802"/>
      <c r="L802" s="499"/>
      <c r="V802" s="504"/>
      <c r="BX802" s="769"/>
      <c r="BY802" s="179"/>
      <c r="BZ802" s="179"/>
      <c r="CA802" s="179"/>
      <c r="CB802" s="179"/>
      <c r="CC802" s="179"/>
      <c r="CD802" s="179"/>
      <c r="CE802" s="179"/>
      <c r="CF802" s="179"/>
      <c r="CG802"/>
      <c r="CH802"/>
      <c r="CI802"/>
      <c r="CJ802"/>
      <c r="CK802"/>
      <c r="CL802"/>
      <c r="CM802"/>
    </row>
    <row r="803" spans="1:91" x14ac:dyDescent="0.2">
      <c r="A803"/>
      <c r="B803"/>
      <c r="D803"/>
      <c r="E803"/>
      <c r="F803"/>
      <c r="G803"/>
      <c r="I803"/>
      <c r="J803"/>
      <c r="K803"/>
      <c r="L803" s="499"/>
      <c r="V803" s="504"/>
      <c r="BX803" s="769"/>
      <c r="BY803" s="179"/>
      <c r="BZ803" s="179"/>
      <c r="CA803" s="179"/>
      <c r="CB803" s="179"/>
      <c r="CC803" s="179"/>
      <c r="CD803" s="179"/>
      <c r="CE803" s="179"/>
      <c r="CF803" s="179"/>
      <c r="CG803"/>
      <c r="CH803"/>
      <c r="CI803"/>
      <c r="CJ803"/>
      <c r="CK803"/>
      <c r="CL803"/>
      <c r="CM803"/>
    </row>
    <row r="804" spans="1:91" x14ac:dyDescent="0.2">
      <c r="A804"/>
      <c r="B804"/>
      <c r="D804"/>
      <c r="E804"/>
      <c r="F804"/>
      <c r="G804"/>
      <c r="I804"/>
      <c r="J804"/>
      <c r="K804"/>
      <c r="L804" s="499"/>
      <c r="V804" s="504"/>
      <c r="BX804" s="769"/>
      <c r="BY804" s="179"/>
      <c r="BZ804" s="179"/>
      <c r="CA804" s="179"/>
      <c r="CB804" s="179"/>
      <c r="CC804" s="179"/>
      <c r="CD804" s="179"/>
      <c r="CE804" s="179"/>
      <c r="CF804" s="179"/>
      <c r="CG804"/>
      <c r="CH804"/>
      <c r="CI804"/>
      <c r="CJ804"/>
      <c r="CK804"/>
      <c r="CL804"/>
      <c r="CM804"/>
    </row>
    <row r="805" spans="1:91" x14ac:dyDescent="0.2">
      <c r="A805"/>
      <c r="B805"/>
      <c r="D805"/>
      <c r="E805"/>
      <c r="F805"/>
      <c r="G805"/>
      <c r="I805"/>
      <c r="J805"/>
      <c r="K805"/>
      <c r="L805" s="499"/>
      <c r="V805" s="504"/>
      <c r="BX805" s="769"/>
      <c r="BY805" s="179"/>
      <c r="BZ805" s="179"/>
      <c r="CA805" s="179"/>
      <c r="CB805" s="179"/>
      <c r="CC805" s="179"/>
      <c r="CD805" s="179"/>
      <c r="CE805" s="179"/>
      <c r="CF805" s="179"/>
      <c r="CG805"/>
      <c r="CH805"/>
      <c r="CI805"/>
      <c r="CJ805"/>
      <c r="CK805"/>
      <c r="CL805"/>
      <c r="CM805"/>
    </row>
    <row r="806" spans="1:91" x14ac:dyDescent="0.2">
      <c r="A806"/>
      <c r="B806"/>
      <c r="D806"/>
      <c r="E806"/>
      <c r="F806"/>
      <c r="G806"/>
      <c r="I806"/>
      <c r="J806"/>
      <c r="K806"/>
      <c r="L806" s="499"/>
      <c r="V806" s="504"/>
      <c r="BX806" s="769"/>
      <c r="BY806" s="179"/>
      <c r="BZ806" s="179"/>
      <c r="CA806" s="179"/>
      <c r="CB806" s="179"/>
      <c r="CC806" s="179"/>
      <c r="CD806" s="179"/>
      <c r="CE806" s="179"/>
      <c r="CF806" s="179"/>
      <c r="CG806"/>
      <c r="CH806"/>
      <c r="CI806"/>
      <c r="CJ806"/>
      <c r="CK806"/>
      <c r="CL806"/>
      <c r="CM806"/>
    </row>
    <row r="807" spans="1:91" x14ac:dyDescent="0.2">
      <c r="A807"/>
      <c r="B807"/>
      <c r="D807"/>
      <c r="E807"/>
      <c r="F807"/>
      <c r="G807"/>
      <c r="I807"/>
      <c r="J807"/>
      <c r="K807"/>
      <c r="L807" s="499"/>
      <c r="V807" s="504"/>
      <c r="BX807" s="769"/>
      <c r="BY807" s="179"/>
      <c r="BZ807" s="179"/>
      <c r="CA807" s="179"/>
      <c r="CB807" s="179"/>
      <c r="CC807" s="179"/>
      <c r="CD807" s="179"/>
      <c r="CE807" s="179"/>
      <c r="CF807" s="179"/>
      <c r="CG807"/>
      <c r="CH807"/>
      <c r="CI807"/>
      <c r="CJ807"/>
      <c r="CK807"/>
      <c r="CL807"/>
      <c r="CM807"/>
    </row>
    <row r="808" spans="1:91" x14ac:dyDescent="0.2">
      <c r="A808"/>
      <c r="B808"/>
      <c r="D808"/>
      <c r="E808"/>
      <c r="F808"/>
      <c r="G808"/>
      <c r="I808"/>
      <c r="J808"/>
      <c r="K808"/>
      <c r="L808" s="499"/>
      <c r="V808" s="504"/>
      <c r="BX808" s="769"/>
      <c r="BY808" s="179"/>
      <c r="BZ808" s="179"/>
      <c r="CA808" s="179"/>
      <c r="CB808" s="179"/>
      <c r="CC808" s="179"/>
      <c r="CD808" s="179"/>
      <c r="CE808" s="179"/>
      <c r="CF808" s="179"/>
      <c r="CG808"/>
      <c r="CH808"/>
      <c r="CI808"/>
      <c r="CJ808"/>
      <c r="CK808"/>
      <c r="CL808"/>
      <c r="CM808"/>
    </row>
    <row r="809" spans="1:91" x14ac:dyDescent="0.2">
      <c r="A809"/>
      <c r="B809"/>
      <c r="D809"/>
      <c r="E809"/>
      <c r="F809"/>
      <c r="G809"/>
      <c r="I809"/>
      <c r="J809"/>
      <c r="K809"/>
      <c r="L809" s="499"/>
      <c r="V809" s="504"/>
      <c r="BX809" s="769"/>
      <c r="BY809" s="179"/>
      <c r="BZ809" s="179"/>
      <c r="CA809" s="179"/>
      <c r="CB809" s="179"/>
      <c r="CC809" s="179"/>
      <c r="CD809" s="179"/>
      <c r="CE809" s="179"/>
      <c r="CF809" s="179"/>
      <c r="CG809"/>
      <c r="CH809"/>
      <c r="CI809"/>
      <c r="CJ809"/>
      <c r="CK809"/>
      <c r="CL809"/>
      <c r="CM809"/>
    </row>
    <row r="810" spans="1:91" x14ac:dyDescent="0.2">
      <c r="A810"/>
      <c r="B810"/>
      <c r="D810"/>
      <c r="E810"/>
      <c r="F810"/>
      <c r="G810"/>
      <c r="I810"/>
      <c r="J810"/>
      <c r="K810"/>
      <c r="L810" s="499"/>
      <c r="V810" s="504"/>
      <c r="BX810" s="769"/>
      <c r="BY810" s="179"/>
      <c r="BZ810" s="179"/>
      <c r="CA810" s="179"/>
      <c r="CB810" s="179"/>
      <c r="CC810" s="179"/>
      <c r="CD810" s="179"/>
      <c r="CE810" s="179"/>
      <c r="CF810" s="179"/>
      <c r="CG810"/>
      <c r="CH810"/>
      <c r="CI810"/>
      <c r="CJ810"/>
      <c r="CK810"/>
      <c r="CL810"/>
      <c r="CM810"/>
    </row>
    <row r="811" spans="1:91" x14ac:dyDescent="0.2">
      <c r="A811"/>
      <c r="B811"/>
      <c r="D811"/>
      <c r="E811"/>
      <c r="F811"/>
      <c r="G811"/>
      <c r="I811"/>
      <c r="J811"/>
      <c r="K811"/>
      <c r="L811" s="499"/>
      <c r="V811" s="504"/>
      <c r="BX811" s="769"/>
      <c r="BY811" s="179"/>
      <c r="BZ811" s="179"/>
      <c r="CA811" s="179"/>
      <c r="CB811" s="179"/>
      <c r="CC811" s="179"/>
      <c r="CD811" s="179"/>
      <c r="CE811" s="179"/>
      <c r="CF811" s="179"/>
      <c r="CG811"/>
      <c r="CH811"/>
      <c r="CI811"/>
      <c r="CJ811"/>
      <c r="CK811"/>
      <c r="CL811"/>
      <c r="CM811"/>
    </row>
    <row r="812" spans="1:91" x14ac:dyDescent="0.2">
      <c r="A812"/>
      <c r="B812"/>
      <c r="D812"/>
      <c r="E812"/>
      <c r="F812"/>
      <c r="G812"/>
      <c r="I812"/>
      <c r="J812"/>
      <c r="K812"/>
      <c r="L812" s="499"/>
      <c r="V812" s="504"/>
      <c r="BX812" s="769"/>
      <c r="BY812" s="179"/>
      <c r="BZ812" s="179"/>
      <c r="CA812" s="179"/>
      <c r="CB812" s="179"/>
      <c r="CC812" s="179"/>
      <c r="CD812" s="179"/>
      <c r="CE812" s="179"/>
      <c r="CF812" s="179"/>
      <c r="CG812"/>
      <c r="CH812"/>
      <c r="CI812"/>
      <c r="CJ812"/>
      <c r="CK812"/>
      <c r="CL812"/>
      <c r="CM812"/>
    </row>
    <row r="813" spans="1:91" x14ac:dyDescent="0.2">
      <c r="A813"/>
      <c r="B813"/>
      <c r="D813"/>
      <c r="E813"/>
      <c r="F813"/>
      <c r="G813"/>
      <c r="I813"/>
      <c r="J813"/>
      <c r="K813"/>
      <c r="L813" s="499"/>
      <c r="V813" s="504"/>
      <c r="BX813" s="769"/>
      <c r="BY813" s="179"/>
      <c r="BZ813" s="179"/>
      <c r="CA813" s="179"/>
      <c r="CB813" s="179"/>
      <c r="CC813" s="179"/>
      <c r="CD813" s="179"/>
      <c r="CE813" s="179"/>
      <c r="CF813" s="179"/>
      <c r="CG813"/>
      <c r="CH813"/>
      <c r="CI813"/>
      <c r="CJ813"/>
      <c r="CK813"/>
      <c r="CL813"/>
      <c r="CM813"/>
    </row>
    <row r="814" spans="1:91" x14ac:dyDescent="0.2">
      <c r="A814"/>
      <c r="B814"/>
      <c r="D814"/>
      <c r="E814"/>
      <c r="F814"/>
      <c r="G814"/>
      <c r="I814"/>
      <c r="J814"/>
      <c r="K814"/>
      <c r="L814" s="499"/>
      <c r="V814" s="504"/>
      <c r="BX814" s="769"/>
      <c r="BY814" s="179"/>
      <c r="BZ814" s="179"/>
      <c r="CA814" s="179"/>
      <c r="CB814" s="179"/>
      <c r="CC814" s="179"/>
      <c r="CD814" s="179"/>
      <c r="CE814" s="179"/>
      <c r="CF814" s="179"/>
      <c r="CG814"/>
      <c r="CH814"/>
      <c r="CI814"/>
      <c r="CJ814"/>
      <c r="CK814"/>
      <c r="CL814"/>
      <c r="CM814"/>
    </row>
    <row r="815" spans="1:91" x14ac:dyDescent="0.2">
      <c r="A815"/>
      <c r="B815"/>
      <c r="D815"/>
      <c r="E815"/>
      <c r="F815"/>
      <c r="G815"/>
      <c r="I815"/>
      <c r="J815"/>
      <c r="K815"/>
      <c r="L815" s="499"/>
      <c r="V815" s="504"/>
      <c r="BX815" s="769"/>
      <c r="BY815" s="179"/>
      <c r="BZ815" s="179"/>
      <c r="CA815" s="179"/>
      <c r="CB815" s="179"/>
      <c r="CC815" s="179"/>
      <c r="CD815" s="179"/>
      <c r="CE815" s="179"/>
      <c r="CF815" s="179"/>
      <c r="CG815"/>
      <c r="CH815"/>
      <c r="CI815"/>
      <c r="CJ815"/>
      <c r="CK815"/>
      <c r="CL815"/>
      <c r="CM815"/>
    </row>
    <row r="816" spans="1:91" x14ac:dyDescent="0.2">
      <c r="A816"/>
      <c r="B816"/>
      <c r="D816"/>
      <c r="E816"/>
      <c r="F816"/>
      <c r="G816"/>
      <c r="I816"/>
      <c r="J816"/>
      <c r="K816"/>
      <c r="L816" s="499"/>
      <c r="V816" s="504"/>
      <c r="BX816" s="769"/>
      <c r="BY816" s="179"/>
      <c r="BZ816" s="179"/>
      <c r="CA816" s="179"/>
      <c r="CB816" s="179"/>
      <c r="CC816" s="179"/>
      <c r="CD816" s="179"/>
      <c r="CE816" s="179"/>
      <c r="CF816" s="179"/>
      <c r="CG816"/>
      <c r="CH816"/>
      <c r="CI816"/>
      <c r="CJ816"/>
      <c r="CK816"/>
      <c r="CL816"/>
      <c r="CM816"/>
    </row>
    <row r="817" spans="1:91" x14ac:dyDescent="0.2">
      <c r="A817"/>
      <c r="B817"/>
      <c r="D817"/>
      <c r="E817"/>
      <c r="F817"/>
      <c r="G817"/>
      <c r="I817"/>
      <c r="J817"/>
      <c r="K817"/>
      <c r="L817" s="499"/>
      <c r="V817" s="504"/>
      <c r="BX817" s="769"/>
      <c r="BY817" s="179"/>
      <c r="BZ817" s="179"/>
      <c r="CA817" s="179"/>
      <c r="CB817" s="179"/>
      <c r="CC817" s="179"/>
      <c r="CD817" s="179"/>
      <c r="CE817" s="179"/>
      <c r="CF817" s="179"/>
      <c r="CG817"/>
      <c r="CH817"/>
      <c r="CI817"/>
      <c r="CJ817"/>
      <c r="CK817"/>
      <c r="CL817"/>
      <c r="CM817"/>
    </row>
    <row r="818" spans="1:91" x14ac:dyDescent="0.2">
      <c r="A818"/>
      <c r="B818"/>
      <c r="D818"/>
      <c r="E818"/>
      <c r="F818"/>
      <c r="G818"/>
      <c r="I818"/>
      <c r="J818"/>
      <c r="K818"/>
      <c r="L818" s="499"/>
      <c r="V818" s="504"/>
      <c r="BX818" s="769"/>
      <c r="BY818" s="179"/>
      <c r="BZ818" s="179"/>
      <c r="CA818" s="179"/>
      <c r="CB818" s="179"/>
      <c r="CC818" s="179"/>
      <c r="CD818" s="179"/>
      <c r="CE818" s="179"/>
      <c r="CF818" s="179"/>
      <c r="CG818"/>
      <c r="CH818"/>
      <c r="CI818"/>
      <c r="CJ818"/>
      <c r="CK818"/>
      <c r="CL818"/>
      <c r="CM818"/>
    </row>
    <row r="819" spans="1:91" x14ac:dyDescent="0.2">
      <c r="A819"/>
      <c r="B819"/>
      <c r="D819"/>
      <c r="E819"/>
      <c r="F819"/>
      <c r="G819"/>
      <c r="I819"/>
      <c r="J819"/>
      <c r="K819"/>
      <c r="L819" s="499"/>
      <c r="V819" s="504"/>
      <c r="BX819" s="769"/>
      <c r="BY819" s="179"/>
      <c r="BZ819" s="179"/>
      <c r="CA819" s="179"/>
      <c r="CB819" s="179"/>
      <c r="CC819" s="179"/>
      <c r="CD819" s="179"/>
      <c r="CE819" s="179"/>
      <c r="CF819" s="179"/>
      <c r="CG819"/>
      <c r="CH819"/>
      <c r="CI819"/>
      <c r="CJ819"/>
      <c r="CK819"/>
      <c r="CL819"/>
      <c r="CM819"/>
    </row>
    <row r="820" spans="1:91" x14ac:dyDescent="0.2">
      <c r="A820"/>
      <c r="B820"/>
      <c r="D820"/>
      <c r="E820"/>
      <c r="F820"/>
      <c r="G820"/>
      <c r="I820"/>
      <c r="J820"/>
      <c r="K820"/>
      <c r="L820" s="499"/>
      <c r="V820" s="504"/>
      <c r="BX820" s="769"/>
      <c r="BY820" s="179"/>
      <c r="BZ820" s="179"/>
      <c r="CA820" s="179"/>
      <c r="CB820" s="179"/>
      <c r="CC820" s="179"/>
      <c r="CD820" s="179"/>
      <c r="CE820" s="179"/>
      <c r="CF820" s="179"/>
      <c r="CG820"/>
      <c r="CH820"/>
      <c r="CI820"/>
      <c r="CJ820"/>
      <c r="CK820"/>
      <c r="CL820"/>
      <c r="CM820"/>
    </row>
    <row r="821" spans="1:91" x14ac:dyDescent="0.2">
      <c r="A821"/>
      <c r="B821"/>
      <c r="D821"/>
      <c r="E821"/>
      <c r="F821"/>
      <c r="G821"/>
      <c r="I821"/>
      <c r="J821"/>
      <c r="K821"/>
      <c r="L821" s="499"/>
      <c r="V821" s="504"/>
      <c r="BX821" s="769"/>
      <c r="BY821" s="179"/>
      <c r="BZ821" s="179"/>
      <c r="CA821" s="179"/>
      <c r="CB821" s="179"/>
      <c r="CC821" s="179"/>
      <c r="CD821" s="179"/>
      <c r="CE821" s="179"/>
      <c r="CF821" s="179"/>
      <c r="CG821"/>
      <c r="CH821"/>
      <c r="CI821"/>
      <c r="CJ821"/>
      <c r="CK821"/>
      <c r="CL821"/>
      <c r="CM821"/>
    </row>
    <row r="822" spans="1:91" x14ac:dyDescent="0.2">
      <c r="A822"/>
      <c r="B822"/>
      <c r="D822"/>
      <c r="E822"/>
      <c r="F822"/>
      <c r="G822"/>
      <c r="I822"/>
      <c r="J822"/>
      <c r="K822"/>
      <c r="L822" s="499"/>
      <c r="V822" s="504"/>
      <c r="BX822" s="769"/>
      <c r="BY822" s="179"/>
      <c r="BZ822" s="179"/>
      <c r="CA822" s="179"/>
      <c r="CB822" s="179"/>
      <c r="CC822" s="179"/>
      <c r="CD822" s="179"/>
      <c r="CE822" s="179"/>
      <c r="CF822" s="179"/>
      <c r="CG822"/>
      <c r="CH822"/>
      <c r="CI822"/>
      <c r="CJ822"/>
      <c r="CK822"/>
      <c r="CL822"/>
      <c r="CM822"/>
    </row>
    <row r="823" spans="1:91" x14ac:dyDescent="0.2">
      <c r="A823"/>
      <c r="B823"/>
      <c r="D823"/>
      <c r="E823"/>
      <c r="F823"/>
      <c r="G823"/>
      <c r="I823"/>
      <c r="J823"/>
      <c r="K823"/>
      <c r="L823" s="499"/>
      <c r="V823" s="504"/>
      <c r="BX823" s="769"/>
      <c r="BY823" s="179"/>
      <c r="BZ823" s="179"/>
      <c r="CA823" s="179"/>
      <c r="CB823" s="179"/>
      <c r="CC823" s="179"/>
      <c r="CD823" s="179"/>
      <c r="CE823" s="179"/>
      <c r="CF823" s="179"/>
      <c r="CG823"/>
      <c r="CH823"/>
      <c r="CI823"/>
      <c r="CJ823"/>
      <c r="CK823"/>
      <c r="CL823"/>
      <c r="CM823"/>
    </row>
    <row r="824" spans="1:91" x14ac:dyDescent="0.2">
      <c r="A824"/>
      <c r="B824"/>
      <c r="D824"/>
      <c r="E824"/>
      <c r="F824"/>
      <c r="G824"/>
      <c r="I824"/>
      <c r="J824"/>
      <c r="K824"/>
      <c r="L824" s="499"/>
      <c r="V824" s="504"/>
      <c r="BX824" s="769"/>
      <c r="BY824" s="179"/>
      <c r="BZ824" s="179"/>
      <c r="CA824" s="179"/>
      <c r="CB824" s="179"/>
      <c r="CC824" s="179"/>
      <c r="CD824" s="179"/>
      <c r="CE824" s="179"/>
      <c r="CF824" s="179"/>
      <c r="CG824"/>
      <c r="CH824"/>
      <c r="CI824"/>
      <c r="CJ824"/>
      <c r="CK824"/>
      <c r="CL824"/>
      <c r="CM824"/>
    </row>
    <row r="825" spans="1:91" x14ac:dyDescent="0.2">
      <c r="A825"/>
      <c r="B825"/>
      <c r="D825"/>
      <c r="E825"/>
      <c r="F825"/>
      <c r="G825"/>
      <c r="I825"/>
      <c r="J825"/>
      <c r="K825"/>
      <c r="L825" s="499"/>
      <c r="V825" s="504"/>
      <c r="BX825" s="769"/>
      <c r="BY825" s="179"/>
      <c r="BZ825" s="179"/>
      <c r="CA825" s="179"/>
      <c r="CB825" s="179"/>
      <c r="CC825" s="179"/>
      <c r="CD825" s="179"/>
      <c r="CE825" s="179"/>
      <c r="CF825" s="179"/>
      <c r="CG825"/>
      <c r="CH825"/>
      <c r="CI825"/>
      <c r="CJ825"/>
      <c r="CK825"/>
      <c r="CL825"/>
      <c r="CM825"/>
    </row>
    <row r="826" spans="1:91" x14ac:dyDescent="0.2">
      <c r="A826"/>
      <c r="B826"/>
      <c r="D826"/>
      <c r="E826"/>
      <c r="F826"/>
      <c r="G826"/>
      <c r="I826"/>
      <c r="J826"/>
      <c r="K826"/>
      <c r="L826" s="499"/>
      <c r="V826" s="504"/>
      <c r="BX826" s="769"/>
      <c r="BY826" s="179"/>
      <c r="BZ826" s="179"/>
      <c r="CA826" s="179"/>
      <c r="CB826" s="179"/>
      <c r="CC826" s="179"/>
      <c r="CD826" s="179"/>
      <c r="CE826" s="179"/>
      <c r="CF826" s="179"/>
      <c r="CG826"/>
      <c r="CH826"/>
      <c r="CI826"/>
      <c r="CJ826"/>
      <c r="CK826"/>
      <c r="CL826"/>
      <c r="CM826"/>
    </row>
    <row r="827" spans="1:91" x14ac:dyDescent="0.2">
      <c r="A827"/>
      <c r="B827"/>
      <c r="D827"/>
      <c r="E827"/>
      <c r="F827"/>
      <c r="G827"/>
      <c r="I827"/>
      <c r="J827"/>
      <c r="K827"/>
      <c r="L827" s="499"/>
      <c r="V827" s="504"/>
      <c r="BX827" s="769"/>
      <c r="BY827" s="179"/>
      <c r="BZ827" s="179"/>
      <c r="CA827" s="179"/>
      <c r="CB827" s="179"/>
      <c r="CC827" s="179"/>
      <c r="CD827" s="179"/>
      <c r="CE827" s="179"/>
      <c r="CF827" s="179"/>
      <c r="CG827"/>
      <c r="CH827"/>
      <c r="CI827"/>
      <c r="CJ827"/>
      <c r="CK827"/>
      <c r="CL827"/>
      <c r="CM827"/>
    </row>
    <row r="828" spans="1:91" x14ac:dyDescent="0.2">
      <c r="A828"/>
      <c r="B828"/>
      <c r="D828"/>
      <c r="E828"/>
      <c r="F828"/>
      <c r="G828"/>
      <c r="I828"/>
      <c r="J828"/>
      <c r="K828"/>
      <c r="L828" s="499"/>
      <c r="V828" s="504"/>
      <c r="BX828" s="769"/>
      <c r="BY828" s="179"/>
      <c r="BZ828" s="179"/>
      <c r="CA828" s="179"/>
      <c r="CB828" s="179"/>
      <c r="CC828" s="179"/>
      <c r="CD828" s="179"/>
      <c r="CE828" s="179"/>
      <c r="CF828" s="179"/>
      <c r="CG828"/>
      <c r="CH828"/>
      <c r="CI828"/>
      <c r="CJ828"/>
      <c r="CK828"/>
      <c r="CL828"/>
      <c r="CM828"/>
    </row>
    <row r="829" spans="1:91" x14ac:dyDescent="0.2">
      <c r="A829"/>
      <c r="B829"/>
      <c r="D829"/>
      <c r="E829"/>
      <c r="F829"/>
      <c r="G829"/>
      <c r="I829"/>
      <c r="J829"/>
      <c r="K829"/>
      <c r="L829" s="499"/>
      <c r="V829" s="504"/>
      <c r="BX829" s="769"/>
      <c r="BY829" s="179"/>
      <c r="BZ829" s="179"/>
      <c r="CA829" s="179"/>
      <c r="CB829" s="179"/>
      <c r="CC829" s="179"/>
      <c r="CD829" s="179"/>
      <c r="CE829" s="179"/>
      <c r="CF829" s="179"/>
      <c r="CG829"/>
      <c r="CH829"/>
      <c r="CI829"/>
      <c r="CJ829"/>
      <c r="CK829"/>
      <c r="CL829"/>
      <c r="CM829"/>
    </row>
    <row r="830" spans="1:91" x14ac:dyDescent="0.2">
      <c r="A830"/>
      <c r="B830"/>
      <c r="D830"/>
      <c r="E830"/>
      <c r="F830"/>
      <c r="G830"/>
      <c r="I830"/>
      <c r="J830"/>
      <c r="K830"/>
      <c r="L830" s="499"/>
      <c r="V830" s="504"/>
      <c r="BX830" s="769"/>
      <c r="BY830" s="179"/>
      <c r="BZ830" s="179"/>
      <c r="CA830" s="179"/>
      <c r="CB830" s="179"/>
      <c r="CC830" s="179"/>
      <c r="CD830" s="179"/>
      <c r="CE830" s="179"/>
      <c r="CF830" s="179"/>
      <c r="CG830"/>
      <c r="CH830"/>
      <c r="CI830"/>
      <c r="CJ830"/>
      <c r="CK830"/>
      <c r="CL830"/>
      <c r="CM830"/>
    </row>
    <row r="831" spans="1:91" x14ac:dyDescent="0.2">
      <c r="A831"/>
      <c r="B831"/>
      <c r="D831"/>
      <c r="E831"/>
      <c r="F831"/>
      <c r="G831"/>
      <c r="I831"/>
      <c r="J831"/>
      <c r="K831"/>
      <c r="L831" s="499"/>
      <c r="V831" s="504"/>
      <c r="BX831" s="769"/>
      <c r="BY831" s="179"/>
      <c r="BZ831" s="179"/>
      <c r="CA831" s="179"/>
      <c r="CB831" s="179"/>
      <c r="CC831" s="179"/>
      <c r="CD831" s="179"/>
      <c r="CE831" s="179"/>
      <c r="CF831" s="179"/>
      <c r="CG831"/>
      <c r="CH831"/>
      <c r="CI831"/>
      <c r="CJ831"/>
      <c r="CK831"/>
      <c r="CL831"/>
      <c r="CM831"/>
    </row>
    <row r="832" spans="1:91" x14ac:dyDescent="0.2">
      <c r="A832"/>
      <c r="B832"/>
      <c r="D832"/>
      <c r="E832"/>
      <c r="F832"/>
      <c r="G832"/>
      <c r="I832"/>
      <c r="J832"/>
      <c r="K832"/>
      <c r="L832" s="499"/>
      <c r="V832" s="504"/>
      <c r="BX832" s="769"/>
      <c r="BY832" s="179"/>
      <c r="BZ832" s="179"/>
      <c r="CA832" s="179"/>
      <c r="CB832" s="179"/>
      <c r="CC832" s="179"/>
      <c r="CD832" s="179"/>
      <c r="CE832" s="179"/>
      <c r="CF832" s="179"/>
      <c r="CG832"/>
      <c r="CH832"/>
      <c r="CI832"/>
      <c r="CJ832"/>
      <c r="CK832"/>
      <c r="CL832"/>
      <c r="CM832"/>
    </row>
    <row r="833" spans="1:91" x14ac:dyDescent="0.2">
      <c r="A833"/>
      <c r="B833"/>
      <c r="D833"/>
      <c r="E833"/>
      <c r="F833"/>
      <c r="G833"/>
      <c r="I833"/>
      <c r="J833"/>
      <c r="K833"/>
      <c r="L833" s="499"/>
      <c r="V833" s="504"/>
      <c r="BX833" s="769"/>
      <c r="BY833" s="179"/>
      <c r="BZ833" s="179"/>
      <c r="CA833" s="179"/>
      <c r="CB833" s="179"/>
      <c r="CC833" s="179"/>
      <c r="CD833" s="179"/>
      <c r="CE833" s="179"/>
      <c r="CF833" s="179"/>
      <c r="CG833"/>
      <c r="CH833"/>
      <c r="CI833"/>
      <c r="CJ833"/>
      <c r="CK833"/>
      <c r="CL833"/>
      <c r="CM833"/>
    </row>
    <row r="834" spans="1:91" x14ac:dyDescent="0.2">
      <c r="A834"/>
      <c r="B834"/>
      <c r="D834"/>
      <c r="E834"/>
      <c r="F834"/>
      <c r="G834"/>
      <c r="I834"/>
      <c r="J834"/>
      <c r="K834"/>
      <c r="L834" s="499"/>
      <c r="V834" s="504"/>
      <c r="BX834" s="769"/>
      <c r="BY834" s="179"/>
      <c r="BZ834" s="179"/>
      <c r="CA834" s="179"/>
      <c r="CB834" s="179"/>
      <c r="CC834" s="179"/>
      <c r="CD834" s="179"/>
      <c r="CE834" s="179"/>
      <c r="CF834" s="179"/>
      <c r="CG834"/>
      <c r="CH834"/>
      <c r="CI834"/>
      <c r="CJ834"/>
      <c r="CK834"/>
      <c r="CL834"/>
      <c r="CM834"/>
    </row>
    <row r="835" spans="1:91" x14ac:dyDescent="0.2">
      <c r="A835"/>
      <c r="B835"/>
      <c r="D835"/>
      <c r="E835"/>
      <c r="F835"/>
      <c r="G835"/>
      <c r="I835"/>
      <c r="J835"/>
      <c r="K835"/>
      <c r="L835" s="499"/>
      <c r="V835" s="504"/>
      <c r="BX835" s="769"/>
      <c r="BY835" s="179"/>
      <c r="BZ835" s="179"/>
      <c r="CA835" s="179"/>
      <c r="CB835" s="179"/>
      <c r="CC835" s="179"/>
      <c r="CD835" s="179"/>
      <c r="CE835" s="179"/>
      <c r="CF835" s="179"/>
      <c r="CG835"/>
      <c r="CH835"/>
      <c r="CI835"/>
      <c r="CJ835"/>
      <c r="CK835"/>
      <c r="CL835"/>
      <c r="CM835"/>
    </row>
    <row r="836" spans="1:91" x14ac:dyDescent="0.2">
      <c r="A836"/>
      <c r="B836"/>
      <c r="D836"/>
      <c r="E836"/>
      <c r="F836"/>
      <c r="G836"/>
      <c r="I836"/>
      <c r="J836"/>
      <c r="K836"/>
      <c r="L836" s="499"/>
      <c r="V836" s="504"/>
      <c r="BX836" s="769"/>
      <c r="BY836" s="179"/>
      <c r="BZ836" s="179"/>
      <c r="CA836" s="179"/>
      <c r="CB836" s="179"/>
      <c r="CC836" s="179"/>
      <c r="CD836" s="179"/>
      <c r="CE836" s="179"/>
      <c r="CF836" s="179"/>
      <c r="CG836"/>
      <c r="CH836"/>
      <c r="CI836"/>
      <c r="CJ836"/>
      <c r="CK836"/>
      <c r="CL836"/>
      <c r="CM836"/>
    </row>
    <row r="837" spans="1:91" x14ac:dyDescent="0.2">
      <c r="A837"/>
      <c r="B837"/>
      <c r="D837"/>
      <c r="E837"/>
      <c r="F837"/>
      <c r="G837"/>
      <c r="I837"/>
      <c r="J837"/>
      <c r="K837"/>
      <c r="L837" s="499"/>
      <c r="V837" s="504"/>
      <c r="BX837" s="769"/>
      <c r="BY837" s="179"/>
      <c r="BZ837" s="179"/>
      <c r="CA837" s="179"/>
      <c r="CB837" s="179"/>
      <c r="CC837" s="179"/>
      <c r="CD837" s="179"/>
      <c r="CE837" s="179"/>
      <c r="CF837" s="179"/>
      <c r="CG837"/>
      <c r="CH837"/>
      <c r="CI837"/>
      <c r="CJ837"/>
      <c r="CK837"/>
      <c r="CL837"/>
      <c r="CM837"/>
    </row>
    <row r="838" spans="1:91" x14ac:dyDescent="0.2">
      <c r="A838"/>
      <c r="B838"/>
      <c r="D838"/>
      <c r="E838"/>
      <c r="F838"/>
      <c r="G838"/>
      <c r="I838"/>
      <c r="J838"/>
      <c r="K838"/>
      <c r="L838" s="499"/>
      <c r="V838" s="504"/>
      <c r="BX838" s="769"/>
      <c r="BY838" s="179"/>
      <c r="BZ838" s="179"/>
      <c r="CA838" s="179"/>
      <c r="CB838" s="179"/>
      <c r="CC838" s="179"/>
      <c r="CD838" s="179"/>
      <c r="CE838" s="179"/>
      <c r="CF838" s="179"/>
      <c r="CG838"/>
      <c r="CH838"/>
      <c r="CI838"/>
      <c r="CJ838"/>
      <c r="CK838"/>
      <c r="CL838"/>
      <c r="CM838"/>
    </row>
    <row r="839" spans="1:91" x14ac:dyDescent="0.2">
      <c r="A839"/>
      <c r="B839"/>
      <c r="D839"/>
      <c r="E839"/>
      <c r="F839"/>
      <c r="G839"/>
      <c r="I839"/>
      <c r="J839"/>
      <c r="K839"/>
      <c r="L839" s="499"/>
      <c r="V839" s="504"/>
      <c r="BX839" s="769"/>
      <c r="BY839" s="179"/>
      <c r="BZ839" s="179"/>
      <c r="CA839" s="179"/>
      <c r="CB839" s="179"/>
      <c r="CC839" s="179"/>
      <c r="CD839" s="179"/>
      <c r="CE839" s="179"/>
      <c r="CF839" s="179"/>
      <c r="CG839"/>
      <c r="CH839"/>
      <c r="CI839"/>
      <c r="CJ839"/>
      <c r="CK839"/>
      <c r="CL839"/>
      <c r="CM839"/>
    </row>
    <row r="840" spans="1:91" x14ac:dyDescent="0.2">
      <c r="A840"/>
      <c r="B840"/>
      <c r="D840"/>
      <c r="E840"/>
      <c r="F840"/>
      <c r="G840"/>
      <c r="I840"/>
      <c r="J840"/>
      <c r="K840"/>
      <c r="L840" s="499"/>
      <c r="V840" s="504"/>
      <c r="BX840" s="769"/>
      <c r="BY840" s="179"/>
      <c r="BZ840" s="179"/>
      <c r="CA840" s="179"/>
      <c r="CB840" s="179"/>
      <c r="CC840" s="179"/>
      <c r="CD840" s="179"/>
      <c r="CE840" s="179"/>
      <c r="CF840" s="179"/>
      <c r="CG840"/>
      <c r="CH840"/>
      <c r="CI840"/>
      <c r="CJ840"/>
      <c r="CK840"/>
      <c r="CL840"/>
      <c r="CM840"/>
    </row>
    <row r="841" spans="1:91" x14ac:dyDescent="0.2">
      <c r="A841"/>
      <c r="B841"/>
      <c r="D841"/>
      <c r="E841"/>
      <c r="F841"/>
      <c r="G841"/>
      <c r="I841"/>
      <c r="J841"/>
      <c r="K841"/>
      <c r="L841" s="499"/>
      <c r="V841" s="504"/>
      <c r="BX841" s="769"/>
      <c r="BY841" s="179"/>
      <c r="BZ841" s="179"/>
      <c r="CA841" s="179"/>
      <c r="CB841" s="179"/>
      <c r="CC841" s="179"/>
      <c r="CD841" s="179"/>
      <c r="CE841" s="179"/>
      <c r="CF841" s="179"/>
      <c r="CG841"/>
      <c r="CH841"/>
      <c r="CI841"/>
      <c r="CJ841"/>
      <c r="CK841"/>
      <c r="CL841"/>
      <c r="CM841"/>
    </row>
    <row r="842" spans="1:91" x14ac:dyDescent="0.2">
      <c r="A842"/>
      <c r="B842"/>
      <c r="D842"/>
      <c r="E842"/>
      <c r="F842"/>
      <c r="G842"/>
      <c r="I842"/>
      <c r="J842"/>
      <c r="K842"/>
      <c r="L842" s="499"/>
      <c r="V842" s="504"/>
      <c r="BX842" s="769"/>
      <c r="BY842" s="179"/>
      <c r="BZ842" s="179"/>
      <c r="CA842" s="179"/>
      <c r="CB842" s="179"/>
      <c r="CC842" s="179"/>
      <c r="CD842" s="179"/>
      <c r="CE842" s="179"/>
      <c r="CF842" s="179"/>
      <c r="CG842"/>
      <c r="CH842"/>
      <c r="CI842"/>
      <c r="CJ842"/>
      <c r="CK842"/>
      <c r="CL842"/>
      <c r="CM842"/>
    </row>
    <row r="843" spans="1:91" x14ac:dyDescent="0.2">
      <c r="A843"/>
      <c r="B843"/>
      <c r="D843"/>
      <c r="E843"/>
      <c r="F843"/>
      <c r="G843"/>
      <c r="I843"/>
      <c r="J843"/>
      <c r="K843"/>
      <c r="L843" s="499"/>
      <c r="V843" s="504"/>
      <c r="BX843" s="769"/>
      <c r="BY843" s="179"/>
      <c r="BZ843" s="179"/>
      <c r="CA843" s="179"/>
      <c r="CB843" s="179"/>
      <c r="CC843" s="179"/>
      <c r="CD843" s="179"/>
      <c r="CE843" s="179"/>
      <c r="CF843" s="179"/>
      <c r="CG843"/>
      <c r="CH843"/>
      <c r="CI843"/>
      <c r="CJ843"/>
      <c r="CK843"/>
      <c r="CL843"/>
      <c r="CM843"/>
    </row>
    <row r="844" spans="1:91" x14ac:dyDescent="0.2">
      <c r="A844"/>
      <c r="B844"/>
      <c r="D844"/>
      <c r="E844"/>
      <c r="F844"/>
      <c r="G844"/>
      <c r="I844"/>
      <c r="J844"/>
      <c r="K844"/>
      <c r="L844" s="499"/>
      <c r="V844" s="504"/>
      <c r="BX844" s="769"/>
      <c r="BY844" s="179"/>
      <c r="BZ844" s="179"/>
      <c r="CA844" s="179"/>
      <c r="CB844" s="179"/>
      <c r="CC844" s="179"/>
      <c r="CD844" s="179"/>
      <c r="CE844" s="179"/>
      <c r="CF844" s="179"/>
      <c r="CG844"/>
      <c r="CH844"/>
      <c r="CI844"/>
      <c r="CJ844"/>
      <c r="CK844"/>
      <c r="CL844"/>
      <c r="CM844"/>
    </row>
    <row r="845" spans="1:91" x14ac:dyDescent="0.2">
      <c r="A845"/>
      <c r="B845"/>
      <c r="D845"/>
      <c r="E845"/>
      <c r="F845"/>
      <c r="G845"/>
      <c r="I845"/>
      <c r="J845"/>
      <c r="K845"/>
      <c r="L845" s="499"/>
      <c r="V845" s="504"/>
      <c r="BX845" s="769"/>
      <c r="BY845" s="179"/>
      <c r="BZ845" s="179"/>
      <c r="CA845" s="179"/>
      <c r="CB845" s="179"/>
      <c r="CC845" s="179"/>
      <c r="CD845" s="179"/>
      <c r="CE845" s="179"/>
      <c r="CF845" s="179"/>
      <c r="CG845"/>
      <c r="CH845"/>
      <c r="CI845"/>
      <c r="CJ845"/>
      <c r="CK845"/>
      <c r="CL845"/>
      <c r="CM845"/>
    </row>
    <row r="846" spans="1:91" x14ac:dyDescent="0.2">
      <c r="A846"/>
      <c r="B846"/>
      <c r="D846"/>
      <c r="E846"/>
      <c r="F846"/>
      <c r="G846"/>
      <c r="I846"/>
      <c r="J846"/>
      <c r="K846"/>
      <c r="L846" s="499"/>
      <c r="V846" s="504"/>
      <c r="BX846" s="769"/>
      <c r="BY846" s="179"/>
      <c r="BZ846" s="179"/>
      <c r="CA846" s="179"/>
      <c r="CB846" s="179"/>
      <c r="CC846" s="179"/>
      <c r="CD846" s="179"/>
      <c r="CE846" s="179"/>
      <c r="CF846" s="179"/>
      <c r="CG846"/>
      <c r="CH846"/>
      <c r="CI846"/>
      <c r="CJ846"/>
      <c r="CK846"/>
      <c r="CL846"/>
      <c r="CM846"/>
    </row>
    <row r="847" spans="1:91" x14ac:dyDescent="0.2">
      <c r="A847"/>
      <c r="B847"/>
      <c r="D847"/>
      <c r="E847"/>
      <c r="F847"/>
      <c r="G847"/>
      <c r="I847"/>
      <c r="J847"/>
      <c r="K847"/>
      <c r="L847" s="499"/>
      <c r="V847" s="504"/>
      <c r="BX847" s="769"/>
      <c r="BY847" s="179"/>
      <c r="BZ847" s="179"/>
      <c r="CA847" s="179"/>
      <c r="CB847" s="179"/>
      <c r="CC847" s="179"/>
      <c r="CD847" s="179"/>
      <c r="CE847" s="179"/>
      <c r="CF847" s="179"/>
      <c r="CG847"/>
      <c r="CH847"/>
      <c r="CI847"/>
      <c r="CJ847"/>
      <c r="CK847"/>
      <c r="CL847"/>
      <c r="CM847"/>
    </row>
    <row r="848" spans="1:91" x14ac:dyDescent="0.2">
      <c r="A848"/>
      <c r="B848"/>
      <c r="D848"/>
      <c r="E848"/>
      <c r="F848"/>
      <c r="G848"/>
      <c r="I848"/>
      <c r="J848"/>
      <c r="K848"/>
      <c r="L848" s="499"/>
      <c r="V848" s="504"/>
      <c r="BX848" s="769"/>
      <c r="BY848" s="179"/>
      <c r="BZ848" s="179"/>
      <c r="CA848" s="179"/>
      <c r="CB848" s="179"/>
      <c r="CC848" s="179"/>
      <c r="CD848" s="179"/>
      <c r="CE848" s="179"/>
      <c r="CF848" s="179"/>
      <c r="CG848"/>
      <c r="CH848"/>
      <c r="CI848"/>
      <c r="CJ848"/>
      <c r="CK848"/>
      <c r="CL848"/>
      <c r="CM848"/>
    </row>
    <row r="849" spans="1:91" x14ac:dyDescent="0.2">
      <c r="A849"/>
      <c r="B849"/>
      <c r="D849"/>
      <c r="E849"/>
      <c r="F849"/>
      <c r="G849"/>
      <c r="I849"/>
      <c r="J849"/>
      <c r="K849"/>
      <c r="L849" s="499"/>
      <c r="V849" s="504"/>
      <c r="BX849" s="769"/>
      <c r="BY849" s="179"/>
      <c r="BZ849" s="179"/>
      <c r="CA849" s="179"/>
      <c r="CB849" s="179"/>
      <c r="CC849" s="179"/>
      <c r="CD849" s="179"/>
      <c r="CE849" s="179"/>
      <c r="CF849" s="179"/>
      <c r="CG849"/>
      <c r="CH849"/>
      <c r="CI849"/>
      <c r="CJ849"/>
      <c r="CK849"/>
      <c r="CL849"/>
      <c r="CM849"/>
    </row>
    <row r="850" spans="1:91" x14ac:dyDescent="0.2">
      <c r="A850"/>
      <c r="B850"/>
      <c r="D850"/>
      <c r="E850"/>
      <c r="F850"/>
      <c r="G850"/>
      <c r="I850"/>
      <c r="J850"/>
      <c r="K850"/>
      <c r="L850" s="499"/>
      <c r="V850" s="504"/>
      <c r="BX850" s="769"/>
      <c r="BY850" s="179"/>
      <c r="BZ850" s="179"/>
      <c r="CA850" s="179"/>
      <c r="CB850" s="179"/>
      <c r="CC850" s="179"/>
      <c r="CD850" s="179"/>
      <c r="CE850" s="179"/>
      <c r="CF850" s="179"/>
      <c r="CG850"/>
      <c r="CH850"/>
      <c r="CI850"/>
      <c r="CJ850"/>
      <c r="CK850"/>
      <c r="CL850"/>
      <c r="CM850"/>
    </row>
    <row r="851" spans="1:91" x14ac:dyDescent="0.2">
      <c r="A851"/>
      <c r="B851"/>
      <c r="D851"/>
      <c r="E851"/>
      <c r="F851"/>
      <c r="G851"/>
      <c r="I851"/>
      <c r="J851"/>
      <c r="K851"/>
      <c r="L851" s="499"/>
      <c r="V851" s="504"/>
      <c r="BX851" s="769"/>
      <c r="BY851" s="179"/>
      <c r="BZ851" s="179"/>
      <c r="CA851" s="179"/>
      <c r="CB851" s="179"/>
      <c r="CC851" s="179"/>
      <c r="CD851" s="179"/>
      <c r="CE851" s="179"/>
      <c r="CF851" s="179"/>
      <c r="CG851"/>
      <c r="CH851"/>
      <c r="CI851"/>
      <c r="CJ851"/>
      <c r="CK851"/>
      <c r="CL851"/>
      <c r="CM851"/>
    </row>
    <row r="852" spans="1:91" x14ac:dyDescent="0.2">
      <c r="A852"/>
      <c r="B852"/>
      <c r="D852"/>
      <c r="E852"/>
      <c r="F852"/>
      <c r="G852"/>
      <c r="I852"/>
      <c r="J852"/>
      <c r="K852"/>
      <c r="L852" s="499"/>
      <c r="V852" s="504"/>
      <c r="BX852" s="769"/>
      <c r="BY852" s="179"/>
      <c r="BZ852" s="179"/>
      <c r="CA852" s="179"/>
      <c r="CB852" s="179"/>
      <c r="CC852" s="179"/>
      <c r="CD852" s="179"/>
      <c r="CE852" s="179"/>
      <c r="CF852" s="179"/>
      <c r="CG852"/>
      <c r="CH852"/>
      <c r="CI852"/>
      <c r="CJ852"/>
      <c r="CK852"/>
      <c r="CL852"/>
      <c r="CM852"/>
    </row>
    <row r="853" spans="1:91" x14ac:dyDescent="0.2">
      <c r="A853"/>
      <c r="B853"/>
      <c r="D853"/>
      <c r="E853"/>
      <c r="F853"/>
      <c r="G853"/>
      <c r="I853"/>
      <c r="J853"/>
      <c r="K853"/>
      <c r="L853" s="499"/>
      <c r="V853" s="504"/>
      <c r="BX853" s="769"/>
      <c r="BY853" s="179"/>
      <c r="BZ853" s="179"/>
      <c r="CA853" s="179"/>
      <c r="CB853" s="179"/>
      <c r="CC853" s="179"/>
      <c r="CD853" s="179"/>
      <c r="CE853" s="179"/>
      <c r="CF853" s="179"/>
      <c r="CG853"/>
      <c r="CH853"/>
      <c r="CI853"/>
      <c r="CJ853"/>
      <c r="CK853"/>
      <c r="CL853"/>
      <c r="CM853"/>
    </row>
    <row r="854" spans="1:91" x14ac:dyDescent="0.2">
      <c r="A854"/>
      <c r="B854"/>
      <c r="D854"/>
      <c r="E854"/>
      <c r="F854"/>
      <c r="G854"/>
      <c r="I854"/>
      <c r="J854"/>
      <c r="K854"/>
      <c r="L854" s="499"/>
      <c r="V854" s="504"/>
      <c r="BX854" s="769"/>
      <c r="BY854" s="179"/>
      <c r="BZ854" s="179"/>
      <c r="CA854" s="179"/>
      <c r="CB854" s="179"/>
      <c r="CC854" s="179"/>
      <c r="CD854" s="179"/>
      <c r="CE854" s="179"/>
      <c r="CF854" s="179"/>
      <c r="CG854"/>
      <c r="CH854"/>
      <c r="CI854"/>
      <c r="CJ854"/>
      <c r="CK854"/>
      <c r="CL854"/>
      <c r="CM854"/>
    </row>
    <row r="855" spans="1:91" x14ac:dyDescent="0.2">
      <c r="A855"/>
      <c r="B855"/>
      <c r="D855"/>
      <c r="E855"/>
      <c r="F855"/>
      <c r="G855"/>
      <c r="I855"/>
      <c r="J855"/>
      <c r="K855"/>
      <c r="L855" s="499"/>
      <c r="V855" s="504"/>
      <c r="BX855" s="769"/>
      <c r="BY855" s="179"/>
      <c r="BZ855" s="179"/>
      <c r="CA855" s="179"/>
      <c r="CB855" s="179"/>
      <c r="CC855" s="179"/>
      <c r="CD855" s="179"/>
      <c r="CE855" s="179"/>
      <c r="CF855" s="179"/>
      <c r="CG855"/>
      <c r="CH855"/>
      <c r="CI855"/>
      <c r="CJ855"/>
      <c r="CK855"/>
      <c r="CL855"/>
      <c r="CM855"/>
    </row>
    <row r="856" spans="1:91" x14ac:dyDescent="0.2">
      <c r="A856"/>
      <c r="B856"/>
      <c r="D856"/>
      <c r="E856"/>
      <c r="F856"/>
      <c r="G856"/>
      <c r="I856"/>
      <c r="J856"/>
      <c r="K856"/>
      <c r="L856" s="499"/>
      <c r="V856" s="504"/>
      <c r="BX856" s="769"/>
      <c r="BY856" s="179"/>
      <c r="BZ856" s="179"/>
      <c r="CA856" s="179"/>
      <c r="CB856" s="179"/>
      <c r="CC856" s="179"/>
      <c r="CD856" s="179"/>
      <c r="CE856" s="179"/>
      <c r="CF856" s="179"/>
      <c r="CG856"/>
      <c r="CH856"/>
      <c r="CI856"/>
      <c r="CJ856"/>
      <c r="CK856"/>
      <c r="CL856"/>
      <c r="CM856"/>
    </row>
    <row r="857" spans="1:91" x14ac:dyDescent="0.2">
      <c r="A857"/>
      <c r="B857"/>
      <c r="D857"/>
      <c r="E857"/>
      <c r="F857"/>
      <c r="G857"/>
      <c r="I857"/>
      <c r="J857"/>
      <c r="K857"/>
      <c r="L857" s="499"/>
      <c r="V857" s="504"/>
      <c r="BX857" s="769"/>
      <c r="BY857" s="179"/>
      <c r="BZ857" s="179"/>
      <c r="CA857" s="179"/>
      <c r="CB857" s="179"/>
      <c r="CC857" s="179"/>
      <c r="CD857" s="179"/>
      <c r="CE857" s="179"/>
      <c r="CF857" s="179"/>
      <c r="CG857"/>
      <c r="CH857"/>
      <c r="CI857"/>
      <c r="CJ857"/>
      <c r="CK857"/>
      <c r="CL857"/>
      <c r="CM857"/>
    </row>
    <row r="858" spans="1:91" x14ac:dyDescent="0.2">
      <c r="A858"/>
      <c r="B858"/>
      <c r="D858"/>
      <c r="E858"/>
      <c r="F858"/>
      <c r="G858"/>
      <c r="I858"/>
      <c r="J858"/>
      <c r="K858"/>
      <c r="L858" s="499"/>
      <c r="V858" s="504"/>
      <c r="BX858" s="769"/>
      <c r="BY858" s="179"/>
      <c r="BZ858" s="179"/>
      <c r="CA858" s="179"/>
      <c r="CB858" s="179"/>
      <c r="CC858" s="179"/>
      <c r="CD858" s="179"/>
      <c r="CE858" s="179"/>
      <c r="CF858" s="179"/>
      <c r="CG858"/>
      <c r="CH858"/>
      <c r="CI858"/>
      <c r="CJ858"/>
      <c r="CK858"/>
      <c r="CL858"/>
      <c r="CM858"/>
    </row>
    <row r="859" spans="1:91" x14ac:dyDescent="0.2">
      <c r="A859"/>
      <c r="B859"/>
      <c r="D859"/>
      <c r="E859"/>
      <c r="F859"/>
      <c r="G859"/>
      <c r="I859"/>
      <c r="J859"/>
      <c r="K859"/>
      <c r="L859" s="499"/>
      <c r="V859" s="504"/>
      <c r="BX859" s="769"/>
      <c r="BY859" s="179"/>
      <c r="BZ859" s="179"/>
      <c r="CA859" s="179"/>
      <c r="CB859" s="179"/>
      <c r="CC859" s="179"/>
      <c r="CD859" s="179"/>
      <c r="CE859" s="179"/>
      <c r="CF859" s="179"/>
      <c r="CG859"/>
      <c r="CH859"/>
      <c r="CI859"/>
      <c r="CJ859"/>
      <c r="CK859"/>
      <c r="CL859"/>
      <c r="CM859"/>
    </row>
    <row r="860" spans="1:91" x14ac:dyDescent="0.2">
      <c r="A860"/>
      <c r="B860"/>
      <c r="D860"/>
      <c r="E860"/>
      <c r="F860"/>
      <c r="G860"/>
      <c r="I860"/>
      <c r="J860"/>
      <c r="K860"/>
      <c r="L860" s="499"/>
      <c r="V860" s="504"/>
      <c r="BX860" s="769"/>
      <c r="BY860" s="179"/>
      <c r="BZ860" s="179"/>
      <c r="CA860" s="179"/>
      <c r="CB860" s="179"/>
      <c r="CC860" s="179"/>
      <c r="CD860" s="179"/>
      <c r="CE860" s="179"/>
      <c r="CF860" s="179"/>
      <c r="CG860"/>
      <c r="CH860"/>
      <c r="CI860"/>
      <c r="CJ860"/>
      <c r="CK860"/>
      <c r="CL860"/>
      <c r="CM860"/>
    </row>
    <row r="861" spans="1:91" x14ac:dyDescent="0.2">
      <c r="A861"/>
      <c r="B861"/>
      <c r="D861"/>
      <c r="E861"/>
      <c r="F861"/>
      <c r="G861"/>
      <c r="I861"/>
      <c r="J861"/>
      <c r="K861"/>
      <c r="L861" s="499"/>
      <c r="V861" s="504"/>
      <c r="BX861" s="769"/>
      <c r="BY861" s="179"/>
      <c r="BZ861" s="179"/>
      <c r="CA861" s="179"/>
      <c r="CB861" s="179"/>
      <c r="CC861" s="179"/>
      <c r="CD861" s="179"/>
      <c r="CE861" s="179"/>
      <c r="CF861" s="179"/>
      <c r="CG861"/>
      <c r="CH861"/>
      <c r="CI861"/>
      <c r="CJ861"/>
      <c r="CK861"/>
      <c r="CL861"/>
      <c r="CM861"/>
    </row>
    <row r="862" spans="1:91" x14ac:dyDescent="0.2">
      <c r="A862"/>
      <c r="B862"/>
      <c r="D862"/>
      <c r="E862"/>
      <c r="F862"/>
      <c r="G862"/>
      <c r="I862"/>
      <c r="J862"/>
      <c r="K862"/>
      <c r="L862" s="499"/>
      <c r="V862" s="504"/>
      <c r="BX862" s="769"/>
      <c r="BY862" s="179"/>
      <c r="BZ862" s="179"/>
      <c r="CA862" s="179"/>
      <c r="CB862" s="179"/>
      <c r="CC862" s="179"/>
      <c r="CD862" s="179"/>
      <c r="CE862" s="179"/>
      <c r="CF862" s="179"/>
      <c r="CG862"/>
      <c r="CH862"/>
      <c r="CI862"/>
      <c r="CJ862"/>
      <c r="CK862"/>
      <c r="CL862"/>
      <c r="CM862"/>
    </row>
    <row r="863" spans="1:91" x14ac:dyDescent="0.2">
      <c r="A863"/>
      <c r="B863"/>
      <c r="D863"/>
      <c r="E863"/>
      <c r="F863"/>
      <c r="G863"/>
      <c r="I863"/>
      <c r="J863"/>
      <c r="K863"/>
      <c r="L863" s="499"/>
      <c r="V863" s="504"/>
      <c r="BX863" s="769"/>
      <c r="BY863" s="179"/>
      <c r="BZ863" s="179"/>
      <c r="CA863" s="179"/>
      <c r="CB863" s="179"/>
      <c r="CC863" s="179"/>
      <c r="CD863" s="179"/>
      <c r="CE863" s="179"/>
      <c r="CF863" s="179"/>
      <c r="CG863"/>
      <c r="CH863"/>
      <c r="CI863"/>
      <c r="CJ863"/>
      <c r="CK863"/>
      <c r="CL863"/>
      <c r="CM863"/>
    </row>
    <row r="864" spans="1:91" x14ac:dyDescent="0.2">
      <c r="A864"/>
      <c r="B864"/>
      <c r="D864"/>
      <c r="E864"/>
      <c r="F864"/>
      <c r="G864"/>
      <c r="I864"/>
      <c r="J864"/>
      <c r="K864"/>
      <c r="L864" s="499"/>
      <c r="V864" s="504"/>
      <c r="BX864" s="769"/>
      <c r="BY864" s="179"/>
      <c r="BZ864" s="179"/>
      <c r="CA864" s="179"/>
      <c r="CB864" s="179"/>
      <c r="CC864" s="179"/>
      <c r="CD864" s="179"/>
      <c r="CE864" s="179"/>
      <c r="CF864" s="179"/>
      <c r="CG864"/>
      <c r="CH864"/>
      <c r="CI864"/>
      <c r="CJ864"/>
      <c r="CK864"/>
      <c r="CL864"/>
      <c r="CM864"/>
    </row>
    <row r="865" spans="1:91" x14ac:dyDescent="0.2">
      <c r="A865"/>
      <c r="B865"/>
      <c r="D865"/>
      <c r="E865"/>
      <c r="F865"/>
      <c r="G865"/>
      <c r="I865"/>
      <c r="J865"/>
      <c r="K865"/>
      <c r="L865" s="499"/>
      <c r="V865" s="504"/>
      <c r="BX865" s="769"/>
      <c r="BY865" s="179"/>
      <c r="BZ865" s="179"/>
      <c r="CA865" s="179"/>
      <c r="CB865" s="179"/>
      <c r="CC865" s="179"/>
      <c r="CD865" s="179"/>
      <c r="CE865" s="179"/>
      <c r="CF865" s="179"/>
      <c r="CG865"/>
      <c r="CH865"/>
      <c r="CI865"/>
      <c r="CJ865"/>
      <c r="CK865"/>
      <c r="CL865"/>
      <c r="CM865"/>
    </row>
    <row r="866" spans="1:91" x14ac:dyDescent="0.2">
      <c r="A866"/>
      <c r="B866"/>
      <c r="D866"/>
      <c r="E866"/>
      <c r="F866"/>
      <c r="G866"/>
      <c r="I866"/>
      <c r="J866"/>
      <c r="K866"/>
      <c r="L866" s="499"/>
      <c r="V866" s="504"/>
      <c r="BX866" s="769"/>
      <c r="BY866" s="179"/>
      <c r="BZ866" s="179"/>
      <c r="CA866" s="179"/>
      <c r="CB866" s="179"/>
      <c r="CC866" s="179"/>
      <c r="CD866" s="179"/>
      <c r="CE866" s="179"/>
      <c r="CF866" s="179"/>
      <c r="CG866"/>
      <c r="CH866"/>
      <c r="CI866"/>
      <c r="CJ866"/>
      <c r="CK866"/>
      <c r="CL866"/>
      <c r="CM866"/>
    </row>
    <row r="867" spans="1:91" x14ac:dyDescent="0.2">
      <c r="A867"/>
      <c r="B867"/>
      <c r="D867"/>
      <c r="E867"/>
      <c r="F867"/>
      <c r="G867"/>
      <c r="I867"/>
      <c r="J867"/>
      <c r="K867"/>
      <c r="L867" s="499"/>
      <c r="V867" s="504"/>
      <c r="BX867" s="769"/>
      <c r="BY867" s="179"/>
      <c r="BZ867" s="179"/>
      <c r="CA867" s="179"/>
      <c r="CB867" s="179"/>
      <c r="CC867" s="179"/>
      <c r="CD867" s="179"/>
      <c r="CE867" s="179"/>
      <c r="CF867" s="179"/>
      <c r="CG867"/>
      <c r="CH867"/>
      <c r="CI867"/>
      <c r="CJ867"/>
      <c r="CK867"/>
      <c r="CL867"/>
      <c r="CM867"/>
    </row>
    <row r="868" spans="1:91" x14ac:dyDescent="0.2">
      <c r="A868"/>
      <c r="B868"/>
      <c r="D868"/>
      <c r="E868"/>
      <c r="F868"/>
      <c r="G868"/>
      <c r="I868"/>
      <c r="J868"/>
      <c r="K868"/>
      <c r="L868" s="499"/>
      <c r="V868" s="504"/>
      <c r="BX868" s="769"/>
      <c r="BY868" s="179"/>
      <c r="BZ868" s="179"/>
      <c r="CA868" s="179"/>
      <c r="CB868" s="179"/>
      <c r="CC868" s="179"/>
      <c r="CD868" s="179"/>
      <c r="CE868" s="179"/>
      <c r="CF868" s="179"/>
      <c r="CG868"/>
      <c r="CH868"/>
      <c r="CI868"/>
      <c r="CJ868"/>
      <c r="CK868"/>
      <c r="CL868"/>
      <c r="CM868"/>
    </row>
    <row r="869" spans="1:91" x14ac:dyDescent="0.2">
      <c r="A869"/>
      <c r="B869"/>
      <c r="D869"/>
      <c r="E869"/>
      <c r="F869"/>
      <c r="G869"/>
      <c r="I869"/>
      <c r="J869"/>
      <c r="K869"/>
      <c r="L869" s="499"/>
      <c r="V869" s="504"/>
      <c r="BX869" s="769"/>
      <c r="BY869" s="179"/>
      <c r="BZ869" s="179"/>
      <c r="CA869" s="179"/>
      <c r="CB869" s="179"/>
      <c r="CC869" s="179"/>
      <c r="CD869" s="179"/>
      <c r="CE869" s="179"/>
      <c r="CF869" s="179"/>
      <c r="CG869"/>
      <c r="CH869"/>
      <c r="CI869"/>
      <c r="CJ869"/>
      <c r="CK869"/>
      <c r="CL869"/>
      <c r="CM869"/>
    </row>
    <row r="870" spans="1:91" x14ac:dyDescent="0.2">
      <c r="A870"/>
      <c r="B870"/>
      <c r="D870"/>
      <c r="E870"/>
      <c r="F870"/>
      <c r="G870"/>
      <c r="I870"/>
      <c r="J870"/>
      <c r="K870"/>
      <c r="L870" s="499"/>
      <c r="V870" s="504"/>
      <c r="BX870" s="769"/>
      <c r="BY870" s="179"/>
      <c r="BZ870" s="179"/>
      <c r="CA870" s="179"/>
      <c r="CB870" s="179"/>
      <c r="CC870" s="179"/>
      <c r="CD870" s="179"/>
      <c r="CE870" s="179"/>
      <c r="CF870" s="179"/>
      <c r="CG870"/>
      <c r="CH870"/>
      <c r="CI870"/>
      <c r="CJ870"/>
      <c r="CK870"/>
      <c r="CL870"/>
      <c r="CM870"/>
    </row>
    <row r="871" spans="1:91" x14ac:dyDescent="0.2">
      <c r="A871"/>
      <c r="B871"/>
      <c r="D871"/>
      <c r="E871"/>
      <c r="F871"/>
      <c r="G871"/>
      <c r="I871"/>
      <c r="J871"/>
      <c r="K871"/>
      <c r="L871" s="499"/>
      <c r="V871" s="504"/>
      <c r="BX871" s="769"/>
      <c r="BY871" s="179"/>
      <c r="BZ871" s="179"/>
      <c r="CA871" s="179"/>
      <c r="CB871" s="179"/>
      <c r="CC871" s="179"/>
      <c r="CD871" s="179"/>
      <c r="CE871" s="179"/>
      <c r="CF871" s="179"/>
      <c r="CG871"/>
      <c r="CH871"/>
      <c r="CI871"/>
      <c r="CJ871"/>
      <c r="CK871"/>
      <c r="CL871"/>
      <c r="CM871"/>
    </row>
    <row r="872" spans="1:91" x14ac:dyDescent="0.2">
      <c r="A872"/>
      <c r="B872"/>
      <c r="D872"/>
      <c r="E872"/>
      <c r="F872"/>
      <c r="G872"/>
      <c r="I872"/>
      <c r="J872"/>
      <c r="K872"/>
      <c r="L872" s="499"/>
      <c r="V872" s="504"/>
      <c r="BX872" s="769"/>
      <c r="BY872" s="179"/>
      <c r="BZ872" s="179"/>
      <c r="CA872" s="179"/>
      <c r="CB872" s="179"/>
      <c r="CC872" s="179"/>
      <c r="CD872" s="179"/>
      <c r="CE872" s="179"/>
      <c r="CF872" s="179"/>
      <c r="CG872"/>
      <c r="CH872"/>
      <c r="CI872"/>
      <c r="CJ872"/>
      <c r="CK872"/>
      <c r="CL872"/>
      <c r="CM872"/>
    </row>
    <row r="873" spans="1:91" x14ac:dyDescent="0.2">
      <c r="A873"/>
      <c r="B873"/>
      <c r="D873"/>
      <c r="E873"/>
      <c r="F873"/>
      <c r="G873"/>
      <c r="I873"/>
      <c r="J873"/>
      <c r="K873"/>
      <c r="L873" s="499"/>
      <c r="V873" s="504"/>
      <c r="BX873" s="769"/>
      <c r="BY873" s="179"/>
      <c r="BZ873" s="179"/>
      <c r="CA873" s="179"/>
      <c r="CB873" s="179"/>
      <c r="CC873" s="179"/>
      <c r="CD873" s="179"/>
      <c r="CE873" s="179"/>
      <c r="CF873" s="179"/>
      <c r="CG873"/>
      <c r="CH873"/>
      <c r="CI873"/>
      <c r="CJ873"/>
      <c r="CK873"/>
      <c r="CL873"/>
      <c r="CM873"/>
    </row>
    <row r="874" spans="1:91" x14ac:dyDescent="0.2">
      <c r="A874"/>
      <c r="B874"/>
      <c r="D874"/>
      <c r="E874"/>
      <c r="F874"/>
      <c r="G874"/>
      <c r="I874"/>
      <c r="J874"/>
      <c r="K874"/>
      <c r="L874" s="499"/>
      <c r="V874" s="504"/>
      <c r="BX874" s="769"/>
      <c r="BY874" s="179"/>
      <c r="BZ874" s="179"/>
      <c r="CA874" s="179"/>
      <c r="CB874" s="179"/>
      <c r="CC874" s="179"/>
      <c r="CD874" s="179"/>
      <c r="CE874" s="179"/>
      <c r="CF874" s="179"/>
      <c r="CG874"/>
      <c r="CH874"/>
      <c r="CI874"/>
      <c r="CJ874"/>
      <c r="CK874"/>
      <c r="CL874"/>
      <c r="CM874"/>
    </row>
    <row r="875" spans="1:91" x14ac:dyDescent="0.2">
      <c r="A875"/>
      <c r="B875"/>
      <c r="D875"/>
      <c r="E875"/>
      <c r="F875"/>
      <c r="G875"/>
      <c r="I875"/>
      <c r="J875"/>
      <c r="K875"/>
      <c r="L875" s="499"/>
      <c r="V875" s="504"/>
      <c r="BX875" s="769"/>
      <c r="BY875" s="179"/>
      <c r="BZ875" s="179"/>
      <c r="CA875" s="179"/>
      <c r="CB875" s="179"/>
      <c r="CC875" s="179"/>
      <c r="CD875" s="179"/>
      <c r="CE875" s="179"/>
      <c r="CF875" s="179"/>
      <c r="CG875"/>
      <c r="CH875"/>
      <c r="CI875"/>
      <c r="CJ875"/>
      <c r="CK875"/>
      <c r="CL875"/>
      <c r="CM875"/>
    </row>
    <row r="876" spans="1:91" x14ac:dyDescent="0.2">
      <c r="A876"/>
      <c r="B876"/>
      <c r="D876"/>
      <c r="E876"/>
      <c r="F876"/>
      <c r="G876"/>
      <c r="I876"/>
      <c r="J876"/>
      <c r="K876"/>
      <c r="L876" s="499"/>
      <c r="V876" s="504"/>
      <c r="BX876" s="769"/>
      <c r="BY876" s="179"/>
      <c r="BZ876" s="179"/>
      <c r="CA876" s="179"/>
      <c r="CB876" s="179"/>
      <c r="CC876" s="179"/>
      <c r="CD876" s="179"/>
      <c r="CE876" s="179"/>
      <c r="CF876" s="179"/>
      <c r="CG876"/>
      <c r="CH876"/>
      <c r="CI876"/>
      <c r="CJ876"/>
      <c r="CK876"/>
      <c r="CL876"/>
      <c r="CM876"/>
    </row>
    <row r="877" spans="1:91" x14ac:dyDescent="0.2">
      <c r="A877"/>
      <c r="B877"/>
      <c r="D877"/>
      <c r="E877"/>
      <c r="F877"/>
      <c r="G877"/>
      <c r="I877"/>
      <c r="J877"/>
      <c r="K877"/>
      <c r="L877" s="499"/>
      <c r="V877" s="504"/>
      <c r="BX877" s="769"/>
      <c r="BY877" s="179"/>
      <c r="BZ877" s="179"/>
      <c r="CA877" s="179"/>
      <c r="CB877" s="179"/>
      <c r="CC877" s="179"/>
      <c r="CD877" s="179"/>
      <c r="CE877" s="179"/>
      <c r="CF877" s="179"/>
      <c r="CG877"/>
      <c r="CH877"/>
      <c r="CI877"/>
      <c r="CJ877"/>
      <c r="CK877"/>
      <c r="CL877"/>
      <c r="CM877"/>
    </row>
    <row r="878" spans="1:91" x14ac:dyDescent="0.2">
      <c r="A878"/>
      <c r="B878"/>
      <c r="D878"/>
      <c r="E878"/>
      <c r="F878"/>
      <c r="G878"/>
      <c r="I878"/>
      <c r="J878"/>
      <c r="K878"/>
      <c r="L878" s="499"/>
      <c r="V878" s="504"/>
      <c r="BX878" s="769"/>
      <c r="BY878" s="179"/>
      <c r="BZ878" s="179"/>
      <c r="CA878" s="179"/>
      <c r="CB878" s="179"/>
      <c r="CC878" s="179"/>
      <c r="CD878" s="179"/>
      <c r="CE878" s="179"/>
      <c r="CF878" s="179"/>
      <c r="CG878"/>
      <c r="CH878"/>
      <c r="CI878"/>
      <c r="CJ878"/>
      <c r="CK878"/>
      <c r="CL878"/>
      <c r="CM878"/>
    </row>
    <row r="879" spans="1:91" x14ac:dyDescent="0.2">
      <c r="A879"/>
      <c r="B879"/>
      <c r="D879"/>
      <c r="E879"/>
      <c r="F879"/>
      <c r="G879"/>
      <c r="I879"/>
      <c r="J879"/>
      <c r="K879"/>
      <c r="L879" s="499"/>
      <c r="V879" s="504"/>
      <c r="BX879" s="769"/>
      <c r="BY879" s="179"/>
      <c r="BZ879" s="179"/>
      <c r="CA879" s="179"/>
      <c r="CB879" s="179"/>
      <c r="CC879" s="179"/>
      <c r="CD879" s="179"/>
      <c r="CE879" s="179"/>
      <c r="CF879" s="179"/>
      <c r="CG879"/>
      <c r="CH879"/>
      <c r="CI879"/>
      <c r="CJ879"/>
      <c r="CK879"/>
      <c r="CL879"/>
      <c r="CM879"/>
    </row>
    <row r="880" spans="1:91" x14ac:dyDescent="0.2">
      <c r="A880"/>
      <c r="B880"/>
      <c r="D880"/>
      <c r="E880"/>
      <c r="F880"/>
      <c r="G880"/>
      <c r="I880"/>
      <c r="J880"/>
      <c r="K880"/>
      <c r="L880" s="499"/>
      <c r="V880" s="504"/>
      <c r="BX880" s="769"/>
      <c r="BY880" s="179"/>
      <c r="BZ880" s="179"/>
      <c r="CA880" s="179"/>
      <c r="CB880" s="179"/>
      <c r="CC880" s="179"/>
      <c r="CD880" s="179"/>
      <c r="CE880" s="179"/>
      <c r="CF880" s="179"/>
      <c r="CG880"/>
      <c r="CH880"/>
      <c r="CI880"/>
      <c r="CJ880"/>
      <c r="CK880"/>
      <c r="CL880"/>
      <c r="CM880"/>
    </row>
    <row r="881" spans="1:91" x14ac:dyDescent="0.2">
      <c r="A881"/>
      <c r="B881"/>
      <c r="D881"/>
      <c r="E881"/>
      <c r="F881"/>
      <c r="G881"/>
      <c r="I881"/>
      <c r="J881"/>
      <c r="K881"/>
      <c r="L881" s="499"/>
      <c r="V881" s="504"/>
      <c r="BX881" s="769"/>
      <c r="BY881" s="179"/>
      <c r="BZ881" s="179"/>
      <c r="CA881" s="179"/>
      <c r="CB881" s="179"/>
      <c r="CC881" s="179"/>
      <c r="CD881" s="179"/>
      <c r="CE881" s="179"/>
      <c r="CF881" s="179"/>
      <c r="CG881"/>
      <c r="CH881"/>
      <c r="CI881"/>
      <c r="CJ881"/>
      <c r="CK881"/>
      <c r="CL881"/>
      <c r="CM881"/>
    </row>
    <row r="882" spans="1:91" x14ac:dyDescent="0.2">
      <c r="A882"/>
      <c r="B882"/>
      <c r="D882"/>
      <c r="E882"/>
      <c r="F882"/>
      <c r="G882"/>
      <c r="I882"/>
      <c r="J882"/>
      <c r="K882"/>
      <c r="L882" s="499"/>
      <c r="V882" s="504"/>
      <c r="BX882" s="769"/>
      <c r="BY882" s="179"/>
      <c r="BZ882" s="179"/>
      <c r="CA882" s="179"/>
      <c r="CB882" s="179"/>
      <c r="CC882" s="179"/>
      <c r="CD882" s="179"/>
      <c r="CE882" s="179"/>
      <c r="CF882" s="179"/>
      <c r="CG882"/>
      <c r="CH882"/>
      <c r="CI882"/>
      <c r="CJ882"/>
      <c r="CK882"/>
      <c r="CL882"/>
      <c r="CM882"/>
    </row>
    <row r="883" spans="1:91" x14ac:dyDescent="0.2">
      <c r="A883"/>
      <c r="B883"/>
      <c r="D883"/>
      <c r="E883"/>
      <c r="F883"/>
      <c r="G883"/>
      <c r="I883"/>
      <c r="J883"/>
      <c r="K883"/>
      <c r="L883" s="499"/>
      <c r="V883" s="504"/>
      <c r="BX883" s="769"/>
      <c r="BY883" s="179"/>
      <c r="BZ883" s="179"/>
      <c r="CA883" s="179"/>
      <c r="CB883" s="179"/>
      <c r="CC883" s="179"/>
      <c r="CD883" s="179"/>
      <c r="CE883" s="179"/>
      <c r="CF883" s="179"/>
      <c r="CG883"/>
      <c r="CH883"/>
      <c r="CI883"/>
      <c r="CJ883"/>
      <c r="CK883"/>
      <c r="CL883"/>
      <c r="CM883"/>
    </row>
    <row r="884" spans="1:91" x14ac:dyDescent="0.2">
      <c r="A884"/>
      <c r="B884"/>
      <c r="D884"/>
      <c r="E884"/>
      <c r="F884"/>
      <c r="G884"/>
      <c r="I884"/>
      <c r="J884"/>
      <c r="K884"/>
      <c r="L884" s="499"/>
      <c r="V884" s="504"/>
      <c r="BX884" s="769"/>
      <c r="BY884" s="179"/>
      <c r="BZ884" s="179"/>
      <c r="CA884" s="179"/>
      <c r="CB884" s="179"/>
      <c r="CC884" s="179"/>
      <c r="CD884" s="179"/>
      <c r="CE884" s="179"/>
      <c r="CF884" s="179"/>
      <c r="CG884"/>
      <c r="CH884"/>
      <c r="CI884"/>
      <c r="CJ884"/>
      <c r="CK884"/>
      <c r="CL884"/>
      <c r="CM884"/>
    </row>
    <row r="885" spans="1:91" x14ac:dyDescent="0.2">
      <c r="A885"/>
      <c r="B885"/>
      <c r="D885"/>
      <c r="E885"/>
      <c r="F885"/>
      <c r="G885"/>
      <c r="I885"/>
      <c r="J885"/>
      <c r="K885"/>
      <c r="L885" s="499"/>
      <c r="V885" s="504"/>
      <c r="BX885" s="769"/>
      <c r="BY885" s="179"/>
      <c r="BZ885" s="179"/>
      <c r="CA885" s="179"/>
      <c r="CB885" s="179"/>
      <c r="CC885" s="179"/>
      <c r="CD885" s="179"/>
      <c r="CE885" s="179"/>
      <c r="CF885" s="179"/>
      <c r="CG885"/>
      <c r="CH885"/>
      <c r="CI885"/>
      <c r="CJ885"/>
      <c r="CK885"/>
      <c r="CL885"/>
      <c r="CM885"/>
    </row>
    <row r="886" spans="1:91" x14ac:dyDescent="0.2">
      <c r="A886"/>
      <c r="B886"/>
      <c r="D886"/>
      <c r="E886"/>
      <c r="F886"/>
      <c r="G886"/>
      <c r="I886"/>
      <c r="J886"/>
      <c r="K886"/>
      <c r="L886" s="499"/>
      <c r="V886" s="504"/>
      <c r="BX886" s="769"/>
      <c r="BY886" s="179"/>
      <c r="BZ886" s="179"/>
      <c r="CA886" s="179"/>
      <c r="CB886" s="179"/>
      <c r="CC886" s="179"/>
      <c r="CD886" s="179"/>
      <c r="CE886" s="179"/>
      <c r="CF886" s="179"/>
      <c r="CG886"/>
      <c r="CH886"/>
      <c r="CI886"/>
      <c r="CJ886"/>
      <c r="CK886"/>
      <c r="CL886"/>
      <c r="CM886"/>
    </row>
    <row r="887" spans="1:91" x14ac:dyDescent="0.2">
      <c r="A887"/>
      <c r="B887"/>
      <c r="D887"/>
      <c r="E887"/>
      <c r="F887"/>
      <c r="G887"/>
      <c r="I887"/>
      <c r="J887"/>
      <c r="K887"/>
      <c r="L887" s="499"/>
      <c r="V887" s="504"/>
      <c r="BX887" s="769"/>
      <c r="BY887" s="179"/>
      <c r="BZ887" s="179"/>
      <c r="CA887" s="179"/>
      <c r="CB887" s="179"/>
      <c r="CC887" s="179"/>
      <c r="CD887" s="179"/>
      <c r="CE887" s="179"/>
      <c r="CF887" s="179"/>
      <c r="CG887"/>
      <c r="CH887"/>
      <c r="CI887"/>
      <c r="CJ887"/>
      <c r="CK887"/>
      <c r="CL887"/>
      <c r="CM887"/>
    </row>
    <row r="888" spans="1:91" x14ac:dyDescent="0.2">
      <c r="A888"/>
      <c r="B888"/>
      <c r="D888"/>
      <c r="E888"/>
      <c r="F888"/>
      <c r="G888"/>
      <c r="I888"/>
      <c r="J888"/>
      <c r="K888"/>
      <c r="L888" s="499"/>
      <c r="V888" s="504"/>
      <c r="BX888" s="769"/>
      <c r="BY888" s="179"/>
      <c r="BZ888" s="179"/>
      <c r="CA888" s="179"/>
      <c r="CB888" s="179"/>
      <c r="CC888" s="179"/>
      <c r="CD888" s="179"/>
      <c r="CE888" s="179"/>
      <c r="CF888" s="179"/>
      <c r="CG888"/>
      <c r="CH888"/>
      <c r="CI888"/>
      <c r="CJ888"/>
      <c r="CK888"/>
      <c r="CL888"/>
      <c r="CM888"/>
    </row>
    <row r="889" spans="1:91" x14ac:dyDescent="0.2">
      <c r="A889"/>
      <c r="B889"/>
      <c r="D889"/>
      <c r="E889"/>
      <c r="F889"/>
      <c r="G889"/>
      <c r="I889"/>
      <c r="J889"/>
      <c r="K889"/>
      <c r="L889" s="499"/>
      <c r="V889" s="504"/>
      <c r="BX889" s="769"/>
      <c r="BY889" s="179"/>
      <c r="BZ889" s="179"/>
      <c r="CA889" s="179"/>
      <c r="CB889" s="179"/>
      <c r="CC889" s="179"/>
      <c r="CD889" s="179"/>
      <c r="CE889" s="179"/>
      <c r="CF889" s="179"/>
      <c r="CG889"/>
      <c r="CH889"/>
      <c r="CI889"/>
      <c r="CJ889"/>
      <c r="CK889"/>
      <c r="CL889"/>
      <c r="CM889"/>
    </row>
    <row r="890" spans="1:91" x14ac:dyDescent="0.2">
      <c r="A890"/>
      <c r="B890"/>
      <c r="D890"/>
      <c r="E890"/>
      <c r="F890"/>
      <c r="G890"/>
      <c r="I890"/>
      <c r="J890"/>
      <c r="K890"/>
      <c r="L890" s="499"/>
      <c r="V890" s="504"/>
      <c r="BX890" s="769"/>
      <c r="BY890" s="179"/>
      <c r="BZ890" s="179"/>
      <c r="CA890" s="179"/>
      <c r="CB890" s="179"/>
      <c r="CC890" s="179"/>
      <c r="CD890" s="179"/>
      <c r="CE890" s="179"/>
      <c r="CF890" s="179"/>
      <c r="CG890"/>
      <c r="CH890"/>
      <c r="CI890"/>
      <c r="CJ890"/>
      <c r="CK890"/>
      <c r="CL890"/>
      <c r="CM890"/>
    </row>
    <row r="891" spans="1:91" x14ac:dyDescent="0.2">
      <c r="A891"/>
      <c r="B891"/>
      <c r="D891"/>
      <c r="E891"/>
      <c r="F891"/>
      <c r="G891"/>
      <c r="I891"/>
      <c r="J891"/>
      <c r="K891"/>
      <c r="L891" s="499"/>
      <c r="V891" s="504"/>
      <c r="BX891" s="769"/>
      <c r="BY891" s="179"/>
      <c r="BZ891" s="179"/>
      <c r="CA891" s="179"/>
      <c r="CB891" s="179"/>
      <c r="CC891" s="179"/>
      <c r="CD891" s="179"/>
      <c r="CE891" s="179"/>
      <c r="CF891" s="179"/>
      <c r="CG891"/>
      <c r="CH891"/>
      <c r="CI891"/>
      <c r="CJ891"/>
      <c r="CK891"/>
      <c r="CL891"/>
      <c r="CM891"/>
    </row>
    <row r="892" spans="1:91" x14ac:dyDescent="0.2">
      <c r="A892"/>
      <c r="B892"/>
      <c r="D892"/>
      <c r="E892"/>
      <c r="F892"/>
      <c r="G892"/>
      <c r="I892"/>
      <c r="J892"/>
      <c r="K892"/>
      <c r="L892" s="499"/>
      <c r="V892" s="504"/>
      <c r="BX892" s="769"/>
      <c r="BY892" s="179"/>
      <c r="BZ892" s="179"/>
      <c r="CA892" s="179"/>
      <c r="CB892" s="179"/>
      <c r="CC892" s="179"/>
      <c r="CD892" s="179"/>
      <c r="CE892" s="179"/>
      <c r="CF892" s="179"/>
      <c r="CG892"/>
      <c r="CH892"/>
      <c r="CI892"/>
      <c r="CJ892"/>
      <c r="CK892"/>
      <c r="CL892"/>
      <c r="CM892"/>
    </row>
    <row r="893" spans="1:91" x14ac:dyDescent="0.2">
      <c r="A893"/>
      <c r="B893"/>
      <c r="D893"/>
      <c r="E893"/>
      <c r="F893"/>
      <c r="G893"/>
      <c r="I893"/>
      <c r="J893"/>
      <c r="K893"/>
      <c r="L893" s="499"/>
      <c r="V893" s="504"/>
      <c r="BX893" s="769"/>
      <c r="BY893" s="179"/>
      <c r="BZ893" s="179"/>
      <c r="CA893" s="179"/>
      <c r="CB893" s="179"/>
      <c r="CC893" s="179"/>
      <c r="CD893" s="179"/>
      <c r="CE893" s="179"/>
      <c r="CF893" s="179"/>
      <c r="CG893"/>
      <c r="CH893"/>
      <c r="CI893"/>
      <c r="CJ893"/>
      <c r="CK893"/>
      <c r="CL893"/>
      <c r="CM893"/>
    </row>
    <row r="894" spans="1:91" x14ac:dyDescent="0.2">
      <c r="A894"/>
      <c r="B894"/>
      <c r="D894"/>
      <c r="E894"/>
      <c r="F894"/>
      <c r="G894"/>
      <c r="I894"/>
      <c r="J894"/>
      <c r="K894"/>
      <c r="L894" s="499"/>
      <c r="V894" s="504"/>
      <c r="BX894" s="769"/>
      <c r="BY894" s="179"/>
      <c r="BZ894" s="179"/>
      <c r="CA894" s="179"/>
      <c r="CB894" s="179"/>
      <c r="CC894" s="179"/>
      <c r="CD894" s="179"/>
      <c r="CE894" s="179"/>
      <c r="CF894" s="179"/>
      <c r="CG894"/>
      <c r="CH894"/>
      <c r="CI894"/>
      <c r="CJ894"/>
      <c r="CK894"/>
      <c r="CL894"/>
      <c r="CM894"/>
    </row>
    <row r="895" spans="1:91" x14ac:dyDescent="0.2">
      <c r="A895"/>
      <c r="B895"/>
      <c r="D895"/>
      <c r="E895"/>
      <c r="F895"/>
      <c r="G895"/>
      <c r="I895"/>
      <c r="J895"/>
      <c r="K895"/>
      <c r="L895" s="499"/>
      <c r="V895" s="504"/>
      <c r="BX895" s="769"/>
      <c r="BY895" s="179"/>
      <c r="BZ895" s="179"/>
      <c r="CA895" s="179"/>
      <c r="CB895" s="179"/>
      <c r="CC895" s="179"/>
      <c r="CD895" s="179"/>
      <c r="CE895" s="179"/>
      <c r="CF895" s="179"/>
      <c r="CG895"/>
      <c r="CH895"/>
      <c r="CI895"/>
      <c r="CJ895"/>
      <c r="CK895"/>
      <c r="CL895"/>
      <c r="CM895"/>
    </row>
    <row r="896" spans="1:91" x14ac:dyDescent="0.2">
      <c r="A896"/>
      <c r="B896"/>
      <c r="D896"/>
      <c r="E896"/>
      <c r="F896"/>
      <c r="G896"/>
      <c r="I896"/>
      <c r="J896"/>
      <c r="K896"/>
      <c r="L896" s="499"/>
      <c r="V896" s="504"/>
      <c r="BX896" s="769"/>
      <c r="BY896" s="179"/>
      <c r="BZ896" s="179"/>
      <c r="CA896" s="179"/>
      <c r="CB896" s="179"/>
      <c r="CC896" s="179"/>
      <c r="CD896" s="179"/>
      <c r="CE896" s="179"/>
      <c r="CF896" s="179"/>
      <c r="CG896"/>
      <c r="CH896"/>
      <c r="CI896"/>
      <c r="CJ896"/>
      <c r="CK896"/>
      <c r="CL896"/>
      <c r="CM896"/>
    </row>
    <row r="897" spans="1:91" x14ac:dyDescent="0.2">
      <c r="A897"/>
      <c r="B897"/>
      <c r="D897"/>
      <c r="E897"/>
      <c r="F897"/>
      <c r="G897"/>
      <c r="I897"/>
      <c r="J897"/>
      <c r="K897"/>
      <c r="L897" s="499"/>
      <c r="V897" s="504"/>
      <c r="BX897" s="769"/>
      <c r="BY897" s="179"/>
      <c r="BZ897" s="179"/>
      <c r="CA897" s="179"/>
      <c r="CB897" s="179"/>
      <c r="CC897" s="179"/>
      <c r="CD897" s="179"/>
      <c r="CE897" s="179"/>
      <c r="CF897" s="179"/>
      <c r="CG897"/>
      <c r="CH897"/>
      <c r="CI897"/>
      <c r="CJ897"/>
      <c r="CK897"/>
      <c r="CL897"/>
      <c r="CM897"/>
    </row>
    <row r="898" spans="1:91" x14ac:dyDescent="0.2">
      <c r="A898"/>
      <c r="B898"/>
      <c r="D898"/>
      <c r="E898"/>
      <c r="F898"/>
      <c r="G898"/>
      <c r="I898"/>
      <c r="J898"/>
      <c r="K898"/>
      <c r="L898" s="499"/>
      <c r="V898" s="504"/>
      <c r="BX898" s="769"/>
      <c r="BY898" s="179"/>
      <c r="BZ898" s="179"/>
      <c r="CA898" s="179"/>
      <c r="CB898" s="179"/>
      <c r="CC898" s="179"/>
      <c r="CD898" s="179"/>
      <c r="CE898" s="179"/>
      <c r="CF898" s="179"/>
      <c r="CG898"/>
      <c r="CH898"/>
      <c r="CI898"/>
      <c r="CJ898"/>
      <c r="CK898"/>
      <c r="CL898"/>
      <c r="CM898"/>
    </row>
    <row r="899" spans="1:91" x14ac:dyDescent="0.2">
      <c r="A899"/>
      <c r="B899"/>
      <c r="D899"/>
      <c r="E899"/>
      <c r="F899"/>
      <c r="G899"/>
      <c r="I899"/>
      <c r="J899"/>
      <c r="K899"/>
      <c r="L899" s="499"/>
      <c r="V899" s="504"/>
      <c r="BX899" s="769"/>
      <c r="BY899" s="179"/>
      <c r="BZ899" s="179"/>
      <c r="CA899" s="179"/>
      <c r="CB899" s="179"/>
      <c r="CC899" s="179"/>
      <c r="CD899" s="179"/>
      <c r="CE899" s="179"/>
      <c r="CF899" s="179"/>
      <c r="CG899"/>
      <c r="CH899"/>
      <c r="CI899"/>
      <c r="CJ899"/>
      <c r="CK899"/>
      <c r="CL899"/>
      <c r="CM899"/>
    </row>
    <row r="900" spans="1:91" x14ac:dyDescent="0.2">
      <c r="A900"/>
      <c r="B900"/>
      <c r="D900"/>
      <c r="E900"/>
      <c r="F900"/>
      <c r="G900"/>
      <c r="I900"/>
      <c r="J900"/>
      <c r="K900"/>
      <c r="L900" s="499"/>
      <c r="V900" s="504"/>
      <c r="BX900" s="769"/>
      <c r="BY900" s="179"/>
      <c r="BZ900" s="179"/>
      <c r="CA900" s="179"/>
      <c r="CB900" s="179"/>
      <c r="CC900" s="179"/>
      <c r="CD900" s="179"/>
      <c r="CE900" s="179"/>
      <c r="CF900" s="179"/>
      <c r="CG900"/>
      <c r="CH900"/>
      <c r="CI900"/>
      <c r="CJ900"/>
      <c r="CK900"/>
      <c r="CL900"/>
      <c r="CM900"/>
    </row>
    <row r="901" spans="1:91" x14ac:dyDescent="0.2">
      <c r="A901"/>
      <c r="B901"/>
      <c r="D901"/>
      <c r="E901"/>
      <c r="F901"/>
      <c r="G901"/>
      <c r="I901"/>
      <c r="J901"/>
      <c r="K901"/>
      <c r="L901" s="499"/>
      <c r="V901" s="504"/>
      <c r="BX901" s="769"/>
      <c r="BY901" s="179"/>
      <c r="BZ901" s="179"/>
      <c r="CA901" s="179"/>
      <c r="CB901" s="179"/>
      <c r="CC901" s="179"/>
      <c r="CD901" s="179"/>
      <c r="CE901" s="179"/>
      <c r="CF901" s="179"/>
      <c r="CG901"/>
      <c r="CH901"/>
      <c r="CI901"/>
      <c r="CJ901"/>
      <c r="CK901"/>
      <c r="CL901"/>
      <c r="CM901"/>
    </row>
    <row r="902" spans="1:91" x14ac:dyDescent="0.2">
      <c r="A902"/>
      <c r="B902"/>
      <c r="D902"/>
      <c r="E902"/>
      <c r="F902"/>
      <c r="G902"/>
      <c r="I902"/>
      <c r="J902"/>
      <c r="K902"/>
      <c r="L902" s="499"/>
      <c r="V902" s="504"/>
      <c r="BX902" s="769"/>
      <c r="BY902" s="179"/>
      <c r="BZ902" s="179"/>
      <c r="CA902" s="179"/>
      <c r="CB902" s="179"/>
      <c r="CC902" s="179"/>
      <c r="CD902" s="179"/>
      <c r="CE902" s="179"/>
      <c r="CF902" s="179"/>
      <c r="CG902"/>
      <c r="CH902"/>
      <c r="CI902"/>
      <c r="CJ902"/>
      <c r="CK902"/>
      <c r="CL902"/>
      <c r="CM902"/>
    </row>
    <row r="903" spans="1:91" x14ac:dyDescent="0.2">
      <c r="A903"/>
      <c r="B903"/>
      <c r="D903"/>
      <c r="E903"/>
      <c r="F903"/>
      <c r="G903"/>
      <c r="I903"/>
      <c r="J903"/>
      <c r="K903"/>
      <c r="L903" s="499"/>
      <c r="V903" s="504"/>
      <c r="BX903" s="769"/>
      <c r="BY903" s="179"/>
      <c r="BZ903" s="179"/>
      <c r="CA903" s="179"/>
      <c r="CB903" s="179"/>
      <c r="CC903" s="179"/>
      <c r="CD903" s="179"/>
      <c r="CE903" s="179"/>
      <c r="CF903" s="179"/>
      <c r="CG903"/>
      <c r="CH903"/>
      <c r="CI903"/>
      <c r="CJ903"/>
      <c r="CK903"/>
      <c r="CL903"/>
      <c r="CM903"/>
    </row>
    <row r="904" spans="1:91" x14ac:dyDescent="0.2">
      <c r="A904"/>
      <c r="B904"/>
      <c r="D904"/>
      <c r="E904"/>
      <c r="F904"/>
      <c r="G904"/>
      <c r="I904"/>
      <c r="J904"/>
      <c r="K904"/>
      <c r="L904" s="499"/>
      <c r="V904" s="504"/>
      <c r="BX904" s="769"/>
      <c r="BY904" s="179"/>
      <c r="BZ904" s="179"/>
      <c r="CA904" s="179"/>
      <c r="CB904" s="179"/>
      <c r="CC904" s="179"/>
      <c r="CD904" s="179"/>
      <c r="CE904" s="179"/>
      <c r="CF904" s="179"/>
      <c r="CG904"/>
      <c r="CH904"/>
      <c r="CI904"/>
      <c r="CJ904"/>
      <c r="CK904"/>
      <c r="CL904"/>
      <c r="CM904"/>
    </row>
    <row r="905" spans="1:91" x14ac:dyDescent="0.2">
      <c r="A905"/>
      <c r="B905"/>
      <c r="D905"/>
      <c r="E905"/>
      <c r="F905"/>
      <c r="G905"/>
      <c r="I905"/>
      <c r="J905"/>
      <c r="K905"/>
      <c r="L905" s="499"/>
      <c r="V905" s="504"/>
      <c r="BX905" s="769"/>
      <c r="BY905" s="179"/>
      <c r="BZ905" s="179"/>
      <c r="CA905" s="179"/>
      <c r="CB905" s="179"/>
      <c r="CC905" s="179"/>
      <c r="CD905" s="179"/>
      <c r="CE905" s="179"/>
      <c r="CF905" s="179"/>
      <c r="CG905"/>
      <c r="CH905"/>
      <c r="CI905"/>
      <c r="CJ905"/>
      <c r="CK905"/>
      <c r="CL905"/>
      <c r="CM905"/>
    </row>
    <row r="906" spans="1:91" x14ac:dyDescent="0.2">
      <c r="A906"/>
      <c r="B906"/>
      <c r="D906"/>
      <c r="E906"/>
      <c r="F906"/>
      <c r="G906"/>
      <c r="I906"/>
      <c r="J906"/>
      <c r="K906"/>
      <c r="L906" s="499"/>
      <c r="V906" s="504"/>
      <c r="BX906" s="769"/>
      <c r="BY906" s="179"/>
      <c r="BZ906" s="179"/>
      <c r="CA906" s="179"/>
      <c r="CB906" s="179"/>
      <c r="CC906" s="179"/>
      <c r="CD906" s="179"/>
      <c r="CE906" s="179"/>
      <c r="CF906" s="179"/>
      <c r="CG906"/>
      <c r="CH906"/>
      <c r="CI906"/>
      <c r="CJ906"/>
      <c r="CK906"/>
      <c r="CL906"/>
      <c r="CM906"/>
    </row>
    <row r="907" spans="1:91" x14ac:dyDescent="0.2">
      <c r="A907"/>
      <c r="B907"/>
      <c r="D907"/>
      <c r="E907"/>
      <c r="F907"/>
      <c r="G907"/>
      <c r="I907"/>
      <c r="J907"/>
      <c r="K907"/>
      <c r="L907" s="499"/>
      <c r="V907" s="504"/>
      <c r="BX907" s="769"/>
      <c r="BY907" s="179"/>
      <c r="BZ907" s="179"/>
      <c r="CA907" s="179"/>
      <c r="CB907" s="179"/>
      <c r="CC907" s="179"/>
      <c r="CD907" s="179"/>
      <c r="CE907" s="179"/>
      <c r="CF907" s="179"/>
      <c r="CG907"/>
      <c r="CH907"/>
      <c r="CI907"/>
      <c r="CJ907"/>
      <c r="CK907"/>
      <c r="CL907"/>
      <c r="CM907"/>
    </row>
    <row r="908" spans="1:91" x14ac:dyDescent="0.2">
      <c r="A908"/>
      <c r="B908"/>
      <c r="D908"/>
      <c r="E908"/>
      <c r="F908"/>
      <c r="G908"/>
      <c r="I908"/>
      <c r="J908"/>
      <c r="K908"/>
      <c r="L908" s="499"/>
      <c r="V908" s="504"/>
      <c r="BX908" s="769"/>
      <c r="BY908" s="179"/>
      <c r="BZ908" s="179"/>
      <c r="CA908" s="179"/>
      <c r="CB908" s="179"/>
      <c r="CC908" s="179"/>
      <c r="CD908" s="179"/>
      <c r="CE908" s="179"/>
      <c r="CF908" s="179"/>
      <c r="CG908"/>
      <c r="CH908"/>
      <c r="CI908"/>
      <c r="CJ908"/>
      <c r="CK908"/>
      <c r="CL908"/>
      <c r="CM908"/>
    </row>
    <row r="909" spans="1:91" x14ac:dyDescent="0.2">
      <c r="A909"/>
      <c r="B909"/>
      <c r="D909"/>
      <c r="E909"/>
      <c r="F909"/>
      <c r="G909"/>
      <c r="I909"/>
      <c r="J909"/>
      <c r="K909"/>
      <c r="L909" s="499"/>
      <c r="V909" s="504"/>
      <c r="BX909" s="769"/>
      <c r="BY909" s="179"/>
      <c r="BZ909" s="179"/>
      <c r="CA909" s="179"/>
      <c r="CB909" s="179"/>
      <c r="CC909" s="179"/>
      <c r="CD909" s="179"/>
      <c r="CE909" s="179"/>
      <c r="CF909" s="179"/>
      <c r="CG909"/>
      <c r="CH909"/>
      <c r="CI909"/>
      <c r="CJ909"/>
      <c r="CK909"/>
      <c r="CL909"/>
      <c r="CM909"/>
    </row>
    <row r="910" spans="1:91" x14ac:dyDescent="0.2">
      <c r="A910"/>
      <c r="B910"/>
      <c r="D910"/>
      <c r="E910"/>
      <c r="F910"/>
      <c r="G910"/>
      <c r="I910"/>
      <c r="J910"/>
      <c r="K910"/>
      <c r="L910" s="499"/>
      <c r="V910" s="504"/>
      <c r="BX910" s="769"/>
      <c r="BY910" s="179"/>
      <c r="BZ910" s="179"/>
      <c r="CA910" s="179"/>
      <c r="CB910" s="179"/>
      <c r="CC910" s="179"/>
      <c r="CD910" s="179"/>
      <c r="CE910" s="179"/>
      <c r="CF910" s="179"/>
      <c r="CG910"/>
      <c r="CH910"/>
      <c r="CI910"/>
      <c r="CJ910"/>
      <c r="CK910"/>
      <c r="CL910"/>
      <c r="CM910"/>
    </row>
    <row r="911" spans="1:91" x14ac:dyDescent="0.2">
      <c r="A911"/>
      <c r="B911"/>
      <c r="D911"/>
      <c r="E911"/>
      <c r="F911"/>
      <c r="G911"/>
      <c r="I911"/>
      <c r="J911"/>
      <c r="K911"/>
      <c r="L911" s="499"/>
      <c r="V911" s="504"/>
      <c r="BX911" s="769"/>
      <c r="BY911" s="179"/>
      <c r="BZ911" s="179"/>
      <c r="CA911" s="179"/>
      <c r="CB911" s="179"/>
      <c r="CC911" s="179"/>
      <c r="CD911" s="179"/>
      <c r="CE911" s="179"/>
      <c r="CF911" s="179"/>
      <c r="CG911"/>
      <c r="CH911"/>
      <c r="CI911"/>
      <c r="CJ911"/>
      <c r="CK911"/>
      <c r="CL911"/>
      <c r="CM911"/>
    </row>
    <row r="912" spans="1:91" x14ac:dyDescent="0.2">
      <c r="A912"/>
      <c r="B912"/>
      <c r="D912"/>
      <c r="E912"/>
      <c r="F912"/>
      <c r="G912"/>
      <c r="I912"/>
      <c r="J912"/>
      <c r="K912"/>
      <c r="L912" s="499"/>
      <c r="V912" s="504"/>
      <c r="BX912" s="769"/>
      <c r="BY912" s="179"/>
      <c r="BZ912" s="179"/>
      <c r="CA912" s="179"/>
      <c r="CB912" s="179"/>
      <c r="CC912" s="179"/>
      <c r="CD912" s="179"/>
      <c r="CE912" s="179"/>
      <c r="CF912" s="179"/>
      <c r="CG912"/>
      <c r="CH912"/>
      <c r="CI912"/>
      <c r="CJ912"/>
      <c r="CK912"/>
      <c r="CL912"/>
      <c r="CM912"/>
    </row>
    <row r="913" spans="1:91" x14ac:dyDescent="0.2">
      <c r="A913"/>
      <c r="B913"/>
      <c r="D913"/>
      <c r="E913"/>
      <c r="F913"/>
      <c r="G913"/>
      <c r="I913"/>
      <c r="J913"/>
      <c r="K913"/>
      <c r="L913" s="499"/>
      <c r="V913" s="504"/>
      <c r="BX913" s="769"/>
      <c r="BY913" s="179"/>
      <c r="BZ913" s="179"/>
      <c r="CA913" s="179"/>
      <c r="CB913" s="179"/>
      <c r="CC913" s="179"/>
      <c r="CD913" s="179"/>
      <c r="CE913" s="179"/>
      <c r="CF913" s="179"/>
      <c r="CG913"/>
      <c r="CH913"/>
      <c r="CI913"/>
      <c r="CJ913"/>
      <c r="CK913"/>
      <c r="CL913"/>
      <c r="CM913"/>
    </row>
    <row r="914" spans="1:91" x14ac:dyDescent="0.2">
      <c r="A914"/>
      <c r="B914"/>
      <c r="D914"/>
      <c r="E914"/>
      <c r="F914"/>
      <c r="G914"/>
      <c r="I914"/>
      <c r="J914"/>
      <c r="K914"/>
      <c r="L914" s="499"/>
      <c r="V914" s="504"/>
      <c r="BX914" s="769"/>
      <c r="BY914" s="179"/>
      <c r="BZ914" s="179"/>
      <c r="CA914" s="179"/>
      <c r="CB914" s="179"/>
      <c r="CC914" s="179"/>
      <c r="CD914" s="179"/>
      <c r="CE914" s="179"/>
      <c r="CF914" s="179"/>
      <c r="CG914"/>
      <c r="CH914"/>
      <c r="CI914"/>
      <c r="CJ914"/>
      <c r="CK914"/>
      <c r="CL914"/>
      <c r="CM914"/>
    </row>
    <row r="915" spans="1:91" x14ac:dyDescent="0.2">
      <c r="A915"/>
      <c r="B915"/>
      <c r="D915"/>
      <c r="E915"/>
      <c r="F915"/>
      <c r="G915"/>
      <c r="I915"/>
      <c r="J915"/>
      <c r="K915"/>
      <c r="L915" s="499"/>
      <c r="V915" s="504"/>
      <c r="BX915" s="769"/>
      <c r="BY915" s="179"/>
      <c r="BZ915" s="179"/>
      <c r="CA915" s="179"/>
      <c r="CB915" s="179"/>
      <c r="CC915" s="179"/>
      <c r="CD915" s="179"/>
      <c r="CE915" s="179"/>
      <c r="CF915" s="179"/>
      <c r="CG915"/>
      <c r="CH915"/>
      <c r="CI915"/>
      <c r="CJ915"/>
      <c r="CK915"/>
      <c r="CL915"/>
      <c r="CM915"/>
    </row>
    <row r="916" spans="1:91" x14ac:dyDescent="0.2">
      <c r="A916"/>
      <c r="B916"/>
      <c r="D916"/>
      <c r="E916"/>
      <c r="F916"/>
      <c r="G916"/>
      <c r="I916"/>
      <c r="J916"/>
      <c r="K916"/>
      <c r="L916" s="499"/>
      <c r="V916" s="504"/>
      <c r="BX916" s="769"/>
      <c r="BY916" s="179"/>
      <c r="BZ916" s="179"/>
      <c r="CA916" s="179"/>
      <c r="CB916" s="179"/>
      <c r="CC916" s="179"/>
      <c r="CD916" s="179"/>
      <c r="CE916" s="179"/>
      <c r="CF916" s="179"/>
      <c r="CG916"/>
      <c r="CH916"/>
      <c r="CI916"/>
      <c r="CJ916"/>
      <c r="CK916"/>
      <c r="CL916"/>
      <c r="CM916"/>
    </row>
    <row r="917" spans="1:91" x14ac:dyDescent="0.2">
      <c r="A917"/>
      <c r="B917"/>
      <c r="D917"/>
      <c r="E917"/>
      <c r="F917"/>
      <c r="G917"/>
      <c r="I917"/>
      <c r="J917"/>
      <c r="K917"/>
      <c r="L917" s="499"/>
      <c r="V917" s="504"/>
      <c r="BX917" s="769"/>
      <c r="BY917" s="179"/>
      <c r="BZ917" s="179"/>
      <c r="CA917" s="179"/>
      <c r="CB917" s="179"/>
      <c r="CC917" s="179"/>
      <c r="CD917" s="179"/>
      <c r="CE917" s="179"/>
      <c r="CF917" s="179"/>
      <c r="CG917"/>
      <c r="CH917"/>
      <c r="CI917"/>
      <c r="CJ917"/>
      <c r="CK917"/>
      <c r="CL917"/>
      <c r="CM917"/>
    </row>
    <row r="918" spans="1:91" x14ac:dyDescent="0.2">
      <c r="A918"/>
      <c r="B918"/>
      <c r="D918"/>
      <c r="E918"/>
      <c r="F918"/>
      <c r="G918"/>
      <c r="I918"/>
      <c r="J918"/>
      <c r="K918"/>
      <c r="L918" s="499"/>
      <c r="V918" s="504"/>
      <c r="BX918" s="769"/>
      <c r="BY918" s="179"/>
      <c r="BZ918" s="179"/>
      <c r="CA918" s="179"/>
      <c r="CB918" s="179"/>
      <c r="CC918" s="179"/>
      <c r="CD918" s="179"/>
      <c r="CE918" s="179"/>
      <c r="CF918" s="179"/>
      <c r="CG918"/>
      <c r="CH918"/>
      <c r="CI918"/>
      <c r="CJ918"/>
      <c r="CK918"/>
      <c r="CL918"/>
      <c r="CM918"/>
    </row>
    <row r="919" spans="1:91" x14ac:dyDescent="0.2">
      <c r="A919"/>
      <c r="B919"/>
      <c r="D919"/>
      <c r="E919"/>
      <c r="F919"/>
      <c r="G919"/>
      <c r="I919"/>
      <c r="J919"/>
      <c r="K919"/>
      <c r="L919" s="499"/>
      <c r="V919" s="504"/>
      <c r="BX919" s="769"/>
      <c r="BY919" s="179"/>
      <c r="BZ919" s="179"/>
      <c r="CA919" s="179"/>
      <c r="CB919" s="179"/>
      <c r="CC919" s="179"/>
      <c r="CD919" s="179"/>
      <c r="CE919" s="179"/>
      <c r="CF919" s="179"/>
      <c r="CG919"/>
      <c r="CH919"/>
      <c r="CI919"/>
      <c r="CJ919"/>
      <c r="CK919"/>
      <c r="CL919"/>
      <c r="CM919"/>
    </row>
    <row r="920" spans="1:91" x14ac:dyDescent="0.2">
      <c r="A920"/>
      <c r="B920"/>
      <c r="D920"/>
      <c r="E920"/>
      <c r="F920"/>
      <c r="G920"/>
      <c r="I920"/>
      <c r="J920"/>
      <c r="K920"/>
      <c r="L920" s="499"/>
      <c r="V920" s="504"/>
      <c r="BX920" s="769"/>
      <c r="BY920" s="179"/>
      <c r="BZ920" s="179"/>
      <c r="CA920" s="179"/>
      <c r="CB920" s="179"/>
      <c r="CC920" s="179"/>
      <c r="CD920" s="179"/>
      <c r="CE920" s="179"/>
      <c r="CF920" s="179"/>
      <c r="CG920"/>
      <c r="CH920"/>
      <c r="CI920"/>
      <c r="CJ920"/>
      <c r="CK920"/>
      <c r="CL920"/>
      <c r="CM920"/>
    </row>
    <row r="921" spans="1:91" x14ac:dyDescent="0.2">
      <c r="A921"/>
      <c r="B921"/>
      <c r="D921"/>
      <c r="E921"/>
      <c r="F921"/>
      <c r="G921"/>
      <c r="I921"/>
      <c r="J921"/>
      <c r="K921"/>
      <c r="L921" s="499"/>
      <c r="V921" s="504"/>
      <c r="BX921" s="769"/>
      <c r="BY921" s="179"/>
      <c r="BZ921" s="179"/>
      <c r="CA921" s="179"/>
      <c r="CB921" s="179"/>
      <c r="CC921" s="179"/>
      <c r="CD921" s="179"/>
      <c r="CE921" s="179"/>
      <c r="CF921" s="179"/>
      <c r="CG921"/>
      <c r="CH921"/>
      <c r="CI921"/>
      <c r="CJ921"/>
      <c r="CK921"/>
      <c r="CL921"/>
      <c r="CM921"/>
    </row>
    <row r="922" spans="1:91" x14ac:dyDescent="0.2">
      <c r="A922"/>
      <c r="B922"/>
      <c r="D922"/>
      <c r="E922"/>
      <c r="F922"/>
      <c r="G922"/>
      <c r="I922"/>
      <c r="J922"/>
      <c r="K922"/>
      <c r="L922" s="499"/>
      <c r="V922" s="504"/>
      <c r="BX922" s="769"/>
      <c r="BY922" s="179"/>
      <c r="BZ922" s="179"/>
      <c r="CA922" s="179"/>
      <c r="CB922" s="179"/>
      <c r="CC922" s="179"/>
      <c r="CD922" s="179"/>
      <c r="CE922" s="179"/>
      <c r="CF922" s="179"/>
      <c r="CG922"/>
      <c r="CH922"/>
      <c r="CI922"/>
      <c r="CJ922"/>
      <c r="CK922"/>
      <c r="CL922"/>
      <c r="CM922"/>
    </row>
    <row r="923" spans="1:91" x14ac:dyDescent="0.2">
      <c r="A923"/>
      <c r="B923"/>
      <c r="D923"/>
      <c r="E923"/>
      <c r="F923"/>
      <c r="G923"/>
      <c r="I923"/>
      <c r="J923"/>
      <c r="K923"/>
      <c r="L923" s="499"/>
      <c r="V923" s="504"/>
      <c r="BX923" s="769"/>
      <c r="BY923" s="179"/>
      <c r="BZ923" s="179"/>
      <c r="CA923" s="179"/>
      <c r="CB923" s="179"/>
      <c r="CC923" s="179"/>
      <c r="CD923" s="179"/>
      <c r="CE923" s="179"/>
      <c r="CF923" s="179"/>
      <c r="CG923"/>
      <c r="CH923"/>
      <c r="CI923"/>
      <c r="CJ923"/>
      <c r="CK923"/>
      <c r="CL923"/>
      <c r="CM923"/>
    </row>
    <row r="924" spans="1:91" x14ac:dyDescent="0.2">
      <c r="A924"/>
      <c r="B924"/>
      <c r="D924"/>
      <c r="E924"/>
      <c r="F924"/>
      <c r="G924"/>
      <c r="I924"/>
      <c r="J924"/>
      <c r="K924"/>
      <c r="L924" s="499"/>
      <c r="V924" s="504"/>
      <c r="BX924" s="769"/>
      <c r="BY924" s="179"/>
      <c r="BZ924" s="179"/>
      <c r="CA924" s="179"/>
      <c r="CB924" s="179"/>
      <c r="CC924" s="179"/>
      <c r="CD924" s="179"/>
      <c r="CE924" s="179"/>
      <c r="CF924" s="179"/>
      <c r="CG924"/>
      <c r="CH924"/>
      <c r="CI924"/>
      <c r="CJ924"/>
      <c r="CK924"/>
      <c r="CL924"/>
      <c r="CM924"/>
    </row>
    <row r="925" spans="1:91" x14ac:dyDescent="0.2">
      <c r="A925"/>
      <c r="B925"/>
      <c r="D925"/>
      <c r="E925"/>
      <c r="F925"/>
      <c r="G925"/>
      <c r="I925"/>
      <c r="J925"/>
      <c r="K925"/>
      <c r="L925" s="499"/>
      <c r="V925" s="504"/>
      <c r="BX925" s="769"/>
      <c r="BY925" s="179"/>
      <c r="BZ925" s="179"/>
      <c r="CA925" s="179"/>
      <c r="CB925" s="179"/>
      <c r="CC925" s="179"/>
      <c r="CD925" s="179"/>
      <c r="CE925" s="179"/>
      <c r="CF925" s="179"/>
      <c r="CG925"/>
      <c r="CH925"/>
      <c r="CI925"/>
      <c r="CJ925"/>
      <c r="CK925"/>
      <c r="CL925"/>
      <c r="CM925"/>
    </row>
    <row r="926" spans="1:91" x14ac:dyDescent="0.2">
      <c r="A926"/>
      <c r="B926"/>
      <c r="D926"/>
      <c r="E926"/>
      <c r="F926"/>
      <c r="G926"/>
      <c r="I926"/>
      <c r="J926"/>
      <c r="K926"/>
      <c r="L926" s="499"/>
      <c r="V926" s="504"/>
      <c r="BX926" s="769"/>
      <c r="BY926" s="179"/>
      <c r="BZ926" s="179"/>
      <c r="CA926" s="179"/>
      <c r="CB926" s="179"/>
      <c r="CC926" s="179"/>
      <c r="CD926" s="179"/>
      <c r="CE926" s="179"/>
      <c r="CF926" s="179"/>
      <c r="CG926"/>
      <c r="CH926"/>
      <c r="CI926"/>
      <c r="CJ926"/>
      <c r="CK926"/>
      <c r="CL926"/>
      <c r="CM926"/>
    </row>
    <row r="927" spans="1:91" x14ac:dyDescent="0.2">
      <c r="A927"/>
      <c r="B927"/>
      <c r="D927"/>
      <c r="E927"/>
      <c r="F927"/>
      <c r="G927"/>
      <c r="I927"/>
      <c r="J927"/>
      <c r="K927"/>
      <c r="L927" s="499"/>
      <c r="V927" s="504"/>
      <c r="BX927" s="769"/>
      <c r="BY927" s="179"/>
      <c r="BZ927" s="179"/>
      <c r="CA927" s="179"/>
      <c r="CB927" s="179"/>
      <c r="CC927" s="179"/>
      <c r="CD927" s="179"/>
      <c r="CE927" s="179"/>
      <c r="CF927" s="179"/>
      <c r="CG927"/>
      <c r="CH927"/>
      <c r="CI927"/>
      <c r="CJ927"/>
      <c r="CK927"/>
      <c r="CL927"/>
      <c r="CM927"/>
    </row>
    <row r="928" spans="1:91" x14ac:dyDescent="0.2">
      <c r="A928"/>
      <c r="B928"/>
      <c r="D928"/>
      <c r="E928"/>
      <c r="F928"/>
      <c r="G928"/>
      <c r="I928"/>
      <c r="J928"/>
      <c r="K928"/>
      <c r="L928" s="499"/>
      <c r="V928" s="504"/>
      <c r="BX928" s="769"/>
      <c r="BY928" s="179"/>
      <c r="BZ928" s="179"/>
      <c r="CA928" s="179"/>
      <c r="CB928" s="179"/>
      <c r="CC928" s="179"/>
      <c r="CD928" s="179"/>
      <c r="CE928" s="179"/>
      <c r="CF928" s="179"/>
      <c r="CG928"/>
      <c r="CH928"/>
      <c r="CI928"/>
      <c r="CJ928"/>
      <c r="CK928"/>
      <c r="CL928"/>
      <c r="CM928"/>
    </row>
    <row r="929" spans="1:91" x14ac:dyDescent="0.2">
      <c r="A929"/>
      <c r="B929"/>
      <c r="D929"/>
      <c r="E929"/>
      <c r="F929"/>
      <c r="G929"/>
      <c r="I929"/>
      <c r="J929"/>
      <c r="K929"/>
      <c r="L929" s="499"/>
      <c r="V929" s="504"/>
      <c r="BX929" s="769"/>
      <c r="BY929" s="179"/>
      <c r="BZ929" s="179"/>
      <c r="CA929" s="179"/>
      <c r="CB929" s="179"/>
      <c r="CC929" s="179"/>
      <c r="CD929" s="179"/>
      <c r="CE929" s="179"/>
      <c r="CF929" s="179"/>
      <c r="CG929"/>
      <c r="CH929"/>
      <c r="CI929"/>
      <c r="CJ929"/>
      <c r="CK929"/>
      <c r="CL929"/>
      <c r="CM929"/>
    </row>
    <row r="930" spans="1:91" x14ac:dyDescent="0.2">
      <c r="A930"/>
      <c r="B930"/>
      <c r="D930"/>
      <c r="E930"/>
      <c r="F930"/>
      <c r="G930"/>
      <c r="I930"/>
      <c r="J930"/>
      <c r="K930"/>
      <c r="L930" s="499"/>
      <c r="V930" s="504"/>
      <c r="BX930" s="769"/>
      <c r="BY930" s="179"/>
      <c r="BZ930" s="179"/>
      <c r="CA930" s="179"/>
      <c r="CB930" s="179"/>
      <c r="CC930" s="179"/>
      <c r="CD930" s="179"/>
      <c r="CE930" s="179"/>
      <c r="CF930" s="179"/>
      <c r="CG930"/>
      <c r="CH930"/>
      <c r="CI930"/>
      <c r="CJ930"/>
      <c r="CK930"/>
      <c r="CL930"/>
      <c r="CM930"/>
    </row>
    <row r="931" spans="1:91" x14ac:dyDescent="0.2">
      <c r="A931"/>
      <c r="B931"/>
      <c r="D931"/>
      <c r="E931"/>
      <c r="F931"/>
      <c r="G931"/>
      <c r="I931"/>
      <c r="J931"/>
      <c r="K931"/>
      <c r="L931" s="499"/>
      <c r="V931" s="504"/>
      <c r="BX931" s="769"/>
      <c r="BY931" s="179"/>
      <c r="BZ931" s="179"/>
      <c r="CA931" s="179"/>
      <c r="CB931" s="179"/>
      <c r="CC931" s="179"/>
      <c r="CD931" s="179"/>
      <c r="CE931" s="179"/>
      <c r="CF931" s="179"/>
      <c r="CG931"/>
      <c r="CH931"/>
      <c r="CI931"/>
      <c r="CJ931"/>
      <c r="CK931"/>
      <c r="CL931"/>
      <c r="CM931"/>
    </row>
    <row r="932" spans="1:91" x14ac:dyDescent="0.2">
      <c r="A932"/>
      <c r="B932"/>
      <c r="D932"/>
      <c r="E932"/>
      <c r="F932"/>
      <c r="G932"/>
      <c r="I932"/>
      <c r="J932"/>
      <c r="K932"/>
      <c r="L932" s="499"/>
      <c r="V932" s="504"/>
      <c r="BX932" s="769"/>
      <c r="BY932" s="179"/>
      <c r="BZ932" s="179"/>
      <c r="CA932" s="179"/>
      <c r="CB932" s="179"/>
      <c r="CC932" s="179"/>
      <c r="CD932" s="179"/>
      <c r="CE932" s="179"/>
      <c r="CF932" s="179"/>
      <c r="CG932"/>
      <c r="CH932"/>
      <c r="CI932"/>
      <c r="CJ932"/>
      <c r="CK932"/>
      <c r="CL932"/>
      <c r="CM932"/>
    </row>
    <row r="933" spans="1:91" x14ac:dyDescent="0.2">
      <c r="A933"/>
      <c r="B933"/>
      <c r="D933"/>
      <c r="E933"/>
      <c r="F933"/>
      <c r="G933"/>
      <c r="I933"/>
      <c r="J933"/>
      <c r="K933"/>
      <c r="L933" s="499"/>
      <c r="V933" s="504"/>
      <c r="BX933" s="769"/>
      <c r="BY933" s="179"/>
      <c r="BZ933" s="179"/>
      <c r="CA933" s="179"/>
      <c r="CB933" s="179"/>
      <c r="CC933" s="179"/>
      <c r="CD933" s="179"/>
      <c r="CE933" s="179"/>
      <c r="CF933" s="179"/>
      <c r="CG933"/>
      <c r="CH933"/>
      <c r="CI933"/>
      <c r="CJ933"/>
      <c r="CK933"/>
      <c r="CL933"/>
      <c r="CM933"/>
    </row>
    <row r="934" spans="1:91" x14ac:dyDescent="0.2">
      <c r="A934"/>
      <c r="B934"/>
      <c r="D934"/>
      <c r="E934"/>
      <c r="F934"/>
      <c r="G934"/>
      <c r="I934"/>
      <c r="J934"/>
      <c r="K934"/>
      <c r="L934" s="499"/>
      <c r="V934" s="504"/>
      <c r="BX934" s="769"/>
      <c r="BY934" s="179"/>
      <c r="BZ934" s="179"/>
      <c r="CA934" s="179"/>
      <c r="CB934" s="179"/>
      <c r="CC934" s="179"/>
      <c r="CD934" s="179"/>
      <c r="CE934" s="179"/>
      <c r="CF934" s="179"/>
      <c r="CG934"/>
      <c r="CH934"/>
      <c r="CI934"/>
      <c r="CJ934"/>
      <c r="CK934"/>
      <c r="CL934"/>
      <c r="CM934"/>
    </row>
    <row r="935" spans="1:91" x14ac:dyDescent="0.2">
      <c r="A935"/>
      <c r="B935"/>
      <c r="D935"/>
      <c r="E935"/>
      <c r="F935"/>
      <c r="G935"/>
      <c r="I935"/>
      <c r="J935"/>
      <c r="K935"/>
      <c r="L935" s="499"/>
      <c r="V935" s="504"/>
      <c r="BX935" s="769"/>
      <c r="BY935" s="179"/>
      <c r="BZ935" s="179"/>
      <c r="CA935" s="179"/>
      <c r="CB935" s="179"/>
      <c r="CC935" s="179"/>
      <c r="CD935" s="179"/>
      <c r="CE935" s="179"/>
      <c r="CF935" s="179"/>
      <c r="CG935"/>
      <c r="CH935"/>
      <c r="CI935"/>
      <c r="CJ935"/>
      <c r="CK935"/>
      <c r="CL935"/>
      <c r="CM935"/>
    </row>
    <row r="936" spans="1:91" x14ac:dyDescent="0.2">
      <c r="A936"/>
      <c r="B936"/>
      <c r="D936"/>
      <c r="E936"/>
      <c r="F936"/>
      <c r="G936"/>
      <c r="I936"/>
      <c r="J936"/>
      <c r="K936"/>
      <c r="L936" s="499"/>
      <c r="V936" s="504"/>
      <c r="BX936" s="769"/>
      <c r="BY936" s="179"/>
      <c r="BZ936" s="179"/>
      <c r="CA936" s="179"/>
      <c r="CB936" s="179"/>
      <c r="CC936" s="179"/>
      <c r="CD936" s="179"/>
      <c r="CE936" s="179"/>
      <c r="CF936" s="179"/>
      <c r="CG936"/>
      <c r="CH936"/>
      <c r="CI936"/>
      <c r="CJ936"/>
      <c r="CK936"/>
      <c r="CL936"/>
      <c r="CM936"/>
    </row>
    <row r="937" spans="1:91" x14ac:dyDescent="0.2">
      <c r="A937"/>
      <c r="B937"/>
      <c r="D937"/>
      <c r="E937"/>
      <c r="F937"/>
      <c r="G937"/>
      <c r="I937"/>
      <c r="J937"/>
      <c r="K937"/>
      <c r="L937" s="499"/>
      <c r="V937" s="504"/>
      <c r="BX937" s="769"/>
      <c r="BY937" s="179"/>
      <c r="BZ937" s="179"/>
      <c r="CA937" s="179"/>
      <c r="CB937" s="179"/>
      <c r="CC937" s="179"/>
      <c r="CD937" s="179"/>
      <c r="CE937" s="179"/>
      <c r="CF937" s="179"/>
      <c r="CG937"/>
      <c r="CH937"/>
      <c r="CI937"/>
      <c r="CJ937"/>
      <c r="CK937"/>
      <c r="CL937"/>
      <c r="CM937"/>
    </row>
    <row r="938" spans="1:91" x14ac:dyDescent="0.2">
      <c r="A938"/>
      <c r="B938"/>
      <c r="D938"/>
      <c r="E938"/>
      <c r="F938"/>
      <c r="G938"/>
      <c r="I938"/>
      <c r="J938"/>
      <c r="K938"/>
      <c r="L938" s="499"/>
      <c r="V938" s="504"/>
      <c r="BX938" s="769"/>
      <c r="BY938" s="179"/>
      <c r="BZ938" s="179"/>
      <c r="CA938" s="179"/>
      <c r="CB938" s="179"/>
      <c r="CC938" s="179"/>
      <c r="CD938" s="179"/>
      <c r="CE938" s="179"/>
      <c r="CF938" s="179"/>
      <c r="CG938"/>
      <c r="CH938"/>
      <c r="CI938"/>
      <c r="CJ938"/>
      <c r="CK938"/>
      <c r="CL938"/>
      <c r="CM938"/>
    </row>
    <row r="939" spans="1:91" x14ac:dyDescent="0.2">
      <c r="A939"/>
      <c r="B939"/>
      <c r="D939"/>
      <c r="E939"/>
      <c r="F939"/>
      <c r="G939"/>
      <c r="I939"/>
      <c r="J939"/>
      <c r="K939"/>
      <c r="L939" s="499"/>
      <c r="V939" s="504"/>
      <c r="BX939" s="769"/>
      <c r="BY939" s="179"/>
      <c r="BZ939" s="179"/>
      <c r="CA939" s="179"/>
      <c r="CB939" s="179"/>
      <c r="CC939" s="179"/>
      <c r="CD939" s="179"/>
      <c r="CE939" s="179"/>
      <c r="CF939" s="179"/>
      <c r="CG939"/>
      <c r="CH939"/>
      <c r="CI939"/>
      <c r="CJ939"/>
      <c r="CK939"/>
      <c r="CL939"/>
      <c r="CM939"/>
    </row>
    <row r="940" spans="1:91" x14ac:dyDescent="0.2">
      <c r="A940"/>
      <c r="B940"/>
      <c r="D940"/>
      <c r="E940"/>
      <c r="F940"/>
      <c r="G940"/>
      <c r="I940"/>
      <c r="J940"/>
      <c r="K940"/>
      <c r="L940" s="499"/>
      <c r="V940" s="504"/>
      <c r="BX940" s="769"/>
      <c r="BY940" s="179"/>
      <c r="BZ940" s="179"/>
      <c r="CA940" s="179"/>
      <c r="CB940" s="179"/>
      <c r="CC940" s="179"/>
      <c r="CD940" s="179"/>
      <c r="CE940" s="179"/>
      <c r="CF940" s="179"/>
      <c r="CG940"/>
      <c r="CH940"/>
      <c r="CI940"/>
      <c r="CJ940"/>
      <c r="CK940"/>
      <c r="CL940"/>
      <c r="CM940"/>
    </row>
    <row r="941" spans="1:91" x14ac:dyDescent="0.2">
      <c r="A941"/>
      <c r="B941"/>
      <c r="D941"/>
      <c r="E941"/>
      <c r="F941"/>
      <c r="G941"/>
      <c r="I941"/>
      <c r="J941"/>
      <c r="K941"/>
      <c r="L941" s="499"/>
      <c r="V941" s="504"/>
      <c r="BX941" s="769"/>
      <c r="BY941" s="179"/>
      <c r="BZ941" s="179"/>
      <c r="CA941" s="179"/>
      <c r="CB941" s="179"/>
      <c r="CC941" s="179"/>
      <c r="CD941" s="179"/>
      <c r="CE941" s="179"/>
      <c r="CF941" s="179"/>
      <c r="CG941"/>
      <c r="CH941"/>
      <c r="CI941"/>
      <c r="CJ941"/>
      <c r="CK941"/>
      <c r="CL941"/>
      <c r="CM941"/>
    </row>
    <row r="942" spans="1:91" x14ac:dyDescent="0.2">
      <c r="A942"/>
      <c r="B942"/>
      <c r="D942"/>
      <c r="E942"/>
      <c r="F942"/>
      <c r="G942"/>
      <c r="I942"/>
      <c r="J942"/>
      <c r="K942"/>
      <c r="L942" s="499"/>
      <c r="V942" s="504"/>
      <c r="BX942" s="769"/>
      <c r="BY942" s="179"/>
      <c r="BZ942" s="179"/>
      <c r="CA942" s="179"/>
      <c r="CB942" s="179"/>
      <c r="CC942" s="179"/>
      <c r="CD942" s="179"/>
      <c r="CE942" s="179"/>
      <c r="CF942" s="179"/>
      <c r="CG942"/>
      <c r="CH942"/>
      <c r="CI942"/>
      <c r="CJ942"/>
      <c r="CK942"/>
      <c r="CL942"/>
      <c r="CM942"/>
    </row>
    <row r="943" spans="1:91" x14ac:dyDescent="0.2">
      <c r="A943"/>
      <c r="B943"/>
      <c r="D943"/>
      <c r="E943"/>
      <c r="F943"/>
      <c r="G943"/>
      <c r="I943"/>
      <c r="J943"/>
      <c r="K943"/>
      <c r="L943" s="499"/>
      <c r="V943" s="504"/>
      <c r="BX943" s="769"/>
      <c r="BY943" s="179"/>
      <c r="BZ943" s="179"/>
      <c r="CA943" s="179"/>
      <c r="CB943" s="179"/>
      <c r="CC943" s="179"/>
      <c r="CD943" s="179"/>
      <c r="CE943" s="179"/>
      <c r="CF943" s="179"/>
      <c r="CG943"/>
      <c r="CH943"/>
      <c r="CI943"/>
      <c r="CJ943"/>
      <c r="CK943"/>
      <c r="CL943"/>
      <c r="CM943"/>
    </row>
    <row r="944" spans="1:91" x14ac:dyDescent="0.2">
      <c r="A944"/>
      <c r="B944"/>
      <c r="D944"/>
      <c r="E944"/>
      <c r="F944"/>
      <c r="G944"/>
      <c r="I944"/>
      <c r="J944"/>
      <c r="K944"/>
      <c r="L944" s="499"/>
      <c r="V944" s="504"/>
      <c r="BX944" s="769"/>
      <c r="BY944" s="179"/>
      <c r="BZ944" s="179"/>
      <c r="CA944" s="179"/>
      <c r="CB944" s="179"/>
      <c r="CC944" s="179"/>
      <c r="CD944" s="179"/>
      <c r="CE944" s="179"/>
      <c r="CF944" s="179"/>
      <c r="CG944"/>
      <c r="CH944"/>
      <c r="CI944"/>
      <c r="CJ944"/>
      <c r="CK944"/>
      <c r="CL944"/>
      <c r="CM944"/>
    </row>
    <row r="945" spans="1:91" x14ac:dyDescent="0.2">
      <c r="A945"/>
      <c r="B945"/>
      <c r="D945"/>
      <c r="E945"/>
      <c r="F945"/>
      <c r="G945"/>
      <c r="I945"/>
      <c r="J945"/>
      <c r="K945"/>
      <c r="L945" s="499"/>
      <c r="V945" s="504"/>
      <c r="BX945" s="769"/>
      <c r="BY945" s="179"/>
      <c r="BZ945" s="179"/>
      <c r="CA945" s="179"/>
      <c r="CB945" s="179"/>
      <c r="CC945" s="179"/>
      <c r="CD945" s="179"/>
      <c r="CE945" s="179"/>
      <c r="CF945" s="179"/>
      <c r="CG945"/>
      <c r="CH945"/>
      <c r="CI945"/>
      <c r="CJ945"/>
      <c r="CK945"/>
      <c r="CL945"/>
      <c r="CM945"/>
    </row>
    <row r="946" spans="1:91" x14ac:dyDescent="0.2">
      <c r="A946"/>
      <c r="B946"/>
      <c r="D946"/>
      <c r="E946"/>
      <c r="F946"/>
      <c r="G946"/>
      <c r="I946"/>
      <c r="J946"/>
      <c r="K946"/>
      <c r="L946" s="499"/>
      <c r="V946" s="504"/>
      <c r="BX946" s="769"/>
      <c r="BY946" s="179"/>
      <c r="BZ946" s="179"/>
      <c r="CA946" s="179"/>
      <c r="CB946" s="179"/>
      <c r="CC946" s="179"/>
      <c r="CD946" s="179"/>
      <c r="CE946" s="179"/>
      <c r="CF946" s="179"/>
      <c r="CG946"/>
      <c r="CH946"/>
      <c r="CI946"/>
      <c r="CJ946"/>
      <c r="CK946"/>
      <c r="CL946"/>
      <c r="CM946"/>
    </row>
    <row r="947" spans="1:91" x14ac:dyDescent="0.2">
      <c r="A947"/>
      <c r="B947"/>
      <c r="D947"/>
      <c r="E947"/>
      <c r="F947"/>
      <c r="G947"/>
      <c r="I947"/>
      <c r="J947"/>
      <c r="K947"/>
      <c r="L947" s="499"/>
      <c r="V947" s="504"/>
      <c r="BX947" s="769"/>
      <c r="BY947" s="179"/>
      <c r="BZ947" s="179"/>
      <c r="CA947" s="179"/>
      <c r="CB947" s="179"/>
      <c r="CC947" s="179"/>
      <c r="CD947" s="179"/>
      <c r="CE947" s="179"/>
      <c r="CF947" s="179"/>
      <c r="CG947"/>
      <c r="CH947"/>
      <c r="CI947"/>
      <c r="CJ947"/>
      <c r="CK947"/>
      <c r="CL947"/>
      <c r="CM947"/>
    </row>
    <row r="948" spans="1:91" x14ac:dyDescent="0.2">
      <c r="A948"/>
      <c r="B948"/>
      <c r="D948"/>
      <c r="E948"/>
      <c r="F948"/>
      <c r="G948"/>
      <c r="I948"/>
      <c r="J948"/>
      <c r="K948"/>
      <c r="L948" s="499"/>
      <c r="V948" s="504"/>
      <c r="BX948" s="769"/>
      <c r="BY948" s="179"/>
      <c r="BZ948" s="179"/>
      <c r="CA948" s="179"/>
      <c r="CB948" s="179"/>
      <c r="CC948" s="179"/>
      <c r="CD948" s="179"/>
      <c r="CE948" s="179"/>
      <c r="CF948" s="179"/>
      <c r="CG948"/>
      <c r="CH948"/>
      <c r="CI948"/>
      <c r="CJ948"/>
      <c r="CK948"/>
      <c r="CL948"/>
      <c r="CM948"/>
    </row>
    <row r="949" spans="1:91" x14ac:dyDescent="0.2">
      <c r="A949"/>
      <c r="B949"/>
      <c r="D949"/>
      <c r="E949"/>
      <c r="F949"/>
      <c r="G949"/>
      <c r="I949"/>
      <c r="J949"/>
      <c r="K949"/>
      <c r="L949" s="499"/>
      <c r="V949" s="504"/>
      <c r="BX949" s="769"/>
      <c r="BY949" s="179"/>
      <c r="BZ949" s="179"/>
      <c r="CA949" s="179"/>
      <c r="CB949" s="179"/>
      <c r="CC949" s="179"/>
      <c r="CD949" s="179"/>
      <c r="CE949" s="179"/>
      <c r="CF949" s="179"/>
      <c r="CG949"/>
      <c r="CH949"/>
      <c r="CI949"/>
      <c r="CJ949"/>
      <c r="CK949"/>
      <c r="CL949"/>
      <c r="CM949"/>
    </row>
    <row r="950" spans="1:91" x14ac:dyDescent="0.2">
      <c r="A950"/>
      <c r="B950"/>
      <c r="D950"/>
      <c r="E950"/>
      <c r="F950"/>
      <c r="G950"/>
      <c r="I950"/>
      <c r="J950"/>
      <c r="K950"/>
      <c r="L950" s="499"/>
      <c r="V950" s="504"/>
      <c r="BX950" s="769"/>
      <c r="BY950" s="179"/>
      <c r="BZ950" s="179"/>
      <c r="CA950" s="179"/>
      <c r="CB950" s="179"/>
      <c r="CC950" s="179"/>
      <c r="CD950" s="179"/>
      <c r="CE950" s="179"/>
      <c r="CF950" s="179"/>
      <c r="CG950"/>
      <c r="CH950"/>
      <c r="CI950"/>
      <c r="CJ950"/>
      <c r="CK950"/>
      <c r="CL950"/>
      <c r="CM950"/>
    </row>
    <row r="951" spans="1:91" x14ac:dyDescent="0.2">
      <c r="A951"/>
      <c r="B951"/>
      <c r="D951"/>
      <c r="E951"/>
      <c r="F951"/>
      <c r="G951"/>
      <c r="I951"/>
      <c r="J951"/>
      <c r="K951"/>
      <c r="L951" s="499"/>
      <c r="V951" s="504"/>
      <c r="BX951" s="769"/>
      <c r="BY951" s="179"/>
      <c r="BZ951" s="179"/>
      <c r="CA951" s="179"/>
      <c r="CB951" s="179"/>
      <c r="CC951" s="179"/>
      <c r="CD951" s="179"/>
      <c r="CE951" s="179"/>
      <c r="CF951" s="179"/>
      <c r="CG951"/>
      <c r="CH951"/>
      <c r="CI951"/>
      <c r="CJ951"/>
      <c r="CK951"/>
      <c r="CL951"/>
      <c r="CM951"/>
    </row>
    <row r="952" spans="1:91" x14ac:dyDescent="0.2">
      <c r="A952"/>
      <c r="B952"/>
      <c r="D952"/>
      <c r="E952"/>
      <c r="F952"/>
      <c r="G952"/>
      <c r="I952"/>
      <c r="J952"/>
      <c r="K952"/>
      <c r="L952" s="499"/>
      <c r="V952" s="504"/>
      <c r="BX952" s="769"/>
      <c r="BY952" s="179"/>
      <c r="BZ952" s="179"/>
      <c r="CA952" s="179"/>
      <c r="CB952" s="179"/>
      <c r="CC952" s="179"/>
      <c r="CD952" s="179"/>
      <c r="CE952" s="179"/>
      <c r="CF952" s="179"/>
      <c r="CG952"/>
      <c r="CH952"/>
      <c r="CI952"/>
      <c r="CJ952"/>
      <c r="CK952"/>
      <c r="CL952"/>
      <c r="CM952"/>
    </row>
    <row r="953" spans="1:91" x14ac:dyDescent="0.2">
      <c r="A953"/>
      <c r="B953"/>
      <c r="D953"/>
      <c r="E953"/>
      <c r="F953"/>
      <c r="G953"/>
      <c r="I953"/>
      <c r="J953"/>
      <c r="K953"/>
      <c r="L953" s="499"/>
      <c r="V953" s="504"/>
      <c r="BX953" s="769"/>
      <c r="BY953" s="179"/>
      <c r="BZ953" s="179"/>
      <c r="CA953" s="179"/>
      <c r="CB953" s="179"/>
      <c r="CC953" s="179"/>
      <c r="CD953" s="179"/>
      <c r="CE953" s="179"/>
      <c r="CF953" s="179"/>
      <c r="CG953"/>
      <c r="CH953"/>
      <c r="CI953"/>
      <c r="CJ953"/>
      <c r="CK953"/>
      <c r="CL953"/>
      <c r="CM953"/>
    </row>
    <row r="954" spans="1:91" x14ac:dyDescent="0.2">
      <c r="A954"/>
      <c r="B954"/>
      <c r="D954"/>
      <c r="E954"/>
      <c r="F954"/>
      <c r="G954"/>
      <c r="I954"/>
      <c r="J954"/>
      <c r="K954"/>
      <c r="L954" s="499"/>
      <c r="V954" s="504"/>
      <c r="BX954" s="769"/>
      <c r="BY954" s="179"/>
      <c r="BZ954" s="179"/>
      <c r="CA954" s="179"/>
      <c r="CB954" s="179"/>
      <c r="CC954" s="179"/>
      <c r="CD954" s="179"/>
      <c r="CE954" s="179"/>
      <c r="CF954" s="179"/>
      <c r="CG954"/>
      <c r="CH954"/>
      <c r="CI954"/>
      <c r="CJ954"/>
      <c r="CK954"/>
      <c r="CL954"/>
      <c r="CM954"/>
    </row>
    <row r="955" spans="1:91" x14ac:dyDescent="0.2">
      <c r="A955"/>
      <c r="B955"/>
      <c r="D955"/>
      <c r="E955"/>
      <c r="F955"/>
      <c r="G955"/>
      <c r="I955"/>
      <c r="J955"/>
      <c r="K955"/>
      <c r="L955" s="499"/>
      <c r="V955" s="504"/>
      <c r="BX955" s="769"/>
      <c r="BY955" s="179"/>
      <c r="BZ955" s="179"/>
      <c r="CA955" s="179"/>
      <c r="CB955" s="179"/>
      <c r="CC955" s="179"/>
      <c r="CD955" s="179"/>
      <c r="CE955" s="179"/>
      <c r="CF955" s="179"/>
      <c r="CG955"/>
      <c r="CH955"/>
      <c r="CI955"/>
      <c r="CJ955"/>
      <c r="CK955"/>
      <c r="CL955"/>
      <c r="CM955"/>
    </row>
    <row r="956" spans="1:91" x14ac:dyDescent="0.2">
      <c r="A956"/>
      <c r="B956"/>
      <c r="D956"/>
      <c r="E956"/>
      <c r="F956"/>
      <c r="G956"/>
      <c r="I956"/>
      <c r="J956"/>
      <c r="K956"/>
      <c r="L956" s="499"/>
      <c r="V956" s="504"/>
      <c r="BX956" s="769"/>
      <c r="BY956" s="179"/>
      <c r="BZ956" s="179"/>
      <c r="CA956" s="179"/>
      <c r="CB956" s="179"/>
      <c r="CC956" s="179"/>
      <c r="CD956" s="179"/>
      <c r="CE956" s="179"/>
      <c r="CF956" s="179"/>
      <c r="CG956"/>
      <c r="CH956"/>
      <c r="CI956"/>
      <c r="CJ956"/>
      <c r="CK956"/>
      <c r="CL956"/>
      <c r="CM956"/>
    </row>
    <row r="957" spans="1:91" x14ac:dyDescent="0.2">
      <c r="A957"/>
      <c r="B957"/>
      <c r="D957"/>
      <c r="E957"/>
      <c r="F957"/>
      <c r="G957"/>
      <c r="I957"/>
      <c r="J957"/>
      <c r="K957"/>
      <c r="L957" s="499"/>
      <c r="V957" s="504"/>
      <c r="BX957" s="769"/>
      <c r="BY957" s="179"/>
      <c r="BZ957" s="179"/>
      <c r="CA957" s="179"/>
      <c r="CB957" s="179"/>
      <c r="CC957" s="179"/>
      <c r="CD957" s="179"/>
      <c r="CE957" s="179"/>
      <c r="CF957" s="179"/>
      <c r="CG957"/>
      <c r="CH957"/>
      <c r="CI957"/>
      <c r="CJ957"/>
      <c r="CK957"/>
      <c r="CL957"/>
      <c r="CM957"/>
    </row>
    <row r="958" spans="1:91" x14ac:dyDescent="0.2">
      <c r="A958"/>
      <c r="B958"/>
      <c r="D958"/>
      <c r="E958"/>
      <c r="F958"/>
      <c r="G958"/>
      <c r="I958"/>
      <c r="J958"/>
      <c r="K958"/>
      <c r="L958" s="499"/>
      <c r="V958" s="504"/>
      <c r="BX958" s="769"/>
      <c r="BY958" s="179"/>
      <c r="BZ958" s="179"/>
      <c r="CA958" s="179"/>
      <c r="CB958" s="179"/>
      <c r="CC958" s="179"/>
      <c r="CD958" s="179"/>
      <c r="CE958" s="179"/>
      <c r="CF958" s="179"/>
      <c r="CG958"/>
      <c r="CH958"/>
      <c r="CI958"/>
      <c r="CJ958"/>
      <c r="CK958"/>
      <c r="CL958"/>
      <c r="CM958"/>
    </row>
    <row r="959" spans="1:91" x14ac:dyDescent="0.2">
      <c r="A959"/>
      <c r="B959"/>
      <c r="D959"/>
      <c r="E959"/>
      <c r="F959"/>
      <c r="G959"/>
      <c r="I959"/>
      <c r="J959"/>
      <c r="K959"/>
      <c r="L959" s="499"/>
      <c r="V959" s="504"/>
      <c r="BX959" s="769"/>
      <c r="BY959" s="179"/>
      <c r="BZ959" s="179"/>
      <c r="CA959" s="179"/>
      <c r="CB959" s="179"/>
      <c r="CC959" s="179"/>
      <c r="CD959" s="179"/>
      <c r="CE959" s="179"/>
      <c r="CF959" s="179"/>
      <c r="CG959"/>
      <c r="CH959"/>
      <c r="CI959"/>
      <c r="CJ959"/>
      <c r="CK959"/>
      <c r="CL959"/>
      <c r="CM959"/>
    </row>
    <row r="960" spans="1:91" x14ac:dyDescent="0.2">
      <c r="A960"/>
      <c r="B960"/>
      <c r="D960"/>
      <c r="E960"/>
      <c r="F960"/>
      <c r="G960"/>
      <c r="I960"/>
      <c r="J960"/>
      <c r="K960"/>
      <c r="L960" s="499"/>
      <c r="V960" s="504"/>
      <c r="BX960" s="769"/>
      <c r="BY960" s="179"/>
      <c r="BZ960" s="179"/>
      <c r="CA960" s="179"/>
      <c r="CB960" s="179"/>
      <c r="CC960" s="179"/>
      <c r="CD960" s="179"/>
      <c r="CE960" s="179"/>
      <c r="CF960" s="179"/>
      <c r="CG960"/>
      <c r="CH960"/>
      <c r="CI960"/>
      <c r="CJ960"/>
      <c r="CK960"/>
      <c r="CL960"/>
      <c r="CM960"/>
    </row>
    <row r="961" spans="1:91" x14ac:dyDescent="0.2">
      <c r="A961"/>
      <c r="B961"/>
      <c r="D961"/>
      <c r="E961"/>
      <c r="F961"/>
      <c r="G961"/>
      <c r="I961"/>
      <c r="J961"/>
      <c r="K961"/>
      <c r="L961" s="499"/>
      <c r="V961" s="504"/>
      <c r="BX961" s="769"/>
      <c r="BY961" s="179"/>
      <c r="BZ961" s="179"/>
      <c r="CA961" s="179"/>
      <c r="CB961" s="179"/>
      <c r="CC961" s="179"/>
      <c r="CD961" s="179"/>
      <c r="CE961" s="179"/>
      <c r="CF961" s="179"/>
      <c r="CG961"/>
      <c r="CH961"/>
      <c r="CI961"/>
      <c r="CJ961"/>
      <c r="CK961"/>
      <c r="CL961"/>
      <c r="CM961"/>
    </row>
    <row r="962" spans="1:91" x14ac:dyDescent="0.2">
      <c r="A962"/>
      <c r="B962"/>
      <c r="D962"/>
      <c r="E962"/>
      <c r="F962"/>
      <c r="G962"/>
      <c r="I962"/>
      <c r="J962"/>
      <c r="K962"/>
      <c r="L962" s="499"/>
      <c r="V962" s="504"/>
      <c r="BX962" s="769"/>
      <c r="BY962" s="179"/>
      <c r="BZ962" s="179"/>
      <c r="CA962" s="179"/>
      <c r="CB962" s="179"/>
      <c r="CC962" s="179"/>
      <c r="CD962" s="179"/>
      <c r="CE962" s="179"/>
      <c r="CF962" s="179"/>
      <c r="CG962"/>
      <c r="CH962"/>
      <c r="CI962"/>
      <c r="CJ962"/>
      <c r="CK962"/>
      <c r="CL962"/>
      <c r="CM962"/>
    </row>
    <row r="963" spans="1:91" x14ac:dyDescent="0.2">
      <c r="A963"/>
      <c r="B963"/>
      <c r="D963"/>
      <c r="E963"/>
      <c r="F963"/>
      <c r="G963"/>
      <c r="I963"/>
      <c r="J963"/>
      <c r="K963"/>
      <c r="L963" s="499"/>
      <c r="V963" s="504"/>
      <c r="BX963" s="769"/>
      <c r="BY963" s="179"/>
      <c r="BZ963" s="179"/>
      <c r="CA963" s="179"/>
      <c r="CB963" s="179"/>
      <c r="CC963" s="179"/>
      <c r="CD963" s="179"/>
      <c r="CE963" s="179"/>
      <c r="CF963" s="179"/>
      <c r="CG963"/>
      <c r="CH963"/>
      <c r="CI963"/>
      <c r="CJ963"/>
      <c r="CK963"/>
      <c r="CL963"/>
      <c r="CM963"/>
    </row>
    <row r="964" spans="1:91" x14ac:dyDescent="0.2">
      <c r="A964"/>
      <c r="B964"/>
      <c r="D964"/>
      <c r="E964"/>
      <c r="F964"/>
      <c r="G964"/>
      <c r="I964"/>
      <c r="J964"/>
      <c r="K964"/>
      <c r="L964" s="499"/>
      <c r="V964" s="504"/>
      <c r="BX964" s="769"/>
      <c r="BY964" s="179"/>
      <c r="BZ964" s="179"/>
      <c r="CA964" s="179"/>
      <c r="CB964" s="179"/>
      <c r="CC964" s="179"/>
      <c r="CD964" s="179"/>
      <c r="CE964" s="179"/>
      <c r="CF964" s="179"/>
      <c r="CG964"/>
      <c r="CH964"/>
      <c r="CI964"/>
      <c r="CJ964"/>
      <c r="CK964"/>
      <c r="CL964"/>
      <c r="CM964"/>
    </row>
    <row r="965" spans="1:91" x14ac:dyDescent="0.2">
      <c r="A965"/>
      <c r="B965"/>
      <c r="D965"/>
      <c r="E965"/>
      <c r="F965"/>
      <c r="G965"/>
      <c r="I965"/>
      <c r="J965"/>
      <c r="K965"/>
      <c r="L965" s="499"/>
      <c r="V965" s="504"/>
      <c r="BX965" s="769"/>
      <c r="BY965" s="179"/>
      <c r="BZ965" s="179"/>
      <c r="CA965" s="179"/>
      <c r="CB965" s="179"/>
      <c r="CC965" s="179"/>
      <c r="CD965" s="179"/>
      <c r="CE965" s="179"/>
      <c r="CF965" s="179"/>
      <c r="CG965"/>
      <c r="CH965"/>
      <c r="CI965"/>
      <c r="CJ965"/>
      <c r="CK965"/>
      <c r="CL965"/>
      <c r="CM965"/>
    </row>
    <row r="966" spans="1:91" x14ac:dyDescent="0.2">
      <c r="A966"/>
      <c r="B966"/>
      <c r="D966"/>
      <c r="E966"/>
      <c r="F966"/>
      <c r="G966"/>
      <c r="I966"/>
      <c r="J966"/>
      <c r="K966"/>
      <c r="L966" s="499"/>
      <c r="V966" s="504"/>
      <c r="BX966" s="769"/>
      <c r="BY966" s="179"/>
      <c r="BZ966" s="179"/>
      <c r="CA966" s="179"/>
      <c r="CB966" s="179"/>
      <c r="CC966" s="179"/>
      <c r="CD966" s="179"/>
      <c r="CE966" s="179"/>
      <c r="CF966" s="179"/>
      <c r="CG966"/>
      <c r="CH966"/>
      <c r="CI966"/>
      <c r="CJ966"/>
      <c r="CK966"/>
      <c r="CL966"/>
      <c r="CM966"/>
    </row>
    <row r="967" spans="1:91" x14ac:dyDescent="0.2">
      <c r="A967"/>
      <c r="B967"/>
      <c r="D967"/>
      <c r="E967"/>
      <c r="F967"/>
      <c r="G967"/>
      <c r="I967"/>
      <c r="J967"/>
      <c r="K967"/>
      <c r="L967" s="499"/>
      <c r="V967" s="504"/>
      <c r="BX967" s="769"/>
      <c r="BY967" s="179"/>
      <c r="BZ967" s="179"/>
      <c r="CA967" s="179"/>
      <c r="CB967" s="179"/>
      <c r="CC967" s="179"/>
      <c r="CD967" s="179"/>
      <c r="CE967" s="179"/>
      <c r="CF967" s="179"/>
      <c r="CG967"/>
      <c r="CH967"/>
      <c r="CI967"/>
      <c r="CJ967"/>
      <c r="CK967"/>
      <c r="CL967"/>
      <c r="CM967"/>
    </row>
    <row r="968" spans="1:91" x14ac:dyDescent="0.2">
      <c r="A968"/>
      <c r="B968"/>
      <c r="D968"/>
      <c r="E968"/>
      <c r="F968"/>
      <c r="G968"/>
      <c r="I968"/>
      <c r="J968"/>
      <c r="K968"/>
      <c r="L968" s="499"/>
      <c r="V968" s="504"/>
      <c r="BX968" s="769"/>
      <c r="BY968" s="179"/>
      <c r="BZ968" s="179"/>
      <c r="CA968" s="179"/>
      <c r="CB968" s="179"/>
      <c r="CC968" s="179"/>
      <c r="CD968" s="179"/>
      <c r="CE968" s="179"/>
      <c r="CF968" s="179"/>
      <c r="CG968"/>
      <c r="CH968"/>
      <c r="CI968"/>
      <c r="CJ968"/>
      <c r="CK968"/>
      <c r="CL968"/>
      <c r="CM968"/>
    </row>
    <row r="969" spans="1:91" x14ac:dyDescent="0.2">
      <c r="A969"/>
      <c r="B969"/>
      <c r="D969"/>
      <c r="E969"/>
      <c r="F969"/>
      <c r="G969"/>
      <c r="I969"/>
      <c r="J969"/>
      <c r="K969"/>
      <c r="L969" s="499"/>
      <c r="V969" s="504"/>
      <c r="BX969" s="769"/>
      <c r="BY969" s="179"/>
      <c r="BZ969" s="179"/>
      <c r="CA969" s="179"/>
      <c r="CB969" s="179"/>
      <c r="CC969" s="179"/>
      <c r="CD969" s="179"/>
      <c r="CE969" s="179"/>
      <c r="CF969" s="179"/>
      <c r="CG969"/>
      <c r="CH969"/>
      <c r="CI969"/>
      <c r="CJ969"/>
      <c r="CK969"/>
      <c r="CL969"/>
      <c r="CM969"/>
    </row>
    <row r="970" spans="1:91" x14ac:dyDescent="0.2">
      <c r="A970"/>
      <c r="B970"/>
      <c r="D970"/>
      <c r="E970"/>
      <c r="F970"/>
      <c r="G970"/>
      <c r="I970"/>
      <c r="J970"/>
      <c r="K970"/>
      <c r="L970" s="499"/>
      <c r="V970" s="504"/>
      <c r="BX970" s="769"/>
      <c r="BY970" s="179"/>
      <c r="BZ970" s="179"/>
      <c r="CA970" s="179"/>
      <c r="CB970" s="179"/>
      <c r="CC970" s="179"/>
      <c r="CD970" s="179"/>
      <c r="CE970" s="179"/>
      <c r="CF970" s="179"/>
      <c r="CG970"/>
      <c r="CH970"/>
      <c r="CI970"/>
      <c r="CJ970"/>
      <c r="CK970"/>
      <c r="CL970"/>
      <c r="CM970"/>
    </row>
    <row r="971" spans="1:91" x14ac:dyDescent="0.2">
      <c r="A971"/>
      <c r="B971"/>
      <c r="D971"/>
      <c r="E971"/>
      <c r="F971"/>
      <c r="G971"/>
      <c r="I971"/>
      <c r="J971"/>
      <c r="K971"/>
      <c r="L971" s="499"/>
      <c r="V971" s="504"/>
      <c r="BX971" s="769"/>
      <c r="BY971" s="179"/>
      <c r="BZ971" s="179"/>
      <c r="CA971" s="179"/>
      <c r="CB971" s="179"/>
      <c r="CC971" s="179"/>
      <c r="CD971" s="179"/>
      <c r="CE971" s="179"/>
      <c r="CF971" s="179"/>
      <c r="CG971"/>
      <c r="CH971"/>
      <c r="CI971"/>
      <c r="CJ971"/>
      <c r="CK971"/>
      <c r="CL971"/>
      <c r="CM971"/>
    </row>
    <row r="972" spans="1:91" x14ac:dyDescent="0.2">
      <c r="A972"/>
      <c r="B972"/>
      <c r="D972"/>
      <c r="E972"/>
      <c r="F972"/>
      <c r="G972"/>
      <c r="I972"/>
      <c r="J972"/>
      <c r="K972"/>
      <c r="L972" s="499"/>
      <c r="V972" s="504"/>
      <c r="BX972" s="769"/>
      <c r="BY972" s="179"/>
      <c r="BZ972" s="179"/>
      <c r="CA972" s="179"/>
      <c r="CB972" s="179"/>
      <c r="CC972" s="179"/>
      <c r="CD972" s="179"/>
      <c r="CE972" s="179"/>
      <c r="CF972" s="179"/>
      <c r="CG972"/>
      <c r="CH972"/>
      <c r="CI972"/>
      <c r="CJ972"/>
      <c r="CK972"/>
      <c r="CL972"/>
      <c r="CM972"/>
    </row>
    <row r="973" spans="1:91" x14ac:dyDescent="0.2">
      <c r="A973"/>
      <c r="B973"/>
      <c r="D973"/>
      <c r="E973"/>
      <c r="F973"/>
      <c r="G973"/>
      <c r="I973"/>
      <c r="J973"/>
      <c r="K973"/>
      <c r="L973" s="499"/>
      <c r="V973" s="504"/>
      <c r="BX973" s="769"/>
      <c r="BY973" s="179"/>
      <c r="BZ973" s="179"/>
      <c r="CA973" s="179"/>
      <c r="CB973" s="179"/>
      <c r="CC973" s="179"/>
      <c r="CD973" s="179"/>
      <c r="CE973" s="179"/>
      <c r="CF973" s="179"/>
      <c r="CG973"/>
      <c r="CH973"/>
      <c r="CI973"/>
      <c r="CJ973"/>
      <c r="CK973"/>
      <c r="CL973"/>
      <c r="CM973"/>
    </row>
    <row r="974" spans="1:91" x14ac:dyDescent="0.2">
      <c r="A974"/>
      <c r="B974"/>
      <c r="D974"/>
      <c r="E974"/>
      <c r="F974"/>
      <c r="G974"/>
      <c r="I974"/>
      <c r="J974"/>
      <c r="K974"/>
      <c r="L974" s="499"/>
      <c r="V974" s="504"/>
      <c r="BX974" s="769"/>
      <c r="BY974" s="179"/>
      <c r="BZ974" s="179"/>
      <c r="CA974" s="179"/>
      <c r="CB974" s="179"/>
      <c r="CC974" s="179"/>
      <c r="CD974" s="179"/>
      <c r="CE974" s="179"/>
      <c r="CF974" s="179"/>
      <c r="CG974"/>
      <c r="CH974"/>
      <c r="CI974"/>
      <c r="CJ974"/>
      <c r="CK974"/>
      <c r="CL974"/>
      <c r="CM974"/>
    </row>
    <row r="975" spans="1:91" x14ac:dyDescent="0.2">
      <c r="A975"/>
      <c r="B975"/>
      <c r="D975"/>
      <c r="E975"/>
      <c r="F975"/>
      <c r="G975"/>
      <c r="I975"/>
      <c r="J975"/>
      <c r="K975"/>
      <c r="L975" s="499"/>
      <c r="V975" s="504"/>
      <c r="BX975" s="769"/>
      <c r="BY975" s="179"/>
      <c r="BZ975" s="179"/>
      <c r="CA975" s="179"/>
      <c r="CB975" s="179"/>
      <c r="CC975" s="179"/>
      <c r="CD975" s="179"/>
      <c r="CE975" s="179"/>
      <c r="CF975" s="179"/>
      <c r="CG975"/>
      <c r="CH975"/>
      <c r="CI975"/>
      <c r="CJ975"/>
      <c r="CK975"/>
      <c r="CL975"/>
      <c r="CM975"/>
    </row>
    <row r="976" spans="1:91" x14ac:dyDescent="0.2">
      <c r="A976"/>
      <c r="B976"/>
      <c r="D976"/>
      <c r="E976"/>
      <c r="F976"/>
      <c r="G976"/>
      <c r="I976"/>
      <c r="J976"/>
      <c r="K976"/>
      <c r="L976" s="499"/>
      <c r="V976" s="504"/>
      <c r="BX976" s="769"/>
      <c r="BY976" s="179"/>
      <c r="BZ976" s="179"/>
      <c r="CA976" s="179"/>
      <c r="CB976" s="179"/>
      <c r="CC976" s="179"/>
      <c r="CD976" s="179"/>
      <c r="CE976" s="179"/>
      <c r="CF976" s="179"/>
      <c r="CG976"/>
      <c r="CH976"/>
      <c r="CI976"/>
      <c r="CJ976"/>
      <c r="CK976"/>
      <c r="CL976"/>
      <c r="CM976"/>
    </row>
    <row r="977" spans="1:91" x14ac:dyDescent="0.2">
      <c r="A977"/>
      <c r="B977"/>
      <c r="D977"/>
      <c r="E977"/>
      <c r="F977"/>
      <c r="G977"/>
      <c r="I977"/>
      <c r="J977"/>
      <c r="K977"/>
      <c r="L977" s="499"/>
      <c r="V977" s="504"/>
      <c r="BX977" s="769"/>
      <c r="BY977" s="179"/>
      <c r="BZ977" s="179"/>
      <c r="CA977" s="179"/>
      <c r="CB977" s="179"/>
      <c r="CC977" s="179"/>
      <c r="CD977" s="179"/>
      <c r="CE977" s="179"/>
      <c r="CF977" s="179"/>
      <c r="CG977"/>
      <c r="CH977"/>
      <c r="CI977"/>
      <c r="CJ977"/>
      <c r="CK977"/>
      <c r="CL977"/>
      <c r="CM977"/>
    </row>
    <row r="978" spans="1:91" x14ac:dyDescent="0.2">
      <c r="A978"/>
      <c r="B978"/>
      <c r="D978"/>
      <c r="E978"/>
      <c r="F978"/>
      <c r="G978"/>
      <c r="I978"/>
      <c r="J978"/>
      <c r="K978"/>
      <c r="L978" s="499"/>
      <c r="V978" s="504"/>
      <c r="BX978" s="769"/>
      <c r="BY978" s="179"/>
      <c r="BZ978" s="179"/>
      <c r="CA978" s="179"/>
      <c r="CB978" s="179"/>
      <c r="CC978" s="179"/>
      <c r="CD978" s="179"/>
      <c r="CE978" s="179"/>
      <c r="CF978" s="179"/>
      <c r="CG978"/>
      <c r="CH978"/>
      <c r="CI978"/>
      <c r="CJ978"/>
      <c r="CK978"/>
      <c r="CL978"/>
      <c r="CM978"/>
    </row>
    <row r="979" spans="1:91" x14ac:dyDescent="0.2">
      <c r="A979"/>
      <c r="B979"/>
      <c r="D979"/>
      <c r="E979"/>
      <c r="F979"/>
      <c r="G979"/>
      <c r="I979"/>
      <c r="J979"/>
      <c r="K979"/>
      <c r="L979" s="499"/>
      <c r="V979" s="504"/>
      <c r="BX979" s="769"/>
      <c r="BY979" s="179"/>
      <c r="BZ979" s="179"/>
      <c r="CA979" s="179"/>
      <c r="CB979" s="179"/>
      <c r="CC979" s="179"/>
      <c r="CD979" s="179"/>
      <c r="CE979" s="179"/>
      <c r="CF979" s="179"/>
      <c r="CG979"/>
      <c r="CH979"/>
      <c r="CI979"/>
      <c r="CJ979"/>
      <c r="CK979"/>
      <c r="CL979"/>
      <c r="CM979"/>
    </row>
    <row r="980" spans="1:91" x14ac:dyDescent="0.2">
      <c r="A980"/>
      <c r="B980"/>
      <c r="D980"/>
      <c r="E980"/>
      <c r="F980"/>
      <c r="G980"/>
      <c r="I980"/>
      <c r="J980"/>
      <c r="K980"/>
      <c r="L980" s="499"/>
      <c r="V980" s="504"/>
      <c r="BX980" s="769"/>
      <c r="BY980" s="179"/>
      <c r="BZ980" s="179"/>
      <c r="CA980" s="179"/>
      <c r="CB980" s="179"/>
      <c r="CC980" s="179"/>
      <c r="CD980" s="179"/>
      <c r="CE980" s="179"/>
      <c r="CF980" s="179"/>
      <c r="CG980"/>
      <c r="CH980"/>
      <c r="CI980"/>
      <c r="CJ980"/>
      <c r="CK980"/>
      <c r="CL980"/>
      <c r="CM980"/>
    </row>
    <row r="981" spans="1:91" x14ac:dyDescent="0.2">
      <c r="A981"/>
      <c r="B981"/>
      <c r="D981"/>
      <c r="E981"/>
      <c r="F981"/>
      <c r="G981"/>
      <c r="I981"/>
      <c r="J981"/>
      <c r="K981"/>
      <c r="L981" s="499"/>
      <c r="V981" s="504"/>
      <c r="BX981" s="769"/>
      <c r="BY981" s="179"/>
      <c r="BZ981" s="179"/>
      <c r="CA981" s="179"/>
      <c r="CB981" s="179"/>
      <c r="CC981" s="179"/>
      <c r="CD981" s="179"/>
      <c r="CE981" s="179"/>
      <c r="CF981" s="179"/>
      <c r="CG981"/>
      <c r="CH981"/>
      <c r="CI981"/>
      <c r="CJ981"/>
      <c r="CK981"/>
      <c r="CL981"/>
      <c r="CM981"/>
    </row>
    <row r="982" spans="1:91" x14ac:dyDescent="0.2">
      <c r="A982"/>
      <c r="B982"/>
      <c r="D982"/>
      <c r="E982"/>
      <c r="F982"/>
      <c r="G982"/>
      <c r="I982"/>
      <c r="J982"/>
      <c r="K982"/>
      <c r="L982" s="499"/>
      <c r="V982" s="504"/>
      <c r="BX982" s="769"/>
      <c r="BY982" s="179"/>
      <c r="BZ982" s="179"/>
      <c r="CA982" s="179"/>
      <c r="CB982" s="179"/>
      <c r="CC982" s="179"/>
      <c r="CD982" s="179"/>
      <c r="CE982" s="179"/>
      <c r="CF982" s="179"/>
      <c r="CG982"/>
      <c r="CH982"/>
      <c r="CI982"/>
      <c r="CJ982"/>
      <c r="CK982"/>
      <c r="CL982"/>
      <c r="CM982"/>
    </row>
    <row r="983" spans="1:91" x14ac:dyDescent="0.2">
      <c r="A983"/>
      <c r="B983"/>
      <c r="D983"/>
      <c r="E983"/>
      <c r="F983"/>
      <c r="G983"/>
      <c r="I983"/>
      <c r="J983"/>
      <c r="K983"/>
      <c r="L983" s="499"/>
      <c r="V983" s="504"/>
      <c r="BX983" s="769"/>
      <c r="BY983" s="179"/>
      <c r="BZ983" s="179"/>
      <c r="CA983" s="179"/>
      <c r="CB983" s="179"/>
      <c r="CC983" s="179"/>
      <c r="CD983" s="179"/>
      <c r="CE983" s="179"/>
      <c r="CF983" s="179"/>
      <c r="CG983"/>
      <c r="CH983"/>
      <c r="CI983"/>
      <c r="CJ983"/>
      <c r="CK983"/>
      <c r="CL983"/>
      <c r="CM983"/>
    </row>
    <row r="984" spans="1:91" x14ac:dyDescent="0.2">
      <c r="A984"/>
      <c r="B984"/>
      <c r="D984"/>
      <c r="E984"/>
      <c r="F984"/>
      <c r="G984"/>
      <c r="I984"/>
      <c r="J984"/>
      <c r="K984"/>
      <c r="L984" s="499"/>
      <c r="V984" s="504"/>
      <c r="BX984" s="769"/>
      <c r="BY984" s="179"/>
      <c r="BZ984" s="179"/>
      <c r="CA984" s="179"/>
      <c r="CB984" s="179"/>
      <c r="CC984" s="179"/>
      <c r="CD984" s="179"/>
      <c r="CE984" s="179"/>
      <c r="CF984" s="179"/>
      <c r="CG984"/>
      <c r="CH984"/>
      <c r="CI984"/>
      <c r="CJ984"/>
      <c r="CK984"/>
      <c r="CL984"/>
      <c r="CM984"/>
    </row>
    <row r="985" spans="1:91" x14ac:dyDescent="0.2">
      <c r="A985"/>
      <c r="B985"/>
      <c r="D985"/>
      <c r="E985"/>
      <c r="F985"/>
      <c r="G985"/>
      <c r="I985"/>
      <c r="J985"/>
      <c r="K985"/>
      <c r="L985" s="499"/>
      <c r="V985" s="504"/>
      <c r="BX985" s="769"/>
      <c r="BY985" s="179"/>
      <c r="BZ985" s="179"/>
      <c r="CA985" s="179"/>
      <c r="CB985" s="179"/>
      <c r="CC985" s="179"/>
      <c r="CD985" s="179"/>
      <c r="CE985" s="179"/>
      <c r="CF985" s="179"/>
      <c r="CG985"/>
      <c r="CH985"/>
      <c r="CI985"/>
      <c r="CJ985"/>
      <c r="CK985"/>
      <c r="CL985"/>
      <c r="CM985"/>
    </row>
    <row r="986" spans="1:91" x14ac:dyDescent="0.2">
      <c r="A986"/>
      <c r="B986"/>
      <c r="D986"/>
      <c r="E986"/>
      <c r="F986"/>
      <c r="G986"/>
      <c r="I986"/>
      <c r="J986"/>
      <c r="K986"/>
      <c r="L986" s="499"/>
      <c r="V986" s="504"/>
      <c r="BX986" s="769"/>
      <c r="BY986" s="179"/>
      <c r="BZ986" s="179"/>
      <c r="CA986" s="179"/>
      <c r="CB986" s="179"/>
      <c r="CC986" s="179"/>
      <c r="CD986" s="179"/>
      <c r="CE986" s="179"/>
      <c r="CF986" s="179"/>
      <c r="CG986"/>
      <c r="CH986"/>
      <c r="CI986"/>
      <c r="CJ986"/>
      <c r="CK986"/>
      <c r="CL986"/>
      <c r="CM986"/>
    </row>
    <row r="987" spans="1:91" x14ac:dyDescent="0.2">
      <c r="A987"/>
      <c r="B987"/>
      <c r="D987"/>
      <c r="E987"/>
      <c r="F987"/>
      <c r="G987"/>
      <c r="I987"/>
      <c r="J987"/>
      <c r="K987"/>
      <c r="L987" s="499"/>
      <c r="V987" s="504"/>
      <c r="BX987" s="769"/>
      <c r="BY987" s="179"/>
      <c r="BZ987" s="179"/>
      <c r="CA987" s="179"/>
      <c r="CB987" s="179"/>
      <c r="CC987" s="179"/>
      <c r="CD987" s="179"/>
      <c r="CE987" s="179"/>
      <c r="CF987" s="179"/>
      <c r="CG987"/>
      <c r="CH987"/>
      <c r="CI987"/>
      <c r="CJ987"/>
      <c r="CK987"/>
      <c r="CL987"/>
      <c r="CM987"/>
    </row>
    <row r="988" spans="1:91" x14ac:dyDescent="0.2">
      <c r="A988"/>
      <c r="B988"/>
      <c r="D988"/>
      <c r="E988"/>
      <c r="F988"/>
      <c r="G988"/>
      <c r="I988"/>
      <c r="J988"/>
      <c r="K988"/>
      <c r="L988" s="499"/>
      <c r="V988" s="504"/>
      <c r="BX988" s="769"/>
      <c r="BY988" s="179"/>
      <c r="BZ988" s="179"/>
      <c r="CA988" s="179"/>
      <c r="CB988" s="179"/>
      <c r="CC988" s="179"/>
      <c r="CD988" s="179"/>
      <c r="CE988" s="179"/>
      <c r="CF988" s="179"/>
      <c r="CG988"/>
      <c r="CH988"/>
      <c r="CI988"/>
      <c r="CJ988"/>
      <c r="CK988"/>
      <c r="CL988"/>
      <c r="CM988"/>
    </row>
    <row r="989" spans="1:91" x14ac:dyDescent="0.2">
      <c r="A989"/>
      <c r="B989"/>
      <c r="D989"/>
      <c r="E989"/>
      <c r="F989"/>
      <c r="G989"/>
      <c r="I989"/>
      <c r="J989"/>
      <c r="K989"/>
      <c r="L989" s="499"/>
      <c r="V989" s="504"/>
      <c r="BX989" s="769"/>
      <c r="BY989" s="179"/>
      <c r="BZ989" s="179"/>
      <c r="CA989" s="179"/>
      <c r="CB989" s="179"/>
      <c r="CC989" s="179"/>
      <c r="CD989" s="179"/>
      <c r="CE989" s="179"/>
      <c r="CF989" s="179"/>
      <c r="CG989"/>
      <c r="CH989"/>
      <c r="CI989"/>
      <c r="CJ989"/>
      <c r="CK989"/>
      <c r="CL989"/>
      <c r="CM989"/>
    </row>
    <row r="990" spans="1:91" x14ac:dyDescent="0.2">
      <c r="A990"/>
      <c r="B990"/>
      <c r="D990"/>
      <c r="E990"/>
      <c r="F990"/>
      <c r="G990"/>
      <c r="I990"/>
      <c r="J990"/>
      <c r="K990"/>
      <c r="L990" s="499"/>
      <c r="V990" s="504"/>
      <c r="BX990" s="769"/>
      <c r="BY990" s="179"/>
      <c r="BZ990" s="179"/>
      <c r="CA990" s="179"/>
      <c r="CB990" s="179"/>
      <c r="CC990" s="179"/>
      <c r="CD990" s="179"/>
      <c r="CE990" s="179"/>
      <c r="CF990" s="179"/>
      <c r="CG990"/>
      <c r="CH990"/>
      <c r="CI990"/>
      <c r="CJ990"/>
      <c r="CK990"/>
      <c r="CL990"/>
      <c r="CM990"/>
    </row>
    <row r="991" spans="1:91" x14ac:dyDescent="0.2">
      <c r="A991"/>
      <c r="B991"/>
      <c r="D991"/>
      <c r="E991"/>
      <c r="F991"/>
      <c r="G991"/>
      <c r="I991"/>
      <c r="J991"/>
      <c r="K991"/>
      <c r="L991" s="499"/>
      <c r="V991" s="504"/>
      <c r="BX991" s="769"/>
      <c r="BY991" s="179"/>
      <c r="BZ991" s="179"/>
      <c r="CA991" s="179"/>
      <c r="CB991" s="179"/>
      <c r="CC991" s="179"/>
      <c r="CD991" s="179"/>
      <c r="CE991" s="179"/>
      <c r="CF991" s="179"/>
      <c r="CG991"/>
      <c r="CH991"/>
      <c r="CI991"/>
      <c r="CJ991"/>
      <c r="CK991"/>
      <c r="CL991"/>
      <c r="CM991"/>
    </row>
    <row r="992" spans="1:91" x14ac:dyDescent="0.2">
      <c r="A992"/>
      <c r="B992"/>
      <c r="D992"/>
      <c r="E992"/>
      <c r="F992"/>
      <c r="G992"/>
      <c r="I992"/>
      <c r="J992"/>
      <c r="K992"/>
      <c r="L992" s="499"/>
      <c r="V992" s="504"/>
      <c r="BX992" s="769"/>
      <c r="BY992" s="179"/>
      <c r="BZ992" s="179"/>
      <c r="CA992" s="179"/>
      <c r="CB992" s="179"/>
      <c r="CC992" s="179"/>
      <c r="CD992" s="179"/>
      <c r="CE992" s="179"/>
      <c r="CF992" s="179"/>
      <c r="CG992"/>
      <c r="CH992"/>
      <c r="CI992"/>
      <c r="CJ992"/>
      <c r="CK992"/>
      <c r="CL992"/>
      <c r="CM992"/>
    </row>
    <row r="993" spans="1:91" x14ac:dyDescent="0.2">
      <c r="A993"/>
      <c r="B993"/>
      <c r="D993"/>
      <c r="E993"/>
      <c r="F993"/>
      <c r="G993"/>
      <c r="I993"/>
      <c r="J993"/>
      <c r="K993"/>
      <c r="L993" s="499"/>
      <c r="V993" s="504"/>
      <c r="BX993" s="769"/>
      <c r="BY993" s="179"/>
      <c r="BZ993" s="179"/>
      <c r="CA993" s="179"/>
      <c r="CB993" s="179"/>
      <c r="CC993" s="179"/>
      <c r="CD993" s="179"/>
      <c r="CE993" s="179"/>
      <c r="CF993" s="179"/>
      <c r="CG993"/>
      <c r="CH993"/>
      <c r="CI993"/>
      <c r="CJ993"/>
      <c r="CK993"/>
      <c r="CL993"/>
      <c r="CM993"/>
    </row>
    <row r="994" spans="1:91" x14ac:dyDescent="0.2">
      <c r="A994"/>
      <c r="B994"/>
      <c r="D994"/>
      <c r="E994"/>
      <c r="F994"/>
      <c r="G994"/>
      <c r="I994"/>
      <c r="J994"/>
      <c r="K994"/>
      <c r="L994" s="499"/>
      <c r="V994" s="504"/>
      <c r="BX994" s="769"/>
      <c r="BY994" s="179"/>
      <c r="BZ994" s="179"/>
      <c r="CA994" s="179"/>
      <c r="CB994" s="179"/>
      <c r="CC994" s="179"/>
      <c r="CD994" s="179"/>
      <c r="CE994" s="179"/>
      <c r="CF994" s="179"/>
      <c r="CG994"/>
      <c r="CH994"/>
      <c r="CI994"/>
      <c r="CJ994"/>
      <c r="CK994"/>
      <c r="CL994"/>
      <c r="CM994"/>
    </row>
    <row r="995" spans="1:91" x14ac:dyDescent="0.2">
      <c r="A995"/>
      <c r="B995"/>
      <c r="D995"/>
      <c r="E995"/>
      <c r="F995"/>
      <c r="G995"/>
      <c r="I995"/>
      <c r="J995"/>
      <c r="K995"/>
      <c r="L995" s="499"/>
      <c r="V995" s="504"/>
      <c r="BX995" s="769"/>
      <c r="BY995" s="179"/>
      <c r="BZ995" s="179"/>
      <c r="CA995" s="179"/>
      <c r="CB995" s="179"/>
      <c r="CC995" s="179"/>
      <c r="CD995" s="179"/>
      <c r="CE995" s="179"/>
      <c r="CF995" s="179"/>
      <c r="CG995"/>
      <c r="CH995"/>
      <c r="CI995"/>
      <c r="CJ995"/>
      <c r="CK995"/>
      <c r="CL995"/>
      <c r="CM995"/>
    </row>
    <row r="996" spans="1:91" x14ac:dyDescent="0.2">
      <c r="A996"/>
      <c r="B996"/>
      <c r="D996"/>
      <c r="E996"/>
      <c r="F996"/>
      <c r="G996"/>
      <c r="I996"/>
      <c r="J996"/>
      <c r="K996"/>
      <c r="L996" s="499"/>
      <c r="V996" s="504"/>
      <c r="BX996" s="769"/>
      <c r="BY996" s="179"/>
      <c r="BZ996" s="179"/>
      <c r="CA996" s="179"/>
      <c r="CB996" s="179"/>
      <c r="CC996" s="179"/>
      <c r="CD996" s="179"/>
      <c r="CE996" s="179"/>
      <c r="CF996" s="179"/>
      <c r="CG996"/>
      <c r="CH996"/>
      <c r="CI996"/>
      <c r="CJ996"/>
      <c r="CK996"/>
      <c r="CL996"/>
      <c r="CM996"/>
    </row>
    <row r="997" spans="1:91" x14ac:dyDescent="0.2">
      <c r="A997"/>
      <c r="B997"/>
      <c r="D997"/>
      <c r="E997"/>
      <c r="F997"/>
      <c r="G997"/>
      <c r="I997"/>
      <c r="J997"/>
      <c r="K997"/>
      <c r="L997" s="499"/>
      <c r="V997" s="504"/>
      <c r="BX997" s="769"/>
      <c r="BY997" s="179"/>
      <c r="BZ997" s="179"/>
      <c r="CA997" s="179"/>
      <c r="CB997" s="179"/>
      <c r="CC997" s="179"/>
      <c r="CD997" s="179"/>
      <c r="CE997" s="179"/>
      <c r="CF997" s="179"/>
      <c r="CG997"/>
      <c r="CH997"/>
      <c r="CI997"/>
      <c r="CJ997"/>
      <c r="CK997"/>
      <c r="CL997"/>
      <c r="CM997"/>
    </row>
    <row r="998" spans="1:91" x14ac:dyDescent="0.2">
      <c r="A998"/>
      <c r="B998"/>
      <c r="D998"/>
      <c r="E998"/>
      <c r="F998"/>
      <c r="G998"/>
      <c r="I998"/>
      <c r="J998"/>
      <c r="K998"/>
      <c r="L998" s="499"/>
      <c r="V998" s="504"/>
      <c r="BX998" s="769"/>
      <c r="BY998" s="179"/>
      <c r="BZ998" s="179"/>
      <c r="CA998" s="179"/>
      <c r="CB998" s="179"/>
      <c r="CC998" s="179"/>
      <c r="CD998" s="179"/>
      <c r="CE998" s="179"/>
      <c r="CF998" s="179"/>
      <c r="CG998"/>
      <c r="CH998"/>
      <c r="CI998"/>
      <c r="CJ998"/>
      <c r="CK998"/>
      <c r="CL998"/>
      <c r="CM998"/>
    </row>
    <row r="999" spans="1:91" x14ac:dyDescent="0.2">
      <c r="A999"/>
      <c r="B999"/>
      <c r="D999"/>
      <c r="E999"/>
      <c r="F999"/>
      <c r="G999"/>
      <c r="I999"/>
      <c r="J999"/>
      <c r="K999"/>
      <c r="L999" s="499"/>
      <c r="V999" s="504"/>
      <c r="BX999" s="769"/>
      <c r="BY999" s="179"/>
      <c r="BZ999" s="179"/>
      <c r="CA999" s="179"/>
      <c r="CB999" s="179"/>
      <c r="CC999" s="179"/>
      <c r="CD999" s="179"/>
      <c r="CE999" s="179"/>
      <c r="CF999" s="179"/>
      <c r="CG999"/>
      <c r="CH999"/>
      <c r="CI999"/>
      <c r="CJ999"/>
      <c r="CK999"/>
      <c r="CL999"/>
      <c r="CM999"/>
    </row>
    <row r="1000" spans="1:91" x14ac:dyDescent="0.2">
      <c r="A1000"/>
      <c r="B1000"/>
      <c r="D1000"/>
      <c r="E1000"/>
      <c r="F1000"/>
      <c r="G1000"/>
      <c r="I1000"/>
      <c r="J1000"/>
      <c r="K1000"/>
      <c r="L1000" s="499"/>
      <c r="V1000" s="504"/>
      <c r="BX1000" s="769"/>
      <c r="BY1000" s="179"/>
      <c r="BZ1000" s="179"/>
      <c r="CA1000" s="179"/>
      <c r="CB1000" s="179"/>
      <c r="CC1000" s="179"/>
      <c r="CD1000" s="179"/>
      <c r="CE1000" s="179"/>
      <c r="CF1000" s="179"/>
      <c r="CG1000"/>
      <c r="CH1000"/>
      <c r="CI1000"/>
      <c r="CJ1000"/>
      <c r="CK1000"/>
      <c r="CL1000"/>
      <c r="CM1000"/>
    </row>
    <row r="1001" spans="1:91" x14ac:dyDescent="0.2">
      <c r="A1001"/>
      <c r="B1001"/>
      <c r="D1001"/>
      <c r="E1001"/>
      <c r="F1001"/>
      <c r="G1001"/>
      <c r="I1001"/>
      <c r="J1001"/>
      <c r="K1001"/>
      <c r="L1001" s="499"/>
      <c r="V1001" s="504"/>
      <c r="BX1001" s="769"/>
      <c r="BY1001" s="179"/>
      <c r="BZ1001" s="179"/>
      <c r="CA1001" s="179"/>
      <c r="CB1001" s="179"/>
      <c r="CC1001" s="179"/>
      <c r="CD1001" s="179"/>
      <c r="CE1001" s="179"/>
      <c r="CF1001" s="179"/>
      <c r="CG1001"/>
      <c r="CH1001"/>
      <c r="CI1001"/>
      <c r="CJ1001"/>
      <c r="CK1001"/>
      <c r="CL1001"/>
      <c r="CM1001"/>
    </row>
    <row r="1002" spans="1:91" x14ac:dyDescent="0.2">
      <c r="A1002"/>
      <c r="B1002"/>
      <c r="D1002"/>
      <c r="E1002"/>
      <c r="F1002"/>
      <c r="G1002"/>
      <c r="I1002"/>
      <c r="J1002"/>
      <c r="K1002"/>
      <c r="L1002" s="499"/>
      <c r="V1002" s="504"/>
      <c r="BX1002" s="769"/>
      <c r="BY1002" s="179"/>
      <c r="BZ1002" s="179"/>
      <c r="CA1002" s="179"/>
      <c r="CB1002" s="179"/>
      <c r="CC1002" s="179"/>
      <c r="CD1002" s="179"/>
      <c r="CE1002" s="179"/>
      <c r="CF1002" s="179"/>
      <c r="CG1002"/>
      <c r="CH1002"/>
      <c r="CI1002"/>
      <c r="CJ1002"/>
      <c r="CK1002"/>
      <c r="CL1002"/>
      <c r="CM1002"/>
    </row>
    <row r="1003" spans="1:91" x14ac:dyDescent="0.2">
      <c r="A1003"/>
      <c r="B1003"/>
      <c r="D1003"/>
      <c r="E1003"/>
      <c r="F1003"/>
      <c r="G1003"/>
      <c r="I1003"/>
      <c r="J1003"/>
      <c r="K1003"/>
      <c r="L1003" s="499"/>
      <c r="V1003" s="504"/>
      <c r="BX1003" s="769"/>
      <c r="BY1003" s="179"/>
      <c r="BZ1003" s="179"/>
      <c r="CA1003" s="179"/>
      <c r="CB1003" s="179"/>
      <c r="CC1003" s="179"/>
      <c r="CD1003" s="179"/>
      <c r="CE1003" s="179"/>
      <c r="CF1003" s="179"/>
      <c r="CG1003"/>
      <c r="CH1003"/>
      <c r="CI1003"/>
      <c r="CJ1003"/>
      <c r="CK1003"/>
      <c r="CL1003"/>
      <c r="CM1003"/>
    </row>
    <row r="1004" spans="1:91" x14ac:dyDescent="0.2">
      <c r="A1004"/>
      <c r="B1004"/>
      <c r="D1004"/>
      <c r="E1004"/>
      <c r="F1004"/>
      <c r="G1004"/>
      <c r="I1004"/>
      <c r="J1004"/>
      <c r="K1004"/>
      <c r="L1004" s="499"/>
      <c r="V1004" s="504"/>
      <c r="BX1004" s="769"/>
      <c r="BY1004" s="179"/>
      <c r="BZ1004" s="179"/>
      <c r="CA1004" s="179"/>
      <c r="CB1004" s="179"/>
      <c r="CC1004" s="179"/>
      <c r="CD1004" s="179"/>
      <c r="CE1004" s="179"/>
      <c r="CF1004" s="179"/>
      <c r="CG1004"/>
      <c r="CH1004"/>
      <c r="CI1004"/>
      <c r="CJ1004"/>
      <c r="CK1004"/>
      <c r="CL1004"/>
      <c r="CM1004"/>
    </row>
    <row r="1005" spans="1:91" x14ac:dyDescent="0.2">
      <c r="A1005"/>
      <c r="B1005"/>
      <c r="D1005"/>
      <c r="E1005"/>
      <c r="F1005"/>
      <c r="G1005"/>
      <c r="I1005"/>
      <c r="J1005"/>
      <c r="K1005"/>
      <c r="L1005" s="499"/>
      <c r="V1005" s="504"/>
      <c r="BX1005" s="769"/>
      <c r="BY1005" s="179"/>
      <c r="BZ1005" s="179"/>
      <c r="CA1005" s="179"/>
      <c r="CB1005" s="179"/>
      <c r="CC1005" s="179"/>
      <c r="CD1005" s="179"/>
      <c r="CE1005" s="179"/>
      <c r="CF1005" s="179"/>
      <c r="CG1005"/>
      <c r="CH1005"/>
      <c r="CI1005"/>
      <c r="CJ1005"/>
      <c r="CK1005"/>
      <c r="CL1005"/>
      <c r="CM1005"/>
    </row>
    <row r="1006" spans="1:91" x14ac:dyDescent="0.2">
      <c r="A1006"/>
      <c r="B1006"/>
      <c r="D1006"/>
      <c r="E1006"/>
      <c r="F1006"/>
      <c r="G1006"/>
      <c r="I1006"/>
      <c r="J1006"/>
      <c r="K1006"/>
      <c r="L1006" s="499"/>
      <c r="V1006" s="504"/>
      <c r="BX1006" s="769"/>
      <c r="BY1006" s="179"/>
      <c r="BZ1006" s="179"/>
      <c r="CA1006" s="179"/>
      <c r="CB1006" s="179"/>
      <c r="CC1006" s="179"/>
      <c r="CD1006" s="179"/>
      <c r="CE1006" s="179"/>
      <c r="CF1006" s="179"/>
      <c r="CG1006"/>
      <c r="CH1006"/>
      <c r="CI1006"/>
      <c r="CJ1006"/>
      <c r="CK1006"/>
      <c r="CL1006"/>
      <c r="CM1006"/>
    </row>
    <row r="1007" spans="1:91" x14ac:dyDescent="0.2">
      <c r="A1007"/>
      <c r="B1007"/>
      <c r="D1007"/>
      <c r="E1007"/>
      <c r="F1007"/>
      <c r="G1007"/>
      <c r="I1007"/>
      <c r="J1007"/>
      <c r="K1007"/>
      <c r="L1007" s="499"/>
      <c r="V1007" s="504"/>
      <c r="BX1007" s="769"/>
      <c r="BY1007" s="179"/>
      <c r="BZ1007" s="179"/>
      <c r="CA1007" s="179"/>
      <c r="CB1007" s="179"/>
      <c r="CC1007" s="179"/>
      <c r="CD1007" s="179"/>
      <c r="CE1007" s="179"/>
      <c r="CF1007" s="179"/>
      <c r="CG1007"/>
      <c r="CH1007"/>
      <c r="CI1007"/>
      <c r="CJ1007"/>
      <c r="CK1007"/>
      <c r="CL1007"/>
      <c r="CM1007"/>
    </row>
    <row r="1008" spans="1:91" x14ac:dyDescent="0.2">
      <c r="A1008"/>
      <c r="B1008"/>
      <c r="D1008"/>
      <c r="E1008"/>
      <c r="F1008"/>
      <c r="G1008"/>
      <c r="I1008"/>
      <c r="J1008"/>
      <c r="K1008"/>
      <c r="L1008" s="499"/>
      <c r="V1008" s="504"/>
      <c r="BX1008" s="769"/>
      <c r="BY1008" s="179"/>
      <c r="BZ1008" s="179"/>
      <c r="CA1008" s="179"/>
      <c r="CB1008" s="179"/>
      <c r="CC1008" s="179"/>
      <c r="CD1008" s="179"/>
      <c r="CE1008" s="179"/>
      <c r="CF1008" s="179"/>
      <c r="CG1008"/>
      <c r="CH1008"/>
      <c r="CI1008"/>
      <c r="CJ1008"/>
      <c r="CK1008"/>
      <c r="CL1008"/>
      <c r="CM1008"/>
    </row>
    <row r="1009" spans="1:91" x14ac:dyDescent="0.2">
      <c r="A1009"/>
      <c r="B1009"/>
      <c r="D1009"/>
      <c r="E1009"/>
      <c r="F1009"/>
      <c r="G1009"/>
      <c r="I1009"/>
      <c r="J1009"/>
      <c r="K1009"/>
      <c r="L1009" s="499"/>
      <c r="V1009" s="504"/>
      <c r="BX1009" s="769"/>
      <c r="BY1009" s="179"/>
      <c r="BZ1009" s="179"/>
      <c r="CA1009" s="179"/>
      <c r="CB1009" s="179"/>
      <c r="CC1009" s="179"/>
      <c r="CD1009" s="179"/>
      <c r="CE1009" s="179"/>
      <c r="CF1009" s="179"/>
      <c r="CG1009"/>
      <c r="CH1009"/>
      <c r="CI1009"/>
      <c r="CJ1009"/>
      <c r="CK1009"/>
      <c r="CL1009"/>
      <c r="CM1009"/>
    </row>
    <row r="1010" spans="1:91" x14ac:dyDescent="0.2">
      <c r="A1010"/>
      <c r="B1010"/>
      <c r="D1010"/>
      <c r="E1010"/>
      <c r="F1010"/>
      <c r="G1010"/>
      <c r="I1010"/>
      <c r="J1010"/>
      <c r="K1010"/>
      <c r="L1010" s="499"/>
      <c r="V1010" s="504"/>
      <c r="BX1010" s="769"/>
      <c r="BY1010" s="179"/>
      <c r="BZ1010" s="179"/>
      <c r="CA1010" s="179"/>
      <c r="CB1010" s="179"/>
      <c r="CC1010" s="179"/>
      <c r="CD1010" s="179"/>
      <c r="CE1010" s="179"/>
      <c r="CF1010" s="179"/>
      <c r="CG1010"/>
      <c r="CH1010"/>
      <c r="CI1010"/>
      <c r="CJ1010"/>
      <c r="CK1010"/>
      <c r="CL1010"/>
      <c r="CM1010"/>
    </row>
    <row r="1011" spans="1:91" x14ac:dyDescent="0.2">
      <c r="A1011"/>
      <c r="B1011"/>
      <c r="D1011"/>
      <c r="E1011"/>
      <c r="F1011"/>
      <c r="G1011"/>
      <c r="I1011"/>
      <c r="J1011"/>
      <c r="K1011"/>
      <c r="L1011" s="499"/>
      <c r="V1011" s="504"/>
      <c r="BX1011" s="769"/>
      <c r="BY1011" s="179"/>
      <c r="BZ1011" s="179"/>
      <c r="CA1011" s="179"/>
      <c r="CB1011" s="179"/>
      <c r="CC1011" s="179"/>
      <c r="CD1011" s="179"/>
      <c r="CE1011" s="179"/>
      <c r="CF1011" s="179"/>
      <c r="CG1011"/>
      <c r="CH1011"/>
      <c r="CI1011"/>
      <c r="CJ1011"/>
      <c r="CK1011"/>
      <c r="CL1011"/>
      <c r="CM1011"/>
    </row>
    <row r="1012" spans="1:91" x14ac:dyDescent="0.2">
      <c r="A1012"/>
      <c r="B1012"/>
      <c r="D1012"/>
      <c r="E1012"/>
      <c r="F1012"/>
      <c r="G1012"/>
      <c r="I1012"/>
      <c r="J1012"/>
      <c r="K1012"/>
      <c r="L1012" s="499"/>
      <c r="V1012" s="504"/>
      <c r="BX1012" s="769"/>
      <c r="BY1012" s="179"/>
      <c r="BZ1012" s="179"/>
      <c r="CA1012" s="179"/>
      <c r="CB1012" s="179"/>
      <c r="CC1012" s="179"/>
      <c r="CD1012" s="179"/>
      <c r="CE1012" s="179"/>
      <c r="CF1012" s="179"/>
      <c r="CG1012"/>
      <c r="CH1012"/>
      <c r="CI1012"/>
      <c r="CJ1012"/>
      <c r="CK1012"/>
      <c r="CL1012"/>
      <c r="CM1012"/>
    </row>
    <row r="1013" spans="1:91" x14ac:dyDescent="0.2">
      <c r="A1013"/>
      <c r="B1013"/>
      <c r="D1013"/>
      <c r="E1013"/>
      <c r="F1013"/>
      <c r="G1013"/>
      <c r="I1013"/>
      <c r="J1013"/>
      <c r="K1013"/>
      <c r="L1013" s="499"/>
      <c r="V1013" s="504"/>
      <c r="BX1013" s="769"/>
      <c r="BY1013" s="179"/>
      <c r="BZ1013" s="179"/>
      <c r="CA1013" s="179"/>
      <c r="CB1013" s="179"/>
      <c r="CC1013" s="179"/>
      <c r="CD1013" s="179"/>
      <c r="CE1013" s="179"/>
      <c r="CF1013" s="179"/>
      <c r="CG1013"/>
      <c r="CH1013"/>
      <c r="CI1013"/>
      <c r="CJ1013"/>
      <c r="CK1013"/>
      <c r="CL1013"/>
      <c r="CM1013"/>
    </row>
    <row r="1014" spans="1:91" x14ac:dyDescent="0.2">
      <c r="A1014"/>
      <c r="B1014"/>
      <c r="D1014"/>
      <c r="E1014"/>
      <c r="F1014"/>
      <c r="G1014"/>
      <c r="I1014"/>
      <c r="J1014"/>
      <c r="K1014"/>
      <c r="L1014" s="499"/>
      <c r="V1014" s="504"/>
      <c r="BX1014" s="769"/>
      <c r="BY1014" s="179"/>
      <c r="BZ1014" s="179"/>
      <c r="CA1014" s="179"/>
      <c r="CB1014" s="179"/>
      <c r="CC1014" s="179"/>
      <c r="CD1014" s="179"/>
      <c r="CE1014" s="179"/>
      <c r="CF1014" s="179"/>
      <c r="CG1014"/>
      <c r="CH1014"/>
      <c r="CI1014"/>
      <c r="CJ1014"/>
      <c r="CK1014"/>
      <c r="CL1014"/>
      <c r="CM1014"/>
    </row>
    <row r="1015" spans="1:91" x14ac:dyDescent="0.2">
      <c r="A1015"/>
      <c r="B1015"/>
      <c r="D1015"/>
      <c r="E1015"/>
      <c r="F1015"/>
      <c r="G1015"/>
      <c r="I1015"/>
      <c r="J1015"/>
      <c r="K1015"/>
      <c r="L1015" s="499"/>
      <c r="V1015" s="504"/>
      <c r="BX1015" s="769"/>
      <c r="BY1015" s="179"/>
      <c r="BZ1015" s="179"/>
      <c r="CA1015" s="179"/>
      <c r="CB1015" s="179"/>
      <c r="CC1015" s="179"/>
      <c r="CD1015" s="179"/>
      <c r="CE1015" s="179"/>
      <c r="CF1015" s="179"/>
      <c r="CG1015"/>
      <c r="CH1015"/>
      <c r="CI1015"/>
      <c r="CJ1015"/>
      <c r="CK1015"/>
      <c r="CL1015"/>
      <c r="CM1015"/>
    </row>
    <row r="1016" spans="1:91" x14ac:dyDescent="0.2">
      <c r="A1016"/>
      <c r="B1016"/>
      <c r="D1016"/>
      <c r="E1016"/>
      <c r="F1016"/>
      <c r="G1016"/>
      <c r="I1016"/>
      <c r="J1016"/>
      <c r="K1016"/>
      <c r="L1016" s="499"/>
      <c r="V1016" s="504"/>
      <c r="BX1016" s="769"/>
      <c r="BY1016" s="179"/>
      <c r="BZ1016" s="179"/>
      <c r="CA1016" s="179"/>
      <c r="CB1016" s="179"/>
      <c r="CC1016" s="179"/>
      <c r="CD1016" s="179"/>
      <c r="CE1016" s="179"/>
      <c r="CF1016" s="179"/>
      <c r="CG1016"/>
      <c r="CH1016"/>
      <c r="CI1016"/>
      <c r="CJ1016"/>
      <c r="CK1016"/>
      <c r="CL1016"/>
      <c r="CM1016"/>
    </row>
    <row r="1017" spans="1:91" x14ac:dyDescent="0.2">
      <c r="A1017"/>
      <c r="B1017"/>
      <c r="D1017"/>
      <c r="E1017"/>
      <c r="F1017"/>
      <c r="G1017"/>
      <c r="I1017"/>
      <c r="J1017"/>
      <c r="K1017"/>
      <c r="L1017" s="499"/>
      <c r="V1017" s="504"/>
      <c r="BX1017" s="769"/>
      <c r="BY1017" s="179"/>
      <c r="BZ1017" s="179"/>
      <c r="CA1017" s="179"/>
      <c r="CB1017" s="179"/>
      <c r="CC1017" s="179"/>
      <c r="CD1017" s="179"/>
      <c r="CE1017" s="179"/>
      <c r="CF1017" s="179"/>
      <c r="CG1017"/>
      <c r="CH1017"/>
      <c r="CI1017"/>
      <c r="CJ1017"/>
      <c r="CK1017"/>
      <c r="CL1017"/>
      <c r="CM1017"/>
    </row>
    <row r="1018" spans="1:91" x14ac:dyDescent="0.2">
      <c r="A1018"/>
      <c r="B1018"/>
      <c r="D1018"/>
      <c r="E1018"/>
      <c r="F1018"/>
      <c r="G1018"/>
      <c r="I1018"/>
      <c r="J1018"/>
      <c r="K1018"/>
      <c r="L1018" s="499"/>
      <c r="V1018" s="504"/>
      <c r="BX1018" s="769"/>
      <c r="BY1018" s="179"/>
      <c r="BZ1018" s="179"/>
      <c r="CA1018" s="179"/>
      <c r="CB1018" s="179"/>
      <c r="CC1018" s="179"/>
      <c r="CD1018" s="179"/>
      <c r="CE1018" s="179"/>
      <c r="CF1018" s="179"/>
      <c r="CG1018"/>
      <c r="CH1018"/>
      <c r="CI1018"/>
      <c r="CJ1018"/>
      <c r="CK1018"/>
      <c r="CL1018"/>
      <c r="CM1018"/>
    </row>
    <row r="1019" spans="1:91" x14ac:dyDescent="0.2">
      <c r="A1019"/>
      <c r="B1019"/>
      <c r="D1019"/>
      <c r="E1019"/>
      <c r="F1019"/>
      <c r="G1019"/>
      <c r="I1019"/>
      <c r="J1019"/>
      <c r="K1019"/>
      <c r="L1019" s="499"/>
      <c r="V1019" s="504"/>
      <c r="BX1019" s="769"/>
      <c r="BY1019" s="179"/>
      <c r="BZ1019" s="179"/>
      <c r="CA1019" s="179"/>
      <c r="CB1019" s="179"/>
      <c r="CC1019" s="179"/>
      <c r="CD1019" s="179"/>
      <c r="CE1019" s="179"/>
      <c r="CF1019" s="179"/>
      <c r="CG1019"/>
      <c r="CH1019"/>
      <c r="CI1019"/>
      <c r="CJ1019"/>
      <c r="CK1019"/>
      <c r="CL1019"/>
      <c r="CM1019"/>
    </row>
    <row r="1020" spans="1:91" x14ac:dyDescent="0.2">
      <c r="A1020"/>
      <c r="B1020"/>
      <c r="D1020"/>
      <c r="E1020"/>
      <c r="F1020"/>
      <c r="G1020"/>
      <c r="I1020"/>
      <c r="J1020"/>
      <c r="K1020"/>
      <c r="L1020" s="499"/>
      <c r="V1020" s="504"/>
      <c r="BX1020" s="769"/>
      <c r="BY1020" s="179"/>
      <c r="BZ1020" s="179"/>
      <c r="CA1020" s="179"/>
      <c r="CB1020" s="179"/>
      <c r="CC1020" s="179"/>
      <c r="CD1020" s="179"/>
      <c r="CE1020" s="179"/>
      <c r="CF1020" s="179"/>
      <c r="CG1020"/>
      <c r="CH1020"/>
      <c r="CI1020"/>
      <c r="CJ1020"/>
      <c r="CK1020"/>
      <c r="CL1020"/>
      <c r="CM1020"/>
    </row>
    <row r="1021" spans="1:91" x14ac:dyDescent="0.2">
      <c r="A1021"/>
      <c r="B1021"/>
      <c r="D1021"/>
      <c r="E1021"/>
      <c r="F1021"/>
      <c r="G1021"/>
      <c r="I1021"/>
      <c r="J1021"/>
      <c r="K1021"/>
      <c r="L1021" s="499"/>
      <c r="V1021" s="504"/>
      <c r="BX1021" s="769"/>
      <c r="BY1021" s="179"/>
      <c r="BZ1021" s="179"/>
      <c r="CA1021" s="179"/>
      <c r="CB1021" s="179"/>
      <c r="CC1021" s="179"/>
      <c r="CD1021" s="179"/>
      <c r="CE1021" s="179"/>
      <c r="CF1021" s="179"/>
      <c r="CG1021"/>
      <c r="CH1021"/>
      <c r="CI1021"/>
      <c r="CJ1021"/>
      <c r="CK1021"/>
      <c r="CL1021"/>
      <c r="CM1021"/>
    </row>
    <row r="1022" spans="1:91" x14ac:dyDescent="0.2">
      <c r="A1022"/>
      <c r="B1022"/>
      <c r="D1022"/>
      <c r="E1022"/>
      <c r="F1022"/>
      <c r="G1022"/>
      <c r="I1022"/>
      <c r="J1022"/>
      <c r="K1022"/>
      <c r="L1022" s="499"/>
      <c r="V1022" s="504"/>
      <c r="BX1022" s="769"/>
      <c r="BY1022" s="179"/>
      <c r="BZ1022" s="179"/>
      <c r="CA1022" s="179"/>
      <c r="CB1022" s="179"/>
      <c r="CC1022" s="179"/>
      <c r="CD1022" s="179"/>
      <c r="CE1022" s="179"/>
      <c r="CF1022" s="179"/>
      <c r="CG1022"/>
      <c r="CH1022"/>
      <c r="CI1022"/>
      <c r="CJ1022"/>
      <c r="CK1022"/>
      <c r="CL1022"/>
      <c r="CM1022"/>
    </row>
    <row r="1023" spans="1:91" x14ac:dyDescent="0.2">
      <c r="A1023"/>
      <c r="B1023"/>
      <c r="D1023"/>
      <c r="E1023"/>
      <c r="F1023"/>
      <c r="G1023"/>
      <c r="I1023"/>
      <c r="J1023"/>
      <c r="K1023"/>
      <c r="L1023" s="499"/>
      <c r="V1023" s="504"/>
      <c r="BX1023" s="769"/>
      <c r="BY1023" s="179"/>
      <c r="BZ1023" s="179"/>
      <c r="CA1023" s="179"/>
      <c r="CB1023" s="179"/>
      <c r="CC1023" s="179"/>
      <c r="CD1023" s="179"/>
      <c r="CE1023" s="179"/>
      <c r="CF1023" s="179"/>
      <c r="CG1023"/>
      <c r="CH1023"/>
      <c r="CI1023"/>
      <c r="CJ1023"/>
      <c r="CK1023"/>
      <c r="CL1023"/>
      <c r="CM1023"/>
    </row>
    <row r="1024" spans="1:91" x14ac:dyDescent="0.2">
      <c r="A1024"/>
      <c r="B1024"/>
      <c r="D1024"/>
      <c r="E1024"/>
      <c r="F1024"/>
      <c r="G1024"/>
      <c r="I1024"/>
      <c r="J1024"/>
      <c r="K1024"/>
      <c r="L1024" s="499"/>
      <c r="V1024" s="504"/>
      <c r="BX1024" s="769"/>
      <c r="BY1024" s="179"/>
      <c r="BZ1024" s="179"/>
      <c r="CA1024" s="179"/>
      <c r="CB1024" s="179"/>
      <c r="CC1024" s="179"/>
      <c r="CD1024" s="179"/>
      <c r="CE1024" s="179"/>
      <c r="CF1024" s="179"/>
      <c r="CG1024"/>
      <c r="CH1024"/>
      <c r="CI1024"/>
      <c r="CJ1024"/>
      <c r="CK1024"/>
      <c r="CL1024"/>
      <c r="CM1024"/>
    </row>
    <row r="1025" spans="1:91" x14ac:dyDescent="0.2">
      <c r="A1025"/>
      <c r="B1025"/>
      <c r="D1025"/>
      <c r="E1025"/>
      <c r="F1025"/>
      <c r="G1025"/>
      <c r="I1025"/>
      <c r="J1025"/>
      <c r="K1025"/>
      <c r="L1025" s="499"/>
      <c r="V1025" s="504"/>
      <c r="BX1025" s="769"/>
      <c r="BY1025" s="179"/>
      <c r="BZ1025" s="179"/>
      <c r="CA1025" s="179"/>
      <c r="CB1025" s="179"/>
      <c r="CC1025" s="179"/>
      <c r="CD1025" s="179"/>
      <c r="CE1025" s="179"/>
      <c r="CF1025" s="179"/>
      <c r="CG1025"/>
      <c r="CH1025"/>
      <c r="CI1025"/>
      <c r="CJ1025"/>
      <c r="CK1025"/>
      <c r="CL1025"/>
      <c r="CM1025"/>
    </row>
    <row r="1026" spans="1:91" x14ac:dyDescent="0.2">
      <c r="A1026"/>
      <c r="B1026"/>
      <c r="D1026"/>
      <c r="E1026"/>
      <c r="F1026"/>
      <c r="G1026"/>
      <c r="I1026"/>
      <c r="J1026"/>
      <c r="K1026"/>
      <c r="L1026" s="499"/>
      <c r="V1026" s="504"/>
      <c r="BX1026" s="769"/>
      <c r="BY1026" s="179"/>
      <c r="BZ1026" s="179"/>
      <c r="CA1026" s="179"/>
      <c r="CB1026" s="179"/>
      <c r="CC1026" s="179"/>
      <c r="CD1026" s="179"/>
      <c r="CE1026" s="179"/>
      <c r="CF1026" s="179"/>
      <c r="CG1026"/>
      <c r="CH1026"/>
      <c r="CI1026"/>
      <c r="CJ1026"/>
      <c r="CK1026"/>
      <c r="CL1026"/>
      <c r="CM1026"/>
    </row>
    <row r="1027" spans="1:91" x14ac:dyDescent="0.2">
      <c r="A1027"/>
      <c r="B1027"/>
      <c r="D1027"/>
      <c r="E1027"/>
      <c r="F1027"/>
      <c r="G1027"/>
      <c r="I1027"/>
      <c r="J1027"/>
      <c r="K1027"/>
      <c r="L1027" s="499"/>
      <c r="V1027" s="504"/>
      <c r="BX1027" s="769"/>
      <c r="BY1027" s="179"/>
      <c r="BZ1027" s="179"/>
      <c r="CA1027" s="179"/>
      <c r="CB1027" s="179"/>
      <c r="CC1027" s="179"/>
      <c r="CD1027" s="179"/>
      <c r="CE1027" s="179"/>
      <c r="CF1027" s="179"/>
      <c r="CG1027"/>
      <c r="CH1027"/>
      <c r="CI1027"/>
      <c r="CJ1027"/>
      <c r="CK1027"/>
      <c r="CL1027"/>
      <c r="CM1027"/>
    </row>
    <row r="1028" spans="1:91" x14ac:dyDescent="0.2">
      <c r="A1028"/>
      <c r="B1028"/>
      <c r="D1028"/>
      <c r="E1028"/>
      <c r="F1028"/>
      <c r="G1028"/>
      <c r="I1028"/>
      <c r="J1028"/>
      <c r="K1028"/>
      <c r="L1028" s="499"/>
      <c r="V1028" s="504"/>
      <c r="BX1028" s="769"/>
      <c r="BY1028" s="179"/>
      <c r="BZ1028" s="179"/>
      <c r="CA1028" s="179"/>
      <c r="CB1028" s="179"/>
      <c r="CC1028" s="179"/>
      <c r="CD1028" s="179"/>
      <c r="CE1028" s="179"/>
      <c r="CF1028" s="179"/>
      <c r="CG1028"/>
      <c r="CH1028"/>
      <c r="CI1028"/>
      <c r="CJ1028"/>
      <c r="CK1028"/>
      <c r="CL1028"/>
      <c r="CM1028"/>
    </row>
    <row r="1029" spans="1:91" x14ac:dyDescent="0.2">
      <c r="A1029"/>
      <c r="B1029"/>
      <c r="D1029"/>
      <c r="E1029"/>
      <c r="F1029"/>
      <c r="G1029"/>
      <c r="I1029"/>
      <c r="J1029"/>
      <c r="K1029"/>
      <c r="L1029" s="499"/>
      <c r="V1029" s="504"/>
      <c r="BX1029" s="769"/>
      <c r="BY1029" s="179"/>
      <c r="BZ1029" s="179"/>
      <c r="CA1029" s="179"/>
      <c r="CB1029" s="179"/>
      <c r="CC1029" s="179"/>
      <c r="CD1029" s="179"/>
      <c r="CE1029" s="179"/>
      <c r="CF1029" s="179"/>
      <c r="CG1029"/>
      <c r="CH1029"/>
      <c r="CI1029"/>
      <c r="CJ1029"/>
      <c r="CK1029"/>
      <c r="CL1029"/>
      <c r="CM1029"/>
    </row>
    <row r="1030" spans="1:91" x14ac:dyDescent="0.2">
      <c r="A1030"/>
      <c r="B1030"/>
      <c r="D1030"/>
      <c r="E1030"/>
      <c r="F1030"/>
      <c r="G1030"/>
      <c r="I1030"/>
      <c r="J1030"/>
      <c r="K1030"/>
      <c r="L1030" s="499"/>
      <c r="V1030" s="504"/>
      <c r="BX1030" s="769"/>
      <c r="BY1030" s="179"/>
      <c r="BZ1030" s="179"/>
      <c r="CA1030" s="179"/>
      <c r="CB1030" s="179"/>
      <c r="CC1030" s="179"/>
      <c r="CD1030" s="179"/>
      <c r="CE1030" s="179"/>
      <c r="CF1030" s="179"/>
      <c r="CG1030"/>
      <c r="CH1030"/>
      <c r="CI1030"/>
      <c r="CJ1030"/>
      <c r="CK1030"/>
      <c r="CL1030"/>
      <c r="CM1030"/>
    </row>
    <row r="1031" spans="1:91" x14ac:dyDescent="0.2">
      <c r="A1031"/>
      <c r="B1031"/>
      <c r="D1031"/>
      <c r="E1031"/>
      <c r="F1031"/>
      <c r="G1031"/>
      <c r="I1031"/>
      <c r="J1031"/>
      <c r="K1031"/>
      <c r="L1031" s="499"/>
      <c r="V1031" s="504"/>
      <c r="BX1031" s="769"/>
      <c r="BY1031" s="179"/>
      <c r="BZ1031" s="179"/>
      <c r="CA1031" s="179"/>
      <c r="CB1031" s="179"/>
      <c r="CC1031" s="179"/>
      <c r="CD1031" s="179"/>
      <c r="CE1031" s="179"/>
      <c r="CF1031" s="179"/>
      <c r="CG1031"/>
      <c r="CH1031"/>
      <c r="CI1031"/>
      <c r="CJ1031"/>
      <c r="CK1031"/>
      <c r="CL1031"/>
      <c r="CM1031"/>
    </row>
    <row r="1032" spans="1:91" x14ac:dyDescent="0.2">
      <c r="A1032"/>
      <c r="B1032"/>
      <c r="D1032"/>
      <c r="E1032"/>
      <c r="F1032"/>
      <c r="G1032"/>
      <c r="I1032"/>
      <c r="J1032"/>
      <c r="K1032"/>
      <c r="L1032" s="499"/>
      <c r="V1032" s="504"/>
      <c r="BX1032" s="769"/>
      <c r="BY1032" s="179"/>
      <c r="BZ1032" s="179"/>
      <c r="CA1032" s="179"/>
      <c r="CB1032" s="179"/>
      <c r="CC1032" s="179"/>
      <c r="CD1032" s="179"/>
      <c r="CE1032" s="179"/>
      <c r="CF1032" s="179"/>
      <c r="CG1032"/>
      <c r="CH1032"/>
      <c r="CI1032"/>
      <c r="CJ1032"/>
      <c r="CK1032"/>
      <c r="CL1032"/>
      <c r="CM1032"/>
    </row>
    <row r="1033" spans="1:91" x14ac:dyDescent="0.2">
      <c r="A1033"/>
      <c r="B1033"/>
      <c r="D1033"/>
      <c r="E1033"/>
      <c r="F1033"/>
      <c r="G1033"/>
      <c r="I1033"/>
      <c r="J1033"/>
      <c r="K1033"/>
      <c r="L1033" s="499"/>
      <c r="V1033" s="504"/>
      <c r="BX1033" s="769"/>
      <c r="BY1033" s="179"/>
      <c r="BZ1033" s="179"/>
      <c r="CA1033" s="179"/>
      <c r="CB1033" s="179"/>
      <c r="CC1033" s="179"/>
      <c r="CD1033" s="179"/>
      <c r="CE1033" s="179"/>
      <c r="CF1033" s="179"/>
      <c r="CG1033"/>
      <c r="CH1033"/>
      <c r="CI1033"/>
      <c r="CJ1033"/>
      <c r="CK1033"/>
      <c r="CL1033"/>
      <c r="CM1033"/>
    </row>
    <row r="1034" spans="1:91" x14ac:dyDescent="0.2">
      <c r="A1034"/>
      <c r="B1034"/>
      <c r="D1034"/>
      <c r="E1034"/>
      <c r="F1034"/>
      <c r="G1034"/>
      <c r="I1034"/>
      <c r="J1034"/>
      <c r="K1034"/>
      <c r="L1034" s="499"/>
      <c r="V1034" s="504"/>
      <c r="BX1034" s="769"/>
      <c r="BY1034" s="179"/>
      <c r="BZ1034" s="179"/>
      <c r="CA1034" s="179"/>
      <c r="CB1034" s="179"/>
      <c r="CC1034" s="179"/>
      <c r="CD1034" s="179"/>
      <c r="CE1034" s="179"/>
      <c r="CF1034" s="179"/>
      <c r="CG1034"/>
      <c r="CH1034"/>
      <c r="CI1034"/>
      <c r="CJ1034"/>
      <c r="CK1034"/>
      <c r="CL1034"/>
      <c r="CM1034"/>
    </row>
    <row r="1035" spans="1:91" x14ac:dyDescent="0.2">
      <c r="A1035"/>
      <c r="B1035"/>
      <c r="D1035"/>
      <c r="E1035"/>
      <c r="F1035"/>
      <c r="G1035"/>
      <c r="I1035"/>
      <c r="J1035"/>
      <c r="K1035"/>
      <c r="L1035" s="499"/>
      <c r="V1035" s="504"/>
      <c r="BX1035" s="769"/>
      <c r="BY1035" s="179"/>
      <c r="BZ1035" s="179"/>
      <c r="CA1035" s="179"/>
      <c r="CB1035" s="179"/>
      <c r="CC1035" s="179"/>
      <c r="CD1035" s="179"/>
      <c r="CE1035" s="179"/>
      <c r="CF1035" s="179"/>
      <c r="CG1035"/>
      <c r="CH1035"/>
      <c r="CI1035"/>
      <c r="CJ1035"/>
      <c r="CK1035"/>
      <c r="CL1035"/>
      <c r="CM1035"/>
    </row>
    <row r="1036" spans="1:91" x14ac:dyDescent="0.2">
      <c r="A1036"/>
      <c r="B1036"/>
      <c r="D1036"/>
      <c r="E1036"/>
      <c r="F1036"/>
      <c r="G1036"/>
      <c r="I1036"/>
      <c r="J1036"/>
      <c r="K1036"/>
      <c r="L1036" s="499"/>
      <c r="V1036" s="504"/>
      <c r="BX1036" s="769"/>
      <c r="BY1036" s="179"/>
      <c r="BZ1036" s="179"/>
      <c r="CA1036" s="179"/>
      <c r="CB1036" s="179"/>
      <c r="CC1036" s="179"/>
      <c r="CD1036" s="179"/>
      <c r="CE1036" s="179"/>
      <c r="CF1036" s="179"/>
      <c r="CG1036"/>
      <c r="CH1036"/>
      <c r="CI1036"/>
      <c r="CJ1036"/>
      <c r="CK1036"/>
      <c r="CL1036"/>
      <c r="CM1036"/>
    </row>
    <row r="1037" spans="1:91" x14ac:dyDescent="0.2">
      <c r="A1037"/>
      <c r="B1037"/>
      <c r="D1037"/>
      <c r="E1037"/>
      <c r="F1037"/>
      <c r="G1037"/>
      <c r="I1037"/>
      <c r="J1037"/>
      <c r="K1037"/>
      <c r="L1037" s="499"/>
      <c r="V1037" s="504"/>
      <c r="BX1037" s="769"/>
      <c r="BY1037" s="179"/>
      <c r="BZ1037" s="179"/>
      <c r="CA1037" s="179"/>
      <c r="CB1037" s="179"/>
      <c r="CC1037" s="179"/>
      <c r="CD1037" s="179"/>
      <c r="CE1037" s="179"/>
      <c r="CF1037" s="179"/>
      <c r="CG1037"/>
      <c r="CH1037"/>
      <c r="CI1037"/>
      <c r="CJ1037"/>
      <c r="CK1037"/>
      <c r="CL1037"/>
      <c r="CM1037"/>
    </row>
    <row r="1038" spans="1:91" x14ac:dyDescent="0.2">
      <c r="A1038"/>
      <c r="B1038"/>
      <c r="D1038"/>
      <c r="E1038"/>
      <c r="F1038"/>
      <c r="G1038"/>
      <c r="I1038"/>
      <c r="J1038"/>
      <c r="K1038"/>
      <c r="L1038" s="499"/>
      <c r="V1038" s="504"/>
      <c r="BX1038" s="769"/>
      <c r="BY1038" s="179"/>
      <c r="BZ1038" s="179"/>
      <c r="CA1038" s="179"/>
      <c r="CB1038" s="179"/>
      <c r="CC1038" s="179"/>
      <c r="CD1038" s="179"/>
      <c r="CE1038" s="179"/>
      <c r="CF1038" s="179"/>
      <c r="CG1038"/>
      <c r="CH1038"/>
      <c r="CI1038"/>
      <c r="CJ1038"/>
      <c r="CK1038"/>
      <c r="CL1038"/>
      <c r="CM1038"/>
    </row>
    <row r="1039" spans="1:91" x14ac:dyDescent="0.2">
      <c r="A1039"/>
      <c r="B1039"/>
      <c r="D1039"/>
      <c r="E1039"/>
      <c r="F1039"/>
      <c r="G1039"/>
      <c r="I1039"/>
      <c r="J1039"/>
      <c r="K1039"/>
      <c r="L1039" s="499"/>
      <c r="V1039" s="504"/>
      <c r="BX1039" s="769"/>
      <c r="BY1039" s="179"/>
      <c r="BZ1039" s="179"/>
      <c r="CA1039" s="179"/>
      <c r="CB1039" s="179"/>
      <c r="CC1039" s="179"/>
      <c r="CD1039" s="179"/>
      <c r="CE1039" s="179"/>
      <c r="CF1039" s="179"/>
      <c r="CG1039"/>
      <c r="CH1039"/>
      <c r="CI1039"/>
      <c r="CJ1039"/>
      <c r="CK1039"/>
      <c r="CL1039"/>
      <c r="CM1039"/>
    </row>
    <row r="1040" spans="1:91" x14ac:dyDescent="0.2">
      <c r="A1040"/>
      <c r="B1040"/>
      <c r="D1040"/>
      <c r="E1040"/>
      <c r="F1040"/>
      <c r="G1040"/>
      <c r="I1040"/>
      <c r="J1040"/>
      <c r="K1040"/>
      <c r="L1040" s="499"/>
      <c r="V1040" s="504"/>
      <c r="BX1040" s="769"/>
      <c r="BY1040" s="179"/>
      <c r="BZ1040" s="179"/>
      <c r="CA1040" s="179"/>
      <c r="CB1040" s="179"/>
      <c r="CC1040" s="179"/>
      <c r="CD1040" s="179"/>
      <c r="CE1040" s="179"/>
      <c r="CF1040" s="179"/>
      <c r="CG1040"/>
      <c r="CH1040"/>
      <c r="CI1040"/>
      <c r="CJ1040"/>
      <c r="CK1040"/>
      <c r="CL1040"/>
      <c r="CM1040"/>
    </row>
    <row r="1041" spans="1:91" x14ac:dyDescent="0.2">
      <c r="A1041"/>
      <c r="B1041"/>
      <c r="D1041"/>
      <c r="E1041"/>
      <c r="F1041"/>
      <c r="G1041"/>
      <c r="I1041"/>
      <c r="J1041"/>
      <c r="K1041"/>
      <c r="L1041" s="499"/>
      <c r="V1041" s="504"/>
      <c r="BX1041" s="769"/>
      <c r="BY1041" s="179"/>
      <c r="BZ1041" s="179"/>
      <c r="CA1041" s="179"/>
      <c r="CB1041" s="179"/>
      <c r="CC1041" s="179"/>
      <c r="CD1041" s="179"/>
      <c r="CE1041" s="179"/>
      <c r="CF1041" s="179"/>
      <c r="CG1041"/>
      <c r="CH1041"/>
      <c r="CI1041"/>
      <c r="CJ1041"/>
      <c r="CK1041"/>
      <c r="CL1041"/>
      <c r="CM1041"/>
    </row>
    <row r="1042" spans="1:91" x14ac:dyDescent="0.2">
      <c r="A1042"/>
      <c r="B1042"/>
      <c r="D1042"/>
      <c r="E1042"/>
      <c r="F1042"/>
      <c r="G1042"/>
      <c r="I1042"/>
      <c r="J1042"/>
      <c r="K1042"/>
      <c r="L1042" s="499"/>
      <c r="V1042" s="504"/>
      <c r="BX1042" s="769"/>
      <c r="BY1042" s="179"/>
      <c r="BZ1042" s="179"/>
      <c r="CA1042" s="179"/>
      <c r="CB1042" s="179"/>
      <c r="CC1042" s="179"/>
      <c r="CD1042" s="179"/>
      <c r="CE1042" s="179"/>
      <c r="CF1042" s="179"/>
      <c r="CG1042"/>
      <c r="CH1042"/>
      <c r="CI1042"/>
      <c r="CJ1042"/>
      <c r="CK1042"/>
      <c r="CL1042"/>
      <c r="CM1042"/>
    </row>
    <row r="1043" spans="1:91" x14ac:dyDescent="0.2">
      <c r="A1043"/>
      <c r="B1043"/>
      <c r="D1043"/>
      <c r="E1043"/>
      <c r="F1043"/>
      <c r="G1043"/>
      <c r="I1043"/>
      <c r="J1043"/>
      <c r="K1043"/>
      <c r="L1043" s="499"/>
      <c r="V1043" s="504"/>
      <c r="BX1043" s="769"/>
      <c r="BY1043" s="179"/>
      <c r="BZ1043" s="179"/>
      <c r="CA1043" s="179"/>
      <c r="CB1043" s="179"/>
      <c r="CC1043" s="179"/>
      <c r="CD1043" s="179"/>
      <c r="CE1043" s="179"/>
      <c r="CF1043" s="179"/>
      <c r="CG1043"/>
      <c r="CH1043"/>
      <c r="CI1043"/>
      <c r="CJ1043"/>
      <c r="CK1043"/>
      <c r="CL1043"/>
      <c r="CM1043"/>
    </row>
    <row r="1044" spans="1:91" x14ac:dyDescent="0.2">
      <c r="A1044"/>
      <c r="B1044"/>
      <c r="D1044"/>
      <c r="E1044"/>
      <c r="F1044"/>
      <c r="G1044"/>
      <c r="I1044"/>
      <c r="J1044"/>
      <c r="K1044"/>
      <c r="L1044" s="499"/>
      <c r="V1044" s="504"/>
      <c r="BX1044" s="769"/>
      <c r="BY1044" s="179"/>
      <c r="BZ1044" s="179"/>
      <c r="CA1044" s="179"/>
      <c r="CB1044" s="179"/>
      <c r="CC1044" s="179"/>
      <c r="CD1044" s="179"/>
      <c r="CE1044" s="179"/>
      <c r="CF1044" s="179"/>
      <c r="CG1044"/>
      <c r="CH1044"/>
      <c r="CI1044"/>
      <c r="CJ1044"/>
      <c r="CK1044"/>
      <c r="CL1044"/>
      <c r="CM1044"/>
    </row>
    <row r="1045" spans="1:91" x14ac:dyDescent="0.2">
      <c r="A1045"/>
      <c r="B1045"/>
      <c r="D1045"/>
      <c r="E1045"/>
      <c r="F1045"/>
      <c r="G1045"/>
      <c r="I1045"/>
      <c r="J1045"/>
      <c r="K1045"/>
      <c r="L1045" s="499"/>
      <c r="V1045" s="504"/>
      <c r="BX1045" s="769"/>
      <c r="BY1045" s="179"/>
      <c r="BZ1045" s="179"/>
      <c r="CA1045" s="179"/>
      <c r="CB1045" s="179"/>
      <c r="CC1045" s="179"/>
      <c r="CD1045" s="179"/>
      <c r="CE1045" s="179"/>
      <c r="CF1045" s="179"/>
      <c r="CG1045"/>
      <c r="CH1045"/>
      <c r="CI1045"/>
      <c r="CJ1045"/>
      <c r="CK1045"/>
      <c r="CL1045"/>
      <c r="CM1045"/>
    </row>
    <row r="1046" spans="1:91" x14ac:dyDescent="0.2">
      <c r="A1046"/>
      <c r="B1046"/>
      <c r="D1046"/>
      <c r="E1046"/>
      <c r="F1046"/>
      <c r="G1046"/>
      <c r="I1046"/>
      <c r="J1046"/>
      <c r="K1046"/>
      <c r="L1046" s="499"/>
      <c r="V1046" s="504"/>
      <c r="BX1046" s="769"/>
      <c r="BY1046" s="179"/>
      <c r="BZ1046" s="179"/>
      <c r="CA1046" s="179"/>
      <c r="CB1046" s="179"/>
      <c r="CC1046" s="179"/>
      <c r="CD1046" s="179"/>
      <c r="CE1046" s="179"/>
      <c r="CF1046" s="179"/>
      <c r="CG1046"/>
      <c r="CH1046"/>
      <c r="CI1046"/>
      <c r="CJ1046"/>
      <c r="CK1046"/>
      <c r="CL1046"/>
      <c r="CM1046"/>
    </row>
    <row r="1047" spans="1:91" x14ac:dyDescent="0.2">
      <c r="A1047"/>
      <c r="B1047"/>
      <c r="D1047"/>
      <c r="E1047"/>
      <c r="F1047"/>
      <c r="G1047"/>
      <c r="I1047"/>
      <c r="J1047"/>
      <c r="K1047"/>
      <c r="L1047" s="499"/>
      <c r="V1047" s="504"/>
      <c r="BX1047" s="769"/>
      <c r="BY1047" s="179"/>
      <c r="BZ1047" s="179"/>
      <c r="CA1047" s="179"/>
      <c r="CB1047" s="179"/>
      <c r="CC1047" s="179"/>
      <c r="CD1047" s="179"/>
      <c r="CE1047" s="179"/>
      <c r="CF1047" s="179"/>
      <c r="CG1047"/>
      <c r="CH1047"/>
      <c r="CI1047"/>
      <c r="CJ1047"/>
      <c r="CK1047"/>
      <c r="CL1047"/>
      <c r="CM1047"/>
    </row>
    <row r="1048" spans="1:91" x14ac:dyDescent="0.2">
      <c r="A1048"/>
      <c r="B1048"/>
      <c r="D1048"/>
      <c r="E1048"/>
      <c r="F1048"/>
      <c r="G1048"/>
      <c r="I1048"/>
      <c r="J1048"/>
      <c r="K1048"/>
      <c r="L1048" s="499"/>
      <c r="V1048" s="504"/>
      <c r="BX1048" s="769"/>
      <c r="BY1048" s="179"/>
      <c r="BZ1048" s="179"/>
      <c r="CA1048" s="179"/>
      <c r="CB1048" s="179"/>
      <c r="CC1048" s="179"/>
      <c r="CD1048" s="179"/>
      <c r="CE1048" s="179"/>
      <c r="CF1048" s="179"/>
      <c r="CG1048"/>
      <c r="CH1048"/>
      <c r="CI1048"/>
      <c r="CJ1048"/>
      <c r="CK1048"/>
      <c r="CL1048"/>
      <c r="CM1048"/>
    </row>
    <row r="1049" spans="1:91" x14ac:dyDescent="0.2">
      <c r="A1049"/>
      <c r="B1049"/>
      <c r="D1049"/>
      <c r="E1049"/>
      <c r="F1049"/>
      <c r="G1049"/>
      <c r="I1049"/>
      <c r="J1049"/>
      <c r="K1049"/>
      <c r="L1049" s="499"/>
      <c r="V1049" s="504"/>
      <c r="BX1049" s="769"/>
      <c r="BY1049" s="179"/>
      <c r="BZ1049" s="179"/>
      <c r="CA1049" s="179"/>
      <c r="CB1049" s="179"/>
      <c r="CC1049" s="179"/>
      <c r="CD1049" s="179"/>
      <c r="CE1049" s="179"/>
      <c r="CF1049" s="179"/>
      <c r="CG1049"/>
      <c r="CH1049"/>
      <c r="CI1049"/>
      <c r="CJ1049"/>
      <c r="CK1049"/>
      <c r="CL1049"/>
      <c r="CM1049"/>
    </row>
    <row r="1050" spans="1:91" x14ac:dyDescent="0.2">
      <c r="A1050"/>
      <c r="B1050"/>
      <c r="D1050"/>
      <c r="E1050"/>
      <c r="F1050"/>
      <c r="G1050"/>
      <c r="I1050"/>
      <c r="J1050"/>
      <c r="K1050"/>
      <c r="L1050" s="499"/>
      <c r="V1050" s="504"/>
      <c r="BX1050" s="769"/>
      <c r="BY1050" s="179"/>
      <c r="BZ1050" s="179"/>
      <c r="CA1050" s="179"/>
      <c r="CB1050" s="179"/>
      <c r="CC1050" s="179"/>
      <c r="CD1050" s="179"/>
      <c r="CE1050" s="179"/>
      <c r="CF1050" s="179"/>
      <c r="CG1050"/>
      <c r="CH1050"/>
      <c r="CI1050"/>
      <c r="CJ1050"/>
      <c r="CK1050"/>
      <c r="CL1050"/>
      <c r="CM1050"/>
    </row>
    <row r="1051" spans="1:91" x14ac:dyDescent="0.2">
      <c r="A1051"/>
      <c r="B1051"/>
      <c r="D1051"/>
      <c r="E1051"/>
      <c r="F1051"/>
      <c r="G1051"/>
      <c r="I1051"/>
      <c r="J1051"/>
      <c r="K1051"/>
      <c r="L1051" s="499"/>
      <c r="V1051" s="504"/>
      <c r="BX1051" s="769"/>
      <c r="BY1051" s="179"/>
      <c r="BZ1051" s="179"/>
      <c r="CA1051" s="179"/>
      <c r="CB1051" s="179"/>
      <c r="CC1051" s="179"/>
      <c r="CD1051" s="179"/>
      <c r="CE1051" s="179"/>
      <c r="CF1051" s="179"/>
      <c r="CG1051"/>
      <c r="CH1051"/>
      <c r="CI1051"/>
      <c r="CJ1051"/>
      <c r="CK1051"/>
      <c r="CL1051"/>
      <c r="CM1051"/>
    </row>
    <row r="1052" spans="1:91" x14ac:dyDescent="0.2">
      <c r="A1052"/>
      <c r="B1052"/>
      <c r="D1052"/>
      <c r="E1052"/>
      <c r="F1052"/>
      <c r="G1052"/>
      <c r="I1052"/>
      <c r="J1052"/>
      <c r="K1052"/>
      <c r="L1052" s="499"/>
      <c r="V1052" s="504"/>
      <c r="BX1052" s="769"/>
      <c r="BY1052" s="179"/>
      <c r="BZ1052" s="179"/>
      <c r="CA1052" s="179"/>
      <c r="CB1052" s="179"/>
      <c r="CC1052" s="179"/>
      <c r="CD1052" s="179"/>
      <c r="CE1052" s="179"/>
      <c r="CF1052" s="179"/>
      <c r="CG1052"/>
      <c r="CH1052"/>
      <c r="CI1052"/>
      <c r="CJ1052"/>
      <c r="CK1052"/>
      <c r="CL1052"/>
      <c r="CM1052"/>
    </row>
    <row r="1053" spans="1:91" x14ac:dyDescent="0.2">
      <c r="A1053"/>
      <c r="B1053"/>
      <c r="D1053"/>
      <c r="E1053"/>
      <c r="F1053"/>
      <c r="G1053"/>
      <c r="I1053"/>
      <c r="J1053"/>
      <c r="K1053"/>
      <c r="L1053" s="499"/>
      <c r="V1053" s="504"/>
      <c r="BX1053" s="769"/>
      <c r="BY1053" s="179"/>
      <c r="BZ1053" s="179"/>
      <c r="CA1053" s="179"/>
      <c r="CB1053" s="179"/>
      <c r="CC1053" s="179"/>
      <c r="CD1053" s="179"/>
      <c r="CE1053" s="179"/>
      <c r="CF1053" s="179"/>
      <c r="CG1053"/>
      <c r="CH1053"/>
      <c r="CI1053"/>
      <c r="CJ1053"/>
      <c r="CK1053"/>
      <c r="CL1053"/>
      <c r="CM1053"/>
    </row>
    <row r="1054" spans="1:91" x14ac:dyDescent="0.2">
      <c r="A1054"/>
      <c r="B1054"/>
      <c r="D1054"/>
      <c r="E1054"/>
      <c r="F1054"/>
      <c r="G1054"/>
      <c r="I1054"/>
      <c r="J1054"/>
      <c r="K1054"/>
      <c r="L1054" s="499"/>
      <c r="V1054" s="504"/>
      <c r="BX1054" s="769"/>
      <c r="BY1054" s="179"/>
      <c r="BZ1054" s="179"/>
      <c r="CA1054" s="179"/>
      <c r="CB1054" s="179"/>
      <c r="CC1054" s="179"/>
      <c r="CD1054" s="179"/>
      <c r="CE1054" s="179"/>
      <c r="CF1054" s="179"/>
      <c r="CG1054"/>
      <c r="CH1054"/>
      <c r="CI1054"/>
      <c r="CJ1054"/>
      <c r="CK1054"/>
      <c r="CL1054"/>
      <c r="CM1054"/>
    </row>
    <row r="1055" spans="1:91" x14ac:dyDescent="0.2">
      <c r="A1055"/>
      <c r="B1055"/>
      <c r="D1055"/>
      <c r="E1055"/>
      <c r="F1055"/>
      <c r="G1055"/>
      <c r="I1055"/>
      <c r="J1055"/>
      <c r="K1055"/>
      <c r="L1055" s="499"/>
      <c r="V1055" s="504"/>
      <c r="BX1055" s="769"/>
      <c r="BY1055" s="179"/>
      <c r="BZ1055" s="179"/>
      <c r="CA1055" s="179"/>
      <c r="CB1055" s="179"/>
      <c r="CC1055" s="179"/>
      <c r="CD1055" s="179"/>
      <c r="CE1055" s="179"/>
      <c r="CF1055" s="179"/>
      <c r="CG1055"/>
      <c r="CH1055"/>
      <c r="CI1055"/>
      <c r="CJ1055"/>
      <c r="CK1055"/>
      <c r="CL1055"/>
      <c r="CM1055"/>
    </row>
    <row r="1056" spans="1:91" x14ac:dyDescent="0.2">
      <c r="A1056"/>
      <c r="B1056"/>
      <c r="D1056"/>
      <c r="E1056"/>
      <c r="F1056"/>
      <c r="G1056"/>
      <c r="I1056"/>
      <c r="J1056"/>
      <c r="K1056"/>
      <c r="L1056" s="499"/>
      <c r="V1056" s="504"/>
      <c r="BX1056" s="769"/>
      <c r="BY1056" s="179"/>
      <c r="BZ1056" s="179"/>
      <c r="CA1056" s="179"/>
      <c r="CB1056" s="179"/>
      <c r="CC1056" s="179"/>
      <c r="CD1056" s="179"/>
      <c r="CE1056" s="179"/>
      <c r="CF1056" s="179"/>
      <c r="CG1056"/>
      <c r="CH1056"/>
      <c r="CI1056"/>
      <c r="CJ1056"/>
      <c r="CK1056"/>
      <c r="CL1056"/>
      <c r="CM1056"/>
    </row>
    <row r="1057" spans="1:91" x14ac:dyDescent="0.2">
      <c r="A1057"/>
      <c r="B1057"/>
      <c r="D1057"/>
      <c r="E1057"/>
      <c r="F1057"/>
      <c r="G1057"/>
      <c r="I1057"/>
      <c r="J1057"/>
      <c r="K1057"/>
      <c r="L1057" s="499"/>
      <c r="V1057" s="504"/>
      <c r="BX1057" s="769"/>
      <c r="BY1057" s="179"/>
      <c r="BZ1057" s="179"/>
      <c r="CA1057" s="179"/>
      <c r="CB1057" s="179"/>
      <c r="CC1057" s="179"/>
      <c r="CD1057" s="179"/>
      <c r="CE1057" s="179"/>
      <c r="CF1057" s="179"/>
      <c r="CG1057"/>
      <c r="CH1057"/>
      <c r="CI1057"/>
      <c r="CJ1057"/>
      <c r="CK1057"/>
      <c r="CL1057"/>
      <c r="CM1057"/>
    </row>
    <row r="1058" spans="1:91" x14ac:dyDescent="0.2">
      <c r="A1058"/>
      <c r="B1058"/>
      <c r="D1058"/>
      <c r="E1058"/>
      <c r="F1058"/>
      <c r="G1058"/>
      <c r="I1058"/>
      <c r="J1058"/>
      <c r="K1058"/>
      <c r="L1058" s="499"/>
      <c r="V1058" s="504"/>
      <c r="BX1058" s="769"/>
      <c r="BY1058" s="179"/>
      <c r="BZ1058" s="179"/>
      <c r="CA1058" s="179"/>
      <c r="CB1058" s="179"/>
      <c r="CC1058" s="179"/>
      <c r="CD1058" s="179"/>
      <c r="CE1058" s="179"/>
      <c r="CF1058" s="179"/>
      <c r="CG1058"/>
      <c r="CH1058"/>
      <c r="CI1058"/>
      <c r="CJ1058"/>
      <c r="CK1058"/>
      <c r="CL1058"/>
      <c r="CM1058"/>
    </row>
    <row r="1059" spans="1:91" x14ac:dyDescent="0.2">
      <c r="A1059"/>
      <c r="B1059"/>
      <c r="D1059"/>
      <c r="E1059"/>
      <c r="F1059"/>
      <c r="G1059"/>
      <c r="I1059"/>
      <c r="J1059"/>
      <c r="K1059"/>
      <c r="L1059" s="499"/>
      <c r="V1059" s="504"/>
      <c r="BX1059" s="769"/>
      <c r="BY1059" s="179"/>
      <c r="BZ1059" s="179"/>
      <c r="CA1059" s="179"/>
      <c r="CB1059" s="179"/>
      <c r="CC1059" s="179"/>
      <c r="CD1059" s="179"/>
      <c r="CE1059" s="179"/>
      <c r="CF1059" s="179"/>
      <c r="CG1059"/>
      <c r="CH1059"/>
      <c r="CI1059"/>
      <c r="CJ1059"/>
      <c r="CK1059"/>
      <c r="CL1059"/>
      <c r="CM1059"/>
    </row>
    <row r="1060" spans="1:91" x14ac:dyDescent="0.2">
      <c r="A1060"/>
      <c r="B1060"/>
      <c r="D1060"/>
      <c r="E1060"/>
      <c r="F1060"/>
      <c r="G1060"/>
      <c r="I1060"/>
      <c r="J1060"/>
      <c r="K1060"/>
      <c r="L1060" s="499"/>
      <c r="V1060" s="504"/>
      <c r="BX1060" s="769"/>
      <c r="BY1060" s="179"/>
      <c r="BZ1060" s="179"/>
      <c r="CA1060" s="179"/>
      <c r="CB1060" s="179"/>
      <c r="CC1060" s="179"/>
      <c r="CD1060" s="179"/>
      <c r="CE1060" s="179"/>
      <c r="CF1060" s="179"/>
      <c r="CG1060"/>
      <c r="CH1060"/>
      <c r="CI1060"/>
      <c r="CJ1060"/>
      <c r="CK1060"/>
      <c r="CL1060"/>
      <c r="CM1060"/>
    </row>
    <row r="1061" spans="1:91" x14ac:dyDescent="0.2">
      <c r="A1061"/>
      <c r="B1061"/>
      <c r="D1061"/>
      <c r="E1061"/>
      <c r="F1061"/>
      <c r="G1061"/>
      <c r="I1061"/>
      <c r="J1061"/>
      <c r="K1061"/>
      <c r="L1061" s="499"/>
      <c r="V1061" s="504"/>
      <c r="BX1061" s="769"/>
      <c r="BY1061" s="179"/>
      <c r="BZ1061" s="179"/>
      <c r="CA1061" s="179"/>
      <c r="CB1061" s="179"/>
      <c r="CC1061" s="179"/>
      <c r="CD1061" s="179"/>
      <c r="CE1061" s="179"/>
      <c r="CF1061" s="179"/>
      <c r="CG1061"/>
      <c r="CH1061"/>
      <c r="CI1061"/>
      <c r="CJ1061"/>
      <c r="CK1061"/>
      <c r="CL1061"/>
      <c r="CM1061"/>
    </row>
    <row r="1062" spans="1:91" x14ac:dyDescent="0.2">
      <c r="A1062"/>
      <c r="B1062"/>
      <c r="D1062"/>
      <c r="E1062"/>
      <c r="F1062"/>
      <c r="G1062"/>
      <c r="I1062"/>
      <c r="J1062"/>
      <c r="K1062"/>
      <c r="L1062" s="499"/>
      <c r="V1062" s="504"/>
      <c r="BX1062" s="769"/>
      <c r="BY1062" s="179"/>
      <c r="BZ1062" s="179"/>
      <c r="CA1062" s="179"/>
      <c r="CB1062" s="179"/>
      <c r="CC1062" s="179"/>
      <c r="CD1062" s="179"/>
      <c r="CE1062" s="179"/>
      <c r="CF1062" s="179"/>
      <c r="CG1062"/>
      <c r="CH1062"/>
      <c r="CI1062"/>
      <c r="CJ1062"/>
      <c r="CK1062"/>
      <c r="CL1062"/>
      <c r="CM1062"/>
    </row>
    <row r="1063" spans="1:91" x14ac:dyDescent="0.2">
      <c r="A1063"/>
      <c r="B1063"/>
      <c r="D1063"/>
      <c r="E1063"/>
      <c r="F1063"/>
      <c r="G1063"/>
      <c r="I1063"/>
      <c r="J1063"/>
      <c r="K1063"/>
      <c r="L1063" s="499"/>
      <c r="V1063" s="504"/>
      <c r="BX1063" s="769"/>
      <c r="BY1063" s="179"/>
      <c r="BZ1063" s="179"/>
      <c r="CA1063" s="179"/>
      <c r="CB1063" s="179"/>
      <c r="CC1063" s="179"/>
      <c r="CD1063" s="179"/>
      <c r="CE1063" s="179"/>
      <c r="CF1063" s="179"/>
      <c r="CG1063"/>
      <c r="CH1063"/>
      <c r="CI1063"/>
      <c r="CJ1063"/>
      <c r="CK1063"/>
      <c r="CL1063"/>
      <c r="CM1063"/>
    </row>
    <row r="1064" spans="1:91" x14ac:dyDescent="0.2">
      <c r="A1064"/>
      <c r="B1064"/>
      <c r="D1064"/>
      <c r="E1064"/>
      <c r="F1064"/>
      <c r="G1064"/>
      <c r="I1064"/>
      <c r="J1064"/>
      <c r="K1064"/>
      <c r="L1064" s="499"/>
      <c r="V1064" s="504"/>
      <c r="BX1064" s="769"/>
      <c r="BY1064" s="179"/>
      <c r="BZ1064" s="179"/>
      <c r="CA1064" s="179"/>
      <c r="CB1064" s="179"/>
      <c r="CC1064" s="179"/>
      <c r="CD1064" s="179"/>
      <c r="CE1064" s="179"/>
      <c r="CF1064" s="179"/>
      <c r="CG1064"/>
      <c r="CH1064"/>
      <c r="CI1064"/>
      <c r="CJ1064"/>
      <c r="CK1064"/>
      <c r="CL1064"/>
      <c r="CM1064"/>
    </row>
    <row r="1065" spans="1:91" x14ac:dyDescent="0.2">
      <c r="A1065"/>
      <c r="B1065"/>
      <c r="D1065"/>
      <c r="E1065"/>
      <c r="F1065"/>
      <c r="G1065"/>
      <c r="I1065"/>
      <c r="J1065"/>
      <c r="K1065"/>
      <c r="L1065" s="499"/>
      <c r="V1065" s="504"/>
      <c r="BX1065" s="769"/>
      <c r="BY1065" s="179"/>
      <c r="BZ1065" s="179"/>
      <c r="CA1065" s="179"/>
      <c r="CB1065" s="179"/>
      <c r="CC1065" s="179"/>
      <c r="CD1065" s="179"/>
      <c r="CE1065" s="179"/>
      <c r="CF1065" s="179"/>
      <c r="CG1065"/>
      <c r="CH1065"/>
      <c r="CI1065"/>
      <c r="CJ1065"/>
      <c r="CK1065"/>
      <c r="CL1065"/>
      <c r="CM1065"/>
    </row>
    <row r="1066" spans="1:91" x14ac:dyDescent="0.2">
      <c r="A1066"/>
      <c r="B1066"/>
      <c r="D1066"/>
      <c r="E1066"/>
      <c r="F1066"/>
      <c r="G1066"/>
      <c r="I1066"/>
      <c r="J1066"/>
      <c r="K1066"/>
      <c r="L1066" s="499"/>
      <c r="V1066" s="504"/>
      <c r="BX1066" s="769"/>
      <c r="BY1066" s="179"/>
      <c r="BZ1066" s="179"/>
      <c r="CA1066" s="179"/>
      <c r="CB1066" s="179"/>
      <c r="CC1066" s="179"/>
      <c r="CD1066" s="179"/>
      <c r="CE1066" s="179"/>
      <c r="CF1066" s="179"/>
      <c r="CG1066"/>
      <c r="CH1066"/>
      <c r="CI1066"/>
      <c r="CJ1066"/>
      <c r="CK1066"/>
      <c r="CL1066"/>
      <c r="CM1066"/>
    </row>
    <row r="1067" spans="1:91" x14ac:dyDescent="0.2">
      <c r="A1067"/>
      <c r="B1067"/>
      <c r="D1067"/>
      <c r="E1067"/>
      <c r="F1067"/>
      <c r="G1067"/>
      <c r="I1067"/>
      <c r="J1067"/>
      <c r="K1067"/>
      <c r="L1067" s="499"/>
      <c r="V1067" s="504"/>
      <c r="BX1067" s="769"/>
      <c r="BY1067" s="179"/>
      <c r="BZ1067" s="179"/>
      <c r="CA1067" s="179"/>
      <c r="CB1067" s="179"/>
      <c r="CC1067" s="179"/>
      <c r="CD1067" s="179"/>
      <c r="CE1067" s="179"/>
      <c r="CF1067" s="179"/>
      <c r="CG1067"/>
      <c r="CH1067"/>
      <c r="CI1067"/>
      <c r="CJ1067"/>
      <c r="CK1067"/>
      <c r="CL1067"/>
      <c r="CM1067"/>
    </row>
    <row r="1068" spans="1:91" x14ac:dyDescent="0.2">
      <c r="A1068"/>
      <c r="B1068"/>
      <c r="D1068"/>
      <c r="E1068"/>
      <c r="F1068"/>
      <c r="G1068"/>
      <c r="I1068"/>
      <c r="J1068"/>
      <c r="K1068"/>
      <c r="L1068" s="499"/>
      <c r="V1068" s="504"/>
      <c r="BX1068" s="769"/>
      <c r="BY1068" s="179"/>
      <c r="BZ1068" s="179"/>
      <c r="CA1068" s="179"/>
      <c r="CB1068" s="179"/>
      <c r="CC1068" s="179"/>
      <c r="CD1068" s="179"/>
      <c r="CE1068" s="179"/>
      <c r="CF1068" s="179"/>
      <c r="CG1068"/>
      <c r="CH1068"/>
      <c r="CI1068"/>
      <c r="CJ1068"/>
      <c r="CK1068"/>
      <c r="CL1068"/>
      <c r="CM1068"/>
    </row>
    <row r="1069" spans="1:91" x14ac:dyDescent="0.2">
      <c r="A1069"/>
      <c r="B1069"/>
      <c r="D1069"/>
      <c r="E1069"/>
      <c r="F1069"/>
      <c r="G1069"/>
      <c r="I1069"/>
      <c r="J1069"/>
      <c r="K1069"/>
      <c r="L1069" s="499"/>
      <c r="V1069" s="504"/>
      <c r="BX1069" s="769"/>
      <c r="BY1069" s="179"/>
      <c r="BZ1069" s="179"/>
      <c r="CA1069" s="179"/>
      <c r="CB1069" s="179"/>
      <c r="CC1069" s="179"/>
      <c r="CD1069" s="179"/>
      <c r="CE1069" s="179"/>
      <c r="CF1069" s="179"/>
      <c r="CG1069"/>
      <c r="CH1069"/>
      <c r="CI1069"/>
      <c r="CJ1069"/>
      <c r="CK1069"/>
      <c r="CL1069"/>
      <c r="CM1069"/>
    </row>
    <row r="1070" spans="1:91" x14ac:dyDescent="0.2">
      <c r="A1070"/>
      <c r="B1070"/>
      <c r="D1070"/>
      <c r="E1070"/>
      <c r="F1070"/>
      <c r="G1070"/>
      <c r="I1070"/>
      <c r="J1070"/>
      <c r="K1070"/>
      <c r="L1070" s="499"/>
      <c r="V1070" s="504"/>
      <c r="BX1070" s="769"/>
      <c r="BY1070" s="179"/>
      <c r="BZ1070" s="179"/>
      <c r="CA1070" s="179"/>
      <c r="CB1070" s="179"/>
      <c r="CC1070" s="179"/>
      <c r="CD1070" s="179"/>
      <c r="CE1070" s="179"/>
      <c r="CF1070" s="179"/>
      <c r="CG1070"/>
      <c r="CH1070"/>
      <c r="CI1070"/>
      <c r="CJ1070"/>
      <c r="CK1070"/>
      <c r="CL1070"/>
      <c r="CM1070"/>
    </row>
    <row r="1071" spans="1:91" x14ac:dyDescent="0.2">
      <c r="A1071"/>
      <c r="B1071"/>
      <c r="D1071"/>
      <c r="E1071"/>
      <c r="F1071"/>
      <c r="G1071"/>
      <c r="I1071"/>
      <c r="J1071"/>
      <c r="K1071"/>
      <c r="L1071" s="499"/>
      <c r="V1071" s="504"/>
      <c r="BX1071" s="769"/>
      <c r="BY1071" s="179"/>
      <c r="BZ1071" s="179"/>
      <c r="CA1071" s="179"/>
      <c r="CB1071" s="179"/>
      <c r="CC1071" s="179"/>
      <c r="CD1071" s="179"/>
      <c r="CE1071" s="179"/>
      <c r="CF1071" s="179"/>
      <c r="CG1071"/>
      <c r="CH1071"/>
      <c r="CI1071"/>
      <c r="CJ1071"/>
      <c r="CK1071"/>
      <c r="CL1071"/>
      <c r="CM1071"/>
    </row>
    <row r="1072" spans="1:91" x14ac:dyDescent="0.2">
      <c r="A1072"/>
      <c r="B1072"/>
      <c r="D1072"/>
      <c r="E1072"/>
      <c r="F1072"/>
      <c r="G1072"/>
      <c r="I1072"/>
      <c r="J1072"/>
      <c r="K1072"/>
      <c r="L1072" s="499"/>
      <c r="V1072" s="504"/>
      <c r="BX1072" s="769"/>
      <c r="BY1072" s="179"/>
      <c r="BZ1072" s="179"/>
      <c r="CA1072" s="179"/>
      <c r="CB1072" s="179"/>
      <c r="CC1072" s="179"/>
      <c r="CD1072" s="179"/>
      <c r="CE1072" s="179"/>
      <c r="CF1072" s="179"/>
      <c r="CG1072"/>
      <c r="CH1072"/>
      <c r="CI1072"/>
      <c r="CJ1072"/>
      <c r="CK1072"/>
      <c r="CL1072"/>
      <c r="CM1072"/>
    </row>
    <row r="1073" spans="1:91" x14ac:dyDescent="0.2">
      <c r="A1073"/>
      <c r="B1073"/>
      <c r="D1073"/>
      <c r="E1073"/>
      <c r="F1073"/>
      <c r="G1073"/>
      <c r="I1073"/>
      <c r="J1073"/>
      <c r="K1073"/>
      <c r="L1073" s="499"/>
      <c r="V1073" s="504"/>
      <c r="BX1073" s="769"/>
      <c r="BY1073" s="179"/>
      <c r="BZ1073" s="179"/>
      <c r="CA1073" s="179"/>
      <c r="CB1073" s="179"/>
      <c r="CC1073" s="179"/>
      <c r="CD1073" s="179"/>
      <c r="CE1073" s="179"/>
      <c r="CF1073" s="179"/>
      <c r="CG1073"/>
      <c r="CH1073"/>
      <c r="CI1073"/>
      <c r="CJ1073"/>
      <c r="CK1073"/>
      <c r="CL1073"/>
      <c r="CM1073"/>
    </row>
    <row r="1074" spans="1:91" x14ac:dyDescent="0.2">
      <c r="A1074"/>
      <c r="B1074"/>
      <c r="D1074"/>
      <c r="E1074"/>
      <c r="F1074"/>
      <c r="G1074"/>
      <c r="I1074"/>
      <c r="J1074"/>
      <c r="K1074"/>
      <c r="L1074" s="499"/>
      <c r="V1074" s="504"/>
      <c r="BX1074" s="769"/>
      <c r="BY1074" s="179"/>
      <c r="BZ1074" s="179"/>
      <c r="CA1074" s="179"/>
      <c r="CB1074" s="179"/>
      <c r="CC1074" s="179"/>
      <c r="CD1074" s="179"/>
      <c r="CE1074" s="179"/>
      <c r="CF1074" s="179"/>
      <c r="CG1074"/>
      <c r="CH1074"/>
      <c r="CI1074"/>
      <c r="CJ1074"/>
      <c r="CK1074"/>
      <c r="CL1074"/>
      <c r="CM1074"/>
    </row>
    <row r="1075" spans="1:91" x14ac:dyDescent="0.2">
      <c r="A1075"/>
      <c r="B1075"/>
      <c r="D1075"/>
      <c r="E1075"/>
      <c r="F1075"/>
      <c r="G1075"/>
      <c r="I1075"/>
      <c r="J1075"/>
      <c r="K1075"/>
      <c r="L1075" s="499"/>
      <c r="V1075" s="504"/>
      <c r="BX1075" s="769"/>
      <c r="BY1075" s="179"/>
      <c r="BZ1075" s="179"/>
      <c r="CA1075" s="179"/>
      <c r="CB1075" s="179"/>
      <c r="CC1075" s="179"/>
      <c r="CD1075" s="179"/>
      <c r="CE1075" s="179"/>
      <c r="CF1075" s="179"/>
      <c r="CG1075"/>
      <c r="CH1075"/>
      <c r="CI1075"/>
      <c r="CJ1075"/>
      <c r="CK1075"/>
      <c r="CL1075"/>
      <c r="CM1075"/>
    </row>
    <row r="1076" spans="1:91" x14ac:dyDescent="0.2">
      <c r="A1076"/>
      <c r="B1076"/>
      <c r="D1076"/>
      <c r="E1076"/>
      <c r="F1076"/>
      <c r="G1076"/>
      <c r="I1076"/>
      <c r="J1076"/>
      <c r="K1076"/>
      <c r="L1076" s="499"/>
      <c r="V1076" s="504"/>
      <c r="BX1076" s="769"/>
      <c r="BY1076" s="179"/>
      <c r="BZ1076" s="179"/>
      <c r="CA1076" s="179"/>
      <c r="CB1076" s="179"/>
      <c r="CC1076" s="179"/>
      <c r="CD1076" s="179"/>
      <c r="CE1076" s="179"/>
      <c r="CF1076" s="179"/>
      <c r="CG1076"/>
      <c r="CH1076"/>
      <c r="CI1076"/>
      <c r="CJ1076"/>
      <c r="CK1076"/>
      <c r="CL1076"/>
      <c r="CM1076"/>
    </row>
    <row r="1077" spans="1:91" x14ac:dyDescent="0.2">
      <c r="A1077"/>
      <c r="B1077"/>
      <c r="D1077"/>
      <c r="E1077"/>
      <c r="F1077"/>
      <c r="G1077"/>
      <c r="I1077"/>
      <c r="J1077"/>
      <c r="K1077"/>
      <c r="L1077" s="499"/>
      <c r="V1077" s="504"/>
      <c r="BX1077" s="769"/>
      <c r="BY1077" s="179"/>
      <c r="BZ1077" s="179"/>
      <c r="CA1077" s="179"/>
      <c r="CB1077" s="179"/>
      <c r="CC1077" s="179"/>
      <c r="CD1077" s="179"/>
      <c r="CE1077" s="179"/>
      <c r="CF1077" s="179"/>
      <c r="CG1077"/>
      <c r="CH1077"/>
      <c r="CI1077"/>
      <c r="CJ1077"/>
      <c r="CK1077"/>
      <c r="CL1077"/>
      <c r="CM1077"/>
    </row>
    <row r="1078" spans="1:91" x14ac:dyDescent="0.2">
      <c r="A1078"/>
      <c r="B1078"/>
      <c r="D1078"/>
      <c r="E1078"/>
      <c r="F1078"/>
      <c r="G1078"/>
      <c r="I1078"/>
      <c r="J1078"/>
      <c r="K1078"/>
      <c r="L1078" s="499"/>
      <c r="V1078" s="504"/>
      <c r="BX1078" s="769"/>
      <c r="BY1078" s="179"/>
      <c r="BZ1078" s="179"/>
      <c r="CA1078" s="179"/>
      <c r="CB1078" s="179"/>
      <c r="CC1078" s="179"/>
      <c r="CD1078" s="179"/>
      <c r="CE1078" s="179"/>
      <c r="CF1078" s="179"/>
      <c r="CG1078"/>
      <c r="CH1078"/>
      <c r="CI1078"/>
      <c r="CJ1078"/>
      <c r="CK1078"/>
      <c r="CL1078"/>
      <c r="CM1078"/>
    </row>
    <row r="1079" spans="1:91" x14ac:dyDescent="0.2">
      <c r="A1079"/>
      <c r="B1079"/>
      <c r="D1079"/>
      <c r="E1079"/>
      <c r="F1079"/>
      <c r="G1079"/>
      <c r="I1079"/>
      <c r="J1079"/>
      <c r="K1079"/>
      <c r="L1079" s="499"/>
      <c r="V1079" s="504"/>
      <c r="BX1079" s="769"/>
      <c r="BY1079" s="179"/>
      <c r="BZ1079" s="179"/>
      <c r="CA1079" s="179"/>
      <c r="CB1079" s="179"/>
      <c r="CC1079" s="179"/>
      <c r="CD1079" s="179"/>
      <c r="CE1079" s="179"/>
      <c r="CF1079" s="179"/>
      <c r="CG1079"/>
      <c r="CH1079"/>
      <c r="CI1079"/>
      <c r="CJ1079"/>
      <c r="CK1079"/>
      <c r="CL1079"/>
      <c r="CM1079"/>
    </row>
    <row r="1080" spans="1:91" x14ac:dyDescent="0.2">
      <c r="A1080"/>
      <c r="B1080"/>
      <c r="D1080"/>
      <c r="E1080"/>
      <c r="F1080"/>
      <c r="G1080"/>
      <c r="I1080"/>
      <c r="J1080"/>
      <c r="K1080"/>
      <c r="L1080" s="499"/>
      <c r="V1080" s="504"/>
      <c r="BX1080" s="769"/>
      <c r="BY1080" s="179"/>
      <c r="BZ1080" s="179"/>
      <c r="CA1080" s="179"/>
      <c r="CB1080" s="179"/>
      <c r="CC1080" s="179"/>
      <c r="CD1080" s="179"/>
      <c r="CE1080" s="179"/>
      <c r="CF1080" s="179"/>
      <c r="CG1080"/>
      <c r="CH1080"/>
      <c r="CI1080"/>
      <c r="CJ1080"/>
      <c r="CK1080"/>
      <c r="CL1080"/>
      <c r="CM1080"/>
    </row>
    <row r="1081" spans="1:91" x14ac:dyDescent="0.2">
      <c r="A1081"/>
      <c r="B1081"/>
      <c r="D1081"/>
      <c r="E1081"/>
      <c r="F1081"/>
      <c r="G1081"/>
      <c r="I1081"/>
      <c r="J1081"/>
      <c r="K1081"/>
      <c r="L1081" s="499"/>
      <c r="V1081" s="504"/>
      <c r="BX1081" s="769"/>
      <c r="BY1081" s="179"/>
      <c r="BZ1081" s="179"/>
      <c r="CA1081" s="179"/>
      <c r="CB1081" s="179"/>
      <c r="CC1081" s="179"/>
      <c r="CD1081" s="179"/>
      <c r="CE1081" s="179"/>
      <c r="CF1081" s="179"/>
      <c r="CG1081"/>
      <c r="CH1081"/>
      <c r="CI1081"/>
      <c r="CJ1081"/>
      <c r="CK1081"/>
      <c r="CL1081"/>
      <c r="CM1081"/>
    </row>
    <row r="1082" spans="1:91" x14ac:dyDescent="0.2">
      <c r="A1082"/>
      <c r="B1082"/>
      <c r="D1082"/>
      <c r="E1082"/>
      <c r="F1082"/>
      <c r="G1082"/>
      <c r="I1082"/>
      <c r="J1082"/>
      <c r="K1082"/>
      <c r="L1082" s="499"/>
      <c r="V1082" s="504"/>
      <c r="BX1082" s="769"/>
      <c r="BY1082" s="179"/>
      <c r="BZ1082" s="179"/>
      <c r="CA1082" s="179"/>
      <c r="CB1082" s="179"/>
      <c r="CC1082" s="179"/>
      <c r="CD1082" s="179"/>
      <c r="CE1082" s="179"/>
      <c r="CF1082" s="179"/>
      <c r="CG1082"/>
      <c r="CH1082"/>
      <c r="CI1082"/>
      <c r="CJ1082"/>
      <c r="CK1082"/>
      <c r="CL1082"/>
      <c r="CM1082"/>
    </row>
    <row r="1083" spans="1:91" x14ac:dyDescent="0.2">
      <c r="A1083"/>
      <c r="B1083"/>
      <c r="D1083"/>
      <c r="E1083"/>
      <c r="F1083"/>
      <c r="G1083"/>
      <c r="I1083"/>
      <c r="J1083"/>
      <c r="K1083"/>
      <c r="L1083" s="499"/>
      <c r="V1083" s="504"/>
      <c r="BX1083" s="769"/>
      <c r="BY1083" s="179"/>
      <c r="BZ1083" s="179"/>
      <c r="CA1083" s="179"/>
      <c r="CB1083" s="179"/>
      <c r="CC1083" s="179"/>
      <c r="CD1083" s="179"/>
      <c r="CE1083" s="179"/>
      <c r="CF1083" s="179"/>
      <c r="CG1083"/>
      <c r="CH1083"/>
      <c r="CI1083"/>
      <c r="CJ1083"/>
      <c r="CK1083"/>
      <c r="CL1083"/>
      <c r="CM1083"/>
    </row>
    <row r="1084" spans="1:91" x14ac:dyDescent="0.2">
      <c r="A1084"/>
      <c r="B1084"/>
      <c r="D1084"/>
      <c r="E1084"/>
      <c r="F1084"/>
      <c r="G1084"/>
      <c r="I1084"/>
      <c r="J1084"/>
      <c r="K1084"/>
      <c r="L1084" s="499"/>
      <c r="V1084" s="504"/>
      <c r="BX1084" s="769"/>
      <c r="BY1084" s="179"/>
      <c r="BZ1084" s="179"/>
      <c r="CA1084" s="179"/>
      <c r="CB1084" s="179"/>
      <c r="CC1084" s="179"/>
      <c r="CD1084" s="179"/>
      <c r="CE1084" s="179"/>
      <c r="CF1084" s="179"/>
      <c r="CG1084"/>
      <c r="CH1084"/>
      <c r="CI1084"/>
      <c r="CJ1084"/>
      <c r="CK1084"/>
      <c r="CL1084"/>
      <c r="CM1084"/>
    </row>
    <row r="1085" spans="1:91" x14ac:dyDescent="0.2">
      <c r="A1085"/>
      <c r="B1085"/>
      <c r="D1085"/>
      <c r="E1085"/>
      <c r="F1085"/>
      <c r="G1085"/>
      <c r="I1085"/>
      <c r="J1085"/>
      <c r="K1085"/>
      <c r="L1085" s="499"/>
      <c r="V1085" s="504"/>
      <c r="BX1085" s="769"/>
      <c r="BY1085" s="179"/>
      <c r="BZ1085" s="179"/>
      <c r="CA1085" s="179"/>
      <c r="CB1085" s="179"/>
      <c r="CC1085" s="179"/>
      <c r="CD1085" s="179"/>
      <c r="CE1085" s="179"/>
      <c r="CF1085" s="179"/>
      <c r="CG1085"/>
      <c r="CH1085"/>
      <c r="CI1085"/>
      <c r="CJ1085"/>
      <c r="CK1085"/>
      <c r="CL1085"/>
      <c r="CM1085"/>
    </row>
    <row r="1086" spans="1:91" x14ac:dyDescent="0.2">
      <c r="A1086"/>
      <c r="B1086"/>
      <c r="D1086"/>
      <c r="E1086"/>
      <c r="F1086"/>
      <c r="G1086"/>
      <c r="I1086"/>
      <c r="J1086"/>
      <c r="K1086"/>
      <c r="L1086" s="499"/>
      <c r="V1086" s="504"/>
      <c r="BX1086" s="769"/>
      <c r="BY1086" s="179"/>
      <c r="BZ1086" s="179"/>
      <c r="CA1086" s="179"/>
      <c r="CB1086" s="179"/>
      <c r="CC1086" s="179"/>
      <c r="CD1086" s="179"/>
      <c r="CE1086" s="179"/>
      <c r="CF1086" s="179"/>
      <c r="CG1086"/>
      <c r="CH1086"/>
      <c r="CI1086"/>
      <c r="CJ1086"/>
      <c r="CK1086"/>
      <c r="CL1086"/>
      <c r="CM1086"/>
    </row>
    <row r="1087" spans="1:91" x14ac:dyDescent="0.2">
      <c r="A1087"/>
      <c r="B1087"/>
      <c r="D1087"/>
      <c r="E1087"/>
      <c r="F1087"/>
      <c r="G1087"/>
      <c r="I1087"/>
      <c r="J1087"/>
      <c r="K1087"/>
      <c r="L1087" s="499"/>
      <c r="V1087" s="504"/>
      <c r="BX1087" s="769"/>
      <c r="BY1087" s="179"/>
      <c r="BZ1087" s="179"/>
      <c r="CA1087" s="179"/>
      <c r="CB1087" s="179"/>
      <c r="CC1087" s="179"/>
      <c r="CD1087" s="179"/>
      <c r="CE1087" s="179"/>
      <c r="CF1087" s="179"/>
      <c r="CG1087"/>
      <c r="CH1087"/>
      <c r="CI1087"/>
      <c r="CJ1087"/>
      <c r="CK1087"/>
      <c r="CL1087"/>
      <c r="CM1087"/>
    </row>
    <row r="1088" spans="1:91" x14ac:dyDescent="0.2">
      <c r="A1088"/>
      <c r="B1088"/>
      <c r="D1088"/>
      <c r="E1088"/>
      <c r="F1088"/>
      <c r="G1088"/>
      <c r="I1088"/>
      <c r="J1088"/>
      <c r="K1088"/>
      <c r="L1088" s="499"/>
      <c r="V1088" s="504"/>
      <c r="BX1088" s="769"/>
      <c r="BY1088" s="179"/>
      <c r="BZ1088" s="179"/>
      <c r="CA1088" s="179"/>
      <c r="CB1088" s="179"/>
      <c r="CC1088" s="179"/>
      <c r="CD1088" s="179"/>
      <c r="CE1088" s="179"/>
      <c r="CF1088" s="179"/>
      <c r="CG1088"/>
      <c r="CH1088"/>
      <c r="CI1088"/>
      <c r="CJ1088"/>
      <c r="CK1088"/>
      <c r="CL1088"/>
      <c r="CM1088"/>
    </row>
    <row r="1089" spans="1:91" x14ac:dyDescent="0.2">
      <c r="A1089"/>
      <c r="B1089"/>
      <c r="D1089"/>
      <c r="E1089"/>
      <c r="F1089"/>
      <c r="G1089"/>
      <c r="I1089"/>
      <c r="J1089"/>
      <c r="K1089"/>
      <c r="L1089" s="499"/>
      <c r="V1089" s="504"/>
      <c r="BX1089" s="769"/>
      <c r="BY1089" s="179"/>
      <c r="BZ1089" s="179"/>
      <c r="CA1089" s="179"/>
      <c r="CB1089" s="179"/>
      <c r="CC1089" s="179"/>
      <c r="CD1089" s="179"/>
      <c r="CE1089" s="179"/>
      <c r="CF1089" s="179"/>
      <c r="CG1089"/>
      <c r="CH1089"/>
      <c r="CI1089"/>
      <c r="CJ1089"/>
      <c r="CK1089"/>
      <c r="CL1089"/>
      <c r="CM1089"/>
    </row>
    <row r="1090" spans="1:91" x14ac:dyDescent="0.2">
      <c r="A1090"/>
      <c r="B1090"/>
      <c r="D1090"/>
      <c r="E1090"/>
      <c r="F1090"/>
      <c r="G1090"/>
      <c r="I1090"/>
      <c r="J1090"/>
      <c r="K1090"/>
      <c r="L1090" s="499"/>
      <c r="V1090" s="504"/>
      <c r="BX1090" s="769"/>
      <c r="BY1090" s="179"/>
      <c r="BZ1090" s="179"/>
      <c r="CA1090" s="179"/>
      <c r="CB1090" s="179"/>
      <c r="CC1090" s="179"/>
      <c r="CD1090" s="179"/>
      <c r="CE1090" s="179"/>
      <c r="CF1090" s="179"/>
      <c r="CG1090"/>
      <c r="CH1090"/>
      <c r="CI1090"/>
      <c r="CJ1090"/>
      <c r="CK1090"/>
      <c r="CL1090"/>
      <c r="CM1090"/>
    </row>
    <row r="1091" spans="1:91" x14ac:dyDescent="0.2">
      <c r="A1091"/>
      <c r="B1091"/>
      <c r="D1091"/>
      <c r="E1091"/>
      <c r="F1091"/>
      <c r="G1091"/>
      <c r="I1091"/>
      <c r="J1091"/>
      <c r="K1091"/>
      <c r="L1091" s="499"/>
      <c r="V1091" s="504"/>
      <c r="BX1091" s="769"/>
      <c r="BY1091" s="179"/>
      <c r="BZ1091" s="179"/>
      <c r="CA1091" s="179"/>
      <c r="CB1091" s="179"/>
      <c r="CC1091" s="179"/>
      <c r="CD1091" s="179"/>
      <c r="CE1091" s="179"/>
      <c r="CF1091" s="179"/>
      <c r="CG1091"/>
      <c r="CH1091"/>
      <c r="CI1091"/>
      <c r="CJ1091"/>
      <c r="CK1091"/>
      <c r="CL1091"/>
      <c r="CM1091"/>
    </row>
    <row r="1092" spans="1:91" x14ac:dyDescent="0.2">
      <c r="A1092"/>
      <c r="B1092"/>
      <c r="D1092"/>
      <c r="E1092"/>
      <c r="F1092"/>
      <c r="G1092"/>
      <c r="I1092"/>
      <c r="J1092"/>
      <c r="K1092"/>
      <c r="L1092" s="499"/>
      <c r="V1092" s="504"/>
      <c r="BX1092" s="769"/>
      <c r="BY1092" s="179"/>
      <c r="BZ1092" s="179"/>
      <c r="CA1092" s="179"/>
      <c r="CB1092" s="179"/>
      <c r="CC1092" s="179"/>
      <c r="CD1092" s="179"/>
      <c r="CE1092" s="179"/>
      <c r="CF1092" s="179"/>
      <c r="CG1092"/>
      <c r="CH1092"/>
      <c r="CI1092"/>
      <c r="CJ1092"/>
      <c r="CK1092"/>
      <c r="CL1092"/>
      <c r="CM1092"/>
    </row>
    <row r="1093" spans="1:91" x14ac:dyDescent="0.2">
      <c r="A1093"/>
      <c r="B1093"/>
      <c r="D1093"/>
      <c r="E1093"/>
      <c r="F1093"/>
      <c r="G1093"/>
      <c r="I1093"/>
      <c r="J1093"/>
      <c r="K1093"/>
      <c r="L1093" s="499"/>
      <c r="V1093" s="504"/>
      <c r="BX1093" s="769"/>
      <c r="BY1093" s="179"/>
      <c r="BZ1093" s="179"/>
      <c r="CA1093" s="179"/>
      <c r="CB1093" s="179"/>
      <c r="CC1093" s="179"/>
      <c r="CD1093" s="179"/>
      <c r="CE1093" s="179"/>
      <c r="CF1093" s="179"/>
      <c r="CG1093"/>
      <c r="CH1093"/>
      <c r="CI1093"/>
      <c r="CJ1093"/>
      <c r="CK1093"/>
      <c r="CL1093"/>
      <c r="CM1093"/>
    </row>
    <row r="1094" spans="1:91" x14ac:dyDescent="0.2">
      <c r="A1094"/>
      <c r="B1094"/>
      <c r="D1094"/>
      <c r="E1094"/>
      <c r="F1094"/>
      <c r="G1094"/>
      <c r="I1094"/>
      <c r="J1094"/>
      <c r="K1094"/>
      <c r="L1094" s="499"/>
      <c r="V1094" s="504"/>
      <c r="BX1094" s="769"/>
      <c r="BY1094" s="179"/>
      <c r="BZ1094" s="179"/>
      <c r="CA1094" s="179"/>
      <c r="CB1094" s="179"/>
      <c r="CC1094" s="179"/>
      <c r="CD1094" s="179"/>
      <c r="CE1094" s="179"/>
      <c r="CF1094" s="179"/>
      <c r="CG1094"/>
      <c r="CH1094"/>
      <c r="CI1094"/>
      <c r="CJ1094"/>
      <c r="CK1094"/>
      <c r="CL1094"/>
      <c r="CM1094"/>
    </row>
    <row r="1095" spans="1:91" x14ac:dyDescent="0.2">
      <c r="A1095"/>
      <c r="B1095"/>
      <c r="D1095"/>
      <c r="E1095"/>
      <c r="F1095"/>
      <c r="G1095"/>
      <c r="I1095"/>
      <c r="J1095"/>
      <c r="K1095"/>
      <c r="L1095" s="499"/>
      <c r="V1095" s="504"/>
      <c r="BX1095" s="769"/>
      <c r="BY1095" s="179"/>
      <c r="BZ1095" s="179"/>
      <c r="CA1095" s="179"/>
      <c r="CB1095" s="179"/>
      <c r="CC1095" s="179"/>
      <c r="CD1095" s="179"/>
      <c r="CE1095" s="179"/>
      <c r="CF1095" s="179"/>
      <c r="CG1095"/>
      <c r="CH1095"/>
      <c r="CI1095"/>
      <c r="CJ1095"/>
      <c r="CK1095"/>
      <c r="CL1095"/>
      <c r="CM1095"/>
    </row>
    <row r="1096" spans="1:91" x14ac:dyDescent="0.2">
      <c r="A1096"/>
      <c r="B1096"/>
      <c r="D1096"/>
      <c r="E1096"/>
      <c r="F1096"/>
      <c r="G1096"/>
      <c r="I1096"/>
      <c r="J1096"/>
      <c r="K1096"/>
      <c r="L1096" s="499"/>
      <c r="V1096" s="504"/>
      <c r="BX1096" s="769"/>
      <c r="BY1096" s="179"/>
      <c r="BZ1096" s="179"/>
      <c r="CA1096" s="179"/>
      <c r="CB1096" s="179"/>
      <c r="CC1096" s="179"/>
      <c r="CD1096" s="179"/>
      <c r="CE1096" s="179"/>
      <c r="CF1096" s="179"/>
      <c r="CG1096"/>
      <c r="CH1096"/>
      <c r="CI1096"/>
      <c r="CJ1096"/>
      <c r="CK1096"/>
      <c r="CL1096"/>
      <c r="CM1096"/>
    </row>
    <row r="1097" spans="1:91" x14ac:dyDescent="0.2">
      <c r="A1097"/>
      <c r="B1097"/>
      <c r="D1097"/>
      <c r="E1097"/>
      <c r="F1097"/>
      <c r="G1097"/>
      <c r="I1097"/>
      <c r="J1097"/>
      <c r="K1097"/>
      <c r="L1097" s="499"/>
      <c r="V1097" s="504"/>
      <c r="BX1097" s="769"/>
      <c r="BY1097" s="179"/>
      <c r="BZ1097" s="179"/>
      <c r="CA1097" s="179"/>
      <c r="CB1097" s="179"/>
      <c r="CC1097" s="179"/>
      <c r="CD1097" s="179"/>
      <c r="CE1097" s="179"/>
      <c r="CF1097" s="179"/>
      <c r="CG1097"/>
      <c r="CH1097"/>
      <c r="CI1097"/>
      <c r="CJ1097"/>
      <c r="CK1097"/>
      <c r="CL1097"/>
      <c r="CM1097"/>
    </row>
    <row r="1098" spans="1:91" x14ac:dyDescent="0.2">
      <c r="A1098"/>
      <c r="B1098"/>
      <c r="D1098"/>
      <c r="E1098"/>
      <c r="F1098"/>
      <c r="G1098"/>
      <c r="I1098"/>
      <c r="J1098"/>
      <c r="K1098"/>
      <c r="L1098" s="499"/>
      <c r="V1098" s="504"/>
      <c r="BX1098" s="769"/>
      <c r="BY1098" s="179"/>
      <c r="BZ1098" s="179"/>
      <c r="CA1098" s="179"/>
      <c r="CB1098" s="179"/>
      <c r="CC1098" s="179"/>
      <c r="CD1098" s="179"/>
      <c r="CE1098" s="179"/>
      <c r="CF1098" s="179"/>
      <c r="CG1098"/>
      <c r="CH1098"/>
      <c r="CI1098"/>
      <c r="CJ1098"/>
      <c r="CK1098"/>
      <c r="CL1098"/>
      <c r="CM1098"/>
    </row>
    <row r="1099" spans="1:91" x14ac:dyDescent="0.2">
      <c r="A1099"/>
      <c r="B1099"/>
      <c r="D1099"/>
      <c r="E1099"/>
      <c r="F1099"/>
      <c r="G1099"/>
      <c r="I1099"/>
      <c r="J1099"/>
      <c r="K1099"/>
      <c r="L1099" s="499"/>
      <c r="V1099" s="504"/>
      <c r="BX1099" s="769"/>
      <c r="BY1099" s="179"/>
      <c r="BZ1099" s="179"/>
      <c r="CA1099" s="179"/>
      <c r="CB1099" s="179"/>
      <c r="CC1099" s="179"/>
      <c r="CD1099" s="179"/>
      <c r="CE1099" s="179"/>
      <c r="CF1099" s="179"/>
      <c r="CG1099"/>
      <c r="CH1099"/>
      <c r="CI1099"/>
      <c r="CJ1099"/>
      <c r="CK1099"/>
      <c r="CL1099"/>
      <c r="CM1099"/>
    </row>
    <row r="1100" spans="1:91" x14ac:dyDescent="0.2">
      <c r="A1100"/>
      <c r="B1100"/>
      <c r="D1100"/>
      <c r="E1100"/>
      <c r="F1100"/>
      <c r="G1100"/>
      <c r="I1100"/>
      <c r="J1100"/>
      <c r="K1100"/>
      <c r="L1100" s="499"/>
      <c r="V1100" s="504"/>
      <c r="BX1100" s="769"/>
      <c r="BY1100" s="179"/>
      <c r="BZ1100" s="179"/>
      <c r="CA1100" s="179"/>
      <c r="CB1100" s="179"/>
      <c r="CC1100" s="179"/>
      <c r="CD1100" s="179"/>
      <c r="CE1100" s="179"/>
      <c r="CF1100" s="179"/>
      <c r="CG1100"/>
      <c r="CH1100"/>
      <c r="CI1100"/>
      <c r="CJ1100"/>
      <c r="CK1100"/>
      <c r="CL1100"/>
      <c r="CM1100"/>
    </row>
    <row r="1101" spans="1:91" x14ac:dyDescent="0.2">
      <c r="A1101"/>
      <c r="B1101"/>
      <c r="D1101"/>
      <c r="E1101"/>
      <c r="F1101"/>
      <c r="G1101"/>
      <c r="I1101"/>
      <c r="J1101"/>
      <c r="K1101"/>
      <c r="L1101" s="499"/>
      <c r="V1101" s="504"/>
      <c r="BX1101" s="769"/>
      <c r="BY1101" s="179"/>
      <c r="BZ1101" s="179"/>
      <c r="CA1101" s="179"/>
      <c r="CB1101" s="179"/>
      <c r="CC1101" s="179"/>
      <c r="CD1101" s="179"/>
      <c r="CE1101" s="179"/>
      <c r="CF1101" s="179"/>
      <c r="CG1101"/>
      <c r="CH1101"/>
      <c r="CI1101"/>
      <c r="CJ1101"/>
      <c r="CK1101"/>
      <c r="CL1101"/>
      <c r="CM1101"/>
    </row>
    <row r="1102" spans="1:91" x14ac:dyDescent="0.2">
      <c r="A1102"/>
      <c r="B1102"/>
      <c r="D1102"/>
      <c r="E1102"/>
      <c r="F1102"/>
      <c r="G1102"/>
      <c r="I1102"/>
      <c r="J1102"/>
      <c r="K1102"/>
      <c r="L1102" s="499"/>
      <c r="V1102" s="504"/>
      <c r="BX1102" s="769"/>
      <c r="BY1102" s="179"/>
      <c r="BZ1102" s="179"/>
      <c r="CA1102" s="179"/>
      <c r="CB1102" s="179"/>
      <c r="CC1102" s="179"/>
      <c r="CD1102" s="179"/>
      <c r="CE1102" s="179"/>
      <c r="CF1102" s="179"/>
      <c r="CG1102"/>
      <c r="CH1102"/>
      <c r="CI1102"/>
      <c r="CJ1102"/>
      <c r="CK1102"/>
      <c r="CL1102"/>
      <c r="CM1102"/>
    </row>
    <row r="1103" spans="1:91" x14ac:dyDescent="0.2">
      <c r="A1103"/>
      <c r="B1103"/>
      <c r="D1103"/>
      <c r="E1103"/>
      <c r="F1103"/>
      <c r="G1103"/>
      <c r="I1103"/>
      <c r="J1103"/>
      <c r="K1103"/>
      <c r="L1103" s="499"/>
      <c r="V1103" s="504"/>
      <c r="BX1103" s="769"/>
      <c r="BY1103" s="179"/>
      <c r="BZ1103" s="179"/>
      <c r="CA1103" s="179"/>
      <c r="CB1103" s="179"/>
      <c r="CC1103" s="179"/>
      <c r="CD1103" s="179"/>
      <c r="CE1103" s="179"/>
      <c r="CF1103" s="179"/>
      <c r="CG1103"/>
      <c r="CH1103"/>
      <c r="CI1103"/>
      <c r="CJ1103"/>
      <c r="CK1103"/>
      <c r="CL1103"/>
      <c r="CM1103"/>
    </row>
    <row r="1104" spans="1:91" x14ac:dyDescent="0.2">
      <c r="A1104"/>
      <c r="B1104"/>
      <c r="D1104"/>
      <c r="E1104"/>
      <c r="F1104"/>
      <c r="G1104"/>
      <c r="I1104"/>
      <c r="J1104"/>
      <c r="K1104"/>
      <c r="L1104" s="499"/>
      <c r="V1104" s="504"/>
      <c r="BX1104" s="769"/>
      <c r="BY1104" s="179"/>
      <c r="BZ1104" s="179"/>
      <c r="CA1104" s="179"/>
      <c r="CB1104" s="179"/>
      <c r="CC1104" s="179"/>
      <c r="CD1104" s="179"/>
      <c r="CE1104" s="179"/>
      <c r="CF1104" s="179"/>
      <c r="CG1104"/>
      <c r="CH1104"/>
      <c r="CI1104"/>
      <c r="CJ1104"/>
      <c r="CK1104"/>
      <c r="CL1104"/>
      <c r="CM1104"/>
    </row>
    <row r="1105" spans="1:91" x14ac:dyDescent="0.2">
      <c r="A1105"/>
      <c r="B1105"/>
      <c r="D1105"/>
      <c r="E1105"/>
      <c r="F1105"/>
      <c r="G1105"/>
      <c r="I1105"/>
      <c r="J1105"/>
      <c r="K1105"/>
      <c r="L1105" s="499"/>
      <c r="V1105" s="504"/>
      <c r="BX1105" s="769"/>
      <c r="BY1105" s="179"/>
      <c r="BZ1105" s="179"/>
      <c r="CA1105" s="179"/>
      <c r="CB1105" s="179"/>
      <c r="CC1105" s="179"/>
      <c r="CD1105" s="179"/>
      <c r="CE1105" s="179"/>
      <c r="CF1105" s="179"/>
      <c r="CG1105"/>
      <c r="CH1105"/>
      <c r="CI1105"/>
      <c r="CJ1105"/>
      <c r="CK1105"/>
      <c r="CL1105"/>
      <c r="CM1105"/>
    </row>
    <row r="1106" spans="1:91" x14ac:dyDescent="0.2">
      <c r="A1106"/>
      <c r="B1106"/>
      <c r="D1106"/>
      <c r="E1106"/>
      <c r="F1106"/>
      <c r="G1106"/>
      <c r="I1106"/>
      <c r="J1106"/>
      <c r="K1106"/>
      <c r="L1106" s="499"/>
      <c r="V1106" s="504"/>
      <c r="BX1106" s="769"/>
      <c r="BY1106" s="179"/>
      <c r="BZ1106" s="179"/>
      <c r="CA1106" s="179"/>
      <c r="CB1106" s="179"/>
      <c r="CC1106" s="179"/>
      <c r="CD1106" s="179"/>
      <c r="CE1106" s="179"/>
      <c r="CF1106" s="179"/>
      <c r="CG1106"/>
      <c r="CH1106"/>
      <c r="CI1106"/>
      <c r="CJ1106"/>
      <c r="CK1106"/>
      <c r="CL1106"/>
      <c r="CM1106"/>
    </row>
    <row r="1107" spans="1:91" x14ac:dyDescent="0.2">
      <c r="A1107"/>
      <c r="B1107"/>
      <c r="D1107"/>
      <c r="E1107"/>
      <c r="F1107"/>
      <c r="G1107"/>
      <c r="I1107"/>
      <c r="J1107"/>
      <c r="K1107"/>
      <c r="L1107" s="499"/>
      <c r="V1107" s="504"/>
      <c r="BX1107" s="769"/>
      <c r="BY1107" s="179"/>
      <c r="BZ1107" s="179"/>
      <c r="CA1107" s="179"/>
      <c r="CB1107" s="179"/>
      <c r="CC1107" s="179"/>
      <c r="CD1107" s="179"/>
      <c r="CE1107" s="179"/>
      <c r="CF1107" s="179"/>
      <c r="CG1107"/>
      <c r="CH1107"/>
      <c r="CI1107"/>
      <c r="CJ1107"/>
      <c r="CK1107"/>
      <c r="CL1107"/>
      <c r="CM1107"/>
    </row>
    <row r="1108" spans="1:91" x14ac:dyDescent="0.2">
      <c r="A1108"/>
      <c r="B1108"/>
      <c r="D1108"/>
      <c r="E1108"/>
      <c r="F1108"/>
      <c r="G1108"/>
      <c r="I1108"/>
      <c r="J1108"/>
      <c r="K1108"/>
      <c r="L1108" s="499"/>
      <c r="V1108" s="504"/>
      <c r="BX1108" s="769"/>
      <c r="BY1108" s="179"/>
      <c r="BZ1108" s="179"/>
      <c r="CA1108" s="179"/>
      <c r="CB1108" s="179"/>
      <c r="CC1108" s="179"/>
      <c r="CD1108" s="179"/>
      <c r="CE1108" s="179"/>
      <c r="CF1108" s="179"/>
      <c r="CG1108"/>
      <c r="CH1108"/>
      <c r="CI1108"/>
      <c r="CJ1108"/>
      <c r="CK1108"/>
      <c r="CL1108"/>
      <c r="CM1108"/>
    </row>
    <row r="1109" spans="1:91" x14ac:dyDescent="0.2">
      <c r="A1109"/>
      <c r="B1109"/>
      <c r="D1109"/>
      <c r="E1109"/>
      <c r="F1109"/>
      <c r="G1109"/>
      <c r="I1109"/>
      <c r="J1109"/>
      <c r="K1109"/>
      <c r="L1109" s="499"/>
      <c r="V1109" s="504"/>
      <c r="BX1109" s="769"/>
      <c r="BY1109" s="179"/>
      <c r="BZ1109" s="179"/>
      <c r="CA1109" s="179"/>
      <c r="CB1109" s="179"/>
      <c r="CC1109" s="179"/>
      <c r="CD1109" s="179"/>
      <c r="CE1109" s="179"/>
      <c r="CF1109" s="179"/>
      <c r="CG1109"/>
      <c r="CH1109"/>
      <c r="CI1109"/>
      <c r="CJ1109"/>
      <c r="CK1109"/>
      <c r="CL1109"/>
      <c r="CM1109"/>
    </row>
    <row r="1110" spans="1:91" x14ac:dyDescent="0.2">
      <c r="A1110"/>
      <c r="B1110"/>
      <c r="D1110"/>
      <c r="E1110"/>
      <c r="F1110"/>
      <c r="G1110"/>
      <c r="I1110"/>
      <c r="J1110"/>
      <c r="K1110"/>
      <c r="L1110" s="499"/>
      <c r="V1110" s="504"/>
      <c r="BX1110" s="769"/>
      <c r="BY1110" s="179"/>
      <c r="BZ1110" s="179"/>
      <c r="CA1110" s="179"/>
      <c r="CB1110" s="179"/>
      <c r="CC1110" s="179"/>
      <c r="CD1110" s="179"/>
      <c r="CE1110" s="179"/>
      <c r="CF1110" s="179"/>
      <c r="CG1110"/>
      <c r="CH1110"/>
      <c r="CI1110"/>
      <c r="CJ1110"/>
      <c r="CK1110"/>
      <c r="CL1110"/>
      <c r="CM1110"/>
    </row>
    <row r="1111" spans="1:91" x14ac:dyDescent="0.2">
      <c r="A1111"/>
      <c r="B1111"/>
      <c r="D1111"/>
      <c r="E1111"/>
      <c r="F1111"/>
      <c r="G1111"/>
      <c r="I1111"/>
      <c r="J1111"/>
      <c r="K1111"/>
      <c r="L1111" s="499"/>
      <c r="V1111" s="504"/>
      <c r="BX1111" s="769"/>
      <c r="BY1111" s="179"/>
      <c r="BZ1111" s="179"/>
      <c r="CA1111" s="179"/>
      <c r="CB1111" s="179"/>
      <c r="CC1111" s="179"/>
      <c r="CD1111" s="179"/>
      <c r="CE1111" s="179"/>
      <c r="CF1111" s="179"/>
      <c r="CG1111"/>
      <c r="CH1111"/>
      <c r="CI1111"/>
      <c r="CJ1111"/>
      <c r="CK1111"/>
      <c r="CL1111"/>
      <c r="CM1111"/>
    </row>
    <row r="1112" spans="1:91" x14ac:dyDescent="0.2">
      <c r="A1112"/>
      <c r="B1112"/>
      <c r="D1112"/>
      <c r="E1112"/>
      <c r="F1112"/>
      <c r="G1112"/>
      <c r="I1112"/>
      <c r="J1112"/>
      <c r="K1112"/>
      <c r="L1112" s="499"/>
      <c r="V1112" s="504"/>
      <c r="BX1112" s="769"/>
      <c r="BY1112" s="179"/>
      <c r="BZ1112" s="179"/>
      <c r="CA1112" s="179"/>
      <c r="CB1112" s="179"/>
      <c r="CC1112" s="179"/>
      <c r="CD1112" s="179"/>
      <c r="CE1112" s="179"/>
      <c r="CF1112" s="179"/>
      <c r="CG1112"/>
      <c r="CH1112"/>
      <c r="CI1112"/>
      <c r="CJ1112"/>
      <c r="CK1112"/>
      <c r="CL1112"/>
      <c r="CM1112"/>
    </row>
    <row r="1113" spans="1:91" x14ac:dyDescent="0.2">
      <c r="A1113"/>
      <c r="B1113"/>
      <c r="D1113"/>
      <c r="E1113"/>
      <c r="F1113"/>
      <c r="G1113"/>
      <c r="I1113"/>
      <c r="J1113"/>
      <c r="K1113"/>
      <c r="L1113" s="499"/>
      <c r="V1113" s="504"/>
      <c r="BX1113" s="769"/>
      <c r="BY1113" s="179"/>
      <c r="BZ1113" s="179"/>
      <c r="CA1113" s="179"/>
      <c r="CB1113" s="179"/>
      <c r="CC1113" s="179"/>
      <c r="CD1113" s="179"/>
      <c r="CE1113" s="179"/>
      <c r="CF1113" s="179"/>
      <c r="CG1113"/>
      <c r="CH1113"/>
      <c r="CI1113"/>
      <c r="CJ1113"/>
      <c r="CK1113"/>
      <c r="CL1113"/>
      <c r="CM1113"/>
    </row>
    <row r="1114" spans="1:91" x14ac:dyDescent="0.2">
      <c r="A1114"/>
      <c r="B1114"/>
      <c r="D1114"/>
      <c r="E1114"/>
      <c r="F1114"/>
      <c r="G1114"/>
      <c r="I1114"/>
      <c r="J1114"/>
      <c r="K1114"/>
      <c r="L1114" s="499"/>
      <c r="V1114" s="504"/>
      <c r="BX1114" s="769"/>
      <c r="BY1114" s="179"/>
      <c r="BZ1114" s="179"/>
      <c r="CA1114" s="179"/>
      <c r="CB1114" s="179"/>
      <c r="CC1114" s="179"/>
      <c r="CD1114" s="179"/>
      <c r="CE1114" s="179"/>
      <c r="CF1114" s="179"/>
      <c r="CG1114"/>
      <c r="CH1114"/>
      <c r="CI1114"/>
      <c r="CJ1114"/>
      <c r="CK1114"/>
      <c r="CL1114"/>
      <c r="CM1114"/>
    </row>
    <row r="1115" spans="1:91" x14ac:dyDescent="0.2">
      <c r="A1115"/>
      <c r="B1115"/>
      <c r="D1115"/>
      <c r="E1115"/>
      <c r="F1115"/>
      <c r="G1115"/>
      <c r="I1115"/>
      <c r="J1115"/>
      <c r="K1115"/>
      <c r="L1115" s="499"/>
      <c r="V1115" s="504"/>
      <c r="BX1115" s="769"/>
      <c r="BY1115" s="179"/>
      <c r="BZ1115" s="179"/>
      <c r="CA1115" s="179"/>
      <c r="CB1115" s="179"/>
      <c r="CC1115" s="179"/>
      <c r="CD1115" s="179"/>
      <c r="CE1115" s="179"/>
      <c r="CF1115" s="179"/>
      <c r="CG1115"/>
      <c r="CH1115"/>
      <c r="CI1115"/>
      <c r="CJ1115"/>
      <c r="CK1115"/>
      <c r="CL1115"/>
      <c r="CM1115"/>
    </row>
    <row r="1116" spans="1:91" x14ac:dyDescent="0.2">
      <c r="A1116"/>
      <c r="B1116"/>
      <c r="D1116"/>
      <c r="E1116"/>
      <c r="F1116"/>
      <c r="G1116"/>
      <c r="I1116"/>
      <c r="J1116"/>
      <c r="K1116"/>
      <c r="L1116" s="499"/>
      <c r="V1116" s="504"/>
      <c r="BX1116" s="769"/>
      <c r="BY1116" s="179"/>
      <c r="BZ1116" s="179"/>
      <c r="CA1116" s="179"/>
      <c r="CB1116" s="179"/>
      <c r="CC1116" s="179"/>
      <c r="CD1116" s="179"/>
      <c r="CE1116" s="179"/>
      <c r="CF1116" s="179"/>
      <c r="CG1116"/>
      <c r="CH1116"/>
      <c r="CI1116"/>
      <c r="CJ1116"/>
      <c r="CK1116"/>
      <c r="CL1116"/>
      <c r="CM1116"/>
    </row>
    <row r="1117" spans="1:91" x14ac:dyDescent="0.2">
      <c r="A1117"/>
      <c r="B1117"/>
      <c r="D1117"/>
      <c r="E1117"/>
      <c r="F1117"/>
      <c r="G1117"/>
      <c r="I1117"/>
      <c r="J1117"/>
      <c r="K1117"/>
      <c r="L1117" s="499"/>
      <c r="V1117" s="504"/>
      <c r="BX1117" s="769"/>
      <c r="BY1117" s="179"/>
      <c r="BZ1117" s="179"/>
      <c r="CA1117" s="179"/>
      <c r="CB1117" s="179"/>
      <c r="CC1117" s="179"/>
      <c r="CD1117" s="179"/>
      <c r="CE1117" s="179"/>
      <c r="CF1117" s="179"/>
      <c r="CG1117"/>
      <c r="CH1117"/>
      <c r="CI1117"/>
      <c r="CJ1117"/>
      <c r="CK1117"/>
      <c r="CL1117"/>
      <c r="CM1117"/>
    </row>
    <row r="1118" spans="1:91" x14ac:dyDescent="0.2">
      <c r="A1118"/>
      <c r="B1118"/>
      <c r="D1118"/>
      <c r="E1118"/>
      <c r="F1118"/>
      <c r="G1118"/>
      <c r="I1118"/>
      <c r="J1118"/>
      <c r="K1118"/>
      <c r="L1118" s="499"/>
      <c r="V1118" s="504"/>
      <c r="BX1118" s="769"/>
      <c r="BY1118" s="179"/>
      <c r="BZ1118" s="179"/>
      <c r="CA1118" s="179"/>
      <c r="CB1118" s="179"/>
      <c r="CC1118" s="179"/>
      <c r="CD1118" s="179"/>
      <c r="CE1118" s="179"/>
      <c r="CF1118" s="179"/>
      <c r="CG1118"/>
      <c r="CH1118"/>
      <c r="CI1118"/>
      <c r="CJ1118"/>
      <c r="CK1118"/>
      <c r="CL1118"/>
      <c r="CM1118"/>
    </row>
    <row r="1119" spans="1:91" x14ac:dyDescent="0.2">
      <c r="A1119"/>
      <c r="B1119"/>
      <c r="D1119"/>
      <c r="E1119"/>
      <c r="F1119"/>
      <c r="G1119"/>
      <c r="I1119"/>
      <c r="J1119"/>
      <c r="K1119"/>
      <c r="L1119" s="499"/>
      <c r="V1119" s="504"/>
      <c r="BX1119" s="769"/>
      <c r="BY1119" s="179"/>
      <c r="BZ1119" s="179"/>
      <c r="CA1119" s="179"/>
      <c r="CB1119" s="179"/>
      <c r="CC1119" s="179"/>
      <c r="CD1119" s="179"/>
      <c r="CE1119" s="179"/>
      <c r="CF1119" s="179"/>
      <c r="CG1119"/>
      <c r="CH1119"/>
      <c r="CI1119"/>
      <c r="CJ1119"/>
      <c r="CK1119"/>
      <c r="CL1119"/>
      <c r="CM1119"/>
    </row>
    <row r="1120" spans="1:91" x14ac:dyDescent="0.2">
      <c r="A1120"/>
      <c r="B1120"/>
      <c r="D1120"/>
      <c r="E1120"/>
      <c r="F1120"/>
      <c r="G1120"/>
      <c r="I1120"/>
      <c r="J1120"/>
      <c r="K1120"/>
      <c r="L1120" s="499"/>
      <c r="V1120" s="504"/>
      <c r="BX1120" s="769"/>
      <c r="BY1120" s="179"/>
      <c r="BZ1120" s="179"/>
      <c r="CA1120" s="179"/>
      <c r="CB1120" s="179"/>
      <c r="CC1120" s="179"/>
      <c r="CD1120" s="179"/>
      <c r="CE1120" s="179"/>
      <c r="CF1120" s="179"/>
      <c r="CG1120"/>
      <c r="CH1120"/>
      <c r="CI1120"/>
      <c r="CJ1120"/>
      <c r="CK1120"/>
      <c r="CL1120"/>
      <c r="CM1120"/>
    </row>
    <row r="1121" spans="1:91" x14ac:dyDescent="0.2">
      <c r="A1121"/>
      <c r="B1121"/>
      <c r="D1121"/>
      <c r="E1121"/>
      <c r="F1121"/>
      <c r="G1121"/>
      <c r="I1121"/>
      <c r="J1121"/>
      <c r="K1121"/>
      <c r="L1121" s="499"/>
      <c r="V1121" s="504"/>
      <c r="BX1121" s="769"/>
      <c r="BY1121" s="179"/>
      <c r="BZ1121" s="179"/>
      <c r="CA1121" s="179"/>
      <c r="CB1121" s="179"/>
      <c r="CC1121" s="179"/>
      <c r="CD1121" s="179"/>
      <c r="CE1121" s="179"/>
      <c r="CF1121" s="179"/>
      <c r="CG1121"/>
      <c r="CH1121"/>
      <c r="CI1121"/>
      <c r="CJ1121"/>
      <c r="CK1121"/>
      <c r="CL1121"/>
      <c r="CM1121"/>
    </row>
    <row r="1122" spans="1:91" x14ac:dyDescent="0.2">
      <c r="A1122"/>
      <c r="B1122"/>
      <c r="D1122"/>
      <c r="E1122"/>
      <c r="F1122"/>
      <c r="G1122"/>
      <c r="I1122"/>
      <c r="J1122"/>
      <c r="K1122"/>
      <c r="L1122" s="499"/>
      <c r="V1122" s="504"/>
      <c r="BX1122" s="769"/>
      <c r="BY1122" s="179"/>
      <c r="BZ1122" s="179"/>
      <c r="CA1122" s="179"/>
      <c r="CB1122" s="179"/>
      <c r="CC1122" s="179"/>
      <c r="CD1122" s="179"/>
      <c r="CE1122" s="179"/>
      <c r="CF1122" s="179"/>
      <c r="CG1122"/>
      <c r="CH1122"/>
      <c r="CI1122"/>
      <c r="CJ1122"/>
      <c r="CK1122"/>
      <c r="CL1122"/>
      <c r="CM1122"/>
    </row>
    <row r="1123" spans="1:91" x14ac:dyDescent="0.2">
      <c r="A1123"/>
      <c r="B1123"/>
      <c r="D1123"/>
      <c r="E1123"/>
      <c r="F1123"/>
      <c r="G1123"/>
      <c r="I1123"/>
      <c r="J1123"/>
      <c r="K1123"/>
      <c r="L1123" s="499"/>
      <c r="V1123" s="504"/>
      <c r="BX1123" s="769"/>
      <c r="BY1123" s="179"/>
      <c r="BZ1123" s="179"/>
      <c r="CA1123" s="179"/>
      <c r="CB1123" s="179"/>
      <c r="CC1123" s="179"/>
      <c r="CD1123" s="179"/>
      <c r="CE1123" s="179"/>
      <c r="CF1123" s="179"/>
      <c r="CG1123"/>
      <c r="CH1123"/>
      <c r="CI1123"/>
      <c r="CJ1123"/>
      <c r="CK1123"/>
      <c r="CL1123"/>
      <c r="CM1123"/>
    </row>
    <row r="1124" spans="1:91" x14ac:dyDescent="0.2">
      <c r="A1124"/>
      <c r="B1124"/>
      <c r="D1124"/>
      <c r="E1124"/>
      <c r="F1124"/>
      <c r="G1124"/>
      <c r="I1124"/>
      <c r="J1124"/>
      <c r="K1124"/>
      <c r="L1124" s="499"/>
      <c r="V1124" s="504"/>
      <c r="BX1124" s="769"/>
      <c r="BY1124" s="179"/>
      <c r="BZ1124" s="179"/>
      <c r="CA1124" s="179"/>
      <c r="CB1124" s="179"/>
      <c r="CC1124" s="179"/>
      <c r="CD1124" s="179"/>
      <c r="CE1124" s="179"/>
      <c r="CF1124" s="179"/>
      <c r="CG1124"/>
      <c r="CH1124"/>
      <c r="CI1124"/>
      <c r="CJ1124"/>
      <c r="CK1124"/>
      <c r="CL1124"/>
      <c r="CM1124"/>
    </row>
    <row r="1125" spans="1:91" x14ac:dyDescent="0.2">
      <c r="A1125"/>
      <c r="B1125"/>
      <c r="D1125"/>
      <c r="E1125"/>
      <c r="F1125"/>
      <c r="G1125"/>
      <c r="I1125"/>
      <c r="J1125"/>
      <c r="K1125"/>
      <c r="L1125" s="499"/>
      <c r="V1125" s="504"/>
      <c r="BX1125" s="769"/>
      <c r="BY1125" s="179"/>
      <c r="BZ1125" s="179"/>
      <c r="CA1125" s="179"/>
      <c r="CB1125" s="179"/>
      <c r="CC1125" s="179"/>
      <c r="CD1125" s="179"/>
      <c r="CE1125" s="179"/>
      <c r="CF1125" s="179"/>
      <c r="CG1125"/>
      <c r="CH1125"/>
      <c r="CI1125"/>
      <c r="CJ1125"/>
      <c r="CK1125"/>
      <c r="CL1125"/>
      <c r="CM1125"/>
    </row>
    <row r="1126" spans="1:91" x14ac:dyDescent="0.2">
      <c r="A1126"/>
      <c r="B1126"/>
      <c r="D1126"/>
      <c r="E1126"/>
      <c r="F1126"/>
      <c r="G1126"/>
      <c r="I1126"/>
      <c r="J1126"/>
      <c r="K1126"/>
      <c r="L1126" s="499"/>
      <c r="V1126" s="504"/>
      <c r="BX1126" s="769"/>
      <c r="BY1126" s="179"/>
      <c r="BZ1126" s="179"/>
      <c r="CA1126" s="179"/>
      <c r="CB1126" s="179"/>
      <c r="CC1126" s="179"/>
      <c r="CD1126" s="179"/>
      <c r="CE1126" s="179"/>
      <c r="CF1126" s="179"/>
      <c r="CG1126"/>
      <c r="CH1126"/>
      <c r="CI1126"/>
      <c r="CJ1126"/>
      <c r="CK1126"/>
      <c r="CL1126"/>
      <c r="CM1126"/>
    </row>
    <row r="1127" spans="1:91" x14ac:dyDescent="0.2">
      <c r="A1127"/>
      <c r="B1127"/>
      <c r="D1127"/>
      <c r="E1127"/>
      <c r="F1127"/>
      <c r="G1127"/>
      <c r="I1127"/>
      <c r="J1127"/>
      <c r="K1127"/>
      <c r="L1127" s="499"/>
      <c r="V1127" s="504"/>
      <c r="BX1127" s="769"/>
      <c r="BY1127" s="179"/>
      <c r="BZ1127" s="179"/>
      <c r="CA1127" s="179"/>
      <c r="CB1127" s="179"/>
      <c r="CC1127" s="179"/>
      <c r="CD1127" s="179"/>
      <c r="CE1127" s="179"/>
      <c r="CF1127" s="179"/>
      <c r="CG1127"/>
      <c r="CH1127"/>
      <c r="CI1127"/>
      <c r="CJ1127"/>
      <c r="CK1127"/>
      <c r="CL1127"/>
      <c r="CM1127"/>
    </row>
    <row r="1128" spans="1:91" x14ac:dyDescent="0.2">
      <c r="A1128"/>
      <c r="B1128"/>
      <c r="D1128"/>
      <c r="E1128"/>
      <c r="F1128"/>
      <c r="G1128"/>
      <c r="I1128"/>
      <c r="J1128"/>
      <c r="K1128"/>
      <c r="L1128" s="499"/>
      <c r="V1128" s="504"/>
      <c r="BX1128" s="769"/>
      <c r="BY1128" s="179"/>
      <c r="BZ1128" s="179"/>
      <c r="CA1128" s="179"/>
      <c r="CB1128" s="179"/>
      <c r="CC1128" s="179"/>
      <c r="CD1128" s="179"/>
      <c r="CE1128" s="179"/>
      <c r="CF1128" s="179"/>
      <c r="CG1128"/>
      <c r="CH1128"/>
      <c r="CI1128"/>
      <c r="CJ1128"/>
      <c r="CK1128"/>
      <c r="CL1128"/>
      <c r="CM1128"/>
    </row>
    <row r="1129" spans="1:91" x14ac:dyDescent="0.2">
      <c r="A1129"/>
      <c r="B1129"/>
      <c r="D1129"/>
      <c r="E1129"/>
      <c r="F1129"/>
      <c r="G1129"/>
      <c r="I1129"/>
      <c r="J1129"/>
      <c r="K1129"/>
      <c r="L1129" s="499"/>
      <c r="V1129" s="504"/>
      <c r="BX1129" s="769"/>
      <c r="BY1129" s="179"/>
      <c r="BZ1129" s="179"/>
      <c r="CA1129" s="179"/>
      <c r="CB1129" s="179"/>
      <c r="CC1129" s="179"/>
      <c r="CD1129" s="179"/>
      <c r="CE1129" s="179"/>
      <c r="CF1129" s="179"/>
      <c r="CG1129"/>
      <c r="CH1129"/>
      <c r="CI1129"/>
      <c r="CJ1129"/>
      <c r="CK1129"/>
      <c r="CL1129"/>
      <c r="CM1129"/>
    </row>
    <row r="1130" spans="1:91" x14ac:dyDescent="0.2">
      <c r="A1130"/>
      <c r="B1130"/>
      <c r="D1130"/>
      <c r="E1130"/>
      <c r="F1130"/>
      <c r="G1130"/>
      <c r="I1130"/>
      <c r="J1130"/>
      <c r="K1130"/>
      <c r="L1130" s="499"/>
      <c r="V1130" s="504"/>
      <c r="BX1130" s="769"/>
      <c r="BY1130" s="179"/>
      <c r="BZ1130" s="179"/>
      <c r="CA1130" s="179"/>
      <c r="CB1130" s="179"/>
      <c r="CC1130" s="179"/>
      <c r="CD1130" s="179"/>
      <c r="CE1130" s="179"/>
      <c r="CF1130" s="179"/>
      <c r="CG1130"/>
      <c r="CH1130"/>
      <c r="CI1130"/>
      <c r="CJ1130"/>
      <c r="CK1130"/>
      <c r="CL1130"/>
      <c r="CM1130"/>
    </row>
    <row r="1131" spans="1:91" x14ac:dyDescent="0.2">
      <c r="A1131"/>
      <c r="B1131"/>
      <c r="D1131"/>
      <c r="E1131"/>
      <c r="F1131"/>
      <c r="G1131"/>
      <c r="I1131"/>
      <c r="J1131"/>
      <c r="K1131"/>
      <c r="L1131" s="499"/>
      <c r="V1131" s="504"/>
      <c r="BX1131" s="769"/>
      <c r="BY1131" s="179"/>
      <c r="BZ1131" s="179"/>
      <c r="CA1131" s="179"/>
      <c r="CB1131" s="179"/>
      <c r="CC1131" s="179"/>
      <c r="CD1131" s="179"/>
      <c r="CE1131" s="179"/>
      <c r="CF1131" s="179"/>
      <c r="CG1131"/>
      <c r="CH1131"/>
      <c r="CI1131"/>
      <c r="CJ1131"/>
      <c r="CK1131"/>
      <c r="CL1131"/>
      <c r="CM1131"/>
    </row>
    <row r="1132" spans="1:91" x14ac:dyDescent="0.2">
      <c r="A1132"/>
      <c r="B1132"/>
      <c r="D1132"/>
      <c r="E1132"/>
      <c r="F1132"/>
      <c r="G1132"/>
      <c r="I1132"/>
      <c r="J1132"/>
      <c r="K1132"/>
      <c r="L1132" s="499"/>
      <c r="V1132" s="504"/>
      <c r="BX1132" s="769"/>
      <c r="BY1132" s="179"/>
      <c r="BZ1132" s="179"/>
      <c r="CA1132" s="179"/>
      <c r="CB1132" s="179"/>
      <c r="CC1132" s="179"/>
      <c r="CD1132" s="179"/>
      <c r="CE1132" s="179"/>
      <c r="CF1132" s="179"/>
      <c r="CG1132"/>
      <c r="CH1132"/>
      <c r="CI1132"/>
      <c r="CJ1132"/>
      <c r="CK1132"/>
      <c r="CL1132"/>
      <c r="CM1132"/>
    </row>
    <row r="1133" spans="1:91" x14ac:dyDescent="0.2">
      <c r="A1133"/>
      <c r="B1133"/>
      <c r="D1133"/>
      <c r="E1133"/>
      <c r="F1133"/>
      <c r="G1133"/>
      <c r="I1133"/>
      <c r="J1133"/>
      <c r="K1133"/>
      <c r="L1133" s="499"/>
      <c r="V1133" s="504"/>
      <c r="BX1133" s="769"/>
      <c r="BY1133" s="179"/>
      <c r="BZ1133" s="179"/>
      <c r="CA1133" s="179"/>
      <c r="CB1133" s="179"/>
      <c r="CC1133" s="179"/>
      <c r="CD1133" s="179"/>
      <c r="CE1133" s="179"/>
      <c r="CF1133" s="179"/>
      <c r="CG1133"/>
      <c r="CH1133"/>
      <c r="CI1133"/>
      <c r="CJ1133"/>
      <c r="CK1133"/>
      <c r="CL1133"/>
      <c r="CM1133"/>
    </row>
    <row r="1134" spans="1:91" x14ac:dyDescent="0.2">
      <c r="A1134"/>
      <c r="B1134"/>
      <c r="D1134"/>
      <c r="E1134"/>
      <c r="F1134"/>
      <c r="G1134"/>
      <c r="I1134"/>
      <c r="J1134"/>
      <c r="K1134"/>
      <c r="L1134" s="499"/>
      <c r="V1134" s="504"/>
      <c r="BX1134" s="769"/>
      <c r="BY1134" s="179"/>
      <c r="BZ1134" s="179"/>
      <c r="CA1134" s="179"/>
      <c r="CB1134" s="179"/>
      <c r="CC1134" s="179"/>
      <c r="CD1134" s="179"/>
      <c r="CE1134" s="179"/>
      <c r="CF1134" s="179"/>
      <c r="CG1134"/>
      <c r="CH1134"/>
      <c r="CI1134"/>
      <c r="CJ1134"/>
      <c r="CK1134"/>
      <c r="CL1134"/>
      <c r="CM1134"/>
    </row>
    <row r="1135" spans="1:91" x14ac:dyDescent="0.2">
      <c r="A1135"/>
      <c r="B1135"/>
      <c r="D1135"/>
      <c r="E1135"/>
      <c r="F1135"/>
      <c r="G1135"/>
      <c r="I1135"/>
      <c r="J1135"/>
      <c r="K1135"/>
      <c r="L1135" s="499"/>
      <c r="V1135" s="504"/>
      <c r="BX1135" s="769"/>
      <c r="BY1135" s="179"/>
      <c r="BZ1135" s="179"/>
      <c r="CA1135" s="179"/>
      <c r="CB1135" s="179"/>
      <c r="CC1135" s="179"/>
      <c r="CD1135" s="179"/>
      <c r="CE1135" s="179"/>
      <c r="CF1135" s="179"/>
      <c r="CG1135"/>
      <c r="CH1135"/>
      <c r="CI1135"/>
      <c r="CJ1135"/>
      <c r="CK1135"/>
      <c r="CL1135"/>
      <c r="CM1135"/>
    </row>
    <row r="1136" spans="1:91" x14ac:dyDescent="0.2">
      <c r="A1136"/>
      <c r="B1136"/>
      <c r="D1136"/>
      <c r="E1136"/>
      <c r="F1136"/>
      <c r="G1136"/>
      <c r="I1136"/>
      <c r="J1136"/>
      <c r="K1136"/>
      <c r="L1136" s="499"/>
      <c r="V1136" s="504"/>
      <c r="BX1136" s="769"/>
      <c r="BY1136" s="179"/>
      <c r="BZ1136" s="179"/>
      <c r="CA1136" s="179"/>
      <c r="CB1136" s="179"/>
      <c r="CC1136" s="179"/>
      <c r="CD1136" s="179"/>
      <c r="CE1136" s="179"/>
      <c r="CF1136" s="179"/>
      <c r="CG1136"/>
      <c r="CH1136"/>
      <c r="CI1136"/>
      <c r="CJ1136"/>
      <c r="CK1136"/>
      <c r="CL1136"/>
      <c r="CM1136"/>
    </row>
    <row r="1137" spans="1:91" x14ac:dyDescent="0.2">
      <c r="A1137"/>
      <c r="B1137"/>
      <c r="D1137"/>
      <c r="E1137"/>
      <c r="F1137"/>
      <c r="G1137"/>
      <c r="I1137"/>
      <c r="J1137"/>
      <c r="K1137"/>
      <c r="L1137" s="499"/>
      <c r="V1137" s="504"/>
      <c r="BX1137" s="769"/>
      <c r="BY1137" s="179"/>
      <c r="BZ1137" s="179"/>
      <c r="CA1137" s="179"/>
      <c r="CB1137" s="179"/>
      <c r="CC1137" s="179"/>
      <c r="CD1137" s="179"/>
      <c r="CE1137" s="179"/>
      <c r="CF1137" s="179"/>
      <c r="CG1137"/>
      <c r="CH1137"/>
      <c r="CI1137"/>
      <c r="CJ1137"/>
      <c r="CK1137"/>
      <c r="CL1137"/>
      <c r="CM1137"/>
    </row>
    <row r="1138" spans="1:91" x14ac:dyDescent="0.2">
      <c r="A1138"/>
      <c r="B1138"/>
      <c r="D1138"/>
      <c r="E1138"/>
      <c r="F1138"/>
      <c r="G1138"/>
      <c r="I1138"/>
      <c r="J1138"/>
      <c r="K1138"/>
      <c r="L1138" s="499"/>
      <c r="V1138" s="504"/>
      <c r="BX1138" s="769"/>
      <c r="BY1138" s="179"/>
      <c r="BZ1138" s="179"/>
      <c r="CA1138" s="179"/>
      <c r="CB1138" s="179"/>
      <c r="CC1138" s="179"/>
      <c r="CD1138" s="179"/>
      <c r="CE1138" s="179"/>
      <c r="CF1138" s="179"/>
      <c r="CG1138"/>
      <c r="CH1138"/>
      <c r="CI1138"/>
      <c r="CJ1138"/>
      <c r="CK1138"/>
      <c r="CL1138"/>
      <c r="CM1138"/>
    </row>
    <row r="1139" spans="1:91" x14ac:dyDescent="0.2">
      <c r="A1139"/>
      <c r="B1139"/>
      <c r="D1139"/>
      <c r="E1139"/>
      <c r="F1139"/>
      <c r="G1139"/>
      <c r="I1139"/>
      <c r="J1139"/>
      <c r="K1139"/>
      <c r="L1139" s="499"/>
      <c r="V1139" s="504"/>
      <c r="BX1139" s="769"/>
      <c r="BY1139" s="179"/>
      <c r="BZ1139" s="179"/>
      <c r="CA1139" s="179"/>
      <c r="CB1139" s="179"/>
      <c r="CC1139" s="179"/>
      <c r="CD1139" s="179"/>
      <c r="CE1139" s="179"/>
      <c r="CF1139" s="179"/>
      <c r="CG1139"/>
      <c r="CH1139"/>
      <c r="CI1139"/>
      <c r="CJ1139"/>
      <c r="CK1139"/>
      <c r="CL1139"/>
      <c r="CM1139"/>
    </row>
    <row r="1140" spans="1:91" x14ac:dyDescent="0.2">
      <c r="A1140"/>
      <c r="B1140"/>
      <c r="D1140"/>
      <c r="E1140"/>
      <c r="F1140"/>
      <c r="G1140"/>
      <c r="I1140"/>
      <c r="J1140"/>
      <c r="K1140"/>
      <c r="L1140" s="499"/>
      <c r="V1140" s="504"/>
      <c r="BX1140" s="769"/>
      <c r="BY1140" s="179"/>
      <c r="BZ1140" s="179"/>
      <c r="CA1140" s="179"/>
      <c r="CB1140" s="179"/>
      <c r="CC1140" s="179"/>
      <c r="CD1140" s="179"/>
      <c r="CE1140" s="179"/>
      <c r="CF1140" s="179"/>
      <c r="CG1140"/>
      <c r="CH1140"/>
      <c r="CI1140"/>
      <c r="CJ1140"/>
      <c r="CK1140"/>
      <c r="CL1140"/>
      <c r="CM1140"/>
    </row>
    <row r="1141" spans="1:91" x14ac:dyDescent="0.2">
      <c r="A1141"/>
      <c r="B1141"/>
      <c r="D1141"/>
      <c r="E1141"/>
      <c r="F1141"/>
      <c r="G1141"/>
      <c r="I1141"/>
      <c r="J1141"/>
      <c r="K1141"/>
      <c r="L1141" s="499"/>
      <c r="V1141" s="504"/>
      <c r="BX1141" s="769"/>
      <c r="BY1141" s="179"/>
      <c r="BZ1141" s="179"/>
      <c r="CA1141" s="179"/>
      <c r="CB1141" s="179"/>
      <c r="CC1141" s="179"/>
      <c r="CD1141" s="179"/>
      <c r="CE1141" s="179"/>
      <c r="CF1141" s="179"/>
      <c r="CG1141"/>
      <c r="CH1141"/>
      <c r="CI1141"/>
      <c r="CJ1141"/>
      <c r="CK1141"/>
      <c r="CL1141"/>
      <c r="CM1141"/>
    </row>
    <row r="1142" spans="1:91" x14ac:dyDescent="0.2">
      <c r="A1142"/>
      <c r="B1142"/>
      <c r="D1142"/>
      <c r="E1142"/>
      <c r="F1142"/>
      <c r="G1142"/>
      <c r="I1142"/>
      <c r="J1142"/>
      <c r="K1142"/>
      <c r="L1142" s="499"/>
      <c r="V1142" s="504"/>
      <c r="BX1142" s="769"/>
      <c r="BY1142" s="179"/>
      <c r="BZ1142" s="179"/>
      <c r="CA1142" s="179"/>
      <c r="CB1142" s="179"/>
      <c r="CC1142" s="179"/>
      <c r="CD1142" s="179"/>
      <c r="CE1142" s="179"/>
      <c r="CF1142" s="179"/>
      <c r="CG1142"/>
      <c r="CH1142"/>
      <c r="CI1142"/>
      <c r="CJ1142"/>
      <c r="CK1142"/>
      <c r="CL1142"/>
      <c r="CM1142"/>
    </row>
    <row r="1143" spans="1:91" x14ac:dyDescent="0.2">
      <c r="A1143"/>
      <c r="B1143"/>
      <c r="D1143"/>
      <c r="E1143"/>
      <c r="F1143"/>
      <c r="G1143"/>
      <c r="I1143"/>
      <c r="J1143"/>
      <c r="K1143"/>
      <c r="L1143" s="499"/>
      <c r="V1143" s="504"/>
      <c r="BX1143" s="769"/>
      <c r="BY1143" s="179"/>
      <c r="BZ1143" s="179"/>
      <c r="CA1143" s="179"/>
      <c r="CB1143" s="179"/>
      <c r="CC1143" s="179"/>
      <c r="CD1143" s="179"/>
      <c r="CE1143" s="179"/>
      <c r="CF1143" s="179"/>
      <c r="CG1143"/>
      <c r="CH1143"/>
      <c r="CI1143"/>
      <c r="CJ1143"/>
      <c r="CK1143"/>
      <c r="CL1143"/>
      <c r="CM1143"/>
    </row>
    <row r="1144" spans="1:91" x14ac:dyDescent="0.2">
      <c r="A1144"/>
      <c r="B1144"/>
      <c r="D1144"/>
      <c r="E1144"/>
      <c r="F1144"/>
      <c r="G1144"/>
      <c r="I1144"/>
      <c r="J1144"/>
      <c r="K1144"/>
      <c r="L1144" s="499"/>
      <c r="V1144" s="504"/>
      <c r="BX1144" s="769"/>
      <c r="BY1144" s="179"/>
      <c r="BZ1144" s="179"/>
      <c r="CA1144" s="179"/>
      <c r="CB1144" s="179"/>
      <c r="CC1144" s="179"/>
      <c r="CD1144" s="179"/>
      <c r="CE1144" s="179"/>
      <c r="CF1144" s="179"/>
      <c r="CG1144"/>
      <c r="CH1144"/>
      <c r="CI1144"/>
      <c r="CJ1144"/>
      <c r="CK1144"/>
      <c r="CL1144"/>
      <c r="CM1144"/>
    </row>
    <row r="1145" spans="1:91" x14ac:dyDescent="0.2">
      <c r="A1145"/>
      <c r="B1145"/>
      <c r="D1145"/>
      <c r="E1145"/>
      <c r="F1145"/>
      <c r="G1145"/>
      <c r="I1145"/>
      <c r="J1145"/>
      <c r="K1145"/>
      <c r="L1145" s="499"/>
      <c r="V1145" s="504"/>
      <c r="BX1145" s="769"/>
      <c r="BY1145" s="179"/>
      <c r="BZ1145" s="179"/>
      <c r="CA1145" s="179"/>
      <c r="CB1145" s="179"/>
      <c r="CC1145" s="179"/>
      <c r="CD1145" s="179"/>
      <c r="CE1145" s="179"/>
      <c r="CF1145" s="179"/>
      <c r="CG1145"/>
      <c r="CH1145"/>
      <c r="CI1145"/>
      <c r="CJ1145"/>
      <c r="CK1145"/>
      <c r="CL1145"/>
      <c r="CM1145"/>
    </row>
    <row r="1146" spans="1:91" x14ac:dyDescent="0.2">
      <c r="A1146"/>
      <c r="B1146"/>
      <c r="D1146"/>
      <c r="E1146"/>
      <c r="F1146"/>
      <c r="G1146"/>
      <c r="I1146"/>
      <c r="J1146"/>
      <c r="K1146"/>
      <c r="L1146" s="499"/>
      <c r="V1146" s="504"/>
      <c r="BX1146" s="769"/>
      <c r="BY1146" s="179"/>
      <c r="BZ1146" s="179"/>
      <c r="CA1146" s="179"/>
      <c r="CB1146" s="179"/>
      <c r="CC1146" s="179"/>
      <c r="CD1146" s="179"/>
      <c r="CE1146" s="179"/>
      <c r="CF1146" s="179"/>
      <c r="CG1146"/>
      <c r="CH1146"/>
      <c r="CI1146"/>
      <c r="CJ1146"/>
      <c r="CK1146"/>
      <c r="CL1146"/>
      <c r="CM1146"/>
    </row>
    <row r="1147" spans="1:91" x14ac:dyDescent="0.2">
      <c r="A1147"/>
      <c r="B1147"/>
      <c r="D1147"/>
      <c r="E1147"/>
      <c r="F1147"/>
      <c r="G1147"/>
      <c r="I1147"/>
      <c r="J1147"/>
      <c r="K1147"/>
      <c r="L1147" s="499"/>
      <c r="V1147" s="504"/>
      <c r="BX1147" s="769"/>
      <c r="BY1147" s="179"/>
      <c r="BZ1147" s="179"/>
      <c r="CA1147" s="179"/>
      <c r="CB1147" s="179"/>
      <c r="CC1147" s="179"/>
      <c r="CD1147" s="179"/>
      <c r="CE1147" s="179"/>
      <c r="CF1147" s="179"/>
      <c r="CG1147"/>
      <c r="CH1147"/>
      <c r="CI1147"/>
      <c r="CJ1147"/>
      <c r="CK1147"/>
      <c r="CL1147"/>
      <c r="CM1147"/>
    </row>
    <row r="1148" spans="1:91" x14ac:dyDescent="0.2">
      <c r="A1148"/>
      <c r="B1148"/>
      <c r="D1148"/>
      <c r="E1148"/>
      <c r="F1148"/>
      <c r="G1148"/>
      <c r="I1148"/>
      <c r="J1148"/>
      <c r="K1148"/>
      <c r="L1148" s="499"/>
      <c r="V1148" s="504"/>
      <c r="BX1148" s="769"/>
      <c r="BY1148" s="179"/>
      <c r="BZ1148" s="179"/>
      <c r="CA1148" s="179"/>
      <c r="CB1148" s="179"/>
      <c r="CC1148" s="179"/>
      <c r="CD1148" s="179"/>
      <c r="CE1148" s="179"/>
      <c r="CF1148" s="179"/>
      <c r="CG1148"/>
      <c r="CH1148"/>
      <c r="CI1148"/>
      <c r="CJ1148"/>
      <c r="CK1148"/>
      <c r="CL1148"/>
      <c r="CM1148"/>
    </row>
    <row r="1149" spans="1:91" x14ac:dyDescent="0.2">
      <c r="A1149"/>
      <c r="B1149"/>
      <c r="D1149"/>
      <c r="E1149"/>
      <c r="F1149"/>
      <c r="G1149"/>
      <c r="I1149"/>
      <c r="J1149"/>
      <c r="K1149"/>
      <c r="L1149" s="499"/>
      <c r="V1149" s="504"/>
      <c r="BX1149" s="769"/>
      <c r="BY1149" s="179"/>
      <c r="BZ1149" s="179"/>
      <c r="CA1149" s="179"/>
      <c r="CB1149" s="179"/>
      <c r="CC1149" s="179"/>
      <c r="CD1149" s="179"/>
      <c r="CE1149" s="179"/>
      <c r="CF1149" s="179"/>
      <c r="CG1149"/>
      <c r="CH1149"/>
      <c r="CI1149"/>
      <c r="CJ1149"/>
      <c r="CK1149"/>
      <c r="CL1149"/>
      <c r="CM1149"/>
    </row>
    <row r="1150" spans="1:91" x14ac:dyDescent="0.2">
      <c r="A1150"/>
      <c r="B1150"/>
      <c r="D1150"/>
      <c r="E1150"/>
      <c r="F1150"/>
      <c r="G1150"/>
      <c r="I1150"/>
      <c r="J1150"/>
      <c r="K1150"/>
      <c r="L1150" s="499"/>
      <c r="V1150" s="504"/>
      <c r="BX1150" s="769"/>
      <c r="BY1150" s="179"/>
      <c r="BZ1150" s="179"/>
      <c r="CA1150" s="179"/>
      <c r="CB1150" s="179"/>
      <c r="CC1150" s="179"/>
      <c r="CD1150" s="179"/>
      <c r="CE1150" s="179"/>
      <c r="CF1150" s="179"/>
      <c r="CG1150"/>
      <c r="CH1150"/>
      <c r="CI1150"/>
      <c r="CJ1150"/>
      <c r="CK1150"/>
      <c r="CL1150"/>
      <c r="CM1150"/>
    </row>
    <row r="1151" spans="1:91" x14ac:dyDescent="0.2">
      <c r="A1151"/>
      <c r="B1151"/>
      <c r="D1151"/>
      <c r="E1151"/>
      <c r="F1151"/>
      <c r="G1151"/>
      <c r="I1151"/>
      <c r="J1151"/>
      <c r="K1151"/>
      <c r="L1151" s="499"/>
      <c r="V1151" s="504"/>
      <c r="BX1151" s="769"/>
      <c r="BY1151" s="179"/>
      <c r="BZ1151" s="179"/>
      <c r="CA1151" s="179"/>
      <c r="CB1151" s="179"/>
      <c r="CC1151" s="179"/>
      <c r="CD1151" s="179"/>
      <c r="CE1151" s="179"/>
      <c r="CF1151" s="179"/>
      <c r="CG1151"/>
      <c r="CH1151"/>
      <c r="CI1151"/>
      <c r="CJ1151"/>
      <c r="CK1151"/>
      <c r="CL1151"/>
      <c r="CM1151"/>
    </row>
    <row r="1152" spans="1:91" x14ac:dyDescent="0.2">
      <c r="A1152"/>
      <c r="B1152"/>
      <c r="D1152"/>
      <c r="E1152"/>
      <c r="F1152"/>
      <c r="G1152"/>
      <c r="I1152"/>
      <c r="J1152"/>
      <c r="K1152"/>
      <c r="L1152" s="499"/>
      <c r="V1152" s="504"/>
      <c r="BX1152" s="769"/>
      <c r="BY1152" s="179"/>
      <c r="BZ1152" s="179"/>
      <c r="CA1152" s="179"/>
      <c r="CB1152" s="179"/>
      <c r="CC1152" s="179"/>
      <c r="CD1152" s="179"/>
      <c r="CE1152" s="179"/>
      <c r="CF1152" s="179"/>
      <c r="CG1152"/>
      <c r="CH1152"/>
      <c r="CI1152"/>
      <c r="CJ1152"/>
      <c r="CK1152"/>
      <c r="CL1152"/>
      <c r="CM1152"/>
    </row>
    <row r="1153" spans="1:91" x14ac:dyDescent="0.2">
      <c r="A1153"/>
      <c r="B1153"/>
      <c r="D1153"/>
      <c r="E1153"/>
      <c r="F1153"/>
      <c r="G1153"/>
      <c r="I1153"/>
      <c r="J1153"/>
      <c r="K1153"/>
      <c r="L1153" s="499"/>
      <c r="V1153" s="504"/>
      <c r="BX1153" s="769"/>
      <c r="BY1153" s="179"/>
      <c r="BZ1153" s="179"/>
      <c r="CA1153" s="179"/>
      <c r="CB1153" s="179"/>
      <c r="CC1153" s="179"/>
      <c r="CD1153" s="179"/>
      <c r="CE1153" s="179"/>
      <c r="CF1153" s="179"/>
      <c r="CG1153"/>
      <c r="CH1153"/>
      <c r="CI1153"/>
      <c r="CJ1153"/>
      <c r="CK1153"/>
      <c r="CL1153"/>
      <c r="CM1153"/>
    </row>
    <row r="1154" spans="1:91" x14ac:dyDescent="0.2">
      <c r="A1154"/>
      <c r="B1154"/>
      <c r="D1154"/>
      <c r="E1154"/>
      <c r="F1154"/>
      <c r="G1154"/>
      <c r="I1154"/>
      <c r="J1154"/>
      <c r="K1154"/>
      <c r="L1154" s="499"/>
      <c r="V1154" s="504"/>
      <c r="BX1154" s="769"/>
      <c r="BY1154" s="179"/>
      <c r="BZ1154" s="179"/>
      <c r="CA1154" s="179"/>
      <c r="CB1154" s="179"/>
      <c r="CC1154" s="179"/>
      <c r="CD1154" s="179"/>
      <c r="CE1154" s="179"/>
      <c r="CF1154" s="179"/>
      <c r="CG1154"/>
      <c r="CH1154"/>
      <c r="CI1154"/>
      <c r="CJ1154"/>
      <c r="CK1154"/>
      <c r="CL1154"/>
      <c r="CM1154"/>
    </row>
    <row r="1155" spans="1:91" x14ac:dyDescent="0.2">
      <c r="A1155"/>
      <c r="B1155"/>
      <c r="D1155"/>
      <c r="E1155"/>
      <c r="F1155"/>
      <c r="G1155"/>
      <c r="I1155"/>
      <c r="J1155"/>
      <c r="K1155"/>
      <c r="L1155" s="499"/>
      <c r="V1155" s="504"/>
      <c r="BX1155" s="769"/>
      <c r="BY1155" s="179"/>
      <c r="BZ1155" s="179"/>
      <c r="CA1155" s="179"/>
      <c r="CB1155" s="179"/>
      <c r="CC1155" s="179"/>
      <c r="CD1155" s="179"/>
      <c r="CE1155" s="179"/>
      <c r="CF1155" s="179"/>
      <c r="CG1155"/>
      <c r="CH1155"/>
      <c r="CI1155"/>
      <c r="CJ1155"/>
      <c r="CK1155"/>
      <c r="CL1155"/>
      <c r="CM1155"/>
    </row>
    <row r="1156" spans="1:91" x14ac:dyDescent="0.2">
      <c r="A1156"/>
      <c r="B1156"/>
      <c r="D1156"/>
      <c r="E1156"/>
      <c r="F1156"/>
      <c r="G1156"/>
      <c r="I1156"/>
      <c r="J1156"/>
      <c r="K1156"/>
      <c r="L1156" s="499"/>
      <c r="V1156" s="504"/>
      <c r="BX1156" s="769"/>
      <c r="BY1156" s="179"/>
      <c r="BZ1156" s="179"/>
      <c r="CA1156" s="179"/>
      <c r="CB1156" s="179"/>
      <c r="CC1156" s="179"/>
      <c r="CD1156" s="179"/>
      <c r="CE1156" s="179"/>
      <c r="CF1156" s="179"/>
      <c r="CG1156"/>
      <c r="CH1156"/>
      <c r="CI1156"/>
      <c r="CJ1156"/>
      <c r="CK1156"/>
      <c r="CL1156"/>
      <c r="CM1156"/>
    </row>
    <row r="1157" spans="1:91" x14ac:dyDescent="0.2">
      <c r="A1157"/>
      <c r="B1157"/>
      <c r="D1157"/>
      <c r="E1157"/>
      <c r="F1157"/>
      <c r="G1157"/>
      <c r="I1157"/>
      <c r="J1157"/>
      <c r="K1157"/>
      <c r="L1157" s="499"/>
      <c r="V1157" s="504"/>
      <c r="BX1157" s="769"/>
      <c r="BY1157" s="179"/>
      <c r="BZ1157" s="179"/>
      <c r="CA1157" s="179"/>
      <c r="CB1157" s="179"/>
      <c r="CC1157" s="179"/>
      <c r="CD1157" s="179"/>
      <c r="CE1157" s="179"/>
      <c r="CF1157" s="179"/>
      <c r="CG1157"/>
      <c r="CH1157"/>
      <c r="CI1157"/>
      <c r="CJ1157"/>
      <c r="CK1157"/>
      <c r="CL1157"/>
      <c r="CM1157"/>
    </row>
    <row r="1158" spans="1:91" x14ac:dyDescent="0.2">
      <c r="A1158"/>
      <c r="B1158"/>
      <c r="D1158"/>
      <c r="E1158"/>
      <c r="F1158"/>
      <c r="G1158"/>
      <c r="I1158"/>
      <c r="J1158"/>
      <c r="K1158"/>
      <c r="L1158" s="499"/>
      <c r="V1158" s="504"/>
      <c r="BX1158" s="769"/>
      <c r="BY1158" s="179"/>
      <c r="BZ1158" s="179"/>
      <c r="CA1158" s="179"/>
      <c r="CB1158" s="179"/>
      <c r="CC1158" s="179"/>
      <c r="CD1158" s="179"/>
      <c r="CE1158" s="179"/>
      <c r="CF1158" s="179"/>
      <c r="CG1158"/>
      <c r="CH1158"/>
      <c r="CI1158"/>
      <c r="CJ1158"/>
      <c r="CK1158"/>
      <c r="CL1158"/>
      <c r="CM1158"/>
    </row>
    <row r="1159" spans="1:91" x14ac:dyDescent="0.2">
      <c r="A1159"/>
      <c r="B1159"/>
      <c r="D1159"/>
      <c r="E1159"/>
      <c r="F1159"/>
      <c r="G1159"/>
      <c r="I1159"/>
      <c r="J1159"/>
      <c r="K1159"/>
      <c r="L1159" s="499"/>
      <c r="V1159" s="504"/>
      <c r="BX1159" s="769"/>
      <c r="BY1159" s="179"/>
      <c r="BZ1159" s="179"/>
      <c r="CA1159" s="179"/>
      <c r="CB1159" s="179"/>
      <c r="CC1159" s="179"/>
      <c r="CD1159" s="179"/>
      <c r="CE1159" s="179"/>
      <c r="CF1159" s="179"/>
      <c r="CG1159"/>
      <c r="CH1159"/>
      <c r="CI1159"/>
      <c r="CJ1159"/>
      <c r="CK1159"/>
      <c r="CL1159"/>
      <c r="CM1159"/>
    </row>
    <row r="1160" spans="1:91" x14ac:dyDescent="0.2">
      <c r="A1160"/>
      <c r="B1160"/>
      <c r="D1160"/>
      <c r="E1160"/>
      <c r="F1160"/>
      <c r="G1160"/>
      <c r="I1160"/>
      <c r="J1160"/>
      <c r="K1160"/>
      <c r="L1160" s="499"/>
      <c r="V1160" s="504"/>
      <c r="BX1160" s="769"/>
      <c r="BY1160" s="179"/>
      <c r="BZ1160" s="179"/>
      <c r="CA1160" s="179"/>
      <c r="CB1160" s="179"/>
      <c r="CC1160" s="179"/>
      <c r="CD1160" s="179"/>
      <c r="CE1160" s="179"/>
      <c r="CF1160" s="179"/>
      <c r="CG1160"/>
      <c r="CH1160"/>
      <c r="CI1160"/>
      <c r="CJ1160"/>
      <c r="CK1160"/>
      <c r="CL1160"/>
      <c r="CM1160"/>
    </row>
    <row r="1161" spans="1:91" x14ac:dyDescent="0.2">
      <c r="A1161"/>
      <c r="B1161"/>
      <c r="D1161"/>
      <c r="E1161"/>
      <c r="F1161"/>
      <c r="G1161"/>
      <c r="I1161"/>
      <c r="J1161"/>
      <c r="K1161"/>
      <c r="L1161" s="499"/>
      <c r="V1161" s="504"/>
      <c r="BX1161" s="769"/>
      <c r="BY1161" s="179"/>
      <c r="BZ1161" s="179"/>
      <c r="CA1161" s="179"/>
      <c r="CB1161" s="179"/>
      <c r="CC1161" s="179"/>
      <c r="CD1161" s="179"/>
      <c r="CE1161" s="179"/>
      <c r="CF1161" s="179"/>
      <c r="CG1161"/>
      <c r="CH1161"/>
      <c r="CI1161"/>
      <c r="CJ1161"/>
      <c r="CK1161"/>
      <c r="CL1161"/>
      <c r="CM1161"/>
    </row>
    <row r="1162" spans="1:91" x14ac:dyDescent="0.2">
      <c r="A1162"/>
      <c r="B1162"/>
      <c r="D1162"/>
      <c r="E1162"/>
      <c r="F1162"/>
      <c r="G1162"/>
      <c r="I1162"/>
      <c r="J1162"/>
      <c r="K1162"/>
      <c r="L1162" s="499"/>
      <c r="V1162" s="504"/>
      <c r="BX1162" s="769"/>
      <c r="BY1162" s="179"/>
      <c r="BZ1162" s="179"/>
      <c r="CA1162" s="179"/>
      <c r="CB1162" s="179"/>
      <c r="CC1162" s="179"/>
      <c r="CD1162" s="179"/>
      <c r="CE1162" s="179"/>
      <c r="CF1162" s="179"/>
      <c r="CG1162"/>
      <c r="CH1162"/>
      <c r="CI1162"/>
      <c r="CJ1162"/>
      <c r="CK1162"/>
      <c r="CL1162"/>
      <c r="CM1162"/>
    </row>
    <row r="1163" spans="1:91" x14ac:dyDescent="0.2">
      <c r="A1163"/>
      <c r="B1163"/>
      <c r="D1163"/>
      <c r="E1163"/>
      <c r="F1163"/>
      <c r="G1163"/>
      <c r="I1163"/>
      <c r="J1163"/>
      <c r="K1163"/>
      <c r="L1163" s="499"/>
      <c r="V1163" s="504"/>
      <c r="BX1163" s="769"/>
      <c r="BY1163" s="179"/>
      <c r="BZ1163" s="179"/>
      <c r="CA1163" s="179"/>
      <c r="CB1163" s="179"/>
      <c r="CC1163" s="179"/>
      <c r="CD1163" s="179"/>
      <c r="CE1163" s="179"/>
      <c r="CF1163" s="179"/>
      <c r="CG1163"/>
      <c r="CH1163"/>
      <c r="CI1163"/>
      <c r="CJ1163"/>
      <c r="CK1163"/>
      <c r="CL1163"/>
      <c r="CM1163"/>
    </row>
    <row r="1164" spans="1:91" x14ac:dyDescent="0.2">
      <c r="A1164"/>
      <c r="B1164"/>
      <c r="D1164"/>
      <c r="E1164"/>
      <c r="F1164"/>
      <c r="G1164"/>
      <c r="I1164"/>
      <c r="J1164"/>
      <c r="K1164"/>
      <c r="L1164" s="499"/>
      <c r="V1164" s="504"/>
      <c r="BX1164" s="769"/>
      <c r="BY1164" s="179"/>
      <c r="BZ1164" s="179"/>
      <c r="CA1164" s="179"/>
      <c r="CB1164" s="179"/>
      <c r="CC1164" s="179"/>
      <c r="CD1164" s="179"/>
      <c r="CE1164" s="179"/>
      <c r="CF1164" s="179"/>
      <c r="CG1164"/>
      <c r="CH1164"/>
      <c r="CI1164"/>
      <c r="CJ1164"/>
      <c r="CK1164"/>
      <c r="CL1164"/>
      <c r="CM1164"/>
    </row>
    <row r="1165" spans="1:91" x14ac:dyDescent="0.2">
      <c r="A1165"/>
      <c r="B1165"/>
      <c r="D1165"/>
      <c r="E1165"/>
      <c r="F1165"/>
      <c r="G1165"/>
      <c r="I1165"/>
      <c r="J1165"/>
      <c r="K1165"/>
      <c r="L1165" s="499"/>
      <c r="V1165" s="504"/>
      <c r="BX1165" s="769"/>
      <c r="BY1165" s="179"/>
      <c r="BZ1165" s="179"/>
      <c r="CA1165" s="179"/>
      <c r="CB1165" s="179"/>
      <c r="CC1165" s="179"/>
      <c r="CD1165" s="179"/>
      <c r="CE1165" s="179"/>
      <c r="CF1165" s="179"/>
      <c r="CG1165"/>
      <c r="CH1165"/>
      <c r="CI1165"/>
      <c r="CJ1165"/>
      <c r="CK1165"/>
      <c r="CL1165"/>
      <c r="CM1165"/>
    </row>
    <row r="1166" spans="1:91" x14ac:dyDescent="0.2">
      <c r="A1166"/>
      <c r="B1166"/>
      <c r="D1166"/>
      <c r="E1166"/>
      <c r="F1166"/>
      <c r="G1166"/>
      <c r="I1166"/>
      <c r="J1166"/>
      <c r="K1166"/>
      <c r="L1166" s="499"/>
      <c r="V1166" s="504"/>
      <c r="BX1166" s="769"/>
      <c r="BY1166" s="179"/>
      <c r="BZ1166" s="179"/>
      <c r="CA1166" s="179"/>
      <c r="CB1166" s="179"/>
      <c r="CC1166" s="179"/>
      <c r="CD1166" s="179"/>
      <c r="CE1166" s="179"/>
      <c r="CF1166" s="179"/>
      <c r="CG1166"/>
      <c r="CH1166"/>
      <c r="CI1166"/>
      <c r="CJ1166"/>
      <c r="CK1166"/>
      <c r="CL1166"/>
      <c r="CM1166"/>
    </row>
    <row r="1167" spans="1:91" x14ac:dyDescent="0.2">
      <c r="A1167"/>
      <c r="B1167"/>
      <c r="D1167"/>
      <c r="E1167"/>
      <c r="F1167"/>
      <c r="G1167"/>
      <c r="I1167"/>
      <c r="J1167"/>
      <c r="K1167"/>
      <c r="L1167" s="499"/>
      <c r="V1167" s="504"/>
      <c r="BX1167" s="769"/>
      <c r="BY1167" s="179"/>
      <c r="BZ1167" s="179"/>
      <c r="CA1167" s="179"/>
      <c r="CB1167" s="179"/>
      <c r="CC1167" s="179"/>
      <c r="CD1167" s="179"/>
      <c r="CE1167" s="179"/>
      <c r="CF1167" s="179"/>
      <c r="CG1167"/>
      <c r="CH1167"/>
      <c r="CI1167"/>
      <c r="CJ1167"/>
      <c r="CK1167"/>
      <c r="CL1167"/>
      <c r="CM1167"/>
    </row>
    <row r="1168" spans="1:91" x14ac:dyDescent="0.2">
      <c r="A1168"/>
      <c r="B1168"/>
      <c r="D1168"/>
      <c r="E1168"/>
      <c r="F1168"/>
      <c r="G1168"/>
      <c r="I1168"/>
      <c r="J1168"/>
      <c r="K1168"/>
      <c r="L1168" s="499"/>
      <c r="V1168" s="504"/>
      <c r="BX1168" s="769"/>
      <c r="BY1168" s="179"/>
      <c r="BZ1168" s="179"/>
      <c r="CA1168" s="179"/>
      <c r="CB1168" s="179"/>
      <c r="CC1168" s="179"/>
      <c r="CD1168" s="179"/>
      <c r="CE1168" s="179"/>
      <c r="CF1168" s="179"/>
      <c r="CG1168"/>
      <c r="CH1168"/>
      <c r="CI1168"/>
      <c r="CJ1168"/>
      <c r="CK1168"/>
      <c r="CL1168"/>
      <c r="CM1168"/>
    </row>
    <row r="1169" spans="1:91" x14ac:dyDescent="0.2">
      <c r="A1169"/>
      <c r="B1169"/>
      <c r="D1169"/>
      <c r="E1169"/>
      <c r="F1169"/>
      <c r="G1169"/>
      <c r="I1169"/>
      <c r="J1169"/>
      <c r="K1169"/>
      <c r="L1169" s="499"/>
      <c r="V1169" s="504"/>
      <c r="BX1169" s="769"/>
      <c r="BY1169" s="179"/>
      <c r="BZ1169" s="179"/>
      <c r="CA1169" s="179"/>
      <c r="CB1169" s="179"/>
      <c r="CC1169" s="179"/>
      <c r="CD1169" s="179"/>
      <c r="CE1169" s="179"/>
      <c r="CF1169" s="179"/>
      <c r="CG1169"/>
      <c r="CH1169"/>
      <c r="CI1169"/>
      <c r="CJ1169"/>
      <c r="CK1169"/>
      <c r="CL1169"/>
      <c r="CM1169"/>
    </row>
    <row r="1170" spans="1:91" x14ac:dyDescent="0.2">
      <c r="A1170"/>
      <c r="B1170"/>
      <c r="D1170"/>
      <c r="E1170"/>
      <c r="F1170"/>
      <c r="G1170"/>
      <c r="I1170"/>
      <c r="J1170"/>
      <c r="K1170"/>
      <c r="L1170" s="499"/>
      <c r="V1170" s="504"/>
      <c r="BX1170" s="769"/>
      <c r="BY1170" s="179"/>
      <c r="BZ1170" s="179"/>
      <c r="CA1170" s="179"/>
      <c r="CB1170" s="179"/>
      <c r="CC1170" s="179"/>
      <c r="CD1170" s="179"/>
      <c r="CE1170" s="179"/>
      <c r="CF1170" s="179"/>
      <c r="CG1170"/>
      <c r="CH1170"/>
      <c r="CI1170"/>
      <c r="CJ1170"/>
      <c r="CK1170"/>
      <c r="CL1170"/>
      <c r="CM1170"/>
    </row>
    <row r="1171" spans="1:91" x14ac:dyDescent="0.2">
      <c r="A1171"/>
      <c r="B1171"/>
      <c r="D1171"/>
      <c r="E1171"/>
      <c r="F1171"/>
      <c r="G1171"/>
      <c r="I1171"/>
      <c r="J1171"/>
      <c r="K1171"/>
      <c r="L1171" s="499"/>
      <c r="V1171" s="504"/>
      <c r="BX1171" s="769"/>
      <c r="BY1171" s="179"/>
      <c r="BZ1171" s="179"/>
      <c r="CA1171" s="179"/>
      <c r="CB1171" s="179"/>
      <c r="CC1171" s="179"/>
      <c r="CD1171" s="179"/>
      <c r="CE1171" s="179"/>
      <c r="CF1171" s="179"/>
      <c r="CG1171"/>
      <c r="CH1171"/>
      <c r="CI1171"/>
      <c r="CJ1171"/>
      <c r="CK1171"/>
      <c r="CL1171"/>
      <c r="CM1171"/>
    </row>
    <row r="1172" spans="1:91" x14ac:dyDescent="0.2">
      <c r="A1172"/>
      <c r="B1172"/>
      <c r="D1172"/>
      <c r="E1172"/>
      <c r="F1172"/>
      <c r="G1172"/>
      <c r="I1172"/>
      <c r="J1172"/>
      <c r="K1172"/>
      <c r="L1172" s="499"/>
      <c r="V1172" s="504"/>
      <c r="BX1172" s="769"/>
      <c r="BY1172" s="179"/>
      <c r="BZ1172" s="179"/>
      <c r="CA1172" s="179"/>
      <c r="CB1172" s="179"/>
      <c r="CC1172" s="179"/>
      <c r="CD1172" s="179"/>
      <c r="CE1172" s="179"/>
      <c r="CF1172" s="179"/>
      <c r="CG1172"/>
      <c r="CH1172"/>
      <c r="CI1172"/>
      <c r="CJ1172"/>
      <c r="CK1172"/>
      <c r="CL1172"/>
      <c r="CM1172"/>
    </row>
    <row r="1173" spans="1:91" x14ac:dyDescent="0.2">
      <c r="A1173"/>
      <c r="B1173"/>
      <c r="D1173"/>
      <c r="E1173"/>
      <c r="F1173"/>
      <c r="G1173"/>
      <c r="I1173"/>
      <c r="J1173"/>
      <c r="K1173"/>
      <c r="L1173" s="499"/>
      <c r="V1173" s="504"/>
      <c r="BX1173" s="769"/>
      <c r="BY1173" s="179"/>
      <c r="BZ1173" s="179"/>
      <c r="CA1173" s="179"/>
      <c r="CB1173" s="179"/>
      <c r="CC1173" s="179"/>
      <c r="CD1173" s="179"/>
      <c r="CE1173" s="179"/>
      <c r="CF1173" s="179"/>
      <c r="CG1173"/>
      <c r="CH1173"/>
      <c r="CI1173"/>
      <c r="CJ1173"/>
      <c r="CK1173"/>
      <c r="CL1173"/>
      <c r="CM1173"/>
    </row>
    <row r="1174" spans="1:91" x14ac:dyDescent="0.2">
      <c r="A1174"/>
      <c r="B1174"/>
      <c r="D1174"/>
      <c r="E1174"/>
      <c r="F1174"/>
      <c r="G1174"/>
      <c r="I1174"/>
      <c r="J1174"/>
      <c r="K1174"/>
      <c r="L1174" s="499"/>
      <c r="V1174" s="504"/>
      <c r="BX1174" s="769"/>
      <c r="BY1174" s="179"/>
      <c r="BZ1174" s="179"/>
      <c r="CA1174" s="179"/>
      <c r="CB1174" s="179"/>
      <c r="CC1174" s="179"/>
      <c r="CD1174" s="179"/>
      <c r="CE1174" s="179"/>
      <c r="CF1174" s="179"/>
      <c r="CG1174"/>
      <c r="CH1174"/>
      <c r="CI1174"/>
      <c r="CJ1174"/>
      <c r="CK1174"/>
      <c r="CL1174"/>
      <c r="CM1174"/>
    </row>
    <row r="1175" spans="1:91" x14ac:dyDescent="0.2">
      <c r="A1175"/>
      <c r="B1175"/>
      <c r="D1175"/>
      <c r="E1175"/>
      <c r="F1175"/>
      <c r="G1175"/>
      <c r="I1175"/>
      <c r="J1175"/>
      <c r="K1175"/>
      <c r="L1175" s="499"/>
      <c r="V1175" s="504"/>
      <c r="BX1175" s="769"/>
      <c r="BY1175" s="179"/>
      <c r="BZ1175" s="179"/>
      <c r="CA1175" s="179"/>
      <c r="CB1175" s="179"/>
      <c r="CC1175" s="179"/>
      <c r="CD1175" s="179"/>
      <c r="CE1175" s="179"/>
      <c r="CF1175" s="179"/>
      <c r="CG1175"/>
      <c r="CH1175"/>
      <c r="CI1175"/>
      <c r="CJ1175"/>
      <c r="CK1175"/>
      <c r="CL1175"/>
      <c r="CM1175"/>
    </row>
    <row r="1176" spans="1:91" x14ac:dyDescent="0.2">
      <c r="A1176"/>
      <c r="B1176"/>
      <c r="D1176"/>
      <c r="E1176"/>
      <c r="F1176"/>
      <c r="G1176"/>
      <c r="I1176"/>
      <c r="J1176"/>
      <c r="K1176"/>
      <c r="L1176" s="499"/>
      <c r="V1176" s="504"/>
      <c r="BX1176" s="769"/>
      <c r="BY1176" s="179"/>
      <c r="BZ1176" s="179"/>
      <c r="CA1176" s="179"/>
      <c r="CB1176" s="179"/>
      <c r="CC1176" s="179"/>
      <c r="CD1176" s="179"/>
      <c r="CE1176" s="179"/>
      <c r="CF1176" s="179"/>
      <c r="CG1176"/>
      <c r="CH1176"/>
      <c r="CI1176"/>
      <c r="CJ1176"/>
      <c r="CK1176"/>
      <c r="CL1176"/>
      <c r="CM1176"/>
    </row>
    <row r="1177" spans="1:91" x14ac:dyDescent="0.2">
      <c r="A1177"/>
      <c r="B1177"/>
      <c r="D1177"/>
      <c r="E1177"/>
      <c r="F1177"/>
      <c r="G1177"/>
      <c r="I1177"/>
      <c r="J1177"/>
      <c r="K1177"/>
      <c r="L1177" s="499"/>
      <c r="V1177" s="504"/>
      <c r="BX1177" s="769"/>
      <c r="BY1177" s="179"/>
      <c r="BZ1177" s="179"/>
      <c r="CA1177" s="179"/>
      <c r="CB1177" s="179"/>
      <c r="CC1177" s="179"/>
      <c r="CD1177" s="179"/>
      <c r="CE1177" s="179"/>
      <c r="CF1177" s="179"/>
      <c r="CG1177"/>
      <c r="CH1177"/>
      <c r="CI1177"/>
      <c r="CJ1177"/>
      <c r="CK1177"/>
      <c r="CL1177"/>
      <c r="CM1177"/>
    </row>
    <row r="1178" spans="1:91" x14ac:dyDescent="0.2">
      <c r="A1178"/>
      <c r="B1178"/>
      <c r="D1178"/>
      <c r="E1178"/>
      <c r="F1178"/>
      <c r="G1178"/>
      <c r="I1178"/>
      <c r="J1178"/>
      <c r="K1178"/>
      <c r="L1178" s="499"/>
      <c r="V1178" s="504"/>
      <c r="BX1178" s="769"/>
      <c r="BY1178" s="179"/>
      <c r="BZ1178" s="179"/>
      <c r="CA1178" s="179"/>
      <c r="CB1178" s="179"/>
      <c r="CC1178" s="179"/>
      <c r="CD1178" s="179"/>
      <c r="CE1178" s="179"/>
      <c r="CF1178" s="179"/>
      <c r="CG1178"/>
      <c r="CH1178"/>
      <c r="CI1178"/>
      <c r="CJ1178"/>
      <c r="CK1178"/>
      <c r="CL1178"/>
      <c r="CM1178"/>
    </row>
    <row r="1179" spans="1:91" x14ac:dyDescent="0.2">
      <c r="A1179"/>
      <c r="B1179"/>
      <c r="D1179"/>
      <c r="E1179"/>
      <c r="F1179"/>
      <c r="G1179"/>
      <c r="I1179"/>
      <c r="J1179"/>
      <c r="K1179"/>
      <c r="L1179" s="499"/>
      <c r="V1179" s="504"/>
      <c r="BX1179" s="769"/>
      <c r="BY1179" s="179"/>
      <c r="BZ1179" s="179"/>
      <c r="CA1179" s="179"/>
      <c r="CB1179" s="179"/>
      <c r="CC1179" s="179"/>
      <c r="CD1179" s="179"/>
      <c r="CE1179" s="179"/>
      <c r="CF1179" s="179"/>
      <c r="CG1179"/>
      <c r="CH1179"/>
      <c r="CI1179"/>
      <c r="CJ1179"/>
      <c r="CK1179"/>
      <c r="CL1179"/>
      <c r="CM1179"/>
    </row>
    <row r="1180" spans="1:91" x14ac:dyDescent="0.2">
      <c r="A1180"/>
      <c r="B1180"/>
      <c r="D1180"/>
      <c r="E1180"/>
      <c r="F1180"/>
      <c r="G1180"/>
      <c r="I1180"/>
      <c r="J1180"/>
      <c r="K1180"/>
      <c r="L1180" s="499"/>
      <c r="V1180" s="504"/>
      <c r="BX1180" s="769"/>
      <c r="BY1180" s="179"/>
      <c r="BZ1180" s="179"/>
      <c r="CA1180" s="179"/>
      <c r="CB1180" s="179"/>
      <c r="CC1180" s="179"/>
      <c r="CD1180" s="179"/>
      <c r="CE1180" s="179"/>
      <c r="CF1180" s="179"/>
      <c r="CG1180"/>
      <c r="CH1180"/>
      <c r="CI1180"/>
      <c r="CJ1180"/>
      <c r="CK1180"/>
      <c r="CL1180"/>
      <c r="CM1180"/>
    </row>
    <row r="1181" spans="1:91" x14ac:dyDescent="0.2">
      <c r="A1181"/>
      <c r="B1181"/>
      <c r="D1181"/>
      <c r="E1181"/>
      <c r="F1181"/>
      <c r="G1181"/>
      <c r="I1181"/>
      <c r="J1181"/>
      <c r="K1181"/>
      <c r="L1181" s="499"/>
      <c r="V1181" s="504"/>
      <c r="BX1181" s="769"/>
      <c r="BY1181" s="179"/>
      <c r="BZ1181" s="179"/>
      <c r="CA1181" s="179"/>
      <c r="CB1181" s="179"/>
      <c r="CC1181" s="179"/>
      <c r="CD1181" s="179"/>
      <c r="CE1181" s="179"/>
      <c r="CF1181" s="179"/>
      <c r="CG1181"/>
      <c r="CH1181"/>
      <c r="CI1181"/>
      <c r="CJ1181"/>
      <c r="CK1181"/>
      <c r="CL1181"/>
      <c r="CM1181"/>
    </row>
    <row r="1182" spans="1:91" x14ac:dyDescent="0.2">
      <c r="A1182"/>
      <c r="B1182"/>
      <c r="D1182"/>
      <c r="E1182"/>
      <c r="F1182"/>
      <c r="G1182"/>
      <c r="I1182"/>
      <c r="J1182"/>
      <c r="K1182"/>
      <c r="L1182" s="499"/>
      <c r="V1182" s="504"/>
      <c r="BX1182" s="769"/>
      <c r="BY1182" s="179"/>
      <c r="BZ1182" s="179"/>
      <c r="CA1182" s="179"/>
      <c r="CB1182" s="179"/>
      <c r="CC1182" s="179"/>
      <c r="CD1182" s="179"/>
      <c r="CE1182" s="179"/>
      <c r="CF1182" s="179"/>
      <c r="CG1182"/>
      <c r="CH1182"/>
      <c r="CI1182"/>
      <c r="CJ1182"/>
      <c r="CK1182"/>
      <c r="CL1182"/>
      <c r="CM1182"/>
    </row>
    <row r="1183" spans="1:91" x14ac:dyDescent="0.2">
      <c r="A1183"/>
      <c r="B1183"/>
      <c r="D1183"/>
      <c r="E1183"/>
      <c r="F1183"/>
      <c r="G1183"/>
      <c r="I1183"/>
      <c r="J1183"/>
      <c r="K1183"/>
      <c r="L1183" s="499"/>
      <c r="V1183" s="504"/>
      <c r="BX1183" s="769"/>
      <c r="BY1183" s="179"/>
      <c r="BZ1183" s="179"/>
      <c r="CA1183" s="179"/>
      <c r="CB1183" s="179"/>
      <c r="CC1183" s="179"/>
      <c r="CD1183" s="179"/>
      <c r="CE1183" s="179"/>
      <c r="CF1183" s="179"/>
      <c r="CG1183"/>
      <c r="CH1183"/>
      <c r="CI1183"/>
      <c r="CJ1183"/>
      <c r="CK1183"/>
      <c r="CL1183"/>
      <c r="CM1183"/>
    </row>
    <row r="1184" spans="1:91" x14ac:dyDescent="0.2">
      <c r="A1184"/>
      <c r="B1184"/>
      <c r="D1184"/>
      <c r="E1184"/>
      <c r="F1184"/>
      <c r="G1184"/>
      <c r="I1184"/>
      <c r="J1184"/>
      <c r="K1184"/>
      <c r="L1184" s="499"/>
      <c r="V1184" s="504"/>
      <c r="BX1184" s="769"/>
      <c r="BY1184" s="179"/>
      <c r="BZ1184" s="179"/>
      <c r="CA1184" s="179"/>
      <c r="CB1184" s="179"/>
      <c r="CC1184" s="179"/>
      <c r="CD1184" s="179"/>
      <c r="CE1184" s="179"/>
      <c r="CF1184" s="179"/>
      <c r="CG1184"/>
      <c r="CH1184"/>
      <c r="CI1184"/>
      <c r="CJ1184"/>
      <c r="CK1184"/>
      <c r="CL1184"/>
      <c r="CM1184"/>
    </row>
    <row r="1185" spans="1:91" x14ac:dyDescent="0.2">
      <c r="A1185"/>
      <c r="B1185"/>
      <c r="D1185"/>
      <c r="E1185"/>
      <c r="F1185"/>
      <c r="G1185"/>
      <c r="I1185"/>
      <c r="J1185"/>
      <c r="K1185"/>
      <c r="L1185" s="499"/>
      <c r="V1185" s="504"/>
      <c r="BX1185" s="769"/>
      <c r="BY1185" s="179"/>
      <c r="BZ1185" s="179"/>
      <c r="CA1185" s="179"/>
      <c r="CB1185" s="179"/>
      <c r="CC1185" s="179"/>
      <c r="CD1185" s="179"/>
      <c r="CE1185" s="179"/>
      <c r="CF1185" s="179"/>
      <c r="CG1185"/>
      <c r="CH1185"/>
      <c r="CI1185"/>
      <c r="CJ1185"/>
      <c r="CK1185"/>
      <c r="CL1185"/>
      <c r="CM1185"/>
    </row>
    <row r="1186" spans="1:91" x14ac:dyDescent="0.2">
      <c r="A1186"/>
      <c r="B1186"/>
      <c r="D1186"/>
      <c r="E1186"/>
      <c r="F1186"/>
      <c r="G1186"/>
      <c r="I1186"/>
      <c r="J1186"/>
      <c r="K1186"/>
      <c r="L1186" s="499"/>
      <c r="V1186" s="504"/>
      <c r="BX1186" s="769"/>
      <c r="BY1186" s="179"/>
      <c r="BZ1186" s="179"/>
      <c r="CA1186" s="179"/>
      <c r="CB1186" s="179"/>
      <c r="CC1186" s="179"/>
      <c r="CD1186" s="179"/>
      <c r="CE1186" s="179"/>
      <c r="CF1186" s="179"/>
      <c r="CG1186"/>
      <c r="CH1186"/>
      <c r="CI1186"/>
      <c r="CJ1186"/>
      <c r="CK1186"/>
      <c r="CL1186"/>
      <c r="CM1186"/>
    </row>
    <row r="1187" spans="1:91" x14ac:dyDescent="0.2">
      <c r="A1187"/>
      <c r="B1187"/>
      <c r="D1187"/>
      <c r="E1187"/>
      <c r="F1187"/>
      <c r="G1187"/>
      <c r="I1187"/>
      <c r="J1187"/>
      <c r="K1187"/>
      <c r="L1187" s="499"/>
      <c r="V1187" s="504"/>
      <c r="BX1187" s="769"/>
      <c r="BY1187" s="179"/>
      <c r="BZ1187" s="179"/>
      <c r="CA1187" s="179"/>
      <c r="CB1187" s="179"/>
      <c r="CC1187" s="179"/>
      <c r="CD1187" s="179"/>
      <c r="CE1187" s="179"/>
      <c r="CF1187" s="179"/>
      <c r="CG1187"/>
      <c r="CH1187"/>
      <c r="CI1187"/>
      <c r="CJ1187"/>
      <c r="CK1187"/>
      <c r="CL1187"/>
      <c r="CM1187"/>
    </row>
    <row r="1188" spans="1:91" x14ac:dyDescent="0.2">
      <c r="A1188"/>
      <c r="B1188"/>
      <c r="D1188"/>
      <c r="E1188"/>
      <c r="F1188"/>
      <c r="G1188"/>
      <c r="I1188"/>
      <c r="J1188"/>
      <c r="K1188"/>
      <c r="L1188" s="499"/>
      <c r="V1188" s="504"/>
      <c r="BX1188" s="769"/>
      <c r="BY1188" s="179"/>
      <c r="BZ1188" s="179"/>
      <c r="CA1188" s="179"/>
      <c r="CB1188" s="179"/>
      <c r="CC1188" s="179"/>
      <c r="CD1188" s="179"/>
      <c r="CE1188" s="179"/>
      <c r="CF1188" s="179"/>
      <c r="CG1188"/>
      <c r="CH1188"/>
      <c r="CI1188"/>
      <c r="CJ1188"/>
      <c r="CK1188"/>
      <c r="CL1188"/>
      <c r="CM1188"/>
    </row>
    <row r="1189" spans="1:91" x14ac:dyDescent="0.2">
      <c r="A1189"/>
      <c r="B1189"/>
      <c r="D1189"/>
      <c r="E1189"/>
      <c r="F1189"/>
      <c r="G1189"/>
      <c r="I1189"/>
      <c r="J1189"/>
      <c r="K1189"/>
      <c r="L1189" s="499"/>
      <c r="V1189" s="504"/>
      <c r="BX1189" s="769"/>
      <c r="BY1189" s="179"/>
      <c r="BZ1189" s="179"/>
      <c r="CA1189" s="179"/>
      <c r="CB1189" s="179"/>
      <c r="CC1189" s="179"/>
      <c r="CD1189" s="179"/>
      <c r="CE1189" s="179"/>
      <c r="CF1189" s="179"/>
      <c r="CG1189"/>
      <c r="CH1189"/>
      <c r="CI1189"/>
      <c r="CJ1189"/>
      <c r="CK1189"/>
      <c r="CL1189"/>
      <c r="CM1189"/>
    </row>
    <row r="1190" spans="1:91" x14ac:dyDescent="0.2">
      <c r="A1190"/>
      <c r="B1190"/>
      <c r="D1190"/>
      <c r="E1190"/>
      <c r="F1190"/>
      <c r="G1190"/>
      <c r="I1190"/>
      <c r="J1190"/>
      <c r="K1190"/>
      <c r="L1190" s="499"/>
      <c r="V1190" s="504"/>
      <c r="BX1190" s="769"/>
      <c r="BY1190" s="179"/>
      <c r="BZ1190" s="179"/>
      <c r="CA1190" s="179"/>
      <c r="CB1190" s="179"/>
      <c r="CC1190" s="179"/>
      <c r="CD1190" s="179"/>
      <c r="CE1190" s="179"/>
      <c r="CF1190" s="179"/>
      <c r="CG1190"/>
      <c r="CH1190"/>
      <c r="CI1190"/>
      <c r="CJ1190"/>
      <c r="CK1190"/>
      <c r="CL1190"/>
      <c r="CM1190"/>
    </row>
    <row r="1191" spans="1:91" x14ac:dyDescent="0.2">
      <c r="A1191"/>
      <c r="B1191"/>
      <c r="D1191"/>
      <c r="E1191"/>
      <c r="F1191"/>
      <c r="G1191"/>
      <c r="I1191"/>
      <c r="J1191"/>
      <c r="K1191"/>
      <c r="L1191" s="499"/>
      <c r="V1191" s="504"/>
      <c r="BX1191" s="769"/>
      <c r="BY1191" s="179"/>
      <c r="BZ1191" s="179"/>
      <c r="CA1191" s="179"/>
      <c r="CB1191" s="179"/>
      <c r="CC1191" s="179"/>
      <c r="CD1191" s="179"/>
      <c r="CE1191" s="179"/>
      <c r="CF1191" s="179"/>
      <c r="CG1191"/>
      <c r="CH1191"/>
      <c r="CI1191"/>
      <c r="CJ1191"/>
      <c r="CK1191"/>
      <c r="CL1191"/>
      <c r="CM1191"/>
    </row>
    <row r="1192" spans="1:91" x14ac:dyDescent="0.2">
      <c r="A1192"/>
      <c r="B1192"/>
      <c r="D1192"/>
      <c r="E1192"/>
      <c r="F1192"/>
      <c r="G1192"/>
      <c r="I1192"/>
      <c r="J1192"/>
      <c r="K1192"/>
      <c r="L1192" s="499"/>
      <c r="V1192" s="504"/>
      <c r="BX1192" s="769"/>
      <c r="BY1192" s="179"/>
      <c r="BZ1192" s="179"/>
      <c r="CA1192" s="179"/>
      <c r="CB1192" s="179"/>
      <c r="CC1192" s="179"/>
      <c r="CD1192" s="179"/>
      <c r="CE1192" s="179"/>
      <c r="CF1192" s="179"/>
      <c r="CG1192"/>
      <c r="CH1192"/>
      <c r="CI1192"/>
      <c r="CJ1192"/>
      <c r="CK1192"/>
      <c r="CL1192"/>
      <c r="CM1192"/>
    </row>
    <row r="1193" spans="1:91" x14ac:dyDescent="0.2">
      <c r="A1193"/>
      <c r="B1193"/>
      <c r="D1193"/>
      <c r="E1193"/>
      <c r="F1193"/>
      <c r="G1193"/>
      <c r="I1193"/>
      <c r="J1193"/>
      <c r="K1193"/>
      <c r="L1193" s="499"/>
      <c r="V1193" s="504"/>
      <c r="BX1193" s="769"/>
      <c r="BY1193" s="179"/>
      <c r="BZ1193" s="179"/>
      <c r="CA1193" s="179"/>
      <c r="CB1193" s="179"/>
      <c r="CC1193" s="179"/>
      <c r="CD1193" s="179"/>
      <c r="CE1193" s="179"/>
      <c r="CF1193" s="179"/>
      <c r="CG1193"/>
      <c r="CH1193"/>
      <c r="CI1193"/>
      <c r="CJ1193"/>
      <c r="CK1193"/>
      <c r="CL1193"/>
      <c r="CM1193"/>
    </row>
    <row r="1194" spans="1:91" x14ac:dyDescent="0.2">
      <c r="A1194"/>
      <c r="B1194"/>
      <c r="D1194"/>
      <c r="E1194"/>
      <c r="F1194"/>
      <c r="G1194"/>
      <c r="I1194"/>
      <c r="J1194"/>
      <c r="K1194"/>
      <c r="L1194" s="499"/>
      <c r="V1194" s="504"/>
      <c r="BX1194" s="769"/>
      <c r="BY1194" s="179"/>
      <c r="BZ1194" s="179"/>
      <c r="CA1194" s="179"/>
      <c r="CB1194" s="179"/>
      <c r="CC1194" s="179"/>
      <c r="CD1194" s="179"/>
      <c r="CE1194" s="179"/>
      <c r="CF1194" s="179"/>
      <c r="CG1194"/>
      <c r="CH1194"/>
      <c r="CI1194"/>
      <c r="CJ1194"/>
      <c r="CK1194"/>
      <c r="CL1194"/>
      <c r="CM1194"/>
    </row>
    <row r="1195" spans="1:91" x14ac:dyDescent="0.2">
      <c r="A1195"/>
      <c r="B1195"/>
      <c r="D1195"/>
      <c r="E1195"/>
      <c r="F1195"/>
      <c r="G1195"/>
      <c r="I1195"/>
      <c r="J1195"/>
      <c r="K1195"/>
      <c r="L1195" s="499"/>
      <c r="V1195" s="504"/>
      <c r="BX1195" s="769"/>
      <c r="BY1195" s="179"/>
      <c r="BZ1195" s="179"/>
      <c r="CA1195" s="179"/>
      <c r="CB1195" s="179"/>
      <c r="CC1195" s="179"/>
      <c r="CD1195" s="179"/>
      <c r="CE1195" s="179"/>
      <c r="CF1195" s="179"/>
      <c r="CG1195"/>
      <c r="CH1195"/>
      <c r="CI1195"/>
      <c r="CJ1195"/>
      <c r="CK1195"/>
      <c r="CL1195"/>
      <c r="CM1195"/>
    </row>
    <row r="1196" spans="1:91" x14ac:dyDescent="0.2">
      <c r="A1196"/>
      <c r="B1196"/>
      <c r="D1196"/>
      <c r="E1196"/>
      <c r="F1196"/>
      <c r="G1196"/>
      <c r="I1196"/>
      <c r="J1196"/>
      <c r="K1196"/>
      <c r="L1196" s="499"/>
      <c r="V1196" s="504"/>
      <c r="BX1196" s="769"/>
      <c r="BY1196" s="179"/>
      <c r="BZ1196" s="179"/>
      <c r="CA1196" s="179"/>
      <c r="CB1196" s="179"/>
      <c r="CC1196" s="179"/>
      <c r="CD1196" s="179"/>
      <c r="CE1196" s="179"/>
      <c r="CF1196" s="179"/>
      <c r="CG1196"/>
      <c r="CH1196"/>
      <c r="CI1196"/>
      <c r="CJ1196"/>
      <c r="CK1196"/>
      <c r="CL1196"/>
      <c r="CM1196"/>
    </row>
    <row r="1197" spans="1:91" x14ac:dyDescent="0.2">
      <c r="A1197"/>
      <c r="B1197"/>
      <c r="D1197"/>
      <c r="E1197"/>
      <c r="F1197"/>
      <c r="G1197"/>
      <c r="I1197"/>
      <c r="J1197"/>
      <c r="K1197"/>
      <c r="L1197" s="499"/>
      <c r="V1197" s="504"/>
      <c r="BX1197" s="769"/>
      <c r="BY1197" s="179"/>
      <c r="BZ1197" s="179"/>
      <c r="CA1197" s="179"/>
      <c r="CB1197" s="179"/>
      <c r="CC1197" s="179"/>
      <c r="CD1197" s="179"/>
      <c r="CE1197" s="179"/>
      <c r="CF1197" s="179"/>
      <c r="CG1197"/>
      <c r="CH1197"/>
      <c r="CI1197"/>
      <c r="CJ1197"/>
      <c r="CK1197"/>
      <c r="CL1197"/>
      <c r="CM1197"/>
    </row>
    <row r="1198" spans="1:91" x14ac:dyDescent="0.2">
      <c r="A1198"/>
      <c r="B1198"/>
      <c r="D1198"/>
      <c r="E1198"/>
      <c r="F1198"/>
      <c r="G1198"/>
      <c r="I1198"/>
      <c r="J1198"/>
      <c r="K1198"/>
      <c r="L1198" s="499"/>
      <c r="V1198" s="504"/>
      <c r="BX1198" s="769"/>
      <c r="BY1198" s="179"/>
      <c r="BZ1198" s="179"/>
      <c r="CA1198" s="179"/>
      <c r="CB1198" s="179"/>
      <c r="CC1198" s="179"/>
      <c r="CD1198" s="179"/>
      <c r="CE1198" s="179"/>
      <c r="CF1198" s="179"/>
      <c r="CG1198"/>
      <c r="CH1198"/>
      <c r="CI1198"/>
      <c r="CJ1198"/>
      <c r="CK1198"/>
      <c r="CL1198"/>
      <c r="CM1198"/>
    </row>
    <row r="1199" spans="1:91" x14ac:dyDescent="0.2">
      <c r="A1199"/>
      <c r="B1199"/>
      <c r="D1199"/>
      <c r="E1199"/>
      <c r="F1199"/>
      <c r="G1199"/>
      <c r="I1199"/>
      <c r="J1199"/>
      <c r="K1199"/>
      <c r="L1199" s="499"/>
      <c r="V1199" s="504"/>
      <c r="BX1199" s="769"/>
      <c r="BY1199" s="179"/>
      <c r="BZ1199" s="179"/>
      <c r="CA1199" s="179"/>
      <c r="CB1199" s="179"/>
      <c r="CC1199" s="179"/>
      <c r="CD1199" s="179"/>
      <c r="CE1199" s="179"/>
      <c r="CF1199" s="179"/>
      <c r="CG1199"/>
      <c r="CH1199"/>
      <c r="CI1199"/>
      <c r="CJ1199"/>
      <c r="CK1199"/>
      <c r="CL1199"/>
      <c r="CM1199"/>
    </row>
    <row r="1200" spans="1:91" x14ac:dyDescent="0.2">
      <c r="A1200"/>
      <c r="B1200"/>
      <c r="D1200"/>
      <c r="E1200"/>
      <c r="F1200"/>
      <c r="G1200"/>
      <c r="I1200"/>
      <c r="J1200"/>
      <c r="K1200"/>
      <c r="L1200" s="499"/>
      <c r="V1200" s="504"/>
      <c r="BX1200" s="769"/>
      <c r="BY1200" s="179"/>
      <c r="BZ1200" s="179"/>
      <c r="CA1200" s="179"/>
      <c r="CB1200" s="179"/>
      <c r="CC1200" s="179"/>
      <c r="CD1200" s="179"/>
      <c r="CE1200" s="179"/>
      <c r="CF1200" s="179"/>
      <c r="CG1200"/>
      <c r="CH1200"/>
      <c r="CI1200"/>
      <c r="CJ1200"/>
      <c r="CK1200"/>
      <c r="CL1200"/>
      <c r="CM1200"/>
    </row>
    <row r="1201" spans="1:91" x14ac:dyDescent="0.2">
      <c r="A1201"/>
      <c r="B1201"/>
      <c r="D1201"/>
      <c r="E1201"/>
      <c r="F1201"/>
      <c r="G1201"/>
      <c r="I1201"/>
      <c r="J1201"/>
      <c r="K1201"/>
      <c r="L1201" s="499"/>
      <c r="V1201" s="504"/>
      <c r="BX1201" s="769"/>
      <c r="BY1201" s="179"/>
      <c r="BZ1201" s="179"/>
      <c r="CA1201" s="179"/>
      <c r="CB1201" s="179"/>
      <c r="CC1201" s="179"/>
      <c r="CD1201" s="179"/>
      <c r="CE1201" s="179"/>
      <c r="CF1201" s="179"/>
      <c r="CG1201"/>
      <c r="CH1201"/>
      <c r="CI1201"/>
      <c r="CJ1201"/>
      <c r="CK1201"/>
      <c r="CL1201"/>
      <c r="CM1201"/>
    </row>
    <row r="1202" spans="1:91" x14ac:dyDescent="0.2">
      <c r="A1202"/>
      <c r="B1202"/>
      <c r="D1202"/>
      <c r="E1202"/>
      <c r="F1202"/>
      <c r="G1202"/>
      <c r="I1202"/>
      <c r="J1202"/>
      <c r="K1202"/>
      <c r="L1202" s="499"/>
      <c r="V1202" s="504"/>
      <c r="BX1202" s="769"/>
      <c r="BY1202" s="179"/>
      <c r="BZ1202" s="179"/>
      <c r="CA1202" s="179"/>
      <c r="CB1202" s="179"/>
      <c r="CC1202" s="179"/>
      <c r="CD1202" s="179"/>
      <c r="CE1202" s="179"/>
      <c r="CF1202" s="179"/>
      <c r="CG1202"/>
      <c r="CH1202"/>
      <c r="CI1202"/>
      <c r="CJ1202"/>
      <c r="CK1202"/>
      <c r="CL1202"/>
      <c r="CM1202"/>
    </row>
    <row r="1203" spans="1:91" x14ac:dyDescent="0.2">
      <c r="A1203"/>
      <c r="B1203"/>
      <c r="D1203"/>
      <c r="E1203"/>
      <c r="F1203"/>
      <c r="G1203"/>
      <c r="I1203"/>
      <c r="J1203"/>
      <c r="K1203"/>
      <c r="L1203" s="499"/>
      <c r="V1203" s="504"/>
      <c r="BX1203" s="769"/>
      <c r="BY1203" s="179"/>
      <c r="BZ1203" s="179"/>
      <c r="CA1203" s="179"/>
      <c r="CB1203" s="179"/>
      <c r="CC1203" s="179"/>
      <c r="CD1203" s="179"/>
      <c r="CE1203" s="179"/>
      <c r="CF1203" s="179"/>
      <c r="CG1203"/>
      <c r="CH1203"/>
      <c r="CI1203"/>
      <c r="CJ1203"/>
      <c r="CK1203"/>
      <c r="CL1203"/>
      <c r="CM1203"/>
    </row>
    <row r="1204" spans="1:91" x14ac:dyDescent="0.2">
      <c r="A1204"/>
      <c r="B1204"/>
      <c r="D1204"/>
      <c r="E1204"/>
      <c r="F1204"/>
      <c r="G1204"/>
      <c r="I1204"/>
      <c r="J1204"/>
      <c r="K1204"/>
      <c r="L1204" s="499"/>
      <c r="V1204" s="504"/>
      <c r="BX1204" s="769"/>
      <c r="BY1204" s="179"/>
      <c r="BZ1204" s="179"/>
      <c r="CA1204" s="179"/>
      <c r="CB1204" s="179"/>
      <c r="CC1204" s="179"/>
      <c r="CD1204" s="179"/>
      <c r="CE1204" s="179"/>
      <c r="CF1204" s="179"/>
      <c r="CG1204"/>
      <c r="CH1204"/>
      <c r="CI1204"/>
      <c r="CJ1204"/>
      <c r="CK1204"/>
      <c r="CL1204"/>
      <c r="CM1204"/>
    </row>
    <row r="1205" spans="1:91" x14ac:dyDescent="0.2">
      <c r="A1205"/>
      <c r="B1205"/>
      <c r="D1205"/>
      <c r="E1205"/>
      <c r="F1205"/>
      <c r="G1205"/>
      <c r="I1205"/>
      <c r="J1205"/>
      <c r="K1205"/>
      <c r="L1205" s="499"/>
      <c r="V1205" s="504"/>
      <c r="BX1205" s="769"/>
      <c r="BY1205" s="179"/>
      <c r="BZ1205" s="179"/>
      <c r="CA1205" s="179"/>
      <c r="CB1205" s="179"/>
      <c r="CC1205" s="179"/>
      <c r="CD1205" s="179"/>
      <c r="CE1205" s="179"/>
      <c r="CF1205" s="179"/>
      <c r="CG1205"/>
      <c r="CH1205"/>
      <c r="CI1205"/>
      <c r="CJ1205"/>
      <c r="CK1205"/>
      <c r="CL1205"/>
      <c r="CM1205"/>
    </row>
    <row r="1206" spans="1:91" x14ac:dyDescent="0.2">
      <c r="A1206"/>
      <c r="B1206"/>
      <c r="D1206"/>
      <c r="E1206"/>
      <c r="F1206"/>
      <c r="G1206"/>
      <c r="I1206"/>
      <c r="J1206"/>
      <c r="K1206"/>
      <c r="L1206" s="499"/>
      <c r="V1206" s="504"/>
      <c r="BX1206" s="769"/>
      <c r="BY1206" s="179"/>
      <c r="BZ1206" s="179"/>
      <c r="CA1206" s="179"/>
      <c r="CB1206" s="179"/>
      <c r="CC1206" s="179"/>
      <c r="CD1206" s="179"/>
      <c r="CE1206" s="179"/>
      <c r="CF1206" s="179"/>
      <c r="CG1206"/>
      <c r="CH1206"/>
      <c r="CI1206"/>
      <c r="CJ1206"/>
      <c r="CK1206"/>
      <c r="CL1206"/>
      <c r="CM1206"/>
    </row>
    <row r="1207" spans="1:91" x14ac:dyDescent="0.2">
      <c r="A1207"/>
      <c r="B1207"/>
      <c r="D1207"/>
      <c r="E1207"/>
      <c r="F1207"/>
      <c r="G1207"/>
      <c r="I1207"/>
      <c r="J1207"/>
      <c r="K1207"/>
      <c r="L1207" s="499"/>
      <c r="V1207" s="504"/>
      <c r="BX1207" s="769"/>
      <c r="BY1207" s="179"/>
      <c r="BZ1207" s="179"/>
      <c r="CA1207" s="179"/>
      <c r="CB1207" s="179"/>
      <c r="CC1207" s="179"/>
      <c r="CD1207" s="179"/>
      <c r="CE1207" s="179"/>
      <c r="CF1207" s="179"/>
      <c r="CG1207"/>
      <c r="CH1207"/>
      <c r="CI1207"/>
      <c r="CJ1207"/>
      <c r="CK1207"/>
      <c r="CL1207"/>
      <c r="CM1207"/>
    </row>
    <row r="1208" spans="1:91" x14ac:dyDescent="0.2">
      <c r="A1208"/>
      <c r="B1208"/>
      <c r="D1208"/>
      <c r="E1208"/>
      <c r="F1208"/>
      <c r="G1208"/>
      <c r="I1208"/>
      <c r="J1208"/>
      <c r="K1208"/>
      <c r="L1208" s="499"/>
      <c r="V1208" s="504"/>
      <c r="BX1208" s="769"/>
      <c r="BY1208" s="179"/>
      <c r="BZ1208" s="179"/>
      <c r="CA1208" s="179"/>
      <c r="CB1208" s="179"/>
      <c r="CC1208" s="179"/>
      <c r="CD1208" s="179"/>
      <c r="CE1208" s="179"/>
      <c r="CF1208" s="179"/>
      <c r="CG1208"/>
      <c r="CH1208"/>
      <c r="CI1208"/>
      <c r="CJ1208"/>
      <c r="CK1208"/>
      <c r="CL1208"/>
      <c r="CM1208"/>
    </row>
    <row r="1209" spans="1:91" x14ac:dyDescent="0.2">
      <c r="A1209"/>
      <c r="B1209"/>
      <c r="D1209"/>
      <c r="E1209"/>
      <c r="F1209"/>
      <c r="G1209"/>
      <c r="I1209"/>
      <c r="J1209"/>
      <c r="K1209"/>
      <c r="L1209" s="499"/>
      <c r="V1209" s="504"/>
      <c r="BX1209" s="769"/>
      <c r="BY1209" s="179"/>
      <c r="BZ1209" s="179"/>
      <c r="CA1209" s="179"/>
      <c r="CB1209" s="179"/>
      <c r="CC1209" s="179"/>
      <c r="CD1209" s="179"/>
      <c r="CE1209" s="179"/>
      <c r="CF1209" s="179"/>
      <c r="CG1209"/>
      <c r="CH1209"/>
      <c r="CI1209"/>
      <c r="CJ1209"/>
      <c r="CK1209"/>
      <c r="CL1209"/>
      <c r="CM1209"/>
    </row>
    <row r="1210" spans="1:91" x14ac:dyDescent="0.2">
      <c r="A1210"/>
      <c r="B1210"/>
      <c r="D1210"/>
      <c r="E1210"/>
      <c r="F1210"/>
      <c r="G1210"/>
      <c r="I1210"/>
      <c r="J1210"/>
      <c r="K1210"/>
      <c r="L1210" s="499"/>
      <c r="V1210" s="504"/>
      <c r="BX1210" s="769"/>
      <c r="BY1210" s="179"/>
      <c r="BZ1210" s="179"/>
      <c r="CA1210" s="179"/>
      <c r="CB1210" s="179"/>
      <c r="CC1210" s="179"/>
      <c r="CD1210" s="179"/>
      <c r="CE1210" s="179"/>
      <c r="CF1210" s="179"/>
      <c r="CG1210"/>
      <c r="CH1210"/>
      <c r="CI1210"/>
      <c r="CJ1210"/>
      <c r="CK1210"/>
      <c r="CL1210"/>
      <c r="CM1210"/>
    </row>
    <row r="1211" spans="1:91" x14ac:dyDescent="0.2">
      <c r="A1211"/>
      <c r="B1211"/>
      <c r="D1211"/>
      <c r="E1211"/>
      <c r="F1211"/>
      <c r="G1211"/>
      <c r="I1211"/>
      <c r="J1211"/>
      <c r="K1211"/>
      <c r="L1211" s="499"/>
      <c r="V1211" s="504"/>
      <c r="BX1211" s="769"/>
      <c r="BY1211" s="179"/>
      <c r="BZ1211" s="179"/>
      <c r="CA1211" s="179"/>
      <c r="CB1211" s="179"/>
      <c r="CC1211" s="179"/>
      <c r="CD1211" s="179"/>
      <c r="CE1211" s="179"/>
      <c r="CF1211" s="179"/>
      <c r="CG1211"/>
      <c r="CH1211"/>
      <c r="CI1211"/>
      <c r="CJ1211"/>
      <c r="CK1211"/>
      <c r="CL1211"/>
      <c r="CM1211"/>
    </row>
    <row r="1212" spans="1:91" x14ac:dyDescent="0.2">
      <c r="A1212"/>
      <c r="B1212"/>
      <c r="D1212"/>
      <c r="E1212"/>
      <c r="F1212"/>
      <c r="G1212"/>
      <c r="I1212"/>
      <c r="J1212"/>
      <c r="K1212"/>
      <c r="L1212" s="499"/>
      <c r="V1212" s="504"/>
      <c r="BX1212" s="769"/>
      <c r="BY1212" s="179"/>
      <c r="BZ1212" s="179"/>
      <c r="CA1212" s="179"/>
      <c r="CB1212" s="179"/>
      <c r="CC1212" s="179"/>
      <c r="CD1212" s="179"/>
      <c r="CE1212" s="179"/>
      <c r="CF1212" s="179"/>
      <c r="CG1212"/>
      <c r="CH1212"/>
      <c r="CI1212"/>
      <c r="CJ1212"/>
      <c r="CK1212"/>
      <c r="CL1212"/>
      <c r="CM1212"/>
    </row>
    <row r="1213" spans="1:91" x14ac:dyDescent="0.2">
      <c r="A1213"/>
      <c r="B1213"/>
      <c r="D1213"/>
      <c r="E1213"/>
      <c r="F1213"/>
      <c r="G1213"/>
      <c r="I1213"/>
      <c r="J1213"/>
      <c r="K1213"/>
      <c r="L1213" s="499"/>
      <c r="V1213" s="504"/>
      <c r="BX1213" s="769"/>
      <c r="BY1213" s="179"/>
      <c r="BZ1213" s="179"/>
      <c r="CA1213" s="179"/>
      <c r="CB1213" s="179"/>
      <c r="CC1213" s="179"/>
      <c r="CD1213" s="179"/>
      <c r="CE1213" s="179"/>
      <c r="CF1213" s="179"/>
      <c r="CG1213"/>
      <c r="CH1213"/>
      <c r="CI1213"/>
      <c r="CJ1213"/>
      <c r="CK1213"/>
      <c r="CL1213"/>
      <c r="CM1213"/>
    </row>
    <row r="1214" spans="1:91" x14ac:dyDescent="0.2">
      <c r="A1214"/>
      <c r="B1214"/>
      <c r="D1214"/>
      <c r="E1214"/>
      <c r="F1214"/>
      <c r="G1214"/>
      <c r="I1214"/>
      <c r="J1214"/>
      <c r="K1214"/>
      <c r="L1214" s="499"/>
      <c r="V1214" s="504"/>
      <c r="BX1214" s="769"/>
      <c r="BY1214" s="179"/>
      <c r="BZ1214" s="179"/>
      <c r="CA1214" s="179"/>
      <c r="CB1214" s="179"/>
      <c r="CC1214" s="179"/>
      <c r="CD1214" s="179"/>
      <c r="CE1214" s="179"/>
      <c r="CF1214" s="179"/>
      <c r="CG1214"/>
      <c r="CH1214"/>
      <c r="CI1214"/>
      <c r="CJ1214"/>
      <c r="CK1214"/>
      <c r="CL1214"/>
      <c r="CM1214"/>
    </row>
    <row r="1215" spans="1:91" x14ac:dyDescent="0.2">
      <c r="A1215"/>
      <c r="B1215"/>
      <c r="D1215"/>
      <c r="E1215"/>
      <c r="F1215"/>
      <c r="G1215"/>
      <c r="I1215"/>
      <c r="J1215"/>
      <c r="K1215"/>
      <c r="L1215" s="499"/>
      <c r="V1215" s="504"/>
      <c r="BX1215" s="769"/>
      <c r="BY1215" s="179"/>
      <c r="BZ1215" s="179"/>
      <c r="CA1215" s="179"/>
      <c r="CB1215" s="179"/>
      <c r="CC1215" s="179"/>
      <c r="CD1215" s="179"/>
      <c r="CE1215" s="179"/>
      <c r="CF1215" s="179"/>
      <c r="CG1215"/>
      <c r="CH1215"/>
      <c r="CI1215"/>
      <c r="CJ1215"/>
      <c r="CK1215"/>
      <c r="CL1215"/>
      <c r="CM1215"/>
    </row>
    <row r="1216" spans="1:91" x14ac:dyDescent="0.2">
      <c r="A1216"/>
      <c r="B1216"/>
      <c r="D1216"/>
      <c r="E1216"/>
      <c r="F1216"/>
      <c r="G1216"/>
      <c r="I1216"/>
      <c r="J1216"/>
      <c r="K1216"/>
      <c r="L1216" s="499"/>
      <c r="V1216" s="504"/>
      <c r="BX1216" s="769"/>
      <c r="BY1216" s="179"/>
      <c r="BZ1216" s="179"/>
      <c r="CA1216" s="179"/>
      <c r="CB1216" s="179"/>
      <c r="CC1216" s="179"/>
      <c r="CD1216" s="179"/>
      <c r="CE1216" s="179"/>
      <c r="CF1216" s="179"/>
      <c r="CG1216"/>
      <c r="CH1216"/>
      <c r="CI1216"/>
      <c r="CJ1216"/>
      <c r="CK1216"/>
      <c r="CL1216"/>
      <c r="CM1216"/>
    </row>
    <row r="1217" spans="1:91" x14ac:dyDescent="0.2">
      <c r="A1217"/>
      <c r="B1217"/>
      <c r="D1217"/>
      <c r="E1217"/>
      <c r="F1217"/>
      <c r="G1217"/>
      <c r="I1217"/>
      <c r="J1217"/>
      <c r="K1217"/>
      <c r="L1217" s="499"/>
      <c r="V1217" s="504"/>
      <c r="BX1217" s="769"/>
      <c r="BY1217" s="179"/>
      <c r="BZ1217" s="179"/>
      <c r="CA1217" s="179"/>
      <c r="CB1217" s="179"/>
      <c r="CC1217" s="179"/>
      <c r="CD1217" s="179"/>
      <c r="CE1217" s="179"/>
      <c r="CF1217" s="179"/>
      <c r="CG1217"/>
      <c r="CH1217"/>
      <c r="CI1217"/>
      <c r="CJ1217"/>
      <c r="CK1217"/>
      <c r="CL1217"/>
      <c r="CM1217"/>
    </row>
    <row r="1218" spans="1:91" x14ac:dyDescent="0.2">
      <c r="A1218"/>
      <c r="B1218"/>
      <c r="D1218"/>
      <c r="E1218"/>
      <c r="F1218"/>
      <c r="G1218"/>
      <c r="I1218"/>
      <c r="J1218"/>
      <c r="K1218"/>
      <c r="L1218" s="499"/>
      <c r="V1218" s="504"/>
      <c r="BX1218" s="769"/>
      <c r="BY1218" s="179"/>
      <c r="BZ1218" s="179"/>
      <c r="CA1218" s="179"/>
      <c r="CB1218" s="179"/>
      <c r="CC1218" s="179"/>
      <c r="CD1218" s="179"/>
      <c r="CE1218" s="179"/>
      <c r="CF1218" s="179"/>
      <c r="CG1218"/>
      <c r="CH1218"/>
      <c r="CI1218"/>
      <c r="CJ1218"/>
      <c r="CK1218"/>
      <c r="CL1218"/>
      <c r="CM1218"/>
    </row>
    <row r="1219" spans="1:91" x14ac:dyDescent="0.2">
      <c r="A1219"/>
      <c r="B1219"/>
      <c r="D1219"/>
      <c r="E1219"/>
      <c r="F1219"/>
      <c r="G1219"/>
      <c r="I1219"/>
      <c r="J1219"/>
      <c r="K1219"/>
      <c r="L1219" s="499"/>
      <c r="V1219" s="504"/>
      <c r="BX1219" s="769"/>
      <c r="BY1219" s="179"/>
      <c r="BZ1219" s="179"/>
      <c r="CA1219" s="179"/>
      <c r="CB1219" s="179"/>
      <c r="CC1219" s="179"/>
      <c r="CD1219" s="179"/>
      <c r="CE1219" s="179"/>
      <c r="CF1219" s="179"/>
      <c r="CG1219"/>
      <c r="CH1219"/>
      <c r="CI1219"/>
      <c r="CJ1219"/>
      <c r="CK1219"/>
      <c r="CL1219"/>
      <c r="CM1219"/>
    </row>
    <row r="1220" spans="1:91" x14ac:dyDescent="0.2">
      <c r="A1220"/>
      <c r="B1220"/>
      <c r="D1220"/>
      <c r="E1220"/>
      <c r="F1220"/>
      <c r="G1220"/>
      <c r="I1220"/>
      <c r="J1220"/>
      <c r="K1220"/>
      <c r="L1220" s="499"/>
      <c r="V1220" s="504"/>
      <c r="BX1220" s="769"/>
      <c r="BY1220" s="179"/>
      <c r="BZ1220" s="179"/>
      <c r="CA1220" s="179"/>
      <c r="CB1220" s="179"/>
      <c r="CC1220" s="179"/>
      <c r="CD1220" s="179"/>
      <c r="CE1220" s="179"/>
      <c r="CF1220" s="179"/>
      <c r="CG1220"/>
      <c r="CH1220"/>
      <c r="CI1220"/>
      <c r="CJ1220"/>
      <c r="CK1220"/>
      <c r="CL1220"/>
      <c r="CM1220"/>
    </row>
    <row r="1221" spans="1:91" x14ac:dyDescent="0.2">
      <c r="A1221"/>
      <c r="B1221"/>
      <c r="D1221"/>
      <c r="E1221"/>
      <c r="F1221"/>
      <c r="G1221"/>
      <c r="I1221"/>
      <c r="J1221"/>
      <c r="K1221"/>
      <c r="L1221" s="499"/>
      <c r="V1221" s="504"/>
      <c r="BX1221" s="769"/>
      <c r="BY1221" s="179"/>
      <c r="BZ1221" s="179"/>
      <c r="CA1221" s="179"/>
      <c r="CB1221" s="179"/>
      <c r="CC1221" s="179"/>
      <c r="CD1221" s="179"/>
      <c r="CE1221" s="179"/>
      <c r="CF1221" s="179"/>
      <c r="CG1221"/>
      <c r="CH1221"/>
      <c r="CI1221"/>
      <c r="CJ1221"/>
      <c r="CK1221"/>
      <c r="CL1221"/>
      <c r="CM1221"/>
    </row>
    <row r="1222" spans="1:91" x14ac:dyDescent="0.2">
      <c r="A1222"/>
      <c r="B1222"/>
      <c r="D1222"/>
      <c r="E1222"/>
      <c r="F1222"/>
      <c r="G1222"/>
      <c r="I1222"/>
      <c r="J1222"/>
      <c r="K1222"/>
      <c r="L1222" s="499"/>
      <c r="V1222" s="504"/>
      <c r="BX1222" s="769"/>
      <c r="BY1222" s="179"/>
      <c r="BZ1222" s="179"/>
      <c r="CA1222" s="179"/>
      <c r="CB1222" s="179"/>
      <c r="CC1222" s="179"/>
      <c r="CD1222" s="179"/>
      <c r="CE1222" s="179"/>
      <c r="CF1222" s="179"/>
      <c r="CG1222"/>
      <c r="CH1222"/>
      <c r="CI1222"/>
      <c r="CJ1222"/>
      <c r="CK1222"/>
      <c r="CL1222"/>
      <c r="CM1222"/>
    </row>
    <row r="1223" spans="1:91" x14ac:dyDescent="0.2">
      <c r="A1223"/>
      <c r="B1223"/>
      <c r="D1223"/>
      <c r="E1223"/>
      <c r="F1223"/>
      <c r="G1223"/>
      <c r="I1223"/>
      <c r="J1223"/>
      <c r="K1223"/>
      <c r="L1223" s="499"/>
      <c r="V1223" s="504"/>
      <c r="BX1223" s="769"/>
      <c r="BY1223" s="179"/>
      <c r="BZ1223" s="179"/>
      <c r="CA1223" s="179"/>
      <c r="CB1223" s="179"/>
      <c r="CC1223" s="179"/>
      <c r="CD1223" s="179"/>
      <c r="CE1223" s="179"/>
      <c r="CF1223" s="179"/>
      <c r="CG1223"/>
      <c r="CH1223"/>
      <c r="CI1223"/>
      <c r="CJ1223"/>
      <c r="CK1223"/>
      <c r="CL1223"/>
      <c r="CM1223"/>
    </row>
    <row r="1224" spans="1:91" x14ac:dyDescent="0.2">
      <c r="A1224"/>
      <c r="B1224"/>
      <c r="D1224"/>
      <c r="E1224"/>
      <c r="F1224"/>
      <c r="G1224"/>
      <c r="I1224"/>
      <c r="J1224"/>
      <c r="K1224"/>
      <c r="L1224" s="499"/>
      <c r="V1224" s="504"/>
      <c r="BX1224" s="769"/>
      <c r="BY1224" s="179"/>
      <c r="BZ1224" s="179"/>
      <c r="CA1224" s="179"/>
      <c r="CB1224" s="179"/>
      <c r="CC1224" s="179"/>
      <c r="CD1224" s="179"/>
      <c r="CE1224" s="179"/>
      <c r="CF1224" s="179"/>
      <c r="CG1224"/>
      <c r="CH1224"/>
      <c r="CI1224"/>
      <c r="CJ1224"/>
      <c r="CK1224"/>
      <c r="CL1224"/>
      <c r="CM1224"/>
    </row>
    <row r="1225" spans="1:91" x14ac:dyDescent="0.2">
      <c r="A1225"/>
      <c r="B1225"/>
      <c r="D1225"/>
      <c r="E1225"/>
      <c r="F1225"/>
      <c r="G1225"/>
      <c r="I1225"/>
      <c r="J1225"/>
      <c r="K1225"/>
      <c r="L1225" s="499"/>
      <c r="V1225" s="504"/>
      <c r="BX1225" s="769"/>
      <c r="BY1225" s="179"/>
      <c r="BZ1225" s="179"/>
      <c r="CA1225" s="179"/>
      <c r="CB1225" s="179"/>
      <c r="CC1225" s="179"/>
      <c r="CD1225" s="179"/>
      <c r="CE1225" s="179"/>
      <c r="CF1225" s="179"/>
      <c r="CG1225"/>
      <c r="CH1225"/>
      <c r="CI1225"/>
      <c r="CJ1225"/>
      <c r="CK1225"/>
      <c r="CL1225"/>
      <c r="CM1225"/>
    </row>
    <row r="1226" spans="1:91" x14ac:dyDescent="0.2">
      <c r="A1226"/>
      <c r="B1226"/>
      <c r="D1226"/>
      <c r="E1226"/>
      <c r="F1226"/>
      <c r="G1226"/>
      <c r="I1226"/>
      <c r="J1226"/>
      <c r="K1226"/>
      <c r="L1226" s="499"/>
      <c r="V1226" s="504"/>
      <c r="BX1226" s="769"/>
      <c r="BY1226" s="179"/>
      <c r="BZ1226" s="179"/>
      <c r="CA1226" s="179"/>
      <c r="CB1226" s="179"/>
      <c r="CC1226" s="179"/>
      <c r="CD1226" s="179"/>
      <c r="CE1226" s="179"/>
      <c r="CF1226" s="179"/>
      <c r="CG1226"/>
      <c r="CH1226"/>
      <c r="CI1226"/>
      <c r="CJ1226"/>
      <c r="CK1226"/>
      <c r="CL1226"/>
      <c r="CM1226"/>
    </row>
    <row r="1227" spans="1:91" x14ac:dyDescent="0.2">
      <c r="A1227"/>
      <c r="B1227"/>
      <c r="D1227"/>
      <c r="E1227"/>
      <c r="F1227"/>
      <c r="G1227"/>
      <c r="I1227"/>
      <c r="J1227"/>
      <c r="K1227"/>
      <c r="L1227" s="499"/>
      <c r="V1227" s="504"/>
      <c r="BX1227" s="769"/>
      <c r="BY1227" s="179"/>
      <c r="BZ1227" s="179"/>
      <c r="CA1227" s="179"/>
      <c r="CB1227" s="179"/>
      <c r="CC1227" s="179"/>
      <c r="CD1227" s="179"/>
      <c r="CE1227" s="179"/>
      <c r="CF1227" s="179"/>
      <c r="CG1227"/>
      <c r="CH1227"/>
      <c r="CI1227"/>
      <c r="CJ1227"/>
      <c r="CK1227"/>
      <c r="CL1227"/>
      <c r="CM1227"/>
    </row>
    <row r="1228" spans="1:91" x14ac:dyDescent="0.2">
      <c r="A1228"/>
      <c r="B1228"/>
      <c r="D1228"/>
      <c r="E1228"/>
      <c r="F1228"/>
      <c r="G1228"/>
      <c r="I1228"/>
      <c r="J1228"/>
      <c r="K1228"/>
      <c r="L1228" s="499"/>
      <c r="V1228" s="504"/>
      <c r="BX1228" s="769"/>
      <c r="BY1228" s="179"/>
      <c r="BZ1228" s="179"/>
      <c r="CA1228" s="179"/>
      <c r="CB1228" s="179"/>
      <c r="CC1228" s="179"/>
      <c r="CD1228" s="179"/>
      <c r="CE1228" s="179"/>
      <c r="CF1228" s="179"/>
      <c r="CG1228"/>
      <c r="CH1228"/>
      <c r="CI1228"/>
      <c r="CJ1228"/>
      <c r="CK1228"/>
      <c r="CL1228"/>
      <c r="CM1228"/>
    </row>
    <row r="1229" spans="1:91" x14ac:dyDescent="0.2">
      <c r="A1229"/>
      <c r="B1229"/>
      <c r="D1229"/>
      <c r="E1229"/>
      <c r="F1229"/>
      <c r="G1229"/>
      <c r="I1229"/>
      <c r="J1229"/>
      <c r="K1229"/>
      <c r="L1229" s="499"/>
      <c r="V1229" s="504"/>
      <c r="BX1229" s="769"/>
      <c r="BY1229" s="179"/>
      <c r="BZ1229" s="179"/>
      <c r="CA1229" s="179"/>
      <c r="CB1229" s="179"/>
      <c r="CC1229" s="179"/>
      <c r="CD1229" s="179"/>
      <c r="CE1229" s="179"/>
      <c r="CF1229" s="179"/>
      <c r="CG1229"/>
      <c r="CH1229"/>
      <c r="CI1229"/>
      <c r="CJ1229"/>
      <c r="CK1229"/>
      <c r="CL1229"/>
      <c r="CM1229"/>
    </row>
    <row r="1230" spans="1:91" x14ac:dyDescent="0.2">
      <c r="A1230"/>
      <c r="B1230"/>
      <c r="D1230"/>
      <c r="E1230"/>
      <c r="F1230"/>
      <c r="G1230"/>
      <c r="I1230"/>
      <c r="J1230"/>
      <c r="K1230"/>
      <c r="L1230" s="499"/>
      <c r="V1230" s="504"/>
      <c r="BX1230" s="769"/>
      <c r="BY1230" s="179"/>
      <c r="BZ1230" s="179"/>
      <c r="CA1230" s="179"/>
      <c r="CB1230" s="179"/>
      <c r="CC1230" s="179"/>
      <c r="CD1230" s="179"/>
      <c r="CE1230" s="179"/>
      <c r="CF1230" s="179"/>
      <c r="CG1230"/>
      <c r="CH1230"/>
      <c r="CI1230"/>
      <c r="CJ1230"/>
      <c r="CK1230"/>
      <c r="CL1230"/>
      <c r="CM1230"/>
    </row>
    <row r="1231" spans="1:91" x14ac:dyDescent="0.2">
      <c r="A1231"/>
      <c r="B1231"/>
      <c r="D1231"/>
      <c r="E1231"/>
      <c r="F1231"/>
      <c r="G1231"/>
      <c r="I1231"/>
      <c r="J1231"/>
      <c r="K1231"/>
      <c r="L1231" s="499"/>
      <c r="V1231" s="504"/>
      <c r="BX1231" s="769"/>
      <c r="BY1231" s="179"/>
      <c r="BZ1231" s="179"/>
      <c r="CA1231" s="179"/>
      <c r="CB1231" s="179"/>
      <c r="CC1231" s="179"/>
      <c r="CD1231" s="179"/>
      <c r="CE1231" s="179"/>
      <c r="CF1231" s="179"/>
      <c r="CG1231"/>
      <c r="CH1231"/>
      <c r="CI1231"/>
      <c r="CJ1231"/>
      <c r="CK1231"/>
      <c r="CL1231"/>
      <c r="CM1231"/>
    </row>
    <row r="1232" spans="1:91" x14ac:dyDescent="0.2">
      <c r="A1232"/>
      <c r="B1232"/>
      <c r="D1232"/>
      <c r="E1232"/>
      <c r="F1232"/>
      <c r="G1232"/>
      <c r="I1232"/>
      <c r="J1232"/>
      <c r="K1232"/>
      <c r="L1232" s="499"/>
      <c r="V1232" s="504"/>
      <c r="BX1232" s="769"/>
      <c r="BY1232" s="179"/>
      <c r="BZ1232" s="179"/>
      <c r="CA1232" s="179"/>
      <c r="CB1232" s="179"/>
      <c r="CC1232" s="179"/>
      <c r="CD1232" s="179"/>
      <c r="CE1232" s="179"/>
      <c r="CF1232" s="179"/>
      <c r="CG1232"/>
      <c r="CH1232"/>
      <c r="CI1232"/>
      <c r="CJ1232"/>
      <c r="CK1232"/>
      <c r="CL1232"/>
      <c r="CM1232"/>
    </row>
    <row r="1233" spans="1:91" x14ac:dyDescent="0.2">
      <c r="A1233"/>
      <c r="B1233"/>
      <c r="D1233"/>
      <c r="E1233"/>
      <c r="F1233"/>
      <c r="G1233"/>
      <c r="I1233"/>
      <c r="J1233"/>
      <c r="K1233"/>
      <c r="L1233" s="499"/>
      <c r="V1233" s="504"/>
      <c r="BX1233" s="769"/>
      <c r="BY1233" s="179"/>
      <c r="BZ1233" s="179"/>
      <c r="CA1233" s="179"/>
      <c r="CB1233" s="179"/>
      <c r="CC1233" s="179"/>
      <c r="CD1233" s="179"/>
      <c r="CE1233" s="179"/>
      <c r="CF1233" s="179"/>
      <c r="CG1233"/>
      <c r="CH1233"/>
      <c r="CI1233"/>
      <c r="CJ1233"/>
      <c r="CK1233"/>
      <c r="CL1233"/>
      <c r="CM1233"/>
    </row>
    <row r="1234" spans="1:91" x14ac:dyDescent="0.2">
      <c r="A1234"/>
      <c r="B1234"/>
      <c r="D1234"/>
      <c r="E1234"/>
      <c r="F1234"/>
      <c r="G1234"/>
      <c r="I1234"/>
      <c r="J1234"/>
      <c r="K1234"/>
      <c r="L1234" s="499"/>
      <c r="V1234" s="504"/>
      <c r="BX1234" s="769"/>
      <c r="BY1234" s="179"/>
      <c r="BZ1234" s="179"/>
      <c r="CA1234" s="179"/>
      <c r="CB1234" s="179"/>
      <c r="CC1234" s="179"/>
      <c r="CD1234" s="179"/>
      <c r="CE1234" s="179"/>
      <c r="CF1234" s="179"/>
      <c r="CG1234"/>
      <c r="CH1234"/>
      <c r="CI1234"/>
      <c r="CJ1234"/>
      <c r="CK1234"/>
      <c r="CL1234"/>
      <c r="CM1234"/>
    </row>
    <row r="1235" spans="1:91" x14ac:dyDescent="0.2">
      <c r="A1235"/>
      <c r="B1235"/>
      <c r="D1235"/>
      <c r="E1235"/>
      <c r="F1235"/>
      <c r="G1235"/>
      <c r="I1235"/>
      <c r="J1235"/>
      <c r="K1235"/>
      <c r="L1235" s="499"/>
      <c r="V1235" s="504"/>
      <c r="BX1235" s="769"/>
      <c r="BY1235" s="179"/>
      <c r="BZ1235" s="179"/>
      <c r="CA1235" s="179"/>
      <c r="CB1235" s="179"/>
      <c r="CC1235" s="179"/>
      <c r="CD1235" s="179"/>
      <c r="CE1235" s="179"/>
      <c r="CF1235" s="179"/>
      <c r="CG1235"/>
      <c r="CH1235"/>
      <c r="CI1235"/>
      <c r="CJ1235"/>
      <c r="CK1235"/>
      <c r="CL1235"/>
      <c r="CM1235"/>
    </row>
    <row r="1236" spans="1:91" x14ac:dyDescent="0.2">
      <c r="A1236"/>
      <c r="B1236"/>
      <c r="D1236"/>
      <c r="E1236"/>
      <c r="F1236"/>
      <c r="G1236"/>
      <c r="I1236"/>
      <c r="J1236"/>
      <c r="K1236"/>
      <c r="L1236" s="499"/>
      <c r="V1236" s="504"/>
      <c r="BX1236" s="769"/>
      <c r="BY1236" s="179"/>
      <c r="BZ1236" s="179"/>
      <c r="CA1236" s="179"/>
      <c r="CB1236" s="179"/>
      <c r="CC1236" s="179"/>
      <c r="CD1236" s="179"/>
      <c r="CE1236" s="179"/>
      <c r="CF1236" s="179"/>
      <c r="CG1236"/>
      <c r="CH1236"/>
      <c r="CI1236"/>
      <c r="CJ1236"/>
      <c r="CK1236"/>
      <c r="CL1236"/>
      <c r="CM1236"/>
    </row>
    <row r="1237" spans="1:91" x14ac:dyDescent="0.2">
      <c r="A1237"/>
      <c r="B1237"/>
      <c r="D1237"/>
      <c r="E1237"/>
      <c r="F1237"/>
      <c r="G1237"/>
      <c r="I1237"/>
      <c r="J1237"/>
      <c r="K1237"/>
      <c r="L1237" s="499"/>
      <c r="V1237" s="504"/>
      <c r="BX1237" s="769"/>
      <c r="BY1237" s="179"/>
      <c r="BZ1237" s="179"/>
      <c r="CA1237" s="179"/>
      <c r="CB1237" s="179"/>
      <c r="CC1237" s="179"/>
      <c r="CD1237" s="179"/>
      <c r="CE1237" s="179"/>
      <c r="CF1237" s="179"/>
      <c r="CG1237"/>
      <c r="CH1237"/>
      <c r="CI1237"/>
      <c r="CJ1237"/>
      <c r="CK1237"/>
      <c r="CL1237"/>
      <c r="CM1237"/>
    </row>
    <row r="1238" spans="1:91" x14ac:dyDescent="0.2">
      <c r="A1238"/>
      <c r="B1238"/>
      <c r="D1238"/>
      <c r="E1238"/>
      <c r="F1238"/>
      <c r="G1238"/>
      <c r="I1238"/>
      <c r="J1238"/>
      <c r="K1238"/>
      <c r="L1238" s="499"/>
      <c r="V1238" s="504"/>
      <c r="BX1238" s="769"/>
      <c r="BY1238" s="179"/>
      <c r="BZ1238" s="179"/>
      <c r="CA1238" s="179"/>
      <c r="CB1238" s="179"/>
      <c r="CC1238" s="179"/>
      <c r="CD1238" s="179"/>
      <c r="CE1238" s="179"/>
      <c r="CF1238" s="179"/>
      <c r="CG1238"/>
      <c r="CH1238"/>
      <c r="CI1238"/>
      <c r="CJ1238"/>
      <c r="CK1238"/>
      <c r="CL1238"/>
      <c r="CM1238"/>
    </row>
    <row r="1239" spans="1:91" x14ac:dyDescent="0.2">
      <c r="A1239"/>
      <c r="B1239"/>
      <c r="D1239"/>
      <c r="E1239"/>
      <c r="F1239"/>
      <c r="G1239"/>
      <c r="I1239"/>
      <c r="J1239"/>
      <c r="K1239"/>
      <c r="L1239" s="499"/>
      <c r="V1239" s="504"/>
      <c r="BX1239" s="769"/>
      <c r="BY1239" s="179"/>
      <c r="BZ1239" s="179"/>
      <c r="CA1239" s="179"/>
      <c r="CB1239" s="179"/>
      <c r="CC1239" s="179"/>
      <c r="CD1239" s="179"/>
      <c r="CE1239" s="179"/>
      <c r="CF1239" s="179"/>
      <c r="CG1239"/>
      <c r="CH1239"/>
      <c r="CI1239"/>
      <c r="CJ1239"/>
      <c r="CK1239"/>
      <c r="CL1239"/>
      <c r="CM1239"/>
    </row>
    <row r="1240" spans="1:91" x14ac:dyDescent="0.2">
      <c r="A1240"/>
      <c r="B1240"/>
      <c r="D1240"/>
      <c r="E1240"/>
      <c r="F1240"/>
      <c r="G1240"/>
      <c r="I1240"/>
      <c r="J1240"/>
      <c r="K1240"/>
      <c r="L1240" s="499"/>
      <c r="V1240" s="504"/>
      <c r="BX1240" s="769"/>
      <c r="BY1240" s="179"/>
      <c r="BZ1240" s="179"/>
      <c r="CA1240" s="179"/>
      <c r="CB1240" s="179"/>
      <c r="CC1240" s="179"/>
      <c r="CD1240" s="179"/>
      <c r="CE1240" s="179"/>
      <c r="CF1240" s="179"/>
      <c r="CG1240"/>
      <c r="CH1240"/>
      <c r="CI1240"/>
      <c r="CJ1240"/>
      <c r="CK1240"/>
      <c r="CL1240"/>
      <c r="CM1240"/>
    </row>
    <row r="1241" spans="1:91" x14ac:dyDescent="0.2">
      <c r="A1241"/>
      <c r="B1241"/>
      <c r="D1241"/>
      <c r="E1241"/>
      <c r="F1241"/>
      <c r="G1241"/>
      <c r="I1241"/>
      <c r="J1241"/>
      <c r="K1241"/>
      <c r="L1241" s="499"/>
      <c r="V1241" s="504"/>
      <c r="BX1241" s="769"/>
      <c r="BY1241" s="179"/>
      <c r="BZ1241" s="179"/>
      <c r="CA1241" s="179"/>
      <c r="CB1241" s="179"/>
      <c r="CC1241" s="179"/>
      <c r="CD1241" s="179"/>
      <c r="CE1241" s="179"/>
      <c r="CF1241" s="179"/>
      <c r="CG1241"/>
      <c r="CH1241"/>
      <c r="CI1241"/>
      <c r="CJ1241"/>
      <c r="CK1241"/>
      <c r="CL1241"/>
      <c r="CM1241"/>
    </row>
    <row r="1242" spans="1:91" x14ac:dyDescent="0.2">
      <c r="A1242"/>
      <c r="B1242"/>
      <c r="D1242"/>
      <c r="E1242"/>
      <c r="F1242"/>
      <c r="G1242"/>
      <c r="I1242"/>
      <c r="J1242"/>
      <c r="K1242"/>
      <c r="L1242" s="499"/>
      <c r="V1242" s="504"/>
      <c r="BX1242" s="769"/>
      <c r="BY1242" s="179"/>
      <c r="BZ1242" s="179"/>
      <c r="CA1242" s="179"/>
      <c r="CB1242" s="179"/>
      <c r="CC1242" s="179"/>
      <c r="CD1242" s="179"/>
      <c r="CE1242" s="179"/>
      <c r="CF1242" s="179"/>
      <c r="CG1242"/>
      <c r="CH1242"/>
      <c r="CI1242"/>
      <c r="CJ1242"/>
      <c r="CK1242"/>
      <c r="CL1242"/>
      <c r="CM1242"/>
    </row>
    <row r="1243" spans="1:91" x14ac:dyDescent="0.2">
      <c r="A1243"/>
      <c r="B1243"/>
      <c r="D1243"/>
      <c r="E1243"/>
      <c r="F1243"/>
      <c r="G1243"/>
      <c r="I1243"/>
      <c r="J1243"/>
      <c r="K1243"/>
      <c r="L1243" s="499"/>
      <c r="V1243" s="504"/>
      <c r="BX1243" s="769"/>
      <c r="BY1243" s="179"/>
      <c r="BZ1243" s="179"/>
      <c r="CA1243" s="179"/>
      <c r="CB1243" s="179"/>
      <c r="CC1243" s="179"/>
      <c r="CD1243" s="179"/>
      <c r="CE1243" s="179"/>
      <c r="CF1243" s="179"/>
      <c r="CG1243"/>
      <c r="CH1243"/>
      <c r="CI1243"/>
      <c r="CJ1243"/>
      <c r="CK1243"/>
      <c r="CL1243"/>
      <c r="CM1243"/>
    </row>
    <row r="1244" spans="1:91" x14ac:dyDescent="0.2">
      <c r="A1244"/>
      <c r="B1244"/>
      <c r="D1244"/>
      <c r="E1244"/>
      <c r="F1244"/>
      <c r="G1244"/>
      <c r="I1244"/>
      <c r="J1244"/>
      <c r="K1244"/>
      <c r="L1244" s="499"/>
      <c r="V1244" s="504"/>
      <c r="BX1244" s="769"/>
      <c r="BY1244" s="179"/>
      <c r="BZ1244" s="179"/>
      <c r="CA1244" s="179"/>
      <c r="CB1244" s="179"/>
      <c r="CC1244" s="179"/>
      <c r="CD1244" s="179"/>
      <c r="CE1244" s="179"/>
      <c r="CF1244" s="179"/>
      <c r="CG1244"/>
      <c r="CH1244"/>
      <c r="CI1244"/>
      <c r="CJ1244"/>
      <c r="CK1244"/>
      <c r="CL1244"/>
      <c r="CM1244"/>
    </row>
    <row r="1245" spans="1:91" x14ac:dyDescent="0.2">
      <c r="A1245"/>
      <c r="B1245"/>
      <c r="D1245"/>
      <c r="E1245"/>
      <c r="F1245"/>
      <c r="G1245"/>
      <c r="I1245"/>
      <c r="J1245"/>
      <c r="K1245"/>
      <c r="L1245" s="499"/>
      <c r="V1245" s="504"/>
      <c r="BX1245" s="769"/>
      <c r="BY1245" s="179"/>
      <c r="BZ1245" s="179"/>
      <c r="CA1245" s="179"/>
      <c r="CB1245" s="179"/>
      <c r="CC1245" s="179"/>
      <c r="CD1245" s="179"/>
      <c r="CE1245" s="179"/>
      <c r="CF1245" s="179"/>
      <c r="CG1245"/>
      <c r="CH1245"/>
      <c r="CI1245"/>
      <c r="CJ1245"/>
      <c r="CK1245"/>
      <c r="CL1245"/>
      <c r="CM1245"/>
    </row>
    <row r="1246" spans="1:91" x14ac:dyDescent="0.2">
      <c r="A1246"/>
      <c r="B1246"/>
      <c r="D1246"/>
      <c r="E1246"/>
      <c r="F1246"/>
      <c r="G1246"/>
      <c r="I1246"/>
      <c r="J1246"/>
      <c r="K1246"/>
      <c r="L1246" s="499"/>
      <c r="V1246" s="504"/>
      <c r="BX1246" s="769"/>
      <c r="BY1246" s="179"/>
      <c r="BZ1246" s="179"/>
      <c r="CA1246" s="179"/>
      <c r="CB1246" s="179"/>
      <c r="CC1246" s="179"/>
      <c r="CD1246" s="179"/>
      <c r="CE1246" s="179"/>
      <c r="CF1246" s="179"/>
      <c r="CG1246"/>
      <c r="CH1246"/>
      <c r="CI1246"/>
      <c r="CJ1246"/>
      <c r="CK1246"/>
      <c r="CL1246"/>
      <c r="CM1246"/>
    </row>
    <row r="1247" spans="1:91" x14ac:dyDescent="0.2">
      <c r="A1247"/>
      <c r="B1247"/>
      <c r="D1247"/>
      <c r="E1247"/>
      <c r="F1247"/>
      <c r="G1247"/>
      <c r="I1247"/>
      <c r="J1247"/>
      <c r="K1247"/>
      <c r="L1247" s="499"/>
      <c r="V1247" s="504"/>
      <c r="BX1247" s="769"/>
      <c r="BY1247" s="179"/>
      <c r="BZ1247" s="179"/>
      <c r="CA1247" s="179"/>
      <c r="CB1247" s="179"/>
      <c r="CC1247" s="179"/>
      <c r="CD1247" s="179"/>
      <c r="CE1247" s="179"/>
      <c r="CF1247" s="179"/>
      <c r="CG1247"/>
      <c r="CH1247"/>
      <c r="CI1247"/>
      <c r="CJ1247"/>
      <c r="CK1247"/>
      <c r="CL1247"/>
      <c r="CM1247"/>
    </row>
    <row r="1248" spans="1:91" x14ac:dyDescent="0.2">
      <c r="A1248"/>
      <c r="B1248"/>
      <c r="D1248"/>
      <c r="E1248"/>
      <c r="F1248"/>
      <c r="G1248"/>
      <c r="I1248"/>
      <c r="J1248"/>
      <c r="K1248"/>
      <c r="L1248" s="499"/>
      <c r="V1248" s="504"/>
      <c r="BX1248" s="769"/>
      <c r="BY1248" s="179"/>
      <c r="BZ1248" s="179"/>
      <c r="CA1248" s="179"/>
      <c r="CB1248" s="179"/>
      <c r="CC1248" s="179"/>
      <c r="CD1248" s="179"/>
      <c r="CE1248" s="179"/>
      <c r="CF1248" s="179"/>
      <c r="CG1248"/>
      <c r="CH1248"/>
      <c r="CI1248"/>
      <c r="CJ1248"/>
      <c r="CK1248"/>
      <c r="CL1248"/>
      <c r="CM1248"/>
    </row>
    <row r="1249" spans="1:91" x14ac:dyDescent="0.2">
      <c r="A1249"/>
      <c r="B1249"/>
      <c r="D1249"/>
      <c r="E1249"/>
      <c r="F1249"/>
      <c r="G1249"/>
      <c r="I1249"/>
      <c r="J1249"/>
      <c r="K1249"/>
      <c r="L1249" s="499"/>
      <c r="V1249" s="504"/>
      <c r="BX1249" s="769"/>
      <c r="BY1249" s="179"/>
      <c r="BZ1249" s="179"/>
      <c r="CA1249" s="179"/>
      <c r="CB1249" s="179"/>
      <c r="CC1249" s="179"/>
      <c r="CD1249" s="179"/>
      <c r="CE1249" s="179"/>
      <c r="CF1249" s="179"/>
      <c r="CG1249"/>
      <c r="CH1249"/>
      <c r="CI1249"/>
      <c r="CJ1249"/>
      <c r="CK1249"/>
      <c r="CL1249"/>
      <c r="CM1249"/>
    </row>
    <row r="1250" spans="1:91" x14ac:dyDescent="0.2">
      <c r="A1250"/>
      <c r="B1250"/>
      <c r="D1250"/>
      <c r="E1250"/>
      <c r="F1250"/>
      <c r="G1250"/>
      <c r="I1250"/>
      <c r="J1250"/>
      <c r="K1250"/>
      <c r="L1250" s="499"/>
      <c r="V1250" s="504"/>
      <c r="BX1250" s="769"/>
      <c r="BY1250" s="179"/>
      <c r="BZ1250" s="179"/>
      <c r="CA1250" s="179"/>
      <c r="CB1250" s="179"/>
      <c r="CC1250" s="179"/>
      <c r="CD1250" s="179"/>
      <c r="CE1250" s="179"/>
      <c r="CF1250" s="179"/>
      <c r="CG1250"/>
      <c r="CH1250"/>
      <c r="CI1250"/>
      <c r="CJ1250"/>
      <c r="CK1250"/>
      <c r="CL1250"/>
      <c r="CM1250"/>
    </row>
    <row r="1251" spans="1:91" x14ac:dyDescent="0.2">
      <c r="A1251"/>
      <c r="B1251"/>
      <c r="D1251"/>
      <c r="E1251"/>
      <c r="F1251"/>
      <c r="G1251"/>
      <c r="I1251"/>
      <c r="J1251"/>
      <c r="K1251"/>
      <c r="L1251" s="499"/>
      <c r="V1251" s="504"/>
      <c r="BX1251" s="769"/>
      <c r="BY1251" s="179"/>
      <c r="BZ1251" s="179"/>
      <c r="CA1251" s="179"/>
      <c r="CB1251" s="179"/>
      <c r="CC1251" s="179"/>
      <c r="CD1251" s="179"/>
      <c r="CE1251" s="179"/>
      <c r="CF1251" s="179"/>
      <c r="CG1251"/>
      <c r="CH1251"/>
      <c r="CI1251"/>
      <c r="CJ1251"/>
      <c r="CK1251"/>
      <c r="CL1251"/>
      <c r="CM1251"/>
    </row>
    <row r="1252" spans="1:91" x14ac:dyDescent="0.2">
      <c r="A1252"/>
      <c r="B1252"/>
      <c r="D1252"/>
      <c r="E1252"/>
      <c r="F1252"/>
      <c r="G1252"/>
      <c r="I1252"/>
      <c r="J1252"/>
      <c r="K1252"/>
      <c r="L1252" s="499"/>
      <c r="V1252" s="504"/>
      <c r="BX1252" s="769"/>
      <c r="BY1252" s="179"/>
      <c r="BZ1252" s="179"/>
      <c r="CA1252" s="179"/>
      <c r="CB1252" s="179"/>
      <c r="CC1252" s="179"/>
      <c r="CD1252" s="179"/>
      <c r="CE1252" s="179"/>
      <c r="CF1252" s="179"/>
      <c r="CG1252"/>
      <c r="CH1252"/>
      <c r="CI1252"/>
      <c r="CJ1252"/>
      <c r="CK1252"/>
      <c r="CL1252"/>
      <c r="CM1252"/>
    </row>
    <row r="1253" spans="1:91" x14ac:dyDescent="0.2">
      <c r="A1253"/>
      <c r="B1253"/>
      <c r="D1253"/>
      <c r="E1253"/>
      <c r="F1253"/>
      <c r="G1253"/>
      <c r="I1253"/>
      <c r="J1253"/>
      <c r="K1253"/>
      <c r="L1253" s="499"/>
      <c r="V1253" s="504"/>
      <c r="BX1253" s="769"/>
      <c r="BY1253" s="179"/>
      <c r="BZ1253" s="179"/>
      <c r="CA1253" s="179"/>
      <c r="CB1253" s="179"/>
      <c r="CC1253" s="179"/>
      <c r="CD1253" s="179"/>
      <c r="CE1253" s="179"/>
      <c r="CF1253" s="179"/>
      <c r="CG1253"/>
      <c r="CH1253"/>
      <c r="CI1253"/>
      <c r="CJ1253"/>
      <c r="CK1253"/>
      <c r="CL1253"/>
      <c r="CM1253"/>
    </row>
    <row r="1254" spans="1:91" x14ac:dyDescent="0.2">
      <c r="A1254"/>
      <c r="B1254"/>
      <c r="D1254"/>
      <c r="E1254"/>
      <c r="F1254"/>
      <c r="G1254"/>
      <c r="I1254"/>
      <c r="J1254"/>
      <c r="K1254"/>
      <c r="L1254" s="499"/>
      <c r="V1254" s="504"/>
      <c r="BX1254" s="769"/>
      <c r="BY1254" s="179"/>
      <c r="BZ1254" s="179"/>
      <c r="CA1254" s="179"/>
      <c r="CB1254" s="179"/>
      <c r="CC1254" s="179"/>
      <c r="CD1254" s="179"/>
      <c r="CE1254" s="179"/>
      <c r="CF1254" s="179"/>
      <c r="CG1254"/>
      <c r="CH1254"/>
      <c r="CI1254"/>
      <c r="CJ1254"/>
      <c r="CK1254"/>
      <c r="CL1254"/>
      <c r="CM1254"/>
    </row>
    <row r="1255" spans="1:91" x14ac:dyDescent="0.2">
      <c r="A1255"/>
      <c r="B1255"/>
      <c r="D1255"/>
      <c r="E1255"/>
      <c r="F1255"/>
      <c r="G1255"/>
      <c r="I1255"/>
      <c r="J1255"/>
      <c r="K1255"/>
      <c r="L1255" s="499"/>
      <c r="V1255" s="504"/>
      <c r="BX1255" s="769"/>
      <c r="BY1255" s="179"/>
      <c r="BZ1255" s="179"/>
      <c r="CA1255" s="179"/>
      <c r="CB1255" s="179"/>
      <c r="CC1255" s="179"/>
      <c r="CD1255" s="179"/>
      <c r="CE1255" s="179"/>
      <c r="CF1255" s="179"/>
      <c r="CG1255"/>
      <c r="CH1255"/>
      <c r="CI1255"/>
      <c r="CJ1255"/>
      <c r="CK1255"/>
      <c r="CL1255"/>
      <c r="CM1255"/>
    </row>
    <row r="1256" spans="1:91" x14ac:dyDescent="0.2">
      <c r="A1256"/>
      <c r="B1256"/>
      <c r="D1256"/>
      <c r="E1256"/>
      <c r="F1256"/>
      <c r="G1256"/>
      <c r="I1256"/>
      <c r="J1256"/>
      <c r="K1256"/>
      <c r="L1256" s="499"/>
      <c r="V1256" s="504"/>
      <c r="BX1256" s="769"/>
      <c r="BY1256" s="179"/>
      <c r="BZ1256" s="179"/>
      <c r="CA1256" s="179"/>
      <c r="CB1256" s="179"/>
      <c r="CC1256" s="179"/>
      <c r="CD1256" s="179"/>
      <c r="CE1256" s="179"/>
      <c r="CF1256" s="179"/>
      <c r="CG1256"/>
      <c r="CH1256"/>
      <c r="CI1256"/>
      <c r="CJ1256"/>
      <c r="CK1256"/>
      <c r="CL1256"/>
      <c r="CM1256"/>
    </row>
    <row r="1257" spans="1:91" x14ac:dyDescent="0.2">
      <c r="A1257"/>
      <c r="B1257"/>
      <c r="D1257"/>
      <c r="E1257"/>
      <c r="F1257"/>
      <c r="G1257"/>
      <c r="I1257"/>
      <c r="J1257"/>
      <c r="K1257"/>
      <c r="L1257" s="499"/>
      <c r="V1257" s="504"/>
      <c r="BX1257" s="769"/>
      <c r="BY1257" s="179"/>
      <c r="BZ1257" s="179"/>
      <c r="CA1257" s="179"/>
      <c r="CB1257" s="179"/>
      <c r="CC1257" s="179"/>
      <c r="CD1257" s="179"/>
      <c r="CE1257" s="179"/>
      <c r="CF1257" s="179"/>
      <c r="CG1257"/>
      <c r="CH1257"/>
      <c r="CI1257"/>
      <c r="CJ1257"/>
      <c r="CK1257"/>
      <c r="CL1257"/>
      <c r="CM1257"/>
    </row>
    <row r="1258" spans="1:91" x14ac:dyDescent="0.2">
      <c r="A1258"/>
      <c r="B1258"/>
      <c r="D1258"/>
      <c r="E1258"/>
      <c r="F1258"/>
      <c r="G1258"/>
      <c r="I1258"/>
      <c r="J1258"/>
      <c r="K1258"/>
      <c r="L1258" s="499"/>
      <c r="V1258" s="504"/>
      <c r="BX1258" s="769"/>
      <c r="BY1258" s="179"/>
      <c r="BZ1258" s="179"/>
      <c r="CA1258" s="179"/>
      <c r="CB1258" s="179"/>
      <c r="CC1258" s="179"/>
      <c r="CD1258" s="179"/>
      <c r="CE1258" s="179"/>
      <c r="CF1258" s="179"/>
      <c r="CG1258"/>
      <c r="CH1258"/>
      <c r="CI1258"/>
      <c r="CJ1258"/>
      <c r="CK1258"/>
      <c r="CL1258"/>
      <c r="CM1258"/>
    </row>
    <row r="1259" spans="1:91" x14ac:dyDescent="0.2">
      <c r="A1259"/>
      <c r="B1259"/>
      <c r="D1259"/>
      <c r="E1259"/>
      <c r="F1259"/>
      <c r="G1259"/>
      <c r="I1259"/>
      <c r="J1259"/>
      <c r="K1259"/>
      <c r="L1259" s="499"/>
      <c r="V1259" s="504"/>
      <c r="BX1259" s="769"/>
      <c r="BY1259" s="179"/>
      <c r="BZ1259" s="179"/>
      <c r="CA1259" s="179"/>
      <c r="CB1259" s="179"/>
      <c r="CC1259" s="179"/>
      <c r="CD1259" s="179"/>
      <c r="CE1259" s="179"/>
      <c r="CF1259" s="179"/>
      <c r="CG1259"/>
      <c r="CH1259"/>
      <c r="CI1259"/>
      <c r="CJ1259"/>
      <c r="CK1259"/>
      <c r="CL1259"/>
      <c r="CM1259"/>
    </row>
    <row r="1260" spans="1:91" x14ac:dyDescent="0.2">
      <c r="A1260"/>
      <c r="B1260"/>
      <c r="D1260"/>
      <c r="E1260"/>
      <c r="F1260"/>
      <c r="G1260"/>
      <c r="I1260"/>
      <c r="J1260"/>
      <c r="K1260"/>
      <c r="L1260" s="499"/>
      <c r="V1260" s="504"/>
      <c r="BX1260" s="769"/>
      <c r="BY1260" s="179"/>
      <c r="BZ1260" s="179"/>
      <c r="CA1260" s="179"/>
      <c r="CB1260" s="179"/>
      <c r="CC1260" s="179"/>
      <c r="CD1260" s="179"/>
      <c r="CE1260" s="179"/>
      <c r="CF1260" s="179"/>
      <c r="CG1260"/>
      <c r="CH1260"/>
      <c r="CI1260"/>
      <c r="CJ1260"/>
      <c r="CK1260"/>
      <c r="CL1260"/>
      <c r="CM1260"/>
    </row>
    <row r="1261" spans="1:91" x14ac:dyDescent="0.2">
      <c r="A1261"/>
      <c r="B1261"/>
      <c r="D1261"/>
      <c r="E1261"/>
      <c r="F1261"/>
      <c r="G1261"/>
      <c r="I1261"/>
      <c r="J1261"/>
      <c r="K1261"/>
      <c r="L1261" s="499"/>
      <c r="V1261" s="504"/>
      <c r="BX1261" s="769"/>
      <c r="BY1261" s="179"/>
      <c r="BZ1261" s="179"/>
      <c r="CA1261" s="179"/>
      <c r="CB1261" s="179"/>
      <c r="CC1261" s="179"/>
      <c r="CD1261" s="179"/>
      <c r="CE1261" s="179"/>
      <c r="CF1261" s="179"/>
      <c r="CG1261"/>
      <c r="CH1261"/>
      <c r="CI1261"/>
      <c r="CJ1261"/>
      <c r="CK1261"/>
      <c r="CL1261"/>
      <c r="CM1261"/>
    </row>
    <row r="1262" spans="1:91" x14ac:dyDescent="0.2">
      <c r="A1262"/>
      <c r="B1262"/>
      <c r="D1262"/>
      <c r="E1262"/>
      <c r="F1262"/>
      <c r="G1262"/>
      <c r="I1262"/>
      <c r="J1262"/>
      <c r="K1262"/>
      <c r="L1262" s="499"/>
      <c r="V1262" s="504"/>
      <c r="BX1262" s="769"/>
      <c r="BY1262" s="179"/>
      <c r="BZ1262" s="179"/>
      <c r="CA1262" s="179"/>
      <c r="CB1262" s="179"/>
      <c r="CC1262" s="179"/>
      <c r="CD1262" s="179"/>
      <c r="CE1262" s="179"/>
      <c r="CF1262" s="179"/>
      <c r="CG1262"/>
      <c r="CH1262"/>
      <c r="CI1262"/>
      <c r="CJ1262"/>
      <c r="CK1262"/>
      <c r="CL1262"/>
      <c r="CM1262"/>
    </row>
    <row r="1263" spans="1:91" x14ac:dyDescent="0.2">
      <c r="A1263"/>
      <c r="B1263"/>
      <c r="D1263"/>
      <c r="E1263"/>
      <c r="F1263"/>
      <c r="G1263"/>
      <c r="I1263"/>
      <c r="J1263"/>
      <c r="K1263"/>
      <c r="L1263" s="499"/>
      <c r="V1263" s="504"/>
      <c r="BX1263" s="769"/>
      <c r="BY1263" s="179"/>
      <c r="BZ1263" s="179"/>
      <c r="CA1263" s="179"/>
      <c r="CB1263" s="179"/>
      <c r="CC1263" s="179"/>
      <c r="CD1263" s="179"/>
      <c r="CE1263" s="179"/>
      <c r="CF1263" s="179"/>
      <c r="CG1263"/>
      <c r="CH1263"/>
      <c r="CI1263"/>
      <c r="CJ1263"/>
      <c r="CK1263"/>
      <c r="CL1263"/>
      <c r="CM1263"/>
    </row>
    <row r="1264" spans="1:91" x14ac:dyDescent="0.2">
      <c r="A1264"/>
      <c r="B1264"/>
      <c r="D1264"/>
      <c r="E1264"/>
      <c r="F1264"/>
      <c r="G1264"/>
      <c r="I1264"/>
      <c r="J1264"/>
      <c r="K1264"/>
      <c r="L1264" s="499"/>
      <c r="V1264" s="504"/>
      <c r="BX1264" s="769"/>
      <c r="BY1264" s="179"/>
      <c r="BZ1264" s="179"/>
      <c r="CA1264" s="179"/>
      <c r="CB1264" s="179"/>
      <c r="CC1264" s="179"/>
      <c r="CD1264" s="179"/>
      <c r="CE1264" s="179"/>
      <c r="CF1264" s="179"/>
      <c r="CG1264"/>
      <c r="CH1264"/>
      <c r="CI1264"/>
      <c r="CJ1264"/>
      <c r="CK1264"/>
      <c r="CL1264"/>
      <c r="CM1264"/>
    </row>
    <row r="1265" spans="1:91" x14ac:dyDescent="0.2">
      <c r="A1265"/>
      <c r="B1265"/>
      <c r="D1265"/>
      <c r="E1265"/>
      <c r="F1265"/>
      <c r="G1265"/>
      <c r="I1265"/>
      <c r="J1265"/>
      <c r="K1265"/>
      <c r="L1265" s="499"/>
      <c r="V1265" s="504"/>
      <c r="BX1265" s="769"/>
      <c r="BY1265" s="179"/>
      <c r="BZ1265" s="179"/>
      <c r="CA1265" s="179"/>
      <c r="CB1265" s="179"/>
      <c r="CC1265" s="179"/>
      <c r="CD1265" s="179"/>
      <c r="CE1265" s="179"/>
      <c r="CF1265" s="179"/>
      <c r="CG1265"/>
      <c r="CH1265"/>
      <c r="CI1265"/>
      <c r="CJ1265"/>
      <c r="CK1265"/>
      <c r="CL1265"/>
      <c r="CM1265"/>
    </row>
    <row r="1266" spans="1:91" x14ac:dyDescent="0.2">
      <c r="A1266"/>
      <c r="B1266"/>
      <c r="D1266"/>
      <c r="E1266"/>
      <c r="F1266"/>
      <c r="G1266"/>
      <c r="I1266"/>
      <c r="J1266"/>
      <c r="K1266"/>
      <c r="L1266" s="499"/>
      <c r="V1266" s="504"/>
      <c r="BX1266" s="769"/>
      <c r="BY1266" s="179"/>
      <c r="BZ1266" s="179"/>
      <c r="CA1266" s="179"/>
      <c r="CB1266" s="179"/>
      <c r="CC1266" s="179"/>
      <c r="CD1266" s="179"/>
      <c r="CE1266" s="179"/>
      <c r="CF1266" s="179"/>
      <c r="CG1266"/>
      <c r="CH1266"/>
      <c r="CI1266"/>
      <c r="CJ1266"/>
      <c r="CK1266"/>
      <c r="CL1266"/>
      <c r="CM1266"/>
    </row>
    <row r="1267" spans="1:91" x14ac:dyDescent="0.2">
      <c r="A1267"/>
      <c r="B1267"/>
      <c r="D1267"/>
      <c r="E1267"/>
      <c r="F1267"/>
      <c r="G1267"/>
      <c r="I1267"/>
      <c r="J1267"/>
      <c r="K1267"/>
      <c r="L1267" s="499"/>
      <c r="V1267" s="504"/>
      <c r="BX1267" s="769"/>
      <c r="BY1267" s="179"/>
      <c r="BZ1267" s="179"/>
      <c r="CA1267" s="179"/>
      <c r="CB1267" s="179"/>
      <c r="CC1267" s="179"/>
      <c r="CD1267" s="179"/>
      <c r="CE1267" s="179"/>
      <c r="CF1267" s="179"/>
      <c r="CG1267"/>
      <c r="CH1267"/>
      <c r="CI1267"/>
      <c r="CJ1267"/>
      <c r="CK1267"/>
      <c r="CL1267"/>
      <c r="CM1267"/>
    </row>
    <row r="1268" spans="1:91" x14ac:dyDescent="0.2">
      <c r="A1268"/>
      <c r="B1268"/>
      <c r="D1268"/>
      <c r="E1268"/>
      <c r="F1268"/>
      <c r="G1268"/>
      <c r="I1268"/>
      <c r="J1268"/>
      <c r="K1268"/>
      <c r="L1268" s="499"/>
      <c r="V1268" s="504"/>
      <c r="BX1268" s="769"/>
      <c r="BY1268" s="179"/>
      <c r="BZ1268" s="179"/>
      <c r="CA1268" s="179"/>
      <c r="CB1268" s="179"/>
      <c r="CC1268" s="179"/>
      <c r="CD1268" s="179"/>
      <c r="CE1268" s="179"/>
      <c r="CF1268" s="179"/>
      <c r="CG1268"/>
      <c r="CH1268"/>
      <c r="CI1268"/>
      <c r="CJ1268"/>
      <c r="CK1268"/>
      <c r="CL1268"/>
      <c r="CM1268"/>
    </row>
    <row r="1269" spans="1:91" x14ac:dyDescent="0.2">
      <c r="A1269"/>
      <c r="B1269"/>
      <c r="D1269"/>
      <c r="E1269"/>
      <c r="F1269"/>
      <c r="G1269"/>
      <c r="I1269"/>
      <c r="J1269"/>
      <c r="K1269"/>
      <c r="L1269" s="499"/>
      <c r="V1269" s="504"/>
      <c r="BX1269" s="769"/>
      <c r="BY1269" s="179"/>
      <c r="BZ1269" s="179"/>
      <c r="CA1269" s="179"/>
      <c r="CB1269" s="179"/>
      <c r="CC1269" s="179"/>
      <c r="CD1269" s="179"/>
      <c r="CE1269" s="179"/>
      <c r="CF1269" s="179"/>
      <c r="CG1269"/>
      <c r="CH1269"/>
      <c r="CI1269"/>
      <c r="CJ1269"/>
      <c r="CK1269"/>
      <c r="CL1269"/>
      <c r="CM1269"/>
    </row>
    <row r="1270" spans="1:91" x14ac:dyDescent="0.2">
      <c r="A1270"/>
      <c r="B1270"/>
      <c r="D1270"/>
      <c r="E1270"/>
      <c r="F1270"/>
      <c r="G1270"/>
      <c r="I1270"/>
      <c r="J1270"/>
      <c r="K1270"/>
      <c r="L1270" s="499"/>
      <c r="V1270" s="504"/>
      <c r="BX1270" s="769"/>
      <c r="BY1270" s="179"/>
      <c r="BZ1270" s="179"/>
      <c r="CA1270" s="179"/>
      <c r="CB1270" s="179"/>
      <c r="CC1270" s="179"/>
      <c r="CD1270" s="179"/>
      <c r="CE1270" s="179"/>
      <c r="CF1270" s="179"/>
      <c r="CG1270"/>
      <c r="CH1270"/>
      <c r="CI1270"/>
      <c r="CJ1270"/>
      <c r="CK1270"/>
      <c r="CL1270"/>
      <c r="CM1270"/>
    </row>
    <row r="1271" spans="1:91" x14ac:dyDescent="0.2">
      <c r="A1271"/>
      <c r="B1271"/>
      <c r="D1271"/>
      <c r="E1271"/>
      <c r="F1271"/>
      <c r="G1271"/>
      <c r="I1271"/>
      <c r="J1271"/>
      <c r="K1271"/>
      <c r="L1271" s="499"/>
      <c r="V1271" s="504"/>
      <c r="BX1271" s="769"/>
      <c r="BY1271" s="179"/>
      <c r="BZ1271" s="179"/>
      <c r="CA1271" s="179"/>
      <c r="CB1271" s="179"/>
      <c r="CC1271" s="179"/>
      <c r="CD1271" s="179"/>
      <c r="CE1271" s="179"/>
      <c r="CF1271" s="179"/>
      <c r="CG1271"/>
      <c r="CH1271"/>
      <c r="CI1271"/>
      <c r="CJ1271"/>
      <c r="CK1271"/>
      <c r="CL1271"/>
      <c r="CM1271"/>
    </row>
    <row r="1272" spans="1:91" x14ac:dyDescent="0.2">
      <c r="A1272"/>
      <c r="B1272"/>
      <c r="D1272"/>
      <c r="E1272"/>
      <c r="F1272"/>
      <c r="G1272"/>
      <c r="I1272"/>
      <c r="J1272"/>
      <c r="K1272"/>
      <c r="L1272" s="499"/>
      <c r="V1272" s="504"/>
      <c r="BX1272" s="769"/>
      <c r="BY1272" s="179"/>
      <c r="BZ1272" s="179"/>
      <c r="CA1272" s="179"/>
      <c r="CB1272" s="179"/>
      <c r="CC1272" s="179"/>
      <c r="CD1272" s="179"/>
      <c r="CE1272" s="179"/>
      <c r="CF1272" s="179"/>
      <c r="CG1272"/>
      <c r="CH1272"/>
      <c r="CI1272"/>
      <c r="CJ1272"/>
      <c r="CK1272"/>
      <c r="CL1272"/>
      <c r="CM1272"/>
    </row>
    <row r="1273" spans="1:91" x14ac:dyDescent="0.2">
      <c r="A1273"/>
      <c r="B1273"/>
      <c r="D1273"/>
      <c r="E1273"/>
      <c r="F1273"/>
      <c r="G1273"/>
      <c r="I1273"/>
      <c r="J1273"/>
      <c r="K1273"/>
      <c r="L1273" s="499"/>
      <c r="V1273" s="504"/>
      <c r="BX1273" s="769"/>
      <c r="BY1273" s="179"/>
      <c r="BZ1273" s="179"/>
      <c r="CA1273" s="179"/>
      <c r="CB1273" s="179"/>
      <c r="CC1273" s="179"/>
      <c r="CD1273" s="179"/>
      <c r="CE1273" s="179"/>
      <c r="CF1273" s="179"/>
      <c r="CG1273"/>
      <c r="CH1273"/>
      <c r="CI1273"/>
      <c r="CJ1273"/>
      <c r="CK1273"/>
      <c r="CL1273"/>
      <c r="CM1273"/>
    </row>
    <row r="1274" spans="1:91" x14ac:dyDescent="0.2">
      <c r="A1274"/>
      <c r="B1274"/>
      <c r="D1274"/>
      <c r="E1274"/>
      <c r="F1274"/>
      <c r="G1274"/>
      <c r="I1274"/>
      <c r="J1274"/>
      <c r="K1274"/>
      <c r="L1274" s="499"/>
      <c r="V1274" s="504"/>
      <c r="BX1274" s="769"/>
      <c r="BY1274" s="179"/>
      <c r="BZ1274" s="179"/>
      <c r="CA1274" s="179"/>
      <c r="CB1274" s="179"/>
      <c r="CC1274" s="179"/>
      <c r="CD1274" s="179"/>
      <c r="CE1274" s="179"/>
      <c r="CF1274" s="179"/>
      <c r="CG1274"/>
      <c r="CH1274"/>
      <c r="CI1274"/>
      <c r="CJ1274"/>
      <c r="CK1274"/>
      <c r="CL1274"/>
      <c r="CM1274"/>
    </row>
    <row r="1275" spans="1:91" x14ac:dyDescent="0.2">
      <c r="A1275"/>
      <c r="B1275"/>
      <c r="D1275"/>
      <c r="E1275"/>
      <c r="F1275"/>
      <c r="G1275"/>
      <c r="I1275"/>
      <c r="J1275"/>
      <c r="K1275"/>
      <c r="L1275" s="499"/>
      <c r="V1275" s="504"/>
      <c r="BX1275" s="769"/>
      <c r="BY1275" s="179"/>
      <c r="BZ1275" s="179"/>
      <c r="CA1275" s="179"/>
      <c r="CB1275" s="179"/>
      <c r="CC1275" s="179"/>
      <c r="CD1275" s="179"/>
      <c r="CE1275" s="179"/>
      <c r="CF1275" s="179"/>
      <c r="CG1275"/>
      <c r="CH1275"/>
      <c r="CI1275"/>
      <c r="CJ1275"/>
      <c r="CK1275"/>
      <c r="CL1275"/>
      <c r="CM1275"/>
    </row>
    <row r="1276" spans="1:91" x14ac:dyDescent="0.2">
      <c r="A1276"/>
      <c r="B1276"/>
      <c r="D1276"/>
      <c r="E1276"/>
      <c r="F1276"/>
      <c r="G1276"/>
      <c r="I1276"/>
      <c r="J1276"/>
      <c r="K1276"/>
      <c r="L1276" s="499"/>
      <c r="V1276" s="504"/>
      <c r="BX1276" s="769"/>
      <c r="BY1276" s="179"/>
      <c r="BZ1276" s="179"/>
      <c r="CA1276" s="179"/>
      <c r="CB1276" s="179"/>
      <c r="CC1276" s="179"/>
      <c r="CD1276" s="179"/>
      <c r="CE1276" s="179"/>
      <c r="CF1276" s="179"/>
      <c r="CG1276"/>
      <c r="CH1276"/>
      <c r="CI1276"/>
      <c r="CJ1276"/>
      <c r="CK1276"/>
      <c r="CL1276"/>
      <c r="CM1276"/>
    </row>
    <row r="1277" spans="1:91" x14ac:dyDescent="0.2">
      <c r="A1277"/>
      <c r="B1277"/>
      <c r="D1277"/>
      <c r="E1277"/>
      <c r="F1277"/>
      <c r="G1277"/>
      <c r="I1277"/>
      <c r="J1277"/>
      <c r="K1277"/>
      <c r="L1277" s="499"/>
      <c r="V1277" s="504"/>
      <c r="BX1277" s="769"/>
      <c r="BY1277" s="179"/>
      <c r="BZ1277" s="179"/>
      <c r="CA1277" s="179"/>
      <c r="CB1277" s="179"/>
      <c r="CC1277" s="179"/>
      <c r="CD1277" s="179"/>
      <c r="CE1277" s="179"/>
      <c r="CF1277" s="179"/>
      <c r="CG1277"/>
      <c r="CH1277"/>
      <c r="CI1277"/>
      <c r="CJ1277"/>
      <c r="CK1277"/>
      <c r="CL1277"/>
      <c r="CM1277"/>
    </row>
    <row r="1278" spans="1:91" x14ac:dyDescent="0.2">
      <c r="A1278"/>
      <c r="B1278"/>
      <c r="D1278"/>
      <c r="E1278"/>
      <c r="F1278"/>
      <c r="G1278"/>
      <c r="I1278"/>
      <c r="J1278"/>
      <c r="K1278"/>
      <c r="L1278" s="499"/>
      <c r="V1278" s="504"/>
      <c r="BX1278" s="769"/>
      <c r="BY1278" s="179"/>
      <c r="BZ1278" s="179"/>
      <c r="CA1278" s="179"/>
      <c r="CB1278" s="179"/>
      <c r="CC1278" s="179"/>
      <c r="CD1278" s="179"/>
      <c r="CE1278" s="179"/>
      <c r="CF1278" s="179"/>
      <c r="CG1278"/>
      <c r="CH1278"/>
      <c r="CI1278"/>
      <c r="CJ1278"/>
      <c r="CK1278"/>
      <c r="CL1278"/>
      <c r="CM1278"/>
    </row>
    <row r="1279" spans="1:91" x14ac:dyDescent="0.2">
      <c r="A1279"/>
      <c r="B1279"/>
      <c r="D1279"/>
      <c r="E1279"/>
      <c r="F1279"/>
      <c r="G1279"/>
      <c r="I1279"/>
      <c r="J1279"/>
      <c r="K1279"/>
      <c r="L1279" s="499"/>
      <c r="V1279" s="504"/>
      <c r="BX1279" s="769"/>
      <c r="BY1279" s="179"/>
      <c r="BZ1279" s="179"/>
      <c r="CA1279" s="179"/>
      <c r="CB1279" s="179"/>
      <c r="CC1279" s="179"/>
      <c r="CD1279" s="179"/>
      <c r="CE1279" s="179"/>
      <c r="CF1279" s="179"/>
      <c r="CG1279"/>
      <c r="CH1279"/>
      <c r="CI1279"/>
      <c r="CJ1279"/>
      <c r="CK1279"/>
      <c r="CL1279"/>
      <c r="CM1279"/>
    </row>
    <row r="1280" spans="1:91" x14ac:dyDescent="0.2">
      <c r="A1280"/>
      <c r="B1280"/>
      <c r="D1280"/>
      <c r="E1280"/>
      <c r="F1280"/>
      <c r="G1280"/>
      <c r="I1280"/>
      <c r="J1280"/>
      <c r="K1280"/>
      <c r="L1280" s="499"/>
      <c r="V1280" s="504"/>
      <c r="BX1280" s="769"/>
      <c r="BY1280" s="179"/>
      <c r="BZ1280" s="179"/>
      <c r="CA1280" s="179"/>
      <c r="CB1280" s="179"/>
      <c r="CC1280" s="179"/>
      <c r="CD1280" s="179"/>
      <c r="CE1280" s="179"/>
      <c r="CF1280" s="179"/>
      <c r="CG1280"/>
      <c r="CH1280"/>
      <c r="CI1280"/>
      <c r="CJ1280"/>
      <c r="CK1280"/>
      <c r="CL1280"/>
      <c r="CM1280"/>
    </row>
    <row r="1281" spans="1:91" x14ac:dyDescent="0.2">
      <c r="A1281"/>
      <c r="B1281"/>
      <c r="D1281"/>
      <c r="E1281"/>
      <c r="F1281"/>
      <c r="G1281"/>
      <c r="I1281"/>
      <c r="J1281"/>
      <c r="K1281"/>
      <c r="L1281" s="499"/>
      <c r="V1281" s="504"/>
      <c r="BX1281" s="769"/>
      <c r="BY1281" s="179"/>
      <c r="BZ1281" s="179"/>
      <c r="CA1281" s="179"/>
      <c r="CB1281" s="179"/>
      <c r="CC1281" s="179"/>
      <c r="CD1281" s="179"/>
      <c r="CE1281" s="179"/>
      <c r="CF1281" s="179"/>
      <c r="CG1281"/>
      <c r="CH1281"/>
      <c r="CI1281"/>
      <c r="CJ1281"/>
      <c r="CK1281"/>
      <c r="CL1281"/>
      <c r="CM1281"/>
    </row>
    <row r="1282" spans="1:91" x14ac:dyDescent="0.2">
      <c r="A1282"/>
      <c r="B1282"/>
      <c r="D1282"/>
      <c r="E1282"/>
      <c r="F1282"/>
      <c r="G1282"/>
      <c r="I1282"/>
      <c r="J1282"/>
      <c r="K1282"/>
      <c r="L1282" s="499"/>
      <c r="V1282" s="504"/>
      <c r="BX1282" s="769"/>
      <c r="BY1282" s="179"/>
      <c r="BZ1282" s="179"/>
      <c r="CA1282" s="179"/>
      <c r="CB1282" s="179"/>
      <c r="CC1282" s="179"/>
      <c r="CD1282" s="179"/>
      <c r="CE1282" s="179"/>
      <c r="CF1282" s="179"/>
      <c r="CG1282"/>
      <c r="CH1282"/>
      <c r="CI1282"/>
      <c r="CJ1282"/>
      <c r="CK1282"/>
      <c r="CL1282"/>
      <c r="CM1282"/>
    </row>
    <row r="1283" spans="1:91" x14ac:dyDescent="0.2">
      <c r="A1283"/>
      <c r="B1283"/>
      <c r="D1283"/>
      <c r="E1283"/>
      <c r="F1283"/>
      <c r="G1283"/>
      <c r="I1283"/>
      <c r="J1283"/>
      <c r="K1283"/>
      <c r="L1283" s="499"/>
      <c r="V1283" s="504"/>
      <c r="BX1283" s="769"/>
      <c r="BY1283" s="179"/>
      <c r="BZ1283" s="179"/>
      <c r="CA1283" s="179"/>
      <c r="CB1283" s="179"/>
      <c r="CC1283" s="179"/>
      <c r="CD1283" s="179"/>
      <c r="CE1283" s="179"/>
      <c r="CF1283" s="179"/>
      <c r="CG1283"/>
      <c r="CH1283"/>
      <c r="CI1283"/>
      <c r="CJ1283"/>
      <c r="CK1283"/>
      <c r="CL1283"/>
      <c r="CM1283"/>
    </row>
    <row r="1284" spans="1:91" x14ac:dyDescent="0.2">
      <c r="A1284"/>
      <c r="B1284"/>
      <c r="D1284"/>
      <c r="E1284"/>
      <c r="F1284"/>
      <c r="G1284"/>
      <c r="I1284"/>
      <c r="J1284"/>
      <c r="K1284"/>
      <c r="L1284" s="499"/>
      <c r="V1284" s="504"/>
      <c r="BX1284" s="769"/>
      <c r="BY1284" s="179"/>
      <c r="BZ1284" s="179"/>
      <c r="CA1284" s="179"/>
      <c r="CB1284" s="179"/>
      <c r="CC1284" s="179"/>
      <c r="CD1284" s="179"/>
      <c r="CE1284" s="179"/>
      <c r="CF1284" s="179"/>
      <c r="CG1284"/>
      <c r="CH1284"/>
      <c r="CI1284"/>
      <c r="CJ1284"/>
      <c r="CK1284"/>
      <c r="CL1284"/>
      <c r="CM1284"/>
    </row>
    <row r="1285" spans="1:91" x14ac:dyDescent="0.2">
      <c r="A1285"/>
      <c r="B1285"/>
      <c r="D1285"/>
      <c r="E1285"/>
      <c r="F1285"/>
      <c r="G1285"/>
      <c r="I1285"/>
      <c r="J1285"/>
      <c r="K1285"/>
      <c r="L1285" s="499"/>
      <c r="V1285" s="504"/>
      <c r="BX1285" s="769"/>
      <c r="BY1285" s="179"/>
      <c r="BZ1285" s="179"/>
      <c r="CA1285" s="179"/>
      <c r="CB1285" s="179"/>
      <c r="CC1285" s="179"/>
      <c r="CD1285" s="179"/>
      <c r="CE1285" s="179"/>
      <c r="CF1285" s="179"/>
      <c r="CG1285"/>
      <c r="CH1285"/>
      <c r="CI1285"/>
      <c r="CJ1285"/>
      <c r="CK1285"/>
      <c r="CL1285"/>
      <c r="CM1285"/>
    </row>
    <row r="1286" spans="1:91" x14ac:dyDescent="0.2">
      <c r="A1286"/>
      <c r="B1286"/>
      <c r="D1286"/>
      <c r="E1286"/>
      <c r="F1286"/>
      <c r="G1286"/>
      <c r="I1286"/>
      <c r="J1286"/>
      <c r="K1286"/>
      <c r="L1286" s="499"/>
      <c r="V1286" s="504"/>
      <c r="BX1286" s="769"/>
      <c r="BY1286" s="179"/>
      <c r="BZ1286" s="179"/>
      <c r="CA1286" s="179"/>
      <c r="CB1286" s="179"/>
      <c r="CC1286" s="179"/>
      <c r="CD1286" s="179"/>
      <c r="CE1286" s="179"/>
      <c r="CF1286" s="179"/>
      <c r="CG1286"/>
      <c r="CH1286"/>
      <c r="CI1286"/>
      <c r="CJ1286"/>
      <c r="CK1286"/>
      <c r="CL1286"/>
      <c r="CM1286"/>
    </row>
    <row r="1287" spans="1:91" x14ac:dyDescent="0.2">
      <c r="A1287"/>
      <c r="B1287"/>
      <c r="D1287"/>
      <c r="E1287"/>
      <c r="F1287"/>
      <c r="G1287"/>
      <c r="I1287"/>
      <c r="J1287"/>
      <c r="K1287"/>
      <c r="L1287" s="499"/>
      <c r="V1287" s="504"/>
      <c r="BX1287" s="769"/>
      <c r="BY1287" s="179"/>
      <c r="BZ1287" s="179"/>
      <c r="CA1287" s="179"/>
      <c r="CB1287" s="179"/>
      <c r="CC1287" s="179"/>
      <c r="CD1287" s="179"/>
      <c r="CE1287" s="179"/>
      <c r="CF1287" s="179"/>
      <c r="CG1287"/>
      <c r="CH1287"/>
      <c r="CI1287"/>
      <c r="CJ1287"/>
      <c r="CK1287"/>
      <c r="CL1287"/>
      <c r="CM1287"/>
    </row>
    <row r="1288" spans="1:91" x14ac:dyDescent="0.2">
      <c r="A1288"/>
      <c r="B1288"/>
      <c r="D1288"/>
      <c r="E1288"/>
      <c r="F1288"/>
      <c r="G1288"/>
      <c r="I1288"/>
      <c r="J1288"/>
      <c r="K1288"/>
      <c r="L1288" s="499"/>
      <c r="V1288" s="504"/>
      <c r="BX1288" s="769"/>
      <c r="BY1288" s="179"/>
      <c r="BZ1288" s="179"/>
      <c r="CA1288" s="179"/>
      <c r="CB1288" s="179"/>
      <c r="CC1288" s="179"/>
      <c r="CD1288" s="179"/>
      <c r="CE1288" s="179"/>
      <c r="CF1288" s="179"/>
      <c r="CG1288"/>
      <c r="CH1288"/>
      <c r="CI1288"/>
      <c r="CJ1288"/>
      <c r="CK1288"/>
      <c r="CL1288"/>
      <c r="CM1288"/>
    </row>
    <row r="1289" spans="1:91" x14ac:dyDescent="0.2">
      <c r="A1289"/>
      <c r="B1289"/>
      <c r="D1289"/>
      <c r="E1289"/>
      <c r="F1289"/>
      <c r="G1289"/>
      <c r="I1289"/>
      <c r="J1289"/>
      <c r="K1289"/>
      <c r="L1289" s="499"/>
      <c r="V1289" s="504"/>
      <c r="BX1289" s="769"/>
      <c r="BY1289" s="179"/>
      <c r="BZ1289" s="179"/>
      <c r="CA1289" s="179"/>
      <c r="CB1289" s="179"/>
      <c r="CC1289" s="179"/>
      <c r="CD1289" s="179"/>
      <c r="CE1289" s="179"/>
      <c r="CF1289" s="179"/>
      <c r="CG1289"/>
      <c r="CH1289"/>
      <c r="CI1289"/>
      <c r="CJ1289"/>
      <c r="CK1289"/>
      <c r="CL1289"/>
      <c r="CM1289"/>
    </row>
    <row r="1290" spans="1:91" x14ac:dyDescent="0.2">
      <c r="A1290"/>
      <c r="B1290"/>
      <c r="D1290"/>
      <c r="E1290"/>
      <c r="F1290"/>
      <c r="G1290"/>
      <c r="I1290"/>
      <c r="J1290"/>
      <c r="K1290"/>
      <c r="L1290" s="499"/>
      <c r="V1290" s="504"/>
      <c r="BX1290" s="769"/>
      <c r="BY1290" s="179"/>
      <c r="BZ1290" s="179"/>
      <c r="CA1290" s="179"/>
      <c r="CB1290" s="179"/>
      <c r="CC1290" s="179"/>
      <c r="CD1290" s="179"/>
      <c r="CE1290" s="179"/>
      <c r="CF1290" s="179"/>
      <c r="CG1290"/>
      <c r="CH1290"/>
      <c r="CI1290"/>
      <c r="CJ1290"/>
      <c r="CK1290"/>
      <c r="CL1290"/>
      <c r="CM1290"/>
    </row>
    <row r="1291" spans="1:91" x14ac:dyDescent="0.2">
      <c r="A1291"/>
      <c r="B1291"/>
      <c r="D1291"/>
      <c r="E1291"/>
      <c r="F1291"/>
      <c r="G1291"/>
      <c r="I1291"/>
      <c r="J1291"/>
      <c r="K1291"/>
      <c r="L1291" s="499"/>
      <c r="V1291" s="504"/>
      <c r="BX1291" s="769"/>
      <c r="BY1291" s="179"/>
      <c r="BZ1291" s="179"/>
      <c r="CA1291" s="179"/>
      <c r="CB1291" s="179"/>
      <c r="CC1291" s="179"/>
      <c r="CD1291" s="179"/>
      <c r="CE1291" s="179"/>
      <c r="CF1291" s="179"/>
      <c r="CG1291"/>
      <c r="CH1291"/>
      <c r="CI1291"/>
      <c r="CJ1291"/>
      <c r="CK1291"/>
      <c r="CL1291"/>
      <c r="CM1291"/>
    </row>
    <row r="1292" spans="1:91" x14ac:dyDescent="0.2">
      <c r="A1292"/>
      <c r="B1292"/>
      <c r="D1292"/>
      <c r="E1292"/>
      <c r="F1292"/>
      <c r="G1292"/>
      <c r="I1292"/>
      <c r="J1292"/>
      <c r="K1292"/>
      <c r="L1292" s="499"/>
      <c r="V1292" s="504"/>
      <c r="BX1292" s="769"/>
      <c r="BY1292" s="179"/>
      <c r="BZ1292" s="179"/>
      <c r="CA1292" s="179"/>
      <c r="CB1292" s="179"/>
      <c r="CC1292" s="179"/>
      <c r="CD1292" s="179"/>
      <c r="CE1292" s="179"/>
      <c r="CF1292" s="179"/>
      <c r="CG1292"/>
      <c r="CH1292"/>
      <c r="CI1292"/>
      <c r="CJ1292"/>
      <c r="CK1292"/>
      <c r="CL1292"/>
      <c r="CM1292"/>
    </row>
    <row r="1293" spans="1:91" x14ac:dyDescent="0.2">
      <c r="A1293"/>
      <c r="B1293"/>
      <c r="D1293"/>
      <c r="E1293"/>
      <c r="F1293"/>
      <c r="G1293"/>
      <c r="I1293"/>
      <c r="J1293"/>
      <c r="K1293"/>
      <c r="L1293" s="499"/>
      <c r="V1293" s="504"/>
      <c r="BX1293" s="769"/>
      <c r="BY1293" s="179"/>
      <c r="BZ1293" s="179"/>
      <c r="CA1293" s="179"/>
      <c r="CB1293" s="179"/>
      <c r="CC1293" s="179"/>
      <c r="CD1293" s="179"/>
      <c r="CE1293" s="179"/>
      <c r="CF1293" s="179"/>
      <c r="CG1293"/>
      <c r="CH1293"/>
      <c r="CI1293"/>
      <c r="CJ1293"/>
      <c r="CK1293"/>
      <c r="CL1293"/>
      <c r="CM1293"/>
    </row>
    <row r="1294" spans="1:91" x14ac:dyDescent="0.2">
      <c r="A1294"/>
      <c r="B1294"/>
      <c r="D1294"/>
      <c r="E1294"/>
      <c r="F1294"/>
      <c r="G1294"/>
      <c r="I1294"/>
      <c r="J1294"/>
      <c r="K1294"/>
      <c r="L1294" s="499"/>
      <c r="V1294" s="504"/>
      <c r="BX1294" s="769"/>
      <c r="BY1294" s="179"/>
      <c r="BZ1294" s="179"/>
      <c r="CA1294" s="179"/>
      <c r="CB1294" s="179"/>
      <c r="CC1294" s="179"/>
      <c r="CD1294" s="179"/>
      <c r="CE1294" s="179"/>
      <c r="CF1294" s="179"/>
      <c r="CG1294"/>
      <c r="CH1294"/>
      <c r="CI1294"/>
      <c r="CJ1294"/>
      <c r="CK1294"/>
      <c r="CL1294"/>
      <c r="CM1294"/>
    </row>
    <row r="1295" spans="1:91" x14ac:dyDescent="0.2">
      <c r="A1295"/>
      <c r="B1295"/>
      <c r="D1295"/>
      <c r="E1295"/>
      <c r="F1295"/>
      <c r="G1295"/>
      <c r="I1295"/>
      <c r="J1295"/>
      <c r="K1295"/>
      <c r="L1295" s="499"/>
      <c r="V1295" s="504"/>
      <c r="BX1295" s="769"/>
      <c r="BY1295" s="179"/>
      <c r="BZ1295" s="179"/>
      <c r="CA1295" s="179"/>
      <c r="CB1295" s="179"/>
      <c r="CC1295" s="179"/>
      <c r="CD1295" s="179"/>
      <c r="CE1295" s="179"/>
      <c r="CF1295" s="179"/>
      <c r="CG1295"/>
      <c r="CH1295"/>
      <c r="CI1295"/>
      <c r="CJ1295"/>
      <c r="CK1295"/>
      <c r="CL1295"/>
      <c r="CM1295"/>
    </row>
    <row r="1296" spans="1:91" x14ac:dyDescent="0.2">
      <c r="A1296"/>
      <c r="B1296"/>
      <c r="D1296"/>
      <c r="E1296"/>
      <c r="F1296"/>
      <c r="G1296"/>
      <c r="I1296"/>
      <c r="J1296"/>
      <c r="K1296"/>
      <c r="L1296" s="499"/>
      <c r="V1296" s="504"/>
      <c r="BX1296" s="769"/>
      <c r="BY1296" s="179"/>
      <c r="BZ1296" s="179"/>
      <c r="CA1296" s="179"/>
      <c r="CB1296" s="179"/>
      <c r="CC1296" s="179"/>
      <c r="CD1296" s="179"/>
      <c r="CE1296" s="179"/>
      <c r="CF1296" s="179"/>
      <c r="CG1296"/>
      <c r="CH1296"/>
      <c r="CI1296"/>
      <c r="CJ1296"/>
      <c r="CK1296"/>
      <c r="CL1296"/>
      <c r="CM1296"/>
    </row>
    <row r="1297" spans="1:91" x14ac:dyDescent="0.2">
      <c r="A1297"/>
      <c r="B1297"/>
      <c r="D1297"/>
      <c r="E1297"/>
      <c r="F1297"/>
      <c r="G1297"/>
      <c r="I1297"/>
      <c r="J1297"/>
      <c r="K1297"/>
      <c r="L1297" s="499"/>
      <c r="V1297" s="504"/>
      <c r="BX1297" s="769"/>
      <c r="BY1297" s="179"/>
      <c r="BZ1297" s="179"/>
      <c r="CA1297" s="179"/>
      <c r="CB1297" s="179"/>
      <c r="CC1297" s="179"/>
      <c r="CD1297" s="179"/>
      <c r="CE1297" s="179"/>
      <c r="CF1297" s="179"/>
      <c r="CG1297"/>
      <c r="CH1297"/>
      <c r="CI1297"/>
      <c r="CJ1297"/>
      <c r="CK1297"/>
      <c r="CL1297"/>
      <c r="CM1297"/>
    </row>
    <row r="1298" spans="1:91" x14ac:dyDescent="0.2">
      <c r="A1298"/>
      <c r="B1298"/>
      <c r="D1298"/>
      <c r="E1298"/>
      <c r="F1298"/>
      <c r="G1298"/>
      <c r="I1298"/>
      <c r="J1298"/>
      <c r="K1298"/>
      <c r="L1298" s="499"/>
      <c r="V1298" s="504"/>
      <c r="BX1298" s="769"/>
      <c r="BY1298" s="179"/>
      <c r="BZ1298" s="179"/>
      <c r="CA1298" s="179"/>
      <c r="CB1298" s="179"/>
      <c r="CC1298" s="179"/>
      <c r="CD1298" s="179"/>
      <c r="CE1298" s="179"/>
      <c r="CF1298" s="179"/>
      <c r="CG1298"/>
      <c r="CH1298"/>
      <c r="CI1298"/>
      <c r="CJ1298"/>
      <c r="CK1298"/>
      <c r="CL1298"/>
      <c r="CM1298"/>
    </row>
    <row r="1299" spans="1:91" x14ac:dyDescent="0.2">
      <c r="A1299"/>
      <c r="B1299"/>
      <c r="D1299"/>
      <c r="E1299"/>
      <c r="F1299"/>
      <c r="G1299"/>
      <c r="I1299"/>
      <c r="J1299"/>
      <c r="K1299"/>
      <c r="L1299" s="499"/>
      <c r="V1299" s="504"/>
      <c r="BX1299" s="769"/>
      <c r="BY1299" s="179"/>
      <c r="BZ1299" s="179"/>
      <c r="CA1299" s="179"/>
      <c r="CB1299" s="179"/>
      <c r="CC1299" s="179"/>
      <c r="CD1299" s="179"/>
      <c r="CE1299" s="179"/>
      <c r="CF1299" s="179"/>
      <c r="CG1299"/>
      <c r="CH1299"/>
      <c r="CI1299"/>
      <c r="CJ1299"/>
      <c r="CK1299"/>
      <c r="CL1299"/>
      <c r="CM1299"/>
    </row>
    <row r="1300" spans="1:91" x14ac:dyDescent="0.2">
      <c r="A1300"/>
      <c r="B1300"/>
      <c r="D1300"/>
      <c r="E1300"/>
      <c r="F1300"/>
      <c r="G1300"/>
      <c r="I1300"/>
      <c r="J1300"/>
      <c r="K1300"/>
      <c r="L1300" s="499"/>
      <c r="V1300" s="504"/>
      <c r="BX1300" s="769"/>
      <c r="BY1300" s="179"/>
      <c r="BZ1300" s="179"/>
      <c r="CA1300" s="179"/>
      <c r="CB1300" s="179"/>
      <c r="CC1300" s="179"/>
      <c r="CD1300" s="179"/>
      <c r="CE1300" s="179"/>
      <c r="CF1300" s="179"/>
      <c r="CG1300"/>
      <c r="CH1300"/>
      <c r="CI1300"/>
      <c r="CJ1300"/>
      <c r="CK1300"/>
      <c r="CL1300"/>
      <c r="CM1300"/>
    </row>
    <row r="1301" spans="1:91" x14ac:dyDescent="0.2">
      <c r="A1301"/>
      <c r="B1301"/>
      <c r="D1301"/>
      <c r="E1301"/>
      <c r="F1301"/>
      <c r="G1301"/>
      <c r="I1301"/>
      <c r="J1301"/>
      <c r="K1301"/>
      <c r="L1301" s="499"/>
      <c r="V1301" s="504"/>
      <c r="BX1301" s="769"/>
      <c r="BY1301" s="179"/>
      <c r="BZ1301" s="179"/>
      <c r="CA1301" s="179"/>
      <c r="CB1301" s="179"/>
      <c r="CC1301" s="179"/>
      <c r="CD1301" s="179"/>
      <c r="CE1301" s="179"/>
      <c r="CF1301" s="179"/>
      <c r="CG1301"/>
      <c r="CH1301"/>
      <c r="CI1301"/>
      <c r="CJ1301"/>
      <c r="CK1301"/>
      <c r="CL1301"/>
      <c r="CM1301"/>
    </row>
    <row r="1302" spans="1:91" x14ac:dyDescent="0.2">
      <c r="A1302"/>
      <c r="B1302"/>
      <c r="D1302"/>
      <c r="E1302"/>
      <c r="F1302"/>
      <c r="G1302"/>
      <c r="I1302"/>
      <c r="J1302"/>
      <c r="K1302"/>
      <c r="L1302" s="499"/>
      <c r="V1302" s="504"/>
      <c r="BX1302" s="769"/>
      <c r="BY1302" s="179"/>
      <c r="BZ1302" s="179"/>
      <c r="CA1302" s="179"/>
      <c r="CB1302" s="179"/>
      <c r="CC1302" s="179"/>
      <c r="CD1302" s="179"/>
      <c r="CE1302" s="179"/>
      <c r="CF1302" s="179"/>
      <c r="CG1302"/>
      <c r="CH1302"/>
      <c r="CI1302"/>
      <c r="CJ1302"/>
      <c r="CK1302"/>
      <c r="CL1302"/>
      <c r="CM1302"/>
    </row>
    <row r="1303" spans="1:91" x14ac:dyDescent="0.2">
      <c r="A1303"/>
      <c r="B1303"/>
      <c r="D1303"/>
      <c r="E1303"/>
      <c r="F1303"/>
      <c r="G1303"/>
      <c r="I1303"/>
      <c r="J1303"/>
      <c r="K1303"/>
      <c r="L1303" s="499"/>
      <c r="V1303" s="504"/>
      <c r="BX1303" s="769"/>
      <c r="BY1303" s="179"/>
      <c r="BZ1303" s="179"/>
      <c r="CA1303" s="179"/>
      <c r="CB1303" s="179"/>
      <c r="CC1303" s="179"/>
      <c r="CD1303" s="179"/>
      <c r="CE1303" s="179"/>
      <c r="CF1303" s="179"/>
      <c r="CG1303"/>
      <c r="CH1303"/>
      <c r="CI1303"/>
      <c r="CJ1303"/>
      <c r="CK1303"/>
      <c r="CL1303"/>
      <c r="CM1303"/>
    </row>
    <row r="1304" spans="1:91" x14ac:dyDescent="0.2">
      <c r="A1304"/>
      <c r="B1304"/>
      <c r="D1304"/>
      <c r="E1304"/>
      <c r="F1304"/>
      <c r="G1304"/>
      <c r="I1304"/>
      <c r="J1304"/>
      <c r="K1304"/>
      <c r="L1304" s="499"/>
      <c r="V1304" s="504"/>
      <c r="BX1304" s="769"/>
      <c r="BY1304" s="179"/>
      <c r="BZ1304" s="179"/>
      <c r="CA1304" s="179"/>
      <c r="CB1304" s="179"/>
      <c r="CC1304" s="179"/>
      <c r="CD1304" s="179"/>
      <c r="CE1304" s="179"/>
      <c r="CF1304" s="179"/>
      <c r="CG1304"/>
      <c r="CH1304"/>
      <c r="CI1304"/>
      <c r="CJ1304"/>
      <c r="CK1304"/>
      <c r="CL1304"/>
      <c r="CM1304"/>
    </row>
    <row r="1305" spans="1:91" x14ac:dyDescent="0.2">
      <c r="A1305"/>
      <c r="B1305"/>
      <c r="D1305"/>
      <c r="E1305"/>
      <c r="F1305"/>
      <c r="G1305"/>
      <c r="I1305"/>
      <c r="J1305"/>
      <c r="K1305"/>
      <c r="L1305" s="499"/>
      <c r="V1305" s="504"/>
      <c r="BX1305" s="769"/>
      <c r="BY1305" s="179"/>
      <c r="BZ1305" s="179"/>
      <c r="CA1305" s="179"/>
      <c r="CB1305" s="179"/>
      <c r="CC1305" s="179"/>
      <c r="CD1305" s="179"/>
      <c r="CE1305" s="179"/>
      <c r="CF1305" s="179"/>
      <c r="CG1305"/>
      <c r="CH1305"/>
      <c r="CI1305"/>
      <c r="CJ1305"/>
      <c r="CK1305"/>
      <c r="CL1305"/>
      <c r="CM1305"/>
    </row>
    <row r="1306" spans="1:91" x14ac:dyDescent="0.2">
      <c r="A1306"/>
      <c r="B1306"/>
      <c r="D1306"/>
      <c r="E1306"/>
      <c r="F1306"/>
      <c r="G1306"/>
      <c r="I1306"/>
      <c r="J1306"/>
      <c r="K1306"/>
      <c r="L1306" s="499"/>
      <c r="V1306" s="504"/>
      <c r="BX1306" s="769"/>
      <c r="BY1306" s="179"/>
      <c r="BZ1306" s="179"/>
      <c r="CA1306" s="179"/>
      <c r="CB1306" s="179"/>
      <c r="CC1306" s="179"/>
      <c r="CD1306" s="179"/>
      <c r="CE1306" s="179"/>
      <c r="CF1306" s="179"/>
      <c r="CG1306"/>
      <c r="CH1306"/>
      <c r="CI1306"/>
      <c r="CJ1306"/>
      <c r="CK1306"/>
      <c r="CL1306"/>
      <c r="CM1306"/>
    </row>
    <row r="1307" spans="1:91" x14ac:dyDescent="0.2">
      <c r="A1307"/>
      <c r="B1307"/>
      <c r="D1307"/>
      <c r="E1307"/>
      <c r="F1307"/>
      <c r="G1307"/>
      <c r="I1307"/>
      <c r="J1307"/>
      <c r="K1307"/>
      <c r="L1307" s="499"/>
      <c r="V1307" s="504"/>
      <c r="BX1307" s="769"/>
      <c r="BY1307" s="179"/>
      <c r="BZ1307" s="179"/>
      <c r="CA1307" s="179"/>
      <c r="CB1307" s="179"/>
      <c r="CC1307" s="179"/>
      <c r="CD1307" s="179"/>
      <c r="CE1307" s="179"/>
      <c r="CF1307" s="179"/>
      <c r="CG1307"/>
      <c r="CH1307"/>
      <c r="CI1307"/>
      <c r="CJ1307"/>
      <c r="CK1307"/>
      <c r="CL1307"/>
      <c r="CM1307"/>
    </row>
    <row r="1308" spans="1:91" x14ac:dyDescent="0.2">
      <c r="A1308"/>
      <c r="B1308"/>
      <c r="D1308"/>
      <c r="E1308"/>
      <c r="F1308"/>
      <c r="G1308"/>
      <c r="I1308"/>
      <c r="J1308"/>
      <c r="K1308"/>
      <c r="L1308" s="499"/>
      <c r="V1308" s="504"/>
      <c r="BX1308" s="769"/>
      <c r="BY1308" s="179"/>
      <c r="BZ1308" s="179"/>
      <c r="CA1308" s="179"/>
      <c r="CB1308" s="179"/>
      <c r="CC1308" s="179"/>
      <c r="CD1308" s="179"/>
      <c r="CE1308" s="179"/>
      <c r="CF1308" s="179"/>
      <c r="CG1308"/>
      <c r="CH1308"/>
      <c r="CI1308"/>
      <c r="CJ1308"/>
      <c r="CK1308"/>
      <c r="CL1308"/>
      <c r="CM1308"/>
    </row>
    <row r="1309" spans="1:91" x14ac:dyDescent="0.2">
      <c r="A1309"/>
      <c r="B1309"/>
      <c r="D1309"/>
      <c r="E1309"/>
      <c r="F1309"/>
      <c r="G1309"/>
      <c r="I1309"/>
      <c r="J1309"/>
      <c r="K1309"/>
      <c r="L1309" s="499"/>
      <c r="V1309" s="504"/>
      <c r="BX1309" s="769"/>
      <c r="BY1309" s="179"/>
      <c r="BZ1309" s="179"/>
      <c r="CA1309" s="179"/>
      <c r="CB1309" s="179"/>
      <c r="CC1309" s="179"/>
      <c r="CD1309" s="179"/>
      <c r="CE1309" s="179"/>
      <c r="CF1309" s="179"/>
      <c r="CG1309"/>
      <c r="CH1309"/>
      <c r="CI1309"/>
      <c r="CJ1309"/>
      <c r="CK1309"/>
      <c r="CL1309"/>
      <c r="CM1309"/>
    </row>
    <row r="1310" spans="1:91" x14ac:dyDescent="0.2">
      <c r="A1310"/>
      <c r="B1310"/>
      <c r="D1310"/>
      <c r="E1310"/>
      <c r="F1310"/>
      <c r="G1310"/>
      <c r="I1310"/>
      <c r="J1310"/>
      <c r="K1310"/>
      <c r="L1310" s="499"/>
      <c r="V1310" s="504"/>
      <c r="BX1310" s="769"/>
      <c r="BY1310" s="179"/>
      <c r="BZ1310" s="179"/>
      <c r="CA1310" s="179"/>
      <c r="CB1310" s="179"/>
      <c r="CC1310" s="179"/>
      <c r="CD1310" s="179"/>
      <c r="CE1310" s="179"/>
      <c r="CF1310" s="179"/>
      <c r="CG1310"/>
      <c r="CH1310"/>
      <c r="CI1310"/>
      <c r="CJ1310"/>
      <c r="CK1310"/>
      <c r="CL1310"/>
      <c r="CM1310"/>
    </row>
    <row r="1311" spans="1:91" x14ac:dyDescent="0.2">
      <c r="A1311"/>
      <c r="B1311"/>
      <c r="D1311"/>
      <c r="E1311"/>
      <c r="F1311"/>
      <c r="G1311"/>
      <c r="I1311"/>
      <c r="J1311"/>
      <c r="K1311"/>
      <c r="L1311" s="499"/>
      <c r="V1311" s="504"/>
      <c r="BX1311" s="769"/>
      <c r="BY1311" s="179"/>
      <c r="BZ1311" s="179"/>
      <c r="CA1311" s="179"/>
      <c r="CB1311" s="179"/>
      <c r="CC1311" s="179"/>
      <c r="CD1311" s="179"/>
      <c r="CE1311" s="179"/>
      <c r="CF1311" s="179"/>
      <c r="CG1311"/>
      <c r="CH1311"/>
      <c r="CI1311"/>
      <c r="CJ1311"/>
      <c r="CK1311"/>
      <c r="CL1311"/>
      <c r="CM1311"/>
    </row>
    <row r="1312" spans="1:91" x14ac:dyDescent="0.2">
      <c r="A1312"/>
      <c r="B1312"/>
      <c r="D1312"/>
      <c r="E1312"/>
      <c r="F1312"/>
      <c r="G1312"/>
      <c r="I1312"/>
      <c r="J1312"/>
      <c r="K1312"/>
      <c r="L1312" s="499"/>
      <c r="V1312" s="504"/>
      <c r="BX1312" s="769"/>
      <c r="BY1312" s="179"/>
      <c r="BZ1312" s="179"/>
      <c r="CA1312" s="179"/>
      <c r="CB1312" s="179"/>
      <c r="CC1312" s="179"/>
      <c r="CD1312" s="179"/>
      <c r="CE1312" s="179"/>
      <c r="CF1312" s="179"/>
      <c r="CG1312"/>
      <c r="CH1312"/>
      <c r="CI1312"/>
      <c r="CJ1312"/>
      <c r="CK1312"/>
      <c r="CL1312"/>
      <c r="CM1312"/>
    </row>
    <row r="1313" spans="1:91" x14ac:dyDescent="0.2">
      <c r="A1313"/>
      <c r="B1313"/>
      <c r="D1313"/>
      <c r="E1313"/>
      <c r="F1313"/>
      <c r="G1313"/>
      <c r="I1313"/>
      <c r="J1313"/>
      <c r="K1313"/>
      <c r="L1313" s="499"/>
      <c r="V1313" s="504"/>
      <c r="BX1313" s="769"/>
      <c r="BY1313" s="179"/>
      <c r="BZ1313" s="179"/>
      <c r="CA1313" s="179"/>
      <c r="CB1313" s="179"/>
      <c r="CC1313" s="179"/>
      <c r="CD1313" s="179"/>
      <c r="CE1313" s="179"/>
      <c r="CF1313" s="179"/>
      <c r="CG1313"/>
      <c r="CH1313"/>
      <c r="CI1313"/>
      <c r="CJ1313"/>
      <c r="CK1313"/>
      <c r="CL1313"/>
      <c r="CM1313"/>
    </row>
    <row r="1314" spans="1:91" x14ac:dyDescent="0.2">
      <c r="A1314"/>
      <c r="B1314"/>
      <c r="D1314"/>
      <c r="E1314"/>
      <c r="F1314"/>
      <c r="G1314"/>
      <c r="I1314"/>
      <c r="J1314"/>
      <c r="K1314"/>
      <c r="L1314" s="499"/>
      <c r="V1314" s="504"/>
      <c r="BX1314" s="769"/>
      <c r="BY1314" s="179"/>
      <c r="BZ1314" s="179"/>
      <c r="CA1314" s="179"/>
      <c r="CB1314" s="179"/>
      <c r="CC1314" s="179"/>
      <c r="CD1314" s="179"/>
      <c r="CE1314" s="179"/>
      <c r="CF1314" s="179"/>
      <c r="CG1314"/>
      <c r="CH1314"/>
      <c r="CI1314"/>
      <c r="CJ1314"/>
      <c r="CK1314"/>
      <c r="CL1314"/>
      <c r="CM1314"/>
    </row>
    <row r="1315" spans="1:91" x14ac:dyDescent="0.2">
      <c r="A1315"/>
      <c r="B1315"/>
      <c r="D1315"/>
      <c r="E1315"/>
      <c r="F1315"/>
      <c r="G1315"/>
      <c r="I1315"/>
      <c r="J1315"/>
      <c r="K1315"/>
      <c r="L1315" s="499"/>
      <c r="V1315" s="504"/>
      <c r="BX1315" s="769"/>
      <c r="BY1315" s="179"/>
      <c r="BZ1315" s="179"/>
      <c r="CA1315" s="179"/>
      <c r="CB1315" s="179"/>
      <c r="CC1315" s="179"/>
      <c r="CD1315" s="179"/>
      <c r="CE1315" s="179"/>
      <c r="CF1315" s="179"/>
      <c r="CG1315"/>
      <c r="CH1315"/>
      <c r="CI1315"/>
      <c r="CJ1315"/>
      <c r="CK1315"/>
      <c r="CL1315"/>
      <c r="CM1315"/>
    </row>
    <row r="1316" spans="1:91" x14ac:dyDescent="0.2">
      <c r="A1316"/>
      <c r="B1316"/>
      <c r="D1316"/>
      <c r="E1316"/>
      <c r="F1316"/>
      <c r="G1316"/>
      <c r="I1316"/>
      <c r="J1316"/>
      <c r="K1316"/>
      <c r="L1316" s="499"/>
      <c r="V1316" s="504"/>
      <c r="BX1316" s="769"/>
      <c r="BY1316" s="179"/>
      <c r="BZ1316" s="179"/>
      <c r="CA1316" s="179"/>
      <c r="CB1316" s="179"/>
      <c r="CC1316" s="179"/>
      <c r="CD1316" s="179"/>
      <c r="CE1316" s="179"/>
      <c r="CF1316" s="179"/>
      <c r="CG1316"/>
      <c r="CH1316"/>
      <c r="CI1316"/>
      <c r="CJ1316"/>
      <c r="CK1316"/>
      <c r="CL1316"/>
      <c r="CM1316"/>
    </row>
    <row r="1317" spans="1:91" x14ac:dyDescent="0.2">
      <c r="A1317"/>
      <c r="B1317"/>
      <c r="D1317"/>
      <c r="E1317"/>
      <c r="F1317"/>
      <c r="G1317"/>
      <c r="I1317"/>
      <c r="J1317"/>
      <c r="K1317"/>
      <c r="L1317" s="499"/>
      <c r="V1317" s="504"/>
      <c r="BX1317" s="769"/>
      <c r="BY1317" s="179"/>
      <c r="BZ1317" s="179"/>
      <c r="CA1317" s="179"/>
      <c r="CB1317" s="179"/>
      <c r="CC1317" s="179"/>
      <c r="CD1317" s="179"/>
      <c r="CE1317" s="179"/>
      <c r="CF1317" s="179"/>
      <c r="CG1317"/>
      <c r="CH1317"/>
      <c r="CI1317"/>
      <c r="CJ1317"/>
      <c r="CK1317"/>
      <c r="CL1317"/>
      <c r="CM1317"/>
    </row>
    <row r="1318" spans="1:91" x14ac:dyDescent="0.2">
      <c r="A1318"/>
      <c r="B1318"/>
      <c r="D1318"/>
      <c r="E1318"/>
      <c r="F1318"/>
      <c r="G1318"/>
      <c r="I1318"/>
      <c r="J1318"/>
      <c r="K1318"/>
      <c r="L1318" s="499"/>
      <c r="V1318" s="504"/>
      <c r="BX1318" s="769"/>
      <c r="BY1318" s="179"/>
      <c r="BZ1318" s="179"/>
      <c r="CA1318" s="179"/>
      <c r="CB1318" s="179"/>
      <c r="CC1318" s="179"/>
      <c r="CD1318" s="179"/>
      <c r="CE1318" s="179"/>
      <c r="CF1318" s="179"/>
      <c r="CG1318"/>
      <c r="CH1318"/>
      <c r="CI1318"/>
      <c r="CJ1318"/>
      <c r="CK1318"/>
      <c r="CL1318"/>
      <c r="CM1318"/>
    </row>
    <row r="1319" spans="1:91" x14ac:dyDescent="0.2">
      <c r="A1319"/>
      <c r="B1319"/>
      <c r="D1319"/>
      <c r="E1319"/>
      <c r="F1319"/>
      <c r="G1319"/>
      <c r="I1319"/>
      <c r="J1319"/>
      <c r="K1319"/>
      <c r="L1319" s="499"/>
      <c r="V1319" s="504"/>
      <c r="BX1319" s="769"/>
      <c r="BY1319" s="179"/>
      <c r="BZ1319" s="179"/>
      <c r="CA1319" s="179"/>
      <c r="CB1319" s="179"/>
      <c r="CC1319" s="179"/>
      <c r="CD1319" s="179"/>
      <c r="CE1319" s="179"/>
      <c r="CF1319" s="179"/>
      <c r="CG1319"/>
      <c r="CH1319"/>
      <c r="CI1319"/>
      <c r="CJ1319"/>
      <c r="CK1319"/>
      <c r="CL1319"/>
      <c r="CM1319"/>
    </row>
    <row r="1320" spans="1:91" x14ac:dyDescent="0.2">
      <c r="A1320"/>
      <c r="B1320"/>
      <c r="D1320"/>
      <c r="E1320"/>
      <c r="F1320"/>
      <c r="G1320"/>
      <c r="I1320"/>
      <c r="J1320"/>
      <c r="K1320"/>
      <c r="L1320" s="499"/>
      <c r="V1320" s="504"/>
      <c r="BX1320" s="769"/>
      <c r="BY1320" s="179"/>
      <c r="BZ1320" s="179"/>
      <c r="CA1320" s="179"/>
      <c r="CB1320" s="179"/>
      <c r="CC1320" s="179"/>
      <c r="CD1320" s="179"/>
      <c r="CE1320" s="179"/>
      <c r="CF1320" s="179"/>
      <c r="CG1320"/>
      <c r="CH1320"/>
      <c r="CI1320"/>
      <c r="CJ1320"/>
      <c r="CK1320"/>
      <c r="CL1320"/>
      <c r="CM1320"/>
    </row>
    <row r="1321" spans="1:91" x14ac:dyDescent="0.2">
      <c r="A1321"/>
      <c r="B1321"/>
      <c r="D1321"/>
      <c r="E1321"/>
      <c r="F1321"/>
      <c r="G1321"/>
      <c r="I1321"/>
      <c r="J1321"/>
      <c r="K1321"/>
      <c r="L1321" s="499"/>
      <c r="V1321" s="504"/>
      <c r="BX1321" s="769"/>
      <c r="BY1321" s="179"/>
      <c r="BZ1321" s="179"/>
      <c r="CA1321" s="179"/>
      <c r="CB1321" s="179"/>
      <c r="CC1321" s="179"/>
      <c r="CD1321" s="179"/>
      <c r="CE1321" s="179"/>
      <c r="CF1321" s="179"/>
      <c r="CG1321"/>
      <c r="CH1321"/>
      <c r="CI1321"/>
      <c r="CJ1321"/>
      <c r="CK1321"/>
      <c r="CL1321"/>
      <c r="CM1321"/>
    </row>
    <row r="1322" spans="1:91" x14ac:dyDescent="0.2">
      <c r="A1322"/>
      <c r="B1322"/>
      <c r="D1322"/>
      <c r="E1322"/>
      <c r="F1322"/>
      <c r="G1322"/>
      <c r="I1322"/>
      <c r="J1322"/>
      <c r="K1322"/>
      <c r="L1322" s="499"/>
      <c r="V1322" s="504"/>
      <c r="BX1322" s="769"/>
      <c r="BY1322" s="179"/>
      <c r="BZ1322" s="179"/>
      <c r="CA1322" s="179"/>
      <c r="CB1322" s="179"/>
      <c r="CC1322" s="179"/>
      <c r="CD1322" s="179"/>
      <c r="CE1322" s="179"/>
      <c r="CF1322" s="179"/>
      <c r="CG1322"/>
      <c r="CH1322"/>
      <c r="CI1322"/>
      <c r="CJ1322"/>
      <c r="CK1322"/>
      <c r="CL1322"/>
      <c r="CM1322"/>
    </row>
    <row r="1323" spans="1:91" x14ac:dyDescent="0.2">
      <c r="A1323"/>
      <c r="B1323"/>
      <c r="D1323"/>
      <c r="E1323"/>
      <c r="F1323"/>
      <c r="G1323"/>
      <c r="I1323"/>
      <c r="J1323"/>
      <c r="K1323"/>
      <c r="L1323" s="499"/>
      <c r="V1323" s="504"/>
      <c r="BX1323" s="769"/>
      <c r="BY1323" s="179"/>
      <c r="BZ1323" s="179"/>
      <c r="CA1323" s="179"/>
      <c r="CB1323" s="179"/>
      <c r="CC1323" s="179"/>
      <c r="CD1323" s="179"/>
      <c r="CE1323" s="179"/>
      <c r="CF1323" s="179"/>
      <c r="CG1323"/>
      <c r="CH1323"/>
      <c r="CI1323"/>
      <c r="CJ1323"/>
      <c r="CK1323"/>
      <c r="CL1323"/>
      <c r="CM1323"/>
    </row>
    <row r="1324" spans="1:91" x14ac:dyDescent="0.2">
      <c r="A1324"/>
      <c r="B1324"/>
      <c r="D1324"/>
      <c r="E1324"/>
      <c r="F1324"/>
      <c r="G1324"/>
      <c r="I1324"/>
      <c r="J1324"/>
      <c r="K1324"/>
      <c r="L1324" s="499"/>
      <c r="V1324" s="504"/>
      <c r="BX1324" s="769"/>
      <c r="BY1324" s="179"/>
      <c r="BZ1324" s="179"/>
      <c r="CA1324" s="179"/>
      <c r="CB1324" s="179"/>
      <c r="CC1324" s="179"/>
      <c r="CD1324" s="179"/>
      <c r="CE1324" s="179"/>
      <c r="CF1324" s="179"/>
      <c r="CG1324"/>
      <c r="CH1324"/>
      <c r="CI1324"/>
      <c r="CJ1324"/>
      <c r="CK1324"/>
      <c r="CL1324"/>
      <c r="CM1324"/>
    </row>
    <row r="1325" spans="1:91" x14ac:dyDescent="0.2">
      <c r="A1325"/>
      <c r="B1325"/>
      <c r="D1325"/>
      <c r="E1325"/>
      <c r="F1325"/>
      <c r="G1325"/>
      <c r="I1325"/>
      <c r="J1325"/>
      <c r="K1325"/>
      <c r="L1325" s="499"/>
      <c r="V1325" s="504"/>
      <c r="BX1325" s="769"/>
      <c r="BY1325" s="179"/>
      <c r="BZ1325" s="179"/>
      <c r="CA1325" s="179"/>
      <c r="CB1325" s="179"/>
      <c r="CC1325" s="179"/>
      <c r="CD1325" s="179"/>
      <c r="CE1325" s="179"/>
      <c r="CF1325" s="179"/>
      <c r="CG1325"/>
      <c r="CH1325"/>
      <c r="CI1325"/>
      <c r="CJ1325"/>
      <c r="CK1325"/>
      <c r="CL1325"/>
      <c r="CM1325"/>
    </row>
    <row r="1326" spans="1:91" x14ac:dyDescent="0.2">
      <c r="A1326"/>
      <c r="B1326"/>
      <c r="D1326"/>
      <c r="E1326"/>
      <c r="F1326"/>
      <c r="G1326"/>
      <c r="I1326"/>
      <c r="J1326"/>
      <c r="K1326"/>
      <c r="L1326" s="499"/>
      <c r="V1326" s="504"/>
      <c r="BX1326" s="769"/>
      <c r="BY1326" s="179"/>
      <c r="BZ1326" s="179"/>
      <c r="CA1326" s="179"/>
      <c r="CB1326" s="179"/>
      <c r="CC1326" s="179"/>
      <c r="CD1326" s="179"/>
      <c r="CE1326" s="179"/>
      <c r="CF1326" s="179"/>
      <c r="CG1326"/>
      <c r="CH1326"/>
      <c r="CI1326"/>
      <c r="CJ1326"/>
      <c r="CK1326"/>
      <c r="CL1326"/>
      <c r="CM1326"/>
    </row>
    <row r="1327" spans="1:91" x14ac:dyDescent="0.2">
      <c r="A1327"/>
      <c r="B1327"/>
      <c r="D1327"/>
      <c r="E1327"/>
      <c r="F1327"/>
      <c r="G1327"/>
      <c r="I1327"/>
      <c r="J1327"/>
      <c r="K1327"/>
      <c r="L1327" s="499"/>
      <c r="V1327" s="504"/>
      <c r="BX1327" s="769"/>
      <c r="BY1327" s="179"/>
      <c r="BZ1327" s="179"/>
      <c r="CA1327" s="179"/>
      <c r="CB1327" s="179"/>
      <c r="CC1327" s="179"/>
      <c r="CD1327" s="179"/>
      <c r="CE1327" s="179"/>
      <c r="CF1327" s="179"/>
      <c r="CG1327"/>
      <c r="CH1327"/>
      <c r="CI1327"/>
      <c r="CJ1327"/>
      <c r="CK1327"/>
      <c r="CL1327"/>
      <c r="CM1327"/>
    </row>
    <row r="1328" spans="1:91" x14ac:dyDescent="0.2">
      <c r="A1328"/>
      <c r="B1328"/>
      <c r="D1328"/>
      <c r="E1328"/>
      <c r="F1328"/>
      <c r="G1328"/>
      <c r="I1328"/>
      <c r="J1328"/>
      <c r="K1328"/>
      <c r="L1328" s="499"/>
      <c r="V1328" s="504"/>
      <c r="BX1328" s="769"/>
      <c r="BY1328" s="179"/>
      <c r="BZ1328" s="179"/>
      <c r="CA1328" s="179"/>
      <c r="CB1328" s="179"/>
      <c r="CC1328" s="179"/>
      <c r="CD1328" s="179"/>
      <c r="CE1328" s="179"/>
      <c r="CF1328" s="179"/>
      <c r="CG1328"/>
      <c r="CH1328"/>
      <c r="CI1328"/>
      <c r="CJ1328"/>
      <c r="CK1328"/>
      <c r="CL1328"/>
      <c r="CM1328"/>
    </row>
    <row r="1329" spans="1:91" x14ac:dyDescent="0.2">
      <c r="A1329"/>
      <c r="B1329"/>
      <c r="D1329"/>
      <c r="E1329"/>
      <c r="F1329"/>
      <c r="G1329"/>
      <c r="I1329"/>
      <c r="J1329"/>
      <c r="K1329"/>
      <c r="L1329" s="499"/>
      <c r="V1329" s="504"/>
      <c r="BX1329" s="769"/>
      <c r="BY1329" s="179"/>
      <c r="BZ1329" s="179"/>
      <c r="CA1329" s="179"/>
      <c r="CB1329" s="179"/>
      <c r="CC1329" s="179"/>
      <c r="CD1329" s="179"/>
      <c r="CE1329" s="179"/>
      <c r="CF1329" s="179"/>
      <c r="CG1329"/>
      <c r="CH1329"/>
      <c r="CI1329"/>
      <c r="CJ1329"/>
      <c r="CK1329"/>
      <c r="CL1329"/>
      <c r="CM1329"/>
    </row>
    <row r="1330" spans="1:91" x14ac:dyDescent="0.2">
      <c r="A1330"/>
      <c r="B1330"/>
      <c r="D1330"/>
      <c r="E1330"/>
      <c r="F1330"/>
      <c r="G1330"/>
      <c r="I1330"/>
      <c r="J1330"/>
      <c r="K1330"/>
      <c r="L1330" s="499"/>
      <c r="V1330" s="504"/>
      <c r="BX1330" s="769"/>
      <c r="BY1330" s="179"/>
      <c r="BZ1330" s="179"/>
      <c r="CA1330" s="179"/>
      <c r="CB1330" s="179"/>
      <c r="CC1330" s="179"/>
      <c r="CD1330" s="179"/>
      <c r="CE1330" s="179"/>
      <c r="CF1330" s="179"/>
      <c r="CG1330"/>
      <c r="CH1330"/>
      <c r="CI1330"/>
      <c r="CJ1330"/>
      <c r="CK1330"/>
      <c r="CL1330"/>
      <c r="CM1330"/>
    </row>
    <row r="1331" spans="1:91" x14ac:dyDescent="0.2">
      <c r="A1331"/>
      <c r="B1331"/>
      <c r="D1331"/>
      <c r="E1331"/>
      <c r="F1331"/>
      <c r="G1331"/>
      <c r="I1331"/>
      <c r="J1331"/>
      <c r="K1331"/>
      <c r="L1331" s="499"/>
      <c r="V1331" s="504"/>
      <c r="BX1331" s="769"/>
      <c r="BY1331" s="179"/>
      <c r="BZ1331" s="179"/>
      <c r="CA1331" s="179"/>
      <c r="CB1331" s="179"/>
      <c r="CC1331" s="179"/>
      <c r="CD1331" s="179"/>
      <c r="CE1331" s="179"/>
      <c r="CF1331" s="179"/>
      <c r="CG1331"/>
      <c r="CH1331"/>
      <c r="CI1331"/>
      <c r="CJ1331"/>
      <c r="CK1331"/>
      <c r="CL1331"/>
      <c r="CM1331"/>
    </row>
    <row r="1332" spans="1:91" x14ac:dyDescent="0.2">
      <c r="A1332"/>
      <c r="B1332"/>
      <c r="D1332"/>
      <c r="E1332"/>
      <c r="F1332"/>
      <c r="G1332"/>
      <c r="I1332"/>
      <c r="J1332"/>
      <c r="K1332"/>
      <c r="L1332" s="499"/>
      <c r="V1332" s="504"/>
      <c r="BX1332" s="769"/>
      <c r="BY1332" s="179"/>
      <c r="BZ1332" s="179"/>
      <c r="CA1332" s="179"/>
      <c r="CB1332" s="179"/>
      <c r="CC1332" s="179"/>
      <c r="CD1332" s="179"/>
      <c r="CE1332" s="179"/>
      <c r="CF1332" s="179"/>
      <c r="CG1332"/>
      <c r="CH1332"/>
      <c r="CI1332"/>
      <c r="CJ1332"/>
      <c r="CK1332"/>
      <c r="CL1332"/>
      <c r="CM1332"/>
    </row>
    <row r="1333" spans="1:91" x14ac:dyDescent="0.2">
      <c r="A1333"/>
      <c r="B1333"/>
      <c r="D1333"/>
      <c r="E1333"/>
      <c r="F1333"/>
      <c r="G1333"/>
      <c r="I1333"/>
      <c r="J1333"/>
      <c r="K1333"/>
      <c r="L1333" s="499"/>
      <c r="V1333" s="504"/>
      <c r="BX1333" s="769"/>
      <c r="BY1333" s="179"/>
      <c r="BZ1333" s="179"/>
      <c r="CA1333" s="179"/>
      <c r="CB1333" s="179"/>
      <c r="CC1333" s="179"/>
      <c r="CD1333" s="179"/>
      <c r="CE1333" s="179"/>
      <c r="CF1333" s="179"/>
      <c r="CG1333"/>
      <c r="CH1333"/>
      <c r="CI1333"/>
      <c r="CJ1333"/>
      <c r="CK1333"/>
      <c r="CL1333"/>
      <c r="CM1333"/>
    </row>
    <row r="1334" spans="1:91" x14ac:dyDescent="0.2">
      <c r="A1334"/>
      <c r="B1334"/>
      <c r="D1334"/>
      <c r="E1334"/>
      <c r="F1334"/>
      <c r="G1334"/>
      <c r="I1334"/>
      <c r="J1334"/>
      <c r="K1334"/>
      <c r="L1334" s="499"/>
      <c r="V1334" s="504"/>
      <c r="BX1334" s="769"/>
      <c r="BY1334" s="179"/>
      <c r="BZ1334" s="179"/>
      <c r="CA1334" s="179"/>
      <c r="CB1334" s="179"/>
      <c r="CC1334" s="179"/>
      <c r="CD1334" s="179"/>
      <c r="CE1334" s="179"/>
      <c r="CF1334" s="179"/>
      <c r="CG1334"/>
      <c r="CH1334"/>
      <c r="CI1334"/>
      <c r="CJ1334"/>
      <c r="CK1334"/>
      <c r="CL1334"/>
      <c r="CM1334"/>
    </row>
    <row r="1335" spans="1:91" x14ac:dyDescent="0.2">
      <c r="A1335"/>
      <c r="B1335"/>
      <c r="D1335"/>
      <c r="E1335"/>
      <c r="F1335"/>
      <c r="G1335"/>
      <c r="I1335"/>
      <c r="J1335"/>
      <c r="K1335"/>
      <c r="L1335" s="499"/>
      <c r="V1335" s="504"/>
      <c r="BX1335" s="769"/>
      <c r="BY1335" s="179"/>
      <c r="BZ1335" s="179"/>
      <c r="CA1335" s="179"/>
      <c r="CB1335" s="179"/>
      <c r="CC1335" s="179"/>
      <c r="CD1335" s="179"/>
      <c r="CE1335" s="179"/>
      <c r="CF1335" s="179"/>
      <c r="CG1335"/>
      <c r="CH1335"/>
      <c r="CI1335"/>
      <c r="CJ1335"/>
      <c r="CK1335"/>
      <c r="CL1335"/>
      <c r="CM1335"/>
    </row>
    <row r="1336" spans="1:91" x14ac:dyDescent="0.2">
      <c r="A1336"/>
      <c r="B1336"/>
      <c r="D1336"/>
      <c r="E1336"/>
      <c r="F1336"/>
      <c r="G1336"/>
      <c r="I1336"/>
      <c r="J1336"/>
      <c r="K1336"/>
      <c r="L1336" s="499"/>
      <c r="V1336" s="504"/>
      <c r="BX1336" s="769"/>
      <c r="BY1336" s="179"/>
      <c r="BZ1336" s="179"/>
      <c r="CA1336" s="179"/>
      <c r="CB1336" s="179"/>
      <c r="CC1336" s="179"/>
      <c r="CD1336" s="179"/>
      <c r="CE1336" s="179"/>
      <c r="CF1336" s="179"/>
      <c r="CG1336"/>
      <c r="CH1336"/>
      <c r="CI1336"/>
      <c r="CJ1336"/>
      <c r="CK1336"/>
      <c r="CL1336"/>
      <c r="CM1336"/>
    </row>
    <row r="1337" spans="1:91" x14ac:dyDescent="0.2">
      <c r="A1337"/>
      <c r="B1337"/>
      <c r="D1337"/>
      <c r="E1337"/>
      <c r="F1337"/>
      <c r="G1337"/>
      <c r="I1337"/>
      <c r="J1337"/>
      <c r="K1337"/>
      <c r="L1337" s="499"/>
      <c r="V1337" s="504"/>
      <c r="BX1337" s="769"/>
      <c r="BY1337" s="179"/>
      <c r="BZ1337" s="179"/>
      <c r="CA1337" s="179"/>
      <c r="CB1337" s="179"/>
      <c r="CC1337" s="179"/>
      <c r="CD1337" s="179"/>
      <c r="CE1337" s="179"/>
      <c r="CF1337" s="179"/>
      <c r="CG1337"/>
      <c r="CH1337"/>
      <c r="CI1337"/>
      <c r="CJ1337"/>
      <c r="CK1337"/>
      <c r="CL1337"/>
      <c r="CM1337"/>
    </row>
    <row r="1338" spans="1:91" x14ac:dyDescent="0.2">
      <c r="A1338"/>
      <c r="B1338"/>
      <c r="D1338"/>
      <c r="E1338"/>
      <c r="F1338"/>
      <c r="G1338"/>
      <c r="I1338"/>
      <c r="J1338"/>
      <c r="K1338"/>
      <c r="L1338" s="499"/>
      <c r="V1338" s="504"/>
      <c r="BX1338" s="769"/>
      <c r="BY1338" s="179"/>
      <c r="BZ1338" s="179"/>
      <c r="CA1338" s="179"/>
      <c r="CB1338" s="179"/>
      <c r="CC1338" s="179"/>
      <c r="CD1338" s="179"/>
      <c r="CE1338" s="179"/>
      <c r="CF1338" s="179"/>
      <c r="CG1338"/>
      <c r="CH1338"/>
      <c r="CI1338"/>
      <c r="CJ1338"/>
      <c r="CK1338"/>
      <c r="CL1338"/>
      <c r="CM1338"/>
    </row>
    <row r="1339" spans="1:91" x14ac:dyDescent="0.2">
      <c r="A1339"/>
      <c r="B1339"/>
      <c r="D1339"/>
      <c r="E1339"/>
      <c r="F1339"/>
      <c r="G1339"/>
      <c r="I1339"/>
      <c r="J1339"/>
      <c r="K1339"/>
      <c r="L1339" s="499"/>
      <c r="V1339" s="504"/>
      <c r="BX1339" s="769"/>
      <c r="BY1339" s="179"/>
      <c r="BZ1339" s="179"/>
      <c r="CA1339" s="179"/>
      <c r="CB1339" s="179"/>
      <c r="CC1339" s="179"/>
      <c r="CD1339" s="179"/>
      <c r="CE1339" s="179"/>
      <c r="CF1339" s="179"/>
      <c r="CG1339"/>
      <c r="CH1339"/>
      <c r="CI1339"/>
      <c r="CJ1339"/>
      <c r="CK1339"/>
      <c r="CL1339"/>
      <c r="CM1339"/>
    </row>
    <row r="1340" spans="1:91" x14ac:dyDescent="0.2">
      <c r="A1340"/>
      <c r="B1340"/>
      <c r="D1340"/>
      <c r="E1340"/>
      <c r="F1340"/>
      <c r="G1340"/>
      <c r="I1340"/>
      <c r="J1340"/>
      <c r="K1340"/>
      <c r="L1340" s="499"/>
      <c r="V1340" s="504"/>
      <c r="BX1340" s="769"/>
      <c r="BY1340" s="179"/>
      <c r="BZ1340" s="179"/>
      <c r="CA1340" s="179"/>
      <c r="CB1340" s="179"/>
      <c r="CC1340" s="179"/>
      <c r="CD1340" s="179"/>
      <c r="CE1340" s="179"/>
      <c r="CF1340" s="179"/>
      <c r="CG1340"/>
      <c r="CH1340"/>
      <c r="CI1340"/>
      <c r="CJ1340"/>
      <c r="CK1340"/>
      <c r="CL1340"/>
      <c r="CM1340"/>
    </row>
    <row r="1341" spans="1:91" x14ac:dyDescent="0.2">
      <c r="A1341"/>
      <c r="B1341"/>
      <c r="D1341"/>
      <c r="E1341"/>
      <c r="F1341"/>
      <c r="G1341"/>
      <c r="I1341"/>
      <c r="J1341"/>
      <c r="K1341"/>
      <c r="L1341" s="499"/>
      <c r="V1341" s="504"/>
      <c r="BX1341" s="769"/>
      <c r="BY1341" s="179"/>
      <c r="BZ1341" s="179"/>
      <c r="CA1341" s="179"/>
      <c r="CB1341" s="179"/>
      <c r="CC1341" s="179"/>
      <c r="CD1341" s="179"/>
      <c r="CE1341" s="179"/>
      <c r="CF1341" s="179"/>
      <c r="CG1341"/>
      <c r="CH1341"/>
      <c r="CI1341"/>
      <c r="CJ1341"/>
      <c r="CK1341"/>
      <c r="CL1341"/>
      <c r="CM1341"/>
    </row>
    <row r="1342" spans="1:91" x14ac:dyDescent="0.2">
      <c r="A1342"/>
      <c r="B1342"/>
      <c r="D1342"/>
      <c r="E1342"/>
      <c r="F1342"/>
      <c r="G1342"/>
      <c r="I1342"/>
      <c r="J1342"/>
      <c r="K1342"/>
      <c r="L1342" s="499"/>
      <c r="V1342" s="504"/>
      <c r="BX1342" s="769"/>
      <c r="BY1342" s="179"/>
      <c r="BZ1342" s="179"/>
      <c r="CA1342" s="179"/>
      <c r="CB1342" s="179"/>
      <c r="CC1342" s="179"/>
      <c r="CD1342" s="179"/>
      <c r="CE1342" s="179"/>
      <c r="CF1342" s="179"/>
      <c r="CG1342"/>
      <c r="CH1342"/>
      <c r="CI1342"/>
      <c r="CJ1342"/>
      <c r="CK1342"/>
      <c r="CL1342"/>
      <c r="CM1342"/>
    </row>
    <row r="1343" spans="1:91" x14ac:dyDescent="0.2">
      <c r="A1343"/>
      <c r="B1343"/>
      <c r="D1343"/>
      <c r="E1343"/>
      <c r="F1343"/>
      <c r="G1343"/>
      <c r="I1343"/>
      <c r="J1343"/>
      <c r="K1343"/>
      <c r="L1343" s="499"/>
      <c r="V1343" s="504"/>
      <c r="BX1343" s="769"/>
      <c r="BY1343" s="179"/>
      <c r="BZ1343" s="179"/>
      <c r="CA1343" s="179"/>
      <c r="CB1343" s="179"/>
      <c r="CC1343" s="179"/>
      <c r="CD1343" s="179"/>
      <c r="CE1343" s="179"/>
      <c r="CF1343" s="179"/>
      <c r="CG1343"/>
      <c r="CH1343"/>
      <c r="CI1343"/>
      <c r="CJ1343"/>
      <c r="CK1343"/>
      <c r="CL1343"/>
      <c r="CM1343"/>
    </row>
    <row r="1344" spans="1:91" x14ac:dyDescent="0.2">
      <c r="A1344"/>
      <c r="B1344"/>
      <c r="D1344"/>
      <c r="E1344"/>
      <c r="F1344"/>
      <c r="G1344"/>
      <c r="I1344"/>
      <c r="J1344"/>
      <c r="K1344"/>
      <c r="L1344" s="499"/>
      <c r="V1344" s="504"/>
      <c r="BX1344" s="769"/>
      <c r="BY1344" s="179"/>
      <c r="BZ1344" s="179"/>
      <c r="CA1344" s="179"/>
      <c r="CB1344" s="179"/>
      <c r="CC1344" s="179"/>
      <c r="CD1344" s="179"/>
      <c r="CE1344" s="179"/>
      <c r="CF1344" s="179"/>
      <c r="CG1344"/>
      <c r="CH1344"/>
      <c r="CI1344"/>
      <c r="CJ1344"/>
      <c r="CK1344"/>
      <c r="CL1344"/>
      <c r="CM1344"/>
    </row>
    <row r="1345" spans="1:91" x14ac:dyDescent="0.2">
      <c r="A1345"/>
      <c r="B1345"/>
      <c r="D1345"/>
      <c r="E1345"/>
      <c r="F1345"/>
      <c r="G1345"/>
      <c r="I1345"/>
      <c r="J1345"/>
      <c r="K1345"/>
      <c r="L1345" s="499"/>
      <c r="V1345" s="504"/>
      <c r="BX1345" s="769"/>
      <c r="BY1345" s="179"/>
      <c r="BZ1345" s="179"/>
      <c r="CA1345" s="179"/>
      <c r="CB1345" s="179"/>
      <c r="CC1345" s="179"/>
      <c r="CD1345" s="179"/>
      <c r="CE1345" s="179"/>
      <c r="CF1345" s="179"/>
      <c r="CG1345"/>
      <c r="CH1345"/>
      <c r="CI1345"/>
      <c r="CJ1345"/>
      <c r="CK1345"/>
      <c r="CL1345"/>
      <c r="CM1345"/>
    </row>
    <row r="1346" spans="1:91" x14ac:dyDescent="0.2">
      <c r="A1346"/>
      <c r="B1346"/>
      <c r="D1346"/>
      <c r="E1346"/>
      <c r="F1346"/>
      <c r="G1346"/>
      <c r="I1346"/>
      <c r="J1346"/>
      <c r="K1346"/>
      <c r="L1346" s="499"/>
      <c r="V1346" s="504"/>
      <c r="BX1346" s="769"/>
      <c r="BY1346" s="179"/>
      <c r="BZ1346" s="179"/>
      <c r="CA1346" s="179"/>
      <c r="CB1346" s="179"/>
      <c r="CC1346" s="179"/>
      <c r="CD1346" s="179"/>
      <c r="CE1346" s="179"/>
      <c r="CF1346" s="179"/>
      <c r="CG1346"/>
      <c r="CH1346"/>
      <c r="CI1346"/>
      <c r="CJ1346"/>
      <c r="CK1346"/>
      <c r="CL1346"/>
      <c r="CM1346"/>
    </row>
    <row r="1347" spans="1:91" x14ac:dyDescent="0.2">
      <c r="A1347"/>
      <c r="B1347"/>
      <c r="D1347"/>
      <c r="E1347"/>
      <c r="F1347"/>
      <c r="G1347"/>
      <c r="I1347"/>
      <c r="J1347"/>
      <c r="K1347"/>
      <c r="L1347" s="499"/>
      <c r="V1347" s="504"/>
      <c r="BX1347" s="769"/>
      <c r="BY1347" s="179"/>
      <c r="BZ1347" s="179"/>
      <c r="CA1347" s="179"/>
      <c r="CB1347" s="179"/>
      <c r="CC1347" s="179"/>
      <c r="CD1347" s="179"/>
      <c r="CE1347" s="179"/>
      <c r="CF1347" s="179"/>
      <c r="CG1347"/>
      <c r="CH1347"/>
      <c r="CI1347"/>
      <c r="CJ1347"/>
      <c r="CK1347"/>
      <c r="CL1347"/>
      <c r="CM1347"/>
    </row>
    <row r="1348" spans="1:91" x14ac:dyDescent="0.2">
      <c r="A1348"/>
      <c r="B1348"/>
      <c r="D1348"/>
      <c r="E1348"/>
      <c r="F1348"/>
      <c r="G1348"/>
      <c r="I1348"/>
      <c r="J1348"/>
      <c r="K1348"/>
      <c r="L1348" s="499"/>
      <c r="V1348" s="504"/>
      <c r="BX1348" s="769"/>
      <c r="BY1348" s="179"/>
      <c r="BZ1348" s="179"/>
      <c r="CA1348" s="179"/>
      <c r="CB1348" s="179"/>
      <c r="CC1348" s="179"/>
      <c r="CD1348" s="179"/>
      <c r="CE1348" s="179"/>
      <c r="CF1348" s="179"/>
      <c r="CG1348"/>
      <c r="CH1348"/>
      <c r="CI1348"/>
      <c r="CJ1348"/>
      <c r="CK1348"/>
      <c r="CL1348"/>
      <c r="CM1348"/>
    </row>
    <row r="1349" spans="1:91" x14ac:dyDescent="0.2">
      <c r="A1349"/>
      <c r="B1349"/>
      <c r="D1349"/>
      <c r="E1349"/>
      <c r="F1349"/>
      <c r="G1349"/>
      <c r="I1349"/>
      <c r="J1349"/>
      <c r="K1349"/>
      <c r="L1349" s="499"/>
      <c r="V1349" s="504"/>
      <c r="BX1349" s="769"/>
      <c r="BY1349" s="179"/>
      <c r="BZ1349" s="179"/>
      <c r="CA1349" s="179"/>
      <c r="CB1349" s="179"/>
      <c r="CC1349" s="179"/>
      <c r="CD1349" s="179"/>
      <c r="CE1349" s="179"/>
      <c r="CF1349" s="179"/>
      <c r="CG1349"/>
      <c r="CH1349"/>
      <c r="CI1349"/>
      <c r="CJ1349"/>
      <c r="CK1349"/>
      <c r="CL1349"/>
      <c r="CM1349"/>
    </row>
    <row r="1350" spans="1:91" x14ac:dyDescent="0.2">
      <c r="A1350"/>
      <c r="B1350"/>
      <c r="D1350"/>
      <c r="E1350"/>
      <c r="F1350"/>
      <c r="G1350"/>
      <c r="I1350"/>
      <c r="J1350"/>
      <c r="K1350"/>
      <c r="L1350" s="499"/>
      <c r="V1350" s="504"/>
      <c r="BX1350" s="769"/>
      <c r="BY1350" s="179"/>
      <c r="BZ1350" s="179"/>
      <c r="CA1350" s="179"/>
      <c r="CB1350" s="179"/>
      <c r="CC1350" s="179"/>
      <c r="CD1350" s="179"/>
      <c r="CE1350" s="179"/>
      <c r="CF1350" s="179"/>
      <c r="CG1350"/>
      <c r="CH1350"/>
      <c r="CI1350"/>
      <c r="CJ1350"/>
      <c r="CK1350"/>
      <c r="CL1350"/>
      <c r="CM1350"/>
    </row>
    <row r="1351" spans="1:91" x14ac:dyDescent="0.2">
      <c r="A1351"/>
      <c r="B1351"/>
      <c r="D1351"/>
      <c r="E1351"/>
      <c r="F1351"/>
      <c r="G1351"/>
      <c r="I1351"/>
      <c r="J1351"/>
      <c r="K1351"/>
      <c r="L1351" s="499"/>
      <c r="V1351" s="504"/>
      <c r="BX1351" s="769"/>
      <c r="BY1351" s="179"/>
      <c r="BZ1351" s="179"/>
      <c r="CA1351" s="179"/>
      <c r="CB1351" s="179"/>
      <c r="CC1351" s="179"/>
      <c r="CD1351" s="179"/>
      <c r="CE1351" s="179"/>
      <c r="CF1351" s="179"/>
      <c r="CG1351"/>
      <c r="CH1351"/>
      <c r="CI1351"/>
      <c r="CJ1351"/>
      <c r="CK1351"/>
      <c r="CL1351"/>
      <c r="CM1351"/>
    </row>
    <row r="1352" spans="1:91" x14ac:dyDescent="0.2">
      <c r="A1352"/>
      <c r="B1352"/>
      <c r="D1352"/>
      <c r="E1352"/>
      <c r="F1352"/>
      <c r="G1352"/>
      <c r="I1352"/>
      <c r="J1352"/>
      <c r="K1352"/>
      <c r="L1352" s="499"/>
      <c r="V1352" s="504"/>
      <c r="BX1352" s="769"/>
      <c r="BY1352" s="179"/>
      <c r="BZ1352" s="179"/>
      <c r="CA1352" s="179"/>
      <c r="CB1352" s="179"/>
      <c r="CC1352" s="179"/>
      <c r="CD1352" s="179"/>
      <c r="CE1352" s="179"/>
      <c r="CF1352" s="179"/>
      <c r="CG1352"/>
      <c r="CH1352"/>
      <c r="CI1352"/>
      <c r="CJ1352"/>
      <c r="CK1352"/>
      <c r="CL1352"/>
      <c r="CM1352"/>
    </row>
    <row r="1353" spans="1:91" x14ac:dyDescent="0.2">
      <c r="A1353"/>
      <c r="B1353"/>
      <c r="D1353"/>
      <c r="E1353"/>
      <c r="F1353"/>
      <c r="G1353"/>
      <c r="I1353"/>
      <c r="J1353"/>
      <c r="K1353"/>
      <c r="L1353" s="499"/>
      <c r="V1353" s="504"/>
      <c r="BX1353" s="769"/>
      <c r="BY1353" s="179"/>
      <c r="BZ1353" s="179"/>
      <c r="CA1353" s="179"/>
      <c r="CB1353" s="179"/>
      <c r="CC1353" s="179"/>
      <c r="CD1353" s="179"/>
      <c r="CE1353" s="179"/>
      <c r="CF1353" s="179"/>
      <c r="CG1353"/>
      <c r="CH1353"/>
      <c r="CI1353"/>
      <c r="CJ1353"/>
      <c r="CK1353"/>
      <c r="CL1353"/>
      <c r="CM1353"/>
    </row>
    <row r="1354" spans="1:91" x14ac:dyDescent="0.2">
      <c r="A1354"/>
      <c r="B1354"/>
      <c r="D1354"/>
      <c r="E1354"/>
      <c r="F1354"/>
      <c r="G1354"/>
      <c r="I1354"/>
      <c r="J1354"/>
      <c r="K1354"/>
      <c r="L1354" s="499"/>
      <c r="V1354" s="504"/>
      <c r="BX1354" s="769"/>
      <c r="BY1354" s="179"/>
      <c r="BZ1354" s="179"/>
      <c r="CA1354" s="179"/>
      <c r="CB1354" s="179"/>
      <c r="CC1354" s="179"/>
      <c r="CD1354" s="179"/>
      <c r="CE1354" s="179"/>
      <c r="CF1354" s="179"/>
      <c r="CG1354"/>
      <c r="CH1354"/>
      <c r="CI1354"/>
      <c r="CJ1354"/>
      <c r="CK1354"/>
      <c r="CL1354"/>
      <c r="CM1354"/>
    </row>
    <row r="1355" spans="1:91" x14ac:dyDescent="0.2">
      <c r="A1355"/>
      <c r="B1355"/>
      <c r="D1355"/>
      <c r="E1355"/>
      <c r="F1355"/>
      <c r="G1355"/>
      <c r="I1355"/>
      <c r="J1355"/>
      <c r="K1355"/>
      <c r="L1355" s="499"/>
      <c r="V1355" s="504"/>
      <c r="BX1355" s="769"/>
      <c r="BY1355" s="179"/>
      <c r="BZ1355" s="179"/>
      <c r="CA1355" s="179"/>
      <c r="CB1355" s="179"/>
      <c r="CC1355" s="179"/>
      <c r="CD1355" s="179"/>
      <c r="CE1355" s="179"/>
      <c r="CF1355" s="179"/>
      <c r="CG1355"/>
      <c r="CH1355"/>
      <c r="CI1355"/>
      <c r="CJ1355"/>
      <c r="CK1355"/>
      <c r="CL1355"/>
      <c r="CM1355"/>
    </row>
    <row r="1356" spans="1:91" x14ac:dyDescent="0.2">
      <c r="A1356"/>
      <c r="B1356"/>
      <c r="D1356"/>
      <c r="E1356"/>
      <c r="F1356"/>
      <c r="G1356"/>
      <c r="I1356"/>
      <c r="J1356"/>
      <c r="K1356"/>
      <c r="L1356" s="499"/>
      <c r="V1356" s="504"/>
      <c r="BX1356" s="769"/>
      <c r="BY1356" s="179"/>
      <c r="BZ1356" s="179"/>
      <c r="CA1356" s="179"/>
      <c r="CB1356" s="179"/>
      <c r="CC1356" s="179"/>
      <c r="CD1356" s="179"/>
      <c r="CE1356" s="179"/>
      <c r="CF1356" s="179"/>
      <c r="CG1356"/>
      <c r="CH1356"/>
      <c r="CI1356"/>
      <c r="CJ1356"/>
      <c r="CK1356"/>
      <c r="CL1356"/>
      <c r="CM1356"/>
    </row>
    <row r="1357" spans="1:91" x14ac:dyDescent="0.2">
      <c r="A1357"/>
      <c r="B1357"/>
      <c r="D1357"/>
      <c r="E1357"/>
      <c r="F1357"/>
      <c r="G1357"/>
      <c r="I1357"/>
      <c r="J1357"/>
      <c r="K1357"/>
      <c r="L1357" s="499"/>
      <c r="V1357" s="504"/>
      <c r="BX1357" s="769"/>
      <c r="BY1357" s="179"/>
      <c r="BZ1357" s="179"/>
      <c r="CA1357" s="179"/>
      <c r="CB1357" s="179"/>
      <c r="CC1357" s="179"/>
      <c r="CD1357" s="179"/>
      <c r="CE1357" s="179"/>
      <c r="CF1357" s="179"/>
      <c r="CG1357"/>
      <c r="CH1357"/>
      <c r="CI1357"/>
      <c r="CJ1357"/>
      <c r="CK1357"/>
      <c r="CL1357"/>
      <c r="CM1357"/>
    </row>
    <row r="1358" spans="1:91" x14ac:dyDescent="0.2">
      <c r="A1358"/>
      <c r="B1358"/>
      <c r="D1358"/>
      <c r="E1358"/>
      <c r="F1358"/>
      <c r="G1358"/>
      <c r="I1358"/>
      <c r="J1358"/>
      <c r="K1358"/>
      <c r="L1358" s="499"/>
      <c r="V1358" s="504"/>
      <c r="BX1358" s="769"/>
      <c r="BY1358" s="179"/>
      <c r="BZ1358" s="179"/>
      <c r="CA1358" s="179"/>
      <c r="CB1358" s="179"/>
      <c r="CC1358" s="179"/>
      <c r="CD1358" s="179"/>
      <c r="CE1358" s="179"/>
      <c r="CF1358" s="179"/>
      <c r="CG1358"/>
      <c r="CH1358"/>
      <c r="CI1358"/>
      <c r="CJ1358"/>
      <c r="CK1358"/>
      <c r="CL1358"/>
      <c r="CM1358"/>
    </row>
    <row r="1359" spans="1:91" x14ac:dyDescent="0.2">
      <c r="A1359"/>
      <c r="B1359"/>
      <c r="D1359"/>
      <c r="E1359"/>
      <c r="F1359"/>
      <c r="G1359"/>
      <c r="I1359"/>
      <c r="J1359"/>
      <c r="K1359"/>
      <c r="L1359" s="499"/>
      <c r="V1359" s="504"/>
      <c r="BX1359" s="769"/>
      <c r="BY1359" s="179"/>
      <c r="BZ1359" s="179"/>
      <c r="CA1359" s="179"/>
      <c r="CB1359" s="179"/>
      <c r="CC1359" s="179"/>
      <c r="CD1359" s="179"/>
      <c r="CE1359" s="179"/>
      <c r="CF1359" s="179"/>
      <c r="CG1359"/>
      <c r="CH1359"/>
      <c r="CI1359"/>
      <c r="CJ1359"/>
      <c r="CK1359"/>
      <c r="CL1359"/>
      <c r="CM1359"/>
    </row>
    <row r="1360" spans="1:91" x14ac:dyDescent="0.2">
      <c r="A1360"/>
      <c r="B1360"/>
      <c r="D1360"/>
      <c r="E1360"/>
      <c r="F1360"/>
      <c r="G1360"/>
      <c r="I1360"/>
      <c r="J1360"/>
      <c r="K1360"/>
      <c r="L1360" s="499"/>
      <c r="V1360" s="504"/>
      <c r="BX1360" s="769"/>
      <c r="BY1360" s="179"/>
      <c r="BZ1360" s="179"/>
      <c r="CA1360" s="179"/>
      <c r="CB1360" s="179"/>
      <c r="CC1360" s="179"/>
      <c r="CD1360" s="179"/>
      <c r="CE1360" s="179"/>
      <c r="CF1360" s="179"/>
      <c r="CG1360"/>
      <c r="CH1360"/>
      <c r="CI1360"/>
      <c r="CJ1360"/>
      <c r="CK1360"/>
      <c r="CL1360"/>
      <c r="CM1360"/>
    </row>
    <row r="1361" spans="1:91" x14ac:dyDescent="0.2">
      <c r="A1361"/>
      <c r="B1361"/>
      <c r="D1361"/>
      <c r="E1361"/>
      <c r="F1361"/>
      <c r="G1361"/>
      <c r="I1361"/>
      <c r="J1361"/>
      <c r="K1361"/>
      <c r="L1361" s="499"/>
      <c r="V1361" s="504"/>
      <c r="BX1361" s="769"/>
      <c r="BY1361" s="179"/>
      <c r="BZ1361" s="179"/>
      <c r="CA1361" s="179"/>
      <c r="CB1361" s="179"/>
      <c r="CC1361" s="179"/>
      <c r="CD1361" s="179"/>
      <c r="CE1361" s="179"/>
      <c r="CF1361" s="179"/>
      <c r="CG1361"/>
      <c r="CH1361"/>
      <c r="CI1361"/>
      <c r="CJ1361"/>
      <c r="CK1361"/>
      <c r="CL1361"/>
      <c r="CM1361"/>
    </row>
    <row r="1362" spans="1:91" x14ac:dyDescent="0.2">
      <c r="A1362"/>
      <c r="B1362"/>
      <c r="D1362"/>
      <c r="E1362"/>
      <c r="F1362"/>
      <c r="G1362"/>
      <c r="I1362"/>
      <c r="J1362"/>
      <c r="K1362"/>
      <c r="L1362" s="499"/>
      <c r="V1362" s="504"/>
      <c r="BX1362" s="769"/>
      <c r="BY1362" s="179"/>
      <c r="BZ1362" s="179"/>
      <c r="CA1362" s="179"/>
      <c r="CB1362" s="179"/>
      <c r="CC1362" s="179"/>
      <c r="CD1362" s="179"/>
      <c r="CE1362" s="179"/>
      <c r="CF1362" s="179"/>
      <c r="CG1362"/>
      <c r="CH1362"/>
      <c r="CI1362"/>
      <c r="CJ1362"/>
      <c r="CK1362"/>
      <c r="CL1362"/>
      <c r="CM1362"/>
    </row>
    <row r="1363" spans="1:91" x14ac:dyDescent="0.2">
      <c r="A1363"/>
      <c r="B1363"/>
      <c r="D1363"/>
      <c r="E1363"/>
      <c r="F1363"/>
      <c r="G1363"/>
      <c r="I1363"/>
      <c r="J1363"/>
      <c r="K1363"/>
      <c r="L1363" s="499"/>
      <c r="V1363" s="504"/>
      <c r="BX1363" s="769"/>
      <c r="BY1363" s="179"/>
      <c r="BZ1363" s="179"/>
      <c r="CA1363" s="179"/>
      <c r="CB1363" s="179"/>
      <c r="CC1363" s="179"/>
      <c r="CD1363" s="179"/>
      <c r="CE1363" s="179"/>
      <c r="CF1363" s="179"/>
      <c r="CG1363"/>
      <c r="CH1363"/>
      <c r="CI1363"/>
      <c r="CJ1363"/>
      <c r="CK1363"/>
      <c r="CL1363"/>
      <c r="CM1363"/>
    </row>
    <row r="1364" spans="1:91" x14ac:dyDescent="0.2">
      <c r="A1364"/>
      <c r="B1364"/>
      <c r="D1364"/>
      <c r="E1364"/>
      <c r="F1364"/>
      <c r="G1364"/>
      <c r="I1364"/>
      <c r="J1364"/>
      <c r="K1364"/>
      <c r="L1364" s="499"/>
      <c r="V1364" s="504"/>
      <c r="BX1364" s="769"/>
      <c r="BY1364" s="179"/>
      <c r="BZ1364" s="179"/>
      <c r="CA1364" s="179"/>
      <c r="CB1364" s="179"/>
      <c r="CC1364" s="179"/>
      <c r="CD1364" s="179"/>
      <c r="CE1364" s="179"/>
      <c r="CF1364" s="179"/>
      <c r="CG1364"/>
      <c r="CH1364"/>
      <c r="CI1364"/>
      <c r="CJ1364"/>
      <c r="CK1364"/>
      <c r="CL1364"/>
      <c r="CM1364"/>
    </row>
    <row r="1365" spans="1:91" x14ac:dyDescent="0.2">
      <c r="A1365"/>
      <c r="B1365"/>
      <c r="D1365"/>
      <c r="E1365"/>
      <c r="F1365"/>
      <c r="G1365"/>
      <c r="I1365"/>
      <c r="J1365"/>
      <c r="K1365"/>
      <c r="L1365" s="499"/>
      <c r="V1365" s="504"/>
      <c r="BX1365" s="769"/>
      <c r="BY1365" s="179"/>
      <c r="BZ1365" s="179"/>
      <c r="CA1365" s="179"/>
      <c r="CB1365" s="179"/>
      <c r="CC1365" s="179"/>
      <c r="CD1365" s="179"/>
      <c r="CE1365" s="179"/>
      <c r="CF1365" s="179"/>
      <c r="CG1365"/>
      <c r="CH1365"/>
      <c r="CI1365"/>
      <c r="CJ1365"/>
      <c r="CK1365"/>
      <c r="CL1365"/>
      <c r="CM1365"/>
    </row>
    <row r="1366" spans="1:91" x14ac:dyDescent="0.2">
      <c r="A1366"/>
      <c r="B1366"/>
      <c r="D1366"/>
      <c r="E1366"/>
      <c r="F1366"/>
      <c r="G1366"/>
      <c r="I1366"/>
      <c r="J1366"/>
      <c r="K1366"/>
      <c r="L1366" s="499"/>
      <c r="V1366" s="504"/>
      <c r="BX1366" s="769"/>
      <c r="BY1366" s="179"/>
      <c r="BZ1366" s="179"/>
      <c r="CA1366" s="179"/>
      <c r="CB1366" s="179"/>
      <c r="CC1366" s="179"/>
      <c r="CD1366" s="179"/>
      <c r="CE1366" s="179"/>
      <c r="CF1366" s="179"/>
      <c r="CG1366"/>
      <c r="CH1366"/>
      <c r="CI1366"/>
      <c r="CJ1366"/>
      <c r="CK1366"/>
      <c r="CL1366"/>
      <c r="CM1366"/>
    </row>
    <row r="1367" spans="1:91" x14ac:dyDescent="0.2">
      <c r="A1367"/>
      <c r="B1367"/>
      <c r="D1367"/>
      <c r="E1367"/>
      <c r="F1367"/>
      <c r="G1367"/>
      <c r="I1367"/>
      <c r="J1367"/>
      <c r="K1367"/>
      <c r="L1367" s="499"/>
      <c r="V1367" s="504"/>
      <c r="BX1367" s="769"/>
      <c r="BY1367" s="179"/>
      <c r="BZ1367" s="179"/>
      <c r="CA1367" s="179"/>
      <c r="CB1367" s="179"/>
      <c r="CC1367" s="179"/>
      <c r="CD1367" s="179"/>
      <c r="CE1367" s="179"/>
      <c r="CF1367" s="179"/>
      <c r="CG1367"/>
      <c r="CH1367"/>
      <c r="CI1367"/>
      <c r="CJ1367"/>
      <c r="CK1367"/>
      <c r="CL1367"/>
      <c r="CM1367"/>
    </row>
    <row r="1368" spans="1:91" x14ac:dyDescent="0.2">
      <c r="A1368"/>
      <c r="B1368"/>
      <c r="D1368"/>
      <c r="E1368"/>
      <c r="F1368"/>
      <c r="G1368"/>
      <c r="I1368"/>
      <c r="J1368"/>
      <c r="K1368"/>
      <c r="L1368" s="499"/>
      <c r="V1368" s="504"/>
      <c r="BX1368" s="769"/>
      <c r="BY1368" s="179"/>
      <c r="BZ1368" s="179"/>
      <c r="CA1368" s="179"/>
      <c r="CB1368" s="179"/>
      <c r="CC1368" s="179"/>
      <c r="CD1368" s="179"/>
      <c r="CE1368" s="179"/>
      <c r="CF1368" s="179"/>
      <c r="CG1368"/>
      <c r="CH1368"/>
      <c r="CI1368"/>
      <c r="CJ1368"/>
      <c r="CK1368"/>
      <c r="CL1368"/>
      <c r="CM1368"/>
    </row>
    <row r="1369" spans="1:91" x14ac:dyDescent="0.2">
      <c r="A1369"/>
      <c r="B1369"/>
      <c r="D1369"/>
      <c r="E1369"/>
      <c r="F1369"/>
      <c r="G1369"/>
      <c r="I1369"/>
      <c r="J1369"/>
      <c r="K1369"/>
      <c r="L1369" s="499"/>
      <c r="V1369" s="504"/>
      <c r="BX1369" s="769"/>
      <c r="BY1369" s="179"/>
      <c r="BZ1369" s="179"/>
      <c r="CA1369" s="179"/>
      <c r="CB1369" s="179"/>
      <c r="CC1369" s="179"/>
      <c r="CD1369" s="179"/>
      <c r="CE1369" s="179"/>
      <c r="CF1369" s="179"/>
      <c r="CG1369"/>
      <c r="CH1369"/>
      <c r="CI1369"/>
      <c r="CJ1369"/>
      <c r="CK1369"/>
      <c r="CL1369"/>
      <c r="CM1369"/>
    </row>
    <row r="1370" spans="1:91" x14ac:dyDescent="0.2">
      <c r="A1370"/>
      <c r="B1370"/>
      <c r="D1370"/>
      <c r="E1370"/>
      <c r="F1370"/>
      <c r="G1370"/>
      <c r="I1370"/>
      <c r="J1370"/>
      <c r="K1370"/>
      <c r="L1370" s="499"/>
      <c r="V1370" s="504"/>
      <c r="BX1370" s="769"/>
      <c r="BY1370" s="179"/>
      <c r="BZ1370" s="179"/>
      <c r="CA1370" s="179"/>
      <c r="CB1370" s="179"/>
      <c r="CC1370" s="179"/>
      <c r="CD1370" s="179"/>
      <c r="CE1370" s="179"/>
      <c r="CF1370" s="179"/>
      <c r="CG1370"/>
      <c r="CH1370"/>
      <c r="CI1370"/>
      <c r="CJ1370"/>
      <c r="CK1370"/>
      <c r="CL1370"/>
      <c r="CM1370"/>
    </row>
    <row r="1371" spans="1:91" x14ac:dyDescent="0.2">
      <c r="A1371"/>
      <c r="B1371"/>
      <c r="D1371"/>
      <c r="E1371"/>
      <c r="F1371"/>
      <c r="G1371"/>
      <c r="I1371"/>
      <c r="J1371"/>
      <c r="K1371"/>
      <c r="L1371" s="499"/>
      <c r="V1371" s="504"/>
      <c r="BX1371" s="769"/>
      <c r="BY1371" s="179"/>
      <c r="BZ1371" s="179"/>
      <c r="CA1371" s="179"/>
      <c r="CB1371" s="179"/>
      <c r="CC1371" s="179"/>
      <c r="CD1371" s="179"/>
      <c r="CE1371" s="179"/>
      <c r="CF1371" s="179"/>
      <c r="CG1371"/>
      <c r="CH1371"/>
      <c r="CI1371"/>
      <c r="CJ1371"/>
      <c r="CK1371"/>
      <c r="CL1371"/>
      <c r="CM1371"/>
    </row>
    <row r="1372" spans="1:91" x14ac:dyDescent="0.2">
      <c r="A1372"/>
      <c r="B1372"/>
      <c r="D1372"/>
      <c r="E1372"/>
      <c r="F1372"/>
      <c r="G1372"/>
      <c r="I1372"/>
      <c r="J1372"/>
      <c r="K1372"/>
      <c r="L1372" s="499"/>
      <c r="V1372" s="504"/>
      <c r="BX1372" s="769"/>
      <c r="BY1372" s="179"/>
      <c r="BZ1372" s="179"/>
      <c r="CA1372" s="179"/>
      <c r="CB1372" s="179"/>
      <c r="CC1372" s="179"/>
      <c r="CD1372" s="179"/>
      <c r="CE1372" s="179"/>
      <c r="CF1372" s="179"/>
      <c r="CG1372"/>
      <c r="CH1372"/>
      <c r="CI1372"/>
      <c r="CJ1372"/>
      <c r="CK1372"/>
      <c r="CL1372"/>
      <c r="CM1372"/>
    </row>
    <row r="1373" spans="1:91" x14ac:dyDescent="0.2">
      <c r="A1373"/>
      <c r="B1373"/>
      <c r="D1373"/>
      <c r="E1373"/>
      <c r="F1373"/>
      <c r="G1373"/>
      <c r="I1373"/>
      <c r="J1373"/>
      <c r="K1373"/>
      <c r="L1373" s="499"/>
      <c r="V1373" s="504"/>
      <c r="BX1373" s="769"/>
      <c r="BY1373" s="179"/>
      <c r="BZ1373" s="179"/>
      <c r="CA1373" s="179"/>
      <c r="CB1373" s="179"/>
      <c r="CC1373" s="179"/>
      <c r="CD1373" s="179"/>
      <c r="CE1373" s="179"/>
      <c r="CF1373" s="179"/>
      <c r="CG1373"/>
      <c r="CH1373"/>
      <c r="CI1373"/>
      <c r="CJ1373"/>
      <c r="CK1373"/>
      <c r="CL1373"/>
      <c r="CM1373"/>
    </row>
    <row r="1374" spans="1:91" x14ac:dyDescent="0.2">
      <c r="A1374"/>
      <c r="B1374"/>
      <c r="D1374"/>
      <c r="E1374"/>
      <c r="F1374"/>
      <c r="G1374"/>
      <c r="I1374"/>
      <c r="J1374"/>
      <c r="K1374"/>
      <c r="L1374" s="499"/>
      <c r="V1374" s="504"/>
      <c r="BX1374" s="769"/>
      <c r="BY1374" s="179"/>
      <c r="BZ1374" s="179"/>
      <c r="CA1374" s="179"/>
      <c r="CB1374" s="179"/>
      <c r="CC1374" s="179"/>
      <c r="CD1374" s="179"/>
      <c r="CE1374" s="179"/>
      <c r="CF1374" s="179"/>
      <c r="CG1374"/>
      <c r="CH1374"/>
      <c r="CI1374"/>
      <c r="CJ1374"/>
      <c r="CK1374"/>
      <c r="CL1374"/>
      <c r="CM1374"/>
    </row>
    <row r="1375" spans="1:91" x14ac:dyDescent="0.2">
      <c r="A1375"/>
      <c r="B1375"/>
      <c r="D1375"/>
      <c r="E1375"/>
      <c r="F1375"/>
      <c r="G1375"/>
      <c r="I1375"/>
      <c r="J1375"/>
      <c r="K1375"/>
      <c r="L1375" s="499"/>
      <c r="V1375" s="504"/>
      <c r="BX1375" s="769"/>
      <c r="BY1375" s="179"/>
      <c r="BZ1375" s="179"/>
      <c r="CA1375" s="179"/>
      <c r="CB1375" s="179"/>
      <c r="CC1375" s="179"/>
      <c r="CD1375" s="179"/>
      <c r="CE1375" s="179"/>
      <c r="CF1375" s="179"/>
      <c r="CG1375"/>
      <c r="CH1375"/>
      <c r="CI1375"/>
      <c r="CJ1375"/>
      <c r="CK1375"/>
      <c r="CL1375"/>
      <c r="CM1375"/>
    </row>
    <row r="1376" spans="1:91" x14ac:dyDescent="0.2">
      <c r="A1376"/>
      <c r="B1376"/>
      <c r="D1376"/>
      <c r="E1376"/>
      <c r="F1376"/>
      <c r="G1376"/>
      <c r="I1376"/>
      <c r="J1376"/>
      <c r="K1376"/>
      <c r="L1376" s="499"/>
      <c r="V1376" s="504"/>
      <c r="BX1376" s="769"/>
      <c r="BY1376" s="179"/>
      <c r="BZ1376" s="179"/>
      <c r="CA1376" s="179"/>
      <c r="CB1376" s="179"/>
      <c r="CC1376" s="179"/>
      <c r="CD1376" s="179"/>
      <c r="CE1376" s="179"/>
      <c r="CF1376" s="179"/>
      <c r="CG1376"/>
      <c r="CH1376"/>
      <c r="CI1376"/>
      <c r="CJ1376"/>
      <c r="CK1376"/>
      <c r="CL1376"/>
      <c r="CM1376"/>
    </row>
    <row r="1377" spans="1:91" x14ac:dyDescent="0.2">
      <c r="A1377"/>
      <c r="B1377"/>
      <c r="D1377"/>
      <c r="E1377"/>
      <c r="F1377"/>
      <c r="G1377"/>
      <c r="I1377"/>
      <c r="J1377"/>
      <c r="K1377"/>
      <c r="L1377" s="499"/>
      <c r="V1377" s="504"/>
      <c r="BX1377" s="769"/>
      <c r="BY1377" s="179"/>
      <c r="BZ1377" s="179"/>
      <c r="CA1377" s="179"/>
      <c r="CB1377" s="179"/>
      <c r="CC1377" s="179"/>
      <c r="CD1377" s="179"/>
      <c r="CE1377" s="179"/>
      <c r="CF1377" s="179"/>
      <c r="CG1377"/>
      <c r="CH1377"/>
      <c r="CI1377"/>
      <c r="CJ1377"/>
      <c r="CK1377"/>
      <c r="CL1377"/>
      <c r="CM1377"/>
    </row>
    <row r="1378" spans="1:91" x14ac:dyDescent="0.2">
      <c r="A1378"/>
      <c r="B1378"/>
      <c r="D1378"/>
      <c r="E1378"/>
      <c r="F1378"/>
      <c r="G1378"/>
      <c r="I1378"/>
      <c r="J1378"/>
      <c r="K1378"/>
      <c r="L1378" s="499"/>
      <c r="V1378" s="504"/>
      <c r="BX1378" s="769"/>
      <c r="BY1378" s="179"/>
      <c r="BZ1378" s="179"/>
      <c r="CA1378" s="179"/>
      <c r="CB1378" s="179"/>
      <c r="CC1378" s="179"/>
      <c r="CD1378" s="179"/>
      <c r="CE1378" s="179"/>
      <c r="CF1378" s="179"/>
      <c r="CG1378"/>
      <c r="CH1378"/>
      <c r="CI1378"/>
      <c r="CJ1378"/>
      <c r="CK1378"/>
      <c r="CL1378"/>
      <c r="CM1378"/>
    </row>
    <row r="1379" spans="1:91" x14ac:dyDescent="0.2">
      <c r="A1379"/>
      <c r="B1379"/>
      <c r="D1379"/>
      <c r="E1379"/>
      <c r="F1379"/>
      <c r="G1379"/>
      <c r="I1379"/>
      <c r="J1379"/>
      <c r="K1379"/>
      <c r="L1379" s="499"/>
      <c r="V1379" s="504"/>
      <c r="BX1379" s="769"/>
      <c r="BY1379" s="179"/>
      <c r="BZ1379" s="179"/>
      <c r="CA1379" s="179"/>
      <c r="CB1379" s="179"/>
      <c r="CC1379" s="179"/>
      <c r="CD1379" s="179"/>
      <c r="CE1379" s="179"/>
      <c r="CF1379" s="179"/>
      <c r="CG1379"/>
      <c r="CH1379"/>
      <c r="CI1379"/>
      <c r="CJ1379"/>
      <c r="CK1379"/>
      <c r="CL1379"/>
      <c r="CM1379"/>
    </row>
    <row r="1380" spans="1:91" x14ac:dyDescent="0.2">
      <c r="A1380"/>
      <c r="B1380"/>
      <c r="D1380"/>
      <c r="E1380"/>
      <c r="F1380"/>
      <c r="G1380"/>
      <c r="I1380"/>
      <c r="J1380"/>
      <c r="K1380"/>
      <c r="L1380" s="499"/>
      <c r="V1380" s="504"/>
      <c r="BX1380" s="769"/>
      <c r="BY1380" s="179"/>
      <c r="BZ1380" s="179"/>
      <c r="CA1380" s="179"/>
      <c r="CB1380" s="179"/>
      <c r="CC1380" s="179"/>
      <c r="CD1380" s="179"/>
      <c r="CE1380" s="179"/>
      <c r="CF1380" s="179"/>
      <c r="CG1380"/>
      <c r="CH1380"/>
      <c r="CI1380"/>
      <c r="CJ1380"/>
      <c r="CK1380"/>
      <c r="CL1380"/>
      <c r="CM1380"/>
    </row>
    <row r="1381" spans="1:91" x14ac:dyDescent="0.2">
      <c r="A1381"/>
      <c r="B1381"/>
      <c r="D1381"/>
      <c r="E1381"/>
      <c r="F1381"/>
      <c r="G1381"/>
      <c r="I1381"/>
      <c r="J1381"/>
      <c r="K1381"/>
      <c r="L1381" s="499"/>
      <c r="V1381" s="504"/>
      <c r="BX1381" s="769"/>
      <c r="BY1381" s="179"/>
      <c r="BZ1381" s="179"/>
      <c r="CA1381" s="179"/>
      <c r="CB1381" s="179"/>
      <c r="CC1381" s="179"/>
      <c r="CD1381" s="179"/>
      <c r="CE1381" s="179"/>
      <c r="CF1381" s="179"/>
      <c r="CG1381"/>
      <c r="CH1381"/>
      <c r="CI1381"/>
      <c r="CJ1381"/>
      <c r="CK1381"/>
      <c r="CL1381"/>
      <c r="CM1381"/>
    </row>
    <row r="1382" spans="1:91" x14ac:dyDescent="0.2">
      <c r="A1382"/>
      <c r="B1382"/>
      <c r="D1382"/>
      <c r="E1382"/>
      <c r="F1382"/>
      <c r="G1382"/>
      <c r="I1382"/>
      <c r="J1382"/>
      <c r="K1382"/>
      <c r="L1382" s="499"/>
      <c r="V1382" s="504"/>
      <c r="BX1382" s="769"/>
      <c r="BY1382" s="179"/>
      <c r="BZ1382" s="179"/>
      <c r="CA1382" s="179"/>
      <c r="CB1382" s="179"/>
      <c r="CC1382" s="179"/>
      <c r="CD1382" s="179"/>
      <c r="CE1382" s="179"/>
      <c r="CF1382" s="179"/>
      <c r="CG1382"/>
      <c r="CH1382"/>
      <c r="CI1382"/>
      <c r="CJ1382"/>
      <c r="CK1382"/>
      <c r="CL1382"/>
      <c r="CM1382"/>
    </row>
    <row r="1383" spans="1:91" x14ac:dyDescent="0.2">
      <c r="A1383"/>
      <c r="B1383"/>
      <c r="D1383"/>
      <c r="E1383"/>
      <c r="F1383"/>
      <c r="G1383"/>
      <c r="I1383"/>
      <c r="J1383"/>
      <c r="K1383"/>
      <c r="L1383" s="499"/>
      <c r="V1383" s="504"/>
      <c r="BX1383" s="769"/>
      <c r="BY1383" s="179"/>
      <c r="BZ1383" s="179"/>
      <c r="CA1383" s="179"/>
      <c r="CB1383" s="179"/>
      <c r="CC1383" s="179"/>
      <c r="CD1383" s="179"/>
      <c r="CE1383" s="179"/>
      <c r="CF1383" s="179"/>
      <c r="CG1383"/>
      <c r="CH1383"/>
      <c r="CI1383"/>
      <c r="CJ1383"/>
      <c r="CK1383"/>
      <c r="CL1383"/>
      <c r="CM1383"/>
    </row>
    <row r="1384" spans="1:91" x14ac:dyDescent="0.2">
      <c r="A1384"/>
      <c r="B1384"/>
      <c r="D1384"/>
      <c r="E1384"/>
      <c r="F1384"/>
      <c r="G1384"/>
      <c r="I1384"/>
      <c r="J1384"/>
      <c r="K1384"/>
      <c r="L1384" s="499"/>
      <c r="V1384" s="504"/>
      <c r="BX1384" s="769"/>
      <c r="BY1384" s="179"/>
      <c r="BZ1384" s="179"/>
      <c r="CA1384" s="179"/>
      <c r="CB1384" s="179"/>
      <c r="CC1384" s="179"/>
      <c r="CD1384" s="179"/>
      <c r="CE1384" s="179"/>
      <c r="CF1384" s="179"/>
      <c r="CG1384"/>
      <c r="CH1384"/>
      <c r="CI1384"/>
      <c r="CJ1384"/>
      <c r="CK1384"/>
      <c r="CL1384"/>
      <c r="CM1384"/>
    </row>
    <row r="1385" spans="1:91" x14ac:dyDescent="0.2">
      <c r="A1385"/>
      <c r="B1385"/>
      <c r="D1385"/>
      <c r="E1385"/>
      <c r="F1385"/>
      <c r="G1385"/>
      <c r="I1385"/>
      <c r="J1385"/>
      <c r="K1385"/>
      <c r="L1385" s="499"/>
      <c r="V1385" s="504"/>
      <c r="BX1385" s="769"/>
      <c r="BY1385" s="179"/>
      <c r="BZ1385" s="179"/>
      <c r="CA1385" s="179"/>
      <c r="CB1385" s="179"/>
      <c r="CC1385" s="179"/>
      <c r="CD1385" s="179"/>
      <c r="CE1385" s="179"/>
      <c r="CF1385" s="179"/>
      <c r="CG1385"/>
      <c r="CH1385"/>
      <c r="CI1385"/>
      <c r="CJ1385"/>
      <c r="CK1385"/>
      <c r="CL1385"/>
      <c r="CM1385"/>
    </row>
    <row r="1386" spans="1:91" x14ac:dyDescent="0.2">
      <c r="A1386"/>
      <c r="B1386"/>
      <c r="D1386"/>
      <c r="E1386"/>
      <c r="F1386"/>
      <c r="G1386"/>
      <c r="I1386"/>
      <c r="J1386"/>
      <c r="K1386"/>
      <c r="L1386" s="499"/>
      <c r="V1386" s="504"/>
      <c r="BX1386" s="769"/>
      <c r="BY1386" s="179"/>
      <c r="BZ1386" s="179"/>
      <c r="CA1386" s="179"/>
      <c r="CB1386" s="179"/>
      <c r="CC1386" s="179"/>
      <c r="CD1386" s="179"/>
      <c r="CE1386" s="179"/>
      <c r="CF1386" s="179"/>
      <c r="CG1386"/>
      <c r="CH1386"/>
      <c r="CI1386"/>
      <c r="CJ1386"/>
      <c r="CK1386"/>
      <c r="CL1386"/>
      <c r="CM1386"/>
    </row>
    <row r="1387" spans="1:91" x14ac:dyDescent="0.2">
      <c r="A1387"/>
      <c r="B1387"/>
      <c r="D1387"/>
      <c r="E1387"/>
      <c r="F1387"/>
      <c r="G1387"/>
      <c r="I1387"/>
      <c r="J1387"/>
      <c r="K1387"/>
      <c r="L1387" s="499"/>
      <c r="V1387" s="504"/>
      <c r="BX1387" s="769"/>
      <c r="BY1387" s="179"/>
      <c r="BZ1387" s="179"/>
      <c r="CA1387" s="179"/>
      <c r="CB1387" s="179"/>
      <c r="CC1387" s="179"/>
      <c r="CD1387" s="179"/>
      <c r="CE1387" s="179"/>
      <c r="CF1387" s="179"/>
      <c r="CG1387"/>
      <c r="CH1387"/>
      <c r="CI1387"/>
      <c r="CJ1387"/>
      <c r="CK1387"/>
      <c r="CL1387"/>
      <c r="CM1387"/>
    </row>
    <row r="1388" spans="1:91" x14ac:dyDescent="0.2">
      <c r="A1388"/>
      <c r="B1388"/>
      <c r="D1388"/>
      <c r="E1388"/>
      <c r="F1388"/>
      <c r="G1388"/>
      <c r="I1388"/>
      <c r="J1388"/>
      <c r="K1388"/>
      <c r="L1388" s="499"/>
      <c r="V1388" s="504"/>
      <c r="BX1388" s="769"/>
      <c r="BY1388" s="179"/>
      <c r="BZ1388" s="179"/>
      <c r="CA1388" s="179"/>
      <c r="CB1388" s="179"/>
      <c r="CC1388" s="179"/>
      <c r="CD1388" s="179"/>
      <c r="CE1388" s="179"/>
      <c r="CF1388" s="179"/>
      <c r="CG1388"/>
      <c r="CH1388"/>
      <c r="CI1388"/>
      <c r="CJ1388"/>
      <c r="CK1388"/>
      <c r="CL1388"/>
      <c r="CM1388"/>
    </row>
    <row r="1389" spans="1:91" x14ac:dyDescent="0.2">
      <c r="A1389"/>
      <c r="B1389"/>
      <c r="D1389"/>
      <c r="E1389"/>
      <c r="F1389"/>
      <c r="G1389"/>
      <c r="I1389"/>
      <c r="J1389"/>
      <c r="K1389"/>
      <c r="L1389" s="499"/>
      <c r="V1389" s="504"/>
      <c r="BX1389" s="769"/>
      <c r="BY1389" s="179"/>
      <c r="BZ1389" s="179"/>
      <c r="CA1389" s="179"/>
      <c r="CB1389" s="179"/>
      <c r="CC1389" s="179"/>
      <c r="CD1389" s="179"/>
      <c r="CE1389" s="179"/>
      <c r="CF1389" s="179"/>
      <c r="CG1389"/>
      <c r="CH1389"/>
      <c r="CI1389"/>
      <c r="CJ1389"/>
      <c r="CK1389"/>
      <c r="CL1389"/>
      <c r="CM1389"/>
    </row>
    <row r="1390" spans="1:91" x14ac:dyDescent="0.2">
      <c r="A1390"/>
      <c r="B1390"/>
      <c r="D1390"/>
      <c r="E1390"/>
      <c r="F1390"/>
      <c r="G1390"/>
      <c r="I1390"/>
      <c r="J1390"/>
      <c r="K1390"/>
      <c r="L1390" s="499"/>
      <c r="V1390" s="504"/>
      <c r="BX1390" s="769"/>
      <c r="BY1390" s="179"/>
      <c r="BZ1390" s="179"/>
      <c r="CA1390" s="179"/>
      <c r="CB1390" s="179"/>
      <c r="CC1390" s="179"/>
      <c r="CD1390" s="179"/>
      <c r="CE1390" s="179"/>
      <c r="CF1390" s="179"/>
      <c r="CG1390"/>
      <c r="CH1390"/>
      <c r="CI1390"/>
      <c r="CJ1390"/>
      <c r="CK1390"/>
      <c r="CL1390"/>
      <c r="CM1390"/>
    </row>
    <row r="1391" spans="1:91" x14ac:dyDescent="0.2">
      <c r="A1391"/>
      <c r="B1391"/>
      <c r="D1391"/>
      <c r="E1391"/>
      <c r="F1391"/>
      <c r="G1391"/>
      <c r="I1391"/>
      <c r="J1391"/>
      <c r="K1391"/>
      <c r="L1391" s="499"/>
      <c r="V1391" s="504"/>
      <c r="BX1391" s="769"/>
      <c r="BY1391" s="179"/>
      <c r="BZ1391" s="179"/>
      <c r="CA1391" s="179"/>
      <c r="CB1391" s="179"/>
      <c r="CC1391" s="179"/>
      <c r="CD1391" s="179"/>
      <c r="CE1391" s="179"/>
      <c r="CF1391" s="179"/>
      <c r="CG1391"/>
      <c r="CH1391"/>
      <c r="CI1391"/>
      <c r="CJ1391"/>
      <c r="CK1391"/>
      <c r="CL1391"/>
      <c r="CM1391"/>
    </row>
    <row r="1392" spans="1:91" x14ac:dyDescent="0.2">
      <c r="A1392"/>
      <c r="B1392"/>
      <c r="D1392"/>
      <c r="E1392"/>
      <c r="F1392"/>
      <c r="G1392"/>
      <c r="I1392"/>
      <c r="J1392"/>
      <c r="K1392"/>
      <c r="L1392" s="499"/>
      <c r="V1392" s="504"/>
      <c r="BX1392" s="769"/>
      <c r="BY1392" s="179"/>
      <c r="BZ1392" s="179"/>
      <c r="CA1392" s="179"/>
      <c r="CB1392" s="179"/>
      <c r="CC1392" s="179"/>
      <c r="CD1392" s="179"/>
      <c r="CE1392" s="179"/>
      <c r="CF1392" s="179"/>
      <c r="CG1392"/>
      <c r="CH1392"/>
      <c r="CI1392"/>
      <c r="CJ1392"/>
      <c r="CK1392"/>
      <c r="CL1392"/>
      <c r="CM1392"/>
    </row>
    <row r="1393" spans="1:91" x14ac:dyDescent="0.2">
      <c r="A1393"/>
      <c r="B1393"/>
      <c r="D1393"/>
      <c r="E1393"/>
      <c r="F1393"/>
      <c r="G1393"/>
      <c r="I1393"/>
      <c r="J1393"/>
      <c r="K1393"/>
      <c r="L1393" s="499"/>
      <c r="V1393" s="504"/>
      <c r="BX1393" s="769"/>
      <c r="BY1393" s="179"/>
      <c r="BZ1393" s="179"/>
      <c r="CA1393" s="179"/>
      <c r="CB1393" s="179"/>
      <c r="CC1393" s="179"/>
      <c r="CD1393" s="179"/>
      <c r="CE1393" s="179"/>
      <c r="CF1393" s="179"/>
      <c r="CG1393"/>
      <c r="CH1393"/>
      <c r="CI1393"/>
      <c r="CJ1393"/>
      <c r="CK1393"/>
      <c r="CL1393"/>
      <c r="CM1393"/>
    </row>
    <row r="1394" spans="1:91" x14ac:dyDescent="0.2">
      <c r="A1394"/>
      <c r="B1394"/>
      <c r="D1394"/>
      <c r="E1394"/>
      <c r="F1394"/>
      <c r="G1394"/>
      <c r="I1394"/>
      <c r="J1394"/>
      <c r="K1394"/>
      <c r="L1394" s="499"/>
      <c r="V1394" s="504"/>
      <c r="BX1394" s="769"/>
      <c r="BY1394" s="179"/>
      <c r="BZ1394" s="179"/>
      <c r="CA1394" s="179"/>
      <c r="CB1394" s="179"/>
      <c r="CC1394" s="179"/>
      <c r="CD1394" s="179"/>
      <c r="CE1394" s="179"/>
      <c r="CF1394" s="179"/>
      <c r="CG1394"/>
      <c r="CH1394"/>
      <c r="CI1394"/>
      <c r="CJ1394"/>
      <c r="CK1394"/>
      <c r="CL1394"/>
      <c r="CM1394"/>
    </row>
    <row r="1395" spans="1:91" x14ac:dyDescent="0.2">
      <c r="A1395"/>
      <c r="B1395"/>
      <c r="D1395"/>
      <c r="E1395"/>
      <c r="F1395"/>
      <c r="G1395"/>
      <c r="I1395"/>
      <c r="J1395"/>
      <c r="K1395"/>
      <c r="L1395" s="499"/>
      <c r="V1395" s="504"/>
      <c r="BX1395" s="769"/>
      <c r="BY1395" s="179"/>
      <c r="BZ1395" s="179"/>
      <c r="CA1395" s="179"/>
      <c r="CB1395" s="179"/>
      <c r="CC1395" s="179"/>
      <c r="CD1395" s="179"/>
      <c r="CE1395" s="179"/>
      <c r="CF1395" s="179"/>
      <c r="CG1395"/>
      <c r="CH1395"/>
      <c r="CI1395"/>
      <c r="CJ1395"/>
      <c r="CK1395"/>
      <c r="CL1395"/>
      <c r="CM1395"/>
    </row>
    <row r="1396" spans="1:91" x14ac:dyDescent="0.2">
      <c r="A1396"/>
      <c r="B1396"/>
      <c r="D1396"/>
      <c r="E1396"/>
      <c r="F1396"/>
      <c r="G1396"/>
      <c r="I1396"/>
      <c r="J1396"/>
      <c r="K1396"/>
      <c r="L1396" s="499"/>
      <c r="V1396" s="504"/>
      <c r="BX1396" s="769"/>
      <c r="BY1396" s="179"/>
      <c r="BZ1396" s="179"/>
      <c r="CA1396" s="179"/>
      <c r="CB1396" s="179"/>
      <c r="CC1396" s="179"/>
      <c r="CD1396" s="179"/>
      <c r="CE1396" s="179"/>
      <c r="CF1396" s="179"/>
      <c r="CG1396"/>
      <c r="CH1396"/>
      <c r="CI1396"/>
      <c r="CJ1396"/>
      <c r="CK1396"/>
      <c r="CL1396"/>
      <c r="CM1396"/>
    </row>
    <row r="1397" spans="1:91" x14ac:dyDescent="0.2">
      <c r="A1397"/>
      <c r="B1397"/>
      <c r="D1397"/>
      <c r="E1397"/>
      <c r="F1397"/>
      <c r="G1397"/>
      <c r="I1397"/>
      <c r="J1397"/>
      <c r="K1397"/>
      <c r="L1397" s="499"/>
      <c r="V1397" s="504"/>
      <c r="BX1397" s="769"/>
      <c r="BY1397" s="179"/>
      <c r="BZ1397" s="179"/>
      <c r="CA1397" s="179"/>
      <c r="CB1397" s="179"/>
      <c r="CC1397" s="179"/>
      <c r="CD1397" s="179"/>
      <c r="CE1397" s="179"/>
      <c r="CF1397" s="179"/>
      <c r="CG1397"/>
      <c r="CH1397"/>
      <c r="CI1397"/>
      <c r="CJ1397"/>
      <c r="CK1397"/>
      <c r="CL1397"/>
      <c r="CM1397"/>
    </row>
    <row r="1398" spans="1:91" x14ac:dyDescent="0.2">
      <c r="A1398"/>
      <c r="B1398"/>
      <c r="D1398"/>
      <c r="E1398"/>
      <c r="F1398"/>
      <c r="G1398"/>
      <c r="I1398"/>
      <c r="J1398"/>
      <c r="K1398"/>
      <c r="L1398" s="499"/>
      <c r="V1398" s="504"/>
      <c r="BX1398" s="769"/>
      <c r="BY1398" s="179"/>
      <c r="BZ1398" s="179"/>
      <c r="CA1398" s="179"/>
      <c r="CB1398" s="179"/>
      <c r="CC1398" s="179"/>
      <c r="CD1398" s="179"/>
      <c r="CE1398" s="179"/>
      <c r="CF1398" s="179"/>
      <c r="CG1398"/>
      <c r="CH1398"/>
      <c r="CI1398"/>
      <c r="CJ1398"/>
      <c r="CK1398"/>
      <c r="CL1398"/>
      <c r="CM1398"/>
    </row>
    <row r="1399" spans="1:91" x14ac:dyDescent="0.2">
      <c r="A1399"/>
      <c r="B1399"/>
      <c r="D1399"/>
      <c r="E1399"/>
      <c r="F1399"/>
      <c r="G1399"/>
      <c r="I1399"/>
      <c r="J1399"/>
      <c r="K1399"/>
      <c r="L1399" s="499"/>
      <c r="V1399" s="504"/>
      <c r="BX1399" s="769"/>
      <c r="BY1399" s="179"/>
      <c r="BZ1399" s="179"/>
      <c r="CA1399" s="179"/>
      <c r="CB1399" s="179"/>
      <c r="CC1399" s="179"/>
      <c r="CD1399" s="179"/>
      <c r="CE1399" s="179"/>
      <c r="CF1399" s="179"/>
      <c r="CG1399"/>
      <c r="CH1399"/>
      <c r="CI1399"/>
      <c r="CJ1399"/>
      <c r="CK1399"/>
      <c r="CL1399"/>
      <c r="CM1399"/>
    </row>
    <row r="1400" spans="1:91" x14ac:dyDescent="0.2">
      <c r="A1400"/>
      <c r="B1400"/>
      <c r="D1400"/>
      <c r="E1400"/>
      <c r="F1400"/>
      <c r="G1400"/>
      <c r="I1400"/>
      <c r="J1400"/>
      <c r="K1400"/>
      <c r="L1400" s="499"/>
      <c r="V1400" s="504"/>
      <c r="BX1400" s="769"/>
      <c r="BY1400" s="179"/>
      <c r="BZ1400" s="179"/>
      <c r="CA1400" s="179"/>
      <c r="CB1400" s="179"/>
      <c r="CC1400" s="179"/>
      <c r="CD1400" s="179"/>
      <c r="CE1400" s="179"/>
      <c r="CF1400" s="179"/>
      <c r="CG1400"/>
      <c r="CH1400"/>
      <c r="CI1400"/>
      <c r="CJ1400"/>
      <c r="CK1400"/>
      <c r="CL1400"/>
      <c r="CM1400"/>
    </row>
    <row r="1401" spans="1:91" x14ac:dyDescent="0.2">
      <c r="A1401"/>
      <c r="B1401"/>
      <c r="D1401"/>
      <c r="E1401"/>
      <c r="F1401"/>
      <c r="G1401"/>
      <c r="I1401"/>
      <c r="J1401"/>
      <c r="K1401"/>
      <c r="L1401" s="499"/>
      <c r="V1401" s="504"/>
      <c r="BX1401" s="769"/>
      <c r="BY1401" s="179"/>
      <c r="BZ1401" s="179"/>
      <c r="CA1401" s="179"/>
      <c r="CB1401" s="179"/>
      <c r="CC1401" s="179"/>
      <c r="CD1401" s="179"/>
      <c r="CE1401" s="179"/>
      <c r="CF1401" s="179"/>
      <c r="CG1401"/>
      <c r="CH1401"/>
      <c r="CI1401"/>
      <c r="CJ1401"/>
      <c r="CK1401"/>
      <c r="CL1401"/>
      <c r="CM1401"/>
    </row>
    <row r="1402" spans="1:91" x14ac:dyDescent="0.2">
      <c r="A1402"/>
      <c r="B1402"/>
      <c r="D1402"/>
      <c r="E1402"/>
      <c r="F1402"/>
      <c r="G1402"/>
      <c r="I1402"/>
      <c r="J1402"/>
      <c r="K1402"/>
      <c r="L1402" s="499"/>
      <c r="V1402" s="504"/>
      <c r="BX1402" s="769"/>
      <c r="BY1402" s="179"/>
      <c r="BZ1402" s="179"/>
      <c r="CA1402" s="179"/>
      <c r="CB1402" s="179"/>
      <c r="CC1402" s="179"/>
      <c r="CD1402" s="179"/>
      <c r="CE1402" s="179"/>
      <c r="CF1402" s="179"/>
      <c r="CG1402"/>
      <c r="CH1402"/>
      <c r="CI1402"/>
      <c r="CJ1402"/>
      <c r="CK1402"/>
      <c r="CL1402"/>
      <c r="CM1402"/>
    </row>
    <row r="1403" spans="1:91" x14ac:dyDescent="0.2">
      <c r="A1403"/>
      <c r="B1403"/>
      <c r="D1403"/>
      <c r="E1403"/>
      <c r="F1403"/>
      <c r="G1403"/>
      <c r="I1403"/>
      <c r="J1403"/>
      <c r="K1403"/>
      <c r="L1403" s="499"/>
      <c r="V1403" s="504"/>
      <c r="BX1403" s="769"/>
      <c r="BY1403" s="179"/>
      <c r="BZ1403" s="179"/>
      <c r="CA1403" s="179"/>
      <c r="CB1403" s="179"/>
      <c r="CC1403" s="179"/>
      <c r="CD1403" s="179"/>
      <c r="CE1403" s="179"/>
      <c r="CF1403" s="179"/>
      <c r="CG1403"/>
      <c r="CH1403"/>
      <c r="CI1403"/>
      <c r="CJ1403"/>
      <c r="CK1403"/>
      <c r="CL1403"/>
      <c r="CM1403"/>
    </row>
    <row r="1404" spans="1:91" x14ac:dyDescent="0.2">
      <c r="A1404"/>
      <c r="B1404"/>
      <c r="D1404"/>
      <c r="E1404"/>
      <c r="F1404"/>
      <c r="G1404"/>
      <c r="I1404"/>
      <c r="J1404"/>
      <c r="K1404"/>
      <c r="L1404" s="499"/>
      <c r="V1404" s="504"/>
      <c r="BX1404" s="769"/>
      <c r="BY1404" s="179"/>
      <c r="BZ1404" s="179"/>
      <c r="CA1404" s="179"/>
      <c r="CB1404" s="179"/>
      <c r="CC1404" s="179"/>
      <c r="CD1404" s="179"/>
      <c r="CE1404" s="179"/>
      <c r="CF1404" s="179"/>
      <c r="CG1404"/>
      <c r="CH1404"/>
      <c r="CI1404"/>
      <c r="CJ1404"/>
      <c r="CK1404"/>
      <c r="CL1404"/>
      <c r="CM1404"/>
    </row>
    <row r="1405" spans="1:91" x14ac:dyDescent="0.2">
      <c r="A1405"/>
      <c r="B1405"/>
      <c r="D1405"/>
      <c r="E1405"/>
      <c r="F1405"/>
      <c r="G1405"/>
      <c r="I1405"/>
      <c r="J1405"/>
      <c r="K1405"/>
      <c r="L1405" s="499"/>
      <c r="V1405" s="504"/>
      <c r="BX1405" s="769"/>
      <c r="BY1405" s="179"/>
      <c r="BZ1405" s="179"/>
      <c r="CA1405" s="179"/>
      <c r="CB1405" s="179"/>
      <c r="CC1405" s="179"/>
      <c r="CD1405" s="179"/>
      <c r="CE1405" s="179"/>
      <c r="CF1405" s="179"/>
      <c r="CG1405"/>
      <c r="CH1405"/>
      <c r="CI1405"/>
      <c r="CJ1405"/>
      <c r="CK1405"/>
      <c r="CL1405"/>
      <c r="CM1405"/>
    </row>
    <row r="1406" spans="1:91" x14ac:dyDescent="0.2">
      <c r="A1406"/>
      <c r="B1406"/>
      <c r="D1406"/>
      <c r="E1406"/>
      <c r="F1406"/>
      <c r="G1406"/>
      <c r="I1406"/>
      <c r="J1406"/>
      <c r="K1406"/>
      <c r="L1406" s="499"/>
      <c r="V1406" s="504"/>
      <c r="BX1406" s="769"/>
      <c r="BY1406" s="179"/>
      <c r="BZ1406" s="179"/>
      <c r="CA1406" s="179"/>
      <c r="CB1406" s="179"/>
      <c r="CC1406" s="179"/>
      <c r="CD1406" s="179"/>
      <c r="CE1406" s="179"/>
      <c r="CF1406" s="179"/>
      <c r="CG1406"/>
      <c r="CH1406"/>
      <c r="CI1406"/>
      <c r="CJ1406"/>
      <c r="CK1406"/>
      <c r="CL1406"/>
      <c r="CM1406"/>
    </row>
    <row r="1407" spans="1:91" x14ac:dyDescent="0.2">
      <c r="A1407"/>
      <c r="B1407"/>
      <c r="D1407"/>
      <c r="E1407"/>
      <c r="F1407"/>
      <c r="G1407"/>
      <c r="I1407"/>
      <c r="J1407"/>
      <c r="K1407"/>
      <c r="L1407" s="499"/>
      <c r="V1407" s="504"/>
      <c r="BX1407" s="769"/>
      <c r="BY1407" s="179"/>
      <c r="BZ1407" s="179"/>
      <c r="CA1407" s="179"/>
      <c r="CB1407" s="179"/>
      <c r="CC1407" s="179"/>
      <c r="CD1407" s="179"/>
      <c r="CE1407" s="179"/>
      <c r="CF1407" s="179"/>
      <c r="CG1407"/>
      <c r="CH1407"/>
      <c r="CI1407"/>
      <c r="CJ1407"/>
      <c r="CK1407"/>
      <c r="CL1407"/>
      <c r="CM1407"/>
    </row>
    <row r="1408" spans="1:91" x14ac:dyDescent="0.2">
      <c r="A1408"/>
      <c r="B1408"/>
      <c r="D1408"/>
      <c r="E1408"/>
      <c r="F1408"/>
      <c r="G1408"/>
      <c r="I1408"/>
      <c r="J1408"/>
      <c r="K1408"/>
      <c r="L1408" s="499"/>
      <c r="V1408" s="504"/>
      <c r="BX1408" s="769"/>
      <c r="BY1408" s="179"/>
      <c r="BZ1408" s="179"/>
      <c r="CA1408" s="179"/>
      <c r="CB1408" s="179"/>
      <c r="CC1408" s="179"/>
      <c r="CD1408" s="179"/>
      <c r="CE1408" s="179"/>
      <c r="CF1408" s="179"/>
      <c r="CG1408"/>
      <c r="CH1408"/>
      <c r="CI1408"/>
      <c r="CJ1408"/>
      <c r="CK1408"/>
      <c r="CL1408"/>
      <c r="CM1408"/>
    </row>
    <row r="1409" spans="1:91" x14ac:dyDescent="0.2">
      <c r="A1409"/>
      <c r="B1409"/>
      <c r="D1409"/>
      <c r="E1409"/>
      <c r="F1409"/>
      <c r="G1409"/>
      <c r="I1409"/>
      <c r="J1409"/>
      <c r="K1409"/>
      <c r="L1409" s="499"/>
      <c r="V1409" s="504"/>
      <c r="BX1409" s="769"/>
      <c r="BY1409" s="179"/>
      <c r="BZ1409" s="179"/>
      <c r="CA1409" s="179"/>
      <c r="CB1409" s="179"/>
      <c r="CC1409" s="179"/>
      <c r="CD1409" s="179"/>
      <c r="CE1409" s="179"/>
      <c r="CF1409" s="179"/>
      <c r="CG1409"/>
      <c r="CH1409"/>
      <c r="CI1409"/>
      <c r="CJ1409"/>
      <c r="CK1409"/>
      <c r="CL1409"/>
      <c r="CM1409"/>
    </row>
    <row r="1410" spans="1:91" x14ac:dyDescent="0.2">
      <c r="A1410"/>
      <c r="B1410"/>
      <c r="D1410"/>
      <c r="E1410"/>
      <c r="F1410"/>
      <c r="G1410"/>
      <c r="I1410"/>
      <c r="J1410"/>
      <c r="K1410"/>
      <c r="L1410" s="499"/>
      <c r="V1410" s="504"/>
      <c r="BX1410" s="769"/>
      <c r="BY1410" s="179"/>
      <c r="BZ1410" s="179"/>
      <c r="CA1410" s="179"/>
      <c r="CB1410" s="179"/>
      <c r="CC1410" s="179"/>
      <c r="CD1410" s="179"/>
      <c r="CE1410" s="179"/>
      <c r="CF1410" s="179"/>
      <c r="CG1410"/>
      <c r="CH1410"/>
      <c r="CI1410"/>
      <c r="CJ1410"/>
      <c r="CK1410"/>
      <c r="CL1410"/>
      <c r="CM1410"/>
    </row>
    <row r="1411" spans="1:91" x14ac:dyDescent="0.2">
      <c r="A1411"/>
      <c r="B1411"/>
      <c r="D1411"/>
      <c r="E1411"/>
      <c r="F1411"/>
      <c r="G1411"/>
      <c r="I1411"/>
      <c r="J1411"/>
      <c r="K1411"/>
      <c r="L1411" s="499"/>
      <c r="V1411" s="504"/>
      <c r="BX1411" s="769"/>
      <c r="BY1411" s="179"/>
      <c r="BZ1411" s="179"/>
      <c r="CA1411" s="179"/>
      <c r="CB1411" s="179"/>
      <c r="CC1411" s="179"/>
      <c r="CD1411" s="179"/>
      <c r="CE1411" s="179"/>
      <c r="CF1411" s="179"/>
      <c r="CG1411"/>
      <c r="CH1411"/>
      <c r="CI1411"/>
      <c r="CJ1411"/>
      <c r="CK1411"/>
      <c r="CL1411"/>
      <c r="CM1411"/>
    </row>
    <row r="1412" spans="1:91" x14ac:dyDescent="0.2">
      <c r="A1412"/>
      <c r="B1412"/>
      <c r="D1412"/>
      <c r="E1412"/>
      <c r="F1412"/>
      <c r="G1412"/>
      <c r="I1412"/>
      <c r="J1412"/>
      <c r="K1412"/>
      <c r="L1412" s="499"/>
      <c r="V1412" s="504"/>
      <c r="BX1412" s="769"/>
      <c r="BY1412" s="179"/>
      <c r="BZ1412" s="179"/>
      <c r="CA1412" s="179"/>
      <c r="CB1412" s="179"/>
      <c r="CC1412" s="179"/>
      <c r="CD1412" s="179"/>
      <c r="CE1412" s="179"/>
      <c r="CF1412" s="179"/>
      <c r="CG1412"/>
      <c r="CH1412"/>
      <c r="CI1412"/>
      <c r="CJ1412"/>
      <c r="CK1412"/>
      <c r="CL1412"/>
      <c r="CM1412"/>
    </row>
    <row r="1413" spans="1:91" x14ac:dyDescent="0.2">
      <c r="A1413"/>
      <c r="B1413"/>
      <c r="D1413"/>
      <c r="E1413"/>
      <c r="F1413"/>
      <c r="G1413"/>
      <c r="I1413"/>
      <c r="J1413"/>
      <c r="K1413"/>
      <c r="L1413" s="499"/>
      <c r="V1413" s="504"/>
      <c r="BX1413" s="769"/>
      <c r="BY1413" s="179"/>
      <c r="BZ1413" s="179"/>
      <c r="CA1413" s="179"/>
      <c r="CB1413" s="179"/>
      <c r="CC1413" s="179"/>
      <c r="CD1413" s="179"/>
      <c r="CE1413" s="179"/>
      <c r="CF1413" s="179"/>
      <c r="CG1413"/>
      <c r="CH1413"/>
      <c r="CI1413"/>
      <c r="CJ1413"/>
      <c r="CK1413"/>
      <c r="CL1413"/>
      <c r="CM1413"/>
    </row>
    <row r="1414" spans="1:91" x14ac:dyDescent="0.2">
      <c r="A1414"/>
      <c r="B1414"/>
      <c r="D1414"/>
      <c r="E1414"/>
      <c r="F1414"/>
      <c r="G1414"/>
      <c r="I1414"/>
      <c r="J1414"/>
      <c r="K1414"/>
      <c r="L1414" s="499"/>
      <c r="V1414" s="504"/>
      <c r="BX1414" s="769"/>
      <c r="BY1414" s="179"/>
      <c r="BZ1414" s="179"/>
      <c r="CA1414" s="179"/>
      <c r="CB1414" s="179"/>
      <c r="CC1414" s="179"/>
      <c r="CD1414" s="179"/>
      <c r="CE1414" s="179"/>
      <c r="CF1414" s="179"/>
      <c r="CG1414"/>
      <c r="CH1414"/>
      <c r="CI1414"/>
      <c r="CJ1414"/>
      <c r="CK1414"/>
      <c r="CL1414"/>
      <c r="CM1414"/>
    </row>
    <row r="1415" spans="1:91" x14ac:dyDescent="0.2">
      <c r="A1415"/>
      <c r="B1415"/>
      <c r="D1415"/>
      <c r="E1415"/>
      <c r="F1415"/>
      <c r="G1415"/>
      <c r="I1415"/>
      <c r="J1415"/>
      <c r="K1415"/>
      <c r="L1415" s="499"/>
      <c r="V1415" s="504"/>
      <c r="BX1415" s="769"/>
      <c r="BY1415" s="179"/>
      <c r="BZ1415" s="179"/>
      <c r="CA1415" s="179"/>
      <c r="CB1415" s="179"/>
      <c r="CC1415" s="179"/>
      <c r="CD1415" s="179"/>
      <c r="CE1415" s="179"/>
      <c r="CF1415" s="179"/>
      <c r="CG1415"/>
      <c r="CH1415"/>
      <c r="CI1415"/>
      <c r="CJ1415"/>
      <c r="CK1415"/>
      <c r="CL1415"/>
      <c r="CM1415"/>
    </row>
    <row r="1416" spans="1:91" x14ac:dyDescent="0.2">
      <c r="A1416"/>
      <c r="B1416"/>
      <c r="D1416"/>
      <c r="E1416"/>
      <c r="F1416"/>
      <c r="G1416"/>
      <c r="I1416"/>
      <c r="J1416"/>
      <c r="K1416"/>
      <c r="L1416" s="499"/>
      <c r="V1416" s="504"/>
      <c r="BX1416" s="769"/>
      <c r="BY1416" s="179"/>
      <c r="BZ1416" s="179"/>
      <c r="CA1416" s="179"/>
      <c r="CB1416" s="179"/>
      <c r="CC1416" s="179"/>
      <c r="CD1416" s="179"/>
      <c r="CE1416" s="179"/>
      <c r="CF1416" s="179"/>
      <c r="CG1416"/>
      <c r="CH1416"/>
      <c r="CI1416"/>
      <c r="CJ1416"/>
      <c r="CK1416"/>
      <c r="CL1416"/>
      <c r="CM1416"/>
    </row>
    <row r="1417" spans="1:91" x14ac:dyDescent="0.2">
      <c r="A1417"/>
      <c r="B1417"/>
      <c r="D1417"/>
      <c r="E1417"/>
      <c r="F1417"/>
      <c r="G1417"/>
      <c r="I1417"/>
      <c r="J1417"/>
      <c r="K1417"/>
      <c r="L1417" s="499"/>
      <c r="V1417" s="504"/>
      <c r="BX1417" s="769"/>
      <c r="BY1417" s="179"/>
      <c r="BZ1417" s="179"/>
      <c r="CA1417" s="179"/>
      <c r="CB1417" s="179"/>
      <c r="CC1417" s="179"/>
      <c r="CD1417" s="179"/>
      <c r="CE1417" s="179"/>
      <c r="CF1417" s="179"/>
      <c r="CG1417"/>
      <c r="CH1417"/>
      <c r="CI1417"/>
      <c r="CJ1417"/>
      <c r="CK1417"/>
      <c r="CL1417"/>
      <c r="CM1417"/>
    </row>
    <row r="1418" spans="1:91" x14ac:dyDescent="0.2">
      <c r="A1418"/>
      <c r="B1418"/>
      <c r="D1418"/>
      <c r="E1418"/>
      <c r="F1418"/>
      <c r="G1418"/>
      <c r="I1418"/>
      <c r="J1418"/>
      <c r="K1418"/>
      <c r="L1418" s="499"/>
      <c r="V1418" s="504"/>
      <c r="BX1418" s="769"/>
      <c r="BY1418" s="179"/>
      <c r="BZ1418" s="179"/>
      <c r="CA1418" s="179"/>
      <c r="CB1418" s="179"/>
      <c r="CC1418" s="179"/>
      <c r="CD1418" s="179"/>
      <c r="CE1418" s="179"/>
      <c r="CF1418" s="179"/>
      <c r="CG1418"/>
      <c r="CH1418"/>
      <c r="CI1418"/>
      <c r="CJ1418"/>
      <c r="CK1418"/>
      <c r="CL1418"/>
      <c r="CM1418"/>
    </row>
    <row r="1419" spans="1:91" x14ac:dyDescent="0.2">
      <c r="A1419"/>
      <c r="B1419"/>
      <c r="D1419"/>
      <c r="E1419"/>
      <c r="F1419"/>
      <c r="G1419"/>
      <c r="I1419"/>
      <c r="J1419"/>
      <c r="K1419"/>
      <c r="L1419" s="499"/>
      <c r="V1419" s="504"/>
      <c r="BX1419" s="769"/>
      <c r="BY1419" s="179"/>
      <c r="BZ1419" s="179"/>
      <c r="CA1419" s="179"/>
      <c r="CB1419" s="179"/>
      <c r="CC1419" s="179"/>
      <c r="CD1419" s="179"/>
      <c r="CE1419" s="179"/>
      <c r="CF1419" s="179"/>
      <c r="CG1419"/>
      <c r="CH1419"/>
      <c r="CI1419"/>
      <c r="CJ1419"/>
      <c r="CK1419"/>
      <c r="CL1419"/>
      <c r="CM1419"/>
    </row>
    <row r="1420" spans="1:91" x14ac:dyDescent="0.2">
      <c r="A1420"/>
      <c r="B1420"/>
      <c r="D1420"/>
      <c r="E1420"/>
      <c r="F1420"/>
      <c r="G1420"/>
      <c r="I1420"/>
      <c r="J1420"/>
      <c r="K1420"/>
      <c r="L1420" s="499"/>
      <c r="V1420" s="504"/>
      <c r="BX1420" s="769"/>
      <c r="BY1420" s="179"/>
      <c r="BZ1420" s="179"/>
      <c r="CA1420" s="179"/>
      <c r="CB1420" s="179"/>
      <c r="CC1420" s="179"/>
      <c r="CD1420" s="179"/>
      <c r="CE1420" s="179"/>
      <c r="CF1420" s="179"/>
      <c r="CG1420"/>
      <c r="CH1420"/>
      <c r="CI1420"/>
      <c r="CJ1420"/>
      <c r="CK1420"/>
      <c r="CL1420"/>
      <c r="CM1420"/>
    </row>
    <row r="1421" spans="1:91" x14ac:dyDescent="0.2">
      <c r="A1421"/>
      <c r="B1421"/>
      <c r="D1421"/>
      <c r="E1421"/>
      <c r="F1421"/>
      <c r="G1421"/>
      <c r="I1421"/>
      <c r="J1421"/>
      <c r="K1421"/>
      <c r="L1421" s="499"/>
      <c r="V1421" s="504"/>
      <c r="BX1421" s="769"/>
      <c r="BY1421" s="179"/>
      <c r="BZ1421" s="179"/>
      <c r="CA1421" s="179"/>
      <c r="CB1421" s="179"/>
      <c r="CC1421" s="179"/>
      <c r="CD1421" s="179"/>
      <c r="CE1421" s="179"/>
      <c r="CF1421" s="179"/>
      <c r="CG1421"/>
      <c r="CH1421"/>
      <c r="CI1421"/>
      <c r="CJ1421"/>
      <c r="CK1421"/>
      <c r="CL1421"/>
      <c r="CM1421"/>
    </row>
    <row r="1422" spans="1:91" x14ac:dyDescent="0.2">
      <c r="A1422"/>
      <c r="B1422"/>
      <c r="D1422"/>
      <c r="E1422"/>
      <c r="F1422"/>
      <c r="G1422"/>
      <c r="I1422"/>
      <c r="J1422"/>
      <c r="K1422"/>
      <c r="L1422" s="499"/>
      <c r="V1422" s="504"/>
      <c r="BX1422" s="769"/>
      <c r="BY1422" s="179"/>
      <c r="BZ1422" s="179"/>
      <c r="CA1422" s="179"/>
      <c r="CB1422" s="179"/>
      <c r="CC1422" s="179"/>
      <c r="CD1422" s="179"/>
      <c r="CE1422" s="179"/>
      <c r="CF1422" s="179"/>
      <c r="CG1422"/>
      <c r="CH1422"/>
      <c r="CI1422"/>
      <c r="CJ1422"/>
      <c r="CK1422"/>
      <c r="CL1422"/>
      <c r="CM1422"/>
    </row>
    <row r="1423" spans="1:91" x14ac:dyDescent="0.2">
      <c r="A1423"/>
      <c r="B1423"/>
      <c r="D1423"/>
      <c r="E1423"/>
      <c r="F1423"/>
      <c r="G1423"/>
      <c r="I1423"/>
      <c r="J1423"/>
      <c r="K1423"/>
      <c r="L1423" s="499"/>
      <c r="V1423" s="504"/>
      <c r="BX1423" s="769"/>
      <c r="BY1423" s="179"/>
      <c r="BZ1423" s="179"/>
      <c r="CA1423" s="179"/>
      <c r="CB1423" s="179"/>
      <c r="CC1423" s="179"/>
      <c r="CD1423" s="179"/>
      <c r="CE1423" s="179"/>
      <c r="CF1423" s="179"/>
      <c r="CG1423"/>
      <c r="CH1423"/>
      <c r="CI1423"/>
      <c r="CJ1423"/>
      <c r="CK1423"/>
      <c r="CL1423"/>
      <c r="CM1423"/>
    </row>
    <row r="1424" spans="1:91" x14ac:dyDescent="0.2">
      <c r="A1424"/>
      <c r="B1424"/>
      <c r="D1424"/>
      <c r="E1424"/>
      <c r="F1424"/>
      <c r="G1424"/>
      <c r="I1424"/>
      <c r="J1424"/>
      <c r="K1424"/>
      <c r="L1424" s="499"/>
      <c r="V1424" s="504"/>
      <c r="BX1424" s="769"/>
      <c r="BY1424" s="179"/>
      <c r="BZ1424" s="179"/>
      <c r="CA1424" s="179"/>
      <c r="CB1424" s="179"/>
      <c r="CC1424" s="179"/>
      <c r="CD1424" s="179"/>
      <c r="CE1424" s="179"/>
      <c r="CF1424" s="179"/>
      <c r="CG1424"/>
      <c r="CH1424"/>
      <c r="CI1424"/>
      <c r="CJ1424"/>
      <c r="CK1424"/>
      <c r="CL1424"/>
      <c r="CM1424"/>
    </row>
    <row r="1425" spans="1:91" x14ac:dyDescent="0.2">
      <c r="A1425"/>
      <c r="B1425"/>
      <c r="D1425"/>
      <c r="E1425"/>
      <c r="F1425"/>
      <c r="G1425"/>
      <c r="I1425"/>
      <c r="J1425"/>
      <c r="K1425"/>
      <c r="L1425" s="499"/>
      <c r="V1425" s="504"/>
      <c r="BX1425" s="769"/>
      <c r="BY1425" s="179"/>
      <c r="BZ1425" s="179"/>
      <c r="CA1425" s="179"/>
      <c r="CB1425" s="179"/>
      <c r="CC1425" s="179"/>
      <c r="CD1425" s="179"/>
      <c r="CE1425" s="179"/>
      <c r="CF1425" s="179"/>
      <c r="CG1425"/>
      <c r="CH1425"/>
      <c r="CI1425"/>
      <c r="CJ1425"/>
      <c r="CK1425"/>
      <c r="CL1425"/>
      <c r="CM1425"/>
    </row>
    <row r="1426" spans="1:91" x14ac:dyDescent="0.2">
      <c r="A1426"/>
      <c r="B1426"/>
      <c r="D1426"/>
      <c r="E1426"/>
      <c r="F1426"/>
      <c r="G1426"/>
      <c r="I1426"/>
      <c r="J1426"/>
      <c r="K1426"/>
      <c r="L1426" s="499"/>
      <c r="V1426" s="504"/>
      <c r="BX1426" s="769"/>
      <c r="BY1426" s="179"/>
      <c r="BZ1426" s="179"/>
      <c r="CA1426" s="179"/>
      <c r="CB1426" s="179"/>
      <c r="CC1426" s="179"/>
      <c r="CD1426" s="179"/>
      <c r="CE1426" s="179"/>
      <c r="CF1426" s="179"/>
      <c r="CG1426"/>
      <c r="CH1426"/>
      <c r="CI1426"/>
      <c r="CJ1426"/>
      <c r="CK1426"/>
      <c r="CL1426"/>
      <c r="CM1426"/>
    </row>
    <row r="1427" spans="1:91" x14ac:dyDescent="0.2">
      <c r="A1427"/>
      <c r="B1427"/>
      <c r="D1427"/>
      <c r="E1427"/>
      <c r="F1427"/>
      <c r="G1427"/>
      <c r="I1427"/>
      <c r="J1427"/>
      <c r="K1427"/>
      <c r="L1427" s="499"/>
      <c r="V1427" s="504"/>
      <c r="BX1427" s="769"/>
      <c r="BY1427" s="179"/>
      <c r="BZ1427" s="179"/>
      <c r="CA1427" s="179"/>
      <c r="CB1427" s="179"/>
      <c r="CC1427" s="179"/>
      <c r="CD1427" s="179"/>
      <c r="CE1427" s="179"/>
      <c r="CF1427" s="179"/>
      <c r="CG1427"/>
      <c r="CH1427"/>
      <c r="CI1427"/>
      <c r="CJ1427"/>
      <c r="CK1427"/>
      <c r="CL1427"/>
      <c r="CM1427"/>
    </row>
    <row r="1428" spans="1:91" x14ac:dyDescent="0.2">
      <c r="A1428"/>
      <c r="B1428"/>
      <c r="D1428"/>
      <c r="E1428"/>
      <c r="F1428"/>
      <c r="G1428"/>
      <c r="I1428"/>
      <c r="J1428"/>
      <c r="K1428"/>
      <c r="L1428" s="499"/>
      <c r="V1428" s="504"/>
      <c r="BX1428" s="769"/>
      <c r="BY1428" s="179"/>
      <c r="BZ1428" s="179"/>
      <c r="CA1428" s="179"/>
      <c r="CB1428" s="179"/>
      <c r="CC1428" s="179"/>
      <c r="CD1428" s="179"/>
      <c r="CE1428" s="179"/>
      <c r="CF1428" s="179"/>
      <c r="CG1428"/>
      <c r="CH1428"/>
      <c r="CI1428"/>
      <c r="CJ1428"/>
      <c r="CK1428"/>
      <c r="CL1428"/>
      <c r="CM1428"/>
    </row>
    <row r="1429" spans="1:91" x14ac:dyDescent="0.2">
      <c r="A1429"/>
      <c r="B1429"/>
      <c r="D1429"/>
      <c r="E1429"/>
      <c r="F1429"/>
      <c r="G1429"/>
      <c r="I1429"/>
      <c r="J1429"/>
      <c r="K1429"/>
      <c r="L1429" s="499"/>
      <c r="V1429" s="504"/>
      <c r="BX1429" s="769"/>
      <c r="BY1429" s="179"/>
      <c r="BZ1429" s="179"/>
      <c r="CA1429" s="179"/>
      <c r="CB1429" s="179"/>
      <c r="CC1429" s="179"/>
      <c r="CD1429" s="179"/>
      <c r="CE1429" s="179"/>
      <c r="CF1429" s="179"/>
      <c r="CG1429"/>
      <c r="CH1429"/>
      <c r="CI1429"/>
      <c r="CJ1429"/>
      <c r="CK1429"/>
      <c r="CL1429"/>
      <c r="CM1429"/>
    </row>
    <row r="1430" spans="1:91" x14ac:dyDescent="0.2">
      <c r="A1430"/>
      <c r="B1430"/>
      <c r="D1430"/>
      <c r="E1430"/>
      <c r="F1430"/>
      <c r="G1430"/>
      <c r="I1430"/>
      <c r="J1430"/>
      <c r="K1430"/>
      <c r="L1430" s="499"/>
      <c r="V1430" s="504"/>
      <c r="BX1430" s="769"/>
      <c r="BY1430" s="179"/>
      <c r="BZ1430" s="179"/>
      <c r="CA1430" s="179"/>
      <c r="CB1430" s="179"/>
      <c r="CC1430" s="179"/>
      <c r="CD1430" s="179"/>
      <c r="CE1430" s="179"/>
      <c r="CF1430" s="179"/>
      <c r="CG1430"/>
      <c r="CH1430"/>
      <c r="CI1430"/>
      <c r="CJ1430"/>
      <c r="CK1430"/>
      <c r="CL1430"/>
      <c r="CM1430"/>
    </row>
    <row r="1431" spans="1:91" x14ac:dyDescent="0.2">
      <c r="A1431"/>
      <c r="B1431"/>
      <c r="D1431"/>
      <c r="E1431"/>
      <c r="F1431"/>
      <c r="G1431"/>
      <c r="I1431"/>
      <c r="J1431"/>
      <c r="K1431"/>
      <c r="L1431" s="499"/>
      <c r="V1431" s="504"/>
      <c r="BX1431" s="769"/>
      <c r="BY1431" s="179"/>
      <c r="BZ1431" s="179"/>
      <c r="CA1431" s="179"/>
      <c r="CB1431" s="179"/>
      <c r="CC1431" s="179"/>
      <c r="CD1431" s="179"/>
      <c r="CE1431" s="179"/>
      <c r="CF1431" s="179"/>
      <c r="CG1431"/>
      <c r="CH1431"/>
      <c r="CI1431"/>
      <c r="CJ1431"/>
      <c r="CK1431"/>
      <c r="CL1431"/>
      <c r="CM1431"/>
    </row>
    <row r="1432" spans="1:91" x14ac:dyDescent="0.2">
      <c r="A1432"/>
      <c r="B1432"/>
      <c r="D1432"/>
      <c r="E1432"/>
      <c r="F1432"/>
      <c r="G1432"/>
      <c r="I1432"/>
      <c r="J1432"/>
      <c r="K1432"/>
      <c r="L1432" s="499"/>
      <c r="V1432" s="504"/>
      <c r="BX1432" s="769"/>
      <c r="BY1432" s="179"/>
      <c r="BZ1432" s="179"/>
      <c r="CA1432" s="179"/>
      <c r="CB1432" s="179"/>
      <c r="CC1432" s="179"/>
      <c r="CD1432" s="179"/>
      <c r="CE1432" s="179"/>
      <c r="CF1432" s="179"/>
      <c r="CG1432"/>
      <c r="CH1432"/>
      <c r="CI1432"/>
      <c r="CJ1432"/>
      <c r="CK1432"/>
      <c r="CL1432"/>
      <c r="CM1432"/>
    </row>
    <row r="1433" spans="1:91" x14ac:dyDescent="0.2">
      <c r="A1433"/>
      <c r="B1433"/>
      <c r="D1433"/>
      <c r="E1433"/>
      <c r="F1433"/>
      <c r="G1433"/>
      <c r="I1433"/>
      <c r="J1433"/>
      <c r="K1433"/>
      <c r="L1433" s="499"/>
      <c r="V1433" s="504"/>
      <c r="BX1433" s="769"/>
      <c r="BY1433" s="179"/>
      <c r="BZ1433" s="179"/>
      <c r="CA1433" s="179"/>
      <c r="CB1433" s="179"/>
      <c r="CC1433" s="179"/>
      <c r="CD1433" s="179"/>
      <c r="CE1433" s="179"/>
      <c r="CF1433" s="179"/>
      <c r="CG1433"/>
      <c r="CH1433"/>
      <c r="CI1433"/>
      <c r="CJ1433"/>
      <c r="CK1433"/>
      <c r="CL1433"/>
      <c r="CM1433"/>
    </row>
    <row r="1434" spans="1:91" x14ac:dyDescent="0.2">
      <c r="A1434"/>
      <c r="B1434"/>
      <c r="D1434"/>
      <c r="E1434"/>
      <c r="F1434"/>
      <c r="G1434"/>
      <c r="I1434"/>
      <c r="J1434"/>
      <c r="K1434"/>
      <c r="L1434" s="499"/>
      <c r="V1434" s="504"/>
      <c r="BX1434" s="769"/>
      <c r="BY1434" s="179"/>
      <c r="BZ1434" s="179"/>
      <c r="CA1434" s="179"/>
      <c r="CB1434" s="179"/>
      <c r="CC1434" s="179"/>
      <c r="CD1434" s="179"/>
      <c r="CE1434" s="179"/>
      <c r="CF1434" s="179"/>
      <c r="CG1434"/>
      <c r="CH1434"/>
      <c r="CI1434"/>
      <c r="CJ1434"/>
      <c r="CK1434"/>
      <c r="CL1434"/>
      <c r="CM1434"/>
    </row>
    <row r="1435" spans="1:91" x14ac:dyDescent="0.2">
      <c r="A1435"/>
      <c r="B1435"/>
      <c r="D1435"/>
      <c r="E1435"/>
      <c r="F1435"/>
      <c r="G1435"/>
      <c r="I1435"/>
      <c r="J1435"/>
      <c r="K1435"/>
      <c r="L1435" s="499"/>
      <c r="V1435" s="504"/>
      <c r="BX1435" s="769"/>
      <c r="BY1435" s="179"/>
      <c r="BZ1435" s="179"/>
      <c r="CA1435" s="179"/>
      <c r="CB1435" s="179"/>
      <c r="CC1435" s="179"/>
      <c r="CD1435" s="179"/>
      <c r="CE1435" s="179"/>
      <c r="CF1435" s="179"/>
      <c r="CG1435"/>
      <c r="CH1435"/>
      <c r="CI1435"/>
      <c r="CJ1435"/>
      <c r="CK1435"/>
      <c r="CL1435"/>
      <c r="CM1435"/>
    </row>
    <row r="1436" spans="1:91" x14ac:dyDescent="0.2">
      <c r="A1436"/>
      <c r="B1436"/>
      <c r="D1436"/>
      <c r="E1436"/>
      <c r="F1436"/>
      <c r="G1436"/>
      <c r="I1436"/>
      <c r="J1436"/>
      <c r="K1436"/>
      <c r="L1436" s="499"/>
      <c r="V1436" s="504"/>
      <c r="BX1436" s="769"/>
      <c r="BY1436" s="179"/>
      <c r="BZ1436" s="179"/>
      <c r="CA1436" s="179"/>
      <c r="CB1436" s="179"/>
      <c r="CC1436" s="179"/>
      <c r="CD1436" s="179"/>
      <c r="CE1436" s="179"/>
      <c r="CF1436" s="179"/>
      <c r="CG1436"/>
      <c r="CH1436"/>
      <c r="CI1436"/>
      <c r="CJ1436"/>
      <c r="CK1436"/>
      <c r="CL1436"/>
      <c r="CM1436"/>
    </row>
    <row r="1437" spans="1:91" x14ac:dyDescent="0.2">
      <c r="A1437"/>
      <c r="B1437"/>
      <c r="D1437"/>
      <c r="E1437"/>
      <c r="F1437"/>
      <c r="G1437"/>
      <c r="I1437"/>
      <c r="J1437"/>
      <c r="K1437"/>
      <c r="L1437" s="499"/>
      <c r="V1437" s="504"/>
      <c r="BX1437" s="769"/>
      <c r="BY1437" s="179"/>
      <c r="BZ1437" s="179"/>
      <c r="CA1437" s="179"/>
      <c r="CB1437" s="179"/>
      <c r="CC1437" s="179"/>
      <c r="CD1437" s="179"/>
      <c r="CE1437" s="179"/>
      <c r="CF1437" s="179"/>
      <c r="CG1437"/>
      <c r="CH1437"/>
      <c r="CI1437"/>
      <c r="CJ1437"/>
      <c r="CK1437"/>
      <c r="CL1437"/>
      <c r="CM1437"/>
    </row>
    <row r="1438" spans="1:91" x14ac:dyDescent="0.2">
      <c r="A1438"/>
      <c r="B1438"/>
      <c r="D1438"/>
      <c r="E1438"/>
      <c r="F1438"/>
      <c r="G1438"/>
      <c r="I1438"/>
      <c r="J1438"/>
      <c r="K1438"/>
      <c r="L1438" s="499"/>
      <c r="V1438" s="504"/>
      <c r="BX1438" s="769"/>
      <c r="BY1438" s="179"/>
      <c r="BZ1438" s="179"/>
      <c r="CA1438" s="179"/>
      <c r="CB1438" s="179"/>
      <c r="CC1438" s="179"/>
      <c r="CD1438" s="179"/>
      <c r="CE1438" s="179"/>
      <c r="CF1438" s="179"/>
      <c r="CG1438"/>
      <c r="CH1438"/>
      <c r="CI1438"/>
      <c r="CJ1438"/>
      <c r="CK1438"/>
      <c r="CL1438"/>
      <c r="CM1438"/>
    </row>
    <row r="1439" spans="1:91" x14ac:dyDescent="0.2">
      <c r="A1439"/>
      <c r="B1439"/>
      <c r="D1439"/>
      <c r="E1439"/>
      <c r="F1439"/>
      <c r="G1439"/>
      <c r="I1439"/>
      <c r="J1439"/>
      <c r="K1439"/>
      <c r="L1439" s="499"/>
      <c r="V1439" s="504"/>
      <c r="BX1439" s="769"/>
      <c r="BY1439" s="179"/>
      <c r="BZ1439" s="179"/>
      <c r="CA1439" s="179"/>
      <c r="CB1439" s="179"/>
      <c r="CC1439" s="179"/>
      <c r="CD1439" s="179"/>
      <c r="CE1439" s="179"/>
      <c r="CF1439" s="179"/>
      <c r="CG1439"/>
      <c r="CH1439"/>
      <c r="CI1439"/>
      <c r="CJ1439"/>
      <c r="CK1439"/>
      <c r="CL1439"/>
      <c r="CM1439"/>
    </row>
    <row r="1440" spans="1:91" x14ac:dyDescent="0.2">
      <c r="A1440"/>
      <c r="B1440"/>
      <c r="D1440"/>
      <c r="E1440"/>
      <c r="F1440"/>
      <c r="G1440"/>
      <c r="I1440"/>
      <c r="J1440"/>
      <c r="K1440"/>
      <c r="L1440" s="499"/>
      <c r="V1440" s="504"/>
      <c r="BX1440" s="769"/>
      <c r="BY1440" s="179"/>
      <c r="BZ1440" s="179"/>
      <c r="CA1440" s="179"/>
      <c r="CB1440" s="179"/>
      <c r="CC1440" s="179"/>
      <c r="CD1440" s="179"/>
      <c r="CE1440" s="179"/>
      <c r="CF1440" s="179"/>
      <c r="CG1440"/>
      <c r="CH1440"/>
      <c r="CI1440"/>
      <c r="CJ1440"/>
      <c r="CK1440"/>
      <c r="CL1440"/>
      <c r="CM1440"/>
    </row>
    <row r="1441" spans="1:91" x14ac:dyDescent="0.2">
      <c r="A1441"/>
      <c r="B1441"/>
      <c r="D1441"/>
      <c r="E1441"/>
      <c r="F1441"/>
      <c r="G1441"/>
      <c r="I1441"/>
      <c r="J1441"/>
      <c r="K1441"/>
      <c r="L1441" s="499"/>
      <c r="V1441" s="504"/>
      <c r="BX1441" s="769"/>
      <c r="BY1441" s="179"/>
      <c r="BZ1441" s="179"/>
      <c r="CA1441" s="179"/>
      <c r="CB1441" s="179"/>
      <c r="CC1441" s="179"/>
      <c r="CD1441" s="179"/>
      <c r="CE1441" s="179"/>
      <c r="CF1441" s="179"/>
      <c r="CG1441"/>
      <c r="CH1441"/>
      <c r="CI1441"/>
      <c r="CJ1441"/>
      <c r="CK1441"/>
      <c r="CL1441"/>
      <c r="CM1441"/>
    </row>
    <row r="1442" spans="1:91" x14ac:dyDescent="0.2">
      <c r="A1442"/>
      <c r="B1442"/>
      <c r="D1442"/>
      <c r="E1442"/>
      <c r="F1442"/>
      <c r="G1442"/>
      <c r="I1442"/>
      <c r="J1442"/>
      <c r="K1442"/>
      <c r="L1442" s="499"/>
      <c r="V1442" s="504"/>
      <c r="BX1442" s="769"/>
      <c r="BY1442" s="179"/>
      <c r="BZ1442" s="179"/>
      <c r="CA1442" s="179"/>
      <c r="CB1442" s="179"/>
      <c r="CC1442" s="179"/>
      <c r="CD1442" s="179"/>
      <c r="CE1442" s="179"/>
      <c r="CF1442" s="179"/>
      <c r="CG1442"/>
      <c r="CH1442"/>
      <c r="CI1442"/>
      <c r="CJ1442"/>
      <c r="CK1442"/>
      <c r="CL1442"/>
      <c r="CM1442"/>
    </row>
    <row r="1443" spans="1:91" x14ac:dyDescent="0.2">
      <c r="A1443"/>
      <c r="B1443"/>
      <c r="D1443"/>
      <c r="E1443"/>
      <c r="F1443"/>
      <c r="G1443"/>
      <c r="I1443"/>
      <c r="J1443"/>
      <c r="K1443"/>
      <c r="L1443" s="499"/>
      <c r="V1443" s="504"/>
      <c r="BX1443" s="769"/>
      <c r="BY1443" s="179"/>
      <c r="BZ1443" s="179"/>
      <c r="CA1443" s="179"/>
      <c r="CB1443" s="179"/>
      <c r="CC1443" s="179"/>
      <c r="CD1443" s="179"/>
      <c r="CE1443" s="179"/>
      <c r="CF1443" s="179"/>
      <c r="CG1443"/>
      <c r="CH1443"/>
      <c r="CI1443"/>
      <c r="CJ1443"/>
      <c r="CK1443"/>
      <c r="CL1443"/>
      <c r="CM1443"/>
    </row>
    <row r="1444" spans="1:91" x14ac:dyDescent="0.2">
      <c r="A1444"/>
      <c r="B1444"/>
      <c r="D1444"/>
      <c r="E1444"/>
      <c r="F1444"/>
      <c r="G1444"/>
      <c r="I1444"/>
      <c r="J1444"/>
      <c r="K1444"/>
      <c r="L1444" s="499"/>
      <c r="V1444" s="504"/>
      <c r="BX1444" s="769"/>
      <c r="BY1444" s="179"/>
      <c r="BZ1444" s="179"/>
      <c r="CA1444" s="179"/>
      <c r="CB1444" s="179"/>
      <c r="CC1444" s="179"/>
      <c r="CD1444" s="179"/>
      <c r="CE1444" s="179"/>
      <c r="CF1444" s="179"/>
      <c r="CG1444"/>
      <c r="CH1444"/>
      <c r="CI1444"/>
      <c r="CJ1444"/>
      <c r="CK1444"/>
      <c r="CL1444"/>
      <c r="CM1444"/>
    </row>
    <row r="1445" spans="1:91" x14ac:dyDescent="0.2">
      <c r="A1445"/>
      <c r="B1445"/>
      <c r="D1445"/>
      <c r="E1445"/>
      <c r="F1445"/>
      <c r="G1445"/>
      <c r="I1445"/>
      <c r="J1445"/>
      <c r="K1445"/>
      <c r="L1445" s="499"/>
      <c r="V1445" s="504"/>
      <c r="BX1445" s="769"/>
      <c r="BY1445" s="179"/>
      <c r="BZ1445" s="179"/>
      <c r="CA1445" s="179"/>
      <c r="CB1445" s="179"/>
      <c r="CC1445" s="179"/>
      <c r="CD1445" s="179"/>
      <c r="CE1445" s="179"/>
      <c r="CF1445" s="179"/>
      <c r="CG1445"/>
      <c r="CH1445"/>
      <c r="CI1445"/>
      <c r="CJ1445"/>
      <c r="CK1445"/>
      <c r="CL1445"/>
      <c r="CM1445"/>
    </row>
    <row r="1446" spans="1:91" x14ac:dyDescent="0.2">
      <c r="A1446"/>
      <c r="B1446"/>
      <c r="D1446"/>
      <c r="E1446"/>
      <c r="F1446"/>
      <c r="G1446"/>
      <c r="I1446"/>
      <c r="J1446"/>
      <c r="K1446"/>
      <c r="L1446" s="499"/>
      <c r="V1446" s="504"/>
      <c r="BX1446" s="769"/>
      <c r="BY1446" s="179"/>
      <c r="BZ1446" s="179"/>
      <c r="CA1446" s="179"/>
      <c r="CB1446" s="179"/>
      <c r="CC1446" s="179"/>
      <c r="CD1446" s="179"/>
      <c r="CE1446" s="179"/>
      <c r="CF1446" s="179"/>
      <c r="CG1446"/>
      <c r="CH1446"/>
      <c r="CI1446"/>
      <c r="CJ1446"/>
      <c r="CK1446"/>
      <c r="CL1446"/>
      <c r="CM1446"/>
    </row>
    <row r="1447" spans="1:91" x14ac:dyDescent="0.2">
      <c r="A1447"/>
      <c r="B1447"/>
      <c r="D1447"/>
      <c r="E1447"/>
      <c r="F1447"/>
      <c r="G1447"/>
      <c r="I1447"/>
      <c r="J1447"/>
      <c r="K1447"/>
      <c r="L1447" s="499"/>
      <c r="V1447" s="504"/>
      <c r="BX1447" s="769"/>
      <c r="BY1447" s="179"/>
      <c r="BZ1447" s="179"/>
      <c r="CA1447" s="179"/>
      <c r="CB1447" s="179"/>
      <c r="CC1447" s="179"/>
      <c r="CD1447" s="179"/>
      <c r="CE1447" s="179"/>
      <c r="CF1447" s="179"/>
      <c r="CG1447"/>
      <c r="CH1447"/>
      <c r="CI1447"/>
      <c r="CJ1447"/>
      <c r="CK1447"/>
      <c r="CL1447"/>
      <c r="CM1447"/>
    </row>
    <row r="1448" spans="1:91" x14ac:dyDescent="0.2">
      <c r="A1448"/>
      <c r="B1448"/>
      <c r="D1448"/>
      <c r="E1448"/>
      <c r="F1448"/>
      <c r="G1448"/>
      <c r="I1448"/>
      <c r="J1448"/>
      <c r="K1448"/>
      <c r="L1448" s="499"/>
      <c r="V1448" s="504"/>
      <c r="BX1448" s="769"/>
      <c r="BY1448" s="179"/>
      <c r="BZ1448" s="179"/>
      <c r="CA1448" s="179"/>
      <c r="CB1448" s="179"/>
      <c r="CC1448" s="179"/>
      <c r="CD1448" s="179"/>
      <c r="CE1448" s="179"/>
      <c r="CF1448" s="179"/>
      <c r="CG1448"/>
      <c r="CH1448"/>
      <c r="CI1448"/>
      <c r="CJ1448"/>
      <c r="CK1448"/>
      <c r="CL1448"/>
      <c r="CM1448"/>
    </row>
    <row r="1449" spans="1:91" x14ac:dyDescent="0.2">
      <c r="A1449"/>
      <c r="B1449"/>
      <c r="D1449"/>
      <c r="E1449"/>
      <c r="F1449"/>
      <c r="G1449"/>
      <c r="I1449"/>
      <c r="J1449"/>
      <c r="K1449"/>
      <c r="L1449" s="499"/>
      <c r="V1449" s="504"/>
      <c r="BX1449" s="769"/>
      <c r="BY1449" s="179"/>
      <c r="BZ1449" s="179"/>
      <c r="CA1449" s="179"/>
      <c r="CB1449" s="179"/>
      <c r="CC1449" s="179"/>
      <c r="CD1449" s="179"/>
      <c r="CE1449" s="179"/>
      <c r="CF1449" s="179"/>
      <c r="CG1449"/>
      <c r="CH1449"/>
      <c r="CI1449"/>
      <c r="CJ1449"/>
      <c r="CK1449"/>
      <c r="CL1449"/>
      <c r="CM1449"/>
    </row>
    <row r="1450" spans="1:91" x14ac:dyDescent="0.2">
      <c r="A1450"/>
      <c r="B1450"/>
      <c r="D1450"/>
      <c r="E1450"/>
      <c r="F1450"/>
      <c r="G1450"/>
      <c r="I1450"/>
      <c r="J1450"/>
      <c r="K1450"/>
      <c r="L1450" s="499"/>
      <c r="V1450" s="504"/>
      <c r="BX1450" s="769"/>
      <c r="BY1450" s="179"/>
      <c r="BZ1450" s="179"/>
      <c r="CA1450" s="179"/>
      <c r="CB1450" s="179"/>
      <c r="CC1450" s="179"/>
      <c r="CD1450" s="179"/>
      <c r="CE1450" s="179"/>
      <c r="CF1450" s="179"/>
      <c r="CG1450"/>
      <c r="CH1450"/>
      <c r="CI1450"/>
      <c r="CJ1450"/>
      <c r="CK1450"/>
      <c r="CL1450"/>
      <c r="CM1450"/>
    </row>
    <row r="1451" spans="1:91" x14ac:dyDescent="0.2">
      <c r="A1451"/>
      <c r="B1451"/>
      <c r="D1451"/>
      <c r="E1451"/>
      <c r="F1451"/>
      <c r="G1451"/>
      <c r="I1451"/>
      <c r="J1451"/>
      <c r="K1451"/>
      <c r="L1451" s="499"/>
      <c r="V1451" s="504"/>
      <c r="BX1451" s="769"/>
      <c r="BY1451" s="179"/>
      <c r="BZ1451" s="179"/>
      <c r="CA1451" s="179"/>
      <c r="CB1451" s="179"/>
      <c r="CC1451" s="179"/>
      <c r="CD1451" s="179"/>
      <c r="CE1451" s="179"/>
      <c r="CF1451" s="179"/>
      <c r="CG1451"/>
      <c r="CH1451"/>
      <c r="CI1451"/>
      <c r="CJ1451"/>
      <c r="CK1451"/>
      <c r="CL1451"/>
      <c r="CM1451"/>
    </row>
    <row r="1452" spans="1:91" x14ac:dyDescent="0.2">
      <c r="A1452"/>
      <c r="B1452"/>
      <c r="D1452"/>
      <c r="E1452"/>
      <c r="F1452"/>
      <c r="G1452"/>
      <c r="I1452"/>
      <c r="J1452"/>
      <c r="K1452"/>
      <c r="L1452" s="499"/>
      <c r="V1452" s="504"/>
      <c r="BX1452" s="769"/>
      <c r="BY1452" s="179"/>
      <c r="BZ1452" s="179"/>
      <c r="CA1452" s="179"/>
      <c r="CB1452" s="179"/>
      <c r="CC1452" s="179"/>
      <c r="CD1452" s="179"/>
      <c r="CE1452" s="179"/>
      <c r="CF1452" s="179"/>
      <c r="CG1452"/>
      <c r="CH1452"/>
      <c r="CI1452"/>
      <c r="CJ1452"/>
      <c r="CK1452"/>
      <c r="CL1452"/>
      <c r="CM1452"/>
    </row>
    <row r="1453" spans="1:91" x14ac:dyDescent="0.2">
      <c r="A1453"/>
      <c r="B1453"/>
      <c r="D1453"/>
      <c r="E1453"/>
      <c r="F1453"/>
      <c r="G1453"/>
      <c r="I1453"/>
      <c r="J1453"/>
      <c r="K1453"/>
      <c r="L1453" s="499"/>
      <c r="V1453" s="504"/>
      <c r="BX1453" s="769"/>
      <c r="BY1453" s="179"/>
      <c r="BZ1453" s="179"/>
      <c r="CA1453" s="179"/>
      <c r="CB1453" s="179"/>
      <c r="CC1453" s="179"/>
      <c r="CD1453" s="179"/>
      <c r="CE1453" s="179"/>
      <c r="CF1453" s="179"/>
      <c r="CG1453"/>
      <c r="CH1453"/>
      <c r="CI1453"/>
      <c r="CJ1453"/>
      <c r="CK1453"/>
      <c r="CL1453"/>
      <c r="CM1453"/>
    </row>
    <row r="1454" spans="1:91" x14ac:dyDescent="0.2">
      <c r="A1454"/>
      <c r="B1454"/>
      <c r="D1454"/>
      <c r="E1454"/>
      <c r="F1454"/>
      <c r="G1454"/>
      <c r="I1454"/>
      <c r="J1454"/>
      <c r="K1454"/>
      <c r="L1454" s="499"/>
      <c r="V1454" s="504"/>
      <c r="BX1454" s="769"/>
      <c r="BY1454" s="179"/>
      <c r="BZ1454" s="179"/>
      <c r="CA1454" s="179"/>
      <c r="CB1454" s="179"/>
      <c r="CC1454" s="179"/>
      <c r="CD1454" s="179"/>
      <c r="CE1454" s="179"/>
      <c r="CF1454" s="179"/>
      <c r="CG1454"/>
      <c r="CH1454"/>
      <c r="CI1454"/>
      <c r="CJ1454"/>
      <c r="CK1454"/>
      <c r="CL1454"/>
      <c r="CM1454"/>
    </row>
    <row r="1455" spans="1:91" x14ac:dyDescent="0.2">
      <c r="A1455"/>
      <c r="B1455"/>
      <c r="D1455"/>
      <c r="E1455"/>
      <c r="F1455"/>
      <c r="G1455"/>
      <c r="I1455"/>
      <c r="J1455"/>
      <c r="K1455"/>
      <c r="L1455" s="499"/>
      <c r="V1455" s="504"/>
      <c r="BX1455" s="769"/>
      <c r="BY1455" s="179"/>
      <c r="BZ1455" s="179"/>
      <c r="CA1455" s="179"/>
      <c r="CB1455" s="179"/>
      <c r="CC1455" s="179"/>
      <c r="CD1455" s="179"/>
      <c r="CE1455" s="179"/>
      <c r="CF1455" s="179"/>
      <c r="CG1455"/>
      <c r="CH1455"/>
      <c r="CI1455"/>
      <c r="CJ1455"/>
      <c r="CK1455"/>
      <c r="CL1455"/>
      <c r="CM1455"/>
    </row>
    <row r="1456" spans="1:91" x14ac:dyDescent="0.2">
      <c r="A1456"/>
      <c r="B1456"/>
      <c r="D1456"/>
      <c r="E1456"/>
      <c r="F1456"/>
      <c r="G1456"/>
      <c r="I1456"/>
      <c r="J1456"/>
      <c r="K1456"/>
      <c r="L1456" s="499"/>
      <c r="V1456" s="504"/>
      <c r="BX1456" s="769"/>
      <c r="BY1456" s="179"/>
      <c r="BZ1456" s="179"/>
      <c r="CA1456" s="179"/>
      <c r="CB1456" s="179"/>
      <c r="CC1456" s="179"/>
      <c r="CD1456" s="179"/>
      <c r="CE1456" s="179"/>
      <c r="CF1456" s="179"/>
      <c r="CG1456"/>
      <c r="CH1456"/>
      <c r="CI1456"/>
      <c r="CJ1456"/>
      <c r="CK1456"/>
      <c r="CL1456"/>
      <c r="CM1456"/>
    </row>
    <row r="1457" spans="1:91" x14ac:dyDescent="0.2">
      <c r="A1457"/>
      <c r="B1457"/>
      <c r="D1457"/>
      <c r="E1457"/>
      <c r="F1457"/>
      <c r="G1457"/>
      <c r="I1457"/>
      <c r="J1457"/>
      <c r="K1457"/>
      <c r="L1457" s="499"/>
      <c r="V1457" s="504"/>
      <c r="BX1457" s="769"/>
      <c r="BY1457" s="179"/>
      <c r="BZ1457" s="179"/>
      <c r="CA1457" s="179"/>
      <c r="CB1457" s="179"/>
      <c r="CC1457" s="179"/>
      <c r="CD1457" s="179"/>
      <c r="CE1457" s="179"/>
      <c r="CF1457" s="179"/>
      <c r="CG1457"/>
      <c r="CH1457"/>
      <c r="CI1457"/>
      <c r="CJ1457"/>
      <c r="CK1457"/>
      <c r="CL1457"/>
      <c r="CM1457"/>
    </row>
    <row r="1458" spans="1:91" x14ac:dyDescent="0.2">
      <c r="A1458"/>
      <c r="B1458"/>
      <c r="D1458"/>
      <c r="E1458"/>
      <c r="F1458"/>
      <c r="G1458"/>
      <c r="I1458"/>
      <c r="J1458"/>
      <c r="K1458"/>
      <c r="L1458" s="499"/>
      <c r="V1458" s="504"/>
      <c r="BX1458" s="769"/>
      <c r="BY1458" s="179"/>
      <c r="BZ1458" s="179"/>
      <c r="CA1458" s="179"/>
      <c r="CB1458" s="179"/>
      <c r="CC1458" s="179"/>
      <c r="CD1458" s="179"/>
      <c r="CE1458" s="179"/>
      <c r="CF1458" s="179"/>
      <c r="CG1458"/>
      <c r="CH1458"/>
      <c r="CI1458"/>
      <c r="CJ1458"/>
      <c r="CK1458"/>
      <c r="CL1458"/>
      <c r="CM1458"/>
    </row>
    <row r="1459" spans="1:91" x14ac:dyDescent="0.2">
      <c r="A1459"/>
      <c r="B1459"/>
      <c r="D1459"/>
      <c r="E1459"/>
      <c r="F1459"/>
      <c r="G1459"/>
      <c r="I1459"/>
      <c r="J1459"/>
      <c r="K1459"/>
      <c r="L1459" s="499"/>
      <c r="V1459" s="504"/>
      <c r="BX1459" s="769"/>
      <c r="BY1459" s="179"/>
      <c r="BZ1459" s="179"/>
      <c r="CA1459" s="179"/>
      <c r="CB1459" s="179"/>
      <c r="CC1459" s="179"/>
      <c r="CD1459" s="179"/>
      <c r="CE1459" s="179"/>
      <c r="CF1459" s="179"/>
      <c r="CG1459"/>
      <c r="CH1459"/>
      <c r="CI1459"/>
      <c r="CJ1459"/>
      <c r="CK1459"/>
      <c r="CL1459"/>
      <c r="CM1459"/>
    </row>
    <row r="1460" spans="1:91" x14ac:dyDescent="0.2">
      <c r="A1460"/>
      <c r="B1460"/>
      <c r="D1460"/>
      <c r="E1460"/>
      <c r="F1460"/>
      <c r="G1460"/>
      <c r="I1460"/>
      <c r="J1460"/>
      <c r="K1460"/>
      <c r="L1460" s="499"/>
      <c r="V1460" s="504"/>
      <c r="BX1460" s="769"/>
      <c r="BY1460" s="179"/>
      <c r="BZ1460" s="179"/>
      <c r="CA1460" s="179"/>
      <c r="CB1460" s="179"/>
      <c r="CC1460" s="179"/>
      <c r="CD1460" s="179"/>
      <c r="CE1460" s="179"/>
      <c r="CF1460" s="179"/>
      <c r="CG1460"/>
      <c r="CH1460"/>
      <c r="CI1460"/>
      <c r="CJ1460"/>
      <c r="CK1460"/>
      <c r="CL1460"/>
      <c r="CM1460"/>
    </row>
    <row r="1461" spans="1:91" x14ac:dyDescent="0.2">
      <c r="A1461"/>
      <c r="B1461"/>
      <c r="D1461"/>
      <c r="E1461"/>
      <c r="F1461"/>
      <c r="G1461"/>
      <c r="I1461"/>
      <c r="J1461"/>
      <c r="K1461"/>
      <c r="L1461" s="499"/>
      <c r="V1461" s="504"/>
      <c r="BX1461" s="769"/>
      <c r="BY1461" s="179"/>
      <c r="BZ1461" s="179"/>
      <c r="CA1461" s="179"/>
      <c r="CB1461" s="179"/>
      <c r="CC1461" s="179"/>
      <c r="CD1461" s="179"/>
      <c r="CE1461" s="179"/>
      <c r="CF1461" s="179"/>
      <c r="CG1461"/>
      <c r="CH1461"/>
      <c r="CI1461"/>
      <c r="CJ1461"/>
      <c r="CK1461"/>
      <c r="CL1461"/>
      <c r="CM1461"/>
    </row>
    <row r="1462" spans="1:91" x14ac:dyDescent="0.2">
      <c r="A1462"/>
      <c r="B1462"/>
      <c r="D1462"/>
      <c r="E1462"/>
      <c r="F1462"/>
      <c r="G1462"/>
      <c r="I1462"/>
      <c r="J1462"/>
      <c r="K1462"/>
      <c r="L1462" s="499"/>
      <c r="V1462" s="504"/>
      <c r="BX1462" s="769"/>
      <c r="BY1462" s="179"/>
      <c r="BZ1462" s="179"/>
      <c r="CA1462" s="179"/>
      <c r="CB1462" s="179"/>
      <c r="CC1462" s="179"/>
      <c r="CD1462" s="179"/>
      <c r="CE1462" s="179"/>
      <c r="CF1462" s="179"/>
      <c r="CG1462"/>
      <c r="CH1462"/>
      <c r="CI1462"/>
      <c r="CJ1462"/>
      <c r="CK1462"/>
      <c r="CL1462"/>
      <c r="CM1462"/>
    </row>
    <row r="1463" spans="1:91" x14ac:dyDescent="0.2">
      <c r="A1463"/>
      <c r="B1463"/>
      <c r="D1463"/>
      <c r="E1463"/>
      <c r="F1463"/>
      <c r="G1463"/>
      <c r="I1463"/>
      <c r="J1463"/>
      <c r="K1463"/>
      <c r="L1463" s="499"/>
      <c r="V1463" s="504"/>
      <c r="BX1463" s="769"/>
      <c r="BY1463" s="179"/>
      <c r="BZ1463" s="179"/>
      <c r="CA1463" s="179"/>
      <c r="CB1463" s="179"/>
      <c r="CC1463" s="179"/>
      <c r="CD1463" s="179"/>
      <c r="CE1463" s="179"/>
      <c r="CF1463" s="179"/>
      <c r="CG1463"/>
      <c r="CH1463"/>
      <c r="CI1463"/>
      <c r="CJ1463"/>
      <c r="CK1463"/>
      <c r="CL1463"/>
      <c r="CM1463"/>
    </row>
    <row r="1464" spans="1:91" x14ac:dyDescent="0.2">
      <c r="A1464"/>
      <c r="B1464"/>
      <c r="D1464"/>
      <c r="E1464"/>
      <c r="F1464"/>
      <c r="G1464"/>
      <c r="I1464"/>
      <c r="J1464"/>
      <c r="K1464"/>
      <c r="L1464" s="499"/>
      <c r="V1464" s="504"/>
      <c r="BX1464" s="769"/>
      <c r="BY1464" s="179"/>
      <c r="BZ1464" s="179"/>
      <c r="CA1464" s="179"/>
      <c r="CB1464" s="179"/>
      <c r="CC1464" s="179"/>
      <c r="CD1464" s="179"/>
      <c r="CE1464" s="179"/>
      <c r="CF1464" s="179"/>
      <c r="CG1464"/>
      <c r="CH1464"/>
      <c r="CI1464"/>
      <c r="CJ1464"/>
      <c r="CK1464"/>
      <c r="CL1464"/>
      <c r="CM1464"/>
    </row>
    <row r="1465" spans="1:91" x14ac:dyDescent="0.2">
      <c r="A1465"/>
      <c r="B1465"/>
      <c r="D1465"/>
      <c r="E1465"/>
      <c r="F1465"/>
      <c r="G1465"/>
      <c r="I1465"/>
      <c r="J1465"/>
      <c r="K1465"/>
      <c r="L1465" s="499"/>
      <c r="V1465" s="504"/>
      <c r="BX1465" s="769"/>
      <c r="BY1465" s="179"/>
      <c r="BZ1465" s="179"/>
      <c r="CA1465" s="179"/>
      <c r="CB1465" s="179"/>
      <c r="CC1465" s="179"/>
      <c r="CD1465" s="179"/>
      <c r="CE1465" s="179"/>
      <c r="CF1465" s="179"/>
      <c r="CG1465"/>
      <c r="CH1465"/>
      <c r="CI1465"/>
      <c r="CJ1465"/>
      <c r="CK1465"/>
      <c r="CL1465"/>
      <c r="CM1465"/>
    </row>
    <row r="1466" spans="1:91" x14ac:dyDescent="0.2">
      <c r="A1466"/>
      <c r="B1466"/>
      <c r="D1466"/>
      <c r="E1466"/>
      <c r="F1466"/>
      <c r="G1466"/>
      <c r="I1466"/>
      <c r="J1466"/>
      <c r="K1466"/>
      <c r="L1466" s="499"/>
      <c r="V1466" s="504"/>
      <c r="BX1466" s="769"/>
      <c r="BY1466" s="179"/>
      <c r="BZ1466" s="179"/>
      <c r="CA1466" s="179"/>
      <c r="CB1466" s="179"/>
      <c r="CC1466" s="179"/>
      <c r="CD1466" s="179"/>
      <c r="CE1466" s="179"/>
      <c r="CF1466" s="179"/>
      <c r="CG1466"/>
      <c r="CH1466"/>
      <c r="CI1466"/>
      <c r="CJ1466"/>
      <c r="CK1466"/>
      <c r="CL1466"/>
      <c r="CM1466"/>
    </row>
    <row r="1467" spans="1:91" x14ac:dyDescent="0.2">
      <c r="A1467"/>
      <c r="B1467"/>
      <c r="D1467"/>
      <c r="E1467"/>
      <c r="F1467"/>
      <c r="G1467"/>
      <c r="I1467"/>
      <c r="J1467"/>
      <c r="K1467"/>
      <c r="L1467" s="499"/>
      <c r="V1467" s="504"/>
      <c r="BX1467" s="769"/>
      <c r="BY1467" s="179"/>
      <c r="BZ1467" s="179"/>
      <c r="CA1467" s="179"/>
      <c r="CB1467" s="179"/>
      <c r="CC1467" s="179"/>
      <c r="CD1467" s="179"/>
      <c r="CE1467" s="179"/>
      <c r="CF1467" s="179"/>
      <c r="CG1467"/>
      <c r="CH1467"/>
      <c r="CI1467"/>
      <c r="CJ1467"/>
      <c r="CK1467"/>
      <c r="CL1467"/>
      <c r="CM1467"/>
    </row>
    <row r="1468" spans="1:91" x14ac:dyDescent="0.2">
      <c r="A1468"/>
      <c r="B1468"/>
      <c r="D1468"/>
      <c r="E1468"/>
      <c r="F1468"/>
      <c r="G1468"/>
      <c r="I1468"/>
      <c r="J1468"/>
      <c r="K1468"/>
      <c r="L1468" s="499"/>
      <c r="V1468" s="504"/>
      <c r="BX1468" s="769"/>
      <c r="BY1468" s="179"/>
      <c r="BZ1468" s="179"/>
      <c r="CA1468" s="179"/>
      <c r="CB1468" s="179"/>
      <c r="CC1468" s="179"/>
      <c r="CD1468" s="179"/>
      <c r="CE1468" s="179"/>
      <c r="CF1468" s="179"/>
      <c r="CG1468"/>
      <c r="CH1468"/>
      <c r="CI1468"/>
      <c r="CJ1468"/>
      <c r="CK1468"/>
      <c r="CL1468"/>
      <c r="CM1468"/>
    </row>
    <row r="1469" spans="1:91" x14ac:dyDescent="0.2">
      <c r="A1469"/>
      <c r="B1469"/>
      <c r="D1469"/>
      <c r="E1469"/>
      <c r="F1469"/>
      <c r="G1469"/>
      <c r="I1469"/>
      <c r="J1469"/>
      <c r="K1469"/>
      <c r="L1469" s="499"/>
      <c r="V1469" s="504"/>
      <c r="BX1469" s="769"/>
      <c r="BY1469" s="179"/>
      <c r="BZ1469" s="179"/>
      <c r="CA1469" s="179"/>
      <c r="CB1469" s="179"/>
      <c r="CC1469" s="179"/>
      <c r="CD1469" s="179"/>
      <c r="CE1469" s="179"/>
      <c r="CF1469" s="179"/>
      <c r="CG1469"/>
      <c r="CH1469"/>
      <c r="CI1469"/>
      <c r="CJ1469"/>
      <c r="CK1469"/>
      <c r="CL1469"/>
      <c r="CM1469"/>
    </row>
    <row r="1470" spans="1:91" x14ac:dyDescent="0.2">
      <c r="A1470"/>
      <c r="B1470"/>
      <c r="D1470"/>
      <c r="E1470"/>
      <c r="F1470"/>
      <c r="G1470"/>
      <c r="I1470"/>
      <c r="J1470"/>
      <c r="K1470"/>
      <c r="L1470" s="499"/>
      <c r="V1470" s="504"/>
      <c r="BX1470" s="769"/>
      <c r="BY1470" s="179"/>
      <c r="BZ1470" s="179"/>
      <c r="CA1470" s="179"/>
      <c r="CB1470" s="179"/>
      <c r="CC1470" s="179"/>
      <c r="CD1470" s="179"/>
      <c r="CE1470" s="179"/>
      <c r="CF1470" s="179"/>
      <c r="CG1470"/>
      <c r="CH1470"/>
      <c r="CI1470"/>
      <c r="CJ1470"/>
      <c r="CK1470"/>
      <c r="CL1470"/>
      <c r="CM1470"/>
    </row>
    <row r="1471" spans="1:91" x14ac:dyDescent="0.2">
      <c r="A1471"/>
      <c r="B1471"/>
      <c r="D1471"/>
      <c r="E1471"/>
      <c r="F1471"/>
      <c r="G1471"/>
      <c r="I1471"/>
      <c r="J1471"/>
      <c r="K1471"/>
      <c r="L1471" s="499"/>
      <c r="V1471" s="504"/>
      <c r="BX1471" s="769"/>
      <c r="BY1471" s="179"/>
      <c r="BZ1471" s="179"/>
      <c r="CA1471" s="179"/>
      <c r="CB1471" s="179"/>
      <c r="CC1471" s="179"/>
      <c r="CD1471" s="179"/>
      <c r="CE1471" s="179"/>
      <c r="CF1471" s="179"/>
      <c r="CG1471"/>
      <c r="CH1471"/>
      <c r="CI1471"/>
      <c r="CJ1471"/>
      <c r="CK1471"/>
      <c r="CL1471"/>
      <c r="CM1471"/>
    </row>
    <row r="1472" spans="1:91" x14ac:dyDescent="0.2">
      <c r="A1472"/>
      <c r="B1472"/>
      <c r="D1472"/>
      <c r="E1472"/>
      <c r="F1472"/>
      <c r="G1472"/>
      <c r="I1472"/>
      <c r="J1472"/>
      <c r="K1472"/>
      <c r="L1472" s="499"/>
      <c r="V1472" s="504"/>
      <c r="BX1472" s="769"/>
      <c r="BY1472" s="179"/>
      <c r="BZ1472" s="179"/>
      <c r="CA1472" s="179"/>
      <c r="CB1472" s="179"/>
      <c r="CC1472" s="179"/>
      <c r="CD1472" s="179"/>
      <c r="CE1472" s="179"/>
      <c r="CF1472" s="179"/>
      <c r="CG1472"/>
      <c r="CH1472"/>
      <c r="CI1472"/>
      <c r="CJ1472"/>
      <c r="CK1472"/>
      <c r="CL1472"/>
      <c r="CM1472"/>
    </row>
    <row r="1473" spans="1:91" x14ac:dyDescent="0.2">
      <c r="A1473"/>
      <c r="B1473"/>
      <c r="D1473"/>
      <c r="E1473"/>
      <c r="F1473"/>
      <c r="G1473"/>
      <c r="I1473"/>
      <c r="J1473"/>
      <c r="K1473"/>
      <c r="L1473" s="499"/>
      <c r="V1473" s="504"/>
      <c r="BX1473" s="769"/>
      <c r="BY1473" s="179"/>
      <c r="BZ1473" s="179"/>
      <c r="CA1473" s="179"/>
      <c r="CB1473" s="179"/>
      <c r="CC1473" s="179"/>
      <c r="CD1473" s="179"/>
      <c r="CE1473" s="179"/>
      <c r="CF1473" s="179"/>
      <c r="CG1473"/>
      <c r="CH1473"/>
      <c r="CI1473"/>
      <c r="CJ1473"/>
      <c r="CK1473"/>
      <c r="CL1473"/>
      <c r="CM1473"/>
    </row>
    <row r="1474" spans="1:91" x14ac:dyDescent="0.2">
      <c r="A1474"/>
      <c r="B1474"/>
      <c r="D1474"/>
      <c r="E1474"/>
      <c r="F1474"/>
      <c r="G1474"/>
      <c r="I1474"/>
      <c r="J1474"/>
      <c r="K1474"/>
      <c r="L1474" s="499"/>
      <c r="V1474" s="504"/>
      <c r="BX1474" s="769"/>
      <c r="BY1474" s="179"/>
      <c r="BZ1474" s="179"/>
      <c r="CA1474" s="179"/>
      <c r="CB1474" s="179"/>
      <c r="CC1474" s="179"/>
      <c r="CD1474" s="179"/>
      <c r="CE1474" s="179"/>
      <c r="CF1474" s="179"/>
      <c r="CG1474"/>
      <c r="CH1474"/>
      <c r="CI1474"/>
      <c r="CJ1474"/>
      <c r="CK1474"/>
      <c r="CL1474"/>
      <c r="CM1474"/>
    </row>
    <row r="1475" spans="1:91" x14ac:dyDescent="0.2">
      <c r="A1475"/>
      <c r="B1475"/>
      <c r="D1475"/>
      <c r="E1475"/>
      <c r="F1475"/>
      <c r="G1475"/>
      <c r="I1475"/>
      <c r="J1475"/>
      <c r="K1475"/>
      <c r="L1475" s="499"/>
      <c r="V1475" s="504"/>
      <c r="BX1475" s="769"/>
      <c r="BY1475" s="179"/>
      <c r="BZ1475" s="179"/>
      <c r="CA1475" s="179"/>
      <c r="CB1475" s="179"/>
      <c r="CC1475" s="179"/>
      <c r="CD1475" s="179"/>
      <c r="CE1475" s="179"/>
      <c r="CF1475" s="179"/>
      <c r="CG1475"/>
      <c r="CH1475"/>
      <c r="CI1475"/>
      <c r="CJ1475"/>
      <c r="CK1475"/>
      <c r="CL1475"/>
      <c r="CM1475"/>
    </row>
    <row r="1476" spans="1:91" x14ac:dyDescent="0.2">
      <c r="A1476"/>
      <c r="B1476"/>
      <c r="D1476"/>
      <c r="E1476"/>
      <c r="F1476"/>
      <c r="G1476"/>
      <c r="I1476"/>
      <c r="J1476"/>
      <c r="K1476"/>
      <c r="L1476" s="499"/>
      <c r="V1476" s="504"/>
      <c r="BX1476" s="769"/>
      <c r="BY1476" s="179"/>
      <c r="BZ1476" s="179"/>
      <c r="CA1476" s="179"/>
      <c r="CB1476" s="179"/>
      <c r="CC1476" s="179"/>
      <c r="CD1476" s="179"/>
      <c r="CE1476" s="179"/>
      <c r="CF1476" s="179"/>
      <c r="CG1476"/>
      <c r="CH1476"/>
      <c r="CI1476"/>
      <c r="CJ1476"/>
      <c r="CK1476"/>
      <c r="CL1476"/>
      <c r="CM1476"/>
    </row>
    <row r="1477" spans="1:91" x14ac:dyDescent="0.2">
      <c r="A1477"/>
      <c r="B1477"/>
      <c r="D1477"/>
      <c r="E1477"/>
      <c r="F1477"/>
      <c r="G1477"/>
      <c r="I1477"/>
      <c r="J1477"/>
      <c r="K1477"/>
      <c r="L1477" s="499"/>
      <c r="V1477" s="504"/>
      <c r="BX1477" s="769"/>
      <c r="BY1477" s="179"/>
      <c r="BZ1477" s="179"/>
      <c r="CA1477" s="179"/>
      <c r="CB1477" s="179"/>
      <c r="CC1477" s="179"/>
      <c r="CD1477" s="179"/>
      <c r="CE1477" s="179"/>
      <c r="CF1477" s="179"/>
      <c r="CG1477"/>
      <c r="CH1477"/>
      <c r="CI1477"/>
      <c r="CJ1477"/>
      <c r="CK1477"/>
      <c r="CL1477"/>
      <c r="CM1477"/>
    </row>
    <row r="1478" spans="1:91" x14ac:dyDescent="0.2">
      <c r="A1478"/>
      <c r="B1478"/>
      <c r="D1478"/>
      <c r="E1478"/>
      <c r="F1478"/>
      <c r="G1478"/>
      <c r="I1478"/>
      <c r="J1478"/>
      <c r="K1478"/>
      <c r="L1478" s="499"/>
      <c r="V1478" s="504"/>
      <c r="BX1478" s="769"/>
      <c r="BY1478" s="179"/>
      <c r="BZ1478" s="179"/>
      <c r="CA1478" s="179"/>
      <c r="CB1478" s="179"/>
      <c r="CC1478" s="179"/>
      <c r="CD1478" s="179"/>
      <c r="CE1478" s="179"/>
      <c r="CF1478" s="179"/>
      <c r="CG1478"/>
      <c r="CH1478"/>
      <c r="CI1478"/>
      <c r="CJ1478"/>
      <c r="CK1478"/>
      <c r="CL1478"/>
      <c r="CM1478"/>
    </row>
    <row r="1479" spans="1:91" x14ac:dyDescent="0.2">
      <c r="A1479"/>
      <c r="B1479"/>
      <c r="D1479"/>
      <c r="E1479"/>
      <c r="F1479"/>
      <c r="G1479"/>
      <c r="I1479"/>
      <c r="J1479"/>
      <c r="K1479"/>
      <c r="L1479" s="499"/>
      <c r="V1479" s="504"/>
      <c r="BX1479" s="769"/>
      <c r="BY1479" s="179"/>
      <c r="BZ1479" s="179"/>
      <c r="CA1479" s="179"/>
      <c r="CB1479" s="179"/>
      <c r="CC1479" s="179"/>
      <c r="CD1479" s="179"/>
      <c r="CE1479" s="179"/>
      <c r="CF1479" s="179"/>
      <c r="CG1479"/>
      <c r="CH1479"/>
      <c r="CI1479"/>
      <c r="CJ1479"/>
      <c r="CK1479"/>
      <c r="CL1479"/>
      <c r="CM1479"/>
    </row>
    <row r="1480" spans="1:91" x14ac:dyDescent="0.2">
      <c r="A1480"/>
      <c r="B1480"/>
      <c r="D1480"/>
      <c r="E1480"/>
      <c r="F1480"/>
      <c r="G1480"/>
      <c r="I1480"/>
      <c r="J1480"/>
      <c r="K1480"/>
      <c r="L1480" s="499"/>
      <c r="V1480" s="504"/>
      <c r="BX1480" s="769"/>
      <c r="BY1480" s="179"/>
      <c r="BZ1480" s="179"/>
      <c r="CA1480" s="179"/>
      <c r="CB1480" s="179"/>
      <c r="CC1480" s="179"/>
      <c r="CD1480" s="179"/>
      <c r="CE1480" s="179"/>
      <c r="CF1480" s="179"/>
      <c r="CG1480"/>
      <c r="CH1480"/>
      <c r="CI1480"/>
      <c r="CJ1480"/>
      <c r="CK1480"/>
      <c r="CL1480"/>
      <c r="CM1480"/>
    </row>
    <row r="1481" spans="1:91" x14ac:dyDescent="0.2">
      <c r="A1481"/>
      <c r="B1481"/>
      <c r="D1481"/>
      <c r="E1481"/>
      <c r="F1481"/>
      <c r="G1481"/>
      <c r="I1481"/>
      <c r="J1481"/>
      <c r="K1481"/>
      <c r="L1481" s="499"/>
      <c r="V1481" s="504"/>
      <c r="BX1481" s="769"/>
      <c r="BY1481" s="179"/>
      <c r="BZ1481" s="179"/>
      <c r="CA1481" s="179"/>
      <c r="CB1481" s="179"/>
      <c r="CC1481" s="179"/>
      <c r="CD1481" s="179"/>
      <c r="CE1481" s="179"/>
      <c r="CF1481" s="179"/>
      <c r="CG1481"/>
      <c r="CH1481"/>
      <c r="CI1481"/>
      <c r="CJ1481"/>
      <c r="CK1481"/>
      <c r="CL1481"/>
      <c r="CM1481"/>
    </row>
    <row r="1482" spans="1:91" x14ac:dyDescent="0.2">
      <c r="A1482"/>
      <c r="B1482"/>
      <c r="D1482"/>
      <c r="E1482"/>
      <c r="F1482"/>
      <c r="G1482"/>
      <c r="I1482"/>
      <c r="J1482"/>
      <c r="K1482"/>
      <c r="L1482" s="499"/>
      <c r="V1482" s="504"/>
      <c r="BX1482" s="769"/>
      <c r="BY1482" s="179"/>
      <c r="BZ1482" s="179"/>
      <c r="CA1482" s="179"/>
      <c r="CB1482" s="179"/>
      <c r="CC1482" s="179"/>
      <c r="CD1482" s="179"/>
      <c r="CE1482" s="179"/>
      <c r="CF1482" s="179"/>
      <c r="CG1482"/>
      <c r="CH1482"/>
      <c r="CI1482"/>
      <c r="CJ1482"/>
      <c r="CK1482"/>
      <c r="CL1482"/>
      <c r="CM1482"/>
    </row>
    <row r="1483" spans="1:91" x14ac:dyDescent="0.2">
      <c r="A1483"/>
      <c r="B1483"/>
      <c r="D1483"/>
      <c r="E1483"/>
      <c r="F1483"/>
      <c r="G1483"/>
      <c r="I1483"/>
      <c r="J1483"/>
      <c r="K1483"/>
      <c r="L1483" s="499"/>
      <c r="V1483" s="504"/>
      <c r="BX1483" s="769"/>
      <c r="BY1483" s="179"/>
      <c r="BZ1483" s="179"/>
      <c r="CA1483" s="179"/>
      <c r="CB1483" s="179"/>
      <c r="CC1483" s="179"/>
      <c r="CD1483" s="179"/>
      <c r="CE1483" s="179"/>
      <c r="CF1483" s="179"/>
      <c r="CG1483"/>
      <c r="CH1483"/>
      <c r="CI1483"/>
      <c r="CJ1483"/>
      <c r="CK1483"/>
      <c r="CL1483"/>
      <c r="CM1483"/>
    </row>
    <row r="1484" spans="1:91" x14ac:dyDescent="0.2">
      <c r="A1484"/>
      <c r="B1484"/>
      <c r="D1484"/>
      <c r="E1484"/>
      <c r="F1484"/>
      <c r="G1484"/>
      <c r="I1484"/>
      <c r="J1484"/>
      <c r="K1484"/>
      <c r="L1484" s="499"/>
      <c r="V1484" s="504"/>
      <c r="BX1484" s="769"/>
      <c r="BY1484" s="179"/>
      <c r="BZ1484" s="179"/>
      <c r="CA1484" s="179"/>
      <c r="CB1484" s="179"/>
      <c r="CC1484" s="179"/>
      <c r="CD1484" s="179"/>
      <c r="CE1484" s="179"/>
      <c r="CF1484" s="179"/>
      <c r="CG1484"/>
      <c r="CH1484"/>
      <c r="CI1484"/>
      <c r="CJ1484"/>
      <c r="CK1484"/>
      <c r="CL1484"/>
      <c r="CM1484"/>
    </row>
    <row r="1485" spans="1:91" x14ac:dyDescent="0.2">
      <c r="A1485"/>
      <c r="B1485"/>
      <c r="D1485"/>
      <c r="E1485"/>
      <c r="F1485"/>
      <c r="G1485"/>
      <c r="I1485"/>
      <c r="J1485"/>
      <c r="K1485"/>
      <c r="L1485" s="499"/>
      <c r="V1485" s="504"/>
      <c r="BX1485" s="769"/>
      <c r="BY1485" s="179"/>
      <c r="BZ1485" s="179"/>
      <c r="CA1485" s="179"/>
      <c r="CB1485" s="179"/>
      <c r="CC1485" s="179"/>
      <c r="CD1485" s="179"/>
      <c r="CE1485" s="179"/>
      <c r="CF1485" s="179"/>
      <c r="CG1485"/>
      <c r="CH1485"/>
      <c r="CI1485"/>
      <c r="CJ1485"/>
      <c r="CK1485"/>
      <c r="CL1485"/>
      <c r="CM1485"/>
    </row>
    <row r="1486" spans="1:91" x14ac:dyDescent="0.2">
      <c r="A1486"/>
      <c r="B1486"/>
      <c r="D1486"/>
      <c r="E1486"/>
      <c r="F1486"/>
      <c r="G1486"/>
      <c r="I1486"/>
      <c r="J1486"/>
      <c r="K1486"/>
      <c r="L1486" s="499"/>
      <c r="V1486" s="504"/>
      <c r="BX1486" s="769"/>
      <c r="BY1486" s="179"/>
      <c r="BZ1486" s="179"/>
      <c r="CA1486" s="179"/>
      <c r="CB1486" s="179"/>
      <c r="CC1486" s="179"/>
      <c r="CD1486" s="179"/>
      <c r="CE1486" s="179"/>
      <c r="CF1486" s="179"/>
      <c r="CG1486"/>
      <c r="CH1486"/>
      <c r="CI1486"/>
      <c r="CJ1486"/>
      <c r="CK1486"/>
      <c r="CL1486"/>
      <c r="CM1486"/>
    </row>
    <row r="1487" spans="1:91" x14ac:dyDescent="0.2">
      <c r="A1487"/>
      <c r="B1487"/>
      <c r="D1487"/>
      <c r="E1487"/>
      <c r="F1487"/>
      <c r="G1487"/>
      <c r="I1487"/>
      <c r="J1487"/>
      <c r="K1487"/>
      <c r="L1487" s="499"/>
      <c r="V1487" s="504"/>
      <c r="BX1487" s="769"/>
      <c r="BY1487" s="179"/>
      <c r="BZ1487" s="179"/>
      <c r="CA1487" s="179"/>
      <c r="CB1487" s="179"/>
      <c r="CC1487" s="179"/>
      <c r="CD1487" s="179"/>
      <c r="CE1487" s="179"/>
      <c r="CF1487" s="179"/>
      <c r="CG1487"/>
      <c r="CH1487"/>
      <c r="CI1487"/>
      <c r="CJ1487"/>
      <c r="CK1487"/>
      <c r="CL1487"/>
      <c r="CM1487"/>
    </row>
    <row r="1488" spans="1:91" x14ac:dyDescent="0.2">
      <c r="A1488"/>
      <c r="B1488"/>
      <c r="D1488"/>
      <c r="E1488"/>
      <c r="F1488"/>
      <c r="G1488"/>
      <c r="I1488"/>
      <c r="J1488"/>
      <c r="K1488"/>
      <c r="L1488" s="499"/>
      <c r="V1488" s="504"/>
      <c r="BX1488" s="769"/>
      <c r="BY1488" s="179"/>
      <c r="BZ1488" s="179"/>
      <c r="CA1488" s="179"/>
      <c r="CB1488" s="179"/>
      <c r="CC1488" s="179"/>
      <c r="CD1488" s="179"/>
      <c r="CE1488" s="179"/>
      <c r="CF1488" s="179"/>
      <c r="CG1488"/>
      <c r="CH1488"/>
      <c r="CI1488"/>
      <c r="CJ1488"/>
      <c r="CK1488"/>
      <c r="CL1488"/>
      <c r="CM1488"/>
    </row>
    <row r="1489" spans="1:91" x14ac:dyDescent="0.2">
      <c r="A1489"/>
      <c r="B1489"/>
      <c r="D1489"/>
      <c r="E1489"/>
      <c r="F1489"/>
      <c r="G1489"/>
      <c r="I1489"/>
      <c r="J1489"/>
      <c r="K1489"/>
      <c r="L1489" s="499"/>
      <c r="V1489" s="504"/>
      <c r="BX1489" s="769"/>
      <c r="BY1489" s="179"/>
      <c r="BZ1489" s="179"/>
      <c r="CA1489" s="179"/>
      <c r="CB1489" s="179"/>
      <c r="CC1489" s="179"/>
      <c r="CD1489" s="179"/>
      <c r="CE1489" s="179"/>
      <c r="CF1489" s="179"/>
      <c r="CG1489"/>
      <c r="CH1489"/>
      <c r="CI1489"/>
      <c r="CJ1489"/>
      <c r="CK1489"/>
      <c r="CL1489"/>
      <c r="CM1489"/>
    </row>
    <row r="1490" spans="1:91" x14ac:dyDescent="0.2">
      <c r="A1490"/>
      <c r="B1490"/>
      <c r="D1490"/>
      <c r="E1490"/>
      <c r="F1490"/>
      <c r="G1490"/>
      <c r="I1490"/>
      <c r="J1490"/>
      <c r="K1490"/>
      <c r="L1490" s="499"/>
      <c r="V1490" s="504"/>
      <c r="BX1490" s="769"/>
      <c r="BY1490" s="179"/>
      <c r="BZ1490" s="179"/>
      <c r="CA1490" s="179"/>
      <c r="CB1490" s="179"/>
      <c r="CC1490" s="179"/>
      <c r="CD1490" s="179"/>
      <c r="CE1490" s="179"/>
      <c r="CF1490" s="179"/>
      <c r="CG1490"/>
      <c r="CH1490"/>
      <c r="CI1490"/>
      <c r="CJ1490"/>
      <c r="CK1490"/>
      <c r="CL1490"/>
      <c r="CM1490"/>
    </row>
    <row r="1491" spans="1:91" x14ac:dyDescent="0.2">
      <c r="A1491"/>
      <c r="B1491"/>
      <c r="D1491"/>
      <c r="E1491"/>
      <c r="F1491"/>
      <c r="G1491"/>
      <c r="I1491"/>
      <c r="J1491"/>
      <c r="K1491"/>
      <c r="L1491" s="499"/>
      <c r="V1491" s="504"/>
      <c r="BX1491" s="769"/>
      <c r="BY1491" s="179"/>
      <c r="BZ1491" s="179"/>
      <c r="CA1491" s="179"/>
      <c r="CB1491" s="179"/>
      <c r="CC1491" s="179"/>
      <c r="CD1491" s="179"/>
      <c r="CE1491" s="179"/>
      <c r="CF1491" s="179"/>
      <c r="CG1491"/>
      <c r="CH1491"/>
      <c r="CI1491"/>
      <c r="CJ1491"/>
      <c r="CK1491"/>
      <c r="CL1491"/>
      <c r="CM1491"/>
    </row>
    <row r="1492" spans="1:91" x14ac:dyDescent="0.2">
      <c r="A1492"/>
      <c r="B1492"/>
      <c r="D1492"/>
      <c r="E1492"/>
      <c r="F1492"/>
      <c r="G1492"/>
      <c r="I1492"/>
      <c r="J1492"/>
      <c r="K1492"/>
      <c r="L1492" s="499"/>
      <c r="V1492" s="504"/>
      <c r="BX1492" s="769"/>
      <c r="BY1492" s="179"/>
      <c r="BZ1492" s="179"/>
      <c r="CA1492" s="179"/>
      <c r="CB1492" s="179"/>
      <c r="CC1492" s="179"/>
      <c r="CD1492" s="179"/>
      <c r="CE1492" s="179"/>
      <c r="CF1492" s="179"/>
      <c r="CG1492"/>
      <c r="CH1492"/>
      <c r="CI1492"/>
      <c r="CJ1492"/>
      <c r="CK1492"/>
      <c r="CL1492"/>
      <c r="CM1492"/>
    </row>
    <row r="1493" spans="1:91" x14ac:dyDescent="0.2">
      <c r="A1493"/>
      <c r="B1493"/>
      <c r="D1493"/>
      <c r="E1493"/>
      <c r="F1493"/>
      <c r="G1493"/>
      <c r="I1493"/>
      <c r="J1493"/>
      <c r="K1493"/>
      <c r="L1493" s="499"/>
      <c r="V1493" s="504"/>
      <c r="BX1493" s="769"/>
      <c r="BY1493" s="179"/>
      <c r="BZ1493" s="179"/>
      <c r="CA1493" s="179"/>
      <c r="CB1493" s="179"/>
      <c r="CC1493" s="179"/>
      <c r="CD1493" s="179"/>
      <c r="CE1493" s="179"/>
      <c r="CF1493" s="179"/>
      <c r="CG1493"/>
      <c r="CH1493"/>
      <c r="CI1493"/>
      <c r="CJ1493"/>
      <c r="CK1493"/>
      <c r="CL1493"/>
      <c r="CM1493"/>
    </row>
    <row r="1494" spans="1:91" x14ac:dyDescent="0.2">
      <c r="A1494"/>
      <c r="B1494"/>
      <c r="D1494"/>
      <c r="E1494"/>
      <c r="F1494"/>
      <c r="G1494"/>
      <c r="I1494"/>
      <c r="J1494"/>
      <c r="K1494"/>
      <c r="L1494" s="499"/>
      <c r="V1494" s="504"/>
      <c r="BX1494" s="769"/>
      <c r="BY1494" s="179"/>
      <c r="BZ1494" s="179"/>
      <c r="CA1494" s="179"/>
      <c r="CB1494" s="179"/>
      <c r="CC1494" s="179"/>
      <c r="CD1494" s="179"/>
      <c r="CE1494" s="179"/>
      <c r="CF1494" s="179"/>
      <c r="CG1494"/>
      <c r="CH1494"/>
      <c r="CI1494"/>
      <c r="CJ1494"/>
      <c r="CK1494"/>
      <c r="CL1494"/>
      <c r="CM1494"/>
    </row>
    <row r="1495" spans="1:91" x14ac:dyDescent="0.2">
      <c r="A1495"/>
      <c r="B1495"/>
      <c r="D1495"/>
      <c r="E1495"/>
      <c r="F1495"/>
      <c r="G1495"/>
      <c r="I1495"/>
      <c r="J1495"/>
      <c r="K1495"/>
      <c r="L1495" s="499"/>
      <c r="V1495" s="504"/>
      <c r="BX1495" s="769"/>
      <c r="BY1495" s="179"/>
      <c r="BZ1495" s="179"/>
      <c r="CA1495" s="179"/>
      <c r="CB1495" s="179"/>
      <c r="CC1495" s="179"/>
      <c r="CD1495" s="179"/>
      <c r="CE1495" s="179"/>
      <c r="CF1495" s="179"/>
      <c r="CG1495"/>
      <c r="CH1495"/>
      <c r="CI1495"/>
      <c r="CJ1495"/>
      <c r="CK1495"/>
      <c r="CL1495"/>
      <c r="CM1495"/>
    </row>
    <row r="1496" spans="1:91" x14ac:dyDescent="0.2">
      <c r="A1496"/>
      <c r="B1496"/>
      <c r="D1496"/>
      <c r="E1496"/>
      <c r="F1496"/>
      <c r="G1496"/>
      <c r="I1496"/>
      <c r="J1496"/>
      <c r="K1496"/>
      <c r="L1496" s="499"/>
      <c r="V1496" s="504"/>
      <c r="BX1496" s="769"/>
      <c r="BY1496" s="179"/>
      <c r="BZ1496" s="179"/>
      <c r="CA1496" s="179"/>
      <c r="CB1496" s="179"/>
      <c r="CC1496" s="179"/>
      <c r="CD1496" s="179"/>
      <c r="CE1496" s="179"/>
      <c r="CF1496" s="179"/>
      <c r="CG1496"/>
      <c r="CH1496"/>
      <c r="CI1496"/>
      <c r="CJ1496"/>
      <c r="CK1496"/>
      <c r="CL1496"/>
      <c r="CM1496"/>
    </row>
    <row r="1497" spans="1:91" x14ac:dyDescent="0.2">
      <c r="A1497"/>
      <c r="B1497"/>
      <c r="D1497"/>
      <c r="E1497"/>
      <c r="F1497"/>
      <c r="G1497"/>
      <c r="I1497"/>
      <c r="J1497"/>
      <c r="K1497"/>
      <c r="L1497" s="499"/>
      <c r="V1497" s="504"/>
      <c r="BX1497" s="769"/>
      <c r="BY1497" s="179"/>
      <c r="BZ1497" s="179"/>
      <c r="CA1497" s="179"/>
      <c r="CB1497" s="179"/>
      <c r="CC1497" s="179"/>
      <c r="CD1497" s="179"/>
      <c r="CE1497" s="179"/>
      <c r="CF1497" s="179"/>
      <c r="CG1497"/>
      <c r="CH1497"/>
      <c r="CI1497"/>
      <c r="CJ1497"/>
      <c r="CK1497"/>
      <c r="CL1497"/>
      <c r="CM1497"/>
    </row>
    <row r="1498" spans="1:91" x14ac:dyDescent="0.2">
      <c r="A1498"/>
      <c r="B1498"/>
      <c r="D1498"/>
      <c r="E1498"/>
      <c r="F1498"/>
      <c r="G1498"/>
      <c r="I1498"/>
      <c r="J1498"/>
      <c r="K1498"/>
      <c r="L1498" s="499"/>
      <c r="V1498" s="504"/>
      <c r="BX1498" s="769"/>
      <c r="BY1498" s="179"/>
      <c r="BZ1498" s="179"/>
      <c r="CA1498" s="179"/>
      <c r="CB1498" s="179"/>
      <c r="CC1498" s="179"/>
      <c r="CD1498" s="179"/>
      <c r="CE1498" s="179"/>
      <c r="CF1498" s="179"/>
      <c r="CG1498"/>
      <c r="CH1498"/>
      <c r="CI1498"/>
      <c r="CJ1498"/>
      <c r="CK1498"/>
      <c r="CL1498"/>
      <c r="CM1498"/>
    </row>
    <row r="1499" spans="1:91" x14ac:dyDescent="0.2">
      <c r="A1499"/>
      <c r="B1499"/>
      <c r="D1499"/>
      <c r="E1499"/>
      <c r="F1499"/>
      <c r="G1499"/>
      <c r="I1499"/>
      <c r="J1499"/>
      <c r="K1499"/>
      <c r="L1499" s="499"/>
      <c r="V1499" s="504"/>
      <c r="BX1499" s="769"/>
      <c r="BY1499" s="179"/>
      <c r="BZ1499" s="179"/>
      <c r="CA1499" s="179"/>
      <c r="CB1499" s="179"/>
      <c r="CC1499" s="179"/>
      <c r="CD1499" s="179"/>
      <c r="CE1499" s="179"/>
      <c r="CF1499" s="179"/>
      <c r="CG1499"/>
      <c r="CH1499"/>
      <c r="CI1499"/>
      <c r="CJ1499"/>
      <c r="CK1499"/>
      <c r="CL1499"/>
      <c r="CM1499"/>
    </row>
    <row r="1500" spans="1:91" x14ac:dyDescent="0.2">
      <c r="A1500"/>
      <c r="B1500"/>
      <c r="D1500"/>
      <c r="E1500"/>
      <c r="F1500"/>
      <c r="G1500"/>
      <c r="I1500"/>
      <c r="J1500"/>
      <c r="K1500"/>
      <c r="L1500" s="499"/>
      <c r="V1500" s="504"/>
      <c r="BX1500" s="769"/>
      <c r="BY1500" s="179"/>
      <c r="BZ1500" s="179"/>
      <c r="CA1500" s="179"/>
      <c r="CB1500" s="179"/>
      <c r="CC1500" s="179"/>
      <c r="CD1500" s="179"/>
      <c r="CE1500" s="179"/>
      <c r="CF1500" s="179"/>
      <c r="CG1500"/>
      <c r="CH1500"/>
      <c r="CI1500"/>
      <c r="CJ1500"/>
      <c r="CK1500"/>
      <c r="CL1500"/>
      <c r="CM1500"/>
    </row>
    <row r="1501" spans="1:91" x14ac:dyDescent="0.2">
      <c r="A1501"/>
      <c r="B1501"/>
      <c r="D1501"/>
      <c r="E1501"/>
      <c r="F1501"/>
      <c r="G1501"/>
      <c r="I1501"/>
      <c r="J1501"/>
      <c r="K1501"/>
      <c r="L1501" s="499"/>
      <c r="V1501" s="504"/>
      <c r="BX1501" s="769"/>
      <c r="BY1501" s="179"/>
      <c r="BZ1501" s="179"/>
      <c r="CA1501" s="179"/>
      <c r="CB1501" s="179"/>
      <c r="CC1501" s="179"/>
      <c r="CD1501" s="179"/>
      <c r="CE1501" s="179"/>
      <c r="CF1501" s="179"/>
      <c r="CG1501"/>
      <c r="CH1501"/>
      <c r="CI1501"/>
      <c r="CJ1501"/>
      <c r="CK1501"/>
      <c r="CL1501"/>
      <c r="CM1501"/>
    </row>
    <row r="1502" spans="1:91" x14ac:dyDescent="0.2">
      <c r="A1502"/>
      <c r="B1502"/>
      <c r="D1502"/>
      <c r="E1502"/>
      <c r="F1502"/>
      <c r="G1502"/>
      <c r="I1502"/>
      <c r="J1502"/>
      <c r="K1502"/>
      <c r="L1502" s="499"/>
      <c r="V1502" s="504"/>
      <c r="BX1502" s="769"/>
      <c r="BY1502" s="179"/>
      <c r="BZ1502" s="179"/>
      <c r="CA1502" s="179"/>
      <c r="CB1502" s="179"/>
      <c r="CC1502" s="179"/>
      <c r="CD1502" s="179"/>
      <c r="CE1502" s="179"/>
      <c r="CF1502" s="179"/>
      <c r="CG1502"/>
      <c r="CH1502"/>
      <c r="CI1502"/>
      <c r="CJ1502"/>
      <c r="CK1502"/>
      <c r="CL1502"/>
      <c r="CM1502"/>
    </row>
    <row r="1503" spans="1:91" x14ac:dyDescent="0.2">
      <c r="A1503"/>
      <c r="B1503"/>
      <c r="D1503"/>
      <c r="E1503"/>
      <c r="F1503"/>
      <c r="G1503"/>
      <c r="I1503"/>
      <c r="J1503"/>
      <c r="K1503"/>
      <c r="L1503" s="499"/>
      <c r="V1503" s="504"/>
      <c r="BX1503" s="769"/>
      <c r="BY1503" s="179"/>
      <c r="BZ1503" s="179"/>
      <c r="CA1503" s="179"/>
      <c r="CB1503" s="179"/>
      <c r="CC1503" s="179"/>
      <c r="CD1503" s="179"/>
      <c r="CE1503" s="179"/>
      <c r="CF1503" s="179"/>
      <c r="CG1503"/>
      <c r="CH1503"/>
      <c r="CI1503"/>
      <c r="CJ1503"/>
      <c r="CK1503"/>
      <c r="CL1503"/>
      <c r="CM1503"/>
    </row>
    <row r="1504" spans="1:91" x14ac:dyDescent="0.2">
      <c r="A1504"/>
      <c r="B1504"/>
      <c r="D1504"/>
      <c r="E1504"/>
      <c r="F1504"/>
      <c r="G1504"/>
      <c r="I1504"/>
      <c r="J1504"/>
      <c r="K1504"/>
      <c r="L1504" s="499"/>
      <c r="V1504" s="504"/>
      <c r="BX1504" s="769"/>
      <c r="BY1504" s="179"/>
      <c r="BZ1504" s="179"/>
      <c r="CA1504" s="179"/>
      <c r="CB1504" s="179"/>
      <c r="CC1504" s="179"/>
      <c r="CD1504" s="179"/>
      <c r="CE1504" s="179"/>
      <c r="CF1504" s="179"/>
      <c r="CG1504"/>
      <c r="CH1504"/>
      <c r="CI1504"/>
      <c r="CJ1504"/>
      <c r="CK1504"/>
      <c r="CL1504"/>
      <c r="CM1504"/>
    </row>
    <row r="1505" spans="1:91" x14ac:dyDescent="0.2">
      <c r="A1505"/>
      <c r="B1505"/>
      <c r="D1505"/>
      <c r="E1505"/>
      <c r="F1505"/>
      <c r="G1505"/>
      <c r="I1505"/>
      <c r="J1505"/>
      <c r="K1505"/>
      <c r="L1505" s="499"/>
      <c r="V1505" s="504"/>
      <c r="BX1505" s="769"/>
      <c r="BY1505" s="179"/>
      <c r="BZ1505" s="179"/>
      <c r="CA1505" s="179"/>
      <c r="CB1505" s="179"/>
      <c r="CC1505" s="179"/>
      <c r="CD1505" s="179"/>
      <c r="CE1505" s="179"/>
      <c r="CF1505" s="179"/>
      <c r="CG1505"/>
      <c r="CH1505"/>
      <c r="CI1505"/>
      <c r="CJ1505"/>
      <c r="CK1505"/>
      <c r="CL1505"/>
      <c r="CM1505"/>
    </row>
    <row r="1506" spans="1:91" x14ac:dyDescent="0.2">
      <c r="A1506"/>
      <c r="B1506"/>
      <c r="D1506"/>
      <c r="E1506"/>
      <c r="F1506"/>
      <c r="G1506"/>
      <c r="I1506"/>
      <c r="J1506"/>
      <c r="K1506"/>
      <c r="L1506" s="499"/>
      <c r="V1506" s="504"/>
      <c r="BX1506" s="769"/>
      <c r="BY1506" s="179"/>
      <c r="BZ1506" s="179"/>
      <c r="CA1506" s="179"/>
      <c r="CB1506" s="179"/>
      <c r="CC1506" s="179"/>
      <c r="CD1506" s="179"/>
      <c r="CE1506" s="179"/>
      <c r="CF1506" s="179"/>
      <c r="CG1506"/>
      <c r="CH1506"/>
      <c r="CI1506"/>
      <c r="CJ1506"/>
      <c r="CK1506"/>
      <c r="CL1506"/>
      <c r="CM1506"/>
    </row>
    <row r="1507" spans="1:91" x14ac:dyDescent="0.2">
      <c r="A1507"/>
      <c r="B1507"/>
      <c r="D1507"/>
      <c r="E1507"/>
      <c r="F1507"/>
      <c r="G1507"/>
      <c r="I1507"/>
      <c r="J1507"/>
      <c r="K1507"/>
      <c r="L1507" s="499"/>
      <c r="V1507" s="504"/>
      <c r="BX1507" s="769"/>
      <c r="BY1507" s="179"/>
      <c r="BZ1507" s="179"/>
      <c r="CA1507" s="179"/>
      <c r="CB1507" s="179"/>
      <c r="CC1507" s="179"/>
      <c r="CD1507" s="179"/>
      <c r="CE1507" s="179"/>
      <c r="CF1507" s="179"/>
      <c r="CG1507"/>
      <c r="CH1507"/>
      <c r="CI1507"/>
      <c r="CJ1507"/>
      <c r="CK1507"/>
      <c r="CL1507"/>
      <c r="CM1507"/>
    </row>
    <row r="1508" spans="1:91" x14ac:dyDescent="0.2">
      <c r="A1508"/>
      <c r="B1508"/>
      <c r="D1508"/>
      <c r="E1508"/>
      <c r="F1508"/>
      <c r="G1508"/>
      <c r="I1508"/>
      <c r="J1508"/>
      <c r="K1508"/>
      <c r="L1508" s="499"/>
      <c r="V1508" s="504"/>
      <c r="BX1508" s="769"/>
      <c r="BY1508" s="179"/>
      <c r="BZ1508" s="179"/>
      <c r="CA1508" s="179"/>
      <c r="CB1508" s="179"/>
      <c r="CC1508" s="179"/>
      <c r="CD1508" s="179"/>
      <c r="CE1508" s="179"/>
      <c r="CF1508" s="179"/>
      <c r="CG1508"/>
      <c r="CH1508"/>
      <c r="CI1508"/>
      <c r="CJ1508"/>
      <c r="CK1508"/>
      <c r="CL1508"/>
      <c r="CM1508"/>
    </row>
    <row r="1509" spans="1:91" x14ac:dyDescent="0.2">
      <c r="A1509"/>
      <c r="B1509"/>
      <c r="D1509"/>
      <c r="E1509"/>
      <c r="F1509"/>
      <c r="G1509"/>
      <c r="I1509"/>
      <c r="J1509"/>
      <c r="K1509"/>
      <c r="L1509" s="499"/>
      <c r="V1509" s="504"/>
      <c r="BX1509" s="769"/>
      <c r="BY1509" s="179"/>
      <c r="BZ1509" s="179"/>
      <c r="CA1509" s="179"/>
      <c r="CB1509" s="179"/>
      <c r="CC1509" s="179"/>
      <c r="CD1509" s="179"/>
      <c r="CE1509" s="179"/>
      <c r="CF1509" s="179"/>
      <c r="CG1509"/>
      <c r="CH1509"/>
      <c r="CI1509"/>
      <c r="CJ1509"/>
      <c r="CK1509"/>
      <c r="CL1509"/>
      <c r="CM1509"/>
    </row>
    <row r="1510" spans="1:91" x14ac:dyDescent="0.2">
      <c r="A1510"/>
      <c r="B1510"/>
      <c r="D1510"/>
      <c r="E1510"/>
      <c r="F1510"/>
      <c r="G1510"/>
      <c r="I1510"/>
      <c r="J1510"/>
      <c r="K1510"/>
      <c r="L1510" s="499"/>
      <c r="V1510" s="504"/>
      <c r="BX1510" s="769"/>
      <c r="BY1510" s="179"/>
      <c r="BZ1510" s="179"/>
      <c r="CA1510" s="179"/>
      <c r="CB1510" s="179"/>
      <c r="CC1510" s="179"/>
      <c r="CD1510" s="179"/>
      <c r="CE1510" s="179"/>
      <c r="CF1510" s="179"/>
      <c r="CG1510"/>
      <c r="CH1510"/>
      <c r="CI1510"/>
      <c r="CJ1510"/>
      <c r="CK1510"/>
      <c r="CL1510"/>
      <c r="CM1510"/>
    </row>
    <row r="1511" spans="1:91" x14ac:dyDescent="0.2">
      <c r="A1511"/>
      <c r="B1511"/>
      <c r="D1511"/>
      <c r="E1511"/>
      <c r="F1511"/>
      <c r="G1511"/>
      <c r="I1511"/>
      <c r="J1511"/>
      <c r="K1511"/>
      <c r="L1511" s="499"/>
      <c r="V1511" s="504"/>
      <c r="BX1511" s="769"/>
      <c r="BY1511" s="179"/>
      <c r="BZ1511" s="179"/>
      <c r="CA1511" s="179"/>
      <c r="CB1511" s="179"/>
      <c r="CC1511" s="179"/>
      <c r="CD1511" s="179"/>
      <c r="CE1511" s="179"/>
      <c r="CF1511" s="179"/>
      <c r="CG1511"/>
      <c r="CH1511"/>
      <c r="CI1511"/>
      <c r="CJ1511"/>
      <c r="CK1511"/>
      <c r="CL1511"/>
      <c r="CM1511"/>
    </row>
    <row r="1512" spans="1:91" x14ac:dyDescent="0.2">
      <c r="A1512"/>
      <c r="B1512"/>
      <c r="D1512"/>
      <c r="E1512"/>
      <c r="F1512"/>
      <c r="G1512"/>
      <c r="I1512"/>
      <c r="J1512"/>
      <c r="K1512"/>
      <c r="L1512" s="499"/>
      <c r="V1512" s="504"/>
      <c r="BX1512" s="769"/>
      <c r="BY1512" s="179"/>
      <c r="BZ1512" s="179"/>
      <c r="CA1512" s="179"/>
      <c r="CB1512" s="179"/>
      <c r="CC1512" s="179"/>
      <c r="CD1512" s="179"/>
      <c r="CE1512" s="179"/>
      <c r="CF1512" s="179"/>
      <c r="CG1512"/>
      <c r="CH1512"/>
      <c r="CI1512"/>
      <c r="CJ1512"/>
      <c r="CK1512"/>
      <c r="CL1512"/>
      <c r="CM1512"/>
    </row>
    <row r="1513" spans="1:91" x14ac:dyDescent="0.2">
      <c r="A1513"/>
      <c r="B1513"/>
      <c r="D1513"/>
      <c r="E1513"/>
      <c r="F1513"/>
      <c r="G1513"/>
      <c r="I1513"/>
      <c r="J1513"/>
      <c r="K1513"/>
      <c r="L1513" s="499"/>
      <c r="V1513" s="504"/>
      <c r="BX1513" s="769"/>
      <c r="BY1513" s="179"/>
      <c r="BZ1513" s="179"/>
      <c r="CA1513" s="179"/>
      <c r="CB1513" s="179"/>
      <c r="CC1513" s="179"/>
      <c r="CD1513" s="179"/>
      <c r="CE1513" s="179"/>
      <c r="CF1513" s="179"/>
      <c r="CG1513"/>
      <c r="CH1513"/>
      <c r="CI1513"/>
      <c r="CJ1513"/>
      <c r="CK1513"/>
      <c r="CL1513"/>
      <c r="CM1513"/>
    </row>
    <row r="1514" spans="1:91" x14ac:dyDescent="0.2">
      <c r="A1514"/>
      <c r="B1514"/>
      <c r="D1514"/>
      <c r="E1514"/>
      <c r="F1514"/>
      <c r="G1514"/>
      <c r="I1514"/>
      <c r="J1514"/>
      <c r="K1514"/>
      <c r="L1514" s="499"/>
      <c r="V1514" s="504"/>
      <c r="BX1514" s="769"/>
      <c r="BY1514" s="179"/>
      <c r="BZ1514" s="179"/>
      <c r="CA1514" s="179"/>
      <c r="CB1514" s="179"/>
      <c r="CC1514" s="179"/>
      <c r="CD1514" s="179"/>
      <c r="CE1514" s="179"/>
      <c r="CF1514" s="179"/>
      <c r="CG1514"/>
      <c r="CH1514"/>
      <c r="CI1514"/>
      <c r="CJ1514"/>
      <c r="CK1514"/>
      <c r="CL1514"/>
      <c r="CM1514"/>
    </row>
    <row r="1515" spans="1:91" x14ac:dyDescent="0.2">
      <c r="A1515"/>
      <c r="B1515"/>
      <c r="D1515"/>
      <c r="E1515"/>
      <c r="F1515"/>
      <c r="G1515"/>
      <c r="I1515"/>
      <c r="J1515"/>
      <c r="K1515"/>
      <c r="L1515" s="499"/>
      <c r="V1515" s="504"/>
      <c r="BX1515" s="769"/>
      <c r="BY1515" s="179"/>
      <c r="BZ1515" s="179"/>
      <c r="CA1515" s="179"/>
      <c r="CB1515" s="179"/>
      <c r="CC1515" s="179"/>
      <c r="CD1515" s="179"/>
      <c r="CE1515" s="179"/>
      <c r="CF1515" s="179"/>
      <c r="CG1515"/>
      <c r="CH1515"/>
      <c r="CI1515"/>
      <c r="CJ1515"/>
      <c r="CK1515"/>
      <c r="CL1515"/>
      <c r="CM1515"/>
    </row>
    <row r="1516" spans="1:91" x14ac:dyDescent="0.2">
      <c r="A1516"/>
      <c r="B1516"/>
      <c r="D1516"/>
      <c r="E1516"/>
      <c r="F1516"/>
      <c r="G1516"/>
      <c r="I1516"/>
      <c r="J1516"/>
      <c r="K1516"/>
      <c r="L1516" s="499"/>
      <c r="V1516" s="504"/>
      <c r="BX1516" s="769"/>
      <c r="BY1516" s="179"/>
      <c r="BZ1516" s="179"/>
      <c r="CA1516" s="179"/>
      <c r="CB1516" s="179"/>
      <c r="CC1516" s="179"/>
      <c r="CD1516" s="179"/>
      <c r="CE1516" s="179"/>
      <c r="CF1516" s="179"/>
      <c r="CG1516"/>
      <c r="CH1516"/>
      <c r="CI1516"/>
      <c r="CJ1516"/>
      <c r="CK1516"/>
      <c r="CL1516"/>
      <c r="CM1516"/>
    </row>
    <row r="1517" spans="1:91" x14ac:dyDescent="0.2">
      <c r="A1517"/>
      <c r="B1517"/>
      <c r="D1517"/>
      <c r="E1517"/>
      <c r="F1517"/>
      <c r="G1517"/>
      <c r="I1517"/>
      <c r="J1517"/>
      <c r="K1517"/>
      <c r="L1517" s="499"/>
      <c r="V1517" s="504"/>
      <c r="BX1517" s="769"/>
      <c r="BY1517" s="179"/>
      <c r="BZ1517" s="179"/>
      <c r="CA1517" s="179"/>
      <c r="CB1517" s="179"/>
      <c r="CC1517" s="179"/>
      <c r="CD1517" s="179"/>
      <c r="CE1517" s="179"/>
      <c r="CF1517" s="179"/>
      <c r="CG1517"/>
      <c r="CH1517"/>
      <c r="CI1517"/>
      <c r="CJ1517"/>
      <c r="CK1517"/>
      <c r="CL1517"/>
      <c r="CM1517"/>
    </row>
    <row r="1518" spans="1:91" x14ac:dyDescent="0.2">
      <c r="A1518"/>
      <c r="B1518"/>
      <c r="D1518"/>
      <c r="E1518"/>
      <c r="F1518"/>
      <c r="G1518"/>
      <c r="I1518"/>
      <c r="J1518"/>
      <c r="K1518"/>
      <c r="L1518" s="499"/>
      <c r="V1518" s="504"/>
      <c r="BX1518" s="769"/>
      <c r="BY1518" s="179"/>
      <c r="BZ1518" s="179"/>
      <c r="CA1518" s="179"/>
      <c r="CB1518" s="179"/>
      <c r="CC1518" s="179"/>
      <c r="CD1518" s="179"/>
      <c r="CE1518" s="179"/>
      <c r="CF1518" s="179"/>
      <c r="CG1518"/>
      <c r="CH1518"/>
      <c r="CI1518"/>
      <c r="CJ1518"/>
      <c r="CK1518"/>
      <c r="CL1518"/>
      <c r="CM1518"/>
    </row>
    <row r="1519" spans="1:91" x14ac:dyDescent="0.2">
      <c r="A1519"/>
      <c r="B1519"/>
      <c r="D1519"/>
      <c r="E1519"/>
      <c r="F1519"/>
      <c r="G1519"/>
      <c r="I1519"/>
      <c r="J1519"/>
      <c r="K1519"/>
      <c r="L1519" s="499"/>
      <c r="V1519" s="504"/>
      <c r="BX1519" s="769"/>
      <c r="BY1519" s="179"/>
      <c r="BZ1519" s="179"/>
      <c r="CA1519" s="179"/>
      <c r="CB1519" s="179"/>
      <c r="CC1519" s="179"/>
      <c r="CD1519" s="179"/>
      <c r="CE1519" s="179"/>
      <c r="CF1519" s="179"/>
      <c r="CG1519"/>
      <c r="CH1519"/>
      <c r="CI1519"/>
      <c r="CJ1519"/>
      <c r="CK1519"/>
      <c r="CL1519"/>
      <c r="CM1519"/>
    </row>
    <row r="1520" spans="1:91" x14ac:dyDescent="0.2">
      <c r="A1520"/>
      <c r="B1520"/>
      <c r="D1520"/>
      <c r="E1520"/>
      <c r="F1520"/>
      <c r="G1520"/>
      <c r="I1520"/>
      <c r="J1520"/>
      <c r="K1520"/>
      <c r="L1520" s="499"/>
      <c r="V1520" s="504"/>
      <c r="BX1520" s="769"/>
      <c r="BY1520" s="179"/>
      <c r="BZ1520" s="179"/>
      <c r="CA1520" s="179"/>
      <c r="CB1520" s="179"/>
      <c r="CC1520" s="179"/>
      <c r="CD1520" s="179"/>
      <c r="CE1520" s="179"/>
      <c r="CF1520" s="179"/>
      <c r="CG1520"/>
      <c r="CH1520"/>
      <c r="CI1520"/>
      <c r="CJ1520"/>
      <c r="CK1520"/>
      <c r="CL1520"/>
      <c r="CM1520"/>
    </row>
    <row r="1521" spans="1:91" x14ac:dyDescent="0.2">
      <c r="A1521"/>
      <c r="B1521"/>
      <c r="D1521"/>
      <c r="E1521"/>
      <c r="F1521"/>
      <c r="G1521"/>
      <c r="I1521"/>
      <c r="J1521"/>
      <c r="K1521"/>
      <c r="L1521" s="499"/>
      <c r="V1521" s="504"/>
      <c r="BX1521" s="769"/>
      <c r="BY1521" s="179"/>
      <c r="BZ1521" s="179"/>
      <c r="CA1521" s="179"/>
      <c r="CB1521" s="179"/>
      <c r="CC1521" s="179"/>
      <c r="CD1521" s="179"/>
      <c r="CE1521" s="179"/>
      <c r="CF1521" s="179"/>
      <c r="CG1521"/>
      <c r="CH1521"/>
      <c r="CI1521"/>
      <c r="CJ1521"/>
      <c r="CK1521"/>
      <c r="CL1521"/>
      <c r="CM1521"/>
    </row>
    <row r="1522" spans="1:91" x14ac:dyDescent="0.2">
      <c r="A1522"/>
      <c r="B1522"/>
      <c r="D1522"/>
      <c r="E1522"/>
      <c r="F1522"/>
      <c r="G1522"/>
      <c r="I1522"/>
      <c r="J1522"/>
      <c r="K1522"/>
      <c r="L1522" s="499"/>
      <c r="V1522" s="504"/>
      <c r="BX1522" s="769"/>
      <c r="BY1522" s="179"/>
      <c r="BZ1522" s="179"/>
      <c r="CA1522" s="179"/>
      <c r="CB1522" s="179"/>
      <c r="CC1522" s="179"/>
      <c r="CD1522" s="179"/>
      <c r="CE1522" s="179"/>
      <c r="CF1522" s="179"/>
      <c r="CG1522"/>
      <c r="CH1522"/>
      <c r="CI1522"/>
      <c r="CJ1522"/>
      <c r="CK1522"/>
      <c r="CL1522"/>
      <c r="CM1522"/>
    </row>
    <row r="1523" spans="1:91" x14ac:dyDescent="0.2">
      <c r="A1523"/>
      <c r="B1523"/>
      <c r="D1523"/>
      <c r="E1523"/>
      <c r="F1523"/>
      <c r="G1523"/>
      <c r="I1523"/>
      <c r="J1523"/>
      <c r="K1523"/>
      <c r="L1523" s="499"/>
      <c r="V1523" s="504"/>
      <c r="BX1523" s="769"/>
      <c r="BY1523" s="179"/>
      <c r="BZ1523" s="179"/>
      <c r="CA1523" s="179"/>
      <c r="CB1523" s="179"/>
      <c r="CC1523" s="179"/>
      <c r="CD1523" s="179"/>
      <c r="CE1523" s="179"/>
      <c r="CF1523" s="179"/>
      <c r="CG1523"/>
      <c r="CH1523"/>
      <c r="CI1523"/>
      <c r="CJ1523"/>
      <c r="CK1523"/>
      <c r="CL1523"/>
      <c r="CM1523"/>
    </row>
    <row r="1524" spans="1:91" x14ac:dyDescent="0.2">
      <c r="A1524"/>
      <c r="B1524"/>
      <c r="D1524"/>
      <c r="E1524"/>
      <c r="F1524"/>
      <c r="G1524"/>
      <c r="I1524"/>
      <c r="J1524"/>
      <c r="K1524"/>
      <c r="L1524" s="499"/>
      <c r="V1524" s="504"/>
      <c r="BX1524" s="769"/>
      <c r="BY1524" s="179"/>
      <c r="BZ1524" s="179"/>
      <c r="CA1524" s="179"/>
      <c r="CB1524" s="179"/>
      <c r="CC1524" s="179"/>
      <c r="CD1524" s="179"/>
      <c r="CE1524" s="179"/>
      <c r="CF1524" s="179"/>
      <c r="CG1524"/>
      <c r="CH1524"/>
      <c r="CI1524"/>
      <c r="CJ1524"/>
      <c r="CK1524"/>
      <c r="CL1524"/>
      <c r="CM1524"/>
    </row>
    <row r="1525" spans="1:91" x14ac:dyDescent="0.2">
      <c r="A1525"/>
      <c r="B1525"/>
      <c r="D1525"/>
      <c r="E1525"/>
      <c r="F1525"/>
      <c r="G1525"/>
      <c r="I1525"/>
      <c r="J1525"/>
      <c r="K1525"/>
      <c r="L1525" s="499"/>
      <c r="V1525" s="504"/>
      <c r="BX1525" s="769"/>
      <c r="BY1525" s="179"/>
      <c r="BZ1525" s="179"/>
      <c r="CA1525" s="179"/>
      <c r="CB1525" s="179"/>
      <c r="CC1525" s="179"/>
      <c r="CD1525" s="179"/>
      <c r="CE1525" s="179"/>
      <c r="CF1525" s="179"/>
      <c r="CG1525"/>
      <c r="CH1525"/>
      <c r="CI1525"/>
      <c r="CJ1525"/>
      <c r="CK1525"/>
      <c r="CL1525"/>
      <c r="CM1525"/>
    </row>
    <row r="1526" spans="1:91" x14ac:dyDescent="0.2">
      <c r="A1526"/>
      <c r="B1526"/>
      <c r="D1526"/>
      <c r="E1526"/>
      <c r="F1526"/>
      <c r="G1526"/>
      <c r="I1526"/>
      <c r="J1526"/>
      <c r="K1526"/>
      <c r="L1526" s="499"/>
      <c r="V1526" s="504"/>
      <c r="BX1526" s="769"/>
      <c r="BY1526" s="179"/>
      <c r="BZ1526" s="179"/>
      <c r="CA1526" s="179"/>
      <c r="CB1526" s="179"/>
      <c r="CC1526" s="179"/>
      <c r="CD1526" s="179"/>
      <c r="CE1526" s="179"/>
      <c r="CF1526" s="179"/>
      <c r="CG1526"/>
      <c r="CH1526"/>
      <c r="CI1526"/>
      <c r="CJ1526"/>
      <c r="CK1526"/>
      <c r="CL1526"/>
      <c r="CM1526"/>
    </row>
    <row r="1527" spans="1:91" x14ac:dyDescent="0.2">
      <c r="A1527"/>
      <c r="B1527"/>
      <c r="D1527"/>
      <c r="E1527"/>
      <c r="F1527"/>
      <c r="G1527"/>
      <c r="I1527"/>
      <c r="J1527"/>
      <c r="K1527"/>
      <c r="L1527" s="499"/>
      <c r="V1527" s="504"/>
      <c r="BX1527" s="769"/>
      <c r="BY1527" s="179"/>
      <c r="BZ1527" s="179"/>
      <c r="CA1527" s="179"/>
      <c r="CB1527" s="179"/>
      <c r="CC1527" s="179"/>
      <c r="CD1527" s="179"/>
      <c r="CE1527" s="179"/>
      <c r="CF1527" s="179"/>
      <c r="CG1527"/>
      <c r="CH1527"/>
      <c r="CI1527"/>
      <c r="CJ1527"/>
      <c r="CK1527"/>
      <c r="CL1527"/>
      <c r="CM1527"/>
    </row>
    <row r="1528" spans="1:91" x14ac:dyDescent="0.2">
      <c r="A1528"/>
      <c r="B1528"/>
      <c r="D1528"/>
      <c r="E1528"/>
      <c r="F1528"/>
      <c r="G1528"/>
      <c r="I1528"/>
      <c r="J1528"/>
      <c r="K1528"/>
      <c r="L1528" s="499"/>
      <c r="V1528" s="504"/>
      <c r="BX1528" s="769"/>
      <c r="BY1528" s="179"/>
      <c r="BZ1528" s="179"/>
      <c r="CA1528" s="179"/>
      <c r="CB1528" s="179"/>
      <c r="CC1528" s="179"/>
      <c r="CD1528" s="179"/>
      <c r="CE1528" s="179"/>
      <c r="CF1528" s="179"/>
      <c r="CG1528"/>
      <c r="CH1528"/>
      <c r="CI1528"/>
      <c r="CJ1528"/>
      <c r="CK1528"/>
      <c r="CL1528"/>
      <c r="CM1528"/>
    </row>
    <row r="1529" spans="1:91" x14ac:dyDescent="0.2">
      <c r="A1529"/>
      <c r="B1529"/>
      <c r="D1529"/>
      <c r="E1529"/>
      <c r="F1529"/>
      <c r="G1529"/>
      <c r="I1529"/>
      <c r="J1529"/>
      <c r="K1529"/>
      <c r="L1529" s="499"/>
      <c r="V1529" s="504"/>
      <c r="BX1529" s="769"/>
      <c r="BY1529" s="179"/>
      <c r="BZ1529" s="179"/>
      <c r="CA1529" s="179"/>
      <c r="CB1529" s="179"/>
      <c r="CC1529" s="179"/>
      <c r="CD1529" s="179"/>
      <c r="CE1529" s="179"/>
      <c r="CF1529" s="179"/>
      <c r="CG1529"/>
      <c r="CH1529"/>
      <c r="CI1529"/>
      <c r="CJ1529"/>
      <c r="CK1529"/>
      <c r="CL1529"/>
      <c r="CM1529"/>
    </row>
    <row r="1530" spans="1:91" x14ac:dyDescent="0.2">
      <c r="A1530"/>
      <c r="B1530"/>
      <c r="D1530"/>
      <c r="E1530"/>
      <c r="F1530"/>
      <c r="G1530"/>
      <c r="I1530"/>
      <c r="J1530"/>
      <c r="K1530"/>
      <c r="L1530" s="499"/>
      <c r="V1530" s="504"/>
      <c r="BX1530" s="769"/>
      <c r="BY1530" s="179"/>
      <c r="BZ1530" s="179"/>
      <c r="CA1530" s="179"/>
      <c r="CB1530" s="179"/>
      <c r="CC1530" s="179"/>
      <c r="CD1530" s="179"/>
      <c r="CE1530" s="179"/>
      <c r="CF1530" s="179"/>
      <c r="CG1530"/>
      <c r="CH1530"/>
      <c r="CI1530"/>
      <c r="CJ1530"/>
      <c r="CK1530"/>
      <c r="CL1530"/>
      <c r="CM1530"/>
    </row>
    <row r="1531" spans="1:91" x14ac:dyDescent="0.2">
      <c r="A1531"/>
      <c r="B1531"/>
      <c r="D1531"/>
      <c r="E1531"/>
      <c r="F1531"/>
      <c r="G1531"/>
      <c r="I1531"/>
      <c r="J1531"/>
      <c r="K1531"/>
      <c r="L1531" s="499"/>
      <c r="V1531" s="504"/>
      <c r="BX1531" s="769"/>
      <c r="BY1531" s="179"/>
      <c r="BZ1531" s="179"/>
      <c r="CA1531" s="179"/>
      <c r="CB1531" s="179"/>
      <c r="CC1531" s="179"/>
      <c r="CD1531" s="179"/>
      <c r="CE1531" s="179"/>
      <c r="CF1531" s="179"/>
      <c r="CG1531"/>
      <c r="CH1531"/>
      <c r="CI1531"/>
      <c r="CJ1531"/>
      <c r="CK1531"/>
      <c r="CL1531"/>
      <c r="CM1531"/>
    </row>
    <row r="1532" spans="1:91" x14ac:dyDescent="0.2">
      <c r="A1532"/>
      <c r="B1532"/>
      <c r="D1532"/>
      <c r="E1532"/>
      <c r="F1532"/>
      <c r="G1532"/>
      <c r="I1532"/>
      <c r="J1532"/>
      <c r="K1532"/>
      <c r="L1532" s="499"/>
      <c r="V1532" s="504"/>
      <c r="BX1532" s="769"/>
      <c r="BY1532" s="179"/>
      <c r="BZ1532" s="179"/>
      <c r="CA1532" s="179"/>
      <c r="CB1532" s="179"/>
      <c r="CC1532" s="179"/>
      <c r="CD1532" s="179"/>
      <c r="CE1532" s="179"/>
      <c r="CF1532" s="179"/>
      <c r="CG1532"/>
      <c r="CH1532"/>
      <c r="CI1532"/>
      <c r="CJ1532"/>
      <c r="CK1532"/>
      <c r="CL1532"/>
      <c r="CM1532"/>
    </row>
    <row r="1533" spans="1:91" x14ac:dyDescent="0.2">
      <c r="A1533"/>
      <c r="B1533"/>
      <c r="D1533"/>
      <c r="E1533"/>
      <c r="F1533"/>
      <c r="G1533"/>
      <c r="I1533"/>
      <c r="J1533"/>
      <c r="K1533"/>
      <c r="L1533" s="499"/>
      <c r="V1533" s="504"/>
      <c r="BX1533" s="769"/>
      <c r="BY1533" s="179"/>
      <c r="BZ1533" s="179"/>
      <c r="CA1533" s="179"/>
      <c r="CB1533" s="179"/>
      <c r="CC1533" s="179"/>
      <c r="CD1533" s="179"/>
      <c r="CE1533" s="179"/>
      <c r="CF1533" s="179"/>
      <c r="CG1533"/>
      <c r="CH1533"/>
      <c r="CI1533"/>
      <c r="CJ1533"/>
      <c r="CK1533"/>
      <c r="CL1533"/>
      <c r="CM1533"/>
    </row>
    <row r="1534" spans="1:91" x14ac:dyDescent="0.2">
      <c r="A1534"/>
      <c r="B1534"/>
      <c r="D1534"/>
      <c r="E1534"/>
      <c r="F1534"/>
      <c r="G1534"/>
      <c r="I1534"/>
      <c r="J1534"/>
      <c r="K1534"/>
      <c r="L1534" s="499"/>
      <c r="V1534" s="504"/>
      <c r="BX1534" s="769"/>
      <c r="BY1534" s="179"/>
      <c r="BZ1534" s="179"/>
      <c r="CA1534" s="179"/>
      <c r="CB1534" s="179"/>
      <c r="CC1534" s="179"/>
      <c r="CD1534" s="179"/>
      <c r="CE1534" s="179"/>
      <c r="CF1534" s="179"/>
      <c r="CG1534"/>
      <c r="CH1534"/>
      <c r="CI1534"/>
      <c r="CJ1534"/>
      <c r="CK1534"/>
      <c r="CL1534"/>
      <c r="CM1534"/>
    </row>
    <row r="1535" spans="1:91" x14ac:dyDescent="0.2">
      <c r="A1535"/>
      <c r="B1535"/>
      <c r="D1535"/>
      <c r="E1535"/>
      <c r="F1535"/>
      <c r="G1535"/>
      <c r="I1535"/>
      <c r="J1535"/>
      <c r="K1535"/>
      <c r="L1535" s="499"/>
      <c r="V1535" s="504"/>
      <c r="BX1535" s="769"/>
      <c r="BY1535" s="179"/>
      <c r="BZ1535" s="179"/>
      <c r="CA1535" s="179"/>
      <c r="CB1535" s="179"/>
      <c r="CC1535" s="179"/>
      <c r="CD1535" s="179"/>
      <c r="CE1535" s="179"/>
      <c r="CF1535" s="179"/>
      <c r="CG1535"/>
      <c r="CH1535"/>
      <c r="CI1535"/>
      <c r="CJ1535"/>
      <c r="CK1535"/>
      <c r="CL1535"/>
      <c r="CM1535"/>
    </row>
    <row r="1536" spans="1:91" x14ac:dyDescent="0.2">
      <c r="A1536"/>
      <c r="B1536"/>
      <c r="D1536"/>
      <c r="E1536"/>
      <c r="F1536"/>
      <c r="G1536"/>
      <c r="I1536"/>
      <c r="J1536"/>
      <c r="K1536"/>
      <c r="L1536" s="499"/>
      <c r="V1536" s="504"/>
      <c r="BX1536" s="769"/>
      <c r="BY1536" s="179"/>
      <c r="BZ1536" s="179"/>
      <c r="CA1536" s="179"/>
      <c r="CB1536" s="179"/>
      <c r="CC1536" s="179"/>
      <c r="CD1536" s="179"/>
      <c r="CE1536" s="179"/>
      <c r="CF1536" s="179"/>
      <c r="CG1536"/>
      <c r="CH1536"/>
      <c r="CI1536"/>
      <c r="CJ1536"/>
      <c r="CK1536"/>
      <c r="CL1536"/>
      <c r="CM1536"/>
    </row>
    <row r="1537" spans="1:91" x14ac:dyDescent="0.2">
      <c r="A1537"/>
      <c r="B1537"/>
      <c r="D1537"/>
      <c r="E1537"/>
      <c r="F1537"/>
      <c r="G1537"/>
      <c r="I1537"/>
      <c r="J1537"/>
      <c r="K1537"/>
      <c r="L1537" s="499"/>
      <c r="V1537" s="504"/>
      <c r="BX1537" s="769"/>
      <c r="BY1537" s="179"/>
      <c r="BZ1537" s="179"/>
      <c r="CA1537" s="179"/>
      <c r="CB1537" s="179"/>
      <c r="CC1537" s="179"/>
      <c r="CD1537" s="179"/>
      <c r="CE1537" s="179"/>
      <c r="CF1537" s="179"/>
      <c r="CG1537"/>
      <c r="CH1537"/>
      <c r="CI1537"/>
      <c r="CJ1537"/>
      <c r="CK1537"/>
      <c r="CL1537"/>
      <c r="CM1537"/>
    </row>
    <row r="1538" spans="1:91" x14ac:dyDescent="0.2">
      <c r="A1538"/>
      <c r="B1538"/>
      <c r="D1538"/>
      <c r="E1538"/>
      <c r="F1538"/>
      <c r="G1538"/>
      <c r="I1538"/>
      <c r="J1538"/>
      <c r="K1538"/>
      <c r="L1538" s="499"/>
      <c r="V1538" s="504"/>
      <c r="BX1538" s="769"/>
      <c r="BY1538" s="179"/>
      <c r="BZ1538" s="179"/>
      <c r="CA1538" s="179"/>
      <c r="CB1538" s="179"/>
      <c r="CC1538" s="179"/>
      <c r="CD1538" s="179"/>
      <c r="CE1538" s="179"/>
      <c r="CF1538" s="179"/>
      <c r="CG1538"/>
      <c r="CH1538"/>
      <c r="CI1538"/>
      <c r="CJ1538"/>
      <c r="CK1538"/>
      <c r="CL1538"/>
      <c r="CM1538"/>
    </row>
    <row r="1539" spans="1:91" x14ac:dyDescent="0.2">
      <c r="A1539"/>
      <c r="B1539"/>
      <c r="D1539"/>
      <c r="E1539"/>
      <c r="F1539"/>
      <c r="G1539"/>
      <c r="I1539"/>
      <c r="J1539"/>
      <c r="K1539"/>
      <c r="L1539" s="499"/>
      <c r="V1539" s="504"/>
      <c r="BX1539" s="769"/>
      <c r="BY1539" s="179"/>
      <c r="BZ1539" s="179"/>
      <c r="CA1539" s="179"/>
      <c r="CB1539" s="179"/>
      <c r="CC1539" s="179"/>
      <c r="CD1539" s="179"/>
      <c r="CE1539" s="179"/>
      <c r="CF1539" s="179"/>
      <c r="CG1539"/>
      <c r="CH1539"/>
      <c r="CI1539"/>
      <c r="CJ1539"/>
      <c r="CK1539"/>
      <c r="CL1539"/>
      <c r="CM1539"/>
    </row>
    <row r="1540" spans="1:91" x14ac:dyDescent="0.2">
      <c r="A1540"/>
      <c r="B1540"/>
      <c r="D1540"/>
      <c r="E1540"/>
      <c r="F1540"/>
      <c r="G1540"/>
      <c r="I1540"/>
      <c r="J1540"/>
      <c r="K1540"/>
      <c r="L1540" s="499"/>
      <c r="V1540" s="504"/>
      <c r="BX1540" s="769"/>
      <c r="BY1540" s="179"/>
      <c r="BZ1540" s="179"/>
      <c r="CA1540" s="179"/>
      <c r="CB1540" s="179"/>
      <c r="CC1540" s="179"/>
      <c r="CD1540" s="179"/>
      <c r="CE1540" s="179"/>
      <c r="CF1540" s="179"/>
      <c r="CG1540"/>
      <c r="CH1540"/>
      <c r="CI1540"/>
      <c r="CJ1540"/>
      <c r="CK1540"/>
      <c r="CL1540"/>
      <c r="CM1540"/>
    </row>
    <row r="1541" spans="1:91" x14ac:dyDescent="0.2">
      <c r="A1541"/>
      <c r="B1541"/>
      <c r="D1541"/>
      <c r="E1541"/>
      <c r="F1541"/>
      <c r="G1541"/>
      <c r="I1541"/>
      <c r="J1541"/>
      <c r="K1541"/>
      <c r="L1541" s="499"/>
      <c r="V1541" s="504"/>
      <c r="BX1541" s="769"/>
      <c r="BY1541" s="179"/>
      <c r="BZ1541" s="179"/>
      <c r="CA1541" s="179"/>
      <c r="CB1541" s="179"/>
      <c r="CC1541" s="179"/>
      <c r="CD1541" s="179"/>
      <c r="CE1541" s="179"/>
      <c r="CF1541" s="179"/>
      <c r="CG1541"/>
      <c r="CH1541"/>
      <c r="CI1541"/>
      <c r="CJ1541"/>
      <c r="CK1541"/>
      <c r="CL1541"/>
      <c r="CM1541"/>
    </row>
    <row r="1542" spans="1:91" x14ac:dyDescent="0.2">
      <c r="A1542"/>
      <c r="B1542"/>
      <c r="D1542"/>
      <c r="E1542"/>
      <c r="F1542"/>
      <c r="G1542"/>
      <c r="I1542"/>
      <c r="J1542"/>
      <c r="K1542"/>
      <c r="L1542" s="499"/>
      <c r="V1542" s="504"/>
      <c r="BX1542" s="769"/>
      <c r="BY1542" s="179"/>
      <c r="BZ1542" s="179"/>
      <c r="CA1542" s="179"/>
      <c r="CB1542" s="179"/>
      <c r="CC1542" s="179"/>
      <c r="CD1542" s="179"/>
      <c r="CE1542" s="179"/>
      <c r="CF1542" s="179"/>
      <c r="CG1542"/>
      <c r="CH1542"/>
      <c r="CI1542"/>
      <c r="CJ1542"/>
      <c r="CK1542"/>
      <c r="CL1542"/>
      <c r="CM1542"/>
    </row>
    <row r="1543" spans="1:91" x14ac:dyDescent="0.2">
      <c r="A1543"/>
      <c r="B1543"/>
      <c r="D1543"/>
      <c r="E1543"/>
      <c r="F1543"/>
      <c r="G1543"/>
      <c r="I1543"/>
      <c r="J1543"/>
      <c r="K1543"/>
      <c r="L1543" s="499"/>
      <c r="V1543" s="504"/>
      <c r="BX1543" s="769"/>
      <c r="BY1543" s="179"/>
      <c r="BZ1543" s="179"/>
      <c r="CA1543" s="179"/>
      <c r="CB1543" s="179"/>
      <c r="CC1543" s="179"/>
      <c r="CD1543" s="179"/>
      <c r="CE1543" s="179"/>
      <c r="CF1543" s="179"/>
      <c r="CG1543"/>
      <c r="CH1543"/>
      <c r="CI1543"/>
      <c r="CJ1543"/>
      <c r="CK1543"/>
      <c r="CL1543"/>
      <c r="CM1543"/>
    </row>
    <row r="1544" spans="1:91" x14ac:dyDescent="0.2">
      <c r="A1544"/>
      <c r="B1544"/>
      <c r="D1544"/>
      <c r="E1544"/>
      <c r="F1544"/>
      <c r="G1544"/>
      <c r="I1544"/>
      <c r="J1544"/>
      <c r="K1544"/>
      <c r="L1544" s="499"/>
      <c r="V1544" s="504"/>
      <c r="BX1544" s="769"/>
      <c r="BY1544" s="179"/>
      <c r="BZ1544" s="179"/>
      <c r="CA1544" s="179"/>
      <c r="CB1544" s="179"/>
      <c r="CC1544" s="179"/>
      <c r="CD1544" s="179"/>
      <c r="CE1544" s="179"/>
      <c r="CF1544" s="179"/>
      <c r="CG1544"/>
      <c r="CH1544"/>
      <c r="CI1544"/>
      <c r="CJ1544"/>
      <c r="CK1544"/>
      <c r="CL1544"/>
      <c r="CM1544"/>
    </row>
    <row r="1545" spans="1:91" x14ac:dyDescent="0.2">
      <c r="A1545"/>
      <c r="B1545"/>
      <c r="D1545"/>
      <c r="E1545"/>
      <c r="F1545"/>
      <c r="G1545"/>
      <c r="I1545"/>
      <c r="J1545"/>
      <c r="K1545"/>
      <c r="L1545" s="499"/>
      <c r="V1545" s="504"/>
      <c r="BX1545" s="769"/>
      <c r="BY1545" s="179"/>
      <c r="BZ1545" s="179"/>
      <c r="CA1545" s="179"/>
      <c r="CB1545" s="179"/>
      <c r="CC1545" s="179"/>
      <c r="CD1545" s="179"/>
      <c r="CE1545" s="179"/>
      <c r="CF1545" s="179"/>
      <c r="CG1545"/>
      <c r="CH1545"/>
      <c r="CI1545"/>
      <c r="CJ1545"/>
      <c r="CK1545"/>
      <c r="CL1545"/>
      <c r="CM1545"/>
    </row>
    <row r="1546" spans="1:91" x14ac:dyDescent="0.2">
      <c r="A1546"/>
      <c r="B1546"/>
      <c r="D1546"/>
      <c r="E1546"/>
      <c r="F1546"/>
      <c r="G1546"/>
      <c r="I1546"/>
      <c r="J1546"/>
      <c r="K1546"/>
      <c r="L1546" s="499"/>
      <c r="V1546" s="504"/>
      <c r="BX1546" s="769"/>
      <c r="BY1546" s="179"/>
      <c r="BZ1546" s="179"/>
      <c r="CA1546" s="179"/>
      <c r="CB1546" s="179"/>
      <c r="CC1546" s="179"/>
      <c r="CD1546" s="179"/>
      <c r="CE1546" s="179"/>
      <c r="CF1546" s="179"/>
      <c r="CG1546"/>
      <c r="CH1546"/>
      <c r="CI1546"/>
      <c r="CJ1546"/>
      <c r="CK1546"/>
      <c r="CL1546"/>
      <c r="CM1546"/>
    </row>
    <row r="1547" spans="1:91" x14ac:dyDescent="0.2">
      <c r="A1547"/>
      <c r="B1547"/>
      <c r="D1547"/>
      <c r="E1547"/>
      <c r="F1547"/>
      <c r="G1547"/>
      <c r="I1547"/>
      <c r="J1547"/>
      <c r="K1547"/>
      <c r="L1547" s="499"/>
      <c r="V1547" s="504"/>
      <c r="BX1547" s="769"/>
      <c r="BY1547" s="179"/>
      <c r="BZ1547" s="179"/>
      <c r="CA1547" s="179"/>
      <c r="CB1547" s="179"/>
      <c r="CC1547" s="179"/>
      <c r="CD1547" s="179"/>
      <c r="CE1547" s="179"/>
      <c r="CF1547" s="179"/>
      <c r="CG1547"/>
      <c r="CH1547"/>
      <c r="CI1547"/>
      <c r="CJ1547"/>
      <c r="CK1547"/>
      <c r="CL1547"/>
      <c r="CM1547"/>
    </row>
    <row r="1548" spans="1:91" x14ac:dyDescent="0.2">
      <c r="A1548"/>
      <c r="B1548"/>
      <c r="D1548"/>
      <c r="E1548"/>
      <c r="F1548"/>
      <c r="G1548"/>
      <c r="I1548"/>
      <c r="J1548"/>
      <c r="K1548"/>
      <c r="L1548" s="499"/>
      <c r="V1548" s="504"/>
      <c r="BX1548" s="769"/>
      <c r="BY1548" s="179"/>
      <c r="BZ1548" s="179"/>
      <c r="CA1548" s="179"/>
      <c r="CB1548" s="179"/>
      <c r="CC1548" s="179"/>
      <c r="CD1548" s="179"/>
      <c r="CE1548" s="179"/>
      <c r="CF1548" s="179"/>
      <c r="CG1548"/>
      <c r="CH1548"/>
      <c r="CI1548"/>
      <c r="CJ1548"/>
      <c r="CK1548"/>
      <c r="CL1548"/>
      <c r="CM1548"/>
    </row>
    <row r="1549" spans="1:91" x14ac:dyDescent="0.2">
      <c r="A1549"/>
      <c r="B1549"/>
      <c r="D1549"/>
      <c r="E1549"/>
      <c r="F1549"/>
      <c r="G1549"/>
      <c r="I1549"/>
      <c r="J1549"/>
      <c r="K1549"/>
      <c r="L1549" s="499"/>
      <c r="V1549" s="504"/>
      <c r="BX1549" s="769"/>
      <c r="BY1549" s="179"/>
      <c r="BZ1549" s="179"/>
      <c r="CA1549" s="179"/>
      <c r="CB1549" s="179"/>
      <c r="CC1549" s="179"/>
      <c r="CD1549" s="179"/>
      <c r="CE1549" s="179"/>
      <c r="CF1549" s="179"/>
      <c r="CG1549"/>
      <c r="CH1549"/>
      <c r="CI1549"/>
      <c r="CJ1549"/>
      <c r="CK1549"/>
      <c r="CL1549"/>
      <c r="CM1549"/>
    </row>
    <row r="1550" spans="1:91" x14ac:dyDescent="0.2">
      <c r="A1550"/>
      <c r="B1550"/>
      <c r="D1550"/>
      <c r="E1550"/>
      <c r="F1550"/>
      <c r="G1550"/>
      <c r="I1550"/>
      <c r="J1550"/>
      <c r="K1550"/>
      <c r="L1550" s="499"/>
      <c r="V1550" s="504"/>
      <c r="BX1550" s="769"/>
      <c r="BY1550" s="179"/>
      <c r="BZ1550" s="179"/>
      <c r="CA1550" s="179"/>
      <c r="CB1550" s="179"/>
      <c r="CC1550" s="179"/>
      <c r="CD1550" s="179"/>
      <c r="CE1550" s="179"/>
      <c r="CF1550" s="179"/>
      <c r="CG1550"/>
      <c r="CH1550"/>
      <c r="CI1550"/>
      <c r="CJ1550"/>
      <c r="CK1550"/>
      <c r="CL1550"/>
      <c r="CM1550"/>
    </row>
    <row r="1551" spans="1:91" x14ac:dyDescent="0.2">
      <c r="A1551"/>
      <c r="B1551"/>
      <c r="D1551"/>
      <c r="E1551"/>
      <c r="F1551"/>
      <c r="G1551"/>
      <c r="I1551"/>
      <c r="J1551"/>
      <c r="K1551"/>
      <c r="L1551" s="499"/>
      <c r="V1551" s="504"/>
      <c r="BX1551" s="769"/>
      <c r="BY1551" s="179"/>
      <c r="BZ1551" s="179"/>
      <c r="CA1551" s="179"/>
      <c r="CB1551" s="179"/>
      <c r="CC1551" s="179"/>
      <c r="CD1551" s="179"/>
      <c r="CE1551" s="179"/>
      <c r="CF1551" s="179"/>
      <c r="CG1551"/>
      <c r="CH1551"/>
      <c r="CI1551"/>
      <c r="CJ1551"/>
      <c r="CK1551"/>
      <c r="CL1551"/>
      <c r="CM1551"/>
    </row>
    <row r="1552" spans="1:91" x14ac:dyDescent="0.2">
      <c r="A1552"/>
      <c r="B1552"/>
      <c r="D1552"/>
      <c r="E1552"/>
      <c r="F1552"/>
      <c r="G1552"/>
      <c r="I1552"/>
      <c r="J1552"/>
      <c r="K1552"/>
      <c r="L1552" s="499"/>
      <c r="V1552" s="504"/>
      <c r="BX1552" s="769"/>
      <c r="BY1552" s="179"/>
      <c r="BZ1552" s="179"/>
      <c r="CA1552" s="179"/>
      <c r="CB1552" s="179"/>
      <c r="CC1552" s="179"/>
      <c r="CD1552" s="179"/>
      <c r="CE1552" s="179"/>
      <c r="CF1552" s="179"/>
      <c r="CG1552"/>
      <c r="CH1552"/>
      <c r="CI1552"/>
      <c r="CJ1552"/>
      <c r="CK1552"/>
      <c r="CL1552"/>
      <c r="CM1552"/>
    </row>
    <row r="1553" spans="1:91" x14ac:dyDescent="0.2">
      <c r="A1553"/>
      <c r="B1553"/>
      <c r="D1553"/>
      <c r="E1553"/>
      <c r="F1553"/>
      <c r="G1553"/>
      <c r="I1553"/>
      <c r="J1553"/>
      <c r="K1553"/>
      <c r="L1553" s="499"/>
      <c r="V1553" s="504"/>
      <c r="BX1553" s="769"/>
      <c r="BY1553" s="179"/>
      <c r="BZ1553" s="179"/>
      <c r="CA1553" s="179"/>
      <c r="CB1553" s="179"/>
      <c r="CC1553" s="179"/>
      <c r="CD1553" s="179"/>
      <c r="CE1553" s="179"/>
      <c r="CF1553" s="179"/>
      <c r="CG1553"/>
      <c r="CH1553"/>
      <c r="CI1553"/>
      <c r="CJ1553"/>
      <c r="CK1553"/>
      <c r="CL1553"/>
      <c r="CM1553"/>
    </row>
    <row r="1554" spans="1:91" x14ac:dyDescent="0.2">
      <c r="A1554"/>
      <c r="B1554"/>
      <c r="D1554"/>
      <c r="E1554"/>
      <c r="F1554"/>
      <c r="G1554"/>
      <c r="I1554"/>
      <c r="J1554"/>
      <c r="K1554"/>
      <c r="L1554" s="499"/>
      <c r="V1554" s="504"/>
      <c r="BX1554" s="769"/>
      <c r="BY1554" s="179"/>
      <c r="BZ1554" s="179"/>
      <c r="CA1554" s="179"/>
      <c r="CB1554" s="179"/>
      <c r="CC1554" s="179"/>
      <c r="CD1554" s="179"/>
      <c r="CE1554" s="179"/>
      <c r="CF1554" s="179"/>
      <c r="CG1554"/>
      <c r="CH1554"/>
      <c r="CI1554"/>
      <c r="CJ1554"/>
      <c r="CK1554"/>
      <c r="CL1554"/>
      <c r="CM1554"/>
    </row>
    <row r="1555" spans="1:91" x14ac:dyDescent="0.2">
      <c r="A1555"/>
      <c r="B1555"/>
      <c r="D1555"/>
      <c r="E1555"/>
      <c r="F1555"/>
      <c r="G1555"/>
      <c r="I1555"/>
      <c r="J1555"/>
      <c r="K1555"/>
      <c r="L1555" s="499"/>
      <c r="V1555" s="504"/>
      <c r="BX1555" s="769"/>
      <c r="BY1555" s="179"/>
      <c r="BZ1555" s="179"/>
      <c r="CA1555" s="179"/>
      <c r="CB1555" s="179"/>
      <c r="CC1555" s="179"/>
      <c r="CD1555" s="179"/>
      <c r="CE1555" s="179"/>
      <c r="CF1555" s="179"/>
      <c r="CG1555"/>
      <c r="CH1555"/>
      <c r="CI1555"/>
      <c r="CJ1555"/>
      <c r="CK1555"/>
      <c r="CL1555"/>
      <c r="CM1555"/>
    </row>
    <row r="1556" spans="1:91" x14ac:dyDescent="0.2">
      <c r="A1556"/>
      <c r="B1556"/>
      <c r="D1556"/>
      <c r="E1556"/>
      <c r="F1556"/>
      <c r="G1556"/>
      <c r="I1556"/>
      <c r="J1556"/>
      <c r="K1556"/>
      <c r="L1556" s="499"/>
      <c r="V1556" s="504"/>
      <c r="BX1556" s="769"/>
      <c r="BY1556" s="179"/>
      <c r="BZ1556" s="179"/>
      <c r="CA1556" s="179"/>
      <c r="CB1556" s="179"/>
      <c r="CC1556" s="179"/>
      <c r="CD1556" s="179"/>
      <c r="CE1556" s="179"/>
      <c r="CF1556" s="179"/>
      <c r="CG1556"/>
      <c r="CH1556"/>
      <c r="CI1556"/>
      <c r="CJ1556"/>
      <c r="CK1556"/>
      <c r="CL1556"/>
      <c r="CM1556"/>
    </row>
    <row r="1557" spans="1:91" x14ac:dyDescent="0.2">
      <c r="A1557"/>
      <c r="B1557"/>
      <c r="D1557"/>
      <c r="E1557"/>
      <c r="F1557"/>
      <c r="G1557"/>
      <c r="I1557"/>
      <c r="J1557"/>
      <c r="K1557"/>
      <c r="L1557" s="499"/>
      <c r="V1557" s="504"/>
      <c r="BX1557" s="769"/>
      <c r="BY1557" s="179"/>
      <c r="BZ1557" s="179"/>
      <c r="CA1557" s="179"/>
      <c r="CB1557" s="179"/>
      <c r="CC1557" s="179"/>
      <c r="CD1557" s="179"/>
      <c r="CE1557" s="179"/>
      <c r="CF1557" s="179"/>
      <c r="CG1557"/>
      <c r="CH1557"/>
      <c r="CI1557"/>
      <c r="CJ1557"/>
      <c r="CK1557"/>
      <c r="CL1557"/>
      <c r="CM1557"/>
    </row>
    <row r="1558" spans="1:91" x14ac:dyDescent="0.2">
      <c r="A1558"/>
      <c r="B1558"/>
      <c r="D1558"/>
      <c r="E1558"/>
      <c r="F1558"/>
      <c r="G1558"/>
      <c r="I1558"/>
      <c r="J1558"/>
      <c r="K1558"/>
      <c r="L1558" s="499"/>
      <c r="V1558" s="504"/>
      <c r="BX1558" s="769"/>
      <c r="BY1558" s="179"/>
      <c r="BZ1558" s="179"/>
      <c r="CA1558" s="179"/>
      <c r="CB1558" s="179"/>
      <c r="CC1558" s="179"/>
      <c r="CD1558" s="179"/>
      <c r="CE1558" s="179"/>
      <c r="CF1558" s="179"/>
      <c r="CG1558"/>
      <c r="CH1558"/>
      <c r="CI1558"/>
      <c r="CJ1558"/>
      <c r="CK1558"/>
      <c r="CL1558"/>
      <c r="CM1558"/>
    </row>
    <row r="1559" spans="1:91" x14ac:dyDescent="0.2">
      <c r="A1559"/>
      <c r="B1559"/>
      <c r="D1559"/>
      <c r="E1559"/>
      <c r="F1559"/>
      <c r="G1559"/>
      <c r="I1559"/>
      <c r="J1559"/>
      <c r="K1559"/>
      <c r="L1559" s="499"/>
      <c r="V1559" s="504"/>
      <c r="BX1559" s="769"/>
      <c r="BY1559" s="179"/>
      <c r="BZ1559" s="179"/>
      <c r="CA1559" s="179"/>
      <c r="CB1559" s="179"/>
      <c r="CC1559" s="179"/>
      <c r="CD1559" s="179"/>
      <c r="CE1559" s="179"/>
      <c r="CF1559" s="179"/>
      <c r="CG1559"/>
      <c r="CH1559"/>
      <c r="CI1559"/>
      <c r="CJ1559"/>
      <c r="CK1559"/>
      <c r="CL1559"/>
      <c r="CM1559"/>
    </row>
    <row r="1560" spans="1:91" x14ac:dyDescent="0.2">
      <c r="A1560"/>
      <c r="B1560"/>
      <c r="D1560"/>
      <c r="E1560"/>
      <c r="F1560"/>
      <c r="G1560"/>
      <c r="I1560"/>
      <c r="J1560"/>
      <c r="K1560"/>
      <c r="L1560" s="499"/>
      <c r="V1560" s="504"/>
      <c r="BX1560" s="769"/>
      <c r="BY1560" s="179"/>
      <c r="BZ1560" s="179"/>
      <c r="CA1560" s="179"/>
      <c r="CB1560" s="179"/>
      <c r="CC1560" s="179"/>
      <c r="CD1560" s="179"/>
      <c r="CE1560" s="179"/>
      <c r="CF1560" s="179"/>
      <c r="CG1560"/>
      <c r="CH1560"/>
      <c r="CI1560"/>
      <c r="CJ1560"/>
      <c r="CK1560"/>
      <c r="CL1560"/>
      <c r="CM1560"/>
    </row>
    <row r="1561" spans="1:91" x14ac:dyDescent="0.2">
      <c r="A1561"/>
      <c r="B1561"/>
      <c r="D1561"/>
      <c r="E1561"/>
      <c r="F1561"/>
      <c r="G1561"/>
      <c r="I1561"/>
      <c r="J1561"/>
      <c r="K1561"/>
      <c r="L1561" s="499"/>
      <c r="V1561" s="504"/>
      <c r="BX1561" s="769"/>
      <c r="BY1561" s="179"/>
      <c r="BZ1561" s="179"/>
      <c r="CA1561" s="179"/>
      <c r="CB1561" s="179"/>
      <c r="CC1561" s="179"/>
      <c r="CD1561" s="179"/>
      <c r="CE1561" s="179"/>
      <c r="CF1561" s="179"/>
      <c r="CG1561"/>
      <c r="CH1561"/>
      <c r="CI1561"/>
      <c r="CJ1561"/>
      <c r="CK1561"/>
      <c r="CL1561"/>
      <c r="CM1561"/>
    </row>
    <row r="1562" spans="1:91" x14ac:dyDescent="0.2">
      <c r="A1562"/>
      <c r="B1562"/>
      <c r="D1562"/>
      <c r="E1562"/>
      <c r="F1562"/>
      <c r="G1562"/>
      <c r="I1562"/>
      <c r="J1562"/>
      <c r="K1562"/>
      <c r="L1562" s="499"/>
      <c r="V1562" s="504"/>
      <c r="BX1562" s="769"/>
      <c r="BY1562" s="179"/>
      <c r="BZ1562" s="179"/>
      <c r="CA1562" s="179"/>
      <c r="CB1562" s="179"/>
      <c r="CC1562" s="179"/>
      <c r="CD1562" s="179"/>
      <c r="CE1562" s="179"/>
      <c r="CF1562" s="179"/>
      <c r="CG1562"/>
      <c r="CH1562"/>
      <c r="CI1562"/>
      <c r="CJ1562"/>
      <c r="CK1562"/>
      <c r="CL1562"/>
      <c r="CM1562"/>
    </row>
    <row r="1563" spans="1:91" x14ac:dyDescent="0.2">
      <c r="A1563"/>
      <c r="B1563"/>
      <c r="D1563"/>
      <c r="E1563"/>
      <c r="F1563"/>
      <c r="G1563"/>
      <c r="I1563"/>
      <c r="J1563"/>
      <c r="K1563"/>
      <c r="L1563" s="499"/>
      <c r="V1563" s="504"/>
      <c r="BX1563" s="769"/>
      <c r="BY1563" s="179"/>
      <c r="BZ1563" s="179"/>
      <c r="CA1563" s="179"/>
      <c r="CB1563" s="179"/>
      <c r="CC1563" s="179"/>
      <c r="CD1563" s="179"/>
      <c r="CE1563" s="179"/>
      <c r="CF1563" s="179"/>
      <c r="CG1563"/>
      <c r="CH1563"/>
      <c r="CI1563"/>
      <c r="CJ1563"/>
      <c r="CK1563"/>
      <c r="CL1563"/>
      <c r="CM1563"/>
    </row>
    <row r="1564" spans="1:91" x14ac:dyDescent="0.2">
      <c r="A1564"/>
      <c r="B1564"/>
      <c r="D1564"/>
      <c r="E1564"/>
      <c r="F1564"/>
      <c r="G1564"/>
      <c r="I1564"/>
      <c r="J1564"/>
      <c r="K1564"/>
      <c r="L1564" s="499"/>
      <c r="V1564" s="504"/>
      <c r="BX1564" s="769"/>
      <c r="BY1564" s="179"/>
      <c r="BZ1564" s="179"/>
      <c r="CA1564" s="179"/>
      <c r="CB1564" s="179"/>
      <c r="CC1564" s="179"/>
      <c r="CD1564" s="179"/>
      <c r="CE1564" s="179"/>
      <c r="CF1564" s="179"/>
      <c r="CG1564"/>
      <c r="CH1564"/>
      <c r="CI1564"/>
      <c r="CJ1564"/>
      <c r="CK1564"/>
      <c r="CL1564"/>
      <c r="CM1564"/>
    </row>
    <row r="1565" spans="1:91" x14ac:dyDescent="0.2">
      <c r="A1565"/>
      <c r="B1565"/>
      <c r="D1565"/>
      <c r="E1565"/>
      <c r="F1565"/>
      <c r="G1565"/>
      <c r="I1565"/>
      <c r="J1565"/>
      <c r="K1565"/>
      <c r="L1565" s="499"/>
      <c r="V1565" s="504"/>
      <c r="BX1565" s="769"/>
      <c r="BY1565" s="179"/>
      <c r="BZ1565" s="179"/>
      <c r="CA1565" s="179"/>
      <c r="CB1565" s="179"/>
      <c r="CC1565" s="179"/>
      <c r="CD1565" s="179"/>
      <c r="CE1565" s="179"/>
      <c r="CF1565" s="179"/>
      <c r="CG1565"/>
      <c r="CH1565"/>
      <c r="CI1565"/>
      <c r="CJ1565"/>
      <c r="CK1565"/>
      <c r="CL1565"/>
      <c r="CM1565"/>
    </row>
    <row r="1566" spans="1:91" x14ac:dyDescent="0.2">
      <c r="A1566"/>
      <c r="B1566"/>
      <c r="D1566"/>
      <c r="E1566"/>
      <c r="F1566"/>
      <c r="G1566"/>
      <c r="I1566"/>
      <c r="J1566"/>
      <c r="K1566"/>
      <c r="L1566" s="499"/>
      <c r="V1566" s="504"/>
      <c r="BX1566" s="769"/>
      <c r="BY1566" s="179"/>
      <c r="BZ1566" s="179"/>
      <c r="CA1566" s="179"/>
      <c r="CB1566" s="179"/>
      <c r="CC1566" s="179"/>
      <c r="CD1566" s="179"/>
      <c r="CE1566" s="179"/>
      <c r="CF1566" s="179"/>
      <c r="CG1566"/>
      <c r="CH1566"/>
      <c r="CI1566"/>
      <c r="CJ1566"/>
      <c r="CK1566"/>
      <c r="CL1566"/>
      <c r="CM1566"/>
    </row>
    <row r="1567" spans="1:91" x14ac:dyDescent="0.2">
      <c r="A1567"/>
      <c r="B1567"/>
      <c r="D1567"/>
      <c r="E1567"/>
      <c r="F1567"/>
      <c r="G1567"/>
      <c r="I1567"/>
      <c r="J1567"/>
      <c r="K1567"/>
      <c r="L1567" s="499"/>
      <c r="V1567" s="504"/>
      <c r="BX1567" s="769"/>
      <c r="BY1567" s="179"/>
      <c r="BZ1567" s="179"/>
      <c r="CA1567" s="179"/>
      <c r="CB1567" s="179"/>
      <c r="CC1567" s="179"/>
      <c r="CD1567" s="179"/>
      <c r="CE1567" s="179"/>
      <c r="CF1567" s="179"/>
      <c r="CG1567"/>
      <c r="CH1567"/>
      <c r="CI1567"/>
      <c r="CJ1567"/>
      <c r="CK1567"/>
      <c r="CL1567"/>
      <c r="CM1567"/>
    </row>
    <row r="1568" spans="1:91" x14ac:dyDescent="0.2">
      <c r="A1568"/>
      <c r="B1568"/>
      <c r="D1568"/>
      <c r="E1568"/>
      <c r="F1568"/>
      <c r="G1568"/>
      <c r="I1568"/>
      <c r="J1568"/>
      <c r="K1568"/>
      <c r="L1568" s="499"/>
      <c r="V1568" s="504"/>
      <c r="BX1568" s="769"/>
      <c r="BY1568" s="179"/>
      <c r="BZ1568" s="179"/>
      <c r="CA1568" s="179"/>
      <c r="CB1568" s="179"/>
      <c r="CC1568" s="179"/>
      <c r="CD1568" s="179"/>
      <c r="CE1568" s="179"/>
      <c r="CF1568" s="179"/>
      <c r="CG1568"/>
      <c r="CH1568"/>
      <c r="CI1568"/>
      <c r="CJ1568"/>
      <c r="CK1568"/>
      <c r="CL1568"/>
      <c r="CM1568"/>
    </row>
    <row r="1569" spans="1:91" x14ac:dyDescent="0.2">
      <c r="A1569"/>
      <c r="B1569"/>
      <c r="D1569"/>
      <c r="E1569"/>
      <c r="F1569"/>
      <c r="G1569"/>
      <c r="I1569"/>
      <c r="J1569"/>
      <c r="K1569"/>
      <c r="L1569" s="499"/>
      <c r="V1569" s="504"/>
      <c r="BX1569" s="769"/>
      <c r="BY1569" s="179"/>
      <c r="BZ1569" s="179"/>
      <c r="CA1569" s="179"/>
      <c r="CB1569" s="179"/>
      <c r="CC1569" s="179"/>
      <c r="CD1569" s="179"/>
      <c r="CE1569" s="179"/>
      <c r="CF1569" s="179"/>
      <c r="CG1569"/>
      <c r="CH1569"/>
      <c r="CI1569"/>
      <c r="CJ1569"/>
      <c r="CK1569"/>
      <c r="CL1569"/>
      <c r="CM1569"/>
    </row>
    <row r="1570" spans="1:91" x14ac:dyDescent="0.2">
      <c r="A1570"/>
      <c r="B1570"/>
      <c r="D1570"/>
      <c r="E1570"/>
      <c r="F1570"/>
      <c r="G1570"/>
      <c r="I1570"/>
      <c r="J1570"/>
      <c r="K1570"/>
      <c r="L1570" s="499"/>
      <c r="V1570" s="504"/>
      <c r="BX1570" s="769"/>
      <c r="BY1570" s="179"/>
      <c r="BZ1570" s="179"/>
      <c r="CA1570" s="179"/>
      <c r="CB1570" s="179"/>
      <c r="CC1570" s="179"/>
      <c r="CD1570" s="179"/>
      <c r="CE1570" s="179"/>
      <c r="CF1570" s="179"/>
      <c r="CG1570"/>
      <c r="CH1570"/>
      <c r="CI1570"/>
      <c r="CJ1570"/>
      <c r="CK1570"/>
      <c r="CL1570"/>
      <c r="CM1570"/>
    </row>
    <row r="1571" spans="1:91" x14ac:dyDescent="0.2">
      <c r="A1571"/>
      <c r="B1571"/>
      <c r="D1571"/>
      <c r="E1571"/>
      <c r="F1571"/>
      <c r="G1571"/>
      <c r="I1571"/>
      <c r="J1571"/>
      <c r="K1571"/>
      <c r="L1571" s="499"/>
      <c r="V1571" s="504"/>
      <c r="BX1571" s="769"/>
      <c r="BY1571" s="179"/>
      <c r="BZ1571" s="179"/>
      <c r="CA1571" s="179"/>
      <c r="CB1571" s="179"/>
      <c r="CC1571" s="179"/>
      <c r="CD1571" s="179"/>
      <c r="CE1571" s="179"/>
      <c r="CF1571" s="179"/>
      <c r="CG1571"/>
      <c r="CH1571"/>
      <c r="CI1571"/>
      <c r="CJ1571"/>
      <c r="CK1571"/>
      <c r="CL1571"/>
      <c r="CM1571"/>
    </row>
    <row r="1572" spans="1:91" x14ac:dyDescent="0.2">
      <c r="A1572"/>
      <c r="B1572"/>
      <c r="D1572"/>
      <c r="E1572"/>
      <c r="F1572"/>
      <c r="G1572"/>
      <c r="I1572"/>
      <c r="J1572"/>
      <c r="K1572"/>
      <c r="L1572" s="499"/>
      <c r="V1572" s="504"/>
      <c r="BX1572" s="769"/>
      <c r="BY1572" s="179"/>
      <c r="BZ1572" s="179"/>
      <c r="CA1572" s="179"/>
      <c r="CB1572" s="179"/>
      <c r="CC1572" s="179"/>
      <c r="CD1572" s="179"/>
      <c r="CE1572" s="179"/>
      <c r="CF1572" s="179"/>
      <c r="CG1572"/>
      <c r="CH1572"/>
      <c r="CI1572"/>
      <c r="CJ1572"/>
      <c r="CK1572"/>
      <c r="CL1572"/>
      <c r="CM1572"/>
    </row>
    <row r="1573" spans="1:91" x14ac:dyDescent="0.2">
      <c r="A1573"/>
      <c r="B1573"/>
      <c r="D1573"/>
      <c r="E1573"/>
      <c r="F1573"/>
      <c r="G1573"/>
      <c r="I1573"/>
      <c r="J1573"/>
      <c r="K1573"/>
      <c r="L1573" s="499"/>
      <c r="V1573" s="504"/>
      <c r="BX1573" s="769"/>
      <c r="BY1573" s="179"/>
      <c r="BZ1573" s="179"/>
      <c r="CA1573" s="179"/>
      <c r="CB1573" s="179"/>
      <c r="CC1573" s="179"/>
      <c r="CD1573" s="179"/>
      <c r="CE1573" s="179"/>
      <c r="CF1573" s="179"/>
      <c r="CG1573"/>
      <c r="CH1573"/>
      <c r="CI1573"/>
      <c r="CJ1573"/>
      <c r="CK1573"/>
      <c r="CL1573"/>
      <c r="CM1573"/>
    </row>
    <row r="1574" spans="1:91" x14ac:dyDescent="0.2">
      <c r="A1574"/>
      <c r="B1574"/>
      <c r="D1574"/>
      <c r="E1574"/>
      <c r="F1574"/>
      <c r="G1574"/>
      <c r="I1574"/>
      <c r="J1574"/>
      <c r="K1574"/>
      <c r="L1574" s="499"/>
      <c r="V1574" s="504"/>
      <c r="BX1574" s="769"/>
      <c r="BY1574" s="179"/>
      <c r="BZ1574" s="179"/>
      <c r="CA1574" s="179"/>
      <c r="CB1574" s="179"/>
      <c r="CC1574" s="179"/>
      <c r="CD1574" s="179"/>
      <c r="CE1574" s="179"/>
      <c r="CF1574" s="179"/>
      <c r="CG1574"/>
      <c r="CH1574"/>
      <c r="CI1574"/>
      <c r="CJ1574"/>
      <c r="CK1574"/>
      <c r="CL1574"/>
      <c r="CM1574"/>
    </row>
    <row r="1575" spans="1:91" x14ac:dyDescent="0.2">
      <c r="A1575"/>
      <c r="B1575"/>
      <c r="D1575"/>
      <c r="E1575"/>
      <c r="F1575"/>
      <c r="G1575"/>
      <c r="I1575"/>
      <c r="J1575"/>
      <c r="K1575"/>
      <c r="L1575" s="499"/>
      <c r="V1575" s="504"/>
      <c r="BX1575" s="769"/>
      <c r="BY1575" s="179"/>
      <c r="BZ1575" s="179"/>
      <c r="CA1575" s="179"/>
      <c r="CB1575" s="179"/>
      <c r="CC1575" s="179"/>
      <c r="CD1575" s="179"/>
      <c r="CE1575" s="179"/>
      <c r="CF1575" s="179"/>
      <c r="CG1575"/>
      <c r="CH1575"/>
      <c r="CI1575"/>
      <c r="CJ1575"/>
      <c r="CK1575"/>
      <c r="CL1575"/>
      <c r="CM1575"/>
    </row>
    <row r="1576" spans="1:91" x14ac:dyDescent="0.2">
      <c r="A1576"/>
      <c r="B1576"/>
      <c r="D1576"/>
      <c r="E1576"/>
      <c r="F1576"/>
      <c r="G1576"/>
      <c r="I1576"/>
      <c r="J1576"/>
      <c r="K1576"/>
      <c r="L1576" s="499"/>
      <c r="V1576" s="504"/>
      <c r="BX1576" s="769"/>
      <c r="BY1576" s="179"/>
      <c r="BZ1576" s="179"/>
      <c r="CA1576" s="179"/>
      <c r="CB1576" s="179"/>
      <c r="CC1576" s="179"/>
      <c r="CD1576" s="179"/>
      <c r="CE1576" s="179"/>
      <c r="CF1576" s="179"/>
      <c r="CG1576"/>
      <c r="CH1576"/>
      <c r="CI1576"/>
      <c r="CJ1576"/>
      <c r="CK1576"/>
      <c r="CL1576"/>
      <c r="CM1576"/>
    </row>
    <row r="1577" spans="1:91" x14ac:dyDescent="0.2">
      <c r="A1577"/>
      <c r="B1577"/>
      <c r="D1577"/>
      <c r="E1577"/>
      <c r="F1577"/>
      <c r="G1577"/>
      <c r="I1577"/>
      <c r="J1577"/>
      <c r="K1577"/>
      <c r="L1577" s="499"/>
      <c r="V1577" s="504"/>
      <c r="BX1577" s="769"/>
      <c r="BY1577" s="179"/>
      <c r="BZ1577" s="179"/>
      <c r="CA1577" s="179"/>
      <c r="CB1577" s="179"/>
      <c r="CC1577" s="179"/>
      <c r="CD1577" s="179"/>
      <c r="CE1577" s="179"/>
      <c r="CF1577" s="179"/>
      <c r="CG1577"/>
      <c r="CH1577"/>
      <c r="CI1577"/>
      <c r="CJ1577"/>
      <c r="CK1577"/>
      <c r="CL1577"/>
      <c r="CM1577"/>
    </row>
    <row r="1578" spans="1:91" x14ac:dyDescent="0.2">
      <c r="A1578"/>
      <c r="B1578"/>
      <c r="D1578"/>
      <c r="E1578"/>
      <c r="F1578"/>
      <c r="G1578"/>
      <c r="I1578"/>
      <c r="J1578"/>
      <c r="K1578"/>
      <c r="L1578" s="499"/>
      <c r="V1578" s="504"/>
      <c r="BX1578" s="769"/>
      <c r="BY1578" s="179"/>
      <c r="BZ1578" s="179"/>
      <c r="CA1578" s="179"/>
      <c r="CB1578" s="179"/>
      <c r="CC1578" s="179"/>
      <c r="CD1578" s="179"/>
      <c r="CE1578" s="179"/>
      <c r="CF1578" s="179"/>
      <c r="CG1578"/>
      <c r="CH1578"/>
      <c r="CI1578"/>
      <c r="CJ1578"/>
      <c r="CK1578"/>
      <c r="CL1578"/>
      <c r="CM1578"/>
    </row>
    <row r="1579" spans="1:91" x14ac:dyDescent="0.2">
      <c r="A1579"/>
      <c r="B1579"/>
      <c r="D1579"/>
      <c r="E1579"/>
      <c r="F1579"/>
      <c r="G1579"/>
      <c r="I1579"/>
      <c r="J1579"/>
      <c r="K1579"/>
      <c r="L1579" s="499"/>
      <c r="V1579" s="504"/>
      <c r="BX1579" s="769"/>
      <c r="BY1579" s="179"/>
      <c r="BZ1579" s="179"/>
      <c r="CA1579" s="179"/>
      <c r="CB1579" s="179"/>
      <c r="CC1579" s="179"/>
      <c r="CD1579" s="179"/>
      <c r="CE1579" s="179"/>
      <c r="CF1579" s="179"/>
      <c r="CG1579"/>
      <c r="CH1579"/>
      <c r="CI1579"/>
      <c r="CJ1579"/>
      <c r="CK1579"/>
      <c r="CL1579"/>
      <c r="CM1579"/>
    </row>
    <row r="1580" spans="1:91" x14ac:dyDescent="0.2">
      <c r="A1580"/>
      <c r="B1580"/>
      <c r="D1580"/>
      <c r="E1580"/>
      <c r="F1580"/>
      <c r="G1580"/>
      <c r="I1580"/>
      <c r="J1580"/>
      <c r="K1580"/>
      <c r="L1580" s="499"/>
      <c r="V1580" s="504"/>
      <c r="BX1580" s="769"/>
      <c r="BY1580" s="179"/>
      <c r="BZ1580" s="179"/>
      <c r="CA1580" s="179"/>
      <c r="CB1580" s="179"/>
      <c r="CC1580" s="179"/>
      <c r="CD1580" s="179"/>
      <c r="CE1580" s="179"/>
      <c r="CF1580" s="179"/>
      <c r="CG1580"/>
      <c r="CH1580"/>
      <c r="CI1580"/>
      <c r="CJ1580"/>
      <c r="CK1580"/>
      <c r="CL1580"/>
      <c r="CM1580"/>
    </row>
    <row r="1581" spans="1:91" x14ac:dyDescent="0.2">
      <c r="A1581"/>
      <c r="B1581"/>
      <c r="D1581"/>
      <c r="E1581"/>
      <c r="F1581"/>
      <c r="G1581"/>
      <c r="I1581"/>
      <c r="J1581"/>
      <c r="K1581"/>
      <c r="L1581" s="499"/>
      <c r="V1581" s="504"/>
      <c r="BX1581" s="769"/>
      <c r="BY1581" s="179"/>
      <c r="BZ1581" s="179"/>
      <c r="CA1581" s="179"/>
      <c r="CB1581" s="179"/>
      <c r="CC1581" s="179"/>
      <c r="CD1581" s="179"/>
      <c r="CE1581" s="179"/>
      <c r="CF1581" s="179"/>
      <c r="CG1581"/>
      <c r="CH1581"/>
      <c r="CI1581"/>
      <c r="CJ1581"/>
      <c r="CK1581"/>
      <c r="CL1581"/>
      <c r="CM1581"/>
    </row>
    <row r="1582" spans="1:91" x14ac:dyDescent="0.2">
      <c r="A1582"/>
      <c r="B1582"/>
      <c r="D1582"/>
      <c r="E1582"/>
      <c r="F1582"/>
      <c r="G1582"/>
      <c r="I1582"/>
      <c r="J1582"/>
      <c r="K1582"/>
      <c r="L1582" s="499"/>
      <c r="V1582" s="504"/>
      <c r="BX1582" s="769"/>
      <c r="BY1582" s="179"/>
      <c r="BZ1582" s="179"/>
      <c r="CA1582" s="179"/>
      <c r="CB1582" s="179"/>
      <c r="CC1582" s="179"/>
      <c r="CD1582" s="179"/>
      <c r="CE1582" s="179"/>
      <c r="CF1582" s="179"/>
      <c r="CG1582"/>
      <c r="CH1582"/>
      <c r="CI1582"/>
      <c r="CJ1582"/>
      <c r="CK1582"/>
      <c r="CL1582"/>
      <c r="CM1582"/>
    </row>
    <row r="1583" spans="1:91" x14ac:dyDescent="0.2">
      <c r="A1583"/>
      <c r="B1583"/>
      <c r="D1583"/>
      <c r="E1583"/>
      <c r="F1583"/>
      <c r="G1583"/>
      <c r="I1583"/>
      <c r="J1583"/>
      <c r="K1583"/>
      <c r="L1583" s="499"/>
      <c r="V1583" s="504"/>
      <c r="BX1583" s="769"/>
      <c r="BY1583" s="179"/>
      <c r="BZ1583" s="179"/>
      <c r="CA1583" s="179"/>
      <c r="CB1583" s="179"/>
      <c r="CC1583" s="179"/>
      <c r="CD1583" s="179"/>
      <c r="CE1583" s="179"/>
      <c r="CF1583" s="179"/>
      <c r="CG1583"/>
      <c r="CH1583"/>
      <c r="CI1583"/>
      <c r="CJ1583"/>
      <c r="CK1583"/>
      <c r="CL1583"/>
      <c r="CM1583"/>
    </row>
    <row r="1584" spans="1:91" x14ac:dyDescent="0.2">
      <c r="A1584"/>
      <c r="B1584"/>
      <c r="D1584"/>
      <c r="E1584"/>
      <c r="F1584"/>
      <c r="G1584"/>
      <c r="I1584"/>
      <c r="J1584"/>
      <c r="K1584"/>
      <c r="L1584" s="499"/>
      <c r="V1584" s="504"/>
      <c r="BX1584" s="769"/>
      <c r="BY1584" s="179"/>
      <c r="BZ1584" s="179"/>
      <c r="CA1584" s="179"/>
      <c r="CB1584" s="179"/>
      <c r="CC1584" s="179"/>
      <c r="CD1584" s="179"/>
      <c r="CE1584" s="179"/>
      <c r="CF1584" s="179"/>
      <c r="CG1584"/>
      <c r="CH1584"/>
      <c r="CI1584"/>
      <c r="CJ1584"/>
      <c r="CK1584"/>
      <c r="CL1584"/>
      <c r="CM1584"/>
    </row>
    <row r="1585" spans="1:91" x14ac:dyDescent="0.2">
      <c r="A1585"/>
      <c r="B1585"/>
      <c r="D1585"/>
      <c r="E1585"/>
      <c r="F1585"/>
      <c r="G1585"/>
      <c r="I1585"/>
      <c r="J1585"/>
      <c r="K1585"/>
      <c r="L1585" s="499"/>
      <c r="V1585" s="504"/>
      <c r="BX1585" s="769"/>
      <c r="BY1585" s="179"/>
      <c r="BZ1585" s="179"/>
      <c r="CA1585" s="179"/>
      <c r="CB1585" s="179"/>
      <c r="CC1585" s="179"/>
      <c r="CD1585" s="179"/>
      <c r="CE1585" s="179"/>
      <c r="CF1585" s="179"/>
      <c r="CG1585"/>
      <c r="CH1585"/>
      <c r="CI1585"/>
      <c r="CJ1585"/>
      <c r="CK1585"/>
      <c r="CL1585"/>
      <c r="CM1585"/>
    </row>
    <row r="1586" spans="1:91" x14ac:dyDescent="0.2">
      <c r="A1586"/>
      <c r="B1586"/>
      <c r="D1586"/>
      <c r="E1586"/>
      <c r="F1586"/>
      <c r="G1586"/>
      <c r="I1586"/>
      <c r="J1586"/>
      <c r="K1586"/>
      <c r="L1586" s="499"/>
      <c r="V1586" s="504"/>
      <c r="BX1586" s="769"/>
      <c r="BY1586" s="179"/>
      <c r="BZ1586" s="179"/>
      <c r="CA1586" s="179"/>
      <c r="CB1586" s="179"/>
      <c r="CC1586" s="179"/>
      <c r="CD1586" s="179"/>
      <c r="CE1586" s="179"/>
      <c r="CF1586" s="179"/>
      <c r="CG1586"/>
      <c r="CH1586"/>
      <c r="CI1586"/>
      <c r="CJ1586"/>
      <c r="CK1586"/>
      <c r="CL1586"/>
      <c r="CM1586"/>
    </row>
    <row r="1587" spans="1:91" x14ac:dyDescent="0.2">
      <c r="A1587"/>
      <c r="B1587"/>
      <c r="D1587"/>
      <c r="E1587"/>
      <c r="F1587"/>
      <c r="G1587"/>
      <c r="I1587"/>
      <c r="J1587"/>
      <c r="K1587"/>
      <c r="L1587" s="499"/>
      <c r="V1587" s="504"/>
      <c r="BX1587" s="769"/>
      <c r="BY1587" s="179"/>
      <c r="BZ1587" s="179"/>
      <c r="CA1587" s="179"/>
      <c r="CB1587" s="179"/>
      <c r="CC1587" s="179"/>
      <c r="CD1587" s="179"/>
      <c r="CE1587" s="179"/>
      <c r="CF1587" s="179"/>
      <c r="CG1587"/>
      <c r="CH1587"/>
      <c r="CI1587"/>
      <c r="CJ1587"/>
      <c r="CK1587"/>
      <c r="CL1587"/>
      <c r="CM1587"/>
    </row>
    <row r="1588" spans="1:91" x14ac:dyDescent="0.2">
      <c r="A1588"/>
      <c r="B1588"/>
      <c r="D1588"/>
      <c r="E1588"/>
      <c r="F1588"/>
      <c r="G1588"/>
      <c r="I1588"/>
      <c r="J1588"/>
      <c r="K1588"/>
      <c r="L1588" s="499"/>
      <c r="V1588" s="504"/>
      <c r="BX1588" s="769"/>
      <c r="BY1588" s="179"/>
      <c r="BZ1588" s="179"/>
      <c r="CA1588" s="179"/>
      <c r="CB1588" s="179"/>
      <c r="CC1588" s="179"/>
      <c r="CD1588" s="179"/>
      <c r="CE1588" s="179"/>
      <c r="CF1588" s="179"/>
      <c r="CG1588"/>
      <c r="CH1588"/>
      <c r="CI1588"/>
      <c r="CJ1588"/>
      <c r="CK1588"/>
      <c r="CL1588"/>
      <c r="CM1588"/>
    </row>
    <row r="1589" spans="1:91" x14ac:dyDescent="0.2">
      <c r="A1589"/>
      <c r="B1589"/>
      <c r="D1589"/>
      <c r="E1589"/>
      <c r="F1589"/>
      <c r="G1589"/>
      <c r="I1589"/>
      <c r="J1589"/>
      <c r="K1589"/>
      <c r="L1589" s="499"/>
      <c r="V1589" s="504"/>
      <c r="BX1589" s="769"/>
      <c r="BY1589" s="179"/>
      <c r="BZ1589" s="179"/>
      <c r="CA1589" s="179"/>
      <c r="CB1589" s="179"/>
      <c r="CC1589" s="179"/>
      <c r="CD1589" s="179"/>
      <c r="CE1589" s="179"/>
      <c r="CF1589" s="179"/>
      <c r="CG1589"/>
      <c r="CH1589"/>
      <c r="CI1589"/>
      <c r="CJ1589"/>
      <c r="CK1589"/>
      <c r="CL1589"/>
      <c r="CM1589"/>
    </row>
    <row r="1590" spans="1:91" x14ac:dyDescent="0.2">
      <c r="A1590"/>
      <c r="B1590"/>
      <c r="D1590"/>
      <c r="E1590"/>
      <c r="F1590"/>
      <c r="G1590"/>
      <c r="I1590"/>
      <c r="J1590"/>
      <c r="K1590"/>
      <c r="L1590" s="499"/>
      <c r="V1590" s="504"/>
      <c r="BX1590" s="769"/>
      <c r="BY1590" s="179"/>
      <c r="BZ1590" s="179"/>
      <c r="CA1590" s="179"/>
      <c r="CB1590" s="179"/>
      <c r="CC1590" s="179"/>
      <c r="CD1590" s="179"/>
      <c r="CE1590" s="179"/>
      <c r="CF1590" s="179"/>
      <c r="CG1590"/>
      <c r="CH1590"/>
      <c r="CI1590"/>
      <c r="CJ1590"/>
      <c r="CK1590"/>
      <c r="CL1590"/>
      <c r="CM1590"/>
    </row>
    <row r="1591" spans="1:91" x14ac:dyDescent="0.2">
      <c r="A1591"/>
      <c r="B1591"/>
      <c r="D1591"/>
      <c r="E1591"/>
      <c r="F1591"/>
      <c r="G1591"/>
      <c r="I1591"/>
      <c r="J1591"/>
      <c r="K1591"/>
      <c r="L1591" s="499"/>
      <c r="V1591" s="504"/>
      <c r="BX1591" s="769"/>
      <c r="BY1591" s="179"/>
      <c r="BZ1591" s="179"/>
      <c r="CA1591" s="179"/>
      <c r="CB1591" s="179"/>
      <c r="CC1591" s="179"/>
      <c r="CD1591" s="179"/>
      <c r="CE1591" s="179"/>
      <c r="CF1591" s="179"/>
      <c r="CG1591"/>
      <c r="CH1591"/>
      <c r="CI1591"/>
      <c r="CJ1591"/>
      <c r="CK1591"/>
      <c r="CL1591"/>
      <c r="CM1591"/>
    </row>
    <row r="1592" spans="1:91" x14ac:dyDescent="0.2">
      <c r="A1592"/>
      <c r="B1592"/>
      <c r="D1592"/>
      <c r="E1592"/>
      <c r="F1592"/>
      <c r="G1592"/>
      <c r="I1592"/>
      <c r="J1592"/>
      <c r="K1592"/>
      <c r="L1592" s="499"/>
      <c r="V1592" s="504"/>
      <c r="BX1592" s="769"/>
      <c r="BY1592" s="179"/>
      <c r="BZ1592" s="179"/>
      <c r="CA1592" s="179"/>
      <c r="CB1592" s="179"/>
      <c r="CC1592" s="179"/>
      <c r="CD1592" s="179"/>
      <c r="CE1592" s="179"/>
      <c r="CF1592" s="179"/>
      <c r="CG1592"/>
      <c r="CH1592"/>
      <c r="CI1592"/>
      <c r="CJ1592"/>
      <c r="CK1592"/>
      <c r="CL1592"/>
      <c r="CM1592"/>
    </row>
    <row r="1593" spans="1:91" x14ac:dyDescent="0.2">
      <c r="A1593"/>
      <c r="B1593"/>
      <c r="D1593"/>
      <c r="E1593"/>
      <c r="F1593"/>
      <c r="G1593"/>
      <c r="I1593"/>
      <c r="J1593"/>
      <c r="K1593"/>
      <c r="L1593" s="499"/>
      <c r="V1593" s="504"/>
      <c r="BX1593" s="769"/>
      <c r="BY1593" s="179"/>
      <c r="BZ1593" s="179"/>
      <c r="CA1593" s="179"/>
      <c r="CB1593" s="179"/>
      <c r="CC1593" s="179"/>
      <c r="CD1593" s="179"/>
      <c r="CE1593" s="179"/>
      <c r="CF1593" s="179"/>
      <c r="CG1593"/>
      <c r="CH1593"/>
      <c r="CI1593"/>
      <c r="CJ1593"/>
      <c r="CK1593"/>
      <c r="CL1593"/>
      <c r="CM1593"/>
    </row>
    <row r="1594" spans="1:91" x14ac:dyDescent="0.2">
      <c r="A1594"/>
      <c r="B1594"/>
      <c r="D1594"/>
      <c r="E1594"/>
      <c r="F1594"/>
      <c r="G1594"/>
      <c r="I1594"/>
      <c r="J1594"/>
      <c r="K1594"/>
      <c r="L1594" s="499"/>
      <c r="BX1594" s="769"/>
      <c r="BY1594" s="179"/>
      <c r="BZ1594" s="179"/>
      <c r="CA1594" s="179"/>
      <c r="CB1594" s="179"/>
      <c r="CC1594" s="179"/>
      <c r="CD1594" s="179"/>
      <c r="CE1594" s="179"/>
      <c r="CF1594" s="179"/>
      <c r="CG1594"/>
      <c r="CH1594"/>
      <c r="CI1594"/>
      <c r="CJ1594"/>
      <c r="CK1594"/>
      <c r="CL1594"/>
      <c r="CM1594"/>
    </row>
    <row r="1595" spans="1:91" x14ac:dyDescent="0.2">
      <c r="A1595"/>
      <c r="B1595"/>
      <c r="D1595"/>
      <c r="E1595"/>
      <c r="F1595"/>
      <c r="G1595"/>
      <c r="I1595"/>
      <c r="J1595"/>
      <c r="K1595"/>
      <c r="L1595" s="499"/>
      <c r="BX1595" s="769"/>
      <c r="BY1595" s="179"/>
      <c r="BZ1595" s="179"/>
      <c r="CA1595" s="179"/>
      <c r="CB1595" s="179"/>
      <c r="CC1595" s="179"/>
      <c r="CD1595" s="179"/>
      <c r="CE1595" s="179"/>
      <c r="CF1595" s="179"/>
      <c r="CG1595"/>
      <c r="CH1595"/>
      <c r="CI1595"/>
      <c r="CJ1595"/>
      <c r="CK1595"/>
      <c r="CL1595"/>
      <c r="CM1595"/>
    </row>
    <row r="1596" spans="1:91" x14ac:dyDescent="0.2">
      <c r="A1596"/>
      <c r="B1596"/>
      <c r="D1596"/>
      <c r="E1596"/>
      <c r="F1596"/>
      <c r="G1596"/>
      <c r="I1596"/>
      <c r="J1596"/>
      <c r="K1596"/>
      <c r="L1596" s="499"/>
      <c r="BX1596" s="769"/>
      <c r="BY1596" s="179"/>
      <c r="BZ1596" s="179"/>
      <c r="CA1596" s="179"/>
      <c r="CB1596" s="179"/>
      <c r="CC1596" s="179"/>
      <c r="CD1596" s="179"/>
      <c r="CE1596" s="179"/>
      <c r="CF1596" s="179"/>
      <c r="CG1596"/>
      <c r="CH1596"/>
      <c r="CI1596"/>
      <c r="CJ1596"/>
      <c r="CK1596"/>
      <c r="CL1596"/>
      <c r="CM1596"/>
    </row>
    <row r="1597" spans="1:91" x14ac:dyDescent="0.2">
      <c r="A1597"/>
      <c r="B1597"/>
      <c r="D1597"/>
      <c r="E1597"/>
      <c r="F1597"/>
      <c r="G1597"/>
      <c r="I1597"/>
      <c r="J1597"/>
      <c r="K1597"/>
      <c r="L1597" s="499"/>
      <c r="BX1597" s="769"/>
      <c r="BY1597" s="179"/>
      <c r="BZ1597" s="179"/>
      <c r="CA1597" s="179"/>
      <c r="CB1597" s="179"/>
      <c r="CC1597" s="179"/>
      <c r="CD1597" s="179"/>
      <c r="CE1597" s="179"/>
      <c r="CF1597" s="179"/>
      <c r="CG1597"/>
      <c r="CH1597"/>
      <c r="CI1597"/>
      <c r="CJ1597"/>
      <c r="CK1597"/>
      <c r="CL1597"/>
      <c r="CM1597"/>
    </row>
    <row r="1598" spans="1:91" x14ac:dyDescent="0.2">
      <c r="A1598"/>
      <c r="B1598"/>
      <c r="D1598"/>
      <c r="E1598"/>
      <c r="F1598"/>
      <c r="G1598"/>
      <c r="I1598"/>
      <c r="J1598"/>
      <c r="K1598"/>
      <c r="L1598" s="499"/>
      <c r="BX1598" s="769"/>
      <c r="BY1598" s="179"/>
      <c r="BZ1598" s="179"/>
      <c r="CA1598" s="179"/>
      <c r="CB1598" s="179"/>
      <c r="CC1598" s="179"/>
      <c r="CD1598" s="179"/>
      <c r="CE1598" s="179"/>
      <c r="CF1598" s="179"/>
      <c r="CG1598"/>
      <c r="CH1598"/>
      <c r="CI1598"/>
      <c r="CJ1598"/>
      <c r="CK1598"/>
      <c r="CL1598"/>
      <c r="CM1598"/>
    </row>
    <row r="1599" spans="1:91" x14ac:dyDescent="0.2">
      <c r="A1599"/>
      <c r="B1599"/>
      <c r="D1599"/>
      <c r="E1599"/>
      <c r="F1599"/>
      <c r="G1599"/>
      <c r="I1599"/>
      <c r="J1599"/>
      <c r="K1599"/>
      <c r="L1599" s="499"/>
      <c r="BX1599" s="769"/>
      <c r="BY1599" s="179"/>
      <c r="BZ1599" s="179"/>
      <c r="CA1599" s="179"/>
      <c r="CB1599" s="179"/>
      <c r="CC1599" s="179"/>
      <c r="CD1599" s="179"/>
      <c r="CE1599" s="179"/>
      <c r="CF1599" s="179"/>
      <c r="CG1599"/>
      <c r="CH1599"/>
      <c r="CI1599"/>
      <c r="CJ1599"/>
      <c r="CK1599"/>
      <c r="CL1599"/>
      <c r="CM1599"/>
    </row>
    <row r="1600" spans="1:91" x14ac:dyDescent="0.2">
      <c r="A1600"/>
      <c r="B1600"/>
      <c r="D1600"/>
      <c r="E1600"/>
      <c r="F1600"/>
      <c r="G1600"/>
      <c r="I1600"/>
      <c r="J1600"/>
      <c r="K1600"/>
      <c r="L1600" s="499"/>
      <c r="BX1600" s="769"/>
      <c r="BY1600" s="179"/>
      <c r="BZ1600" s="179"/>
      <c r="CA1600" s="179"/>
      <c r="CB1600" s="179"/>
      <c r="CC1600" s="179"/>
      <c r="CD1600" s="179"/>
      <c r="CE1600" s="179"/>
      <c r="CF1600" s="179"/>
      <c r="CG1600"/>
      <c r="CH1600"/>
      <c r="CI1600"/>
      <c r="CJ1600"/>
      <c r="CK1600"/>
      <c r="CL1600"/>
      <c r="CM1600"/>
    </row>
    <row r="1601" spans="1:91" x14ac:dyDescent="0.2">
      <c r="A1601"/>
      <c r="B1601"/>
      <c r="D1601"/>
      <c r="E1601"/>
      <c r="F1601"/>
      <c r="G1601"/>
      <c r="I1601"/>
      <c r="J1601"/>
      <c r="K1601"/>
      <c r="L1601" s="499"/>
      <c r="BX1601" s="769"/>
      <c r="BY1601" s="179"/>
      <c r="BZ1601" s="179"/>
      <c r="CA1601" s="179"/>
      <c r="CB1601" s="179"/>
      <c r="CC1601" s="179"/>
      <c r="CD1601" s="179"/>
      <c r="CE1601" s="179"/>
      <c r="CF1601" s="179"/>
      <c r="CG1601"/>
      <c r="CH1601"/>
      <c r="CI1601"/>
      <c r="CJ1601"/>
      <c r="CK1601"/>
      <c r="CL1601"/>
      <c r="CM1601"/>
    </row>
    <row r="1602" spans="1:91" x14ac:dyDescent="0.2">
      <c r="A1602"/>
      <c r="B1602"/>
      <c r="D1602"/>
      <c r="E1602"/>
      <c r="F1602"/>
      <c r="G1602"/>
      <c r="I1602"/>
      <c r="J1602"/>
      <c r="K1602"/>
      <c r="L1602" s="499"/>
      <c r="BX1602" s="769"/>
      <c r="BY1602" s="179"/>
      <c r="BZ1602" s="179"/>
      <c r="CA1602" s="179"/>
      <c r="CB1602" s="179"/>
      <c r="CC1602" s="179"/>
      <c r="CD1602" s="179"/>
      <c r="CE1602" s="179"/>
      <c r="CF1602" s="179"/>
      <c r="CG1602"/>
      <c r="CH1602"/>
      <c r="CI1602"/>
      <c r="CJ1602"/>
      <c r="CK1602"/>
      <c r="CL1602"/>
      <c r="CM1602"/>
    </row>
    <row r="1603" spans="1:91" x14ac:dyDescent="0.2">
      <c r="A1603"/>
      <c r="B1603"/>
      <c r="D1603"/>
      <c r="E1603"/>
      <c r="F1603"/>
      <c r="G1603"/>
      <c r="I1603"/>
      <c r="J1603"/>
      <c r="K1603"/>
      <c r="L1603" s="499"/>
      <c r="BX1603" s="769"/>
      <c r="BY1603" s="179"/>
      <c r="BZ1603" s="179"/>
      <c r="CA1603" s="179"/>
      <c r="CB1603" s="179"/>
      <c r="CC1603" s="179"/>
      <c r="CD1603" s="179"/>
      <c r="CE1603" s="179"/>
      <c r="CF1603" s="179"/>
      <c r="CG1603"/>
      <c r="CH1603"/>
      <c r="CI1603"/>
      <c r="CJ1603"/>
      <c r="CK1603"/>
      <c r="CL1603"/>
      <c r="CM1603"/>
    </row>
    <row r="1604" spans="1:91" x14ac:dyDescent="0.2">
      <c r="A1604"/>
      <c r="B1604"/>
      <c r="D1604"/>
      <c r="E1604"/>
      <c r="F1604"/>
      <c r="G1604"/>
      <c r="I1604"/>
      <c r="J1604"/>
      <c r="K1604"/>
      <c r="L1604" s="499"/>
      <c r="BX1604" s="769"/>
      <c r="BY1604" s="179"/>
      <c r="BZ1604" s="179"/>
      <c r="CA1604" s="179"/>
      <c r="CB1604" s="179"/>
      <c r="CC1604" s="179"/>
      <c r="CD1604" s="179"/>
      <c r="CE1604" s="179"/>
      <c r="CF1604" s="179"/>
      <c r="CG1604"/>
      <c r="CH1604"/>
      <c r="CI1604"/>
      <c r="CJ1604"/>
      <c r="CK1604"/>
      <c r="CL1604"/>
      <c r="CM1604"/>
    </row>
    <row r="1605" spans="1:91" x14ac:dyDescent="0.2">
      <c r="A1605"/>
      <c r="B1605"/>
      <c r="D1605"/>
      <c r="E1605"/>
      <c r="F1605"/>
      <c r="G1605"/>
      <c r="I1605"/>
      <c r="J1605"/>
      <c r="K1605"/>
      <c r="L1605" s="499"/>
      <c r="BX1605" s="769"/>
      <c r="BY1605" s="179"/>
      <c r="BZ1605" s="179"/>
      <c r="CA1605" s="179"/>
      <c r="CB1605" s="179"/>
      <c r="CC1605" s="179"/>
      <c r="CD1605" s="179"/>
      <c r="CE1605" s="179"/>
      <c r="CF1605" s="179"/>
      <c r="CG1605"/>
      <c r="CH1605"/>
      <c r="CI1605"/>
      <c r="CJ1605"/>
      <c r="CK1605"/>
      <c r="CL1605"/>
      <c r="CM1605"/>
    </row>
    <row r="1606" spans="1:91" x14ac:dyDescent="0.2">
      <c r="A1606"/>
      <c r="B1606"/>
      <c r="D1606"/>
      <c r="E1606"/>
      <c r="F1606"/>
      <c r="G1606"/>
      <c r="I1606"/>
      <c r="J1606"/>
      <c r="K1606"/>
      <c r="L1606" s="499"/>
      <c r="BX1606" s="769"/>
      <c r="BY1606" s="179"/>
      <c r="BZ1606" s="179"/>
      <c r="CA1606" s="179"/>
      <c r="CB1606" s="179"/>
      <c r="CC1606" s="179"/>
      <c r="CD1606" s="179"/>
      <c r="CE1606" s="179"/>
      <c r="CF1606" s="179"/>
      <c r="CG1606"/>
      <c r="CH1606"/>
      <c r="CI1606"/>
      <c r="CJ1606"/>
      <c r="CK1606"/>
      <c r="CL1606"/>
      <c r="CM1606"/>
    </row>
    <row r="1607" spans="1:91" x14ac:dyDescent="0.2">
      <c r="A1607"/>
      <c r="B1607"/>
      <c r="D1607"/>
      <c r="E1607"/>
      <c r="F1607"/>
      <c r="G1607"/>
      <c r="I1607"/>
      <c r="J1607"/>
      <c r="K1607"/>
      <c r="L1607" s="499"/>
      <c r="BX1607" s="769"/>
      <c r="BY1607" s="179"/>
      <c r="BZ1607" s="179"/>
      <c r="CA1607" s="179"/>
      <c r="CB1607" s="179"/>
      <c r="CC1607" s="179"/>
      <c r="CD1607" s="179"/>
      <c r="CE1607" s="179"/>
      <c r="CF1607" s="179"/>
      <c r="CG1607"/>
      <c r="CH1607"/>
      <c r="CI1607"/>
      <c r="CJ1607"/>
      <c r="CK1607"/>
      <c r="CL1607"/>
      <c r="CM1607"/>
    </row>
    <row r="1608" spans="1:91" x14ac:dyDescent="0.2">
      <c r="A1608"/>
      <c r="B1608"/>
      <c r="D1608"/>
      <c r="E1608"/>
      <c r="F1608"/>
      <c r="G1608"/>
      <c r="I1608"/>
      <c r="J1608"/>
      <c r="K1608"/>
      <c r="L1608" s="499"/>
      <c r="BX1608" s="769"/>
      <c r="BY1608" s="179"/>
      <c r="BZ1608" s="179"/>
      <c r="CA1608" s="179"/>
      <c r="CB1608" s="179"/>
      <c r="CC1608" s="179"/>
      <c r="CD1608" s="179"/>
      <c r="CE1608" s="179"/>
      <c r="CF1608" s="179"/>
      <c r="CG1608"/>
      <c r="CH1608"/>
      <c r="CI1608"/>
      <c r="CJ1608"/>
      <c r="CK1608"/>
      <c r="CL1608"/>
      <c r="CM1608"/>
    </row>
    <row r="1609" spans="1:91" x14ac:dyDescent="0.2">
      <c r="A1609"/>
      <c r="B1609"/>
      <c r="D1609"/>
      <c r="E1609"/>
      <c r="F1609"/>
      <c r="G1609"/>
      <c r="I1609"/>
      <c r="J1609"/>
      <c r="K1609"/>
      <c r="L1609" s="499"/>
      <c r="BX1609" s="769"/>
      <c r="BY1609" s="179"/>
      <c r="BZ1609" s="179"/>
      <c r="CA1609" s="179"/>
      <c r="CB1609" s="179"/>
      <c r="CC1609" s="179"/>
      <c r="CD1609" s="179"/>
      <c r="CE1609" s="179"/>
      <c r="CF1609" s="179"/>
      <c r="CG1609"/>
      <c r="CH1609"/>
      <c r="CI1609"/>
      <c r="CJ1609"/>
      <c r="CK1609"/>
      <c r="CL1609"/>
      <c r="CM1609"/>
    </row>
    <row r="1610" spans="1:91" x14ac:dyDescent="0.2">
      <c r="A1610"/>
      <c r="B1610"/>
      <c r="D1610"/>
      <c r="E1610"/>
      <c r="F1610"/>
      <c r="G1610"/>
      <c r="I1610"/>
      <c r="J1610"/>
      <c r="K1610"/>
      <c r="L1610" s="499"/>
      <c r="BX1610" s="769"/>
      <c r="BY1610" s="179"/>
      <c r="BZ1610" s="179"/>
      <c r="CA1610" s="179"/>
      <c r="CB1610" s="179"/>
      <c r="CC1610" s="179"/>
      <c r="CD1610" s="179"/>
      <c r="CE1610" s="179"/>
      <c r="CF1610" s="179"/>
      <c r="CG1610"/>
      <c r="CH1610"/>
      <c r="CI1610"/>
      <c r="CJ1610"/>
      <c r="CK1610"/>
      <c r="CL1610"/>
      <c r="CM1610"/>
    </row>
    <row r="1611" spans="1:91" x14ac:dyDescent="0.2">
      <c r="A1611"/>
      <c r="B1611"/>
      <c r="D1611"/>
      <c r="E1611"/>
      <c r="F1611"/>
      <c r="G1611"/>
      <c r="I1611"/>
      <c r="J1611"/>
      <c r="K1611"/>
      <c r="L1611" s="499"/>
      <c r="BX1611" s="769"/>
      <c r="BY1611" s="179"/>
      <c r="BZ1611" s="179"/>
      <c r="CA1611" s="179"/>
      <c r="CB1611" s="179"/>
      <c r="CC1611" s="179"/>
      <c r="CD1611" s="179"/>
      <c r="CE1611" s="179"/>
      <c r="CF1611" s="179"/>
      <c r="CG1611"/>
      <c r="CH1611"/>
      <c r="CI1611"/>
      <c r="CJ1611"/>
      <c r="CK1611"/>
      <c r="CL1611"/>
      <c r="CM1611"/>
    </row>
    <row r="1612" spans="1:91" x14ac:dyDescent="0.2">
      <c r="A1612"/>
      <c r="B1612"/>
      <c r="D1612"/>
      <c r="E1612"/>
      <c r="F1612"/>
      <c r="G1612"/>
      <c r="I1612"/>
      <c r="J1612"/>
      <c r="K1612"/>
      <c r="L1612" s="499"/>
      <c r="BX1612" s="769"/>
      <c r="BY1612" s="179"/>
      <c r="BZ1612" s="179"/>
      <c r="CA1612" s="179"/>
      <c r="CB1612" s="179"/>
      <c r="CC1612" s="179"/>
      <c r="CD1612" s="179"/>
      <c r="CE1612" s="179"/>
      <c r="CF1612" s="179"/>
      <c r="CG1612"/>
      <c r="CH1612"/>
      <c r="CI1612"/>
      <c r="CJ1612"/>
      <c r="CK1612"/>
      <c r="CL1612"/>
      <c r="CM1612"/>
    </row>
    <row r="1613" spans="1:91" x14ac:dyDescent="0.2">
      <c r="A1613"/>
      <c r="B1613"/>
      <c r="D1613"/>
      <c r="E1613"/>
      <c r="F1613"/>
      <c r="G1613"/>
      <c r="I1613"/>
      <c r="J1613"/>
      <c r="K1613"/>
      <c r="L1613" s="499"/>
      <c r="BX1613" s="769"/>
      <c r="BY1613" s="179"/>
      <c r="BZ1613" s="179"/>
      <c r="CA1613" s="179"/>
      <c r="CB1613" s="179"/>
      <c r="CC1613" s="179"/>
      <c r="CD1613" s="179"/>
      <c r="CE1613" s="179"/>
      <c r="CF1613" s="179"/>
      <c r="CG1613"/>
      <c r="CH1613"/>
      <c r="CI1613"/>
      <c r="CJ1613"/>
      <c r="CK1613"/>
      <c r="CL1613"/>
      <c r="CM1613"/>
    </row>
    <row r="1614" spans="1:91" x14ac:dyDescent="0.2">
      <c r="A1614"/>
      <c r="B1614"/>
      <c r="D1614"/>
      <c r="E1614"/>
      <c r="F1614"/>
      <c r="G1614"/>
      <c r="I1614"/>
      <c r="J1614"/>
      <c r="K1614"/>
      <c r="L1614" s="499"/>
      <c r="BX1614" s="769"/>
      <c r="BY1614" s="179"/>
      <c r="BZ1614" s="179"/>
      <c r="CA1614" s="179"/>
      <c r="CB1614" s="179"/>
      <c r="CC1614" s="179"/>
      <c r="CD1614" s="179"/>
      <c r="CE1614" s="179"/>
      <c r="CF1614" s="179"/>
      <c r="CG1614"/>
      <c r="CH1614"/>
      <c r="CI1614"/>
      <c r="CJ1614"/>
      <c r="CK1614"/>
      <c r="CL1614"/>
      <c r="CM1614"/>
    </row>
    <row r="1615" spans="1:91" x14ac:dyDescent="0.2">
      <c r="A1615"/>
      <c r="B1615"/>
      <c r="D1615"/>
      <c r="E1615"/>
      <c r="F1615"/>
      <c r="G1615"/>
      <c r="I1615"/>
      <c r="J1615"/>
      <c r="K1615"/>
      <c r="L1615" s="499"/>
      <c r="BX1615" s="769"/>
      <c r="BY1615" s="179"/>
      <c r="BZ1615" s="179"/>
      <c r="CA1615" s="179"/>
      <c r="CB1615" s="179"/>
      <c r="CC1615" s="179"/>
      <c r="CD1615" s="179"/>
      <c r="CE1615" s="179"/>
      <c r="CF1615" s="179"/>
      <c r="CG1615"/>
      <c r="CH1615"/>
      <c r="CI1615"/>
      <c r="CJ1615"/>
      <c r="CK1615"/>
      <c r="CL1615"/>
      <c r="CM1615"/>
    </row>
    <row r="1616" spans="1:91" x14ac:dyDescent="0.2">
      <c r="A1616"/>
      <c r="B1616"/>
      <c r="D1616"/>
      <c r="E1616"/>
      <c r="F1616"/>
      <c r="G1616"/>
      <c r="I1616"/>
      <c r="J1616"/>
      <c r="K1616"/>
      <c r="L1616" s="499"/>
      <c r="BX1616" s="769"/>
      <c r="BY1616" s="179"/>
      <c r="BZ1616" s="179"/>
      <c r="CA1616" s="179"/>
      <c r="CB1616" s="179"/>
      <c r="CC1616" s="179"/>
      <c r="CD1616" s="179"/>
      <c r="CE1616" s="179"/>
      <c r="CF1616" s="179"/>
      <c r="CG1616"/>
      <c r="CH1616"/>
      <c r="CI1616"/>
      <c r="CJ1616"/>
      <c r="CK1616"/>
      <c r="CL1616"/>
      <c r="CM1616"/>
    </row>
    <row r="1617" spans="1:91" x14ac:dyDescent="0.2">
      <c r="A1617"/>
      <c r="B1617"/>
      <c r="D1617"/>
      <c r="E1617"/>
      <c r="F1617"/>
      <c r="G1617"/>
      <c r="I1617"/>
      <c r="J1617"/>
      <c r="K1617"/>
      <c r="L1617" s="499"/>
      <c r="BX1617" s="769"/>
      <c r="BY1617" s="179"/>
      <c r="BZ1617" s="179"/>
      <c r="CA1617" s="179"/>
      <c r="CB1617" s="179"/>
      <c r="CC1617" s="179"/>
      <c r="CD1617" s="179"/>
      <c r="CE1617" s="179"/>
      <c r="CF1617" s="179"/>
      <c r="CG1617"/>
      <c r="CH1617"/>
      <c r="CI1617"/>
      <c r="CJ1617"/>
      <c r="CK1617"/>
      <c r="CL1617"/>
      <c r="CM1617"/>
    </row>
    <row r="1618" spans="1:91" x14ac:dyDescent="0.2">
      <c r="A1618"/>
      <c r="B1618"/>
      <c r="D1618"/>
      <c r="E1618"/>
      <c r="F1618"/>
      <c r="G1618"/>
      <c r="I1618"/>
      <c r="J1618"/>
      <c r="K1618"/>
      <c r="L1618" s="499"/>
      <c r="BX1618" s="769"/>
      <c r="BY1618" s="179"/>
      <c r="BZ1618" s="179"/>
      <c r="CA1618" s="179"/>
      <c r="CB1618" s="179"/>
      <c r="CC1618" s="179"/>
      <c r="CD1618" s="179"/>
      <c r="CE1618" s="179"/>
      <c r="CF1618" s="179"/>
      <c r="CG1618"/>
      <c r="CH1618"/>
      <c r="CI1618"/>
      <c r="CJ1618"/>
      <c r="CK1618"/>
      <c r="CL1618"/>
      <c r="CM1618"/>
    </row>
    <row r="1619" spans="1:91" x14ac:dyDescent="0.2">
      <c r="A1619"/>
      <c r="B1619"/>
      <c r="D1619"/>
      <c r="E1619"/>
      <c r="F1619"/>
      <c r="G1619"/>
      <c r="I1619"/>
      <c r="J1619"/>
      <c r="K1619"/>
      <c r="L1619" s="499"/>
      <c r="BX1619" s="769"/>
      <c r="BY1619" s="179"/>
      <c r="BZ1619" s="179"/>
      <c r="CA1619" s="179"/>
      <c r="CB1619" s="179"/>
      <c r="CC1619" s="179"/>
      <c r="CD1619" s="179"/>
      <c r="CE1619" s="179"/>
      <c r="CF1619" s="179"/>
      <c r="CG1619"/>
      <c r="CH1619"/>
      <c r="CI1619"/>
      <c r="CJ1619"/>
      <c r="CK1619"/>
      <c r="CL1619"/>
      <c r="CM1619"/>
    </row>
    <row r="1620" spans="1:91" x14ac:dyDescent="0.2">
      <c r="A1620"/>
      <c r="B1620"/>
      <c r="D1620"/>
      <c r="E1620"/>
      <c r="F1620"/>
      <c r="G1620"/>
      <c r="I1620"/>
      <c r="J1620"/>
      <c r="K1620"/>
      <c r="L1620" s="499"/>
      <c r="BX1620" s="769"/>
      <c r="BY1620" s="179"/>
      <c r="BZ1620" s="179"/>
      <c r="CA1620" s="179"/>
      <c r="CB1620" s="179"/>
      <c r="CC1620" s="179"/>
      <c r="CD1620" s="179"/>
      <c r="CE1620" s="179"/>
      <c r="CF1620" s="179"/>
      <c r="CG1620"/>
      <c r="CH1620"/>
      <c r="CI1620"/>
      <c r="CJ1620"/>
      <c r="CK1620"/>
      <c r="CL1620"/>
      <c r="CM1620"/>
    </row>
    <row r="1621" spans="1:91" x14ac:dyDescent="0.2">
      <c r="A1621"/>
      <c r="B1621"/>
      <c r="D1621"/>
      <c r="E1621"/>
      <c r="F1621"/>
      <c r="G1621"/>
      <c r="I1621"/>
      <c r="J1621"/>
      <c r="K1621"/>
      <c r="L1621" s="499"/>
      <c r="BX1621" s="769"/>
      <c r="BY1621" s="179"/>
      <c r="BZ1621" s="179"/>
      <c r="CA1621" s="179"/>
      <c r="CB1621" s="179"/>
      <c r="CC1621" s="179"/>
      <c r="CD1621" s="179"/>
      <c r="CE1621" s="179"/>
      <c r="CF1621" s="179"/>
      <c r="CG1621"/>
      <c r="CH1621"/>
      <c r="CI1621"/>
      <c r="CJ1621"/>
      <c r="CK1621"/>
      <c r="CL1621"/>
      <c r="CM1621"/>
    </row>
    <row r="1622" spans="1:91" x14ac:dyDescent="0.2">
      <c r="A1622"/>
      <c r="B1622"/>
      <c r="D1622"/>
      <c r="E1622"/>
      <c r="F1622"/>
      <c r="G1622"/>
      <c r="I1622"/>
      <c r="J1622"/>
      <c r="K1622"/>
      <c r="L1622" s="499"/>
      <c r="BX1622" s="769"/>
      <c r="BY1622" s="179"/>
      <c r="BZ1622" s="179"/>
      <c r="CA1622" s="179"/>
      <c r="CB1622" s="179"/>
      <c r="CC1622" s="179"/>
      <c r="CD1622" s="179"/>
      <c r="CE1622" s="179"/>
      <c r="CF1622" s="179"/>
      <c r="CG1622"/>
      <c r="CH1622"/>
      <c r="CI1622"/>
      <c r="CJ1622"/>
      <c r="CK1622"/>
      <c r="CL1622"/>
      <c r="CM1622"/>
    </row>
    <row r="1623" spans="1:91" x14ac:dyDescent="0.2">
      <c r="A1623"/>
      <c r="B1623"/>
      <c r="D1623"/>
      <c r="E1623"/>
      <c r="F1623"/>
      <c r="G1623"/>
      <c r="I1623"/>
      <c r="J1623"/>
      <c r="K1623"/>
      <c r="L1623" s="499"/>
      <c r="BX1623" s="769"/>
      <c r="BY1623" s="179"/>
      <c r="BZ1623" s="179"/>
      <c r="CA1623" s="179"/>
      <c r="CB1623" s="179"/>
      <c r="CC1623" s="179"/>
      <c r="CD1623" s="179"/>
      <c r="CE1623" s="179"/>
      <c r="CF1623" s="179"/>
      <c r="CG1623"/>
      <c r="CH1623"/>
      <c r="CI1623"/>
      <c r="CJ1623"/>
      <c r="CK1623"/>
      <c r="CL1623"/>
      <c r="CM1623"/>
    </row>
    <row r="1624" spans="1:91" x14ac:dyDescent="0.2">
      <c r="A1624"/>
      <c r="B1624"/>
      <c r="D1624"/>
      <c r="E1624"/>
      <c r="F1624"/>
      <c r="G1624"/>
      <c r="I1624"/>
      <c r="J1624"/>
      <c r="K1624"/>
      <c r="L1624" s="499"/>
      <c r="BX1624" s="769"/>
      <c r="BY1624" s="179"/>
      <c r="BZ1624" s="179"/>
      <c r="CA1624" s="179"/>
      <c r="CB1624" s="179"/>
      <c r="CC1624" s="179"/>
      <c r="CD1624" s="179"/>
      <c r="CE1624" s="179"/>
      <c r="CF1624" s="179"/>
      <c r="CG1624"/>
      <c r="CH1624"/>
      <c r="CI1624"/>
      <c r="CJ1624"/>
      <c r="CK1624"/>
      <c r="CL1624"/>
      <c r="CM1624"/>
    </row>
    <row r="1625" spans="1:91" x14ac:dyDescent="0.2">
      <c r="A1625"/>
      <c r="B1625"/>
      <c r="D1625"/>
      <c r="E1625"/>
      <c r="F1625"/>
      <c r="G1625"/>
      <c r="I1625"/>
      <c r="J1625"/>
      <c r="K1625"/>
      <c r="L1625" s="499"/>
      <c r="BX1625" s="769"/>
      <c r="BY1625" s="179"/>
      <c r="BZ1625" s="179"/>
      <c r="CA1625" s="179"/>
      <c r="CB1625" s="179"/>
      <c r="CC1625" s="179"/>
      <c r="CD1625" s="179"/>
      <c r="CE1625" s="179"/>
      <c r="CF1625" s="179"/>
      <c r="CG1625"/>
      <c r="CH1625"/>
      <c r="CI1625"/>
      <c r="CJ1625"/>
      <c r="CK1625"/>
      <c r="CL1625"/>
      <c r="CM1625"/>
    </row>
    <row r="1626" spans="1:91" x14ac:dyDescent="0.2">
      <c r="A1626"/>
      <c r="B1626"/>
      <c r="D1626"/>
      <c r="E1626"/>
      <c r="F1626"/>
      <c r="G1626"/>
      <c r="I1626"/>
      <c r="J1626"/>
      <c r="K1626"/>
      <c r="L1626" s="499"/>
      <c r="BX1626" s="769"/>
      <c r="BY1626" s="179"/>
      <c r="BZ1626" s="179"/>
      <c r="CA1626" s="179"/>
      <c r="CB1626" s="179"/>
      <c r="CC1626" s="179"/>
      <c r="CD1626" s="179"/>
      <c r="CE1626" s="179"/>
      <c r="CF1626" s="179"/>
      <c r="CG1626"/>
      <c r="CH1626"/>
      <c r="CI1626"/>
      <c r="CJ1626"/>
      <c r="CK1626"/>
      <c r="CL1626"/>
      <c r="CM1626"/>
    </row>
    <row r="1627" spans="1:91" x14ac:dyDescent="0.2">
      <c r="A1627"/>
      <c r="B1627"/>
      <c r="D1627"/>
      <c r="E1627"/>
      <c r="F1627"/>
      <c r="G1627"/>
      <c r="I1627"/>
      <c r="J1627"/>
      <c r="K1627"/>
      <c r="L1627" s="499"/>
      <c r="BX1627" s="769"/>
      <c r="BY1627" s="179"/>
      <c r="BZ1627" s="179"/>
      <c r="CA1627" s="179"/>
      <c r="CB1627" s="179"/>
      <c r="CC1627" s="179"/>
      <c r="CD1627" s="179"/>
      <c r="CE1627" s="179"/>
      <c r="CF1627" s="179"/>
      <c r="CG1627"/>
      <c r="CH1627"/>
      <c r="CI1627"/>
      <c r="CJ1627"/>
      <c r="CK1627"/>
      <c r="CL1627"/>
      <c r="CM1627"/>
    </row>
    <row r="1628" spans="1:91" x14ac:dyDescent="0.2">
      <c r="A1628"/>
      <c r="B1628"/>
      <c r="D1628"/>
      <c r="E1628"/>
      <c r="F1628"/>
      <c r="G1628"/>
      <c r="I1628"/>
      <c r="J1628"/>
      <c r="K1628"/>
      <c r="L1628" s="499"/>
      <c r="BX1628" s="769"/>
      <c r="BY1628" s="179"/>
      <c r="BZ1628" s="179"/>
      <c r="CA1628" s="179"/>
      <c r="CB1628" s="179"/>
      <c r="CC1628" s="179"/>
      <c r="CD1628" s="179"/>
      <c r="CE1628" s="179"/>
      <c r="CF1628" s="179"/>
      <c r="CG1628"/>
      <c r="CH1628"/>
      <c r="CI1628"/>
      <c r="CJ1628"/>
      <c r="CK1628"/>
      <c r="CL1628"/>
      <c r="CM1628"/>
    </row>
    <row r="1629" spans="1:91" x14ac:dyDescent="0.2">
      <c r="A1629"/>
      <c r="B1629"/>
      <c r="D1629"/>
      <c r="E1629"/>
      <c r="F1629"/>
      <c r="G1629"/>
      <c r="I1629"/>
      <c r="J1629"/>
      <c r="K1629"/>
      <c r="L1629" s="499"/>
      <c r="BX1629" s="769"/>
      <c r="BY1629" s="179"/>
      <c r="BZ1629" s="179"/>
      <c r="CA1629" s="179"/>
      <c r="CB1629" s="179"/>
      <c r="CC1629" s="179"/>
      <c r="CD1629" s="179"/>
      <c r="CE1629" s="179"/>
      <c r="CF1629" s="179"/>
      <c r="CG1629"/>
      <c r="CH1629"/>
      <c r="CI1629"/>
      <c r="CJ1629"/>
      <c r="CK1629"/>
      <c r="CL1629"/>
      <c r="CM1629"/>
    </row>
    <row r="1630" spans="1:91" x14ac:dyDescent="0.2">
      <c r="A1630"/>
      <c r="B1630"/>
      <c r="D1630"/>
      <c r="E1630"/>
      <c r="F1630"/>
      <c r="G1630"/>
      <c r="I1630"/>
      <c r="J1630"/>
      <c r="K1630"/>
      <c r="L1630" s="499"/>
      <c r="BX1630" s="769"/>
      <c r="BY1630" s="179"/>
      <c r="BZ1630" s="179"/>
      <c r="CA1630" s="179"/>
      <c r="CB1630" s="179"/>
      <c r="CC1630" s="179"/>
      <c r="CD1630" s="179"/>
      <c r="CE1630" s="179"/>
      <c r="CF1630" s="179"/>
      <c r="CG1630"/>
      <c r="CH1630"/>
      <c r="CI1630"/>
      <c r="CJ1630"/>
      <c r="CK1630"/>
      <c r="CL1630"/>
      <c r="CM1630"/>
    </row>
    <row r="1631" spans="1:91" x14ac:dyDescent="0.2">
      <c r="A1631"/>
      <c r="B1631"/>
      <c r="D1631"/>
      <c r="E1631"/>
      <c r="F1631"/>
      <c r="G1631"/>
      <c r="I1631"/>
      <c r="J1631"/>
      <c r="K1631"/>
      <c r="L1631" s="499"/>
      <c r="BX1631" s="769"/>
      <c r="BY1631" s="179"/>
      <c r="BZ1631" s="179"/>
      <c r="CA1631" s="179"/>
      <c r="CB1631" s="179"/>
      <c r="CC1631" s="179"/>
      <c r="CD1631" s="179"/>
      <c r="CE1631" s="179"/>
      <c r="CF1631" s="179"/>
      <c r="CG1631"/>
      <c r="CH1631"/>
      <c r="CI1631"/>
      <c r="CJ1631"/>
      <c r="CK1631"/>
      <c r="CL1631"/>
      <c r="CM1631"/>
    </row>
    <row r="1632" spans="1:91" x14ac:dyDescent="0.2">
      <c r="A1632"/>
      <c r="B1632"/>
      <c r="D1632"/>
      <c r="E1632"/>
      <c r="F1632"/>
      <c r="G1632"/>
      <c r="I1632"/>
      <c r="J1632"/>
      <c r="K1632"/>
      <c r="L1632" s="499"/>
      <c r="BX1632" s="769"/>
      <c r="BY1632" s="179"/>
      <c r="BZ1632" s="179"/>
      <c r="CA1632" s="179"/>
      <c r="CB1632" s="179"/>
      <c r="CC1632" s="179"/>
      <c r="CD1632" s="179"/>
      <c r="CE1632" s="179"/>
      <c r="CF1632" s="179"/>
      <c r="CG1632"/>
      <c r="CH1632"/>
      <c r="CI1632"/>
      <c r="CJ1632"/>
      <c r="CK1632"/>
      <c r="CL1632"/>
      <c r="CM1632"/>
    </row>
    <row r="1633" spans="1:91" x14ac:dyDescent="0.2">
      <c r="A1633"/>
      <c r="B1633"/>
      <c r="D1633"/>
      <c r="E1633"/>
      <c r="F1633"/>
      <c r="G1633"/>
      <c r="I1633"/>
      <c r="J1633"/>
      <c r="K1633"/>
      <c r="L1633" s="499"/>
      <c r="BX1633" s="769"/>
      <c r="BY1633" s="179"/>
      <c r="BZ1633" s="179"/>
      <c r="CA1633" s="179"/>
      <c r="CB1633" s="179"/>
      <c r="CC1633" s="179"/>
      <c r="CD1633" s="179"/>
      <c r="CE1633" s="179"/>
      <c r="CF1633" s="179"/>
      <c r="CG1633"/>
      <c r="CH1633"/>
      <c r="CI1633"/>
      <c r="CJ1633"/>
      <c r="CK1633"/>
      <c r="CL1633"/>
      <c r="CM1633"/>
    </row>
    <row r="1634" spans="1:91" x14ac:dyDescent="0.2">
      <c r="A1634"/>
      <c r="B1634"/>
      <c r="D1634"/>
      <c r="E1634"/>
      <c r="F1634"/>
      <c r="G1634"/>
      <c r="I1634"/>
      <c r="J1634"/>
      <c r="K1634"/>
      <c r="L1634" s="499"/>
      <c r="BX1634" s="769"/>
      <c r="BY1634" s="179"/>
      <c r="BZ1634" s="179"/>
      <c r="CA1634" s="179"/>
      <c r="CB1634" s="179"/>
      <c r="CC1634" s="179"/>
      <c r="CD1634" s="179"/>
      <c r="CE1634" s="179"/>
      <c r="CF1634" s="179"/>
      <c r="CG1634"/>
      <c r="CH1634"/>
      <c r="CI1634"/>
      <c r="CJ1634"/>
      <c r="CK1634"/>
      <c r="CL1634"/>
      <c r="CM1634"/>
    </row>
    <row r="1635" spans="1:91" x14ac:dyDescent="0.2">
      <c r="A1635"/>
      <c r="B1635"/>
      <c r="D1635"/>
      <c r="E1635"/>
      <c r="F1635"/>
      <c r="G1635"/>
      <c r="I1635"/>
      <c r="J1635"/>
      <c r="K1635"/>
      <c r="L1635" s="499"/>
      <c r="BX1635" s="769"/>
      <c r="BY1635" s="179"/>
      <c r="BZ1635" s="179"/>
      <c r="CA1635" s="179"/>
      <c r="CB1635" s="179"/>
      <c r="CC1635" s="179"/>
      <c r="CD1635" s="179"/>
      <c r="CE1635" s="179"/>
      <c r="CF1635" s="179"/>
      <c r="CG1635"/>
      <c r="CH1635"/>
      <c r="CI1635"/>
      <c r="CJ1635"/>
      <c r="CK1635"/>
      <c r="CL1635"/>
      <c r="CM1635"/>
    </row>
    <row r="1636" spans="1:91" x14ac:dyDescent="0.2">
      <c r="A1636"/>
      <c r="B1636"/>
      <c r="D1636"/>
      <c r="E1636"/>
      <c r="F1636"/>
      <c r="G1636"/>
      <c r="I1636"/>
      <c r="J1636"/>
      <c r="K1636"/>
      <c r="L1636" s="499"/>
      <c r="BX1636" s="769"/>
      <c r="BY1636" s="179"/>
      <c r="BZ1636" s="179"/>
      <c r="CA1636" s="179"/>
      <c r="CB1636" s="179"/>
      <c r="CC1636" s="179"/>
      <c r="CD1636" s="179"/>
      <c r="CE1636" s="179"/>
      <c r="CF1636" s="179"/>
      <c r="CG1636"/>
      <c r="CH1636"/>
      <c r="CI1636"/>
      <c r="CJ1636"/>
      <c r="CK1636"/>
      <c r="CL1636"/>
      <c r="CM1636"/>
    </row>
    <row r="1637" spans="1:91" x14ac:dyDescent="0.2">
      <c r="A1637"/>
      <c r="B1637"/>
      <c r="D1637"/>
      <c r="E1637"/>
      <c r="F1637"/>
      <c r="G1637"/>
      <c r="I1637"/>
      <c r="J1637"/>
      <c r="K1637"/>
      <c r="L1637" s="499"/>
      <c r="BX1637" s="769"/>
      <c r="BY1637" s="179"/>
      <c r="BZ1637" s="179"/>
      <c r="CA1637" s="179"/>
      <c r="CB1637" s="179"/>
      <c r="CC1637" s="179"/>
      <c r="CD1637" s="179"/>
      <c r="CE1637" s="179"/>
      <c r="CF1637" s="179"/>
      <c r="CG1637"/>
      <c r="CH1637"/>
      <c r="CI1637"/>
      <c r="CJ1637"/>
      <c r="CK1637"/>
      <c r="CL1637"/>
      <c r="CM1637"/>
    </row>
    <row r="1638" spans="1:91" x14ac:dyDescent="0.2">
      <c r="A1638"/>
      <c r="B1638"/>
      <c r="D1638"/>
      <c r="E1638"/>
      <c r="F1638"/>
      <c r="G1638"/>
      <c r="I1638"/>
      <c r="J1638"/>
      <c r="K1638"/>
      <c r="L1638" s="499"/>
      <c r="BX1638" s="769"/>
      <c r="BY1638" s="179"/>
      <c r="BZ1638" s="179"/>
      <c r="CA1638" s="179"/>
      <c r="CB1638" s="179"/>
      <c r="CC1638" s="179"/>
      <c r="CD1638" s="179"/>
      <c r="CE1638" s="179"/>
      <c r="CF1638" s="179"/>
      <c r="CG1638"/>
      <c r="CH1638"/>
      <c r="CI1638"/>
      <c r="CJ1638"/>
      <c r="CK1638"/>
      <c r="CL1638"/>
      <c r="CM1638"/>
    </row>
    <row r="1639" spans="1:91" x14ac:dyDescent="0.2">
      <c r="A1639"/>
      <c r="B1639"/>
      <c r="D1639"/>
      <c r="E1639"/>
      <c r="F1639"/>
      <c r="G1639"/>
      <c r="I1639"/>
      <c r="J1639"/>
      <c r="K1639"/>
      <c r="L1639" s="499"/>
      <c r="BX1639" s="769"/>
      <c r="BY1639" s="179"/>
      <c r="BZ1639" s="179"/>
      <c r="CA1639" s="179"/>
      <c r="CB1639" s="179"/>
      <c r="CC1639" s="179"/>
      <c r="CD1639" s="179"/>
      <c r="CE1639" s="179"/>
      <c r="CF1639" s="179"/>
      <c r="CG1639"/>
      <c r="CH1639"/>
      <c r="CI1639"/>
      <c r="CJ1639"/>
      <c r="CK1639"/>
      <c r="CL1639"/>
      <c r="CM1639"/>
    </row>
    <row r="1640" spans="1:91" x14ac:dyDescent="0.2">
      <c r="A1640"/>
      <c r="B1640"/>
      <c r="D1640"/>
      <c r="E1640"/>
      <c r="F1640"/>
      <c r="G1640"/>
      <c r="I1640"/>
      <c r="J1640"/>
      <c r="K1640"/>
      <c r="L1640" s="499"/>
      <c r="BX1640" s="769"/>
      <c r="BY1640" s="179"/>
      <c r="BZ1640" s="179"/>
      <c r="CA1640" s="179"/>
      <c r="CB1640" s="179"/>
      <c r="CC1640" s="179"/>
      <c r="CD1640" s="179"/>
      <c r="CE1640" s="179"/>
      <c r="CF1640" s="179"/>
      <c r="CG1640"/>
      <c r="CH1640"/>
      <c r="CI1640"/>
      <c r="CJ1640"/>
      <c r="CK1640"/>
      <c r="CL1640"/>
      <c r="CM1640"/>
    </row>
    <row r="1641" spans="1:91" x14ac:dyDescent="0.2">
      <c r="A1641"/>
      <c r="B1641"/>
      <c r="D1641"/>
      <c r="E1641"/>
      <c r="F1641"/>
      <c r="G1641"/>
      <c r="I1641"/>
      <c r="J1641"/>
      <c r="K1641"/>
      <c r="L1641" s="499"/>
      <c r="BX1641" s="769"/>
      <c r="BY1641" s="179"/>
      <c r="BZ1641" s="179"/>
      <c r="CA1641" s="179"/>
      <c r="CB1641" s="179"/>
      <c r="CC1641" s="179"/>
      <c r="CD1641" s="179"/>
      <c r="CE1641" s="179"/>
      <c r="CF1641" s="179"/>
      <c r="CG1641"/>
      <c r="CH1641"/>
      <c r="CI1641"/>
      <c r="CJ1641"/>
      <c r="CK1641"/>
      <c r="CL1641"/>
      <c r="CM1641"/>
    </row>
    <row r="1642" spans="1:91" x14ac:dyDescent="0.2">
      <c r="A1642"/>
      <c r="B1642"/>
      <c r="D1642"/>
      <c r="E1642"/>
      <c r="F1642"/>
      <c r="G1642"/>
      <c r="I1642"/>
      <c r="J1642"/>
      <c r="K1642"/>
      <c r="L1642" s="499"/>
      <c r="BX1642" s="769"/>
      <c r="BY1642" s="179"/>
      <c r="BZ1642" s="179"/>
      <c r="CA1642" s="179"/>
      <c r="CB1642" s="179"/>
      <c r="CC1642" s="179"/>
      <c r="CD1642" s="179"/>
      <c r="CE1642" s="179"/>
      <c r="CF1642" s="179"/>
      <c r="CG1642"/>
      <c r="CH1642"/>
      <c r="CI1642"/>
      <c r="CJ1642"/>
      <c r="CK1642"/>
      <c r="CL1642"/>
      <c r="CM1642"/>
    </row>
    <row r="1643" spans="1:91" x14ac:dyDescent="0.2">
      <c r="A1643"/>
      <c r="B1643"/>
      <c r="D1643"/>
      <c r="E1643"/>
      <c r="F1643"/>
      <c r="G1643"/>
      <c r="I1643"/>
      <c r="J1643"/>
      <c r="K1643"/>
      <c r="L1643" s="499"/>
      <c r="BX1643" s="769"/>
      <c r="BY1643" s="179"/>
      <c r="BZ1643" s="179"/>
      <c r="CA1643" s="179"/>
      <c r="CB1643" s="179"/>
      <c r="CC1643" s="179"/>
      <c r="CD1643" s="179"/>
      <c r="CE1643" s="179"/>
      <c r="CF1643" s="179"/>
      <c r="CG1643"/>
      <c r="CH1643"/>
      <c r="CI1643"/>
      <c r="CJ1643"/>
      <c r="CK1643"/>
      <c r="CL1643"/>
      <c r="CM1643"/>
    </row>
    <row r="1644" spans="1:91" x14ac:dyDescent="0.2">
      <c r="A1644"/>
      <c r="B1644"/>
      <c r="D1644"/>
      <c r="E1644"/>
      <c r="F1644"/>
      <c r="G1644"/>
      <c r="I1644"/>
      <c r="J1644"/>
      <c r="K1644"/>
      <c r="L1644" s="499"/>
      <c r="BX1644" s="769"/>
      <c r="BY1644" s="179"/>
      <c r="BZ1644" s="179"/>
      <c r="CA1644" s="179"/>
      <c r="CB1644" s="179"/>
      <c r="CC1644" s="179"/>
      <c r="CD1644" s="179"/>
      <c r="CE1644" s="179"/>
      <c r="CF1644" s="179"/>
      <c r="CG1644"/>
      <c r="CH1644"/>
      <c r="CI1644"/>
      <c r="CJ1644"/>
      <c r="CK1644"/>
      <c r="CL1644"/>
      <c r="CM1644"/>
    </row>
    <row r="1645" spans="1:91" x14ac:dyDescent="0.2">
      <c r="A1645"/>
      <c r="B1645"/>
      <c r="D1645"/>
      <c r="E1645"/>
      <c r="F1645"/>
      <c r="G1645"/>
      <c r="I1645"/>
      <c r="J1645"/>
      <c r="K1645"/>
      <c r="L1645" s="499"/>
      <c r="BX1645" s="769"/>
      <c r="BY1645" s="179"/>
      <c r="BZ1645" s="179"/>
      <c r="CA1645" s="179"/>
      <c r="CB1645" s="179"/>
      <c r="CC1645" s="179"/>
      <c r="CD1645" s="179"/>
      <c r="CE1645" s="179"/>
      <c r="CF1645" s="179"/>
      <c r="CG1645"/>
      <c r="CH1645"/>
      <c r="CI1645"/>
      <c r="CJ1645"/>
      <c r="CK1645"/>
      <c r="CL1645"/>
      <c r="CM1645"/>
    </row>
    <row r="1646" spans="1:91" x14ac:dyDescent="0.2">
      <c r="A1646"/>
      <c r="B1646"/>
      <c r="D1646"/>
      <c r="E1646"/>
      <c r="F1646"/>
      <c r="G1646"/>
      <c r="I1646"/>
      <c r="J1646"/>
      <c r="K1646"/>
      <c r="L1646" s="499"/>
      <c r="BX1646" s="769"/>
      <c r="BY1646" s="179"/>
      <c r="BZ1646" s="179"/>
      <c r="CA1646" s="179"/>
      <c r="CB1646" s="179"/>
      <c r="CC1646" s="179"/>
      <c r="CD1646" s="179"/>
      <c r="CE1646" s="179"/>
      <c r="CF1646" s="179"/>
      <c r="CG1646"/>
      <c r="CH1646"/>
      <c r="CI1646"/>
      <c r="CJ1646"/>
      <c r="CK1646"/>
      <c r="CL1646"/>
      <c r="CM1646"/>
    </row>
    <row r="1647" spans="1:91" x14ac:dyDescent="0.2">
      <c r="A1647"/>
      <c r="B1647"/>
      <c r="D1647"/>
      <c r="E1647"/>
      <c r="F1647"/>
      <c r="G1647"/>
      <c r="I1647"/>
      <c r="J1647"/>
      <c r="K1647"/>
      <c r="L1647" s="499"/>
      <c r="BX1647" s="769"/>
      <c r="BY1647" s="179"/>
      <c r="BZ1647" s="179"/>
      <c r="CA1647" s="179"/>
      <c r="CB1647" s="179"/>
      <c r="CC1647" s="179"/>
      <c r="CD1647" s="179"/>
      <c r="CE1647" s="179"/>
      <c r="CF1647" s="179"/>
      <c r="CG1647"/>
      <c r="CH1647"/>
      <c r="CI1647"/>
      <c r="CJ1647"/>
      <c r="CK1647"/>
      <c r="CL1647"/>
      <c r="CM1647"/>
    </row>
    <row r="1648" spans="1:91" x14ac:dyDescent="0.2">
      <c r="A1648"/>
      <c r="B1648"/>
      <c r="D1648"/>
      <c r="E1648"/>
      <c r="F1648"/>
      <c r="G1648"/>
      <c r="I1648"/>
      <c r="J1648"/>
      <c r="K1648"/>
      <c r="L1648" s="499"/>
      <c r="BX1648" s="769"/>
      <c r="BY1648" s="179"/>
      <c r="BZ1648" s="179"/>
      <c r="CA1648" s="179"/>
      <c r="CB1648" s="179"/>
      <c r="CC1648" s="179"/>
      <c r="CD1648" s="179"/>
      <c r="CE1648" s="179"/>
      <c r="CF1648" s="179"/>
      <c r="CG1648"/>
      <c r="CH1648"/>
      <c r="CI1648"/>
      <c r="CJ1648"/>
      <c r="CK1648"/>
      <c r="CL1648"/>
      <c r="CM1648"/>
    </row>
    <row r="1649" spans="1:91" x14ac:dyDescent="0.2">
      <c r="A1649"/>
      <c r="B1649"/>
      <c r="D1649"/>
      <c r="E1649"/>
      <c r="F1649"/>
      <c r="G1649"/>
      <c r="I1649"/>
      <c r="J1649"/>
      <c r="K1649"/>
      <c r="L1649" s="499"/>
      <c r="BX1649" s="769"/>
      <c r="BY1649" s="179"/>
      <c r="BZ1649" s="179"/>
      <c r="CA1649" s="179"/>
      <c r="CB1649" s="179"/>
      <c r="CC1649" s="179"/>
      <c r="CD1649" s="179"/>
      <c r="CE1649" s="179"/>
      <c r="CF1649" s="179"/>
      <c r="CG1649"/>
      <c r="CH1649"/>
      <c r="CI1649"/>
      <c r="CJ1649"/>
      <c r="CK1649"/>
      <c r="CL1649"/>
      <c r="CM1649"/>
    </row>
    <row r="1650" spans="1:91" x14ac:dyDescent="0.2">
      <c r="A1650"/>
      <c r="B1650"/>
      <c r="D1650"/>
      <c r="E1650"/>
      <c r="F1650"/>
      <c r="G1650"/>
      <c r="I1650"/>
      <c r="J1650"/>
      <c r="K1650"/>
      <c r="L1650" s="499"/>
      <c r="BX1650" s="769"/>
      <c r="BY1650" s="179"/>
      <c r="BZ1650" s="179"/>
      <c r="CA1650" s="179"/>
      <c r="CB1650" s="179"/>
      <c r="CC1650" s="179"/>
      <c r="CD1650" s="179"/>
      <c r="CE1650" s="179"/>
      <c r="CF1650" s="179"/>
      <c r="CG1650"/>
      <c r="CH1650"/>
      <c r="CI1650"/>
      <c r="CJ1650"/>
      <c r="CK1650"/>
      <c r="CL1650"/>
      <c r="CM1650"/>
    </row>
    <row r="1651" spans="1:91" x14ac:dyDescent="0.2">
      <c r="A1651"/>
      <c r="B1651"/>
      <c r="D1651"/>
      <c r="E1651"/>
      <c r="F1651"/>
      <c r="G1651"/>
      <c r="I1651"/>
      <c r="J1651"/>
      <c r="K1651"/>
      <c r="L1651" s="499"/>
      <c r="BX1651" s="769"/>
      <c r="BY1651" s="179"/>
      <c r="BZ1651" s="179"/>
      <c r="CA1651" s="179"/>
      <c r="CB1651" s="179"/>
      <c r="CC1651" s="179"/>
      <c r="CD1651" s="179"/>
      <c r="CE1651" s="179"/>
      <c r="CF1651" s="179"/>
      <c r="CG1651"/>
      <c r="CH1651"/>
      <c r="CI1651"/>
      <c r="CJ1651"/>
      <c r="CK1651"/>
      <c r="CL1651"/>
      <c r="CM1651"/>
    </row>
    <row r="1652" spans="1:91" x14ac:dyDescent="0.2">
      <c r="A1652"/>
      <c r="B1652"/>
      <c r="D1652"/>
      <c r="E1652"/>
      <c r="F1652"/>
      <c r="G1652"/>
      <c r="I1652"/>
      <c r="J1652"/>
      <c r="K1652"/>
      <c r="L1652" s="499"/>
      <c r="BX1652" s="769"/>
      <c r="BY1652" s="179"/>
      <c r="BZ1652" s="179"/>
      <c r="CA1652" s="179"/>
      <c r="CB1652" s="179"/>
      <c r="CC1652" s="179"/>
      <c r="CD1652" s="179"/>
      <c r="CE1652" s="179"/>
      <c r="CF1652" s="179"/>
      <c r="CG1652"/>
      <c r="CH1652"/>
      <c r="CI1652"/>
      <c r="CJ1652"/>
      <c r="CK1652"/>
      <c r="CL1652"/>
      <c r="CM1652"/>
    </row>
    <row r="1653" spans="1:91" x14ac:dyDescent="0.2">
      <c r="A1653"/>
      <c r="B1653"/>
      <c r="D1653"/>
      <c r="E1653"/>
      <c r="F1653"/>
      <c r="G1653"/>
      <c r="I1653"/>
      <c r="J1653"/>
      <c r="K1653"/>
      <c r="L1653" s="499"/>
      <c r="BX1653" s="769"/>
      <c r="BY1653" s="179"/>
      <c r="BZ1653" s="179"/>
      <c r="CA1653" s="179"/>
      <c r="CB1653" s="179"/>
      <c r="CC1653" s="179"/>
      <c r="CD1653" s="179"/>
      <c r="CE1653" s="179"/>
      <c r="CF1653" s="179"/>
      <c r="CG1653"/>
      <c r="CH1653"/>
      <c r="CI1653"/>
      <c r="CJ1653"/>
      <c r="CK1653"/>
      <c r="CL1653"/>
      <c r="CM1653"/>
    </row>
    <row r="1654" spans="1:91" x14ac:dyDescent="0.2">
      <c r="A1654"/>
      <c r="B1654"/>
      <c r="D1654"/>
      <c r="E1654"/>
      <c r="F1654"/>
      <c r="G1654"/>
      <c r="I1654"/>
      <c r="J1654"/>
      <c r="K1654"/>
      <c r="L1654" s="499"/>
      <c r="BX1654" s="769"/>
      <c r="BY1654" s="179"/>
      <c r="BZ1654" s="179"/>
      <c r="CA1654" s="179"/>
      <c r="CB1654" s="179"/>
      <c r="CC1654" s="179"/>
      <c r="CD1654" s="179"/>
      <c r="CE1654" s="179"/>
      <c r="CF1654" s="179"/>
      <c r="CG1654"/>
      <c r="CH1654"/>
      <c r="CI1654"/>
      <c r="CJ1654"/>
      <c r="CK1654"/>
      <c r="CL1654"/>
      <c r="CM1654"/>
    </row>
    <row r="1655" spans="1:91" x14ac:dyDescent="0.2">
      <c r="A1655"/>
      <c r="B1655"/>
      <c r="D1655"/>
      <c r="E1655"/>
      <c r="F1655"/>
      <c r="G1655"/>
      <c r="I1655"/>
      <c r="J1655"/>
      <c r="K1655"/>
      <c r="L1655" s="499"/>
      <c r="BX1655" s="769"/>
      <c r="BY1655" s="179"/>
      <c r="BZ1655" s="179"/>
      <c r="CA1655" s="179"/>
      <c r="CB1655" s="179"/>
      <c r="CC1655" s="179"/>
      <c r="CD1655" s="179"/>
      <c r="CE1655" s="179"/>
      <c r="CF1655" s="179"/>
      <c r="CG1655"/>
      <c r="CH1655"/>
      <c r="CI1655"/>
      <c r="CJ1655"/>
      <c r="CK1655"/>
      <c r="CL1655"/>
      <c r="CM1655"/>
    </row>
    <row r="1656" spans="1:91" x14ac:dyDescent="0.2">
      <c r="A1656"/>
      <c r="B1656"/>
      <c r="D1656"/>
      <c r="E1656"/>
      <c r="F1656"/>
      <c r="G1656"/>
      <c r="I1656"/>
      <c r="J1656"/>
      <c r="K1656"/>
      <c r="L1656" s="499"/>
      <c r="BX1656" s="769"/>
      <c r="BY1656" s="179"/>
      <c r="BZ1656" s="179"/>
      <c r="CA1656" s="179"/>
      <c r="CB1656" s="179"/>
      <c r="CC1656" s="179"/>
      <c r="CD1656" s="179"/>
      <c r="CE1656" s="179"/>
      <c r="CF1656" s="179"/>
      <c r="CG1656"/>
      <c r="CH1656"/>
      <c r="CI1656"/>
      <c r="CJ1656"/>
      <c r="CK1656"/>
      <c r="CL1656"/>
      <c r="CM1656"/>
    </row>
    <row r="1657" spans="1:91" x14ac:dyDescent="0.2">
      <c r="A1657"/>
      <c r="B1657"/>
      <c r="D1657"/>
      <c r="E1657"/>
      <c r="F1657"/>
      <c r="G1657"/>
      <c r="I1657"/>
      <c r="J1657"/>
      <c r="K1657"/>
      <c r="L1657" s="499"/>
      <c r="BX1657" s="769"/>
      <c r="BY1657" s="179"/>
      <c r="BZ1657" s="179"/>
      <c r="CA1657" s="179"/>
      <c r="CB1657" s="179"/>
      <c r="CC1657" s="179"/>
      <c r="CD1657" s="179"/>
      <c r="CE1657" s="179"/>
      <c r="CF1657" s="179"/>
      <c r="CG1657"/>
      <c r="CH1657"/>
      <c r="CI1657"/>
      <c r="CJ1657"/>
      <c r="CK1657"/>
      <c r="CL1657"/>
      <c r="CM1657"/>
    </row>
    <row r="1658" spans="1:91" x14ac:dyDescent="0.2">
      <c r="A1658"/>
      <c r="B1658"/>
      <c r="D1658"/>
      <c r="E1658"/>
      <c r="F1658"/>
      <c r="G1658"/>
      <c r="I1658"/>
      <c r="J1658"/>
      <c r="K1658"/>
      <c r="L1658" s="499"/>
      <c r="BX1658" s="769"/>
      <c r="BY1658" s="179"/>
      <c r="BZ1658" s="179"/>
      <c r="CA1658" s="179"/>
      <c r="CB1658" s="179"/>
      <c r="CC1658" s="179"/>
      <c r="CD1658" s="179"/>
      <c r="CE1658" s="179"/>
      <c r="CF1658" s="179"/>
      <c r="CG1658"/>
      <c r="CH1658"/>
      <c r="CI1658"/>
      <c r="CJ1658"/>
      <c r="CK1658"/>
      <c r="CL1658"/>
      <c r="CM1658"/>
    </row>
    <row r="1659" spans="1:91" x14ac:dyDescent="0.2">
      <c r="A1659"/>
      <c r="B1659"/>
      <c r="D1659"/>
      <c r="E1659"/>
      <c r="F1659"/>
      <c r="G1659"/>
      <c r="I1659"/>
      <c r="J1659"/>
      <c r="K1659"/>
      <c r="L1659" s="499"/>
      <c r="BX1659" s="769"/>
      <c r="BY1659" s="179"/>
      <c r="BZ1659" s="179"/>
      <c r="CA1659" s="179"/>
      <c r="CB1659" s="179"/>
      <c r="CC1659" s="179"/>
      <c r="CD1659" s="179"/>
      <c r="CE1659" s="179"/>
      <c r="CF1659" s="179"/>
      <c r="CG1659"/>
      <c r="CH1659"/>
      <c r="CI1659"/>
      <c r="CJ1659"/>
      <c r="CK1659"/>
      <c r="CL1659"/>
      <c r="CM1659"/>
    </row>
    <row r="1660" spans="1:91" x14ac:dyDescent="0.2">
      <c r="A1660"/>
      <c r="B1660"/>
      <c r="D1660"/>
      <c r="E1660"/>
      <c r="F1660"/>
      <c r="G1660"/>
      <c r="I1660"/>
      <c r="J1660"/>
      <c r="K1660"/>
      <c r="L1660" s="499"/>
      <c r="BX1660" s="769"/>
      <c r="BY1660" s="179"/>
      <c r="BZ1660" s="179"/>
      <c r="CA1660" s="179"/>
      <c r="CB1660" s="179"/>
      <c r="CC1660" s="179"/>
      <c r="CD1660" s="179"/>
      <c r="CE1660" s="179"/>
      <c r="CF1660" s="179"/>
      <c r="CG1660"/>
      <c r="CH1660"/>
      <c r="CI1660"/>
      <c r="CJ1660"/>
      <c r="CK1660"/>
      <c r="CL1660"/>
      <c r="CM1660"/>
    </row>
    <row r="1661" spans="1:91" x14ac:dyDescent="0.2">
      <c r="A1661"/>
      <c r="B1661"/>
      <c r="D1661"/>
      <c r="E1661"/>
      <c r="F1661"/>
      <c r="G1661"/>
      <c r="I1661"/>
      <c r="J1661"/>
      <c r="K1661"/>
      <c r="L1661" s="499"/>
      <c r="BX1661" s="769"/>
      <c r="BY1661" s="179"/>
      <c r="BZ1661" s="179"/>
      <c r="CA1661" s="179"/>
      <c r="CB1661" s="179"/>
      <c r="CC1661" s="179"/>
      <c r="CD1661" s="179"/>
      <c r="CE1661" s="179"/>
      <c r="CF1661" s="179"/>
      <c r="CG1661"/>
      <c r="CH1661"/>
      <c r="CI1661"/>
      <c r="CJ1661"/>
      <c r="CK1661"/>
      <c r="CL1661"/>
      <c r="CM1661"/>
    </row>
    <row r="1662" spans="1:91" x14ac:dyDescent="0.2">
      <c r="A1662"/>
      <c r="B1662"/>
      <c r="D1662"/>
      <c r="E1662"/>
      <c r="F1662"/>
      <c r="G1662"/>
      <c r="I1662"/>
      <c r="J1662"/>
      <c r="K1662"/>
      <c r="L1662" s="499"/>
      <c r="BX1662" s="769"/>
      <c r="BY1662" s="179"/>
      <c r="BZ1662" s="179"/>
      <c r="CA1662" s="179"/>
      <c r="CB1662" s="179"/>
      <c r="CC1662" s="179"/>
      <c r="CD1662" s="179"/>
      <c r="CE1662" s="179"/>
      <c r="CF1662" s="179"/>
      <c r="CG1662"/>
      <c r="CH1662"/>
      <c r="CI1662"/>
      <c r="CJ1662"/>
      <c r="CK1662"/>
      <c r="CL1662"/>
      <c r="CM1662"/>
    </row>
    <row r="1663" spans="1:91" x14ac:dyDescent="0.2">
      <c r="A1663"/>
      <c r="B1663"/>
      <c r="D1663"/>
      <c r="E1663"/>
      <c r="F1663"/>
      <c r="G1663"/>
      <c r="I1663"/>
      <c r="J1663"/>
      <c r="K1663"/>
      <c r="L1663" s="499"/>
      <c r="BX1663" s="769"/>
      <c r="BY1663" s="179"/>
      <c r="BZ1663" s="179"/>
      <c r="CA1663" s="179"/>
      <c r="CB1663" s="179"/>
      <c r="CC1663" s="179"/>
      <c r="CD1663" s="179"/>
      <c r="CE1663" s="179"/>
      <c r="CF1663" s="179"/>
      <c r="CG1663"/>
      <c r="CH1663"/>
      <c r="CI1663"/>
      <c r="CJ1663"/>
      <c r="CK1663"/>
      <c r="CL1663"/>
      <c r="CM1663"/>
    </row>
    <row r="1664" spans="1:91" x14ac:dyDescent="0.2">
      <c r="A1664"/>
      <c r="B1664"/>
      <c r="D1664"/>
      <c r="E1664"/>
      <c r="F1664"/>
      <c r="G1664"/>
      <c r="I1664"/>
      <c r="J1664"/>
      <c r="K1664"/>
      <c r="L1664" s="499"/>
      <c r="BX1664" s="769"/>
      <c r="BY1664" s="179"/>
      <c r="BZ1664" s="179"/>
      <c r="CA1664" s="179"/>
      <c r="CB1664" s="179"/>
      <c r="CC1664" s="179"/>
      <c r="CD1664" s="179"/>
      <c r="CE1664" s="179"/>
      <c r="CF1664" s="179"/>
      <c r="CG1664"/>
      <c r="CH1664"/>
      <c r="CI1664"/>
      <c r="CJ1664"/>
      <c r="CK1664"/>
      <c r="CL1664"/>
      <c r="CM1664"/>
    </row>
    <row r="1665" spans="1:91" x14ac:dyDescent="0.2">
      <c r="A1665"/>
      <c r="B1665"/>
      <c r="D1665"/>
      <c r="E1665"/>
      <c r="F1665"/>
      <c r="G1665"/>
      <c r="I1665"/>
      <c r="J1665"/>
      <c r="K1665"/>
      <c r="L1665" s="499"/>
      <c r="BX1665" s="769"/>
      <c r="BY1665" s="179"/>
      <c r="BZ1665" s="179"/>
      <c r="CA1665" s="179"/>
      <c r="CB1665" s="179"/>
      <c r="CC1665" s="179"/>
      <c r="CD1665" s="179"/>
      <c r="CE1665" s="179"/>
      <c r="CF1665" s="179"/>
      <c r="CG1665"/>
      <c r="CH1665"/>
      <c r="CI1665"/>
      <c r="CJ1665"/>
      <c r="CK1665"/>
      <c r="CL1665"/>
      <c r="CM1665"/>
    </row>
    <row r="1666" spans="1:91" x14ac:dyDescent="0.2">
      <c r="A1666"/>
      <c r="B1666"/>
      <c r="D1666"/>
      <c r="E1666"/>
      <c r="F1666"/>
      <c r="G1666"/>
      <c r="I1666"/>
      <c r="J1666"/>
      <c r="K1666"/>
      <c r="L1666" s="499"/>
      <c r="BX1666" s="769"/>
      <c r="BY1666" s="179"/>
      <c r="BZ1666" s="179"/>
      <c r="CA1666" s="179"/>
      <c r="CB1666" s="179"/>
      <c r="CC1666" s="179"/>
      <c r="CD1666" s="179"/>
      <c r="CE1666" s="179"/>
      <c r="CF1666" s="179"/>
      <c r="CG1666"/>
      <c r="CH1666"/>
      <c r="CI1666"/>
      <c r="CJ1666"/>
      <c r="CK1666"/>
      <c r="CL1666"/>
      <c r="CM1666"/>
    </row>
    <row r="1667" spans="1:91" x14ac:dyDescent="0.2">
      <c r="A1667"/>
      <c r="B1667"/>
      <c r="D1667"/>
      <c r="E1667"/>
      <c r="F1667"/>
      <c r="G1667"/>
      <c r="I1667"/>
      <c r="J1667"/>
      <c r="K1667"/>
      <c r="L1667" s="499"/>
      <c r="BX1667" s="769"/>
      <c r="BY1667" s="179"/>
      <c r="BZ1667" s="179"/>
      <c r="CA1667" s="179"/>
      <c r="CB1667" s="179"/>
      <c r="CC1667" s="179"/>
      <c r="CD1667" s="179"/>
      <c r="CE1667" s="179"/>
      <c r="CF1667" s="179"/>
      <c r="CG1667"/>
      <c r="CH1667"/>
      <c r="CI1667"/>
      <c r="CJ1667"/>
      <c r="CK1667"/>
      <c r="CL1667"/>
      <c r="CM1667"/>
    </row>
    <row r="1668" spans="1:91" x14ac:dyDescent="0.2">
      <c r="A1668"/>
      <c r="B1668"/>
      <c r="D1668"/>
      <c r="E1668"/>
      <c r="F1668"/>
      <c r="G1668"/>
      <c r="I1668"/>
      <c r="J1668"/>
      <c r="K1668"/>
      <c r="L1668" s="499"/>
      <c r="BX1668" s="769"/>
      <c r="BY1668" s="179"/>
      <c r="BZ1668" s="179"/>
      <c r="CA1668" s="179"/>
      <c r="CB1668" s="179"/>
      <c r="CC1668" s="179"/>
      <c r="CD1668" s="179"/>
      <c r="CE1668" s="179"/>
      <c r="CF1668" s="179"/>
      <c r="CG1668"/>
      <c r="CH1668"/>
      <c r="CI1668"/>
      <c r="CJ1668"/>
      <c r="CK1668"/>
      <c r="CL1668"/>
      <c r="CM1668"/>
    </row>
    <row r="1669" spans="1:91" x14ac:dyDescent="0.2">
      <c r="A1669"/>
      <c r="B1669"/>
      <c r="D1669"/>
      <c r="E1669"/>
      <c r="F1669"/>
      <c r="G1669"/>
      <c r="I1669"/>
      <c r="J1669"/>
      <c r="K1669"/>
      <c r="L1669" s="499"/>
      <c r="BX1669" s="769"/>
      <c r="BY1669"/>
      <c r="BZ1669"/>
      <c r="CA1669"/>
      <c r="CB1669"/>
      <c r="CC1669"/>
      <c r="CD1669"/>
      <c r="CE1669"/>
      <c r="CF1669"/>
      <c r="CG1669"/>
      <c r="CH1669"/>
      <c r="CI1669"/>
      <c r="CJ1669"/>
      <c r="CK1669"/>
      <c r="CL1669"/>
      <c r="CM1669"/>
    </row>
    <row r="1670" spans="1:91" x14ac:dyDescent="0.2">
      <c r="A1670"/>
      <c r="B1670"/>
      <c r="D1670"/>
      <c r="E1670"/>
      <c r="F1670"/>
      <c r="G1670"/>
      <c r="I1670"/>
      <c r="J1670"/>
      <c r="K1670"/>
      <c r="L1670" s="499"/>
      <c r="BX1670" s="769"/>
      <c r="BY1670"/>
      <c r="BZ1670"/>
      <c r="CA1670"/>
      <c r="CB1670"/>
      <c r="CC1670"/>
      <c r="CD1670"/>
      <c r="CE1670"/>
      <c r="CF1670"/>
      <c r="CG1670"/>
      <c r="CH1670"/>
      <c r="CI1670"/>
      <c r="CJ1670"/>
      <c r="CK1670"/>
      <c r="CL1670"/>
      <c r="CM1670"/>
    </row>
    <row r="1671" spans="1:91" x14ac:dyDescent="0.2">
      <c r="A1671"/>
      <c r="B1671"/>
      <c r="D1671"/>
      <c r="E1671"/>
      <c r="F1671"/>
      <c r="G1671"/>
      <c r="I1671"/>
      <c r="J1671"/>
      <c r="K1671"/>
      <c r="L1671" s="499"/>
      <c r="BX1671" s="769"/>
      <c r="BY1671"/>
      <c r="BZ1671"/>
      <c r="CA1671"/>
      <c r="CB1671"/>
      <c r="CC1671"/>
      <c r="CD1671"/>
      <c r="CE1671"/>
      <c r="CF1671"/>
      <c r="CG1671"/>
      <c r="CH1671"/>
      <c r="CI1671"/>
      <c r="CJ1671"/>
      <c r="CK1671"/>
      <c r="CL1671"/>
      <c r="CM1671"/>
    </row>
    <row r="1672" spans="1:91" x14ac:dyDescent="0.2">
      <c r="A1672"/>
      <c r="B1672"/>
      <c r="D1672"/>
      <c r="E1672"/>
      <c r="F1672"/>
      <c r="G1672"/>
      <c r="I1672"/>
      <c r="J1672"/>
      <c r="K1672"/>
      <c r="L1672" s="499"/>
      <c r="BX1672" s="769"/>
      <c r="BY1672"/>
      <c r="BZ1672"/>
      <c r="CA1672"/>
      <c r="CB1672"/>
      <c r="CC1672"/>
      <c r="CD1672"/>
      <c r="CE1672"/>
      <c r="CF1672"/>
      <c r="CG1672"/>
      <c r="CH1672"/>
      <c r="CI1672"/>
      <c r="CJ1672"/>
      <c r="CK1672"/>
      <c r="CL1672"/>
      <c r="CM1672"/>
    </row>
    <row r="1673" spans="1:91" x14ac:dyDescent="0.2">
      <c r="A1673"/>
      <c r="B1673"/>
      <c r="D1673"/>
      <c r="E1673"/>
      <c r="F1673"/>
      <c r="G1673"/>
      <c r="I1673"/>
      <c r="J1673"/>
      <c r="K1673"/>
      <c r="L1673" s="499"/>
      <c r="BX1673" s="769"/>
      <c r="BY1673"/>
      <c r="BZ1673"/>
      <c r="CA1673"/>
      <c r="CB1673"/>
      <c r="CC1673"/>
      <c r="CD1673"/>
      <c r="CE1673"/>
      <c r="CF1673"/>
      <c r="CG1673"/>
      <c r="CH1673"/>
      <c r="CI1673"/>
      <c r="CJ1673"/>
      <c r="CK1673"/>
      <c r="CL1673"/>
      <c r="CM1673"/>
    </row>
    <row r="1674" spans="1:91" x14ac:dyDescent="0.2">
      <c r="A1674"/>
      <c r="B1674"/>
      <c r="D1674"/>
      <c r="E1674"/>
      <c r="F1674"/>
      <c r="G1674"/>
      <c r="I1674"/>
      <c r="J1674"/>
      <c r="K1674"/>
      <c r="L1674" s="499"/>
      <c r="BX1674" s="769"/>
      <c r="BY1674"/>
      <c r="BZ1674"/>
      <c r="CA1674"/>
      <c r="CB1674"/>
      <c r="CC1674"/>
      <c r="CD1674"/>
      <c r="CE1674"/>
      <c r="CF1674"/>
      <c r="CG1674"/>
      <c r="CH1674"/>
      <c r="CI1674"/>
      <c r="CJ1674"/>
      <c r="CK1674"/>
      <c r="CL1674"/>
      <c r="CM1674"/>
    </row>
    <row r="1675" spans="1:91" x14ac:dyDescent="0.2">
      <c r="A1675"/>
      <c r="B1675"/>
      <c r="D1675"/>
      <c r="E1675"/>
      <c r="F1675"/>
      <c r="G1675"/>
      <c r="I1675"/>
      <c r="J1675"/>
      <c r="K1675"/>
      <c r="L1675" s="499"/>
      <c r="BX1675" s="769"/>
      <c r="BY1675"/>
      <c r="BZ1675"/>
      <c r="CA1675"/>
      <c r="CB1675"/>
      <c r="CC1675"/>
      <c r="CD1675"/>
      <c r="CE1675"/>
      <c r="CF1675"/>
      <c r="CG1675"/>
      <c r="CH1675"/>
      <c r="CI1675"/>
      <c r="CJ1675"/>
      <c r="CK1675"/>
      <c r="CL1675"/>
      <c r="CM1675"/>
    </row>
    <row r="1676" spans="1:91" x14ac:dyDescent="0.2">
      <c r="A1676"/>
      <c r="B1676"/>
      <c r="D1676"/>
      <c r="E1676"/>
      <c r="F1676"/>
      <c r="G1676"/>
      <c r="I1676"/>
      <c r="J1676"/>
      <c r="K1676"/>
      <c r="L1676" s="499"/>
      <c r="BX1676" s="769"/>
      <c r="BY1676"/>
      <c r="BZ1676"/>
      <c r="CA1676"/>
      <c r="CB1676"/>
      <c r="CC1676"/>
      <c r="CD1676"/>
      <c r="CE1676"/>
      <c r="CF1676"/>
      <c r="CG1676"/>
      <c r="CH1676"/>
      <c r="CI1676"/>
      <c r="CJ1676"/>
      <c r="CK1676"/>
      <c r="CL1676"/>
      <c r="CM1676"/>
    </row>
    <row r="1677" spans="1:91" x14ac:dyDescent="0.2">
      <c r="A1677"/>
      <c r="B1677"/>
      <c r="D1677"/>
      <c r="E1677"/>
      <c r="F1677"/>
      <c r="G1677"/>
      <c r="I1677"/>
      <c r="J1677"/>
      <c r="K1677"/>
      <c r="L1677" s="499"/>
      <c r="BX1677" s="769"/>
      <c r="BY1677"/>
      <c r="BZ1677"/>
      <c r="CA1677"/>
      <c r="CB1677"/>
      <c r="CC1677"/>
      <c r="CD1677"/>
      <c r="CE1677"/>
      <c r="CF1677"/>
      <c r="CG1677"/>
      <c r="CH1677"/>
      <c r="CI1677"/>
      <c r="CJ1677"/>
      <c r="CK1677"/>
      <c r="CL1677"/>
      <c r="CM1677"/>
    </row>
    <row r="1678" spans="1:91" x14ac:dyDescent="0.2">
      <c r="A1678"/>
      <c r="B1678"/>
      <c r="D1678"/>
      <c r="E1678"/>
      <c r="F1678"/>
      <c r="G1678"/>
      <c r="I1678"/>
      <c r="J1678"/>
      <c r="K1678"/>
      <c r="L1678" s="499"/>
      <c r="BX1678" s="769"/>
      <c r="BY1678"/>
      <c r="BZ1678"/>
      <c r="CA1678"/>
      <c r="CB1678"/>
      <c r="CC1678"/>
      <c r="CD1678"/>
      <c r="CE1678"/>
      <c r="CF1678"/>
      <c r="CG1678"/>
      <c r="CH1678"/>
      <c r="CI1678"/>
      <c r="CJ1678"/>
      <c r="CK1678"/>
      <c r="CL1678"/>
      <c r="CM1678"/>
    </row>
    <row r="1679" spans="1:91" x14ac:dyDescent="0.2">
      <c r="A1679"/>
      <c r="B1679"/>
      <c r="D1679"/>
      <c r="E1679"/>
      <c r="F1679"/>
      <c r="G1679"/>
      <c r="I1679"/>
      <c r="J1679"/>
      <c r="K1679"/>
      <c r="L1679" s="499"/>
      <c r="BX1679" s="769"/>
      <c r="BY1679"/>
      <c r="BZ1679"/>
      <c r="CA1679"/>
      <c r="CB1679"/>
      <c r="CC1679"/>
      <c r="CD1679"/>
      <c r="CE1679"/>
      <c r="CF1679"/>
      <c r="CG1679"/>
      <c r="CH1679"/>
      <c r="CI1679"/>
      <c r="CJ1679"/>
      <c r="CK1679"/>
      <c r="CL1679"/>
      <c r="CM1679"/>
    </row>
    <row r="1680" spans="1:91" x14ac:dyDescent="0.2">
      <c r="A1680"/>
      <c r="B1680"/>
      <c r="D1680"/>
      <c r="E1680"/>
      <c r="F1680"/>
      <c r="G1680"/>
      <c r="I1680"/>
      <c r="J1680"/>
      <c r="K1680"/>
      <c r="L1680" s="499"/>
      <c r="BX1680" s="769"/>
      <c r="BY1680"/>
      <c r="BZ1680"/>
      <c r="CA1680"/>
      <c r="CB1680"/>
      <c r="CC1680"/>
      <c r="CD1680"/>
      <c r="CE1680"/>
      <c r="CF1680"/>
      <c r="CG1680"/>
      <c r="CH1680"/>
      <c r="CI1680"/>
      <c r="CJ1680"/>
      <c r="CK1680"/>
      <c r="CL1680"/>
      <c r="CM1680"/>
    </row>
    <row r="1681" spans="1:91" x14ac:dyDescent="0.2">
      <c r="A1681"/>
      <c r="B1681"/>
      <c r="D1681"/>
      <c r="E1681"/>
      <c r="F1681"/>
      <c r="G1681"/>
      <c r="I1681"/>
      <c r="J1681"/>
      <c r="K1681"/>
      <c r="L1681" s="499"/>
      <c r="BX1681" s="769"/>
      <c r="BY1681"/>
      <c r="BZ1681"/>
      <c r="CA1681"/>
      <c r="CB1681"/>
      <c r="CC1681"/>
      <c r="CD1681"/>
      <c r="CE1681"/>
      <c r="CF1681"/>
      <c r="CG1681"/>
      <c r="CH1681"/>
      <c r="CI1681"/>
      <c r="CJ1681"/>
      <c r="CK1681"/>
      <c r="CL1681"/>
      <c r="CM1681"/>
    </row>
    <row r="1682" spans="1:91" x14ac:dyDescent="0.2">
      <c r="A1682"/>
      <c r="B1682"/>
      <c r="D1682"/>
      <c r="E1682"/>
      <c r="F1682"/>
      <c r="G1682"/>
      <c r="I1682"/>
      <c r="J1682"/>
      <c r="K1682"/>
      <c r="L1682" s="499"/>
      <c r="BX1682" s="769"/>
      <c r="BY1682"/>
      <c r="BZ1682"/>
      <c r="CA1682"/>
      <c r="CB1682"/>
      <c r="CC1682"/>
      <c r="CD1682"/>
      <c r="CE1682"/>
      <c r="CF1682"/>
      <c r="CG1682"/>
      <c r="CH1682"/>
      <c r="CI1682"/>
      <c r="CJ1682"/>
      <c r="CK1682"/>
      <c r="CL1682"/>
      <c r="CM1682"/>
    </row>
    <row r="1683" spans="1:91" x14ac:dyDescent="0.2">
      <c r="A1683"/>
      <c r="B1683"/>
      <c r="D1683"/>
      <c r="E1683"/>
      <c r="F1683"/>
      <c r="G1683"/>
      <c r="I1683"/>
      <c r="J1683"/>
      <c r="K1683"/>
      <c r="L1683" s="499"/>
      <c r="BX1683" s="769"/>
      <c r="BY1683"/>
      <c r="BZ1683"/>
      <c r="CA1683"/>
      <c r="CB1683"/>
      <c r="CC1683"/>
      <c r="CD1683"/>
      <c r="CE1683"/>
      <c r="CF1683"/>
      <c r="CG1683"/>
      <c r="CH1683"/>
      <c r="CI1683"/>
      <c r="CJ1683"/>
      <c r="CK1683"/>
      <c r="CL1683"/>
      <c r="CM1683"/>
    </row>
    <row r="1684" spans="1:91" x14ac:dyDescent="0.2">
      <c r="A1684"/>
      <c r="B1684"/>
      <c r="D1684"/>
      <c r="E1684"/>
      <c r="F1684"/>
      <c r="G1684"/>
      <c r="I1684"/>
      <c r="J1684"/>
      <c r="K1684"/>
      <c r="L1684" s="499"/>
      <c r="BX1684" s="769"/>
      <c r="BY1684"/>
      <c r="BZ1684"/>
      <c r="CA1684"/>
      <c r="CB1684"/>
      <c r="CC1684"/>
      <c r="CD1684"/>
      <c r="CE1684"/>
      <c r="CF1684"/>
      <c r="CG1684"/>
      <c r="CH1684"/>
      <c r="CI1684"/>
      <c r="CJ1684"/>
      <c r="CK1684"/>
      <c r="CL1684"/>
      <c r="CM1684"/>
    </row>
    <row r="1685" spans="1:91" x14ac:dyDescent="0.2">
      <c r="A1685"/>
      <c r="B1685"/>
      <c r="D1685"/>
      <c r="E1685"/>
      <c r="F1685"/>
      <c r="G1685"/>
      <c r="I1685"/>
      <c r="J1685"/>
      <c r="K1685"/>
      <c r="L1685" s="499"/>
      <c r="BX1685" s="769"/>
      <c r="BY1685"/>
      <c r="BZ1685"/>
      <c r="CA1685"/>
      <c r="CB1685"/>
      <c r="CC1685"/>
      <c r="CD1685"/>
      <c r="CE1685"/>
      <c r="CF1685"/>
      <c r="CG1685"/>
      <c r="CH1685"/>
      <c r="CI1685"/>
      <c r="CJ1685"/>
      <c r="CK1685"/>
      <c r="CL1685"/>
      <c r="CM1685"/>
    </row>
    <row r="1686" spans="1:91" x14ac:dyDescent="0.2">
      <c r="A1686"/>
      <c r="B1686"/>
      <c r="D1686"/>
      <c r="E1686"/>
      <c r="F1686"/>
      <c r="G1686"/>
      <c r="I1686"/>
      <c r="J1686"/>
      <c r="K1686"/>
      <c r="L1686" s="499"/>
      <c r="BX1686" s="769"/>
      <c r="BY1686"/>
      <c r="BZ1686"/>
      <c r="CA1686"/>
      <c r="CB1686"/>
      <c r="CC1686"/>
      <c r="CD1686"/>
      <c r="CE1686"/>
      <c r="CF1686"/>
      <c r="CG1686"/>
      <c r="CH1686"/>
      <c r="CI1686"/>
      <c r="CJ1686"/>
      <c r="CK1686"/>
      <c r="CL1686"/>
      <c r="CM1686"/>
    </row>
    <row r="1687" spans="1:91" x14ac:dyDescent="0.2">
      <c r="A1687"/>
      <c r="B1687"/>
      <c r="D1687"/>
      <c r="E1687"/>
      <c r="F1687"/>
      <c r="G1687"/>
      <c r="I1687"/>
      <c r="J1687"/>
      <c r="K1687"/>
      <c r="L1687" s="499"/>
      <c r="BX1687" s="769"/>
      <c r="BY1687"/>
      <c r="BZ1687"/>
      <c r="CA1687"/>
      <c r="CB1687"/>
      <c r="CC1687"/>
      <c r="CD1687"/>
      <c r="CE1687"/>
      <c r="CF1687"/>
      <c r="CG1687"/>
      <c r="CH1687"/>
      <c r="CI1687"/>
      <c r="CJ1687"/>
      <c r="CK1687"/>
      <c r="CL1687"/>
      <c r="CM1687"/>
    </row>
    <row r="1688" spans="1:91" x14ac:dyDescent="0.2">
      <c r="A1688"/>
      <c r="B1688"/>
      <c r="D1688"/>
      <c r="E1688"/>
      <c r="F1688"/>
      <c r="G1688"/>
      <c r="I1688"/>
      <c r="J1688"/>
      <c r="K1688"/>
      <c r="L1688" s="499"/>
      <c r="BX1688" s="769"/>
      <c r="BY1688"/>
      <c r="BZ1688"/>
      <c r="CA1688"/>
      <c r="CB1688"/>
      <c r="CC1688"/>
      <c r="CD1688"/>
      <c r="CE1688"/>
      <c r="CF1688"/>
      <c r="CG1688"/>
      <c r="CH1688"/>
      <c r="CI1688"/>
      <c r="CJ1688"/>
      <c r="CK1688"/>
      <c r="CL1688"/>
      <c r="CM1688"/>
    </row>
    <row r="1689" spans="1:91" x14ac:dyDescent="0.2">
      <c r="A1689"/>
      <c r="B1689"/>
      <c r="D1689"/>
      <c r="E1689"/>
      <c r="F1689"/>
      <c r="G1689"/>
      <c r="I1689"/>
      <c r="J1689"/>
      <c r="K1689"/>
      <c r="L1689" s="499"/>
      <c r="BX1689" s="769"/>
      <c r="BY1689"/>
      <c r="BZ1689"/>
      <c r="CA1689"/>
      <c r="CB1689"/>
      <c r="CC1689"/>
      <c r="CD1689"/>
      <c r="CE1689"/>
      <c r="CF1689"/>
      <c r="CG1689"/>
      <c r="CH1689"/>
      <c r="CI1689"/>
      <c r="CJ1689"/>
      <c r="CK1689"/>
      <c r="CL1689"/>
      <c r="CM1689"/>
    </row>
    <row r="1690" spans="1:91" x14ac:dyDescent="0.2">
      <c r="A1690"/>
      <c r="B1690"/>
      <c r="D1690"/>
      <c r="E1690"/>
      <c r="F1690"/>
      <c r="G1690"/>
      <c r="I1690"/>
      <c r="J1690"/>
      <c r="K1690"/>
      <c r="L1690" s="499"/>
      <c r="BX1690" s="769"/>
      <c r="BY1690"/>
      <c r="BZ1690"/>
      <c r="CA1690"/>
      <c r="CB1690"/>
      <c r="CC1690"/>
      <c r="CD1690"/>
      <c r="CE1690"/>
      <c r="CF1690"/>
      <c r="CG1690"/>
      <c r="CH1690"/>
      <c r="CI1690"/>
      <c r="CJ1690"/>
      <c r="CK1690"/>
      <c r="CL1690"/>
      <c r="CM1690"/>
    </row>
    <row r="1691" spans="1:91" x14ac:dyDescent="0.2">
      <c r="A1691"/>
      <c r="B1691"/>
      <c r="D1691"/>
      <c r="E1691"/>
      <c r="F1691"/>
      <c r="G1691"/>
      <c r="I1691"/>
      <c r="J1691"/>
      <c r="K1691"/>
      <c r="L1691" s="499"/>
      <c r="BX1691" s="769"/>
      <c r="BY1691"/>
      <c r="BZ1691"/>
      <c r="CA1691"/>
      <c r="CB1691"/>
      <c r="CC1691"/>
      <c r="CD1691"/>
      <c r="CE1691"/>
      <c r="CF1691"/>
      <c r="CG1691"/>
      <c r="CH1691"/>
      <c r="CI1691"/>
      <c r="CJ1691"/>
      <c r="CK1691"/>
      <c r="CL1691"/>
      <c r="CM1691"/>
    </row>
    <row r="1692" spans="1:91" x14ac:dyDescent="0.2">
      <c r="A1692"/>
      <c r="B1692"/>
      <c r="D1692"/>
      <c r="E1692"/>
      <c r="F1692"/>
      <c r="G1692"/>
      <c r="I1692"/>
      <c r="J1692"/>
      <c r="K1692"/>
      <c r="L1692" s="499"/>
      <c r="BX1692" s="769"/>
      <c r="BY1692"/>
      <c r="BZ1692"/>
      <c r="CA1692"/>
      <c r="CB1692"/>
      <c r="CC1692"/>
      <c r="CD1692"/>
      <c r="CE1692"/>
      <c r="CF1692"/>
      <c r="CG1692"/>
      <c r="CH1692"/>
      <c r="CI1692"/>
      <c r="CJ1692"/>
      <c r="CK1692"/>
      <c r="CL1692"/>
      <c r="CM1692"/>
    </row>
    <row r="1693" spans="1:91" x14ac:dyDescent="0.2">
      <c r="A1693"/>
      <c r="B1693"/>
      <c r="D1693"/>
      <c r="E1693"/>
      <c r="F1693"/>
      <c r="G1693"/>
      <c r="I1693"/>
      <c r="J1693"/>
      <c r="K1693"/>
      <c r="L1693" s="499"/>
      <c r="BX1693" s="769"/>
      <c r="BY1693"/>
      <c r="BZ1693"/>
      <c r="CA1693"/>
      <c r="CB1693"/>
      <c r="CC1693"/>
      <c r="CD1693"/>
      <c r="CE1693"/>
      <c r="CF1693"/>
      <c r="CG1693"/>
      <c r="CH1693"/>
      <c r="CI1693"/>
      <c r="CJ1693"/>
      <c r="CK1693"/>
      <c r="CL1693"/>
      <c r="CM1693"/>
    </row>
    <row r="1694" spans="1:91" x14ac:dyDescent="0.2">
      <c r="A1694"/>
      <c r="B1694"/>
      <c r="D1694"/>
      <c r="E1694"/>
      <c r="F1694"/>
      <c r="G1694"/>
      <c r="I1694"/>
      <c r="J1694"/>
      <c r="K1694"/>
      <c r="L1694" s="499"/>
      <c r="BX1694" s="769"/>
      <c r="BY1694"/>
      <c r="BZ1694"/>
      <c r="CA1694"/>
      <c r="CB1694"/>
      <c r="CC1694"/>
      <c r="CD1694"/>
      <c r="CE1694"/>
      <c r="CF1694"/>
      <c r="CG1694"/>
      <c r="CH1694"/>
      <c r="CI1694"/>
      <c r="CJ1694"/>
      <c r="CK1694"/>
      <c r="CL1694"/>
      <c r="CM1694"/>
    </row>
    <row r="1695" spans="1:91" x14ac:dyDescent="0.2">
      <c r="A1695"/>
      <c r="B1695"/>
      <c r="D1695"/>
      <c r="E1695"/>
      <c r="F1695"/>
      <c r="G1695"/>
      <c r="I1695"/>
      <c r="J1695"/>
      <c r="K1695"/>
      <c r="L1695" s="499"/>
      <c r="BX1695" s="769"/>
      <c r="BY1695"/>
      <c r="BZ1695"/>
      <c r="CA1695"/>
      <c r="CB1695"/>
      <c r="CC1695"/>
      <c r="CD1695"/>
      <c r="CE1695"/>
      <c r="CF1695"/>
      <c r="CG1695"/>
      <c r="CH1695"/>
      <c r="CI1695"/>
      <c r="CJ1695"/>
      <c r="CK1695"/>
      <c r="CL1695"/>
      <c r="CM1695"/>
    </row>
    <row r="1696" spans="1:91" x14ac:dyDescent="0.2">
      <c r="A1696"/>
      <c r="B1696"/>
      <c r="D1696"/>
      <c r="E1696"/>
      <c r="F1696"/>
      <c r="G1696"/>
      <c r="I1696"/>
      <c r="J1696"/>
      <c r="K1696"/>
      <c r="L1696" s="499"/>
      <c r="BX1696" s="769"/>
      <c r="BY1696"/>
      <c r="BZ1696"/>
      <c r="CA1696"/>
      <c r="CB1696"/>
      <c r="CC1696"/>
      <c r="CD1696"/>
      <c r="CE1696"/>
      <c r="CF1696"/>
      <c r="CG1696"/>
      <c r="CH1696"/>
      <c r="CI1696"/>
      <c r="CJ1696"/>
      <c r="CK1696"/>
      <c r="CL1696"/>
      <c r="CM1696"/>
    </row>
    <row r="1697" spans="1:91" x14ac:dyDescent="0.2">
      <c r="A1697"/>
      <c r="B1697"/>
      <c r="D1697"/>
      <c r="E1697"/>
      <c r="F1697"/>
      <c r="G1697"/>
      <c r="I1697"/>
      <c r="J1697"/>
      <c r="K1697"/>
      <c r="L1697" s="499"/>
      <c r="BX1697" s="769"/>
      <c r="BY1697"/>
      <c r="BZ1697"/>
      <c r="CA1697"/>
      <c r="CB1697"/>
      <c r="CC1697"/>
      <c r="CD1697"/>
      <c r="CE1697"/>
      <c r="CF1697"/>
      <c r="CG1697"/>
      <c r="CH1697"/>
      <c r="CI1697"/>
      <c r="CJ1697"/>
      <c r="CK1697"/>
      <c r="CL1697"/>
      <c r="CM1697"/>
    </row>
    <row r="1698" spans="1:91" x14ac:dyDescent="0.2">
      <c r="A1698"/>
      <c r="B1698"/>
      <c r="D1698"/>
      <c r="E1698"/>
      <c r="F1698"/>
      <c r="G1698"/>
      <c r="I1698"/>
      <c r="J1698"/>
      <c r="K1698"/>
      <c r="L1698" s="499"/>
      <c r="BX1698" s="769"/>
      <c r="BY1698"/>
      <c r="BZ1698"/>
      <c r="CA1698"/>
      <c r="CB1698"/>
      <c r="CC1698"/>
      <c r="CD1698"/>
      <c r="CE1698"/>
      <c r="CF1698"/>
      <c r="CG1698"/>
      <c r="CH1698"/>
      <c r="CI1698"/>
      <c r="CJ1698"/>
      <c r="CK1698"/>
      <c r="CL1698"/>
      <c r="CM1698"/>
    </row>
    <row r="1699" spans="1:91" x14ac:dyDescent="0.2">
      <c r="A1699"/>
      <c r="B1699"/>
      <c r="D1699"/>
      <c r="E1699"/>
      <c r="F1699"/>
      <c r="G1699"/>
      <c r="I1699"/>
      <c r="J1699"/>
      <c r="K1699"/>
      <c r="L1699" s="499"/>
      <c r="BX1699" s="769"/>
      <c r="BY1699"/>
      <c r="BZ1699"/>
      <c r="CA1699"/>
      <c r="CB1699"/>
      <c r="CC1699"/>
      <c r="CD1699"/>
      <c r="CE1699"/>
      <c r="CF1699"/>
      <c r="CG1699"/>
      <c r="CH1699"/>
      <c r="CI1699"/>
      <c r="CJ1699"/>
      <c r="CK1699"/>
      <c r="CL1699"/>
      <c r="CM1699"/>
    </row>
    <row r="1700" spans="1:91" x14ac:dyDescent="0.2">
      <c r="A1700"/>
      <c r="B1700"/>
      <c r="D1700"/>
      <c r="E1700"/>
      <c r="F1700"/>
      <c r="G1700"/>
      <c r="I1700"/>
      <c r="J1700"/>
      <c r="K1700"/>
      <c r="L1700" s="499"/>
      <c r="BX1700" s="769"/>
      <c r="BY1700"/>
      <c r="BZ1700"/>
      <c r="CA1700"/>
      <c r="CB1700"/>
      <c r="CC1700"/>
      <c r="CD1700"/>
      <c r="CE1700"/>
      <c r="CF1700"/>
      <c r="CG1700"/>
      <c r="CH1700"/>
      <c r="CI1700"/>
      <c r="CJ1700"/>
      <c r="CK1700"/>
      <c r="CL1700"/>
      <c r="CM1700"/>
    </row>
    <row r="1701" spans="1:91" x14ac:dyDescent="0.2">
      <c r="A1701"/>
      <c r="B1701"/>
      <c r="D1701"/>
      <c r="E1701"/>
      <c r="F1701"/>
      <c r="G1701"/>
      <c r="I1701"/>
      <c r="J1701"/>
      <c r="K1701"/>
      <c r="L1701" s="499"/>
      <c r="BX1701" s="769"/>
      <c r="BY1701"/>
      <c r="BZ1701"/>
      <c r="CA1701"/>
      <c r="CB1701"/>
      <c r="CC1701"/>
      <c r="CD1701"/>
      <c r="CE1701"/>
      <c r="CF1701"/>
      <c r="CG1701"/>
      <c r="CH1701"/>
      <c r="CI1701"/>
      <c r="CJ1701"/>
      <c r="CK1701"/>
      <c r="CL1701"/>
      <c r="CM1701"/>
    </row>
    <row r="1702" spans="1:91" x14ac:dyDescent="0.2">
      <c r="A1702"/>
      <c r="B1702"/>
      <c r="D1702"/>
      <c r="E1702"/>
      <c r="F1702"/>
      <c r="G1702"/>
      <c r="I1702"/>
      <c r="J1702"/>
      <c r="K1702"/>
      <c r="L1702" s="499"/>
      <c r="BX1702" s="769"/>
      <c r="BY1702"/>
      <c r="BZ1702"/>
      <c r="CA1702"/>
      <c r="CB1702"/>
      <c r="CC1702"/>
      <c r="CD1702"/>
      <c r="CE1702"/>
      <c r="CF1702"/>
      <c r="CG1702"/>
      <c r="CH1702"/>
      <c r="CI1702"/>
      <c r="CJ1702"/>
      <c r="CK1702"/>
      <c r="CL1702"/>
      <c r="CM1702"/>
    </row>
    <row r="1703" spans="1:91" x14ac:dyDescent="0.2">
      <c r="A1703"/>
      <c r="B1703"/>
      <c r="D1703"/>
      <c r="E1703"/>
      <c r="F1703"/>
      <c r="G1703"/>
      <c r="I1703"/>
      <c r="J1703"/>
      <c r="K1703"/>
      <c r="L1703" s="499"/>
      <c r="BX1703" s="769"/>
      <c r="BY1703"/>
      <c r="BZ1703"/>
      <c r="CA1703"/>
      <c r="CB1703"/>
      <c r="CC1703"/>
      <c r="CD1703"/>
      <c r="CE1703"/>
      <c r="CF1703"/>
      <c r="CG1703"/>
      <c r="CH1703"/>
      <c r="CI1703"/>
      <c r="CJ1703"/>
      <c r="CK1703"/>
      <c r="CL1703"/>
      <c r="CM1703"/>
    </row>
    <row r="1704" spans="1:91" x14ac:dyDescent="0.2">
      <c r="A1704"/>
      <c r="B1704"/>
      <c r="D1704"/>
      <c r="E1704"/>
      <c r="F1704"/>
      <c r="G1704"/>
      <c r="I1704"/>
      <c r="J1704"/>
      <c r="K1704"/>
      <c r="L1704" s="499"/>
      <c r="BX1704" s="769"/>
      <c r="BY1704"/>
      <c r="BZ1704"/>
      <c r="CA1704"/>
      <c r="CB1704"/>
      <c r="CC1704"/>
      <c r="CD1704"/>
      <c r="CE1704"/>
      <c r="CF1704"/>
      <c r="CG1704"/>
      <c r="CH1704"/>
      <c r="CI1704"/>
      <c r="CJ1704"/>
      <c r="CK1704"/>
      <c r="CL1704"/>
      <c r="CM1704"/>
    </row>
    <row r="1705" spans="1:91" x14ac:dyDescent="0.2">
      <c r="A1705"/>
      <c r="B1705"/>
      <c r="D1705"/>
      <c r="E1705"/>
      <c r="F1705"/>
      <c r="G1705"/>
      <c r="I1705"/>
      <c r="J1705"/>
      <c r="K1705"/>
      <c r="L1705" s="499"/>
      <c r="BX1705" s="769"/>
      <c r="BY1705"/>
      <c r="BZ1705"/>
      <c r="CA1705"/>
      <c r="CB1705"/>
      <c r="CC1705"/>
      <c r="CD1705"/>
      <c r="CE1705"/>
      <c r="CF1705"/>
      <c r="CG1705"/>
      <c r="CH1705"/>
      <c r="CI1705"/>
      <c r="CJ1705"/>
      <c r="CK1705"/>
      <c r="CL1705"/>
      <c r="CM1705"/>
    </row>
    <row r="1706" spans="1:91" x14ac:dyDescent="0.2">
      <c r="A1706"/>
      <c r="B1706"/>
      <c r="D1706"/>
      <c r="E1706"/>
      <c r="F1706"/>
      <c r="G1706"/>
      <c r="I1706"/>
      <c r="J1706"/>
      <c r="K1706"/>
      <c r="L1706" s="499"/>
      <c r="BX1706" s="769"/>
      <c r="BY1706"/>
      <c r="BZ1706"/>
      <c r="CA1706"/>
      <c r="CB1706"/>
      <c r="CC1706"/>
      <c r="CD1706"/>
      <c r="CE1706"/>
      <c r="CF1706"/>
      <c r="CG1706"/>
      <c r="CH1706"/>
      <c r="CI1706"/>
      <c r="CJ1706"/>
      <c r="CK1706"/>
      <c r="CL1706"/>
      <c r="CM1706"/>
    </row>
    <row r="1707" spans="1:91" x14ac:dyDescent="0.2">
      <c r="A1707"/>
      <c r="B1707"/>
      <c r="D1707"/>
      <c r="E1707"/>
      <c r="F1707"/>
      <c r="G1707"/>
      <c r="I1707"/>
      <c r="J1707"/>
      <c r="K1707"/>
      <c r="L1707" s="499"/>
      <c r="BX1707" s="769"/>
      <c r="BY1707"/>
      <c r="BZ1707"/>
      <c r="CA1707"/>
      <c r="CB1707"/>
      <c r="CC1707"/>
      <c r="CD1707"/>
      <c r="CE1707"/>
      <c r="CF1707"/>
      <c r="CG1707"/>
      <c r="CH1707"/>
      <c r="CI1707"/>
      <c r="CJ1707"/>
      <c r="CK1707"/>
      <c r="CL1707"/>
      <c r="CM1707"/>
    </row>
    <row r="1708" spans="1:91" x14ac:dyDescent="0.2">
      <c r="A1708"/>
      <c r="B1708"/>
      <c r="D1708"/>
      <c r="E1708"/>
      <c r="F1708"/>
      <c r="G1708"/>
      <c r="I1708"/>
      <c r="J1708"/>
      <c r="K1708"/>
      <c r="L1708" s="499"/>
      <c r="BX1708" s="769"/>
      <c r="BY1708"/>
      <c r="BZ1708"/>
      <c r="CA1708"/>
      <c r="CB1708"/>
      <c r="CC1708"/>
      <c r="CD1708"/>
      <c r="CE1708"/>
      <c r="CF1708"/>
      <c r="CG1708"/>
      <c r="CH1708"/>
      <c r="CI1708"/>
      <c r="CJ1708"/>
      <c r="CK1708"/>
      <c r="CL1708"/>
      <c r="CM1708"/>
    </row>
    <row r="1709" spans="1:91" x14ac:dyDescent="0.2">
      <c r="A1709"/>
      <c r="B1709"/>
      <c r="D1709"/>
      <c r="E1709"/>
      <c r="F1709"/>
      <c r="G1709"/>
      <c r="I1709"/>
      <c r="J1709"/>
      <c r="K1709"/>
      <c r="L1709" s="499"/>
      <c r="BX1709" s="769"/>
      <c r="BY1709"/>
      <c r="BZ1709"/>
      <c r="CA1709"/>
      <c r="CB1709"/>
      <c r="CC1709"/>
      <c r="CD1709"/>
      <c r="CE1709"/>
      <c r="CF1709"/>
      <c r="CG1709"/>
      <c r="CH1709"/>
      <c r="CI1709"/>
      <c r="CJ1709"/>
      <c r="CK1709"/>
      <c r="CL1709"/>
      <c r="CM1709"/>
    </row>
    <row r="1710" spans="1:91" x14ac:dyDescent="0.2">
      <c r="A1710"/>
      <c r="B1710"/>
      <c r="D1710"/>
      <c r="E1710"/>
      <c r="F1710"/>
      <c r="G1710"/>
      <c r="I1710"/>
      <c r="J1710"/>
      <c r="K1710"/>
      <c r="L1710" s="499"/>
      <c r="BX1710" s="769"/>
      <c r="BY1710"/>
      <c r="BZ1710"/>
      <c r="CA1710"/>
      <c r="CB1710"/>
      <c r="CC1710"/>
      <c r="CD1710"/>
      <c r="CE1710"/>
      <c r="CF1710"/>
      <c r="CG1710"/>
      <c r="CH1710"/>
      <c r="CI1710"/>
      <c r="CJ1710"/>
      <c r="CK1710"/>
      <c r="CL1710"/>
      <c r="CM1710"/>
    </row>
    <row r="1711" spans="1:91" x14ac:dyDescent="0.2">
      <c r="A1711"/>
      <c r="B1711"/>
      <c r="D1711"/>
      <c r="E1711"/>
      <c r="F1711"/>
      <c r="G1711"/>
      <c r="I1711"/>
      <c r="J1711"/>
      <c r="K1711"/>
      <c r="L1711" s="499"/>
      <c r="BX1711" s="769"/>
      <c r="BY1711"/>
      <c r="BZ1711"/>
      <c r="CA1711"/>
      <c r="CB1711"/>
      <c r="CC1711"/>
      <c r="CD1711"/>
      <c r="CE1711"/>
      <c r="CF1711"/>
      <c r="CG1711"/>
      <c r="CH1711"/>
      <c r="CI1711"/>
      <c r="CJ1711"/>
      <c r="CK1711"/>
      <c r="CL1711"/>
      <c r="CM1711"/>
    </row>
    <row r="1712" spans="1:91" x14ac:dyDescent="0.2">
      <c r="A1712"/>
      <c r="B1712"/>
      <c r="D1712"/>
      <c r="E1712"/>
      <c r="F1712"/>
      <c r="G1712"/>
      <c r="I1712"/>
      <c r="J1712"/>
      <c r="K1712"/>
      <c r="L1712" s="499"/>
      <c r="BX1712" s="769"/>
      <c r="BY1712"/>
      <c r="BZ1712"/>
      <c r="CA1712"/>
      <c r="CB1712"/>
      <c r="CC1712"/>
      <c r="CD1712"/>
      <c r="CE1712"/>
      <c r="CF1712"/>
      <c r="CG1712"/>
      <c r="CH1712"/>
      <c r="CI1712"/>
      <c r="CJ1712"/>
      <c r="CK1712"/>
      <c r="CL1712"/>
      <c r="CM1712"/>
    </row>
    <row r="1713" spans="1:91" x14ac:dyDescent="0.2">
      <c r="A1713"/>
      <c r="B1713"/>
      <c r="D1713"/>
      <c r="E1713"/>
      <c r="F1713"/>
      <c r="G1713"/>
      <c r="I1713"/>
      <c r="J1713"/>
      <c r="K1713"/>
      <c r="L1713" s="499"/>
      <c r="BX1713" s="769"/>
      <c r="BY1713"/>
      <c r="BZ1713"/>
      <c r="CA1713"/>
      <c r="CB1713"/>
      <c r="CC1713"/>
      <c r="CD1713"/>
      <c r="CE1713"/>
      <c r="CF1713"/>
      <c r="CG1713"/>
      <c r="CH1713"/>
      <c r="CI1713"/>
      <c r="CJ1713"/>
      <c r="CK1713"/>
      <c r="CL1713"/>
      <c r="CM1713"/>
    </row>
    <row r="1714" spans="1:91" x14ac:dyDescent="0.2">
      <c r="A1714"/>
      <c r="B1714"/>
      <c r="D1714"/>
      <c r="E1714"/>
      <c r="F1714"/>
      <c r="G1714"/>
      <c r="I1714"/>
      <c r="J1714"/>
      <c r="K1714"/>
      <c r="L1714" s="499"/>
      <c r="BX1714" s="769"/>
      <c r="BY1714"/>
      <c r="BZ1714"/>
      <c r="CA1714"/>
      <c r="CB1714"/>
      <c r="CC1714"/>
      <c r="CD1714"/>
      <c r="CE1714"/>
      <c r="CF1714"/>
      <c r="CG1714"/>
      <c r="CH1714"/>
      <c r="CI1714"/>
      <c r="CJ1714"/>
      <c r="CK1714"/>
      <c r="CL1714"/>
      <c r="CM1714"/>
    </row>
    <row r="1715" spans="1:91" x14ac:dyDescent="0.2">
      <c r="A1715"/>
      <c r="B1715"/>
      <c r="D1715"/>
      <c r="E1715"/>
      <c r="F1715"/>
      <c r="G1715"/>
      <c r="I1715"/>
      <c r="J1715"/>
      <c r="K1715"/>
      <c r="L1715" s="499"/>
      <c r="BX1715" s="769"/>
      <c r="BY1715"/>
      <c r="BZ1715"/>
      <c r="CA1715"/>
      <c r="CB1715"/>
      <c r="CC1715"/>
      <c r="CD1715"/>
      <c r="CE1715"/>
      <c r="CF1715"/>
      <c r="CG1715"/>
      <c r="CH1715"/>
      <c r="CI1715"/>
      <c r="CJ1715"/>
      <c r="CK1715"/>
      <c r="CL1715"/>
      <c r="CM1715"/>
    </row>
    <row r="1716" spans="1:91" x14ac:dyDescent="0.2">
      <c r="A1716"/>
      <c r="B1716"/>
      <c r="D1716"/>
      <c r="E1716"/>
      <c r="F1716"/>
      <c r="G1716"/>
      <c r="I1716"/>
      <c r="J1716"/>
      <c r="K1716"/>
      <c r="L1716" s="499"/>
      <c r="BX1716" s="769"/>
      <c r="BY1716"/>
      <c r="BZ1716"/>
      <c r="CA1716"/>
      <c r="CB1716"/>
      <c r="CC1716"/>
      <c r="CD1716"/>
      <c r="CE1716"/>
      <c r="CF1716"/>
      <c r="CG1716"/>
      <c r="CH1716"/>
      <c r="CI1716"/>
      <c r="CJ1716"/>
      <c r="CK1716"/>
      <c r="CL1716"/>
      <c r="CM1716"/>
    </row>
    <row r="1717" spans="1:91" x14ac:dyDescent="0.2">
      <c r="A1717"/>
      <c r="B1717"/>
      <c r="D1717"/>
      <c r="E1717"/>
      <c r="F1717"/>
      <c r="G1717"/>
      <c r="I1717"/>
      <c r="J1717"/>
      <c r="K1717"/>
      <c r="L1717" s="499"/>
      <c r="BX1717" s="769"/>
      <c r="BY1717"/>
      <c r="BZ1717"/>
      <c r="CA1717"/>
      <c r="CB1717"/>
      <c r="CC1717"/>
      <c r="CD1717"/>
      <c r="CE1717"/>
      <c r="CF1717"/>
      <c r="CG1717"/>
      <c r="CH1717"/>
      <c r="CI1717"/>
      <c r="CJ1717"/>
      <c r="CK1717"/>
      <c r="CL1717"/>
      <c r="CM1717"/>
    </row>
    <row r="1718" spans="1:91" x14ac:dyDescent="0.2">
      <c r="A1718"/>
      <c r="B1718"/>
      <c r="D1718"/>
      <c r="E1718"/>
      <c r="F1718"/>
      <c r="G1718"/>
      <c r="I1718"/>
      <c r="J1718"/>
      <c r="K1718"/>
      <c r="L1718" s="499"/>
      <c r="BX1718" s="769"/>
      <c r="BY1718"/>
      <c r="BZ1718"/>
      <c r="CA1718"/>
      <c r="CB1718"/>
      <c r="CC1718"/>
      <c r="CD1718"/>
      <c r="CE1718"/>
      <c r="CF1718"/>
      <c r="CG1718"/>
      <c r="CH1718"/>
      <c r="CI1718"/>
      <c r="CJ1718"/>
      <c r="CK1718"/>
      <c r="CL1718"/>
      <c r="CM1718"/>
    </row>
    <row r="1719" spans="1:91" x14ac:dyDescent="0.2">
      <c r="A1719"/>
      <c r="B1719"/>
      <c r="D1719"/>
      <c r="E1719"/>
      <c r="F1719"/>
      <c r="G1719"/>
      <c r="I1719"/>
      <c r="J1719"/>
      <c r="K1719"/>
      <c r="L1719" s="499"/>
      <c r="BX1719" s="769"/>
      <c r="BY1719"/>
      <c r="BZ1719"/>
      <c r="CA1719"/>
      <c r="CB1719"/>
      <c r="CC1719"/>
      <c r="CD1719"/>
      <c r="CE1719"/>
      <c r="CF1719"/>
      <c r="CG1719"/>
      <c r="CH1719"/>
      <c r="CI1719"/>
      <c r="CJ1719"/>
      <c r="CK1719"/>
      <c r="CL1719"/>
      <c r="CM1719"/>
    </row>
    <row r="1720" spans="1:91" x14ac:dyDescent="0.2">
      <c r="A1720"/>
      <c r="B1720"/>
      <c r="D1720"/>
      <c r="E1720"/>
      <c r="F1720"/>
      <c r="G1720"/>
      <c r="I1720"/>
      <c r="J1720"/>
      <c r="K1720"/>
      <c r="L1720" s="499"/>
      <c r="BX1720" s="769"/>
      <c r="BY1720"/>
      <c r="BZ1720"/>
      <c r="CA1720"/>
      <c r="CB1720"/>
      <c r="CC1720"/>
      <c r="CD1720"/>
      <c r="CE1720"/>
      <c r="CF1720"/>
      <c r="CG1720"/>
      <c r="CH1720"/>
      <c r="CI1720"/>
      <c r="CJ1720"/>
      <c r="CK1720"/>
      <c r="CL1720"/>
      <c r="CM1720"/>
    </row>
    <row r="1721" spans="1:91" x14ac:dyDescent="0.2">
      <c r="A1721"/>
      <c r="B1721"/>
      <c r="D1721"/>
      <c r="E1721"/>
      <c r="F1721"/>
      <c r="G1721"/>
      <c r="I1721"/>
      <c r="J1721"/>
      <c r="K1721"/>
      <c r="L1721" s="499"/>
      <c r="BX1721" s="769"/>
      <c r="BY1721"/>
      <c r="BZ1721"/>
      <c r="CA1721"/>
      <c r="CB1721"/>
      <c r="CC1721"/>
      <c r="CD1721"/>
      <c r="CE1721"/>
      <c r="CF1721"/>
      <c r="CG1721"/>
      <c r="CH1721"/>
      <c r="CI1721"/>
      <c r="CJ1721"/>
      <c r="CK1721"/>
      <c r="CL1721"/>
      <c r="CM1721"/>
    </row>
    <row r="1722" spans="1:91" x14ac:dyDescent="0.2">
      <c r="A1722"/>
      <c r="B1722"/>
      <c r="D1722"/>
      <c r="E1722"/>
      <c r="F1722"/>
      <c r="G1722"/>
      <c r="I1722"/>
      <c r="J1722"/>
      <c r="K1722"/>
      <c r="L1722" s="499"/>
      <c r="BX1722" s="769"/>
      <c r="BY1722"/>
      <c r="BZ1722"/>
      <c r="CA1722"/>
      <c r="CB1722"/>
      <c r="CC1722"/>
      <c r="CD1722"/>
      <c r="CE1722"/>
      <c r="CF1722"/>
      <c r="CG1722"/>
      <c r="CH1722"/>
      <c r="CI1722"/>
      <c r="CJ1722"/>
      <c r="CK1722"/>
      <c r="CL1722"/>
      <c r="CM1722"/>
    </row>
    <row r="1723" spans="1:91" x14ac:dyDescent="0.2">
      <c r="A1723"/>
      <c r="B1723"/>
      <c r="D1723"/>
      <c r="E1723"/>
      <c r="F1723"/>
      <c r="G1723"/>
      <c r="I1723"/>
      <c r="J1723"/>
      <c r="K1723"/>
      <c r="L1723" s="499"/>
      <c r="BX1723" s="769"/>
      <c r="BY1723"/>
      <c r="BZ1723"/>
      <c r="CA1723"/>
      <c r="CB1723"/>
      <c r="CC1723"/>
      <c r="CD1723"/>
      <c r="CE1723"/>
      <c r="CF1723"/>
      <c r="CG1723"/>
      <c r="CH1723"/>
      <c r="CI1723"/>
      <c r="CJ1723"/>
      <c r="CK1723"/>
      <c r="CL1723"/>
      <c r="CM1723"/>
    </row>
    <row r="1724" spans="1:91" x14ac:dyDescent="0.2">
      <c r="A1724"/>
      <c r="B1724"/>
      <c r="D1724"/>
      <c r="E1724"/>
      <c r="F1724"/>
      <c r="G1724"/>
      <c r="I1724"/>
      <c r="J1724"/>
      <c r="K1724"/>
      <c r="L1724" s="499"/>
      <c r="BX1724" s="769"/>
      <c r="BY1724"/>
      <c r="BZ1724"/>
      <c r="CA1724"/>
      <c r="CB1724"/>
      <c r="CC1724"/>
      <c r="CD1724"/>
      <c r="CE1724"/>
      <c r="CF1724"/>
      <c r="CG1724"/>
      <c r="CH1724"/>
      <c r="CI1724"/>
      <c r="CJ1724"/>
      <c r="CK1724"/>
      <c r="CL1724"/>
      <c r="CM1724"/>
    </row>
    <row r="1725" spans="1:91" x14ac:dyDescent="0.2">
      <c r="A1725"/>
      <c r="B1725"/>
      <c r="D1725"/>
      <c r="E1725"/>
      <c r="F1725"/>
      <c r="G1725"/>
      <c r="I1725"/>
      <c r="J1725"/>
      <c r="K1725"/>
      <c r="L1725" s="499"/>
      <c r="BX1725" s="769"/>
      <c r="BY1725"/>
      <c r="BZ1725"/>
      <c r="CA1725"/>
      <c r="CB1725"/>
      <c r="CC1725"/>
      <c r="CD1725"/>
      <c r="CE1725"/>
      <c r="CF1725"/>
      <c r="CG1725"/>
      <c r="CH1725"/>
      <c r="CI1725"/>
      <c r="CJ1725"/>
      <c r="CK1725"/>
      <c r="CL1725"/>
      <c r="CM1725"/>
    </row>
    <row r="1726" spans="1:91" x14ac:dyDescent="0.2">
      <c r="A1726"/>
      <c r="B1726"/>
      <c r="D1726"/>
      <c r="E1726"/>
      <c r="F1726"/>
      <c r="G1726"/>
      <c r="I1726"/>
      <c r="J1726"/>
      <c r="K1726"/>
      <c r="L1726" s="499"/>
      <c r="BX1726" s="769"/>
      <c r="BY1726"/>
      <c r="BZ1726"/>
      <c r="CA1726"/>
      <c r="CB1726"/>
      <c r="CC1726"/>
      <c r="CD1726"/>
      <c r="CE1726"/>
      <c r="CF1726"/>
      <c r="CG1726"/>
      <c r="CH1726"/>
      <c r="CI1726"/>
      <c r="CJ1726"/>
      <c r="CK1726"/>
      <c r="CL1726"/>
      <c r="CM1726"/>
    </row>
    <row r="1727" spans="1:91" x14ac:dyDescent="0.2">
      <c r="A1727"/>
      <c r="B1727"/>
      <c r="D1727"/>
      <c r="E1727"/>
      <c r="F1727"/>
      <c r="G1727"/>
      <c r="I1727"/>
      <c r="J1727"/>
      <c r="K1727"/>
      <c r="L1727" s="499"/>
      <c r="BX1727" s="769"/>
      <c r="BY1727"/>
      <c r="BZ1727"/>
      <c r="CA1727"/>
      <c r="CB1727"/>
      <c r="CC1727"/>
      <c r="CD1727"/>
      <c r="CE1727"/>
      <c r="CF1727"/>
      <c r="CG1727"/>
      <c r="CH1727"/>
      <c r="CI1727"/>
      <c r="CJ1727"/>
      <c r="CK1727"/>
      <c r="CL1727"/>
      <c r="CM1727"/>
    </row>
    <row r="1728" spans="1:91" x14ac:dyDescent="0.2">
      <c r="A1728"/>
      <c r="B1728"/>
      <c r="D1728"/>
      <c r="E1728"/>
      <c r="F1728"/>
      <c r="G1728"/>
      <c r="I1728"/>
      <c r="J1728"/>
      <c r="K1728"/>
      <c r="L1728" s="499"/>
      <c r="BX1728" s="769"/>
      <c r="BY1728"/>
      <c r="BZ1728"/>
      <c r="CA1728"/>
      <c r="CB1728"/>
      <c r="CC1728"/>
      <c r="CD1728"/>
      <c r="CE1728"/>
      <c r="CF1728"/>
      <c r="CG1728"/>
      <c r="CH1728"/>
      <c r="CI1728"/>
      <c r="CJ1728"/>
      <c r="CK1728"/>
      <c r="CL1728"/>
      <c r="CM1728"/>
    </row>
    <row r="1729" spans="1:91" x14ac:dyDescent="0.2">
      <c r="A1729"/>
      <c r="B1729"/>
      <c r="D1729"/>
      <c r="E1729"/>
      <c r="F1729"/>
      <c r="G1729"/>
      <c r="I1729"/>
      <c r="J1729"/>
      <c r="K1729"/>
      <c r="L1729" s="499"/>
      <c r="BX1729" s="769"/>
      <c r="BY1729"/>
      <c r="BZ1729"/>
      <c r="CA1729"/>
      <c r="CB1729"/>
      <c r="CC1729"/>
      <c r="CD1729"/>
      <c r="CE1729"/>
      <c r="CF1729"/>
      <c r="CG1729"/>
      <c r="CH1729"/>
      <c r="CI1729"/>
      <c r="CJ1729"/>
      <c r="CK1729"/>
      <c r="CL1729"/>
      <c r="CM1729"/>
    </row>
    <row r="1730" spans="1:91" x14ac:dyDescent="0.2">
      <c r="A1730"/>
      <c r="B1730"/>
      <c r="D1730"/>
      <c r="E1730"/>
      <c r="F1730"/>
      <c r="G1730"/>
      <c r="I1730"/>
      <c r="J1730"/>
      <c r="K1730"/>
      <c r="L1730" s="499"/>
      <c r="BX1730" s="769"/>
      <c r="BY1730"/>
      <c r="BZ1730"/>
      <c r="CA1730"/>
      <c r="CB1730"/>
      <c r="CC1730"/>
      <c r="CD1730"/>
      <c r="CE1730"/>
      <c r="CF1730"/>
      <c r="CG1730"/>
      <c r="CH1730"/>
      <c r="CI1730"/>
      <c r="CJ1730"/>
      <c r="CK1730"/>
      <c r="CL1730"/>
      <c r="CM1730"/>
    </row>
    <row r="1731" spans="1:91" x14ac:dyDescent="0.2">
      <c r="A1731"/>
      <c r="B1731"/>
      <c r="D1731"/>
      <c r="E1731"/>
      <c r="F1731"/>
      <c r="G1731"/>
      <c r="I1731"/>
      <c r="J1731"/>
      <c r="K1731"/>
      <c r="L1731" s="499"/>
      <c r="BX1731" s="769"/>
      <c r="BY1731"/>
      <c r="BZ1731"/>
      <c r="CA1731"/>
      <c r="CB1731"/>
      <c r="CC1731"/>
      <c r="CD1731"/>
      <c r="CE1731"/>
      <c r="CF1731"/>
      <c r="CG1731"/>
      <c r="CH1731"/>
      <c r="CI1731"/>
      <c r="CJ1731"/>
      <c r="CK1731"/>
      <c r="CL1731"/>
      <c r="CM1731"/>
    </row>
    <row r="1732" spans="1:91" x14ac:dyDescent="0.2">
      <c r="A1732"/>
      <c r="B1732"/>
      <c r="D1732"/>
      <c r="E1732"/>
      <c r="F1732"/>
      <c r="G1732"/>
      <c r="I1732"/>
      <c r="J1732"/>
      <c r="K1732"/>
      <c r="L1732" s="499"/>
      <c r="BX1732" s="769"/>
      <c r="BY1732"/>
      <c r="BZ1732"/>
      <c r="CA1732"/>
      <c r="CB1732"/>
      <c r="CC1732"/>
      <c r="CD1732"/>
      <c r="CE1732"/>
      <c r="CF1732"/>
      <c r="CG1732"/>
      <c r="CH1732"/>
      <c r="CI1732"/>
      <c r="CJ1732"/>
      <c r="CK1732"/>
      <c r="CL1732"/>
      <c r="CM1732"/>
    </row>
    <row r="1733" spans="1:91" x14ac:dyDescent="0.2">
      <c r="A1733"/>
      <c r="B1733"/>
      <c r="D1733"/>
      <c r="E1733"/>
      <c r="F1733"/>
      <c r="G1733"/>
      <c r="I1733"/>
      <c r="J1733"/>
      <c r="K1733"/>
      <c r="L1733" s="499"/>
      <c r="BX1733" s="769"/>
      <c r="BY1733"/>
      <c r="BZ1733"/>
      <c r="CA1733"/>
      <c r="CB1733"/>
      <c r="CC1733"/>
      <c r="CD1733"/>
      <c r="CE1733"/>
      <c r="CF1733"/>
      <c r="CG1733"/>
      <c r="CH1733"/>
      <c r="CI1733"/>
      <c r="CJ1733"/>
      <c r="CK1733"/>
      <c r="CL1733"/>
      <c r="CM1733"/>
    </row>
    <row r="1734" spans="1:91" x14ac:dyDescent="0.2">
      <c r="A1734"/>
      <c r="B1734"/>
      <c r="D1734"/>
      <c r="E1734"/>
      <c r="F1734"/>
      <c r="G1734"/>
      <c r="I1734"/>
      <c r="J1734"/>
      <c r="K1734"/>
      <c r="L1734" s="499"/>
      <c r="BX1734" s="769"/>
      <c r="BY1734"/>
      <c r="BZ1734"/>
      <c r="CA1734"/>
      <c r="CB1734"/>
      <c r="CC1734"/>
      <c r="CD1734"/>
      <c r="CE1734"/>
      <c r="CF1734"/>
      <c r="CG1734"/>
      <c r="CH1734"/>
      <c r="CI1734"/>
      <c r="CJ1734"/>
      <c r="CK1734"/>
      <c r="CL1734"/>
      <c r="CM1734"/>
    </row>
    <row r="1735" spans="1:91" x14ac:dyDescent="0.2">
      <c r="A1735"/>
      <c r="B1735"/>
      <c r="D1735"/>
      <c r="E1735"/>
      <c r="F1735"/>
      <c r="G1735"/>
      <c r="I1735"/>
      <c r="J1735"/>
      <c r="K1735"/>
      <c r="L1735" s="499"/>
      <c r="BX1735" s="769"/>
      <c r="BY1735"/>
      <c r="BZ1735"/>
      <c r="CA1735"/>
      <c r="CB1735"/>
      <c r="CC1735"/>
      <c r="CD1735"/>
      <c r="CE1735"/>
      <c r="CF1735"/>
      <c r="CG1735"/>
      <c r="CH1735"/>
      <c r="CI1735"/>
      <c r="CJ1735"/>
      <c r="CK1735"/>
      <c r="CL1735"/>
      <c r="CM1735"/>
    </row>
    <row r="1736" spans="1:91" x14ac:dyDescent="0.2">
      <c r="A1736"/>
      <c r="B1736"/>
      <c r="D1736"/>
      <c r="E1736"/>
      <c r="F1736"/>
      <c r="G1736"/>
      <c r="I1736"/>
      <c r="J1736"/>
      <c r="K1736"/>
      <c r="L1736" s="499"/>
      <c r="BX1736" s="769"/>
      <c r="BY1736"/>
      <c r="BZ1736"/>
      <c r="CA1736"/>
      <c r="CB1736"/>
      <c r="CC1736"/>
      <c r="CD1736"/>
      <c r="CE1736"/>
      <c r="CF1736"/>
      <c r="CG1736"/>
      <c r="CH1736"/>
      <c r="CI1736"/>
      <c r="CJ1736"/>
      <c r="CK1736"/>
      <c r="CL1736"/>
      <c r="CM1736"/>
    </row>
    <row r="1737" spans="1:91" x14ac:dyDescent="0.2">
      <c r="A1737"/>
      <c r="B1737"/>
      <c r="D1737"/>
      <c r="E1737"/>
      <c r="F1737"/>
      <c r="G1737"/>
      <c r="I1737"/>
      <c r="J1737"/>
      <c r="K1737"/>
      <c r="L1737" s="499"/>
      <c r="BX1737" s="769"/>
      <c r="BY1737"/>
      <c r="BZ1737"/>
      <c r="CA1737"/>
      <c r="CB1737"/>
      <c r="CC1737"/>
      <c r="CD1737"/>
      <c r="CE1737"/>
      <c r="CF1737"/>
      <c r="CG1737"/>
      <c r="CH1737"/>
      <c r="CI1737"/>
      <c r="CJ1737"/>
      <c r="CK1737"/>
      <c r="CL1737"/>
      <c r="CM1737"/>
    </row>
    <row r="1738" spans="1:91" x14ac:dyDescent="0.2">
      <c r="A1738"/>
      <c r="B1738"/>
      <c r="D1738"/>
      <c r="E1738"/>
      <c r="F1738"/>
      <c r="G1738"/>
      <c r="I1738"/>
      <c r="J1738"/>
      <c r="K1738"/>
      <c r="L1738" s="499"/>
      <c r="BX1738" s="769"/>
      <c r="BY1738"/>
      <c r="BZ1738"/>
      <c r="CA1738"/>
      <c r="CB1738"/>
      <c r="CC1738"/>
      <c r="CD1738"/>
      <c r="CE1738"/>
      <c r="CF1738"/>
      <c r="CG1738"/>
      <c r="CH1738"/>
      <c r="CI1738"/>
      <c r="CJ1738"/>
      <c r="CK1738"/>
      <c r="CL1738"/>
      <c r="CM1738"/>
    </row>
    <row r="1739" spans="1:91" x14ac:dyDescent="0.2">
      <c r="A1739"/>
      <c r="B1739"/>
      <c r="D1739"/>
      <c r="E1739"/>
      <c r="F1739"/>
      <c r="G1739"/>
      <c r="I1739"/>
      <c r="J1739"/>
      <c r="K1739"/>
      <c r="L1739" s="499"/>
      <c r="BX1739" s="769"/>
      <c r="BY1739"/>
      <c r="BZ1739"/>
      <c r="CA1739"/>
      <c r="CB1739"/>
      <c r="CC1739"/>
      <c r="CD1739"/>
      <c r="CE1739"/>
      <c r="CF1739"/>
      <c r="CG1739"/>
      <c r="CH1739"/>
      <c r="CI1739"/>
      <c r="CJ1739"/>
      <c r="CK1739"/>
      <c r="CL1739"/>
      <c r="CM1739"/>
    </row>
    <row r="1740" spans="1:91" x14ac:dyDescent="0.2">
      <c r="A1740"/>
      <c r="B1740"/>
      <c r="D1740"/>
      <c r="E1740"/>
      <c r="F1740"/>
      <c r="G1740"/>
      <c r="I1740"/>
      <c r="J1740"/>
      <c r="K1740"/>
      <c r="L1740" s="499"/>
      <c r="BX1740" s="769"/>
      <c r="BY1740"/>
      <c r="BZ1740"/>
      <c r="CA1740"/>
      <c r="CB1740"/>
      <c r="CC1740"/>
      <c r="CD1740"/>
      <c r="CE1740"/>
      <c r="CF1740"/>
      <c r="CG1740"/>
      <c r="CH1740"/>
      <c r="CI1740"/>
      <c r="CJ1740"/>
      <c r="CK1740"/>
      <c r="CL1740"/>
      <c r="CM1740"/>
    </row>
    <row r="1741" spans="1:91" x14ac:dyDescent="0.2">
      <c r="A1741"/>
      <c r="B1741"/>
      <c r="D1741"/>
      <c r="E1741"/>
      <c r="F1741"/>
      <c r="G1741"/>
      <c r="I1741"/>
      <c r="J1741"/>
      <c r="K1741"/>
      <c r="L1741" s="499"/>
      <c r="BX1741" s="769"/>
      <c r="BY1741"/>
      <c r="BZ1741"/>
      <c r="CA1741"/>
      <c r="CB1741"/>
      <c r="CC1741"/>
      <c r="CD1741"/>
      <c r="CE1741"/>
      <c r="CF1741"/>
      <c r="CG1741"/>
      <c r="CH1741"/>
      <c r="CI1741"/>
      <c r="CJ1741"/>
      <c r="CK1741"/>
      <c r="CL1741"/>
      <c r="CM1741"/>
    </row>
    <row r="1742" spans="1:91" x14ac:dyDescent="0.2">
      <c r="A1742"/>
      <c r="B1742"/>
      <c r="D1742"/>
      <c r="E1742"/>
      <c r="F1742"/>
      <c r="G1742"/>
      <c r="I1742"/>
      <c r="J1742"/>
      <c r="K1742"/>
      <c r="L1742" s="499"/>
      <c r="BX1742" s="769"/>
      <c r="BY1742"/>
      <c r="BZ1742"/>
      <c r="CA1742"/>
      <c r="CB1742"/>
      <c r="CC1742"/>
      <c r="CD1742"/>
      <c r="CE1742"/>
      <c r="CF1742"/>
      <c r="CG1742"/>
      <c r="CH1742"/>
      <c r="CI1742"/>
      <c r="CJ1742"/>
      <c r="CK1742"/>
      <c r="CL1742"/>
      <c r="CM1742"/>
    </row>
    <row r="1743" spans="1:91" x14ac:dyDescent="0.2">
      <c r="A1743"/>
      <c r="B1743"/>
      <c r="D1743"/>
      <c r="E1743"/>
      <c r="F1743"/>
      <c r="G1743"/>
      <c r="I1743"/>
      <c r="J1743"/>
      <c r="K1743"/>
      <c r="L1743" s="499"/>
      <c r="BX1743" s="769"/>
      <c r="BY1743"/>
      <c r="BZ1743"/>
      <c r="CA1743"/>
      <c r="CB1743"/>
      <c r="CC1743"/>
      <c r="CD1743"/>
      <c r="CE1743"/>
      <c r="CF1743"/>
      <c r="CG1743"/>
      <c r="CH1743"/>
      <c r="CI1743"/>
      <c r="CJ1743"/>
      <c r="CK1743"/>
      <c r="CL1743"/>
      <c r="CM1743"/>
    </row>
    <row r="1744" spans="1:91" x14ac:dyDescent="0.2">
      <c r="A1744"/>
      <c r="B1744"/>
      <c r="D1744"/>
      <c r="E1744"/>
      <c r="F1744"/>
      <c r="G1744"/>
      <c r="I1744"/>
      <c r="J1744"/>
      <c r="K1744"/>
      <c r="L1744" s="499"/>
      <c r="BX1744" s="769"/>
      <c r="BY1744"/>
      <c r="BZ1744"/>
      <c r="CA1744"/>
      <c r="CB1744"/>
      <c r="CC1744"/>
      <c r="CD1744"/>
      <c r="CE1744"/>
      <c r="CF1744"/>
      <c r="CG1744"/>
      <c r="CH1744"/>
      <c r="CI1744"/>
      <c r="CJ1744"/>
      <c r="CK1744"/>
      <c r="CL1744"/>
      <c r="CM1744"/>
    </row>
    <row r="1745" spans="1:91" x14ac:dyDescent="0.2">
      <c r="A1745"/>
      <c r="B1745"/>
      <c r="D1745"/>
      <c r="E1745"/>
      <c r="F1745"/>
      <c r="G1745"/>
      <c r="I1745"/>
      <c r="J1745"/>
      <c r="K1745"/>
      <c r="L1745" s="499"/>
      <c r="BX1745" s="769"/>
      <c r="BY1745"/>
      <c r="BZ1745"/>
      <c r="CA1745"/>
      <c r="CB1745"/>
      <c r="CC1745"/>
      <c r="CD1745"/>
      <c r="CE1745"/>
      <c r="CF1745"/>
      <c r="CG1745"/>
      <c r="CH1745"/>
      <c r="CI1745"/>
      <c r="CJ1745"/>
      <c r="CK1745"/>
      <c r="CL1745"/>
      <c r="CM1745"/>
    </row>
    <row r="1746" spans="1:91" x14ac:dyDescent="0.2">
      <c r="A1746"/>
      <c r="B1746"/>
      <c r="D1746"/>
      <c r="E1746"/>
      <c r="F1746"/>
      <c r="G1746"/>
      <c r="I1746"/>
      <c r="J1746"/>
      <c r="K1746"/>
      <c r="L1746" s="499"/>
      <c r="BX1746" s="769"/>
      <c r="BY1746"/>
      <c r="BZ1746"/>
      <c r="CA1746"/>
      <c r="CB1746"/>
      <c r="CC1746"/>
      <c r="CD1746"/>
      <c r="CE1746"/>
      <c r="CF1746"/>
      <c r="CG1746"/>
      <c r="CH1746"/>
      <c r="CI1746"/>
      <c r="CJ1746"/>
      <c r="CK1746"/>
      <c r="CL1746"/>
      <c r="CM1746"/>
    </row>
    <row r="1747" spans="1:91" x14ac:dyDescent="0.2">
      <c r="A1747"/>
      <c r="B1747"/>
      <c r="D1747"/>
      <c r="E1747"/>
      <c r="F1747"/>
      <c r="G1747"/>
      <c r="I1747"/>
      <c r="J1747"/>
      <c r="K1747"/>
      <c r="L1747" s="499"/>
      <c r="BX1747" s="769"/>
      <c r="BY1747"/>
      <c r="BZ1747"/>
      <c r="CA1747"/>
      <c r="CB1747"/>
      <c r="CC1747"/>
      <c r="CD1747"/>
      <c r="CE1747"/>
      <c r="CF1747"/>
      <c r="CG1747"/>
      <c r="CH1747"/>
      <c r="CI1747"/>
      <c r="CJ1747"/>
      <c r="CK1747"/>
      <c r="CL1747"/>
      <c r="CM1747"/>
    </row>
    <row r="1748" spans="1:91" x14ac:dyDescent="0.2">
      <c r="A1748"/>
      <c r="B1748"/>
      <c r="D1748"/>
      <c r="E1748"/>
      <c r="F1748"/>
      <c r="G1748"/>
      <c r="I1748"/>
      <c r="J1748"/>
      <c r="K1748"/>
      <c r="L1748" s="499"/>
      <c r="BX1748" s="769"/>
      <c r="BY1748"/>
      <c r="BZ1748"/>
      <c r="CA1748"/>
      <c r="CB1748"/>
      <c r="CC1748"/>
      <c r="CD1748"/>
      <c r="CE1748"/>
      <c r="CF1748"/>
      <c r="CG1748"/>
      <c r="CH1748"/>
      <c r="CI1748"/>
      <c r="CJ1748"/>
      <c r="CK1748"/>
      <c r="CL1748"/>
      <c r="CM1748"/>
    </row>
    <row r="1749" spans="1:91" x14ac:dyDescent="0.2">
      <c r="A1749"/>
      <c r="B1749"/>
      <c r="D1749"/>
      <c r="E1749"/>
      <c r="F1749"/>
      <c r="G1749"/>
      <c r="I1749"/>
      <c r="J1749"/>
      <c r="K1749"/>
      <c r="L1749" s="499"/>
      <c r="BX1749" s="769"/>
      <c r="BY1749"/>
      <c r="BZ1749"/>
      <c r="CA1749"/>
      <c r="CB1749"/>
      <c r="CC1749"/>
      <c r="CD1749"/>
      <c r="CE1749"/>
      <c r="CF1749"/>
      <c r="CG1749"/>
      <c r="CH1749"/>
      <c r="CI1749"/>
      <c r="CJ1749"/>
      <c r="CK1749"/>
      <c r="CL1749"/>
      <c r="CM1749"/>
    </row>
    <row r="1750" spans="1:91" x14ac:dyDescent="0.2">
      <c r="A1750"/>
      <c r="B1750"/>
      <c r="D1750"/>
      <c r="E1750"/>
      <c r="F1750"/>
      <c r="G1750"/>
      <c r="I1750"/>
      <c r="J1750"/>
      <c r="K1750"/>
      <c r="L1750" s="499"/>
      <c r="BX1750" s="769"/>
      <c r="BY1750"/>
      <c r="BZ1750"/>
      <c r="CA1750"/>
      <c r="CB1750"/>
      <c r="CC1750"/>
      <c r="CD1750"/>
      <c r="CE1750"/>
      <c r="CF1750"/>
      <c r="CG1750"/>
      <c r="CH1750"/>
      <c r="CI1750"/>
      <c r="CJ1750"/>
      <c r="CK1750"/>
      <c r="CL1750"/>
      <c r="CM1750"/>
    </row>
    <row r="1751" spans="1:91" x14ac:dyDescent="0.2">
      <c r="A1751"/>
      <c r="B1751"/>
      <c r="D1751"/>
      <c r="E1751"/>
      <c r="F1751"/>
      <c r="G1751"/>
      <c r="I1751"/>
      <c r="J1751"/>
      <c r="K1751"/>
      <c r="L1751" s="499"/>
      <c r="BX1751" s="769"/>
      <c r="BY1751"/>
      <c r="BZ1751"/>
      <c r="CA1751"/>
      <c r="CB1751"/>
      <c r="CC1751"/>
      <c r="CD1751"/>
      <c r="CE1751"/>
      <c r="CF1751"/>
      <c r="CG1751"/>
      <c r="CH1751"/>
      <c r="CI1751"/>
      <c r="CJ1751"/>
      <c r="CK1751"/>
      <c r="CL1751"/>
      <c r="CM1751"/>
    </row>
    <row r="1752" spans="1:91" x14ac:dyDescent="0.2">
      <c r="A1752"/>
      <c r="B1752"/>
      <c r="D1752"/>
      <c r="E1752"/>
      <c r="F1752"/>
      <c r="G1752"/>
      <c r="I1752"/>
      <c r="J1752"/>
      <c r="K1752"/>
      <c r="L1752" s="499"/>
      <c r="BX1752" s="769"/>
      <c r="BY1752"/>
      <c r="BZ1752"/>
      <c r="CA1752"/>
      <c r="CB1752"/>
      <c r="CC1752"/>
      <c r="CD1752"/>
      <c r="CE1752"/>
      <c r="CF1752"/>
      <c r="CG1752"/>
      <c r="CH1752"/>
      <c r="CI1752"/>
      <c r="CJ1752"/>
      <c r="CK1752"/>
      <c r="CL1752"/>
      <c r="CM1752"/>
    </row>
    <row r="1753" spans="1:91" x14ac:dyDescent="0.2">
      <c r="A1753"/>
      <c r="B1753"/>
      <c r="D1753"/>
      <c r="E1753"/>
      <c r="F1753"/>
      <c r="G1753"/>
      <c r="I1753"/>
      <c r="J1753"/>
      <c r="K1753"/>
      <c r="L1753" s="499"/>
      <c r="BX1753" s="769"/>
      <c r="BY1753"/>
      <c r="BZ1753"/>
      <c r="CA1753"/>
      <c r="CB1753"/>
      <c r="CC1753"/>
      <c r="CD1753"/>
      <c r="CE1753"/>
      <c r="CF1753"/>
      <c r="CG1753"/>
      <c r="CH1753"/>
      <c r="CI1753"/>
      <c r="CJ1753"/>
      <c r="CK1753"/>
      <c r="CL1753"/>
      <c r="CM1753"/>
    </row>
    <row r="1754" spans="1:91" x14ac:dyDescent="0.2">
      <c r="A1754"/>
      <c r="B1754"/>
      <c r="D1754"/>
      <c r="E1754"/>
      <c r="F1754"/>
      <c r="G1754"/>
      <c r="I1754"/>
      <c r="J1754"/>
      <c r="K1754"/>
      <c r="L1754" s="499"/>
      <c r="BX1754" s="769"/>
      <c r="BY1754"/>
      <c r="BZ1754"/>
      <c r="CA1754"/>
      <c r="CB1754"/>
      <c r="CC1754"/>
      <c r="CD1754"/>
      <c r="CE1754"/>
      <c r="CF1754"/>
      <c r="CG1754"/>
      <c r="CH1754"/>
      <c r="CI1754"/>
      <c r="CJ1754"/>
      <c r="CK1754"/>
      <c r="CL1754"/>
      <c r="CM1754"/>
    </row>
    <row r="1755" spans="1:91" x14ac:dyDescent="0.2">
      <c r="A1755"/>
      <c r="B1755"/>
      <c r="D1755"/>
      <c r="E1755"/>
      <c r="F1755"/>
      <c r="G1755"/>
      <c r="I1755"/>
      <c r="J1755"/>
      <c r="K1755"/>
      <c r="L1755" s="499"/>
      <c r="BX1755" s="769"/>
      <c r="BY1755"/>
      <c r="BZ1755"/>
      <c r="CA1755"/>
      <c r="CB1755"/>
      <c r="CC1755"/>
      <c r="CD1755"/>
      <c r="CE1755"/>
      <c r="CF1755"/>
      <c r="CG1755"/>
      <c r="CH1755"/>
      <c r="CI1755"/>
      <c r="CJ1755"/>
      <c r="CK1755"/>
      <c r="CL1755"/>
      <c r="CM1755"/>
    </row>
    <row r="1756" spans="1:91" x14ac:dyDescent="0.2">
      <c r="A1756"/>
      <c r="B1756"/>
      <c r="D1756"/>
      <c r="E1756"/>
      <c r="F1756"/>
      <c r="G1756"/>
      <c r="I1756"/>
      <c r="J1756"/>
      <c r="K1756"/>
      <c r="L1756" s="499"/>
      <c r="BX1756" s="769"/>
      <c r="BY1756"/>
      <c r="BZ1756"/>
      <c r="CA1756"/>
      <c r="CB1756"/>
      <c r="CC1756"/>
      <c r="CD1756"/>
      <c r="CE1756"/>
      <c r="CF1756"/>
      <c r="CG1756"/>
      <c r="CH1756"/>
      <c r="CI1756"/>
      <c r="CJ1756"/>
      <c r="CK1756"/>
      <c r="CL1756"/>
      <c r="CM1756"/>
    </row>
    <row r="1757" spans="1:91" x14ac:dyDescent="0.2">
      <c r="A1757"/>
      <c r="B1757"/>
      <c r="D1757"/>
      <c r="E1757"/>
      <c r="F1757"/>
      <c r="G1757"/>
      <c r="I1757"/>
      <c r="J1757"/>
      <c r="K1757"/>
      <c r="L1757" s="499"/>
      <c r="BX1757" s="769"/>
      <c r="BY1757"/>
      <c r="BZ1757"/>
      <c r="CA1757"/>
      <c r="CB1757"/>
      <c r="CC1757"/>
      <c r="CD1757"/>
      <c r="CE1757"/>
      <c r="CF1757"/>
      <c r="CG1757"/>
      <c r="CH1757"/>
      <c r="CI1757"/>
      <c r="CJ1757"/>
      <c r="CK1757"/>
      <c r="CL1757"/>
      <c r="CM1757"/>
    </row>
    <row r="1758" spans="1:91" x14ac:dyDescent="0.2">
      <c r="A1758"/>
      <c r="B1758"/>
      <c r="D1758"/>
      <c r="E1758"/>
      <c r="F1758"/>
      <c r="G1758"/>
      <c r="I1758"/>
      <c r="J1758"/>
      <c r="K1758"/>
      <c r="L1758" s="499"/>
      <c r="BX1758" s="769"/>
      <c r="BY1758"/>
      <c r="BZ1758"/>
      <c r="CA1758"/>
      <c r="CB1758"/>
      <c r="CC1758"/>
      <c r="CD1758"/>
      <c r="CE1758"/>
      <c r="CF1758"/>
      <c r="CG1758"/>
      <c r="CH1758"/>
      <c r="CI1758"/>
      <c r="CJ1758"/>
      <c r="CK1758"/>
      <c r="CL1758"/>
      <c r="CM1758"/>
    </row>
    <row r="1759" spans="1:91" x14ac:dyDescent="0.2">
      <c r="A1759"/>
      <c r="B1759"/>
      <c r="D1759"/>
      <c r="E1759"/>
      <c r="F1759"/>
      <c r="G1759"/>
      <c r="I1759"/>
      <c r="J1759"/>
      <c r="K1759"/>
      <c r="L1759" s="499"/>
      <c r="BX1759" s="769"/>
      <c r="BY1759"/>
      <c r="BZ1759"/>
      <c r="CA1759"/>
      <c r="CB1759"/>
      <c r="CC1759"/>
      <c r="CD1759"/>
      <c r="CE1759"/>
      <c r="CF1759"/>
      <c r="CG1759"/>
      <c r="CH1759"/>
      <c r="CI1759"/>
      <c r="CJ1759"/>
      <c r="CK1759"/>
      <c r="CL1759"/>
      <c r="CM1759"/>
    </row>
    <row r="1760" spans="1:91" x14ac:dyDescent="0.2">
      <c r="A1760"/>
      <c r="B1760"/>
      <c r="D1760"/>
      <c r="E1760"/>
      <c r="F1760"/>
      <c r="G1760"/>
      <c r="I1760"/>
      <c r="J1760"/>
      <c r="K1760"/>
      <c r="L1760" s="499"/>
      <c r="BX1760" s="769"/>
      <c r="BY1760"/>
      <c r="BZ1760"/>
      <c r="CA1760"/>
      <c r="CB1760"/>
      <c r="CC1760"/>
      <c r="CD1760"/>
      <c r="CE1760"/>
      <c r="CF1760"/>
      <c r="CG1760"/>
      <c r="CH1760"/>
      <c r="CI1760"/>
      <c r="CJ1760"/>
      <c r="CK1760"/>
      <c r="CL1760"/>
      <c r="CM1760"/>
    </row>
    <row r="1761" spans="1:91" x14ac:dyDescent="0.2">
      <c r="A1761"/>
      <c r="B1761"/>
      <c r="D1761"/>
      <c r="E1761"/>
      <c r="F1761"/>
      <c r="G1761"/>
      <c r="I1761"/>
      <c r="J1761"/>
      <c r="K1761"/>
      <c r="L1761" s="499"/>
      <c r="BX1761" s="769"/>
      <c r="BY1761"/>
      <c r="BZ1761"/>
      <c r="CA1761"/>
      <c r="CB1761"/>
      <c r="CC1761"/>
      <c r="CD1761"/>
      <c r="CE1761"/>
      <c r="CF1761"/>
      <c r="CG1761"/>
      <c r="CH1761"/>
      <c r="CI1761"/>
      <c r="CJ1761"/>
      <c r="CK1761"/>
      <c r="CL1761"/>
      <c r="CM1761"/>
    </row>
    <row r="1762" spans="1:91" x14ac:dyDescent="0.2">
      <c r="A1762"/>
      <c r="B1762"/>
      <c r="D1762"/>
      <c r="E1762"/>
      <c r="F1762"/>
      <c r="G1762"/>
      <c r="I1762"/>
      <c r="J1762"/>
      <c r="K1762"/>
      <c r="L1762" s="499"/>
      <c r="BX1762" s="769"/>
      <c r="BY1762"/>
      <c r="BZ1762"/>
      <c r="CA1762"/>
      <c r="CB1762"/>
      <c r="CC1762"/>
      <c r="CD1762"/>
      <c r="CE1762"/>
      <c r="CF1762"/>
      <c r="CG1762"/>
      <c r="CH1762"/>
      <c r="CI1762"/>
      <c r="CJ1762"/>
      <c r="CK1762"/>
      <c r="CL1762"/>
      <c r="CM1762"/>
    </row>
    <row r="1763" spans="1:91" x14ac:dyDescent="0.2">
      <c r="A1763"/>
      <c r="B1763"/>
      <c r="D1763"/>
      <c r="E1763"/>
      <c r="F1763"/>
      <c r="G1763"/>
      <c r="I1763"/>
      <c r="J1763"/>
      <c r="K1763"/>
      <c r="L1763" s="499"/>
      <c r="BX1763" s="769"/>
      <c r="BY1763"/>
      <c r="BZ1763"/>
      <c r="CA1763"/>
      <c r="CB1763"/>
      <c r="CC1763"/>
      <c r="CD1763"/>
      <c r="CE1763"/>
      <c r="CF1763"/>
      <c r="CG1763"/>
      <c r="CH1763"/>
      <c r="CI1763"/>
      <c r="CJ1763"/>
      <c r="CK1763"/>
      <c r="CL1763"/>
      <c r="CM1763"/>
    </row>
    <row r="1764" spans="1:91" x14ac:dyDescent="0.2">
      <c r="A1764"/>
      <c r="B1764"/>
      <c r="D1764"/>
      <c r="E1764"/>
      <c r="F1764"/>
      <c r="G1764"/>
      <c r="I1764"/>
      <c r="J1764"/>
      <c r="K1764"/>
      <c r="L1764" s="499"/>
      <c r="BX1764" s="769"/>
      <c r="BY1764"/>
      <c r="BZ1764"/>
      <c r="CA1764"/>
      <c r="CB1764"/>
      <c r="CC1764"/>
      <c r="CD1764"/>
      <c r="CE1764"/>
      <c r="CF1764"/>
      <c r="CG1764"/>
      <c r="CH1764"/>
      <c r="CI1764"/>
      <c r="CJ1764"/>
      <c r="CK1764"/>
      <c r="CL1764"/>
      <c r="CM1764"/>
    </row>
    <row r="1765" spans="1:91" x14ac:dyDescent="0.2">
      <c r="A1765"/>
      <c r="B1765"/>
      <c r="D1765"/>
      <c r="E1765"/>
      <c r="F1765"/>
      <c r="G1765"/>
      <c r="I1765"/>
      <c r="J1765"/>
      <c r="K1765"/>
      <c r="L1765" s="499"/>
      <c r="BX1765" s="769"/>
      <c r="BY1765"/>
      <c r="BZ1765"/>
      <c r="CA1765"/>
      <c r="CB1765"/>
      <c r="CC1765"/>
      <c r="CD1765"/>
      <c r="CE1765"/>
      <c r="CF1765"/>
      <c r="CG1765"/>
      <c r="CH1765"/>
      <c r="CI1765"/>
      <c r="CJ1765"/>
      <c r="CK1765"/>
      <c r="CL1765"/>
      <c r="CM1765"/>
    </row>
    <row r="1766" spans="1:91" x14ac:dyDescent="0.2">
      <c r="A1766"/>
      <c r="B1766"/>
      <c r="D1766"/>
      <c r="E1766"/>
      <c r="F1766"/>
      <c r="G1766"/>
      <c r="I1766"/>
      <c r="J1766"/>
      <c r="K1766"/>
      <c r="L1766" s="499"/>
      <c r="BX1766" s="769"/>
      <c r="BY1766"/>
      <c r="BZ1766"/>
      <c r="CA1766"/>
      <c r="CB1766"/>
      <c r="CC1766"/>
      <c r="CD1766"/>
      <c r="CE1766"/>
      <c r="CF1766"/>
      <c r="CG1766"/>
      <c r="CH1766"/>
      <c r="CI1766"/>
      <c r="CJ1766"/>
      <c r="CK1766"/>
      <c r="CL1766"/>
      <c r="CM1766"/>
    </row>
    <row r="1767" spans="1:91" x14ac:dyDescent="0.2">
      <c r="A1767"/>
      <c r="B1767"/>
      <c r="D1767"/>
      <c r="E1767"/>
      <c r="F1767"/>
      <c r="G1767"/>
      <c r="I1767"/>
      <c r="J1767"/>
      <c r="K1767"/>
      <c r="L1767" s="499"/>
      <c r="BX1767" s="769"/>
      <c r="BY1767"/>
      <c r="BZ1767"/>
      <c r="CA1767"/>
      <c r="CB1767"/>
      <c r="CC1767"/>
      <c r="CD1767"/>
      <c r="CE1767"/>
      <c r="CF1767"/>
      <c r="CG1767"/>
      <c r="CH1767"/>
      <c r="CI1767"/>
      <c r="CJ1767"/>
      <c r="CK1767"/>
      <c r="CL1767"/>
      <c r="CM1767"/>
    </row>
    <row r="1768" spans="1:91" x14ac:dyDescent="0.2">
      <c r="A1768"/>
      <c r="B1768"/>
      <c r="D1768"/>
      <c r="E1768"/>
      <c r="F1768"/>
      <c r="G1768"/>
      <c r="I1768"/>
      <c r="J1768"/>
      <c r="K1768"/>
      <c r="L1768" s="499"/>
      <c r="BX1768" s="769"/>
      <c r="BY1768"/>
      <c r="BZ1768"/>
      <c r="CA1768"/>
      <c r="CB1768"/>
      <c r="CC1768"/>
      <c r="CD1768"/>
      <c r="CE1768"/>
      <c r="CF1768"/>
      <c r="CG1768"/>
      <c r="CH1768"/>
      <c r="CI1768"/>
      <c r="CJ1768"/>
      <c r="CK1768"/>
      <c r="CL1768"/>
      <c r="CM1768"/>
    </row>
    <row r="1769" spans="1:91" x14ac:dyDescent="0.2">
      <c r="A1769"/>
      <c r="B1769"/>
      <c r="D1769"/>
      <c r="E1769"/>
      <c r="F1769"/>
      <c r="G1769"/>
      <c r="I1769"/>
      <c r="J1769"/>
      <c r="K1769"/>
      <c r="L1769" s="499"/>
      <c r="BX1769" s="769"/>
      <c r="BY1769"/>
      <c r="BZ1769"/>
      <c r="CA1769"/>
      <c r="CB1769"/>
      <c r="CC1769"/>
      <c r="CD1769"/>
      <c r="CE1769"/>
      <c r="CF1769"/>
      <c r="CG1769"/>
      <c r="CH1769"/>
      <c r="CI1769"/>
      <c r="CJ1769"/>
      <c r="CK1769"/>
      <c r="CL1769"/>
      <c r="CM1769"/>
    </row>
    <row r="1770" spans="1:91" x14ac:dyDescent="0.2">
      <c r="A1770"/>
      <c r="B1770"/>
      <c r="D1770"/>
      <c r="E1770"/>
      <c r="F1770"/>
      <c r="G1770"/>
      <c r="I1770"/>
      <c r="J1770"/>
      <c r="K1770"/>
      <c r="L1770" s="499"/>
      <c r="BX1770" s="769"/>
      <c r="BY1770"/>
      <c r="BZ1770"/>
      <c r="CA1770"/>
      <c r="CB1770"/>
      <c r="CC1770"/>
      <c r="CD1770"/>
      <c r="CE1770"/>
      <c r="CF1770"/>
      <c r="CG1770"/>
      <c r="CH1770"/>
      <c r="CI1770"/>
      <c r="CJ1770"/>
      <c r="CK1770"/>
      <c r="CL1770"/>
      <c r="CM1770"/>
    </row>
    <row r="1771" spans="1:91" x14ac:dyDescent="0.2">
      <c r="A1771"/>
      <c r="B1771"/>
      <c r="D1771"/>
      <c r="E1771"/>
      <c r="F1771"/>
      <c r="G1771"/>
      <c r="I1771"/>
      <c r="J1771"/>
      <c r="K1771"/>
      <c r="L1771" s="499"/>
      <c r="BX1771" s="769"/>
      <c r="BY1771"/>
      <c r="BZ1771"/>
      <c r="CA1771"/>
      <c r="CB1771"/>
      <c r="CC1771"/>
      <c r="CD1771"/>
      <c r="CE1771"/>
      <c r="CF1771"/>
      <c r="CG1771"/>
      <c r="CH1771"/>
      <c r="CI1771"/>
      <c r="CJ1771"/>
      <c r="CK1771"/>
      <c r="CL1771"/>
      <c r="CM1771"/>
    </row>
    <row r="1772" spans="1:91" x14ac:dyDescent="0.2">
      <c r="A1772"/>
      <c r="B1772"/>
      <c r="D1772"/>
      <c r="E1772"/>
      <c r="F1772"/>
      <c r="G1772"/>
      <c r="I1772"/>
      <c r="J1772"/>
      <c r="K1772"/>
      <c r="L1772" s="499"/>
      <c r="BX1772" s="769"/>
      <c r="BY1772"/>
      <c r="BZ1772"/>
      <c r="CA1772"/>
      <c r="CB1772"/>
      <c r="CC1772"/>
      <c r="CD1772"/>
      <c r="CE1772"/>
      <c r="CF1772"/>
      <c r="CG1772"/>
      <c r="CH1772"/>
      <c r="CI1772"/>
      <c r="CJ1772"/>
      <c r="CK1772"/>
      <c r="CL1772"/>
      <c r="CM1772"/>
    </row>
    <row r="1773" spans="1:91" x14ac:dyDescent="0.2">
      <c r="A1773"/>
      <c r="B1773"/>
      <c r="D1773"/>
      <c r="E1773"/>
      <c r="F1773"/>
      <c r="G1773"/>
      <c r="I1773"/>
      <c r="J1773"/>
      <c r="K1773"/>
      <c r="L1773" s="499"/>
      <c r="BX1773" s="769"/>
      <c r="BY1773"/>
      <c r="BZ1773"/>
      <c r="CA1773"/>
      <c r="CB1773"/>
      <c r="CC1773"/>
      <c r="CD1773"/>
      <c r="CE1773"/>
      <c r="CF1773"/>
      <c r="CG1773"/>
      <c r="CH1773"/>
      <c r="CI1773"/>
      <c r="CJ1773"/>
      <c r="CK1773"/>
      <c r="CL1773"/>
      <c r="CM1773"/>
    </row>
    <row r="1774" spans="1:91" x14ac:dyDescent="0.2">
      <c r="A1774"/>
      <c r="B1774"/>
      <c r="D1774"/>
      <c r="E1774"/>
      <c r="F1774"/>
      <c r="G1774"/>
      <c r="I1774"/>
      <c r="J1774"/>
      <c r="K1774"/>
      <c r="L1774" s="499"/>
      <c r="BX1774" s="769"/>
      <c r="BY1774"/>
      <c r="BZ1774"/>
      <c r="CA1774"/>
      <c r="CB1774"/>
      <c r="CC1774"/>
      <c r="CD1774"/>
      <c r="CE1774"/>
      <c r="CF1774"/>
      <c r="CG1774"/>
      <c r="CH1774"/>
      <c r="CI1774"/>
      <c r="CJ1774"/>
      <c r="CK1774"/>
      <c r="CL1774"/>
      <c r="CM1774"/>
    </row>
    <row r="1775" spans="1:91" x14ac:dyDescent="0.2">
      <c r="A1775"/>
      <c r="B1775"/>
      <c r="D1775"/>
      <c r="E1775"/>
      <c r="F1775"/>
      <c r="G1775"/>
      <c r="I1775"/>
      <c r="J1775"/>
      <c r="K1775"/>
      <c r="L1775" s="499"/>
      <c r="BX1775" s="769"/>
      <c r="BY1775"/>
      <c r="BZ1775"/>
      <c r="CA1775"/>
      <c r="CB1775"/>
      <c r="CC1775"/>
      <c r="CD1775"/>
      <c r="CE1775"/>
      <c r="CF1775"/>
      <c r="CG1775"/>
      <c r="CH1775"/>
      <c r="CI1775"/>
      <c r="CJ1775"/>
      <c r="CK1775"/>
      <c r="CL1775"/>
      <c r="CM1775"/>
    </row>
    <row r="1776" spans="1:91" x14ac:dyDescent="0.2">
      <c r="A1776"/>
      <c r="B1776"/>
      <c r="D1776"/>
      <c r="E1776"/>
      <c r="F1776"/>
      <c r="G1776"/>
      <c r="I1776"/>
      <c r="J1776"/>
      <c r="K1776"/>
      <c r="L1776" s="499"/>
      <c r="BX1776" s="769"/>
      <c r="BY1776"/>
      <c r="BZ1776"/>
      <c r="CA1776"/>
      <c r="CB1776"/>
      <c r="CC1776"/>
      <c r="CD1776"/>
      <c r="CE1776"/>
      <c r="CF1776"/>
      <c r="CG1776"/>
      <c r="CH1776"/>
      <c r="CI1776"/>
      <c r="CJ1776"/>
      <c r="CK1776"/>
      <c r="CL1776"/>
      <c r="CM1776"/>
    </row>
    <row r="1777" spans="1:91" x14ac:dyDescent="0.2">
      <c r="A1777"/>
      <c r="B1777"/>
      <c r="D1777"/>
      <c r="E1777"/>
      <c r="F1777"/>
      <c r="G1777"/>
      <c r="I1777"/>
      <c r="J1777"/>
      <c r="K1777"/>
      <c r="L1777" s="499"/>
      <c r="BX1777" s="769"/>
      <c r="BY1777"/>
      <c r="BZ1777"/>
      <c r="CA1777"/>
      <c r="CB1777"/>
      <c r="CC1777"/>
      <c r="CD1777"/>
      <c r="CE1777"/>
      <c r="CF1777"/>
      <c r="CG1777"/>
      <c r="CH1777"/>
      <c r="CI1777"/>
      <c r="CJ1777"/>
      <c r="CK1777"/>
      <c r="CL1777"/>
      <c r="CM1777"/>
    </row>
    <row r="1778" spans="1:91" x14ac:dyDescent="0.2">
      <c r="A1778"/>
      <c r="B1778"/>
      <c r="D1778"/>
      <c r="E1778"/>
      <c r="F1778"/>
      <c r="G1778"/>
      <c r="I1778"/>
      <c r="J1778"/>
      <c r="K1778"/>
      <c r="L1778" s="499"/>
      <c r="BX1778" s="769"/>
      <c r="BY1778"/>
      <c r="BZ1778"/>
      <c r="CA1778"/>
      <c r="CB1778"/>
      <c r="CC1778"/>
      <c r="CD1778"/>
      <c r="CE1778"/>
      <c r="CF1778"/>
      <c r="CG1778"/>
      <c r="CH1778"/>
      <c r="CI1778"/>
      <c r="CJ1778"/>
      <c r="CK1778"/>
      <c r="CL1778"/>
      <c r="CM1778"/>
    </row>
    <row r="1779" spans="1:91" x14ac:dyDescent="0.2">
      <c r="A1779"/>
      <c r="B1779"/>
      <c r="D1779"/>
      <c r="E1779"/>
      <c r="F1779"/>
      <c r="G1779"/>
      <c r="I1779"/>
      <c r="J1779"/>
      <c r="K1779"/>
      <c r="L1779" s="499"/>
      <c r="BX1779" s="769"/>
      <c r="BY1779"/>
      <c r="BZ1779"/>
      <c r="CA1779"/>
      <c r="CB1779"/>
      <c r="CC1779"/>
      <c r="CD1779"/>
      <c r="CE1779"/>
      <c r="CF1779"/>
      <c r="CG1779"/>
      <c r="CH1779"/>
      <c r="CI1779"/>
      <c r="CJ1779"/>
      <c r="CK1779"/>
      <c r="CL1779"/>
      <c r="CM1779"/>
    </row>
    <row r="1780" spans="1:91" x14ac:dyDescent="0.2">
      <c r="A1780"/>
      <c r="B1780"/>
      <c r="D1780"/>
      <c r="E1780"/>
      <c r="F1780"/>
      <c r="G1780"/>
      <c r="I1780"/>
      <c r="J1780"/>
      <c r="K1780"/>
      <c r="L1780" s="499"/>
      <c r="BX1780" s="769"/>
      <c r="BY1780"/>
      <c r="BZ1780"/>
      <c r="CA1780"/>
      <c r="CB1780"/>
      <c r="CC1780"/>
      <c r="CD1780"/>
      <c r="CE1780"/>
      <c r="CF1780"/>
      <c r="CG1780"/>
      <c r="CH1780"/>
      <c r="CI1780"/>
      <c r="CJ1780"/>
      <c r="CK1780"/>
      <c r="CL1780"/>
      <c r="CM1780"/>
    </row>
    <row r="1781" spans="1:91" x14ac:dyDescent="0.2">
      <c r="A1781"/>
      <c r="B1781"/>
      <c r="D1781"/>
      <c r="E1781"/>
      <c r="F1781"/>
      <c r="G1781"/>
      <c r="I1781"/>
      <c r="J1781"/>
      <c r="K1781"/>
      <c r="L1781" s="499"/>
      <c r="BX1781" s="769"/>
      <c r="BY1781"/>
      <c r="BZ1781"/>
      <c r="CA1781"/>
      <c r="CB1781"/>
      <c r="CC1781"/>
      <c r="CD1781"/>
      <c r="CE1781"/>
      <c r="CF1781"/>
      <c r="CG1781"/>
      <c r="CH1781"/>
      <c r="CI1781"/>
      <c r="CJ1781"/>
      <c r="CK1781"/>
      <c r="CL1781"/>
      <c r="CM1781"/>
    </row>
    <row r="1782" spans="1:91" x14ac:dyDescent="0.2">
      <c r="A1782"/>
      <c r="B1782"/>
      <c r="D1782"/>
      <c r="E1782"/>
      <c r="F1782"/>
      <c r="G1782"/>
      <c r="I1782"/>
      <c r="J1782"/>
      <c r="K1782"/>
      <c r="L1782" s="499"/>
      <c r="BX1782" s="769"/>
      <c r="BY1782"/>
      <c r="BZ1782"/>
      <c r="CA1782"/>
      <c r="CB1782"/>
      <c r="CC1782"/>
      <c r="CD1782"/>
      <c r="CE1782"/>
      <c r="CF1782"/>
      <c r="CG1782"/>
      <c r="CH1782"/>
      <c r="CI1782"/>
      <c r="CJ1782"/>
      <c r="CK1782"/>
      <c r="CL1782"/>
      <c r="CM1782"/>
    </row>
    <row r="1783" spans="1:91" x14ac:dyDescent="0.2">
      <c r="A1783"/>
      <c r="B1783"/>
      <c r="D1783"/>
      <c r="E1783"/>
      <c r="F1783"/>
      <c r="G1783"/>
      <c r="I1783"/>
      <c r="J1783"/>
      <c r="K1783"/>
      <c r="L1783" s="499"/>
      <c r="BX1783" s="769"/>
      <c r="BY1783"/>
      <c r="BZ1783"/>
      <c r="CA1783"/>
      <c r="CB1783"/>
      <c r="CC1783"/>
      <c r="CD1783"/>
      <c r="CE1783"/>
      <c r="CF1783"/>
      <c r="CG1783"/>
      <c r="CH1783"/>
      <c r="CI1783"/>
      <c r="CJ1783"/>
      <c r="CK1783"/>
      <c r="CL1783"/>
      <c r="CM1783"/>
    </row>
    <row r="1784" spans="1:91" x14ac:dyDescent="0.2">
      <c r="A1784"/>
      <c r="B1784"/>
      <c r="D1784"/>
      <c r="E1784"/>
      <c r="F1784"/>
      <c r="G1784"/>
      <c r="I1784"/>
      <c r="J1784"/>
      <c r="K1784"/>
      <c r="L1784" s="499"/>
      <c r="BX1784" s="769"/>
      <c r="BY1784"/>
      <c r="BZ1784"/>
      <c r="CA1784"/>
      <c r="CB1784"/>
      <c r="CC1784"/>
      <c r="CD1784"/>
      <c r="CE1784"/>
      <c r="CF1784"/>
      <c r="CG1784"/>
      <c r="CH1784"/>
      <c r="CI1784"/>
      <c r="CJ1784"/>
      <c r="CK1784"/>
      <c r="CL1784"/>
      <c r="CM1784"/>
    </row>
    <row r="1785" spans="1:91" x14ac:dyDescent="0.2">
      <c r="A1785"/>
      <c r="B1785"/>
      <c r="D1785"/>
      <c r="E1785"/>
      <c r="F1785"/>
      <c r="G1785"/>
      <c r="I1785"/>
      <c r="J1785"/>
      <c r="K1785"/>
      <c r="L1785" s="499"/>
      <c r="BX1785" s="769"/>
      <c r="BY1785"/>
      <c r="BZ1785"/>
      <c r="CA1785"/>
      <c r="CB1785"/>
      <c r="CC1785"/>
      <c r="CD1785"/>
      <c r="CE1785"/>
      <c r="CF1785"/>
      <c r="CG1785"/>
      <c r="CH1785"/>
      <c r="CI1785"/>
      <c r="CJ1785"/>
      <c r="CK1785"/>
      <c r="CL1785"/>
      <c r="CM1785"/>
    </row>
    <row r="1786" spans="1:91" x14ac:dyDescent="0.2">
      <c r="A1786"/>
      <c r="B1786"/>
      <c r="D1786"/>
      <c r="E1786"/>
      <c r="F1786"/>
      <c r="G1786"/>
      <c r="I1786"/>
      <c r="J1786"/>
      <c r="K1786"/>
      <c r="L1786" s="499"/>
      <c r="BX1786" s="769"/>
      <c r="BY1786"/>
      <c r="BZ1786"/>
      <c r="CA1786"/>
      <c r="CB1786"/>
      <c r="CC1786"/>
      <c r="CD1786"/>
      <c r="CE1786"/>
      <c r="CF1786"/>
      <c r="CG1786"/>
      <c r="CH1786"/>
      <c r="CI1786"/>
      <c r="CJ1786"/>
      <c r="CK1786"/>
      <c r="CL1786"/>
      <c r="CM1786"/>
    </row>
    <row r="1787" spans="1:91" x14ac:dyDescent="0.2">
      <c r="A1787"/>
      <c r="B1787"/>
      <c r="D1787"/>
      <c r="E1787"/>
      <c r="F1787"/>
      <c r="G1787"/>
      <c r="I1787"/>
      <c r="J1787"/>
      <c r="K1787"/>
      <c r="L1787" s="499"/>
      <c r="BX1787" s="769"/>
      <c r="BY1787"/>
      <c r="BZ1787"/>
      <c r="CA1787"/>
      <c r="CB1787"/>
      <c r="CC1787"/>
      <c r="CD1787"/>
      <c r="CE1787"/>
      <c r="CF1787"/>
      <c r="CG1787"/>
      <c r="CH1787"/>
      <c r="CI1787"/>
      <c r="CJ1787"/>
      <c r="CK1787"/>
      <c r="CL1787"/>
      <c r="CM1787"/>
    </row>
    <row r="1788" spans="1:91" x14ac:dyDescent="0.2">
      <c r="A1788"/>
      <c r="B1788"/>
      <c r="D1788"/>
      <c r="E1788"/>
      <c r="F1788"/>
      <c r="G1788"/>
      <c r="I1788"/>
      <c r="J1788"/>
      <c r="K1788"/>
      <c r="L1788" s="499"/>
      <c r="BX1788" s="769"/>
      <c r="BY1788"/>
      <c r="BZ1788"/>
      <c r="CA1788"/>
      <c r="CB1788"/>
      <c r="CC1788"/>
      <c r="CD1788"/>
      <c r="CE1788"/>
      <c r="CF1788"/>
      <c r="CG1788"/>
      <c r="CH1788"/>
      <c r="CI1788"/>
      <c r="CJ1788"/>
      <c r="CK1788"/>
      <c r="CL1788"/>
      <c r="CM1788"/>
    </row>
    <row r="1789" spans="1:91" x14ac:dyDescent="0.2">
      <c r="A1789"/>
      <c r="B1789"/>
      <c r="D1789"/>
      <c r="E1789"/>
      <c r="F1789"/>
      <c r="G1789"/>
      <c r="I1789"/>
      <c r="J1789"/>
      <c r="K1789"/>
      <c r="L1789" s="499"/>
      <c r="BX1789" s="769"/>
      <c r="BY1789"/>
      <c r="BZ1789"/>
      <c r="CA1789"/>
      <c r="CB1789"/>
      <c r="CC1789"/>
      <c r="CD1789"/>
      <c r="CE1789"/>
      <c r="CF1789"/>
      <c r="CG1789"/>
      <c r="CH1789"/>
      <c r="CI1789"/>
      <c r="CJ1789"/>
      <c r="CK1789"/>
      <c r="CL1789"/>
      <c r="CM1789"/>
    </row>
    <row r="1790" spans="1:91" x14ac:dyDescent="0.2">
      <c r="A1790"/>
      <c r="B1790"/>
      <c r="D1790"/>
      <c r="E1790"/>
      <c r="F1790"/>
      <c r="G1790"/>
      <c r="I1790"/>
      <c r="J1790"/>
      <c r="K1790"/>
      <c r="L1790" s="499"/>
      <c r="BX1790" s="769"/>
      <c r="BY1790"/>
      <c r="BZ1790"/>
      <c r="CA1790"/>
      <c r="CB1790"/>
      <c r="CC1790"/>
      <c r="CD1790"/>
      <c r="CE1790"/>
      <c r="CF1790"/>
      <c r="CG1790"/>
      <c r="CH1790"/>
      <c r="CI1790"/>
      <c r="CJ1790"/>
      <c r="CK1790"/>
      <c r="CL1790"/>
      <c r="CM1790"/>
    </row>
    <row r="1791" spans="1:91" x14ac:dyDescent="0.2">
      <c r="A1791"/>
      <c r="B1791"/>
      <c r="D1791"/>
      <c r="E1791"/>
      <c r="F1791"/>
      <c r="G1791"/>
      <c r="I1791"/>
      <c r="J1791"/>
      <c r="K1791"/>
      <c r="L1791" s="499"/>
      <c r="BX1791" s="769"/>
      <c r="BY1791"/>
      <c r="BZ1791"/>
      <c r="CA1791"/>
      <c r="CB1791"/>
      <c r="CC1791"/>
      <c r="CD1791"/>
      <c r="CE1791"/>
      <c r="CF1791"/>
      <c r="CG1791"/>
      <c r="CH1791"/>
      <c r="CI1791"/>
      <c r="CJ1791"/>
      <c r="CK1791"/>
      <c r="CL1791"/>
      <c r="CM1791"/>
    </row>
    <row r="1792" spans="1:91" x14ac:dyDescent="0.2">
      <c r="A1792"/>
      <c r="B1792"/>
      <c r="D1792"/>
      <c r="E1792"/>
      <c r="F1792"/>
      <c r="G1792"/>
      <c r="I1792"/>
      <c r="J1792"/>
      <c r="K1792"/>
      <c r="L1792" s="499"/>
      <c r="BX1792" s="769"/>
      <c r="BY1792"/>
      <c r="BZ1792"/>
      <c r="CA1792"/>
      <c r="CB1792"/>
      <c r="CC1792"/>
      <c r="CD1792"/>
      <c r="CE1792"/>
      <c r="CF1792"/>
      <c r="CG1792"/>
      <c r="CH1792"/>
      <c r="CI1792"/>
      <c r="CJ1792"/>
      <c r="CK1792"/>
      <c r="CL1792"/>
      <c r="CM1792"/>
    </row>
    <row r="1793" spans="1:91" x14ac:dyDescent="0.2">
      <c r="A1793"/>
      <c r="B1793"/>
      <c r="D1793"/>
      <c r="E1793"/>
      <c r="F1793"/>
      <c r="G1793"/>
      <c r="I1793"/>
      <c r="J1793"/>
      <c r="K1793"/>
      <c r="L1793" s="499"/>
      <c r="BX1793" s="769"/>
      <c r="BY1793"/>
      <c r="BZ1793"/>
      <c r="CA1793"/>
      <c r="CB1793"/>
      <c r="CC1793"/>
      <c r="CD1793"/>
      <c r="CE1793"/>
      <c r="CF1793"/>
      <c r="CG1793"/>
      <c r="CH1793"/>
      <c r="CI1793"/>
      <c r="CJ1793"/>
      <c r="CK1793"/>
      <c r="CL1793"/>
      <c r="CM1793"/>
    </row>
    <row r="1794" spans="1:91" x14ac:dyDescent="0.2">
      <c r="A1794"/>
      <c r="B1794"/>
      <c r="D1794"/>
      <c r="E1794"/>
      <c r="F1794"/>
      <c r="G1794"/>
      <c r="I1794"/>
      <c r="J1794"/>
      <c r="K1794"/>
      <c r="L1794" s="499"/>
      <c r="BX1794" s="769"/>
      <c r="BY1794"/>
      <c r="BZ1794"/>
      <c r="CA1794"/>
      <c r="CB1794"/>
      <c r="CC1794"/>
      <c r="CD1794"/>
      <c r="CE1794"/>
      <c r="CF1794"/>
      <c r="CG1794"/>
      <c r="CH1794"/>
      <c r="CI1794"/>
      <c r="CJ1794"/>
      <c r="CK1794"/>
      <c r="CL1794"/>
      <c r="CM1794"/>
    </row>
    <row r="1795" spans="1:91" x14ac:dyDescent="0.2">
      <c r="A1795"/>
      <c r="B1795"/>
      <c r="D1795"/>
      <c r="E1795"/>
      <c r="F1795"/>
      <c r="G1795"/>
      <c r="I1795"/>
      <c r="J1795"/>
      <c r="K1795"/>
      <c r="L1795" s="499"/>
      <c r="BX1795" s="769"/>
      <c r="BY1795"/>
      <c r="BZ1795"/>
      <c r="CA1795"/>
      <c r="CB1795"/>
      <c r="CC1795"/>
      <c r="CD1795"/>
      <c r="CE1795"/>
      <c r="CF1795"/>
      <c r="CG1795"/>
      <c r="CH1795"/>
      <c r="CI1795"/>
      <c r="CJ1795"/>
      <c r="CK1795"/>
      <c r="CL1795"/>
      <c r="CM1795"/>
    </row>
    <row r="1796" spans="1:91" x14ac:dyDescent="0.2">
      <c r="A1796"/>
      <c r="B1796"/>
      <c r="D1796"/>
      <c r="E1796"/>
      <c r="F1796"/>
      <c r="G1796"/>
      <c r="I1796"/>
      <c r="J1796"/>
      <c r="K1796"/>
      <c r="L1796" s="499"/>
      <c r="BX1796" s="769"/>
      <c r="BY1796"/>
      <c r="BZ1796"/>
      <c r="CA1796"/>
      <c r="CB1796"/>
      <c r="CC1796"/>
      <c r="CD1796"/>
      <c r="CE1796"/>
      <c r="CF1796"/>
      <c r="CG1796"/>
      <c r="CH1796"/>
      <c r="CI1796"/>
      <c r="CJ1796"/>
      <c r="CK1796"/>
      <c r="CL1796"/>
      <c r="CM1796"/>
    </row>
    <row r="1797" spans="1:91" x14ac:dyDescent="0.2">
      <c r="A1797"/>
      <c r="B1797"/>
      <c r="D1797"/>
      <c r="E1797"/>
      <c r="F1797"/>
      <c r="G1797"/>
      <c r="I1797"/>
      <c r="J1797"/>
      <c r="K1797"/>
      <c r="L1797" s="499"/>
      <c r="BX1797" s="769"/>
      <c r="BY1797"/>
      <c r="BZ1797"/>
      <c r="CA1797"/>
      <c r="CB1797"/>
      <c r="CC1797"/>
      <c r="CD1797"/>
      <c r="CE1797"/>
      <c r="CF1797"/>
      <c r="CG1797"/>
      <c r="CH1797"/>
      <c r="CI1797"/>
      <c r="CJ1797"/>
      <c r="CK1797"/>
      <c r="CL1797"/>
      <c r="CM1797"/>
    </row>
    <row r="1798" spans="1:91" x14ac:dyDescent="0.2">
      <c r="A1798"/>
      <c r="B1798"/>
      <c r="D1798"/>
      <c r="E1798"/>
      <c r="F1798"/>
      <c r="G1798"/>
      <c r="I1798"/>
      <c r="J1798"/>
      <c r="K1798"/>
      <c r="L1798" s="499"/>
      <c r="BX1798" s="769"/>
      <c r="BY1798"/>
      <c r="BZ1798"/>
      <c r="CA1798"/>
      <c r="CB1798"/>
      <c r="CC1798"/>
      <c r="CD1798"/>
      <c r="CE1798"/>
      <c r="CF1798"/>
      <c r="CG1798"/>
      <c r="CH1798"/>
      <c r="CI1798"/>
      <c r="CJ1798"/>
      <c r="CK1798"/>
      <c r="CL1798"/>
      <c r="CM1798"/>
    </row>
    <row r="1799" spans="1:91" x14ac:dyDescent="0.2">
      <c r="A1799"/>
      <c r="B1799"/>
      <c r="D1799"/>
      <c r="E1799"/>
      <c r="F1799"/>
      <c r="G1799"/>
      <c r="I1799"/>
      <c r="J1799"/>
      <c r="K1799"/>
      <c r="L1799" s="499"/>
      <c r="BX1799" s="769"/>
      <c r="BY1799"/>
      <c r="BZ1799"/>
      <c r="CA1799"/>
      <c r="CB1799"/>
      <c r="CC1799"/>
      <c r="CD1799"/>
      <c r="CE1799"/>
      <c r="CF1799"/>
      <c r="CG1799"/>
      <c r="CH1799"/>
      <c r="CI1799"/>
      <c r="CJ1799"/>
      <c r="CK1799"/>
      <c r="CL1799"/>
      <c r="CM1799"/>
    </row>
    <row r="1800" spans="1:91" x14ac:dyDescent="0.2">
      <c r="A1800"/>
      <c r="B1800"/>
      <c r="D1800"/>
      <c r="E1800"/>
      <c r="F1800"/>
      <c r="G1800"/>
      <c r="I1800"/>
      <c r="J1800"/>
      <c r="K1800"/>
      <c r="L1800" s="499"/>
      <c r="BX1800" s="769"/>
      <c r="BY1800"/>
      <c r="BZ1800"/>
      <c r="CA1800"/>
      <c r="CB1800"/>
      <c r="CC1800"/>
      <c r="CD1800"/>
      <c r="CE1800"/>
      <c r="CF1800"/>
      <c r="CG1800"/>
      <c r="CH1800"/>
      <c r="CI1800"/>
      <c r="CJ1800"/>
      <c r="CK1800"/>
      <c r="CL1800"/>
      <c r="CM1800"/>
    </row>
    <row r="1801" spans="1:91" x14ac:dyDescent="0.2">
      <c r="A1801"/>
      <c r="B1801"/>
      <c r="D1801"/>
      <c r="E1801"/>
      <c r="F1801"/>
      <c r="G1801"/>
      <c r="I1801"/>
      <c r="J1801"/>
      <c r="K1801"/>
      <c r="L1801" s="499"/>
      <c r="BX1801" s="769"/>
      <c r="BY1801"/>
      <c r="BZ1801"/>
      <c r="CA1801"/>
      <c r="CB1801"/>
      <c r="CC1801"/>
      <c r="CD1801"/>
      <c r="CE1801"/>
      <c r="CF1801"/>
      <c r="CG1801"/>
      <c r="CH1801"/>
      <c r="CI1801"/>
      <c r="CJ1801"/>
      <c r="CK1801"/>
      <c r="CL1801"/>
      <c r="CM1801"/>
    </row>
    <row r="1802" spans="1:91" x14ac:dyDescent="0.2">
      <c r="A1802"/>
      <c r="B1802"/>
      <c r="D1802"/>
      <c r="E1802"/>
      <c r="F1802"/>
      <c r="G1802"/>
      <c r="I1802"/>
      <c r="J1802"/>
      <c r="K1802"/>
      <c r="L1802" s="499"/>
      <c r="BX1802" s="769"/>
      <c r="BY1802"/>
      <c r="BZ1802"/>
      <c r="CA1802"/>
      <c r="CB1802"/>
      <c r="CC1802"/>
      <c r="CD1802"/>
      <c r="CE1802"/>
      <c r="CF1802"/>
      <c r="CG1802"/>
      <c r="CH1802"/>
      <c r="CI1802"/>
      <c r="CJ1802"/>
      <c r="CK1802"/>
      <c r="CL1802"/>
      <c r="CM1802"/>
    </row>
    <row r="1803" spans="1:91" x14ac:dyDescent="0.2">
      <c r="A1803"/>
      <c r="B1803"/>
      <c r="D1803"/>
      <c r="E1803"/>
      <c r="F1803"/>
      <c r="G1803"/>
      <c r="I1803"/>
      <c r="J1803"/>
      <c r="K1803"/>
      <c r="L1803" s="499"/>
      <c r="BX1803" s="769"/>
      <c r="BY1803"/>
      <c r="BZ1803"/>
      <c r="CA1803"/>
      <c r="CB1803"/>
      <c r="CC1803"/>
      <c r="CD1803"/>
      <c r="CE1803"/>
      <c r="CF1803"/>
      <c r="CG1803"/>
      <c r="CH1803"/>
      <c r="CI1803"/>
      <c r="CJ1803"/>
      <c r="CK1803"/>
      <c r="CL1803"/>
      <c r="CM1803"/>
    </row>
    <row r="1804" spans="1:91" x14ac:dyDescent="0.2">
      <c r="A1804"/>
      <c r="B1804"/>
      <c r="D1804"/>
      <c r="E1804"/>
      <c r="F1804"/>
      <c r="G1804"/>
      <c r="I1804"/>
      <c r="J1804"/>
      <c r="K1804"/>
      <c r="L1804" s="499"/>
      <c r="BX1804" s="769"/>
      <c r="BY1804"/>
      <c r="BZ1804"/>
      <c r="CA1804"/>
      <c r="CB1804"/>
      <c r="CC1804"/>
      <c r="CD1804"/>
      <c r="CE1804"/>
      <c r="CF1804"/>
      <c r="CG1804"/>
      <c r="CH1804"/>
      <c r="CI1804"/>
      <c r="CJ1804"/>
      <c r="CK1804"/>
      <c r="CL1804"/>
      <c r="CM1804"/>
    </row>
    <row r="1805" spans="1:91" x14ac:dyDescent="0.2">
      <c r="A1805"/>
      <c r="B1805"/>
      <c r="D1805"/>
      <c r="E1805"/>
      <c r="F1805"/>
      <c r="G1805"/>
      <c r="I1805"/>
      <c r="J1805"/>
      <c r="K1805"/>
      <c r="L1805" s="499"/>
      <c r="BX1805" s="769"/>
      <c r="BY1805"/>
      <c r="BZ1805"/>
      <c r="CA1805"/>
      <c r="CB1805"/>
      <c r="CC1805"/>
      <c r="CD1805"/>
      <c r="CE1805"/>
      <c r="CF1805"/>
      <c r="CG1805"/>
      <c r="CH1805"/>
      <c r="CI1805"/>
      <c r="CJ1805"/>
      <c r="CK1805"/>
      <c r="CL1805"/>
      <c r="CM1805"/>
    </row>
    <row r="1806" spans="1:91" x14ac:dyDescent="0.2">
      <c r="A1806"/>
      <c r="B1806"/>
      <c r="D1806"/>
      <c r="E1806"/>
      <c r="F1806"/>
      <c r="G1806"/>
      <c r="I1806"/>
      <c r="J1806"/>
      <c r="K1806"/>
      <c r="L1806" s="499"/>
      <c r="BX1806" s="769"/>
      <c r="BY1806"/>
      <c r="BZ1806"/>
      <c r="CA1806"/>
      <c r="CB1806"/>
      <c r="CC1806"/>
      <c r="CD1806"/>
      <c r="CE1806"/>
      <c r="CF1806"/>
      <c r="CG1806"/>
      <c r="CH1806"/>
      <c r="CI1806"/>
      <c r="CJ1806"/>
      <c r="CK1806"/>
      <c r="CL1806"/>
      <c r="CM1806"/>
    </row>
    <row r="1807" spans="1:91" x14ac:dyDescent="0.2">
      <c r="A1807"/>
      <c r="B1807"/>
      <c r="D1807"/>
      <c r="E1807"/>
      <c r="F1807"/>
      <c r="G1807"/>
      <c r="I1807"/>
      <c r="J1807"/>
      <c r="K1807"/>
      <c r="L1807" s="499"/>
      <c r="BX1807" s="769"/>
      <c r="BY1807"/>
      <c r="BZ1807"/>
      <c r="CA1807"/>
      <c r="CB1807"/>
      <c r="CC1807"/>
      <c r="CD1807"/>
      <c r="CE1807"/>
      <c r="CF1807"/>
      <c r="CG1807"/>
      <c r="CH1807"/>
      <c r="CI1807"/>
      <c r="CJ1807"/>
      <c r="CK1807"/>
      <c r="CL1807"/>
      <c r="CM1807"/>
    </row>
    <row r="1808" spans="1:91" x14ac:dyDescent="0.2">
      <c r="A1808"/>
      <c r="B1808"/>
      <c r="D1808"/>
      <c r="E1808"/>
      <c r="F1808"/>
      <c r="G1808"/>
      <c r="I1808"/>
      <c r="J1808"/>
      <c r="K1808"/>
      <c r="L1808" s="499"/>
      <c r="BX1808" s="769"/>
      <c r="BY1808"/>
      <c r="BZ1808"/>
      <c r="CA1808"/>
      <c r="CB1808"/>
      <c r="CC1808"/>
      <c r="CD1808"/>
      <c r="CE1808"/>
      <c r="CF1808"/>
      <c r="CG1808"/>
      <c r="CH1808"/>
      <c r="CI1808"/>
      <c r="CJ1808"/>
      <c r="CK1808"/>
      <c r="CL1808"/>
      <c r="CM1808"/>
    </row>
    <row r="1809" spans="1:91" x14ac:dyDescent="0.2">
      <c r="A1809"/>
      <c r="B1809"/>
      <c r="D1809"/>
      <c r="E1809"/>
      <c r="F1809"/>
      <c r="G1809"/>
      <c r="I1809"/>
      <c r="J1809"/>
      <c r="K1809"/>
      <c r="L1809" s="499"/>
      <c r="BX1809" s="769"/>
      <c r="BY1809"/>
      <c r="BZ1809"/>
      <c r="CA1809"/>
      <c r="CB1809"/>
      <c r="CC1809"/>
      <c r="CD1809"/>
      <c r="CE1809"/>
      <c r="CF1809"/>
      <c r="CG1809"/>
      <c r="CH1809"/>
      <c r="CI1809"/>
      <c r="CJ1809"/>
      <c r="CK1809"/>
      <c r="CL1809"/>
      <c r="CM1809"/>
    </row>
    <row r="1810" spans="1:91" x14ac:dyDescent="0.2">
      <c r="A1810"/>
      <c r="B1810"/>
      <c r="D1810"/>
      <c r="E1810"/>
      <c r="F1810"/>
      <c r="G1810"/>
      <c r="I1810"/>
      <c r="J1810"/>
      <c r="K1810"/>
      <c r="L1810" s="499"/>
      <c r="BX1810" s="769"/>
      <c r="BY1810"/>
      <c r="BZ1810"/>
      <c r="CA1810"/>
      <c r="CB1810"/>
      <c r="CC1810"/>
      <c r="CD1810"/>
      <c r="CE1810"/>
      <c r="CF1810"/>
      <c r="CG1810"/>
      <c r="CH1810"/>
      <c r="CI1810"/>
      <c r="CJ1810"/>
      <c r="CK1810"/>
      <c r="CL1810"/>
      <c r="CM1810"/>
    </row>
    <row r="1811" spans="1:91" x14ac:dyDescent="0.2">
      <c r="A1811"/>
      <c r="B1811"/>
      <c r="D1811"/>
      <c r="E1811"/>
      <c r="F1811"/>
      <c r="G1811"/>
      <c r="I1811"/>
      <c r="J1811"/>
      <c r="K1811"/>
      <c r="L1811" s="499"/>
      <c r="BX1811" s="769"/>
      <c r="BY1811"/>
      <c r="BZ1811"/>
      <c r="CA1811"/>
      <c r="CB1811"/>
      <c r="CC1811"/>
      <c r="CD1811"/>
      <c r="CE1811"/>
      <c r="CF1811"/>
      <c r="CG1811"/>
      <c r="CH1811"/>
      <c r="CI1811"/>
      <c r="CJ1811"/>
      <c r="CK1811"/>
      <c r="CL1811"/>
      <c r="CM1811"/>
    </row>
    <row r="1812" spans="1:91" x14ac:dyDescent="0.2">
      <c r="A1812"/>
      <c r="B1812"/>
      <c r="D1812"/>
      <c r="E1812"/>
      <c r="F1812"/>
      <c r="G1812"/>
      <c r="I1812"/>
      <c r="J1812"/>
      <c r="K1812"/>
      <c r="L1812" s="499"/>
      <c r="BX1812" s="769"/>
      <c r="BY1812"/>
      <c r="BZ1812"/>
      <c r="CA1812"/>
      <c r="CB1812"/>
      <c r="CC1812"/>
      <c r="CD1812"/>
      <c r="CE1812"/>
      <c r="CF1812"/>
      <c r="CG1812"/>
      <c r="CH1812"/>
      <c r="CI1812"/>
      <c r="CJ1812"/>
      <c r="CK1812"/>
      <c r="CL1812"/>
      <c r="CM1812"/>
    </row>
    <row r="1813" spans="1:91" x14ac:dyDescent="0.2">
      <c r="A1813"/>
      <c r="B1813"/>
      <c r="D1813"/>
      <c r="E1813"/>
      <c r="F1813"/>
      <c r="G1813"/>
      <c r="I1813"/>
      <c r="J1813"/>
      <c r="K1813"/>
      <c r="L1813" s="499"/>
      <c r="BX1813" s="769"/>
      <c r="BY1813"/>
      <c r="BZ1813"/>
      <c r="CA1813"/>
      <c r="CB1813"/>
      <c r="CC1813"/>
      <c r="CD1813"/>
      <c r="CE1813"/>
      <c r="CF1813"/>
      <c r="CG1813"/>
      <c r="CH1813"/>
      <c r="CI1813"/>
      <c r="CJ1813"/>
      <c r="CK1813"/>
      <c r="CL1813"/>
      <c r="CM1813"/>
    </row>
    <row r="1814" spans="1:91" x14ac:dyDescent="0.2">
      <c r="A1814"/>
      <c r="B1814"/>
      <c r="D1814"/>
      <c r="E1814"/>
      <c r="F1814"/>
      <c r="G1814"/>
      <c r="I1814"/>
      <c r="J1814"/>
      <c r="K1814"/>
      <c r="L1814" s="499"/>
      <c r="BX1814" s="769"/>
      <c r="BY1814"/>
      <c r="BZ1814"/>
      <c r="CA1814"/>
      <c r="CB1814"/>
      <c r="CC1814"/>
      <c r="CD1814"/>
      <c r="CE1814"/>
      <c r="CF1814"/>
      <c r="CG1814"/>
      <c r="CH1814"/>
      <c r="CI1814"/>
      <c r="CJ1814"/>
      <c r="CK1814"/>
      <c r="CL1814"/>
      <c r="CM1814"/>
    </row>
    <row r="1815" spans="1:91" x14ac:dyDescent="0.2">
      <c r="A1815"/>
      <c r="B1815"/>
      <c r="D1815"/>
      <c r="E1815"/>
      <c r="F1815"/>
      <c r="G1815"/>
      <c r="I1815"/>
      <c r="J1815"/>
      <c r="K1815"/>
      <c r="L1815" s="499"/>
      <c r="BX1815" s="769"/>
      <c r="BY1815"/>
      <c r="BZ1815"/>
      <c r="CA1815"/>
      <c r="CB1815"/>
      <c r="CC1815"/>
      <c r="CD1815"/>
      <c r="CE1815"/>
      <c r="CF1815"/>
      <c r="CG1815"/>
      <c r="CH1815"/>
      <c r="CI1815"/>
      <c r="CJ1815"/>
      <c r="CK1815"/>
      <c r="CL1815"/>
      <c r="CM1815"/>
    </row>
    <row r="1816" spans="1:91" x14ac:dyDescent="0.2">
      <c r="A1816"/>
      <c r="B1816"/>
      <c r="D1816"/>
      <c r="E1816"/>
      <c r="F1816"/>
      <c r="G1816"/>
      <c r="I1816"/>
      <c r="J1816"/>
      <c r="K1816"/>
      <c r="L1816" s="499"/>
      <c r="BX1816" s="769"/>
      <c r="BY1816"/>
      <c r="BZ1816"/>
      <c r="CA1816"/>
      <c r="CB1816"/>
      <c r="CC1816"/>
      <c r="CD1816"/>
      <c r="CE1816"/>
      <c r="CF1816"/>
      <c r="CG1816"/>
      <c r="CH1816"/>
      <c r="CI1816"/>
      <c r="CJ1816"/>
      <c r="CK1816"/>
      <c r="CL1816"/>
      <c r="CM1816"/>
    </row>
    <row r="1817" spans="1:91" x14ac:dyDescent="0.2">
      <c r="A1817"/>
      <c r="B1817"/>
      <c r="D1817"/>
      <c r="E1817"/>
      <c r="F1817"/>
      <c r="G1817"/>
      <c r="I1817"/>
      <c r="J1817"/>
      <c r="K1817"/>
      <c r="L1817" s="499"/>
      <c r="BX1817" s="769"/>
      <c r="BY1817"/>
      <c r="BZ1817"/>
      <c r="CA1817"/>
      <c r="CB1817"/>
      <c r="CC1817"/>
      <c r="CD1817"/>
      <c r="CE1817"/>
      <c r="CF1817"/>
      <c r="CG1817"/>
      <c r="CH1817"/>
      <c r="CI1817"/>
      <c r="CJ1817"/>
      <c r="CK1817"/>
      <c r="CL1817"/>
      <c r="CM1817"/>
    </row>
    <row r="1818" spans="1:91" x14ac:dyDescent="0.2">
      <c r="A1818"/>
      <c r="B1818"/>
      <c r="D1818"/>
      <c r="E1818"/>
      <c r="F1818"/>
      <c r="G1818"/>
      <c r="I1818"/>
      <c r="J1818"/>
      <c r="K1818"/>
      <c r="L1818" s="499"/>
      <c r="BX1818" s="769"/>
      <c r="BY1818"/>
      <c r="BZ1818"/>
      <c r="CA1818"/>
      <c r="CB1818"/>
      <c r="CC1818"/>
      <c r="CD1818"/>
      <c r="CE1818"/>
      <c r="CF1818"/>
      <c r="CG1818"/>
      <c r="CH1818"/>
      <c r="CI1818"/>
      <c r="CJ1818"/>
      <c r="CK1818"/>
      <c r="CL1818"/>
      <c r="CM1818"/>
    </row>
    <row r="1819" spans="1:91" x14ac:dyDescent="0.2">
      <c r="A1819"/>
      <c r="B1819"/>
      <c r="D1819"/>
      <c r="E1819"/>
      <c r="F1819"/>
      <c r="G1819"/>
      <c r="I1819"/>
      <c r="J1819"/>
      <c r="K1819"/>
      <c r="L1819" s="499"/>
      <c r="BX1819" s="769"/>
      <c r="BY1819"/>
      <c r="BZ1819"/>
      <c r="CA1819"/>
      <c r="CB1819"/>
      <c r="CC1819"/>
      <c r="CD1819"/>
      <c r="CE1819"/>
      <c r="CF1819"/>
      <c r="CG1819"/>
      <c r="CH1819"/>
      <c r="CI1819"/>
      <c r="CJ1819"/>
      <c r="CK1819"/>
      <c r="CL1819"/>
      <c r="CM1819"/>
    </row>
    <row r="1820" spans="1:91" x14ac:dyDescent="0.2">
      <c r="A1820"/>
      <c r="B1820"/>
      <c r="D1820"/>
      <c r="E1820"/>
      <c r="F1820"/>
      <c r="G1820"/>
      <c r="I1820"/>
      <c r="J1820"/>
      <c r="K1820"/>
      <c r="L1820" s="499"/>
      <c r="BX1820" s="769"/>
      <c r="BY1820"/>
      <c r="BZ1820"/>
      <c r="CA1820"/>
      <c r="CB1820"/>
      <c r="CC1820"/>
      <c r="CD1820"/>
      <c r="CE1820"/>
      <c r="CF1820"/>
      <c r="CG1820"/>
      <c r="CH1820"/>
      <c r="CI1820"/>
      <c r="CJ1820"/>
      <c r="CK1820"/>
      <c r="CL1820"/>
      <c r="CM1820"/>
    </row>
    <row r="1821" spans="1:91" x14ac:dyDescent="0.2">
      <c r="A1821"/>
      <c r="B1821"/>
      <c r="D1821"/>
      <c r="E1821"/>
      <c r="F1821"/>
      <c r="G1821"/>
      <c r="I1821"/>
      <c r="J1821"/>
      <c r="K1821"/>
      <c r="L1821" s="499"/>
      <c r="BX1821" s="769"/>
      <c r="BY1821"/>
      <c r="BZ1821"/>
      <c r="CA1821"/>
      <c r="CB1821"/>
      <c r="CC1821"/>
      <c r="CD1821"/>
      <c r="CE1821"/>
      <c r="CF1821"/>
      <c r="CG1821"/>
      <c r="CH1821"/>
      <c r="CI1821"/>
      <c r="CJ1821"/>
      <c r="CK1821"/>
      <c r="CL1821"/>
      <c r="CM1821"/>
    </row>
    <row r="1822" spans="1:91" x14ac:dyDescent="0.2">
      <c r="A1822"/>
      <c r="B1822"/>
      <c r="D1822"/>
      <c r="E1822"/>
      <c r="F1822"/>
      <c r="G1822"/>
      <c r="I1822"/>
      <c r="J1822"/>
      <c r="K1822"/>
      <c r="L1822" s="499"/>
      <c r="BX1822" s="769"/>
      <c r="BY1822"/>
      <c r="BZ1822"/>
      <c r="CA1822"/>
      <c r="CB1822"/>
      <c r="CC1822"/>
      <c r="CD1822"/>
      <c r="CE1822"/>
      <c r="CF1822"/>
      <c r="CG1822"/>
      <c r="CH1822"/>
      <c r="CI1822"/>
      <c r="CJ1822"/>
      <c r="CK1822"/>
      <c r="CL1822"/>
      <c r="CM1822"/>
    </row>
    <row r="1823" spans="1:91" x14ac:dyDescent="0.2">
      <c r="A1823"/>
      <c r="B1823"/>
      <c r="D1823"/>
      <c r="E1823"/>
      <c r="F1823"/>
      <c r="G1823"/>
      <c r="I1823"/>
      <c r="J1823"/>
      <c r="K1823"/>
      <c r="L1823" s="499"/>
      <c r="BX1823" s="769"/>
      <c r="BY1823"/>
      <c r="BZ1823"/>
      <c r="CA1823"/>
      <c r="CB1823"/>
      <c r="CC1823"/>
      <c r="CD1823"/>
      <c r="CE1823"/>
      <c r="CF1823"/>
      <c r="CG1823"/>
      <c r="CH1823"/>
      <c r="CI1823"/>
      <c r="CJ1823"/>
      <c r="CK1823"/>
      <c r="CL1823"/>
      <c r="CM1823"/>
    </row>
    <row r="1824" spans="1:91" x14ac:dyDescent="0.2">
      <c r="A1824"/>
      <c r="B1824"/>
      <c r="D1824"/>
      <c r="E1824"/>
      <c r="F1824"/>
      <c r="G1824"/>
      <c r="I1824"/>
      <c r="J1824"/>
      <c r="K1824"/>
      <c r="L1824" s="499"/>
      <c r="BX1824" s="769"/>
      <c r="BY1824"/>
      <c r="BZ1824"/>
      <c r="CA1824"/>
      <c r="CB1824"/>
      <c r="CC1824"/>
      <c r="CD1824"/>
      <c r="CE1824"/>
      <c r="CF1824"/>
      <c r="CG1824"/>
      <c r="CH1824"/>
      <c r="CI1824"/>
      <c r="CJ1824"/>
      <c r="CK1824"/>
      <c r="CL1824"/>
      <c r="CM1824"/>
    </row>
    <row r="1825" spans="1:91" x14ac:dyDescent="0.2">
      <c r="A1825"/>
      <c r="B1825"/>
      <c r="D1825"/>
      <c r="E1825"/>
      <c r="F1825"/>
      <c r="G1825"/>
      <c r="I1825"/>
      <c r="J1825"/>
      <c r="K1825"/>
      <c r="L1825" s="499"/>
      <c r="BX1825" s="769"/>
      <c r="BY1825"/>
      <c r="BZ1825"/>
      <c r="CA1825"/>
      <c r="CB1825"/>
      <c r="CC1825"/>
      <c r="CD1825"/>
      <c r="CE1825"/>
      <c r="CF1825"/>
      <c r="CG1825"/>
      <c r="CH1825"/>
      <c r="CI1825"/>
      <c r="CJ1825"/>
      <c r="CK1825"/>
      <c r="CL1825"/>
      <c r="CM1825"/>
    </row>
    <row r="1826" spans="1:91" x14ac:dyDescent="0.2">
      <c r="A1826"/>
      <c r="B1826"/>
      <c r="D1826"/>
      <c r="E1826"/>
      <c r="F1826"/>
      <c r="G1826"/>
      <c r="I1826"/>
      <c r="J1826"/>
      <c r="K1826"/>
      <c r="L1826" s="499"/>
      <c r="BX1826" s="769"/>
      <c r="BY1826"/>
      <c r="BZ1826"/>
      <c r="CA1826"/>
      <c r="CB1826"/>
      <c r="CC1826"/>
      <c r="CD1826"/>
      <c r="CE1826"/>
      <c r="CF1826"/>
      <c r="CG1826"/>
      <c r="CH1826"/>
      <c r="CI1826"/>
      <c r="CJ1826"/>
      <c r="CK1826"/>
      <c r="CL1826"/>
      <c r="CM1826"/>
    </row>
    <row r="1827" spans="1:91" x14ac:dyDescent="0.2">
      <c r="A1827"/>
      <c r="B1827"/>
      <c r="D1827"/>
      <c r="E1827"/>
      <c r="F1827"/>
      <c r="G1827"/>
      <c r="I1827"/>
      <c r="J1827"/>
      <c r="K1827"/>
      <c r="L1827" s="499"/>
      <c r="BX1827" s="769"/>
      <c r="BY1827"/>
      <c r="BZ1827"/>
      <c r="CA1827"/>
      <c r="CB1827"/>
      <c r="CC1827"/>
      <c r="CD1827"/>
      <c r="CE1827"/>
      <c r="CF1827"/>
      <c r="CG1827"/>
      <c r="CH1827"/>
      <c r="CI1827"/>
      <c r="CJ1827"/>
      <c r="CK1827"/>
      <c r="CL1827"/>
      <c r="CM1827"/>
    </row>
    <row r="1828" spans="1:91" x14ac:dyDescent="0.2">
      <c r="A1828"/>
      <c r="B1828"/>
      <c r="D1828"/>
      <c r="E1828"/>
      <c r="F1828"/>
      <c r="G1828"/>
      <c r="I1828"/>
      <c r="J1828"/>
      <c r="K1828"/>
      <c r="L1828" s="499"/>
      <c r="BX1828" s="769"/>
      <c r="BY1828"/>
      <c r="BZ1828"/>
      <c r="CA1828"/>
      <c r="CB1828"/>
      <c r="CC1828"/>
      <c r="CD1828"/>
      <c r="CE1828"/>
      <c r="CF1828"/>
      <c r="CG1828"/>
      <c r="CH1828"/>
      <c r="CI1828"/>
      <c r="CJ1828"/>
      <c r="CK1828"/>
      <c r="CL1828"/>
      <c r="CM1828"/>
    </row>
    <row r="1829" spans="1:91" x14ac:dyDescent="0.2">
      <c r="A1829"/>
      <c r="B1829"/>
      <c r="D1829"/>
      <c r="E1829"/>
      <c r="F1829"/>
      <c r="G1829"/>
      <c r="I1829"/>
      <c r="J1829"/>
      <c r="K1829"/>
      <c r="L1829" s="499"/>
      <c r="BX1829" s="769"/>
      <c r="BY1829"/>
      <c r="BZ1829"/>
      <c r="CA1829"/>
      <c r="CB1829"/>
      <c r="CC1829"/>
      <c r="CD1829"/>
      <c r="CE1829"/>
      <c r="CF1829"/>
      <c r="CG1829"/>
      <c r="CH1829"/>
      <c r="CI1829"/>
      <c r="CJ1829"/>
      <c r="CK1829"/>
      <c r="CL1829"/>
      <c r="CM1829"/>
    </row>
    <row r="1830" spans="1:91" x14ac:dyDescent="0.2">
      <c r="A1830"/>
      <c r="B1830"/>
      <c r="D1830"/>
      <c r="E1830"/>
      <c r="F1830"/>
      <c r="G1830"/>
      <c r="I1830"/>
      <c r="J1830"/>
      <c r="K1830"/>
      <c r="L1830" s="499"/>
      <c r="BX1830" s="769"/>
      <c r="BY1830"/>
      <c r="BZ1830"/>
      <c r="CA1830"/>
      <c r="CB1830"/>
      <c r="CC1830"/>
      <c r="CD1830"/>
      <c r="CE1830"/>
      <c r="CF1830"/>
      <c r="CG1830"/>
      <c r="CH1830"/>
      <c r="CI1830"/>
      <c r="CJ1830"/>
      <c r="CK1830"/>
      <c r="CL1830"/>
      <c r="CM1830"/>
    </row>
    <row r="1831" spans="1:91" x14ac:dyDescent="0.2">
      <c r="A1831"/>
      <c r="B1831"/>
      <c r="D1831"/>
      <c r="E1831"/>
      <c r="F1831"/>
      <c r="G1831"/>
      <c r="I1831"/>
      <c r="J1831"/>
      <c r="K1831"/>
      <c r="L1831" s="499"/>
      <c r="BX1831" s="769"/>
      <c r="BY1831"/>
      <c r="BZ1831"/>
      <c r="CA1831"/>
      <c r="CB1831"/>
      <c r="CC1831"/>
      <c r="CD1831"/>
      <c r="CE1831"/>
      <c r="CF1831"/>
      <c r="CG1831"/>
      <c r="CH1831"/>
      <c r="CI1831"/>
      <c r="CJ1831"/>
      <c r="CK1831"/>
      <c r="CL1831"/>
      <c r="CM1831"/>
    </row>
    <row r="1832" spans="1:91" x14ac:dyDescent="0.2">
      <c r="A1832"/>
      <c r="B1832"/>
      <c r="D1832"/>
      <c r="E1832"/>
      <c r="F1832"/>
      <c r="G1832"/>
      <c r="I1832"/>
      <c r="J1832"/>
      <c r="K1832"/>
      <c r="L1832" s="499"/>
      <c r="BX1832" s="769"/>
      <c r="BY1832"/>
      <c r="BZ1832"/>
      <c r="CA1832"/>
      <c r="CB1832"/>
      <c r="CC1832"/>
      <c r="CD1832"/>
      <c r="CE1832"/>
      <c r="CF1832"/>
      <c r="CG1832"/>
      <c r="CH1832"/>
      <c r="CI1832"/>
      <c r="CJ1832"/>
      <c r="CK1832"/>
      <c r="CL1832"/>
      <c r="CM1832"/>
    </row>
    <row r="1833" spans="1:91" x14ac:dyDescent="0.2">
      <c r="A1833"/>
      <c r="B1833"/>
      <c r="D1833"/>
      <c r="E1833"/>
      <c r="F1833"/>
      <c r="G1833"/>
      <c r="I1833"/>
      <c r="J1833"/>
      <c r="K1833"/>
      <c r="L1833" s="499"/>
      <c r="BX1833" s="769"/>
      <c r="BY1833"/>
      <c r="BZ1833"/>
      <c r="CA1833"/>
      <c r="CB1833"/>
      <c r="CC1833"/>
      <c r="CD1833"/>
      <c r="CE1833"/>
      <c r="CF1833"/>
      <c r="CG1833"/>
      <c r="CH1833"/>
      <c r="CI1833"/>
      <c r="CJ1833"/>
      <c r="CK1833"/>
      <c r="CL1833"/>
      <c r="CM1833"/>
    </row>
    <row r="1834" spans="1:91" x14ac:dyDescent="0.2">
      <c r="A1834"/>
      <c r="B1834"/>
      <c r="D1834"/>
      <c r="E1834"/>
      <c r="F1834"/>
      <c r="G1834"/>
      <c r="I1834"/>
      <c r="J1834"/>
      <c r="K1834"/>
      <c r="L1834" s="499"/>
      <c r="BX1834" s="769"/>
      <c r="BY1834"/>
      <c r="BZ1834"/>
      <c r="CA1834"/>
      <c r="CB1834"/>
      <c r="CC1834"/>
      <c r="CD1834"/>
      <c r="CE1834"/>
      <c r="CF1834"/>
      <c r="CG1834"/>
      <c r="CH1834"/>
      <c r="CI1834"/>
      <c r="CJ1834"/>
      <c r="CK1834"/>
      <c r="CL1834"/>
      <c r="CM1834"/>
    </row>
    <row r="1835" spans="1:91" x14ac:dyDescent="0.2">
      <c r="A1835"/>
      <c r="B1835"/>
      <c r="D1835"/>
      <c r="E1835"/>
      <c r="F1835"/>
      <c r="G1835"/>
      <c r="I1835"/>
      <c r="J1835"/>
      <c r="K1835"/>
      <c r="L1835" s="499"/>
      <c r="BX1835" s="769"/>
      <c r="BY1835"/>
      <c r="BZ1835"/>
      <c r="CA1835"/>
      <c r="CB1835"/>
      <c r="CC1835"/>
      <c r="CD1835"/>
      <c r="CE1835"/>
      <c r="CF1835"/>
      <c r="CG1835"/>
      <c r="CH1835"/>
      <c r="CI1835"/>
      <c r="CJ1835"/>
      <c r="CK1835"/>
      <c r="CL1835"/>
      <c r="CM1835"/>
    </row>
    <row r="1836" spans="1:91" x14ac:dyDescent="0.2">
      <c r="A1836"/>
      <c r="B1836"/>
      <c r="D1836"/>
      <c r="E1836"/>
      <c r="F1836"/>
      <c r="G1836"/>
      <c r="I1836"/>
      <c r="J1836"/>
      <c r="K1836"/>
      <c r="L1836" s="499"/>
      <c r="BX1836" s="769"/>
      <c r="BY1836"/>
      <c r="BZ1836"/>
      <c r="CA1836"/>
      <c r="CB1836"/>
      <c r="CC1836"/>
      <c r="CD1836"/>
      <c r="CE1836"/>
      <c r="CF1836"/>
      <c r="CG1836"/>
      <c r="CH1836"/>
      <c r="CI1836"/>
      <c r="CJ1836"/>
      <c r="CK1836"/>
      <c r="CL1836"/>
      <c r="CM1836"/>
    </row>
    <row r="1837" spans="1:91" x14ac:dyDescent="0.2">
      <c r="A1837"/>
      <c r="B1837"/>
      <c r="D1837"/>
      <c r="E1837"/>
      <c r="F1837"/>
      <c r="G1837"/>
      <c r="I1837"/>
      <c r="J1837"/>
      <c r="K1837"/>
      <c r="L1837" s="499"/>
      <c r="BX1837" s="769"/>
      <c r="BY1837"/>
      <c r="BZ1837"/>
      <c r="CA1837"/>
      <c r="CB1837"/>
      <c r="CC1837"/>
      <c r="CD1837"/>
      <c r="CE1837"/>
      <c r="CF1837"/>
      <c r="CG1837"/>
      <c r="CH1837"/>
      <c r="CI1837"/>
      <c r="CJ1837"/>
      <c r="CK1837"/>
      <c r="CL1837"/>
      <c r="CM1837"/>
    </row>
    <row r="1838" spans="1:91" x14ac:dyDescent="0.2">
      <c r="A1838"/>
      <c r="B1838"/>
      <c r="D1838"/>
      <c r="E1838"/>
      <c r="F1838"/>
      <c r="G1838"/>
      <c r="I1838"/>
      <c r="J1838"/>
      <c r="K1838"/>
      <c r="L1838" s="499"/>
      <c r="BX1838" s="769"/>
      <c r="BY1838"/>
      <c r="BZ1838"/>
      <c r="CA1838"/>
      <c r="CB1838"/>
      <c r="CC1838"/>
      <c r="CD1838"/>
      <c r="CE1838"/>
      <c r="CF1838"/>
      <c r="CG1838"/>
      <c r="CH1838"/>
      <c r="CI1838"/>
      <c r="CJ1838"/>
      <c r="CK1838"/>
      <c r="CL1838"/>
      <c r="CM1838"/>
    </row>
    <row r="1839" spans="1:91" x14ac:dyDescent="0.2">
      <c r="A1839"/>
      <c r="B1839"/>
      <c r="D1839"/>
      <c r="E1839"/>
      <c r="F1839"/>
      <c r="G1839"/>
      <c r="I1839"/>
      <c r="J1839"/>
      <c r="K1839"/>
      <c r="L1839" s="499"/>
      <c r="BX1839" s="769"/>
      <c r="BY1839"/>
      <c r="BZ1839"/>
      <c r="CA1839"/>
      <c r="CB1839"/>
      <c r="CC1839"/>
      <c r="CD1839"/>
      <c r="CE1839"/>
      <c r="CF1839"/>
      <c r="CG1839"/>
      <c r="CH1839"/>
      <c r="CI1839"/>
      <c r="CJ1839"/>
      <c r="CK1839"/>
      <c r="CL1839"/>
      <c r="CM1839"/>
    </row>
    <row r="1840" spans="1:91" x14ac:dyDescent="0.2">
      <c r="A1840"/>
      <c r="B1840"/>
      <c r="D1840"/>
      <c r="E1840"/>
      <c r="F1840"/>
      <c r="G1840"/>
      <c r="I1840"/>
      <c r="J1840"/>
      <c r="K1840"/>
      <c r="L1840" s="499"/>
      <c r="BX1840" s="769"/>
      <c r="BY1840"/>
      <c r="BZ1840"/>
      <c r="CA1840"/>
      <c r="CB1840"/>
      <c r="CC1840"/>
      <c r="CD1840"/>
      <c r="CE1840"/>
      <c r="CF1840"/>
      <c r="CG1840"/>
      <c r="CH1840"/>
      <c r="CI1840"/>
      <c r="CJ1840"/>
      <c r="CK1840"/>
      <c r="CL1840"/>
      <c r="CM1840"/>
    </row>
    <row r="1841" spans="1:91" x14ac:dyDescent="0.2">
      <c r="A1841"/>
      <c r="B1841"/>
      <c r="D1841"/>
      <c r="E1841"/>
      <c r="F1841"/>
      <c r="G1841"/>
      <c r="I1841"/>
      <c r="J1841"/>
      <c r="K1841"/>
      <c r="L1841" s="499"/>
      <c r="BX1841" s="769"/>
      <c r="BY1841"/>
      <c r="BZ1841"/>
      <c r="CA1841"/>
      <c r="CB1841"/>
      <c r="CC1841"/>
      <c r="CD1841"/>
      <c r="CE1841"/>
      <c r="CF1841"/>
      <c r="CG1841"/>
      <c r="CH1841"/>
      <c r="CI1841"/>
      <c r="CJ1841"/>
      <c r="CK1841"/>
      <c r="CL1841"/>
      <c r="CM1841"/>
    </row>
    <row r="1842" spans="1:91" x14ac:dyDescent="0.2">
      <c r="A1842"/>
      <c r="B1842"/>
      <c r="D1842"/>
      <c r="E1842"/>
      <c r="F1842"/>
      <c r="G1842"/>
      <c r="I1842"/>
      <c r="J1842"/>
      <c r="K1842"/>
      <c r="L1842" s="499"/>
      <c r="BX1842" s="769"/>
      <c r="BY1842"/>
      <c r="BZ1842"/>
      <c r="CA1842"/>
      <c r="CB1842"/>
      <c r="CC1842"/>
      <c r="CD1842"/>
      <c r="CE1842"/>
      <c r="CF1842"/>
      <c r="CG1842"/>
      <c r="CH1842"/>
      <c r="CI1842"/>
      <c r="CJ1842"/>
      <c r="CK1842"/>
      <c r="CL1842"/>
      <c r="CM1842"/>
    </row>
    <row r="1843" spans="1:91" x14ac:dyDescent="0.2">
      <c r="A1843"/>
      <c r="B1843"/>
      <c r="D1843"/>
      <c r="E1843"/>
      <c r="F1843"/>
      <c r="G1843"/>
      <c r="I1843"/>
      <c r="J1843"/>
      <c r="K1843"/>
      <c r="L1843" s="499"/>
      <c r="BX1843" s="769"/>
      <c r="BY1843"/>
      <c r="BZ1843"/>
      <c r="CA1843"/>
      <c r="CB1843"/>
      <c r="CC1843"/>
      <c r="CD1843"/>
      <c r="CE1843"/>
      <c r="CF1843"/>
      <c r="CG1843"/>
      <c r="CH1843"/>
      <c r="CI1843"/>
      <c r="CJ1843"/>
      <c r="CK1843"/>
      <c r="CL1843"/>
      <c r="CM1843"/>
    </row>
    <row r="1844" spans="1:91" x14ac:dyDescent="0.2">
      <c r="A1844"/>
      <c r="B1844"/>
      <c r="D1844"/>
      <c r="E1844"/>
      <c r="F1844"/>
      <c r="G1844"/>
      <c r="I1844"/>
      <c r="J1844"/>
      <c r="K1844"/>
      <c r="L1844" s="499"/>
      <c r="BX1844" s="769"/>
      <c r="BY1844"/>
      <c r="BZ1844"/>
      <c r="CA1844"/>
      <c r="CB1844"/>
      <c r="CC1844"/>
      <c r="CD1844"/>
      <c r="CE1844"/>
      <c r="CF1844"/>
      <c r="CG1844"/>
      <c r="CH1844"/>
      <c r="CI1844"/>
      <c r="CJ1844"/>
      <c r="CK1844"/>
      <c r="CL1844"/>
      <c r="CM1844"/>
    </row>
    <row r="1845" spans="1:91" x14ac:dyDescent="0.2">
      <c r="A1845"/>
      <c r="B1845"/>
      <c r="D1845"/>
      <c r="E1845"/>
      <c r="F1845"/>
      <c r="G1845"/>
      <c r="I1845"/>
      <c r="J1845"/>
      <c r="K1845"/>
      <c r="L1845" s="499"/>
      <c r="BX1845" s="769"/>
      <c r="BY1845"/>
      <c r="BZ1845"/>
      <c r="CA1845"/>
      <c r="CB1845"/>
      <c r="CC1845"/>
      <c r="CD1845"/>
      <c r="CE1845"/>
      <c r="CF1845"/>
      <c r="CG1845"/>
      <c r="CH1845"/>
      <c r="CI1845"/>
      <c r="CJ1845"/>
      <c r="CK1845"/>
      <c r="CL1845"/>
      <c r="CM1845"/>
    </row>
    <row r="1846" spans="1:91" x14ac:dyDescent="0.2">
      <c r="A1846"/>
      <c r="B1846"/>
      <c r="D1846"/>
      <c r="E1846"/>
      <c r="F1846"/>
      <c r="G1846"/>
      <c r="I1846"/>
      <c r="J1846"/>
      <c r="K1846"/>
      <c r="L1846" s="499"/>
      <c r="BX1846" s="769"/>
      <c r="BY1846"/>
      <c r="BZ1846"/>
      <c r="CA1846"/>
      <c r="CB1846"/>
      <c r="CC1846"/>
      <c r="CD1846"/>
      <c r="CE1846"/>
      <c r="CF1846"/>
      <c r="CG1846"/>
      <c r="CH1846"/>
      <c r="CI1846"/>
      <c r="CJ1846"/>
      <c r="CK1846"/>
      <c r="CL1846"/>
      <c r="CM1846"/>
    </row>
    <row r="1847" spans="1:91" x14ac:dyDescent="0.2">
      <c r="A1847"/>
      <c r="B1847"/>
      <c r="D1847"/>
      <c r="E1847"/>
      <c r="F1847"/>
      <c r="G1847"/>
      <c r="I1847"/>
      <c r="J1847"/>
      <c r="K1847"/>
      <c r="L1847" s="499"/>
      <c r="BX1847" s="769"/>
      <c r="BY1847"/>
      <c r="BZ1847"/>
      <c r="CA1847"/>
      <c r="CB1847"/>
      <c r="CC1847"/>
      <c r="CD1847"/>
      <c r="CE1847"/>
      <c r="CF1847"/>
      <c r="CG1847"/>
      <c r="CH1847"/>
      <c r="CI1847"/>
      <c r="CJ1847"/>
      <c r="CK1847"/>
      <c r="CL1847"/>
      <c r="CM1847"/>
    </row>
    <row r="1848" spans="1:91" x14ac:dyDescent="0.2">
      <c r="A1848"/>
      <c r="B1848"/>
      <c r="D1848"/>
      <c r="E1848"/>
      <c r="F1848"/>
      <c r="G1848"/>
      <c r="I1848"/>
      <c r="J1848"/>
      <c r="K1848"/>
      <c r="L1848" s="499"/>
      <c r="BX1848" s="769"/>
      <c r="BY1848"/>
      <c r="BZ1848"/>
      <c r="CA1848"/>
      <c r="CB1848"/>
      <c r="CC1848"/>
      <c r="CD1848"/>
      <c r="CE1848"/>
      <c r="CF1848"/>
      <c r="CG1848"/>
      <c r="CH1848"/>
      <c r="CI1848"/>
      <c r="CJ1848"/>
      <c r="CK1848"/>
      <c r="CL1848"/>
      <c r="CM1848"/>
    </row>
    <row r="1849" spans="1:91" x14ac:dyDescent="0.2">
      <c r="A1849"/>
      <c r="B1849"/>
      <c r="D1849"/>
      <c r="E1849"/>
      <c r="F1849"/>
      <c r="G1849"/>
      <c r="I1849"/>
      <c r="J1849"/>
      <c r="K1849"/>
      <c r="L1849" s="499"/>
      <c r="BX1849" s="769"/>
      <c r="BY1849"/>
      <c r="BZ1849"/>
      <c r="CA1849"/>
      <c r="CB1849"/>
      <c r="CC1849"/>
      <c r="CD1849"/>
      <c r="CE1849"/>
      <c r="CF1849"/>
      <c r="CG1849"/>
      <c r="CH1849"/>
      <c r="CI1849"/>
      <c r="CJ1849"/>
      <c r="CK1849"/>
      <c r="CL1849"/>
      <c r="CM1849"/>
    </row>
    <row r="1850" spans="1:91" x14ac:dyDescent="0.2">
      <c r="A1850"/>
      <c r="B1850"/>
      <c r="D1850"/>
      <c r="E1850"/>
      <c r="F1850"/>
      <c r="G1850"/>
      <c r="I1850"/>
      <c r="J1850"/>
      <c r="K1850"/>
      <c r="L1850" s="499"/>
      <c r="BX1850" s="769"/>
      <c r="BY1850"/>
      <c r="BZ1850"/>
      <c r="CA1850"/>
      <c r="CB1850"/>
      <c r="CC1850"/>
      <c r="CD1850"/>
      <c r="CE1850"/>
      <c r="CF1850"/>
      <c r="CG1850"/>
      <c r="CH1850"/>
      <c r="CI1850"/>
      <c r="CJ1850"/>
      <c r="CK1850"/>
      <c r="CL1850"/>
      <c r="CM1850"/>
    </row>
    <row r="1851" spans="1:91" x14ac:dyDescent="0.2">
      <c r="A1851"/>
      <c r="B1851"/>
      <c r="D1851"/>
      <c r="E1851"/>
      <c r="F1851"/>
      <c r="G1851"/>
      <c r="I1851"/>
      <c r="J1851"/>
      <c r="K1851"/>
      <c r="L1851" s="499"/>
      <c r="BX1851" s="769"/>
      <c r="BY1851"/>
      <c r="BZ1851"/>
      <c r="CA1851"/>
      <c r="CB1851"/>
      <c r="CC1851"/>
      <c r="CD1851"/>
      <c r="CE1851"/>
      <c r="CF1851"/>
      <c r="CG1851"/>
      <c r="CH1851"/>
      <c r="CI1851"/>
      <c r="CJ1851"/>
      <c r="CK1851"/>
      <c r="CL1851"/>
      <c r="CM1851"/>
    </row>
    <row r="1852" spans="1:91" x14ac:dyDescent="0.2">
      <c r="A1852"/>
      <c r="B1852"/>
      <c r="D1852"/>
      <c r="E1852"/>
      <c r="F1852"/>
      <c r="G1852"/>
      <c r="I1852"/>
      <c r="J1852"/>
      <c r="K1852"/>
      <c r="L1852" s="499"/>
      <c r="BX1852" s="769"/>
      <c r="BY1852"/>
      <c r="BZ1852"/>
      <c r="CA1852"/>
      <c r="CB1852"/>
      <c r="CC1852"/>
      <c r="CD1852"/>
      <c r="CE1852"/>
      <c r="CF1852"/>
      <c r="CG1852"/>
      <c r="CH1852"/>
      <c r="CI1852"/>
      <c r="CJ1852"/>
      <c r="CK1852"/>
      <c r="CL1852"/>
      <c r="CM1852"/>
    </row>
    <row r="1853" spans="1:91" x14ac:dyDescent="0.2">
      <c r="A1853"/>
      <c r="B1853"/>
      <c r="D1853"/>
      <c r="E1853"/>
      <c r="F1853"/>
      <c r="G1853"/>
      <c r="I1853"/>
      <c r="J1853"/>
      <c r="K1853"/>
      <c r="L1853" s="499"/>
      <c r="BX1853" s="769"/>
      <c r="BY1853"/>
      <c r="BZ1853"/>
      <c r="CA1853"/>
      <c r="CB1853"/>
      <c r="CC1853"/>
      <c r="CD1853"/>
      <c r="CE1853"/>
      <c r="CF1853"/>
      <c r="CG1853"/>
      <c r="CH1853"/>
      <c r="CI1853"/>
      <c r="CJ1853"/>
      <c r="CK1853"/>
      <c r="CL1853"/>
      <c r="CM1853"/>
    </row>
    <row r="1854" spans="1:91" x14ac:dyDescent="0.2">
      <c r="A1854"/>
      <c r="B1854"/>
      <c r="D1854"/>
      <c r="E1854"/>
      <c r="F1854"/>
      <c r="G1854"/>
      <c r="I1854"/>
      <c r="J1854"/>
      <c r="K1854"/>
      <c r="L1854" s="499"/>
      <c r="BX1854" s="769"/>
      <c r="BY1854"/>
      <c r="BZ1854"/>
      <c r="CA1854"/>
      <c r="CB1854"/>
      <c r="CC1854"/>
      <c r="CD1854"/>
      <c r="CE1854"/>
      <c r="CF1854"/>
      <c r="CG1854"/>
      <c r="CH1854"/>
      <c r="CI1854"/>
      <c r="CJ1854"/>
      <c r="CK1854"/>
      <c r="CL1854"/>
      <c r="CM1854"/>
    </row>
    <row r="1855" spans="1:91" x14ac:dyDescent="0.2">
      <c r="A1855"/>
      <c r="B1855"/>
      <c r="D1855"/>
      <c r="E1855"/>
      <c r="F1855"/>
      <c r="G1855"/>
      <c r="I1855"/>
      <c r="J1855"/>
      <c r="K1855"/>
      <c r="L1855" s="499"/>
      <c r="BX1855" s="769"/>
      <c r="BY1855"/>
      <c r="BZ1855"/>
      <c r="CA1855"/>
      <c r="CB1855"/>
      <c r="CC1855"/>
      <c r="CD1855"/>
      <c r="CE1855"/>
      <c r="CF1855"/>
      <c r="CG1855"/>
      <c r="CH1855"/>
      <c r="CI1855"/>
      <c r="CJ1855"/>
      <c r="CK1855"/>
      <c r="CL1855"/>
      <c r="CM1855"/>
    </row>
    <row r="1856" spans="1:91" x14ac:dyDescent="0.2">
      <c r="A1856"/>
      <c r="B1856"/>
      <c r="D1856"/>
      <c r="E1856"/>
      <c r="F1856"/>
      <c r="G1856"/>
      <c r="I1856"/>
      <c r="J1856"/>
      <c r="K1856"/>
      <c r="L1856" s="499"/>
      <c r="BX1856" s="769"/>
      <c r="BY1856"/>
      <c r="BZ1856"/>
      <c r="CA1856"/>
      <c r="CB1856"/>
      <c r="CC1856"/>
      <c r="CD1856"/>
      <c r="CE1856"/>
      <c r="CF1856"/>
      <c r="CG1856"/>
      <c r="CH1856"/>
      <c r="CI1856"/>
      <c r="CJ1856"/>
      <c r="CK1856"/>
      <c r="CL1856"/>
      <c r="CM1856"/>
    </row>
    <row r="1857" spans="1:91" x14ac:dyDescent="0.2">
      <c r="A1857"/>
      <c r="B1857"/>
      <c r="D1857"/>
      <c r="E1857"/>
      <c r="F1857"/>
      <c r="G1857"/>
      <c r="I1857"/>
      <c r="J1857"/>
      <c r="K1857"/>
      <c r="L1857" s="499"/>
      <c r="BX1857" s="769"/>
      <c r="BY1857"/>
      <c r="BZ1857"/>
      <c r="CA1857"/>
      <c r="CB1857"/>
      <c r="CC1857"/>
      <c r="CD1857"/>
      <c r="CE1857"/>
      <c r="CF1857"/>
      <c r="CG1857"/>
      <c r="CH1857"/>
      <c r="CI1857"/>
      <c r="CJ1857"/>
      <c r="CK1857"/>
      <c r="CL1857"/>
      <c r="CM1857"/>
    </row>
    <row r="1858" spans="1:91" x14ac:dyDescent="0.2">
      <c r="A1858"/>
      <c r="B1858"/>
      <c r="D1858"/>
      <c r="E1858"/>
      <c r="F1858"/>
      <c r="G1858"/>
      <c r="I1858"/>
      <c r="J1858"/>
      <c r="K1858"/>
      <c r="L1858" s="499"/>
      <c r="BX1858" s="769"/>
      <c r="BY1858"/>
      <c r="BZ1858"/>
      <c r="CA1858"/>
      <c r="CB1858"/>
      <c r="CC1858"/>
      <c r="CD1858"/>
      <c r="CE1858"/>
      <c r="CF1858"/>
      <c r="CG1858"/>
      <c r="CH1858"/>
      <c r="CI1858"/>
      <c r="CJ1858"/>
      <c r="CK1858"/>
      <c r="CL1858"/>
      <c r="CM1858"/>
    </row>
    <row r="1859" spans="1:91" x14ac:dyDescent="0.2">
      <c r="A1859"/>
      <c r="B1859"/>
      <c r="D1859"/>
      <c r="E1859"/>
      <c r="F1859"/>
      <c r="G1859"/>
      <c r="I1859"/>
      <c r="J1859"/>
      <c r="K1859"/>
      <c r="L1859" s="499"/>
      <c r="BX1859" s="769"/>
      <c r="BY1859"/>
      <c r="BZ1859"/>
      <c r="CA1859"/>
      <c r="CB1859"/>
      <c r="CC1859"/>
      <c r="CD1859"/>
      <c r="CE1859"/>
      <c r="CF1859"/>
      <c r="CG1859"/>
      <c r="CH1859"/>
      <c r="CI1859"/>
      <c r="CJ1859"/>
      <c r="CK1859"/>
      <c r="CL1859"/>
      <c r="CM1859"/>
    </row>
    <row r="1860" spans="1:91" x14ac:dyDescent="0.2">
      <c r="A1860"/>
      <c r="B1860"/>
      <c r="D1860"/>
      <c r="E1860"/>
      <c r="F1860"/>
      <c r="G1860"/>
      <c r="I1860"/>
      <c r="J1860"/>
      <c r="K1860"/>
      <c r="L1860" s="499"/>
      <c r="BX1860" s="769"/>
      <c r="BY1860"/>
      <c r="BZ1860"/>
      <c r="CA1860"/>
      <c r="CB1860"/>
      <c r="CC1860"/>
      <c r="CD1860"/>
      <c r="CE1860"/>
      <c r="CF1860"/>
      <c r="CG1860"/>
      <c r="CH1860"/>
      <c r="CI1860"/>
      <c r="CJ1860"/>
      <c r="CK1860"/>
      <c r="CL1860"/>
      <c r="CM1860"/>
    </row>
    <row r="1861" spans="1:91" x14ac:dyDescent="0.2">
      <c r="A1861"/>
      <c r="B1861"/>
      <c r="D1861"/>
      <c r="E1861"/>
      <c r="F1861"/>
      <c r="G1861"/>
      <c r="I1861"/>
      <c r="J1861"/>
      <c r="K1861"/>
      <c r="L1861" s="499"/>
      <c r="BX1861" s="769"/>
      <c r="BY1861"/>
      <c r="BZ1861"/>
      <c r="CA1861"/>
      <c r="CB1861"/>
      <c r="CC1861"/>
      <c r="CD1861"/>
      <c r="CE1861"/>
      <c r="CF1861"/>
      <c r="CG1861"/>
      <c r="CH1861"/>
      <c r="CI1861"/>
      <c r="CJ1861"/>
      <c r="CK1861"/>
      <c r="CL1861"/>
      <c r="CM1861"/>
    </row>
    <row r="1862" spans="1:91" x14ac:dyDescent="0.2">
      <c r="A1862"/>
      <c r="B1862"/>
      <c r="D1862"/>
      <c r="E1862"/>
      <c r="F1862"/>
      <c r="G1862"/>
      <c r="I1862"/>
      <c r="J1862"/>
      <c r="K1862"/>
      <c r="L1862" s="499"/>
      <c r="BX1862" s="769"/>
      <c r="BY1862"/>
      <c r="BZ1862"/>
      <c r="CA1862"/>
      <c r="CB1862"/>
      <c r="CC1862"/>
      <c r="CD1862"/>
      <c r="CE1862"/>
      <c r="CF1862"/>
      <c r="CG1862"/>
      <c r="CH1862"/>
      <c r="CI1862"/>
      <c r="CJ1862"/>
      <c r="CK1862"/>
      <c r="CL1862"/>
      <c r="CM1862"/>
    </row>
    <row r="1863" spans="1:91" x14ac:dyDescent="0.2">
      <c r="A1863"/>
      <c r="B1863"/>
      <c r="D1863"/>
      <c r="E1863"/>
      <c r="F1863"/>
      <c r="G1863"/>
      <c r="I1863"/>
      <c r="J1863"/>
      <c r="K1863"/>
      <c r="L1863" s="499"/>
      <c r="BX1863" s="769"/>
      <c r="BY1863"/>
      <c r="BZ1863"/>
      <c r="CA1863"/>
      <c r="CB1863"/>
      <c r="CC1863"/>
      <c r="CD1863"/>
      <c r="CE1863"/>
      <c r="CF1863"/>
      <c r="CG1863"/>
      <c r="CH1863"/>
      <c r="CI1863"/>
      <c r="CJ1863"/>
      <c r="CK1863"/>
      <c r="CL1863"/>
      <c r="CM1863"/>
    </row>
    <row r="1864" spans="1:91" x14ac:dyDescent="0.2">
      <c r="A1864"/>
      <c r="B1864"/>
      <c r="D1864"/>
      <c r="E1864"/>
      <c r="F1864"/>
      <c r="G1864"/>
      <c r="I1864"/>
      <c r="J1864"/>
      <c r="K1864"/>
      <c r="L1864" s="499"/>
      <c r="BX1864" s="769"/>
      <c r="BY1864"/>
      <c r="BZ1864"/>
      <c r="CA1864"/>
      <c r="CB1864"/>
      <c r="CC1864"/>
      <c r="CD1864"/>
      <c r="CE1864"/>
      <c r="CF1864"/>
      <c r="CG1864"/>
      <c r="CH1864"/>
      <c r="CI1864"/>
      <c r="CJ1864"/>
      <c r="CK1864"/>
      <c r="CL1864"/>
      <c r="CM1864"/>
    </row>
    <row r="1865" spans="1:91" x14ac:dyDescent="0.2">
      <c r="A1865"/>
      <c r="B1865"/>
      <c r="D1865"/>
      <c r="E1865"/>
      <c r="F1865"/>
      <c r="G1865"/>
      <c r="I1865"/>
      <c r="J1865"/>
      <c r="K1865"/>
      <c r="L1865" s="499"/>
      <c r="BX1865" s="769"/>
      <c r="BY1865"/>
      <c r="BZ1865"/>
      <c r="CA1865"/>
      <c r="CB1865"/>
      <c r="CC1865"/>
      <c r="CD1865"/>
      <c r="CE1865"/>
      <c r="CF1865"/>
      <c r="CG1865"/>
      <c r="CH1865"/>
      <c r="CI1865"/>
      <c r="CJ1865"/>
      <c r="CK1865"/>
      <c r="CL1865"/>
      <c r="CM1865"/>
    </row>
    <row r="1866" spans="1:91" x14ac:dyDescent="0.2">
      <c r="A1866"/>
      <c r="B1866"/>
      <c r="D1866"/>
      <c r="E1866"/>
      <c r="F1866"/>
      <c r="G1866"/>
      <c r="I1866"/>
      <c r="J1866"/>
      <c r="K1866"/>
      <c r="L1866" s="499"/>
      <c r="BX1866" s="769"/>
      <c r="BY1866"/>
      <c r="BZ1866"/>
      <c r="CA1866"/>
      <c r="CB1866"/>
      <c r="CC1866"/>
      <c r="CD1866"/>
      <c r="CE1866"/>
      <c r="CF1866"/>
      <c r="CG1866"/>
      <c r="CH1866"/>
      <c r="CI1866"/>
      <c r="CJ1866"/>
      <c r="CK1866"/>
      <c r="CL1866"/>
      <c r="CM1866"/>
    </row>
    <row r="1867" spans="1:91" x14ac:dyDescent="0.2">
      <c r="A1867"/>
      <c r="B1867"/>
      <c r="D1867"/>
      <c r="E1867"/>
      <c r="F1867"/>
      <c r="G1867"/>
      <c r="I1867"/>
      <c r="J1867"/>
      <c r="K1867"/>
      <c r="L1867" s="499"/>
      <c r="BX1867" s="769"/>
      <c r="BY1867"/>
      <c r="BZ1867"/>
      <c r="CA1867"/>
      <c r="CB1867"/>
      <c r="CC1867"/>
      <c r="CD1867"/>
      <c r="CE1867"/>
      <c r="CF1867"/>
      <c r="CG1867"/>
      <c r="CH1867"/>
      <c r="CI1867"/>
      <c r="CJ1867"/>
      <c r="CK1867"/>
      <c r="CL1867"/>
      <c r="CM1867"/>
    </row>
    <row r="1868" spans="1:91" x14ac:dyDescent="0.2">
      <c r="A1868"/>
      <c r="B1868"/>
      <c r="D1868"/>
      <c r="E1868"/>
      <c r="F1868"/>
      <c r="G1868"/>
      <c r="I1868"/>
      <c r="J1868"/>
      <c r="K1868"/>
      <c r="L1868" s="499"/>
      <c r="BX1868" s="769"/>
      <c r="BY1868"/>
      <c r="BZ1868"/>
      <c r="CA1868"/>
      <c r="CB1868"/>
      <c r="CC1868"/>
      <c r="CD1868"/>
      <c r="CE1868"/>
      <c r="CF1868"/>
      <c r="CG1868"/>
      <c r="CH1868"/>
      <c r="CI1868"/>
      <c r="CJ1868"/>
      <c r="CK1868"/>
      <c r="CL1868"/>
      <c r="CM1868"/>
    </row>
    <row r="1869" spans="1:91" x14ac:dyDescent="0.2">
      <c r="A1869"/>
      <c r="B1869"/>
      <c r="D1869"/>
      <c r="E1869"/>
      <c r="F1869"/>
      <c r="G1869"/>
      <c r="I1869"/>
      <c r="J1869"/>
      <c r="K1869"/>
      <c r="L1869" s="499"/>
      <c r="BX1869" s="769"/>
      <c r="BY1869"/>
      <c r="BZ1869"/>
      <c r="CA1869"/>
      <c r="CB1869"/>
      <c r="CC1869"/>
      <c r="CD1869"/>
      <c r="CE1869"/>
      <c r="CF1869"/>
      <c r="CG1869"/>
      <c r="CH1869"/>
      <c r="CI1869"/>
      <c r="CJ1869"/>
      <c r="CK1869"/>
      <c r="CL1869"/>
      <c r="CM1869"/>
    </row>
    <row r="1870" spans="1:91" x14ac:dyDescent="0.2">
      <c r="A1870"/>
      <c r="B1870"/>
      <c r="D1870"/>
      <c r="E1870"/>
      <c r="F1870"/>
      <c r="G1870"/>
      <c r="I1870"/>
      <c r="J1870"/>
      <c r="K1870"/>
      <c r="L1870" s="499"/>
      <c r="BX1870" s="769"/>
      <c r="BY1870"/>
      <c r="BZ1870"/>
      <c r="CA1870"/>
      <c r="CB1870"/>
      <c r="CC1870"/>
      <c r="CD1870"/>
      <c r="CE1870"/>
      <c r="CF1870"/>
      <c r="CG1870"/>
      <c r="CH1870"/>
      <c r="CI1870"/>
      <c r="CJ1870"/>
      <c r="CK1870"/>
      <c r="CL1870"/>
      <c r="CM1870"/>
    </row>
    <row r="1871" spans="1:91" x14ac:dyDescent="0.2">
      <c r="A1871"/>
      <c r="B1871"/>
      <c r="D1871"/>
      <c r="E1871"/>
      <c r="F1871"/>
      <c r="G1871"/>
      <c r="I1871"/>
      <c r="J1871"/>
      <c r="K1871"/>
      <c r="L1871" s="499"/>
      <c r="BX1871" s="769"/>
      <c r="BY1871"/>
      <c r="BZ1871"/>
      <c r="CA1871"/>
      <c r="CB1871"/>
      <c r="CC1871"/>
      <c r="CD1871"/>
      <c r="CE1871"/>
      <c r="CF1871"/>
      <c r="CG1871"/>
      <c r="CH1871"/>
      <c r="CI1871"/>
      <c r="CJ1871"/>
      <c r="CK1871"/>
      <c r="CL1871"/>
      <c r="CM1871"/>
    </row>
    <row r="1872" spans="1:91" x14ac:dyDescent="0.2">
      <c r="A1872"/>
      <c r="B1872"/>
      <c r="D1872"/>
      <c r="E1872"/>
      <c r="F1872"/>
      <c r="G1872"/>
      <c r="I1872"/>
      <c r="J1872"/>
      <c r="K1872"/>
      <c r="L1872" s="499"/>
      <c r="BX1872" s="769"/>
      <c r="BY1872"/>
      <c r="BZ1872"/>
      <c r="CA1872"/>
      <c r="CB1872"/>
      <c r="CC1872"/>
      <c r="CD1872"/>
      <c r="CE1872"/>
      <c r="CF1872"/>
      <c r="CG1872"/>
      <c r="CH1872"/>
      <c r="CI1872"/>
      <c r="CJ1872"/>
      <c r="CK1872"/>
      <c r="CL1872"/>
      <c r="CM1872"/>
    </row>
    <row r="1873" spans="1:91" x14ac:dyDescent="0.2">
      <c r="A1873"/>
      <c r="B1873"/>
      <c r="D1873"/>
      <c r="E1873"/>
      <c r="F1873"/>
      <c r="G1873"/>
      <c r="I1873"/>
      <c r="J1873"/>
      <c r="K1873"/>
      <c r="L1873" s="499"/>
      <c r="BX1873" s="769"/>
      <c r="BY1873"/>
      <c r="BZ1873"/>
      <c r="CA1873"/>
      <c r="CB1873"/>
      <c r="CC1873"/>
      <c r="CD1873"/>
      <c r="CE1873"/>
      <c r="CF1873"/>
      <c r="CG1873"/>
      <c r="CH1873"/>
      <c r="CI1873"/>
      <c r="CJ1873"/>
      <c r="CK1873"/>
      <c r="CL1873"/>
      <c r="CM1873"/>
    </row>
    <row r="1874" spans="1:91" x14ac:dyDescent="0.2">
      <c r="A1874"/>
      <c r="B1874"/>
      <c r="D1874"/>
      <c r="E1874"/>
      <c r="F1874"/>
      <c r="G1874"/>
      <c r="I1874"/>
      <c r="J1874"/>
      <c r="K1874"/>
      <c r="L1874" s="499"/>
      <c r="BX1874" s="769"/>
      <c r="BY1874"/>
      <c r="BZ1874"/>
      <c r="CA1874"/>
      <c r="CB1874"/>
      <c r="CC1874"/>
      <c r="CD1874"/>
      <c r="CE1874"/>
      <c r="CF1874"/>
      <c r="CG1874"/>
      <c r="CH1874"/>
      <c r="CI1874"/>
      <c r="CJ1874"/>
      <c r="CK1874"/>
      <c r="CL1874"/>
      <c r="CM1874"/>
    </row>
    <row r="1875" spans="1:91" x14ac:dyDescent="0.2">
      <c r="A1875"/>
      <c r="B1875"/>
      <c r="D1875"/>
      <c r="E1875"/>
      <c r="F1875"/>
      <c r="G1875"/>
      <c r="I1875"/>
      <c r="J1875"/>
      <c r="K1875"/>
      <c r="L1875" s="499"/>
      <c r="BX1875" s="769"/>
      <c r="BY1875"/>
      <c r="BZ1875"/>
      <c r="CA1875"/>
      <c r="CB1875"/>
      <c r="CC1875"/>
      <c r="CD1875"/>
      <c r="CE1875"/>
      <c r="CF1875"/>
      <c r="CG1875"/>
      <c r="CH1875"/>
      <c r="CI1875"/>
      <c r="CJ1875"/>
      <c r="CK1875"/>
      <c r="CL1875"/>
      <c r="CM1875"/>
    </row>
    <row r="1876" spans="1:91" x14ac:dyDescent="0.2">
      <c r="A1876"/>
      <c r="B1876"/>
      <c r="D1876"/>
      <c r="E1876"/>
      <c r="F1876"/>
      <c r="G1876"/>
      <c r="I1876"/>
      <c r="J1876"/>
      <c r="K1876"/>
      <c r="L1876" s="499"/>
      <c r="BX1876" s="769"/>
      <c r="BY1876"/>
      <c r="BZ1876"/>
      <c r="CA1876"/>
      <c r="CB1876"/>
      <c r="CC1876"/>
      <c r="CD1876"/>
      <c r="CE1876"/>
      <c r="CF1876"/>
      <c r="CG1876"/>
      <c r="CH1876"/>
      <c r="CI1876"/>
      <c r="CJ1876"/>
      <c r="CK1876"/>
      <c r="CL1876"/>
      <c r="CM1876"/>
    </row>
    <row r="1877" spans="1:91" x14ac:dyDescent="0.2">
      <c r="A1877"/>
      <c r="B1877"/>
      <c r="D1877"/>
      <c r="E1877"/>
      <c r="F1877"/>
      <c r="G1877"/>
      <c r="I1877"/>
      <c r="J1877"/>
      <c r="K1877"/>
      <c r="L1877" s="499"/>
      <c r="BX1877" s="769"/>
      <c r="BY1877"/>
      <c r="BZ1877"/>
      <c r="CA1877"/>
      <c r="CB1877"/>
      <c r="CC1877"/>
      <c r="CD1877"/>
      <c r="CE1877"/>
      <c r="CF1877"/>
      <c r="CG1877"/>
      <c r="CH1877"/>
      <c r="CI1877"/>
      <c r="CJ1877"/>
      <c r="CK1877"/>
      <c r="CL1877"/>
      <c r="CM1877"/>
    </row>
    <row r="1878" spans="1:91" x14ac:dyDescent="0.2">
      <c r="A1878"/>
      <c r="B1878"/>
      <c r="D1878"/>
      <c r="E1878"/>
      <c r="F1878"/>
      <c r="G1878"/>
      <c r="I1878"/>
      <c r="J1878"/>
      <c r="K1878"/>
      <c r="L1878" s="499"/>
      <c r="BX1878" s="769"/>
      <c r="BY1878"/>
      <c r="BZ1878"/>
      <c r="CA1878"/>
      <c r="CB1878"/>
      <c r="CC1878"/>
      <c r="CD1878"/>
      <c r="CE1878"/>
      <c r="CF1878"/>
      <c r="CG1878"/>
      <c r="CH1878"/>
      <c r="CI1878"/>
      <c r="CJ1878"/>
      <c r="CK1878"/>
      <c r="CL1878"/>
      <c r="CM1878"/>
    </row>
    <row r="1879" spans="1:91" x14ac:dyDescent="0.2">
      <c r="A1879"/>
      <c r="B1879"/>
      <c r="D1879"/>
      <c r="E1879"/>
      <c r="F1879"/>
      <c r="G1879"/>
      <c r="I1879"/>
      <c r="J1879"/>
      <c r="K1879"/>
      <c r="L1879" s="499"/>
      <c r="BX1879" s="769"/>
      <c r="BY1879"/>
      <c r="BZ1879"/>
      <c r="CA1879"/>
      <c r="CB1879"/>
      <c r="CC1879"/>
      <c r="CD1879"/>
      <c r="CE1879"/>
      <c r="CF1879"/>
      <c r="CG1879"/>
      <c r="CH1879"/>
      <c r="CI1879"/>
      <c r="CJ1879"/>
      <c r="CK1879"/>
      <c r="CL1879"/>
      <c r="CM1879"/>
    </row>
    <row r="1880" spans="1:91" x14ac:dyDescent="0.2">
      <c r="A1880"/>
      <c r="B1880"/>
      <c r="D1880"/>
      <c r="E1880"/>
      <c r="F1880"/>
      <c r="G1880"/>
      <c r="I1880"/>
      <c r="J1880"/>
      <c r="K1880"/>
      <c r="L1880" s="499"/>
      <c r="BX1880" s="769"/>
      <c r="BY1880"/>
      <c r="BZ1880"/>
      <c r="CA1880"/>
      <c r="CB1880"/>
      <c r="CC1880"/>
      <c r="CD1880"/>
      <c r="CE1880"/>
      <c r="CF1880"/>
      <c r="CG1880"/>
      <c r="CH1880"/>
      <c r="CI1880"/>
      <c r="CJ1880"/>
      <c r="CK1880"/>
      <c r="CL1880"/>
      <c r="CM1880"/>
    </row>
    <row r="1881" spans="1:91" x14ac:dyDescent="0.2">
      <c r="A1881"/>
      <c r="B1881"/>
      <c r="D1881"/>
      <c r="E1881"/>
      <c r="F1881"/>
      <c r="G1881"/>
      <c r="I1881"/>
      <c r="J1881"/>
      <c r="K1881"/>
      <c r="L1881" s="499"/>
      <c r="BX1881" s="769"/>
      <c r="BY1881"/>
      <c r="BZ1881"/>
      <c r="CA1881"/>
      <c r="CB1881"/>
      <c r="CC1881"/>
      <c r="CD1881"/>
      <c r="CE1881"/>
      <c r="CF1881"/>
      <c r="CG1881"/>
      <c r="CH1881"/>
      <c r="CI1881"/>
      <c r="CJ1881"/>
      <c r="CK1881"/>
      <c r="CL1881"/>
      <c r="CM1881"/>
    </row>
    <row r="1882" spans="1:91" x14ac:dyDescent="0.2">
      <c r="A1882"/>
      <c r="B1882"/>
      <c r="D1882"/>
      <c r="E1882"/>
      <c r="F1882"/>
      <c r="G1882"/>
      <c r="I1882"/>
      <c r="J1882"/>
      <c r="K1882"/>
      <c r="L1882" s="499"/>
      <c r="BX1882" s="769"/>
      <c r="BY1882"/>
      <c r="BZ1882"/>
      <c r="CA1882"/>
      <c r="CB1882"/>
      <c r="CC1882"/>
      <c r="CD1882"/>
      <c r="CE1882"/>
      <c r="CF1882"/>
      <c r="CG1882"/>
      <c r="CH1882"/>
      <c r="CI1882"/>
      <c r="CJ1882"/>
      <c r="CK1882"/>
      <c r="CL1882"/>
      <c r="CM1882"/>
    </row>
    <row r="1883" spans="1:91" x14ac:dyDescent="0.2">
      <c r="A1883"/>
      <c r="B1883"/>
      <c r="D1883"/>
      <c r="E1883"/>
      <c r="F1883"/>
      <c r="G1883"/>
      <c r="I1883"/>
      <c r="J1883"/>
      <c r="K1883"/>
      <c r="L1883" s="499"/>
      <c r="BX1883" s="769"/>
      <c r="BY1883"/>
      <c r="BZ1883"/>
      <c r="CA1883"/>
      <c r="CB1883"/>
      <c r="CC1883"/>
      <c r="CD1883"/>
      <c r="CE1883"/>
      <c r="CF1883"/>
      <c r="CG1883"/>
      <c r="CH1883"/>
      <c r="CI1883"/>
      <c r="CJ1883"/>
      <c r="CK1883"/>
      <c r="CL1883"/>
      <c r="CM1883"/>
    </row>
    <row r="1884" spans="1:91" x14ac:dyDescent="0.2">
      <c r="A1884"/>
      <c r="B1884"/>
      <c r="D1884"/>
      <c r="E1884"/>
      <c r="F1884"/>
      <c r="G1884"/>
      <c r="I1884"/>
      <c r="J1884"/>
      <c r="K1884"/>
      <c r="L1884" s="499"/>
      <c r="BX1884" s="769"/>
      <c r="BY1884"/>
      <c r="BZ1884"/>
      <c r="CA1884"/>
      <c r="CB1884"/>
      <c r="CC1884"/>
      <c r="CD1884"/>
      <c r="CE1884"/>
      <c r="CF1884"/>
      <c r="CG1884"/>
      <c r="CH1884"/>
      <c r="CI1884"/>
      <c r="CJ1884"/>
      <c r="CK1884"/>
      <c r="CL1884"/>
      <c r="CM1884"/>
    </row>
    <row r="1885" spans="1:91" x14ac:dyDescent="0.2">
      <c r="A1885"/>
      <c r="B1885"/>
      <c r="D1885"/>
      <c r="E1885"/>
      <c r="F1885"/>
      <c r="G1885"/>
      <c r="I1885"/>
      <c r="J1885"/>
      <c r="K1885"/>
      <c r="L1885" s="499"/>
      <c r="BX1885" s="769"/>
      <c r="BY1885"/>
      <c r="BZ1885"/>
      <c r="CA1885"/>
      <c r="CB1885"/>
      <c r="CC1885"/>
      <c r="CD1885"/>
      <c r="CE1885"/>
      <c r="CF1885"/>
      <c r="CG1885"/>
      <c r="CH1885"/>
      <c r="CI1885"/>
      <c r="CJ1885"/>
      <c r="CK1885"/>
      <c r="CL1885"/>
      <c r="CM1885"/>
    </row>
    <row r="1886" spans="1:91" x14ac:dyDescent="0.2">
      <c r="A1886"/>
      <c r="B1886"/>
      <c r="D1886"/>
      <c r="E1886"/>
      <c r="F1886"/>
      <c r="G1886"/>
      <c r="I1886"/>
      <c r="J1886"/>
      <c r="K1886"/>
      <c r="L1886" s="499"/>
      <c r="BX1886" s="769"/>
      <c r="BY1886"/>
      <c r="BZ1886"/>
      <c r="CA1886"/>
      <c r="CB1886"/>
      <c r="CC1886"/>
      <c r="CD1886"/>
      <c r="CE1886"/>
      <c r="CF1886"/>
      <c r="CG1886"/>
      <c r="CH1886"/>
      <c r="CI1886"/>
      <c r="CJ1886"/>
      <c r="CK1886"/>
      <c r="CL1886"/>
      <c r="CM1886"/>
    </row>
    <row r="1887" spans="1:91" x14ac:dyDescent="0.2">
      <c r="A1887"/>
      <c r="B1887"/>
      <c r="D1887"/>
      <c r="E1887"/>
      <c r="F1887"/>
      <c r="G1887"/>
      <c r="I1887"/>
      <c r="J1887"/>
      <c r="K1887"/>
      <c r="L1887" s="499"/>
      <c r="BX1887" s="769"/>
      <c r="BY1887"/>
      <c r="BZ1887"/>
      <c r="CA1887"/>
      <c r="CB1887"/>
      <c r="CC1887"/>
      <c r="CD1887"/>
      <c r="CE1887"/>
      <c r="CF1887"/>
      <c r="CG1887"/>
      <c r="CH1887"/>
      <c r="CI1887"/>
      <c r="CJ1887"/>
      <c r="CK1887"/>
      <c r="CL1887"/>
      <c r="CM1887"/>
    </row>
    <row r="1888" spans="1:91" x14ac:dyDescent="0.2">
      <c r="A1888"/>
      <c r="B1888"/>
      <c r="D1888"/>
      <c r="E1888"/>
      <c r="F1888"/>
      <c r="G1888"/>
      <c r="I1888"/>
      <c r="J1888"/>
      <c r="K1888"/>
      <c r="L1888" s="499"/>
      <c r="BX1888" s="769"/>
      <c r="BY1888"/>
      <c r="BZ1888"/>
      <c r="CA1888"/>
      <c r="CB1888"/>
      <c r="CC1888"/>
      <c r="CD1888"/>
      <c r="CE1888"/>
      <c r="CF1888"/>
      <c r="CG1888"/>
      <c r="CH1888"/>
      <c r="CI1888"/>
      <c r="CJ1888"/>
      <c r="CK1888"/>
      <c r="CL1888"/>
      <c r="CM1888"/>
    </row>
    <row r="1889" spans="1:91" x14ac:dyDescent="0.2">
      <c r="A1889"/>
      <c r="B1889"/>
      <c r="D1889"/>
      <c r="E1889"/>
      <c r="F1889"/>
      <c r="G1889"/>
      <c r="I1889"/>
      <c r="J1889"/>
      <c r="K1889"/>
      <c r="L1889" s="499"/>
      <c r="BX1889" s="769"/>
      <c r="BY1889"/>
      <c r="BZ1889"/>
      <c r="CA1889"/>
      <c r="CB1889"/>
      <c r="CC1889"/>
      <c r="CD1889"/>
      <c r="CE1889"/>
      <c r="CF1889"/>
      <c r="CG1889"/>
      <c r="CH1889"/>
      <c r="CI1889"/>
      <c r="CJ1889"/>
      <c r="CK1889"/>
      <c r="CL1889"/>
      <c r="CM1889"/>
    </row>
    <row r="1890" spans="1:91" x14ac:dyDescent="0.2">
      <c r="A1890"/>
      <c r="B1890"/>
      <c r="D1890"/>
      <c r="E1890"/>
      <c r="F1890"/>
      <c r="G1890"/>
      <c r="I1890"/>
      <c r="J1890"/>
      <c r="K1890"/>
      <c r="L1890" s="499"/>
      <c r="BX1890" s="769"/>
      <c r="BY1890"/>
      <c r="BZ1890"/>
      <c r="CA1890"/>
      <c r="CB1890"/>
      <c r="CC1890"/>
      <c r="CD1890"/>
      <c r="CE1890"/>
      <c r="CF1890"/>
      <c r="CG1890"/>
      <c r="CH1890"/>
      <c r="CI1890"/>
      <c r="CJ1890"/>
      <c r="CK1890"/>
      <c r="CL1890"/>
      <c r="CM1890"/>
    </row>
    <row r="1891" spans="1:91" x14ac:dyDescent="0.2">
      <c r="A1891"/>
      <c r="B1891"/>
      <c r="D1891"/>
      <c r="E1891"/>
      <c r="F1891"/>
      <c r="G1891"/>
      <c r="I1891"/>
      <c r="J1891"/>
      <c r="K1891"/>
      <c r="L1891" s="499"/>
      <c r="BX1891" s="769"/>
      <c r="BY1891"/>
      <c r="BZ1891"/>
      <c r="CA1891"/>
      <c r="CB1891"/>
      <c r="CC1891"/>
      <c r="CD1891"/>
      <c r="CE1891"/>
      <c r="CF1891"/>
      <c r="CG1891"/>
      <c r="CH1891"/>
      <c r="CI1891"/>
      <c r="CJ1891"/>
      <c r="CK1891"/>
      <c r="CL1891"/>
      <c r="CM1891"/>
    </row>
    <row r="1892" spans="1:91" x14ac:dyDescent="0.2">
      <c r="A1892"/>
      <c r="B1892"/>
      <c r="D1892"/>
      <c r="E1892"/>
      <c r="F1892"/>
      <c r="G1892"/>
      <c r="I1892"/>
      <c r="J1892"/>
      <c r="K1892"/>
      <c r="L1892" s="499"/>
      <c r="BX1892" s="769"/>
      <c r="BY1892"/>
      <c r="BZ1892"/>
      <c r="CA1892"/>
      <c r="CB1892"/>
      <c r="CC1892"/>
      <c r="CD1892"/>
      <c r="CE1892"/>
      <c r="CF1892"/>
      <c r="CG1892"/>
      <c r="CH1892"/>
      <c r="CI1892"/>
      <c r="CJ1892"/>
      <c r="CK1892"/>
      <c r="CL1892"/>
      <c r="CM1892"/>
    </row>
    <row r="1893" spans="1:91" x14ac:dyDescent="0.2">
      <c r="A1893"/>
      <c r="B1893"/>
      <c r="D1893"/>
      <c r="E1893"/>
      <c r="F1893"/>
      <c r="G1893"/>
      <c r="I1893"/>
      <c r="J1893"/>
      <c r="K1893"/>
      <c r="L1893" s="499"/>
      <c r="BX1893" s="769"/>
      <c r="BY1893"/>
      <c r="BZ1893"/>
      <c r="CA1893"/>
      <c r="CB1893"/>
      <c r="CC1893"/>
      <c r="CD1893"/>
      <c r="CE1893"/>
      <c r="CF1893"/>
      <c r="CG1893"/>
      <c r="CH1893"/>
      <c r="CI1893"/>
      <c r="CJ1893"/>
      <c r="CK1893"/>
      <c r="CL1893"/>
      <c r="CM1893"/>
    </row>
    <row r="1894" spans="1:91" x14ac:dyDescent="0.2">
      <c r="A1894"/>
      <c r="B1894"/>
      <c r="D1894"/>
      <c r="E1894"/>
      <c r="F1894"/>
      <c r="G1894"/>
      <c r="I1894"/>
      <c r="J1894"/>
      <c r="K1894"/>
      <c r="L1894" s="499"/>
      <c r="BX1894" s="769"/>
      <c r="BY1894"/>
      <c r="BZ1894"/>
      <c r="CA1894"/>
      <c r="CB1894"/>
      <c r="CC1894"/>
      <c r="CD1894"/>
      <c r="CE1894"/>
      <c r="CF1894"/>
      <c r="CG1894"/>
      <c r="CH1894"/>
      <c r="CI1894"/>
      <c r="CJ1894"/>
      <c r="CK1894"/>
      <c r="CL1894"/>
      <c r="CM1894"/>
    </row>
    <row r="1895" spans="1:91" x14ac:dyDescent="0.2">
      <c r="A1895"/>
      <c r="B1895"/>
      <c r="D1895"/>
      <c r="E1895"/>
      <c r="F1895"/>
      <c r="G1895"/>
      <c r="I1895"/>
      <c r="J1895"/>
      <c r="K1895"/>
      <c r="L1895" s="499"/>
      <c r="BX1895" s="769"/>
      <c r="BY1895"/>
      <c r="BZ1895"/>
      <c r="CA1895"/>
      <c r="CB1895"/>
      <c r="CC1895"/>
      <c r="CD1895"/>
      <c r="CE1895"/>
      <c r="CF1895"/>
      <c r="CG1895"/>
      <c r="CH1895"/>
      <c r="CI1895"/>
      <c r="CJ1895"/>
      <c r="CK1895"/>
      <c r="CL1895"/>
      <c r="CM1895"/>
    </row>
    <row r="1896" spans="1:91" x14ac:dyDescent="0.2">
      <c r="A1896"/>
      <c r="B1896"/>
      <c r="D1896"/>
      <c r="E1896"/>
      <c r="F1896"/>
      <c r="G1896"/>
      <c r="I1896"/>
      <c r="J1896"/>
      <c r="K1896"/>
      <c r="L1896" s="499"/>
      <c r="BX1896" s="769"/>
      <c r="BY1896"/>
      <c r="BZ1896"/>
      <c r="CA1896"/>
      <c r="CB1896"/>
      <c r="CC1896"/>
      <c r="CD1896"/>
      <c r="CE1896"/>
      <c r="CF1896"/>
      <c r="CG1896"/>
      <c r="CH1896"/>
      <c r="CI1896"/>
      <c r="CJ1896"/>
      <c r="CK1896"/>
      <c r="CL1896"/>
      <c r="CM1896"/>
    </row>
    <row r="1897" spans="1:91" x14ac:dyDescent="0.2">
      <c r="A1897"/>
      <c r="B1897"/>
      <c r="D1897"/>
      <c r="E1897"/>
      <c r="F1897"/>
      <c r="G1897"/>
      <c r="I1897"/>
      <c r="J1897"/>
      <c r="K1897"/>
      <c r="L1897" s="499"/>
      <c r="BX1897" s="769"/>
      <c r="BY1897"/>
      <c r="BZ1897"/>
      <c r="CA1897"/>
      <c r="CB1897"/>
      <c r="CC1897"/>
      <c r="CD1897"/>
      <c r="CE1897"/>
      <c r="CF1897"/>
      <c r="CG1897"/>
      <c r="CH1897"/>
      <c r="CI1897"/>
      <c r="CJ1897"/>
      <c r="CK1897"/>
      <c r="CL1897"/>
      <c r="CM1897"/>
    </row>
    <row r="1898" spans="1:91" x14ac:dyDescent="0.2">
      <c r="A1898"/>
      <c r="B1898"/>
      <c r="D1898"/>
      <c r="E1898"/>
      <c r="F1898"/>
      <c r="G1898"/>
      <c r="I1898"/>
      <c r="J1898"/>
      <c r="K1898"/>
      <c r="L1898" s="499"/>
      <c r="BX1898" s="769"/>
      <c r="BY1898"/>
      <c r="BZ1898"/>
      <c r="CA1898"/>
      <c r="CB1898"/>
      <c r="CC1898"/>
      <c r="CD1898"/>
      <c r="CE1898"/>
      <c r="CF1898"/>
      <c r="CG1898"/>
      <c r="CH1898"/>
      <c r="CI1898"/>
      <c r="CJ1898"/>
      <c r="CK1898"/>
      <c r="CL1898"/>
      <c r="CM1898"/>
    </row>
    <row r="1899" spans="1:91" x14ac:dyDescent="0.2">
      <c r="A1899"/>
      <c r="B1899"/>
      <c r="D1899"/>
      <c r="E1899"/>
      <c r="F1899"/>
      <c r="G1899"/>
      <c r="I1899"/>
      <c r="J1899"/>
      <c r="K1899"/>
      <c r="L1899" s="499"/>
      <c r="BX1899" s="769"/>
      <c r="BY1899"/>
      <c r="BZ1899"/>
      <c r="CA1899"/>
      <c r="CB1899"/>
      <c r="CC1899"/>
      <c r="CD1899"/>
      <c r="CE1899"/>
      <c r="CF1899"/>
      <c r="CG1899"/>
      <c r="CH1899"/>
      <c r="CI1899"/>
      <c r="CJ1899"/>
      <c r="CK1899"/>
      <c r="CL1899"/>
      <c r="CM1899"/>
    </row>
    <row r="1900" spans="1:91" x14ac:dyDescent="0.2">
      <c r="A1900"/>
      <c r="B1900"/>
      <c r="D1900"/>
      <c r="E1900"/>
      <c r="F1900"/>
      <c r="G1900"/>
      <c r="I1900"/>
      <c r="J1900"/>
      <c r="K1900"/>
      <c r="L1900" s="499"/>
      <c r="BX1900" s="769"/>
      <c r="BY1900"/>
      <c r="BZ1900"/>
      <c r="CA1900"/>
      <c r="CB1900"/>
      <c r="CC1900"/>
      <c r="CD1900"/>
      <c r="CE1900"/>
      <c r="CF1900"/>
      <c r="CG1900"/>
      <c r="CH1900"/>
      <c r="CI1900"/>
      <c r="CJ1900"/>
      <c r="CK1900"/>
      <c r="CL1900"/>
      <c r="CM1900"/>
    </row>
    <row r="1901" spans="1:91" x14ac:dyDescent="0.2">
      <c r="A1901"/>
      <c r="B1901"/>
      <c r="D1901"/>
      <c r="E1901"/>
      <c r="F1901"/>
      <c r="G1901"/>
      <c r="I1901"/>
      <c r="J1901"/>
      <c r="K1901"/>
      <c r="L1901" s="499"/>
      <c r="BX1901" s="769"/>
      <c r="BY1901"/>
      <c r="BZ1901"/>
      <c r="CA1901"/>
      <c r="CB1901"/>
      <c r="CC1901"/>
      <c r="CD1901"/>
      <c r="CE1901"/>
      <c r="CF1901"/>
      <c r="CG1901"/>
      <c r="CH1901"/>
      <c r="CI1901"/>
      <c r="CJ1901"/>
      <c r="CK1901"/>
      <c r="CL1901"/>
      <c r="CM1901"/>
    </row>
    <row r="1902" spans="1:91" x14ac:dyDescent="0.2">
      <c r="A1902"/>
      <c r="B1902"/>
      <c r="D1902"/>
      <c r="E1902"/>
      <c r="F1902"/>
      <c r="G1902"/>
      <c r="I1902"/>
      <c r="J1902"/>
      <c r="K1902"/>
      <c r="L1902" s="499"/>
      <c r="BX1902" s="769"/>
      <c r="BY1902"/>
      <c r="BZ1902"/>
      <c r="CA1902"/>
      <c r="CB1902"/>
      <c r="CC1902"/>
      <c r="CD1902"/>
      <c r="CE1902"/>
      <c r="CF1902"/>
      <c r="CG1902"/>
      <c r="CH1902"/>
      <c r="CI1902"/>
      <c r="CJ1902"/>
      <c r="CK1902"/>
      <c r="CL1902"/>
      <c r="CM1902"/>
    </row>
    <row r="1903" spans="1:91" x14ac:dyDescent="0.2">
      <c r="A1903"/>
      <c r="B1903"/>
      <c r="D1903"/>
      <c r="E1903"/>
      <c r="F1903"/>
      <c r="G1903"/>
      <c r="I1903"/>
      <c r="J1903"/>
      <c r="K1903"/>
      <c r="L1903" s="499"/>
      <c r="BX1903" s="769"/>
      <c r="BY1903"/>
      <c r="BZ1903"/>
      <c r="CA1903"/>
      <c r="CB1903"/>
      <c r="CC1903"/>
      <c r="CD1903"/>
      <c r="CE1903"/>
      <c r="CF1903"/>
      <c r="CG1903"/>
      <c r="CH1903"/>
      <c r="CI1903"/>
      <c r="CJ1903"/>
      <c r="CK1903"/>
      <c r="CL1903"/>
      <c r="CM1903"/>
    </row>
    <row r="1904" spans="1:91" x14ac:dyDescent="0.2">
      <c r="A1904"/>
      <c r="B1904"/>
      <c r="D1904"/>
      <c r="E1904"/>
      <c r="F1904"/>
      <c r="G1904"/>
      <c r="I1904"/>
      <c r="J1904"/>
      <c r="K1904"/>
      <c r="L1904" s="499"/>
      <c r="BX1904" s="769"/>
      <c r="BY1904"/>
      <c r="BZ1904"/>
      <c r="CA1904"/>
      <c r="CB1904"/>
      <c r="CC1904"/>
      <c r="CD1904"/>
      <c r="CE1904"/>
      <c r="CF1904"/>
      <c r="CG1904"/>
      <c r="CH1904"/>
      <c r="CI1904"/>
      <c r="CJ1904"/>
      <c r="CK1904"/>
      <c r="CL1904"/>
      <c r="CM1904"/>
    </row>
    <row r="1905" spans="1:91" x14ac:dyDescent="0.2">
      <c r="A1905"/>
      <c r="B1905"/>
      <c r="D1905"/>
      <c r="E1905"/>
      <c r="F1905"/>
      <c r="G1905"/>
      <c r="I1905"/>
      <c r="J1905"/>
      <c r="K1905"/>
      <c r="L1905" s="499"/>
      <c r="BX1905" s="769"/>
      <c r="BY1905"/>
      <c r="BZ1905"/>
      <c r="CA1905"/>
      <c r="CB1905"/>
      <c r="CC1905"/>
      <c r="CD1905"/>
      <c r="CE1905"/>
      <c r="CF1905"/>
      <c r="CG1905"/>
      <c r="CH1905"/>
      <c r="CI1905"/>
      <c r="CJ1905"/>
      <c r="CK1905"/>
      <c r="CL1905"/>
      <c r="CM1905"/>
    </row>
    <row r="1906" spans="1:91" x14ac:dyDescent="0.2">
      <c r="A1906"/>
      <c r="B1906"/>
      <c r="D1906"/>
      <c r="E1906"/>
      <c r="F1906"/>
      <c r="G1906"/>
      <c r="I1906"/>
      <c r="J1906"/>
      <c r="K1906"/>
      <c r="L1906" s="499"/>
      <c r="BX1906" s="769"/>
      <c r="BY1906"/>
      <c r="BZ1906"/>
      <c r="CA1906"/>
      <c r="CB1906"/>
      <c r="CC1906"/>
      <c r="CD1906"/>
      <c r="CE1906"/>
      <c r="CF1906"/>
      <c r="CG1906"/>
      <c r="CH1906"/>
      <c r="CI1906"/>
      <c r="CJ1906"/>
      <c r="CK1906"/>
      <c r="CL1906"/>
      <c r="CM1906"/>
    </row>
    <row r="1907" spans="1:91" x14ac:dyDescent="0.2">
      <c r="A1907"/>
      <c r="B1907"/>
      <c r="D1907"/>
      <c r="E1907"/>
      <c r="F1907"/>
      <c r="G1907"/>
      <c r="I1907"/>
      <c r="J1907"/>
      <c r="K1907"/>
      <c r="L1907" s="499"/>
      <c r="BX1907" s="769"/>
      <c r="BY1907"/>
      <c r="BZ1907"/>
      <c r="CA1907"/>
      <c r="CB1907"/>
      <c r="CC1907"/>
      <c r="CD1907"/>
      <c r="CE1907"/>
      <c r="CF1907"/>
      <c r="CG1907"/>
      <c r="CH1907"/>
      <c r="CI1907"/>
      <c r="CJ1907"/>
      <c r="CK1907"/>
      <c r="CL1907"/>
      <c r="CM1907"/>
    </row>
    <row r="1908" spans="1:91" x14ac:dyDescent="0.2">
      <c r="A1908"/>
      <c r="B1908"/>
      <c r="D1908"/>
      <c r="E1908"/>
      <c r="F1908"/>
      <c r="G1908"/>
      <c r="I1908"/>
      <c r="J1908"/>
      <c r="K1908"/>
      <c r="L1908" s="499"/>
      <c r="BX1908" s="769"/>
      <c r="BY1908"/>
      <c r="BZ1908"/>
      <c r="CA1908"/>
      <c r="CB1908"/>
      <c r="CC1908"/>
      <c r="CD1908"/>
      <c r="CE1908"/>
      <c r="CF1908"/>
      <c r="CG1908"/>
      <c r="CH1908"/>
      <c r="CI1908"/>
      <c r="CJ1908"/>
      <c r="CK1908"/>
      <c r="CL1908"/>
      <c r="CM1908"/>
    </row>
    <row r="1909" spans="1:91" x14ac:dyDescent="0.2">
      <c r="A1909"/>
      <c r="B1909"/>
      <c r="D1909"/>
      <c r="E1909"/>
      <c r="F1909"/>
      <c r="G1909"/>
      <c r="I1909"/>
      <c r="J1909"/>
      <c r="K1909"/>
      <c r="L1909" s="499"/>
      <c r="BX1909" s="769"/>
      <c r="BY1909"/>
      <c r="BZ1909"/>
      <c r="CA1909"/>
      <c r="CB1909"/>
      <c r="CC1909"/>
      <c r="CD1909"/>
      <c r="CE1909"/>
      <c r="CF1909"/>
      <c r="CG1909"/>
      <c r="CH1909"/>
      <c r="CI1909"/>
      <c r="CJ1909"/>
      <c r="CK1909"/>
      <c r="CL1909"/>
      <c r="CM1909"/>
    </row>
    <row r="1910" spans="1:91" x14ac:dyDescent="0.2">
      <c r="A1910"/>
      <c r="B1910"/>
      <c r="D1910"/>
      <c r="E1910"/>
      <c r="F1910"/>
      <c r="G1910"/>
      <c r="I1910"/>
      <c r="J1910"/>
      <c r="K1910"/>
      <c r="L1910" s="499"/>
      <c r="BX1910" s="769"/>
      <c r="BY1910"/>
      <c r="BZ1910"/>
      <c r="CA1910"/>
      <c r="CB1910"/>
      <c r="CC1910"/>
      <c r="CD1910"/>
      <c r="CE1910"/>
      <c r="CF1910"/>
      <c r="CG1910"/>
      <c r="CH1910"/>
      <c r="CI1910"/>
      <c r="CJ1910"/>
      <c r="CK1910"/>
      <c r="CL1910"/>
      <c r="CM1910"/>
    </row>
    <row r="1911" spans="1:91" x14ac:dyDescent="0.2">
      <c r="A1911"/>
      <c r="B1911"/>
      <c r="D1911"/>
      <c r="E1911"/>
      <c r="F1911"/>
      <c r="G1911"/>
      <c r="I1911"/>
      <c r="J1911"/>
      <c r="K1911"/>
      <c r="L1911" s="499"/>
      <c r="BX1911" s="769"/>
      <c r="BY1911"/>
      <c r="BZ1911"/>
      <c r="CA1911"/>
      <c r="CB1911"/>
      <c r="CC1911"/>
      <c r="CD1911"/>
      <c r="CE1911"/>
      <c r="CF1911"/>
      <c r="CG1911"/>
      <c r="CH1911"/>
      <c r="CI1911"/>
      <c r="CJ1911"/>
      <c r="CK1911"/>
      <c r="CL1911"/>
      <c r="CM1911"/>
    </row>
    <row r="1912" spans="1:91" x14ac:dyDescent="0.2">
      <c r="A1912"/>
      <c r="B1912"/>
      <c r="D1912"/>
      <c r="E1912"/>
      <c r="F1912"/>
      <c r="G1912"/>
      <c r="I1912"/>
      <c r="J1912"/>
      <c r="K1912"/>
      <c r="L1912" s="499"/>
      <c r="BX1912" s="769"/>
      <c r="BY1912"/>
      <c r="BZ1912"/>
      <c r="CA1912"/>
      <c r="CB1912"/>
      <c r="CC1912"/>
      <c r="CD1912"/>
      <c r="CE1912"/>
      <c r="CF1912"/>
      <c r="CG1912"/>
      <c r="CH1912"/>
      <c r="CI1912"/>
      <c r="CJ1912"/>
      <c r="CK1912"/>
      <c r="CL1912"/>
      <c r="CM1912"/>
    </row>
    <row r="1913" spans="1:91" x14ac:dyDescent="0.2">
      <c r="A1913"/>
      <c r="B1913"/>
      <c r="D1913"/>
      <c r="E1913"/>
      <c r="F1913"/>
      <c r="G1913"/>
      <c r="I1913"/>
      <c r="J1913"/>
      <c r="K1913"/>
      <c r="L1913" s="499"/>
      <c r="BX1913" s="769"/>
      <c r="BY1913"/>
      <c r="BZ1913"/>
      <c r="CA1913"/>
      <c r="CB1913"/>
      <c r="CC1913"/>
      <c r="CD1913"/>
      <c r="CE1913"/>
      <c r="CF1913"/>
      <c r="CG1913"/>
      <c r="CH1913"/>
      <c r="CI1913"/>
      <c r="CJ1913"/>
      <c r="CK1913"/>
      <c r="CL1913"/>
      <c r="CM1913"/>
    </row>
    <row r="1914" spans="1:91" x14ac:dyDescent="0.2">
      <c r="A1914"/>
      <c r="B1914"/>
      <c r="D1914"/>
      <c r="E1914"/>
      <c r="F1914"/>
      <c r="G1914"/>
      <c r="I1914"/>
      <c r="J1914"/>
      <c r="K1914"/>
      <c r="L1914" s="499"/>
      <c r="BX1914" s="769"/>
      <c r="BY1914"/>
      <c r="BZ1914"/>
      <c r="CA1914"/>
      <c r="CB1914"/>
      <c r="CC1914"/>
      <c r="CD1914"/>
      <c r="CE1914"/>
      <c r="CF1914"/>
      <c r="CG1914"/>
      <c r="CH1914"/>
      <c r="CI1914"/>
      <c r="CJ1914"/>
      <c r="CK1914"/>
      <c r="CL1914"/>
      <c r="CM1914"/>
    </row>
    <row r="1915" spans="1:91" x14ac:dyDescent="0.2">
      <c r="A1915"/>
      <c r="B1915"/>
      <c r="D1915"/>
      <c r="E1915"/>
      <c r="F1915"/>
      <c r="G1915"/>
      <c r="I1915"/>
      <c r="J1915"/>
      <c r="K1915"/>
      <c r="L1915" s="499"/>
      <c r="BX1915" s="769"/>
      <c r="BY1915"/>
      <c r="BZ1915"/>
      <c r="CA1915"/>
      <c r="CB1915"/>
      <c r="CC1915"/>
      <c r="CD1915"/>
      <c r="CE1915"/>
      <c r="CF1915"/>
      <c r="CG1915"/>
      <c r="CH1915"/>
      <c r="CI1915"/>
      <c r="CJ1915"/>
      <c r="CK1915"/>
      <c r="CL1915"/>
      <c r="CM1915"/>
    </row>
    <row r="1916" spans="1:91" x14ac:dyDescent="0.2">
      <c r="A1916"/>
      <c r="B1916"/>
      <c r="D1916"/>
      <c r="E1916"/>
      <c r="F1916"/>
      <c r="G1916"/>
      <c r="I1916"/>
      <c r="J1916"/>
      <c r="K1916"/>
      <c r="L1916" s="499"/>
      <c r="BX1916" s="769"/>
      <c r="BY1916"/>
      <c r="BZ1916"/>
      <c r="CA1916"/>
      <c r="CB1916"/>
      <c r="CC1916"/>
      <c r="CD1916"/>
      <c r="CE1916"/>
      <c r="CF1916"/>
      <c r="CG1916"/>
      <c r="CH1916"/>
      <c r="CI1916"/>
      <c r="CJ1916"/>
      <c r="CK1916"/>
      <c r="CL1916"/>
      <c r="CM1916"/>
    </row>
    <row r="1917" spans="1:91" x14ac:dyDescent="0.2">
      <c r="A1917"/>
      <c r="B1917"/>
      <c r="D1917"/>
      <c r="E1917"/>
      <c r="F1917"/>
      <c r="G1917"/>
      <c r="I1917"/>
      <c r="J1917"/>
      <c r="K1917"/>
      <c r="L1917" s="499"/>
      <c r="BX1917" s="769"/>
      <c r="BY1917"/>
      <c r="BZ1917"/>
      <c r="CA1917"/>
      <c r="CB1917"/>
      <c r="CC1917"/>
      <c r="CD1917"/>
      <c r="CE1917"/>
      <c r="CF1917"/>
      <c r="CG1917"/>
      <c r="CH1917"/>
      <c r="CI1917"/>
      <c r="CJ1917"/>
      <c r="CK1917"/>
      <c r="CL1917"/>
      <c r="CM1917"/>
    </row>
    <row r="1918" spans="1:91" x14ac:dyDescent="0.2">
      <c r="A1918"/>
      <c r="B1918"/>
      <c r="D1918"/>
      <c r="E1918"/>
      <c r="F1918"/>
      <c r="G1918"/>
      <c r="I1918"/>
      <c r="J1918"/>
      <c r="K1918"/>
      <c r="L1918" s="499"/>
      <c r="BX1918" s="769"/>
      <c r="BY1918"/>
      <c r="BZ1918"/>
      <c r="CA1918"/>
      <c r="CB1918"/>
      <c r="CC1918"/>
      <c r="CD1918"/>
      <c r="CE1918"/>
      <c r="CF1918"/>
      <c r="CG1918"/>
      <c r="CH1918"/>
      <c r="CI1918"/>
      <c r="CJ1918"/>
      <c r="CK1918"/>
      <c r="CL1918"/>
      <c r="CM1918"/>
    </row>
    <row r="1919" spans="1:91" x14ac:dyDescent="0.2">
      <c r="A1919"/>
      <c r="B1919"/>
      <c r="D1919"/>
      <c r="E1919"/>
      <c r="F1919"/>
      <c r="G1919"/>
      <c r="I1919"/>
      <c r="J1919"/>
      <c r="K1919"/>
      <c r="L1919" s="499"/>
      <c r="BX1919" s="769"/>
      <c r="BY1919"/>
      <c r="BZ1919"/>
      <c r="CA1919"/>
      <c r="CB1919"/>
      <c r="CC1919"/>
      <c r="CD1919"/>
      <c r="CE1919"/>
      <c r="CF1919"/>
      <c r="CG1919"/>
      <c r="CH1919"/>
      <c r="CI1919"/>
      <c r="CJ1919"/>
      <c r="CK1919"/>
      <c r="CL1919"/>
      <c r="CM1919"/>
    </row>
    <row r="1920" spans="1:91" x14ac:dyDescent="0.2">
      <c r="A1920"/>
      <c r="B1920"/>
      <c r="D1920"/>
      <c r="E1920"/>
      <c r="F1920"/>
      <c r="G1920"/>
      <c r="I1920"/>
      <c r="J1920"/>
      <c r="K1920"/>
      <c r="L1920" s="499"/>
      <c r="BX1920" s="769"/>
      <c r="BY1920"/>
      <c r="BZ1920"/>
      <c r="CA1920"/>
      <c r="CB1920"/>
      <c r="CC1920"/>
      <c r="CD1920"/>
      <c r="CE1920"/>
      <c r="CF1920"/>
      <c r="CG1920"/>
      <c r="CH1920"/>
      <c r="CI1920"/>
      <c r="CJ1920"/>
      <c r="CK1920"/>
      <c r="CL1920"/>
      <c r="CM1920"/>
    </row>
    <row r="1921" spans="1:91" x14ac:dyDescent="0.2">
      <c r="A1921"/>
      <c r="B1921"/>
      <c r="D1921"/>
      <c r="E1921"/>
      <c r="F1921"/>
      <c r="G1921"/>
      <c r="I1921"/>
      <c r="J1921"/>
      <c r="K1921"/>
      <c r="L1921" s="499"/>
      <c r="BX1921" s="769"/>
      <c r="BY1921"/>
      <c r="BZ1921"/>
      <c r="CA1921"/>
      <c r="CB1921"/>
      <c r="CC1921"/>
      <c r="CD1921"/>
      <c r="CE1921"/>
      <c r="CF1921"/>
      <c r="CG1921"/>
      <c r="CH1921"/>
      <c r="CI1921"/>
      <c r="CJ1921"/>
      <c r="CK1921"/>
      <c r="CL1921"/>
      <c r="CM1921"/>
    </row>
    <row r="1922" spans="1:91" x14ac:dyDescent="0.2">
      <c r="A1922"/>
      <c r="B1922"/>
      <c r="D1922"/>
      <c r="E1922"/>
      <c r="F1922"/>
      <c r="G1922"/>
      <c r="I1922"/>
      <c r="J1922"/>
      <c r="K1922"/>
      <c r="L1922" s="499"/>
      <c r="BX1922" s="769"/>
      <c r="BY1922"/>
      <c r="BZ1922"/>
      <c r="CA1922"/>
      <c r="CB1922"/>
      <c r="CC1922"/>
      <c r="CD1922"/>
      <c r="CE1922"/>
      <c r="CF1922"/>
      <c r="CG1922"/>
      <c r="CH1922"/>
      <c r="CI1922"/>
      <c r="CJ1922"/>
      <c r="CK1922"/>
      <c r="CL1922"/>
      <c r="CM1922"/>
    </row>
    <row r="1923" spans="1:91" x14ac:dyDescent="0.2">
      <c r="A1923"/>
      <c r="B1923"/>
      <c r="D1923"/>
      <c r="E1923"/>
      <c r="F1923"/>
      <c r="G1923"/>
      <c r="I1923"/>
      <c r="J1923"/>
      <c r="K1923"/>
      <c r="L1923" s="499"/>
      <c r="BX1923" s="769"/>
      <c r="BY1923"/>
      <c r="BZ1923"/>
      <c r="CA1923"/>
      <c r="CB1923"/>
      <c r="CC1923"/>
      <c r="CD1923"/>
      <c r="CE1923"/>
      <c r="CF1923"/>
      <c r="CG1923"/>
      <c r="CH1923"/>
      <c r="CI1923"/>
      <c r="CJ1923"/>
      <c r="CK1923"/>
      <c r="CL1923"/>
      <c r="CM1923"/>
    </row>
    <row r="1924" spans="1:91" x14ac:dyDescent="0.2">
      <c r="A1924"/>
      <c r="B1924"/>
      <c r="D1924"/>
      <c r="E1924"/>
      <c r="F1924"/>
      <c r="G1924"/>
      <c r="I1924"/>
      <c r="J1924"/>
      <c r="K1924"/>
      <c r="L1924" s="499"/>
      <c r="BX1924" s="769"/>
      <c r="BY1924"/>
      <c r="BZ1924"/>
      <c r="CA1924"/>
      <c r="CB1924"/>
      <c r="CC1924"/>
      <c r="CD1924"/>
      <c r="CE1924"/>
      <c r="CF1924"/>
      <c r="CG1924"/>
      <c r="CH1924"/>
      <c r="CI1924"/>
      <c r="CJ1924"/>
      <c r="CK1924"/>
      <c r="CL1924"/>
      <c r="CM1924"/>
    </row>
    <row r="1925" spans="1:91" x14ac:dyDescent="0.2">
      <c r="A1925"/>
      <c r="B1925"/>
      <c r="D1925"/>
      <c r="E1925"/>
      <c r="F1925"/>
      <c r="G1925"/>
      <c r="I1925"/>
      <c r="J1925"/>
      <c r="K1925"/>
      <c r="L1925" s="499"/>
      <c r="BX1925" s="769"/>
      <c r="BY1925"/>
      <c r="BZ1925"/>
      <c r="CA1925"/>
      <c r="CB1925"/>
      <c r="CC1925"/>
      <c r="CD1925"/>
      <c r="CE1925"/>
      <c r="CF1925"/>
      <c r="CG1925"/>
      <c r="CH1925"/>
      <c r="CI1925"/>
      <c r="CJ1925"/>
      <c r="CK1925"/>
      <c r="CL1925"/>
      <c r="CM1925"/>
    </row>
    <row r="1926" spans="1:91" x14ac:dyDescent="0.2">
      <c r="A1926"/>
      <c r="B1926"/>
      <c r="D1926"/>
      <c r="E1926"/>
      <c r="F1926"/>
      <c r="G1926"/>
      <c r="I1926"/>
      <c r="J1926"/>
      <c r="K1926"/>
      <c r="L1926" s="499"/>
      <c r="BX1926" s="769"/>
      <c r="BY1926"/>
      <c r="BZ1926"/>
      <c r="CA1926"/>
      <c r="CB1926"/>
      <c r="CC1926"/>
      <c r="CD1926"/>
      <c r="CE1926"/>
      <c r="CF1926"/>
      <c r="CG1926"/>
      <c r="CH1926"/>
      <c r="CI1926"/>
      <c r="CJ1926"/>
      <c r="CK1926"/>
      <c r="CL1926"/>
      <c r="CM1926"/>
    </row>
    <row r="1927" spans="1:91" x14ac:dyDescent="0.2">
      <c r="A1927"/>
      <c r="B1927"/>
      <c r="D1927"/>
      <c r="E1927"/>
      <c r="F1927"/>
      <c r="G1927"/>
      <c r="I1927"/>
      <c r="J1927"/>
      <c r="K1927"/>
      <c r="L1927" s="499"/>
      <c r="BX1927" s="769"/>
      <c r="BY1927"/>
      <c r="BZ1927"/>
      <c r="CA1927"/>
      <c r="CB1927"/>
      <c r="CC1927"/>
      <c r="CD1927"/>
      <c r="CE1927"/>
      <c r="CF1927"/>
      <c r="CG1927"/>
      <c r="CH1927"/>
      <c r="CI1927"/>
      <c r="CJ1927"/>
      <c r="CK1927"/>
      <c r="CL1927"/>
      <c r="CM1927"/>
    </row>
    <row r="1928" spans="1:91" x14ac:dyDescent="0.2">
      <c r="A1928"/>
      <c r="B1928"/>
      <c r="D1928"/>
      <c r="E1928"/>
      <c r="F1928"/>
      <c r="G1928"/>
      <c r="I1928"/>
      <c r="J1928"/>
      <c r="K1928"/>
      <c r="L1928" s="499"/>
      <c r="BX1928" s="769"/>
      <c r="BY1928"/>
      <c r="BZ1928"/>
      <c r="CA1928"/>
      <c r="CB1928"/>
      <c r="CC1928"/>
      <c r="CD1928"/>
      <c r="CE1928"/>
      <c r="CF1928"/>
      <c r="CG1928"/>
      <c r="CH1928"/>
      <c r="CI1928"/>
      <c r="CJ1928"/>
      <c r="CK1928"/>
      <c r="CL1928"/>
      <c r="CM1928"/>
    </row>
    <row r="1929" spans="1:91" x14ac:dyDescent="0.2">
      <c r="A1929"/>
      <c r="B1929"/>
      <c r="D1929"/>
      <c r="E1929"/>
      <c r="F1929"/>
      <c r="G1929"/>
      <c r="I1929"/>
      <c r="J1929"/>
      <c r="K1929"/>
      <c r="L1929" s="499"/>
      <c r="BX1929" s="769"/>
      <c r="BY1929"/>
      <c r="BZ1929"/>
      <c r="CA1929"/>
      <c r="CB1929"/>
      <c r="CC1929"/>
      <c r="CD1929"/>
      <c r="CE1929"/>
      <c r="CF1929"/>
      <c r="CG1929"/>
      <c r="CH1929"/>
      <c r="CI1929"/>
      <c r="CJ1929"/>
      <c r="CK1929"/>
      <c r="CL1929"/>
      <c r="CM1929"/>
    </row>
    <row r="1930" spans="1:91" x14ac:dyDescent="0.2">
      <c r="A1930"/>
      <c r="B1930"/>
      <c r="D1930"/>
      <c r="E1930"/>
      <c r="F1930"/>
      <c r="G1930"/>
      <c r="I1930"/>
      <c r="J1930"/>
      <c r="K1930"/>
      <c r="L1930" s="499"/>
      <c r="BX1930" s="769"/>
      <c r="BY1930"/>
      <c r="BZ1930"/>
      <c r="CA1930"/>
      <c r="CB1930"/>
      <c r="CC1930"/>
      <c r="CD1930"/>
      <c r="CE1930"/>
      <c r="CF1930"/>
      <c r="CG1930"/>
      <c r="CH1930"/>
      <c r="CI1930"/>
      <c r="CJ1930"/>
      <c r="CK1930"/>
      <c r="CL1930"/>
      <c r="CM1930"/>
    </row>
    <row r="1931" spans="1:91" x14ac:dyDescent="0.2">
      <c r="A1931"/>
      <c r="B1931"/>
      <c r="D1931"/>
      <c r="E1931"/>
      <c r="F1931"/>
      <c r="G1931"/>
      <c r="I1931"/>
      <c r="J1931"/>
      <c r="K1931"/>
      <c r="L1931" s="499"/>
      <c r="BX1931" s="769"/>
      <c r="BY1931"/>
      <c r="BZ1931"/>
      <c r="CA1931"/>
      <c r="CB1931"/>
      <c r="CC1931"/>
      <c r="CD1931"/>
      <c r="CE1931"/>
      <c r="CF1931"/>
      <c r="CG1931"/>
      <c r="CH1931"/>
      <c r="CI1931"/>
      <c r="CJ1931"/>
      <c r="CK1931"/>
      <c r="CL1931"/>
      <c r="CM1931"/>
    </row>
    <row r="1932" spans="1:91" x14ac:dyDescent="0.2">
      <c r="A1932"/>
      <c r="B1932"/>
      <c r="D1932"/>
      <c r="E1932"/>
      <c r="F1932"/>
      <c r="G1932"/>
      <c r="I1932"/>
      <c r="J1932"/>
      <c r="K1932"/>
      <c r="L1932" s="499"/>
      <c r="BX1932" s="769"/>
      <c r="BY1932"/>
      <c r="BZ1932"/>
      <c r="CA1932"/>
      <c r="CB1932"/>
      <c r="CC1932"/>
      <c r="CD1932"/>
      <c r="CE1932"/>
      <c r="CF1932"/>
      <c r="CG1932"/>
      <c r="CH1932"/>
      <c r="CI1932"/>
      <c r="CJ1932"/>
      <c r="CK1932"/>
      <c r="CL1932"/>
      <c r="CM1932"/>
    </row>
    <row r="1933" spans="1:91" x14ac:dyDescent="0.2">
      <c r="A1933"/>
      <c r="B1933"/>
      <c r="D1933"/>
      <c r="E1933"/>
      <c r="F1933"/>
      <c r="G1933"/>
      <c r="I1933"/>
      <c r="J1933"/>
      <c r="K1933"/>
      <c r="L1933" s="499"/>
      <c r="BX1933" s="769"/>
      <c r="BY1933"/>
      <c r="BZ1933"/>
      <c r="CA1933"/>
      <c r="CB1933"/>
      <c r="CC1933"/>
      <c r="CD1933"/>
      <c r="CE1933"/>
      <c r="CF1933"/>
      <c r="CG1933"/>
      <c r="CH1933"/>
      <c r="CI1933"/>
      <c r="CJ1933"/>
      <c r="CK1933"/>
      <c r="CL1933"/>
      <c r="CM1933"/>
    </row>
    <row r="1934" spans="1:91" x14ac:dyDescent="0.2">
      <c r="A1934"/>
      <c r="B1934"/>
      <c r="D1934"/>
      <c r="E1934"/>
      <c r="F1934"/>
      <c r="G1934"/>
      <c r="I1934"/>
      <c r="J1934"/>
      <c r="K1934"/>
      <c r="L1934" s="499"/>
      <c r="BX1934" s="769"/>
      <c r="BY1934"/>
      <c r="BZ1934"/>
      <c r="CA1934"/>
      <c r="CB1934"/>
      <c r="CC1934"/>
      <c r="CD1934"/>
      <c r="CE1934"/>
      <c r="CF1934"/>
      <c r="CG1934"/>
      <c r="CH1934"/>
      <c r="CI1934"/>
      <c r="CJ1934"/>
      <c r="CK1934"/>
      <c r="CL1934"/>
      <c r="CM1934"/>
    </row>
    <row r="1935" spans="1:91" x14ac:dyDescent="0.2">
      <c r="A1935"/>
      <c r="B1935"/>
      <c r="D1935"/>
      <c r="E1935"/>
      <c r="F1935"/>
      <c r="G1935"/>
      <c r="I1935"/>
      <c r="J1935"/>
      <c r="K1935"/>
      <c r="L1935" s="499"/>
      <c r="BX1935" s="769"/>
      <c r="BY1935"/>
      <c r="BZ1935"/>
      <c r="CA1935"/>
      <c r="CB1935"/>
      <c r="CC1935"/>
      <c r="CD1935"/>
      <c r="CE1935"/>
      <c r="CF1935"/>
      <c r="CG1935"/>
      <c r="CH1935"/>
      <c r="CI1935"/>
      <c r="CJ1935"/>
      <c r="CK1935"/>
      <c r="CL1935"/>
      <c r="CM1935"/>
    </row>
    <row r="1936" spans="1:91" x14ac:dyDescent="0.2">
      <c r="A1936"/>
      <c r="B1936"/>
      <c r="D1936"/>
      <c r="E1936"/>
      <c r="F1936"/>
      <c r="G1936"/>
      <c r="I1936"/>
      <c r="J1936"/>
      <c r="K1936"/>
      <c r="L1936" s="499"/>
      <c r="BX1936" s="769"/>
      <c r="BY1936"/>
      <c r="BZ1936"/>
      <c r="CA1936"/>
      <c r="CB1936"/>
      <c r="CC1936"/>
      <c r="CD1936"/>
      <c r="CE1936"/>
      <c r="CF1936"/>
      <c r="CG1936"/>
      <c r="CH1936"/>
      <c r="CI1936"/>
      <c r="CJ1936"/>
      <c r="CK1936"/>
      <c r="CL1936"/>
      <c r="CM1936"/>
    </row>
    <row r="1937" spans="1:91" x14ac:dyDescent="0.2">
      <c r="A1937"/>
      <c r="B1937"/>
      <c r="D1937"/>
      <c r="E1937"/>
      <c r="F1937"/>
      <c r="G1937"/>
      <c r="I1937"/>
      <c r="J1937"/>
      <c r="K1937"/>
      <c r="L1937" s="499"/>
      <c r="BX1937" s="769"/>
      <c r="BY1937"/>
      <c r="BZ1937"/>
      <c r="CA1937"/>
      <c r="CB1937"/>
      <c r="CC1937"/>
      <c r="CD1937"/>
      <c r="CE1937"/>
      <c r="CF1937"/>
      <c r="CG1937"/>
      <c r="CH1937"/>
      <c r="CI1937"/>
      <c r="CJ1937"/>
      <c r="CK1937"/>
      <c r="CL1937"/>
      <c r="CM1937"/>
    </row>
    <row r="1938" spans="1:91" x14ac:dyDescent="0.2">
      <c r="A1938"/>
      <c r="B1938"/>
      <c r="D1938"/>
      <c r="E1938"/>
      <c r="F1938"/>
      <c r="G1938"/>
      <c r="I1938"/>
      <c r="J1938"/>
      <c r="K1938"/>
      <c r="L1938" s="499"/>
      <c r="BX1938" s="769"/>
      <c r="BY1938"/>
      <c r="BZ1938"/>
      <c r="CA1938"/>
      <c r="CB1938"/>
      <c r="CC1938"/>
      <c r="CD1938"/>
      <c r="CE1938"/>
      <c r="CF1938"/>
      <c r="CG1938"/>
      <c r="CH1938"/>
      <c r="CI1938"/>
      <c r="CJ1938"/>
      <c r="CK1938"/>
      <c r="CL1938"/>
      <c r="CM1938"/>
    </row>
    <row r="1939" spans="1:91" x14ac:dyDescent="0.2">
      <c r="A1939"/>
      <c r="B1939"/>
      <c r="D1939"/>
      <c r="E1939"/>
      <c r="F1939"/>
      <c r="G1939"/>
      <c r="I1939"/>
      <c r="J1939"/>
      <c r="K1939"/>
      <c r="L1939" s="499"/>
      <c r="BX1939" s="769"/>
      <c r="BY1939"/>
      <c r="BZ1939"/>
      <c r="CA1939"/>
      <c r="CB1939"/>
      <c r="CC1939"/>
      <c r="CD1939"/>
      <c r="CE1939"/>
      <c r="CF1939"/>
      <c r="CG1939"/>
      <c r="CH1939"/>
      <c r="CI1939"/>
      <c r="CJ1939"/>
      <c r="CK1939"/>
      <c r="CL1939"/>
      <c r="CM1939"/>
    </row>
    <row r="1940" spans="1:91" x14ac:dyDescent="0.2">
      <c r="A1940"/>
      <c r="B1940"/>
      <c r="D1940"/>
      <c r="E1940"/>
      <c r="F1940"/>
      <c r="G1940"/>
      <c r="I1940"/>
      <c r="J1940"/>
      <c r="K1940"/>
      <c r="L1940" s="499"/>
      <c r="BX1940" s="769"/>
      <c r="BY1940"/>
      <c r="BZ1940"/>
      <c r="CA1940"/>
      <c r="CB1940"/>
      <c r="CC1940"/>
      <c r="CD1940"/>
      <c r="CE1940"/>
      <c r="CF1940"/>
      <c r="CG1940"/>
      <c r="CH1940"/>
      <c r="CI1940"/>
      <c r="CJ1940"/>
      <c r="CK1940"/>
      <c r="CL1940"/>
      <c r="CM1940"/>
    </row>
    <row r="1941" spans="1:91" x14ac:dyDescent="0.2">
      <c r="A1941"/>
      <c r="B1941"/>
      <c r="D1941"/>
      <c r="E1941"/>
      <c r="F1941"/>
      <c r="G1941"/>
      <c r="I1941"/>
      <c r="J1941"/>
      <c r="K1941"/>
      <c r="L1941" s="499"/>
      <c r="BX1941" s="769"/>
      <c r="BY1941"/>
      <c r="BZ1941"/>
      <c r="CA1941"/>
      <c r="CB1941"/>
      <c r="CC1941"/>
      <c r="CD1941"/>
      <c r="CE1941"/>
      <c r="CF1941"/>
      <c r="CG1941"/>
      <c r="CH1941"/>
      <c r="CI1941"/>
      <c r="CJ1941"/>
      <c r="CK1941"/>
      <c r="CL1941"/>
      <c r="CM1941"/>
    </row>
    <row r="1942" spans="1:91" x14ac:dyDescent="0.2">
      <c r="A1942"/>
      <c r="B1942"/>
      <c r="D1942"/>
      <c r="E1942"/>
      <c r="F1942"/>
      <c r="G1942"/>
      <c r="I1942"/>
      <c r="J1942"/>
      <c r="K1942"/>
      <c r="L1942" s="499"/>
      <c r="BX1942" s="769"/>
      <c r="BY1942"/>
      <c r="BZ1942"/>
      <c r="CA1942"/>
      <c r="CB1942"/>
      <c r="CC1942"/>
      <c r="CD1942"/>
      <c r="CE1942"/>
      <c r="CF1942"/>
      <c r="CG1942"/>
      <c r="CH1942"/>
      <c r="CI1942"/>
      <c r="CJ1942"/>
      <c r="CK1942"/>
      <c r="CL1942"/>
      <c r="CM1942"/>
    </row>
    <row r="1943" spans="1:91" x14ac:dyDescent="0.2">
      <c r="A1943"/>
      <c r="B1943"/>
      <c r="D1943"/>
      <c r="E1943"/>
      <c r="F1943"/>
      <c r="G1943"/>
      <c r="I1943"/>
      <c r="J1943"/>
      <c r="K1943"/>
      <c r="L1943" s="499"/>
      <c r="BX1943" s="769"/>
      <c r="BY1943"/>
      <c r="BZ1943"/>
      <c r="CA1943"/>
      <c r="CB1943"/>
      <c r="CC1943"/>
      <c r="CD1943"/>
      <c r="CE1943"/>
      <c r="CF1943"/>
      <c r="CG1943"/>
      <c r="CH1943"/>
      <c r="CI1943"/>
      <c r="CJ1943"/>
      <c r="CK1943"/>
      <c r="CL1943"/>
      <c r="CM1943"/>
    </row>
    <row r="1944" spans="1:91" x14ac:dyDescent="0.2">
      <c r="A1944"/>
      <c r="B1944"/>
      <c r="D1944"/>
      <c r="E1944"/>
      <c r="F1944"/>
      <c r="G1944"/>
      <c r="I1944"/>
      <c r="J1944"/>
      <c r="K1944"/>
      <c r="L1944" s="499"/>
      <c r="BX1944" s="769"/>
      <c r="BY1944"/>
      <c r="BZ1944"/>
      <c r="CA1944"/>
      <c r="CB1944"/>
      <c r="CC1944"/>
      <c r="CD1944"/>
      <c r="CE1944"/>
      <c r="CF1944"/>
      <c r="CG1944"/>
      <c r="CH1944"/>
      <c r="CI1944"/>
      <c r="CJ1944"/>
      <c r="CK1944"/>
      <c r="CL1944"/>
      <c r="CM1944"/>
    </row>
    <row r="1945" spans="1:91" x14ac:dyDescent="0.2">
      <c r="A1945"/>
      <c r="B1945"/>
      <c r="D1945"/>
      <c r="E1945"/>
      <c r="F1945"/>
      <c r="G1945"/>
      <c r="I1945"/>
      <c r="J1945"/>
      <c r="K1945"/>
      <c r="L1945" s="499"/>
      <c r="BX1945" s="769"/>
      <c r="BY1945"/>
      <c r="BZ1945"/>
      <c r="CA1945"/>
      <c r="CB1945"/>
      <c r="CC1945"/>
      <c r="CD1945"/>
      <c r="CE1945"/>
      <c r="CF1945"/>
      <c r="CG1945"/>
      <c r="CH1945"/>
      <c r="CI1945"/>
      <c r="CJ1945"/>
      <c r="CK1945"/>
      <c r="CL1945"/>
      <c r="CM1945"/>
    </row>
    <row r="1946" spans="1:91" x14ac:dyDescent="0.2">
      <c r="A1946"/>
      <c r="B1946"/>
      <c r="D1946"/>
      <c r="E1946"/>
      <c r="F1946"/>
      <c r="G1946"/>
      <c r="I1946"/>
      <c r="J1946"/>
      <c r="K1946"/>
      <c r="L1946" s="499"/>
      <c r="BX1946" s="769"/>
      <c r="BY1946"/>
      <c r="BZ1946"/>
      <c r="CA1946"/>
      <c r="CB1946"/>
      <c r="CC1946"/>
      <c r="CD1946"/>
      <c r="CE1946"/>
      <c r="CF1946"/>
      <c r="CG1946"/>
      <c r="CH1946"/>
      <c r="CI1946"/>
      <c r="CJ1946"/>
      <c r="CK1946"/>
      <c r="CL1946"/>
      <c r="CM1946"/>
    </row>
    <row r="1947" spans="1:91" x14ac:dyDescent="0.2">
      <c r="A1947"/>
      <c r="B1947"/>
      <c r="D1947"/>
      <c r="E1947"/>
      <c r="F1947"/>
      <c r="G1947"/>
      <c r="I1947"/>
      <c r="J1947"/>
      <c r="K1947"/>
      <c r="L1947" s="499"/>
      <c r="BX1947" s="769"/>
      <c r="BY1947"/>
      <c r="BZ1947"/>
      <c r="CA1947"/>
      <c r="CB1947"/>
      <c r="CC1947"/>
      <c r="CD1947"/>
      <c r="CE1947"/>
      <c r="CF1947"/>
      <c r="CG1947"/>
      <c r="CH1947"/>
      <c r="CI1947"/>
      <c r="CJ1947"/>
      <c r="CK1947"/>
      <c r="CL1947"/>
      <c r="CM1947"/>
    </row>
    <row r="1948" spans="1:91" x14ac:dyDescent="0.2">
      <c r="A1948"/>
      <c r="B1948"/>
      <c r="D1948"/>
      <c r="E1948"/>
      <c r="F1948"/>
      <c r="G1948"/>
      <c r="I1948"/>
      <c r="J1948"/>
      <c r="K1948"/>
      <c r="L1948" s="499"/>
      <c r="BX1948" s="769"/>
      <c r="BY1948"/>
      <c r="BZ1948"/>
      <c r="CA1948"/>
      <c r="CB1948"/>
      <c r="CC1948"/>
      <c r="CD1948"/>
      <c r="CE1948"/>
      <c r="CF1948"/>
      <c r="CG1948"/>
      <c r="CH1948"/>
      <c r="CI1948"/>
      <c r="CJ1948"/>
      <c r="CK1948"/>
      <c r="CL1948"/>
      <c r="CM1948"/>
    </row>
    <row r="1949" spans="1:91" x14ac:dyDescent="0.2">
      <c r="A1949"/>
      <c r="B1949"/>
      <c r="D1949"/>
      <c r="E1949"/>
      <c r="F1949"/>
      <c r="G1949"/>
      <c r="I1949"/>
      <c r="J1949"/>
      <c r="K1949"/>
      <c r="L1949" s="499"/>
      <c r="BX1949" s="769"/>
      <c r="BY1949"/>
      <c r="BZ1949"/>
      <c r="CA1949"/>
      <c r="CB1949"/>
      <c r="CC1949"/>
      <c r="CD1949"/>
      <c r="CE1949"/>
      <c r="CF1949"/>
      <c r="CG1949"/>
      <c r="CH1949"/>
      <c r="CI1949"/>
      <c r="CJ1949"/>
      <c r="CK1949"/>
      <c r="CL1949"/>
      <c r="CM1949"/>
    </row>
    <row r="1950" spans="1:91" x14ac:dyDescent="0.2">
      <c r="A1950"/>
      <c r="B1950"/>
      <c r="D1950"/>
      <c r="E1950"/>
      <c r="F1950"/>
      <c r="G1950"/>
      <c r="I1950"/>
      <c r="J1950"/>
      <c r="K1950"/>
      <c r="L1950" s="499"/>
      <c r="BX1950" s="769"/>
      <c r="BY1950"/>
      <c r="BZ1950"/>
      <c r="CA1950"/>
      <c r="CB1950"/>
      <c r="CC1950"/>
      <c r="CD1950"/>
      <c r="CE1950"/>
      <c r="CF1950"/>
      <c r="CG1950"/>
      <c r="CH1950"/>
      <c r="CI1950"/>
      <c r="CJ1950"/>
      <c r="CK1950"/>
      <c r="CL1950"/>
      <c r="CM1950"/>
    </row>
    <row r="1951" spans="1:91" x14ac:dyDescent="0.2">
      <c r="A1951"/>
      <c r="B1951"/>
      <c r="D1951"/>
      <c r="E1951"/>
      <c r="F1951"/>
      <c r="G1951"/>
      <c r="I1951"/>
      <c r="J1951"/>
      <c r="K1951"/>
      <c r="L1951" s="499"/>
      <c r="BX1951" s="769"/>
      <c r="BY1951"/>
      <c r="BZ1951"/>
      <c r="CA1951"/>
      <c r="CB1951"/>
      <c r="CC1951"/>
      <c r="CD1951"/>
      <c r="CE1951"/>
      <c r="CF1951"/>
      <c r="CG1951"/>
      <c r="CH1951"/>
      <c r="CI1951"/>
      <c r="CJ1951"/>
      <c r="CK1951"/>
      <c r="CL1951"/>
      <c r="CM1951"/>
    </row>
    <row r="1952" spans="1:91" x14ac:dyDescent="0.2">
      <c r="A1952"/>
      <c r="B1952"/>
      <c r="D1952"/>
      <c r="E1952"/>
      <c r="F1952"/>
      <c r="G1952"/>
      <c r="I1952"/>
      <c r="J1952"/>
      <c r="K1952"/>
      <c r="L1952" s="499"/>
      <c r="BX1952" s="769"/>
      <c r="BY1952"/>
      <c r="BZ1952"/>
      <c r="CA1952"/>
      <c r="CB1952"/>
      <c r="CC1952"/>
      <c r="CD1952"/>
      <c r="CE1952"/>
      <c r="CF1952"/>
      <c r="CG1952"/>
      <c r="CH1952"/>
      <c r="CI1952"/>
      <c r="CJ1952"/>
      <c r="CK1952"/>
      <c r="CL1952"/>
      <c r="CM1952"/>
    </row>
    <row r="1953" spans="1:91" x14ac:dyDescent="0.2">
      <c r="A1953"/>
      <c r="B1953"/>
      <c r="D1953"/>
      <c r="E1953"/>
      <c r="F1953"/>
      <c r="G1953"/>
      <c r="I1953"/>
      <c r="J1953"/>
      <c r="K1953"/>
      <c r="L1953" s="499"/>
      <c r="BX1953" s="769"/>
      <c r="BY1953"/>
      <c r="BZ1953"/>
      <c r="CA1953"/>
      <c r="CB1953"/>
      <c r="CC1953"/>
      <c r="CD1953"/>
      <c r="CE1953"/>
      <c r="CF1953"/>
      <c r="CG1953"/>
      <c r="CH1953"/>
      <c r="CI1953"/>
      <c r="CJ1953"/>
      <c r="CK1953"/>
      <c r="CL1953"/>
      <c r="CM1953"/>
    </row>
    <row r="1954" spans="1:91" x14ac:dyDescent="0.2">
      <c r="A1954"/>
      <c r="B1954"/>
      <c r="D1954"/>
      <c r="E1954"/>
      <c r="F1954"/>
      <c r="G1954"/>
      <c r="I1954"/>
      <c r="J1954"/>
      <c r="K1954"/>
      <c r="L1954" s="499"/>
      <c r="BX1954" s="769"/>
      <c r="BY1954"/>
      <c r="BZ1954"/>
      <c r="CA1954"/>
      <c r="CB1954"/>
      <c r="CC1954"/>
      <c r="CD1954"/>
      <c r="CE1954"/>
      <c r="CF1954"/>
      <c r="CG1954"/>
      <c r="CH1954"/>
      <c r="CI1954"/>
      <c r="CJ1954"/>
      <c r="CK1954"/>
      <c r="CL1954"/>
      <c r="CM1954"/>
    </row>
    <row r="1955" spans="1:91" x14ac:dyDescent="0.2">
      <c r="A1955"/>
      <c r="B1955"/>
      <c r="D1955"/>
      <c r="E1955"/>
      <c r="F1955"/>
      <c r="G1955"/>
      <c r="I1955"/>
      <c r="J1955"/>
      <c r="K1955"/>
      <c r="L1955" s="499"/>
      <c r="BX1955" s="769"/>
      <c r="BY1955"/>
      <c r="BZ1955"/>
      <c r="CA1955"/>
      <c r="CB1955"/>
      <c r="CC1955"/>
      <c r="CD1955"/>
      <c r="CE1955"/>
      <c r="CF1955"/>
      <c r="CG1955"/>
      <c r="CH1955"/>
      <c r="CI1955"/>
      <c r="CJ1955"/>
      <c r="CK1955"/>
      <c r="CL1955"/>
      <c r="CM1955"/>
    </row>
    <row r="1956" spans="1:91" x14ac:dyDescent="0.2">
      <c r="A1956"/>
      <c r="B1956"/>
      <c r="D1956"/>
      <c r="E1956"/>
      <c r="F1956"/>
      <c r="G1956"/>
      <c r="I1956"/>
      <c r="J1956"/>
      <c r="K1956"/>
      <c r="L1956" s="499"/>
      <c r="BX1956" s="769"/>
      <c r="BY1956"/>
      <c r="BZ1956"/>
      <c r="CA1956"/>
      <c r="CB1956"/>
      <c r="CC1956"/>
      <c r="CD1956"/>
      <c r="CE1956"/>
      <c r="CF1956"/>
      <c r="CG1956"/>
      <c r="CH1956"/>
      <c r="CI1956"/>
      <c r="CJ1956"/>
      <c r="CK1956"/>
      <c r="CL1956"/>
      <c r="CM1956"/>
    </row>
    <row r="1957" spans="1:91" x14ac:dyDescent="0.2">
      <c r="A1957"/>
      <c r="B1957"/>
      <c r="D1957"/>
      <c r="E1957"/>
      <c r="F1957"/>
      <c r="G1957"/>
      <c r="I1957"/>
      <c r="J1957"/>
      <c r="K1957"/>
      <c r="L1957" s="499"/>
      <c r="BX1957" s="769"/>
      <c r="BY1957"/>
      <c r="BZ1957"/>
      <c r="CA1957"/>
      <c r="CB1957"/>
      <c r="CC1957"/>
      <c r="CD1957"/>
      <c r="CE1957"/>
      <c r="CF1957"/>
      <c r="CG1957"/>
      <c r="CH1957"/>
      <c r="CI1957"/>
      <c r="CJ1957"/>
      <c r="CK1957"/>
      <c r="CL1957"/>
      <c r="CM1957"/>
    </row>
    <row r="1958" spans="1:91" x14ac:dyDescent="0.2">
      <c r="A1958"/>
      <c r="B1958"/>
      <c r="D1958"/>
      <c r="E1958"/>
      <c r="F1958"/>
      <c r="G1958"/>
      <c r="I1958"/>
      <c r="J1958"/>
      <c r="K1958"/>
      <c r="L1958" s="499"/>
      <c r="BX1958" s="769"/>
      <c r="BY1958"/>
      <c r="BZ1958"/>
      <c r="CA1958"/>
      <c r="CB1958"/>
      <c r="CC1958"/>
      <c r="CD1958"/>
      <c r="CE1958"/>
      <c r="CF1958"/>
      <c r="CG1958"/>
      <c r="CH1958"/>
      <c r="CI1958"/>
      <c r="CJ1958"/>
      <c r="CK1958"/>
      <c r="CL1958"/>
      <c r="CM1958"/>
    </row>
    <row r="1959" spans="1:91" x14ac:dyDescent="0.2">
      <c r="A1959"/>
      <c r="B1959"/>
      <c r="D1959"/>
      <c r="E1959"/>
      <c r="F1959"/>
      <c r="G1959"/>
      <c r="I1959"/>
      <c r="J1959"/>
      <c r="K1959"/>
      <c r="L1959" s="499"/>
      <c r="BX1959" s="769"/>
      <c r="BY1959"/>
      <c r="BZ1959"/>
      <c r="CA1959"/>
      <c r="CB1959"/>
      <c r="CC1959"/>
      <c r="CD1959"/>
      <c r="CE1959"/>
      <c r="CF1959"/>
      <c r="CG1959"/>
      <c r="CH1959"/>
      <c r="CI1959"/>
      <c r="CJ1959"/>
      <c r="CK1959"/>
      <c r="CL1959"/>
      <c r="CM1959"/>
    </row>
    <row r="1960" spans="1:91" x14ac:dyDescent="0.2">
      <c r="A1960"/>
      <c r="B1960"/>
      <c r="D1960"/>
      <c r="E1960"/>
      <c r="F1960"/>
      <c r="G1960"/>
      <c r="I1960"/>
      <c r="J1960"/>
      <c r="K1960"/>
      <c r="L1960" s="499"/>
      <c r="BX1960" s="769"/>
      <c r="BY1960"/>
      <c r="BZ1960"/>
      <c r="CA1960"/>
      <c r="CB1960"/>
      <c r="CC1960"/>
      <c r="CD1960"/>
      <c r="CE1960"/>
      <c r="CF1960"/>
      <c r="CG1960"/>
      <c r="CH1960"/>
      <c r="CI1960"/>
      <c r="CJ1960"/>
      <c r="CK1960"/>
      <c r="CL1960"/>
      <c r="CM1960"/>
    </row>
    <row r="1961" spans="1:91" x14ac:dyDescent="0.2">
      <c r="A1961"/>
      <c r="B1961"/>
      <c r="D1961"/>
      <c r="E1961"/>
      <c r="F1961"/>
      <c r="G1961"/>
      <c r="I1961"/>
      <c r="J1961"/>
      <c r="K1961"/>
      <c r="L1961" s="499"/>
      <c r="BX1961" s="769"/>
      <c r="BY1961"/>
      <c r="BZ1961"/>
      <c r="CA1961"/>
      <c r="CB1961"/>
      <c r="CC1961"/>
      <c r="CD1961"/>
      <c r="CE1961"/>
      <c r="CF1961"/>
      <c r="CG1961"/>
      <c r="CH1961"/>
      <c r="CI1961"/>
      <c r="CJ1961"/>
      <c r="CK1961"/>
      <c r="CL1961"/>
      <c r="CM1961"/>
    </row>
    <row r="1962" spans="1:91" x14ac:dyDescent="0.2">
      <c r="A1962"/>
      <c r="B1962"/>
      <c r="D1962"/>
      <c r="E1962"/>
      <c r="F1962"/>
      <c r="G1962"/>
      <c r="I1962"/>
      <c r="J1962"/>
      <c r="K1962"/>
      <c r="L1962" s="499"/>
      <c r="BX1962" s="769"/>
      <c r="BY1962"/>
      <c r="BZ1962"/>
      <c r="CA1962"/>
      <c r="CB1962"/>
      <c r="CC1962"/>
      <c r="CD1962"/>
      <c r="CE1962"/>
      <c r="CF1962"/>
      <c r="CG1962"/>
      <c r="CH1962"/>
      <c r="CI1962"/>
      <c r="CJ1962"/>
      <c r="CK1962"/>
      <c r="CL1962"/>
      <c r="CM1962"/>
    </row>
    <row r="1963" spans="1:91" x14ac:dyDescent="0.2">
      <c r="A1963"/>
      <c r="B1963"/>
      <c r="D1963"/>
      <c r="E1963"/>
      <c r="F1963"/>
      <c r="G1963"/>
      <c r="I1963"/>
      <c r="J1963"/>
      <c r="K1963"/>
      <c r="L1963" s="499"/>
      <c r="BX1963" s="769"/>
      <c r="BY1963"/>
      <c r="BZ1963"/>
      <c r="CA1963"/>
      <c r="CB1963"/>
      <c r="CC1963"/>
      <c r="CD1963"/>
      <c r="CE1963"/>
      <c r="CF1963"/>
      <c r="CG1963"/>
      <c r="CH1963"/>
      <c r="CI1963"/>
      <c r="CJ1963"/>
      <c r="CK1963"/>
      <c r="CL1963"/>
      <c r="CM1963"/>
    </row>
    <row r="1964" spans="1:91" x14ac:dyDescent="0.2">
      <c r="A1964"/>
      <c r="B1964"/>
      <c r="D1964"/>
      <c r="E1964"/>
      <c r="F1964"/>
      <c r="G1964"/>
      <c r="I1964"/>
      <c r="J1964"/>
      <c r="K1964"/>
      <c r="L1964" s="499"/>
      <c r="BX1964" s="769"/>
      <c r="BY1964"/>
      <c r="BZ1964"/>
      <c r="CA1964"/>
      <c r="CB1964"/>
      <c r="CC1964"/>
      <c r="CD1964"/>
      <c r="CE1964"/>
      <c r="CF1964"/>
      <c r="CG1964"/>
      <c r="CH1964"/>
      <c r="CI1964"/>
      <c r="CJ1964"/>
      <c r="CK1964"/>
      <c r="CL1964"/>
      <c r="CM1964"/>
    </row>
    <row r="1965" spans="1:91" x14ac:dyDescent="0.2">
      <c r="A1965"/>
      <c r="B1965"/>
      <c r="D1965"/>
      <c r="E1965"/>
      <c r="F1965"/>
      <c r="G1965"/>
      <c r="I1965"/>
      <c r="J1965"/>
      <c r="K1965"/>
      <c r="L1965" s="499"/>
      <c r="BX1965" s="769"/>
      <c r="BY1965"/>
      <c r="BZ1965"/>
      <c r="CA1965"/>
      <c r="CB1965"/>
      <c r="CC1965"/>
      <c r="CD1965"/>
      <c r="CE1965"/>
      <c r="CF1965"/>
      <c r="CG1965"/>
      <c r="CH1965"/>
      <c r="CI1965"/>
      <c r="CJ1965"/>
      <c r="CK1965"/>
      <c r="CL1965"/>
      <c r="CM1965"/>
    </row>
    <row r="1966" spans="1:91" x14ac:dyDescent="0.2">
      <c r="A1966"/>
      <c r="B1966"/>
      <c r="D1966"/>
      <c r="E1966"/>
      <c r="F1966"/>
      <c r="G1966"/>
      <c r="I1966"/>
      <c r="J1966"/>
      <c r="K1966"/>
      <c r="L1966" s="499"/>
      <c r="BX1966" s="769"/>
      <c r="BY1966"/>
      <c r="BZ1966"/>
      <c r="CA1966"/>
      <c r="CB1966"/>
      <c r="CC1966"/>
      <c r="CD1966"/>
      <c r="CE1966"/>
      <c r="CF1966"/>
      <c r="CG1966"/>
      <c r="CH1966"/>
      <c r="CI1966"/>
      <c r="CJ1966"/>
      <c r="CK1966"/>
      <c r="CL1966"/>
      <c r="CM1966"/>
    </row>
    <row r="1967" spans="1:91" x14ac:dyDescent="0.2">
      <c r="A1967"/>
      <c r="B1967"/>
      <c r="D1967"/>
      <c r="E1967"/>
      <c r="F1967"/>
      <c r="G1967"/>
      <c r="I1967"/>
      <c r="J1967"/>
      <c r="K1967"/>
      <c r="L1967" s="499"/>
      <c r="BX1967" s="769"/>
      <c r="BY1967"/>
      <c r="BZ1967"/>
      <c r="CA1967"/>
      <c r="CB1967"/>
      <c r="CC1967"/>
      <c r="CD1967"/>
      <c r="CE1967"/>
      <c r="CF1967"/>
      <c r="CG1967"/>
      <c r="CH1967"/>
      <c r="CI1967"/>
      <c r="CJ1967"/>
      <c r="CK1967"/>
      <c r="CL1967"/>
      <c r="CM1967"/>
    </row>
    <row r="1968" spans="1:91" x14ac:dyDescent="0.2">
      <c r="A1968"/>
      <c r="B1968"/>
      <c r="D1968"/>
      <c r="E1968"/>
      <c r="F1968"/>
      <c r="G1968"/>
      <c r="I1968"/>
      <c r="J1968"/>
      <c r="K1968"/>
      <c r="L1968" s="499"/>
      <c r="BX1968" s="769"/>
      <c r="BY1968"/>
      <c r="BZ1968"/>
      <c r="CA1968"/>
      <c r="CB1968"/>
      <c r="CC1968"/>
      <c r="CD1968"/>
      <c r="CE1968"/>
      <c r="CF1968"/>
      <c r="CG1968"/>
      <c r="CH1968"/>
      <c r="CI1968"/>
      <c r="CJ1968"/>
      <c r="CK1968"/>
      <c r="CL1968"/>
      <c r="CM1968"/>
    </row>
    <row r="1969" spans="1:91" x14ac:dyDescent="0.2">
      <c r="A1969"/>
      <c r="B1969"/>
      <c r="D1969"/>
      <c r="E1969"/>
      <c r="F1969"/>
      <c r="G1969"/>
      <c r="I1969"/>
      <c r="J1969"/>
      <c r="K1969"/>
      <c r="L1969" s="499"/>
      <c r="BX1969" s="769"/>
      <c r="BY1969"/>
      <c r="BZ1969"/>
      <c r="CA1969"/>
      <c r="CB1969"/>
      <c r="CC1969"/>
      <c r="CD1969"/>
      <c r="CE1969"/>
      <c r="CF1969"/>
      <c r="CG1969"/>
      <c r="CH1969"/>
      <c r="CI1969"/>
      <c r="CJ1969"/>
      <c r="CK1969"/>
      <c r="CL1969"/>
      <c r="CM1969"/>
    </row>
    <row r="1970" spans="1:91" x14ac:dyDescent="0.2">
      <c r="A1970"/>
      <c r="B1970"/>
      <c r="D1970"/>
      <c r="E1970"/>
      <c r="F1970"/>
      <c r="G1970"/>
      <c r="I1970"/>
      <c r="J1970"/>
      <c r="K1970"/>
      <c r="L1970" s="499"/>
      <c r="BX1970" s="769"/>
      <c r="BY1970"/>
      <c r="BZ1970"/>
      <c r="CA1970"/>
      <c r="CB1970"/>
      <c r="CC1970"/>
      <c r="CD1970"/>
      <c r="CE1970"/>
      <c r="CF1970"/>
      <c r="CG1970"/>
      <c r="CH1970"/>
      <c r="CI1970"/>
      <c r="CJ1970"/>
      <c r="CK1970"/>
      <c r="CL1970"/>
      <c r="CM1970"/>
    </row>
    <row r="1971" spans="1:91" x14ac:dyDescent="0.2">
      <c r="A1971"/>
      <c r="B1971"/>
      <c r="D1971"/>
      <c r="E1971"/>
      <c r="F1971"/>
      <c r="G1971"/>
      <c r="I1971"/>
      <c r="J1971"/>
      <c r="K1971"/>
      <c r="L1971" s="499"/>
      <c r="BX1971" s="769"/>
      <c r="BY1971"/>
      <c r="BZ1971"/>
      <c r="CA1971"/>
      <c r="CB1971"/>
      <c r="CC1971"/>
      <c r="CD1971"/>
      <c r="CE1971"/>
      <c r="CF1971"/>
      <c r="CG1971"/>
      <c r="CH1971"/>
      <c r="CI1971"/>
      <c r="CJ1971"/>
      <c r="CK1971"/>
      <c r="CL1971"/>
      <c r="CM1971"/>
    </row>
    <row r="1972" spans="1:91" x14ac:dyDescent="0.2">
      <c r="A1972"/>
      <c r="B1972"/>
      <c r="D1972"/>
      <c r="E1972"/>
      <c r="F1972"/>
      <c r="G1972"/>
      <c r="I1972"/>
      <c r="J1972"/>
      <c r="K1972"/>
      <c r="L1972" s="499"/>
      <c r="BX1972" s="769"/>
      <c r="BY1972"/>
      <c r="BZ1972"/>
      <c r="CA1972"/>
      <c r="CB1972"/>
      <c r="CC1972"/>
      <c r="CD1972"/>
      <c r="CE1972"/>
      <c r="CF1972"/>
      <c r="CG1972"/>
      <c r="CH1972"/>
      <c r="CI1972"/>
      <c r="CJ1972"/>
      <c r="CK1972"/>
      <c r="CL1972"/>
      <c r="CM1972"/>
    </row>
    <row r="1973" spans="1:91" x14ac:dyDescent="0.2">
      <c r="A1973"/>
      <c r="B1973"/>
      <c r="D1973"/>
      <c r="E1973"/>
      <c r="F1973"/>
      <c r="G1973"/>
      <c r="I1973"/>
      <c r="J1973"/>
      <c r="K1973"/>
      <c r="L1973" s="499"/>
      <c r="BX1973" s="769"/>
      <c r="BY1973"/>
      <c r="BZ1973"/>
      <c r="CA1973"/>
      <c r="CB1973"/>
      <c r="CC1973"/>
      <c r="CD1973"/>
      <c r="CE1973"/>
      <c r="CF1973"/>
      <c r="CG1973"/>
      <c r="CH1973"/>
      <c r="CI1973"/>
      <c r="CJ1973"/>
      <c r="CK1973"/>
      <c r="CL1973"/>
      <c r="CM1973"/>
    </row>
    <row r="1974" spans="1:91" x14ac:dyDescent="0.2">
      <c r="A1974"/>
      <c r="B1974"/>
      <c r="D1974"/>
      <c r="E1974"/>
      <c r="F1974"/>
      <c r="G1974"/>
      <c r="I1974"/>
      <c r="J1974"/>
      <c r="K1974"/>
      <c r="L1974" s="499"/>
      <c r="BX1974" s="769"/>
      <c r="BY1974"/>
      <c r="BZ1974"/>
      <c r="CA1974"/>
      <c r="CB1974"/>
      <c r="CC1974"/>
      <c r="CD1974"/>
      <c r="CE1974"/>
      <c r="CF1974"/>
      <c r="CG1974"/>
      <c r="CH1974"/>
      <c r="CI1974"/>
      <c r="CJ1974"/>
      <c r="CK1974"/>
      <c r="CL1974"/>
      <c r="CM1974"/>
    </row>
    <row r="1975" spans="1:91" x14ac:dyDescent="0.2">
      <c r="A1975"/>
      <c r="B1975"/>
      <c r="D1975"/>
      <c r="E1975"/>
      <c r="F1975"/>
      <c r="G1975"/>
      <c r="I1975"/>
      <c r="J1975"/>
      <c r="K1975"/>
      <c r="L1975" s="499"/>
      <c r="BX1975" s="769"/>
      <c r="BY1975"/>
      <c r="BZ1975"/>
      <c r="CA1975"/>
      <c r="CB1975"/>
      <c r="CC1975"/>
      <c r="CD1975"/>
      <c r="CE1975"/>
      <c r="CF1975"/>
      <c r="CG1975"/>
      <c r="CH1975"/>
      <c r="CI1975"/>
      <c r="CJ1975"/>
      <c r="CK1975"/>
      <c r="CL1975"/>
      <c r="CM1975"/>
    </row>
    <row r="1976" spans="1:91" x14ac:dyDescent="0.2">
      <c r="A1976"/>
      <c r="B1976"/>
      <c r="D1976"/>
      <c r="E1976"/>
      <c r="F1976"/>
      <c r="G1976"/>
      <c r="I1976"/>
      <c r="J1976"/>
      <c r="K1976"/>
      <c r="L1976" s="499"/>
      <c r="BX1976" s="769"/>
      <c r="BY1976"/>
      <c r="BZ1976"/>
      <c r="CA1976"/>
      <c r="CB1976"/>
      <c r="CC1976"/>
      <c r="CD1976"/>
      <c r="CE1976"/>
      <c r="CF1976"/>
      <c r="CG1976"/>
      <c r="CH1976"/>
      <c r="CI1976"/>
      <c r="CJ1976"/>
      <c r="CK1976"/>
      <c r="CL1976"/>
      <c r="CM1976"/>
    </row>
    <row r="1977" spans="1:91" x14ac:dyDescent="0.2">
      <c r="A1977"/>
      <c r="B1977"/>
      <c r="D1977"/>
      <c r="E1977"/>
      <c r="F1977"/>
      <c r="G1977"/>
      <c r="I1977"/>
      <c r="J1977"/>
      <c r="K1977"/>
      <c r="L1977" s="499"/>
      <c r="BX1977" s="769"/>
      <c r="BY1977"/>
      <c r="BZ1977"/>
      <c r="CA1977"/>
      <c r="CB1977"/>
      <c r="CC1977"/>
      <c r="CD1977"/>
      <c r="CE1977"/>
      <c r="CF1977"/>
      <c r="CG1977"/>
      <c r="CH1977"/>
      <c r="CI1977"/>
      <c r="CJ1977"/>
      <c r="CK1977"/>
      <c r="CL1977"/>
      <c r="CM1977"/>
    </row>
    <row r="1978" spans="1:91" x14ac:dyDescent="0.2">
      <c r="A1978"/>
      <c r="B1978"/>
      <c r="D1978"/>
      <c r="E1978"/>
      <c r="F1978"/>
      <c r="G1978"/>
      <c r="I1978"/>
      <c r="J1978"/>
      <c r="K1978"/>
      <c r="L1978" s="499"/>
      <c r="BX1978" s="769"/>
      <c r="BY1978"/>
      <c r="BZ1978"/>
      <c r="CA1978"/>
      <c r="CB1978"/>
      <c r="CC1978"/>
      <c r="CD1978"/>
      <c r="CE1978"/>
      <c r="CF1978"/>
      <c r="CG1978"/>
      <c r="CH1978"/>
      <c r="CI1978"/>
      <c r="CJ1978"/>
      <c r="CK1978"/>
      <c r="CL1978"/>
      <c r="CM1978"/>
    </row>
    <row r="1979" spans="1:91" x14ac:dyDescent="0.2">
      <c r="A1979"/>
      <c r="B1979"/>
      <c r="D1979"/>
      <c r="E1979"/>
      <c r="F1979"/>
      <c r="G1979"/>
      <c r="I1979"/>
      <c r="J1979"/>
      <c r="K1979"/>
      <c r="L1979" s="499"/>
      <c r="BX1979" s="769"/>
      <c r="BY1979"/>
      <c r="BZ1979"/>
      <c r="CA1979"/>
      <c r="CB1979"/>
      <c r="CC1979"/>
      <c r="CD1979"/>
      <c r="CE1979"/>
      <c r="CF1979"/>
      <c r="CG1979"/>
      <c r="CH1979"/>
      <c r="CI1979"/>
      <c r="CJ1979"/>
      <c r="CK1979"/>
      <c r="CL1979"/>
      <c r="CM1979"/>
    </row>
    <row r="1980" spans="1:91" x14ac:dyDescent="0.2">
      <c r="A1980"/>
      <c r="B1980"/>
      <c r="D1980"/>
      <c r="E1980"/>
      <c r="F1980"/>
      <c r="G1980"/>
      <c r="I1980"/>
      <c r="J1980"/>
      <c r="K1980"/>
      <c r="L1980" s="499"/>
      <c r="BX1980" s="769"/>
      <c r="BY1980"/>
      <c r="BZ1980"/>
      <c r="CA1980"/>
      <c r="CB1980"/>
      <c r="CC1980"/>
      <c r="CD1980"/>
      <c r="CE1980"/>
      <c r="CF1980"/>
      <c r="CG1980"/>
      <c r="CH1980"/>
      <c r="CI1980"/>
      <c r="CJ1980"/>
      <c r="CK1980"/>
      <c r="CL1980"/>
      <c r="CM1980"/>
    </row>
    <row r="1981" spans="1:91" x14ac:dyDescent="0.2">
      <c r="A1981"/>
      <c r="B1981"/>
      <c r="D1981"/>
      <c r="E1981"/>
      <c r="F1981"/>
      <c r="G1981"/>
      <c r="I1981"/>
      <c r="J1981"/>
      <c r="K1981"/>
      <c r="L1981" s="499"/>
      <c r="BX1981" s="769"/>
      <c r="BY1981"/>
      <c r="BZ1981"/>
      <c r="CA1981"/>
      <c r="CB1981"/>
      <c r="CC1981"/>
      <c r="CD1981"/>
      <c r="CE1981"/>
      <c r="CF1981"/>
      <c r="CG1981"/>
      <c r="CH1981"/>
      <c r="CI1981"/>
      <c r="CJ1981"/>
      <c r="CK1981"/>
      <c r="CL1981"/>
      <c r="CM1981"/>
    </row>
    <row r="1982" spans="1:91" x14ac:dyDescent="0.2">
      <c r="A1982"/>
      <c r="B1982"/>
      <c r="D1982"/>
      <c r="E1982"/>
      <c r="F1982"/>
      <c r="G1982"/>
      <c r="I1982"/>
      <c r="J1982"/>
      <c r="K1982"/>
      <c r="L1982" s="499"/>
      <c r="BX1982" s="769"/>
      <c r="BY1982"/>
      <c r="BZ1982"/>
      <c r="CA1982"/>
      <c r="CB1982"/>
      <c r="CC1982"/>
      <c r="CD1982"/>
      <c r="CE1982"/>
      <c r="CF1982"/>
      <c r="CG1982"/>
      <c r="CH1982"/>
      <c r="CI1982"/>
      <c r="CJ1982"/>
      <c r="CK1982"/>
      <c r="CL1982"/>
      <c r="CM1982"/>
    </row>
    <row r="1983" spans="1:91" x14ac:dyDescent="0.2">
      <c r="A1983"/>
      <c r="B1983"/>
      <c r="D1983"/>
      <c r="E1983"/>
      <c r="F1983"/>
      <c r="G1983"/>
      <c r="I1983"/>
      <c r="J1983"/>
      <c r="K1983"/>
      <c r="L1983" s="499"/>
      <c r="BX1983" s="769"/>
      <c r="BY1983"/>
      <c r="BZ1983"/>
      <c r="CA1983"/>
      <c r="CB1983"/>
      <c r="CC1983"/>
      <c r="CD1983"/>
      <c r="CE1983"/>
      <c r="CF1983"/>
      <c r="CG1983"/>
      <c r="CH1983"/>
      <c r="CI1983"/>
      <c r="CJ1983"/>
      <c r="CK1983"/>
      <c r="CL1983"/>
      <c r="CM1983"/>
    </row>
    <row r="1984" spans="1:91" x14ac:dyDescent="0.2">
      <c r="A1984"/>
      <c r="B1984"/>
      <c r="D1984"/>
      <c r="E1984"/>
      <c r="F1984"/>
      <c r="G1984"/>
      <c r="I1984"/>
      <c r="J1984"/>
      <c r="K1984"/>
      <c r="L1984" s="499"/>
      <c r="BX1984" s="769"/>
      <c r="BY1984"/>
      <c r="BZ1984"/>
      <c r="CA1984"/>
      <c r="CB1984"/>
      <c r="CC1984"/>
      <c r="CD1984"/>
      <c r="CE1984"/>
      <c r="CF1984"/>
      <c r="CG1984"/>
      <c r="CH1984"/>
      <c r="CI1984"/>
      <c r="CJ1984"/>
      <c r="CK1984"/>
      <c r="CL1984"/>
      <c r="CM1984"/>
    </row>
    <row r="1985" spans="1:91" x14ac:dyDescent="0.2">
      <c r="A1985"/>
      <c r="B1985"/>
      <c r="D1985"/>
      <c r="E1985"/>
      <c r="F1985"/>
      <c r="G1985"/>
      <c r="I1985"/>
      <c r="J1985"/>
      <c r="K1985"/>
      <c r="L1985" s="499"/>
      <c r="BX1985" s="769"/>
      <c r="BY1985"/>
      <c r="BZ1985"/>
      <c r="CA1985"/>
      <c r="CB1985"/>
      <c r="CC1985"/>
      <c r="CD1985"/>
      <c r="CE1985"/>
      <c r="CF1985"/>
      <c r="CG1985"/>
      <c r="CH1985"/>
      <c r="CI1985"/>
      <c r="CJ1985"/>
      <c r="CK1985"/>
      <c r="CL1985"/>
      <c r="CM1985"/>
    </row>
    <row r="1986" spans="1:91" x14ac:dyDescent="0.2">
      <c r="A1986"/>
      <c r="B1986"/>
      <c r="D1986"/>
      <c r="E1986"/>
      <c r="F1986"/>
      <c r="G1986"/>
      <c r="I1986"/>
      <c r="J1986"/>
      <c r="K1986"/>
      <c r="L1986" s="499"/>
      <c r="BX1986" s="769"/>
      <c r="BY1986"/>
      <c r="BZ1986"/>
      <c r="CA1986"/>
      <c r="CB1986"/>
      <c r="CC1986"/>
      <c r="CD1986"/>
      <c r="CE1986"/>
      <c r="CF1986"/>
      <c r="CG1986"/>
      <c r="CH1986"/>
      <c r="CI1986"/>
      <c r="CJ1986"/>
      <c r="CK1986"/>
      <c r="CL1986"/>
      <c r="CM1986"/>
    </row>
    <row r="1987" spans="1:91" x14ac:dyDescent="0.2">
      <c r="A1987"/>
      <c r="B1987"/>
      <c r="D1987"/>
      <c r="E1987"/>
      <c r="F1987"/>
      <c r="G1987"/>
      <c r="I1987"/>
      <c r="J1987"/>
      <c r="K1987"/>
      <c r="L1987" s="499"/>
      <c r="BX1987" s="769"/>
      <c r="BY1987"/>
      <c r="BZ1987"/>
      <c r="CA1987"/>
      <c r="CB1987"/>
      <c r="CC1987"/>
      <c r="CD1987"/>
      <c r="CE1987"/>
      <c r="CF1987"/>
      <c r="CG1987"/>
      <c r="CH1987"/>
      <c r="CI1987"/>
      <c r="CJ1987"/>
      <c r="CK1987"/>
      <c r="CL1987"/>
      <c r="CM1987"/>
    </row>
    <row r="1988" spans="1:91" x14ac:dyDescent="0.2">
      <c r="A1988"/>
      <c r="B1988"/>
      <c r="D1988"/>
      <c r="E1988"/>
      <c r="F1988"/>
      <c r="G1988"/>
      <c r="I1988"/>
      <c r="J1988"/>
      <c r="K1988"/>
      <c r="L1988" s="499"/>
      <c r="BX1988" s="769"/>
      <c r="BY1988"/>
      <c r="BZ1988"/>
      <c r="CA1988"/>
      <c r="CB1988"/>
      <c r="CC1988"/>
      <c r="CD1988"/>
      <c r="CE1988"/>
      <c r="CF1988"/>
      <c r="CG1988"/>
      <c r="CH1988"/>
      <c r="CI1988"/>
      <c r="CJ1988"/>
      <c r="CK1988"/>
      <c r="CL1988"/>
      <c r="CM1988"/>
    </row>
    <row r="1989" spans="1:91" x14ac:dyDescent="0.2">
      <c r="A1989"/>
      <c r="B1989"/>
      <c r="D1989"/>
      <c r="E1989"/>
      <c r="F1989"/>
      <c r="G1989"/>
      <c r="I1989"/>
      <c r="J1989"/>
      <c r="K1989"/>
      <c r="L1989" s="499"/>
      <c r="BX1989" s="769"/>
      <c r="BY1989"/>
      <c r="BZ1989"/>
      <c r="CA1989"/>
      <c r="CB1989"/>
      <c r="CC1989"/>
      <c r="CD1989"/>
      <c r="CE1989"/>
      <c r="CF1989"/>
      <c r="CG1989"/>
      <c r="CH1989"/>
      <c r="CI1989"/>
      <c r="CJ1989"/>
      <c r="CK1989"/>
      <c r="CL1989"/>
      <c r="CM1989"/>
    </row>
    <row r="1990" spans="1:91" x14ac:dyDescent="0.2">
      <c r="A1990"/>
      <c r="B1990"/>
      <c r="D1990"/>
      <c r="E1990"/>
      <c r="F1990"/>
      <c r="G1990"/>
      <c r="I1990"/>
      <c r="J1990"/>
      <c r="K1990"/>
      <c r="L1990" s="499"/>
      <c r="BX1990" s="769"/>
      <c r="BY1990"/>
      <c r="BZ1990"/>
      <c r="CA1990"/>
      <c r="CB1990"/>
      <c r="CC1990"/>
      <c r="CD1990"/>
      <c r="CE1990"/>
      <c r="CF1990"/>
      <c r="CG1990"/>
      <c r="CH1990"/>
      <c r="CI1990"/>
      <c r="CJ1990"/>
      <c r="CK1990"/>
      <c r="CL1990"/>
      <c r="CM1990"/>
    </row>
    <row r="1991" spans="1:91" x14ac:dyDescent="0.2">
      <c r="A1991"/>
      <c r="B1991"/>
      <c r="D1991"/>
      <c r="E1991"/>
      <c r="F1991"/>
      <c r="G1991"/>
      <c r="I1991"/>
      <c r="J1991"/>
      <c r="K1991"/>
      <c r="L1991" s="499"/>
      <c r="BX1991" s="769"/>
      <c r="BY1991"/>
      <c r="BZ1991"/>
      <c r="CA1991"/>
      <c r="CB1991"/>
      <c r="CC1991"/>
      <c r="CD1991"/>
      <c r="CE1991"/>
      <c r="CF1991"/>
      <c r="CG1991"/>
      <c r="CH1991"/>
      <c r="CI1991"/>
      <c r="CJ1991"/>
      <c r="CK1991"/>
      <c r="CL1991"/>
      <c r="CM1991"/>
    </row>
    <row r="1992" spans="1:91" x14ac:dyDescent="0.2">
      <c r="A1992"/>
      <c r="B1992"/>
      <c r="D1992"/>
      <c r="E1992"/>
      <c r="F1992"/>
      <c r="G1992"/>
      <c r="I1992"/>
      <c r="J1992"/>
      <c r="K1992"/>
      <c r="L1992" s="499"/>
      <c r="BX1992" s="769"/>
      <c r="BY1992"/>
      <c r="BZ1992"/>
      <c r="CA1992"/>
      <c r="CB1992"/>
      <c r="CC1992"/>
      <c r="CD1992"/>
      <c r="CE1992"/>
      <c r="CF1992"/>
      <c r="CG1992"/>
      <c r="CH1992"/>
      <c r="CI1992"/>
      <c r="CJ1992"/>
      <c r="CK1992"/>
      <c r="CL1992"/>
      <c r="CM1992"/>
    </row>
    <row r="1993" spans="1:91" x14ac:dyDescent="0.2">
      <c r="A1993"/>
      <c r="B1993"/>
      <c r="D1993"/>
      <c r="E1993"/>
      <c r="F1993"/>
      <c r="G1993"/>
      <c r="I1993"/>
      <c r="J1993"/>
      <c r="K1993"/>
      <c r="L1993" s="499"/>
      <c r="BX1993" s="769"/>
      <c r="BY1993"/>
      <c r="BZ1993"/>
      <c r="CA1993"/>
      <c r="CB1993"/>
      <c r="CC1993"/>
      <c r="CD1993"/>
      <c r="CE1993"/>
      <c r="CF1993"/>
      <c r="CG1993"/>
      <c r="CH1993"/>
      <c r="CI1993"/>
      <c r="CJ1993"/>
      <c r="CK1993"/>
      <c r="CL1993"/>
      <c r="CM1993"/>
    </row>
    <row r="1994" spans="1:91" x14ac:dyDescent="0.2">
      <c r="A1994"/>
      <c r="B1994"/>
      <c r="D1994"/>
      <c r="E1994"/>
      <c r="F1994"/>
      <c r="G1994"/>
      <c r="I1994"/>
      <c r="J1994"/>
      <c r="K1994"/>
      <c r="L1994" s="499"/>
      <c r="BX1994" s="769"/>
      <c r="BY1994"/>
      <c r="BZ1994"/>
      <c r="CA1994"/>
      <c r="CB1994"/>
      <c r="CC1994"/>
      <c r="CD1994"/>
      <c r="CE1994"/>
      <c r="CF1994"/>
      <c r="CG1994"/>
      <c r="CH1994"/>
      <c r="CI1994"/>
      <c r="CJ1994"/>
      <c r="CK1994"/>
      <c r="CL1994"/>
      <c r="CM1994"/>
    </row>
    <row r="1995" spans="1:91" x14ac:dyDescent="0.2">
      <c r="A1995"/>
      <c r="B1995"/>
      <c r="D1995"/>
      <c r="E1995"/>
      <c r="F1995"/>
      <c r="G1995"/>
      <c r="I1995"/>
      <c r="J1995"/>
      <c r="K1995"/>
      <c r="L1995" s="499"/>
      <c r="BX1995" s="769"/>
      <c r="BY1995"/>
      <c r="BZ1995"/>
      <c r="CA1995"/>
      <c r="CB1995"/>
      <c r="CC1995"/>
      <c r="CD1995"/>
      <c r="CE1995"/>
      <c r="CF1995"/>
      <c r="CG1995"/>
      <c r="CH1995"/>
      <c r="CI1995"/>
      <c r="CJ1995"/>
      <c r="CK1995"/>
      <c r="CL1995"/>
      <c r="CM1995"/>
    </row>
    <row r="1996" spans="1:91" x14ac:dyDescent="0.2">
      <c r="A1996"/>
      <c r="B1996"/>
      <c r="D1996"/>
      <c r="E1996"/>
      <c r="F1996"/>
      <c r="G1996"/>
      <c r="I1996"/>
      <c r="J1996"/>
      <c r="K1996"/>
      <c r="L1996" s="499"/>
      <c r="BX1996" s="769"/>
      <c r="BY1996"/>
      <c r="BZ1996"/>
      <c r="CA1996"/>
      <c r="CB1996"/>
      <c r="CC1996"/>
      <c r="CD1996"/>
      <c r="CE1996"/>
      <c r="CF1996"/>
      <c r="CG1996"/>
      <c r="CH1996"/>
      <c r="CI1996"/>
      <c r="CJ1996"/>
      <c r="CK1996"/>
      <c r="CL1996"/>
      <c r="CM1996"/>
    </row>
    <row r="1997" spans="1:91" x14ac:dyDescent="0.2">
      <c r="A1997"/>
      <c r="B1997"/>
      <c r="D1997"/>
      <c r="E1997"/>
      <c r="F1997"/>
      <c r="G1997"/>
      <c r="I1997"/>
      <c r="J1997"/>
      <c r="K1997"/>
      <c r="L1997" s="499"/>
      <c r="BX1997" s="769"/>
      <c r="BY1997"/>
      <c r="BZ1997"/>
      <c r="CA1997"/>
      <c r="CB1997"/>
      <c r="CC1997"/>
      <c r="CD1997"/>
      <c r="CE1997"/>
      <c r="CF1997"/>
      <c r="CG1997"/>
      <c r="CH1997"/>
      <c r="CI1997"/>
      <c r="CJ1997"/>
      <c r="CK1997"/>
      <c r="CL1997"/>
      <c r="CM1997"/>
    </row>
    <row r="1998" spans="1:91" x14ac:dyDescent="0.2">
      <c r="A1998"/>
      <c r="B1998"/>
      <c r="D1998"/>
      <c r="E1998"/>
      <c r="F1998"/>
      <c r="G1998"/>
      <c r="I1998"/>
      <c r="J1998"/>
      <c r="K1998"/>
      <c r="L1998" s="499"/>
      <c r="BX1998" s="769"/>
      <c r="BY1998"/>
      <c r="BZ1998"/>
      <c r="CA1998"/>
      <c r="CB1998"/>
      <c r="CC1998"/>
      <c r="CD1998"/>
      <c r="CE1998"/>
      <c r="CF1998"/>
      <c r="CG1998"/>
      <c r="CH1998"/>
      <c r="CI1998"/>
      <c r="CJ1998"/>
      <c r="CK1998"/>
      <c r="CL1998"/>
      <c r="CM1998"/>
    </row>
    <row r="1999" spans="1:91" x14ac:dyDescent="0.2">
      <c r="A1999"/>
      <c r="B1999"/>
      <c r="D1999"/>
      <c r="E1999"/>
      <c r="F1999"/>
      <c r="G1999"/>
      <c r="I1999"/>
      <c r="J1999"/>
      <c r="K1999"/>
      <c r="L1999" s="499"/>
      <c r="BX1999" s="769"/>
      <c r="BY1999"/>
      <c r="BZ1999"/>
      <c r="CA1999"/>
      <c r="CB1999"/>
      <c r="CC1999"/>
      <c r="CD1999"/>
      <c r="CE1999"/>
      <c r="CF1999"/>
      <c r="CG1999"/>
      <c r="CH1999"/>
      <c r="CI1999"/>
      <c r="CJ1999"/>
      <c r="CK1999"/>
      <c r="CL1999"/>
      <c r="CM1999"/>
    </row>
    <row r="2000" spans="1:91" x14ac:dyDescent="0.2">
      <c r="A2000"/>
      <c r="B2000"/>
      <c r="D2000"/>
      <c r="E2000"/>
      <c r="F2000"/>
      <c r="G2000"/>
      <c r="I2000"/>
      <c r="J2000"/>
      <c r="K2000"/>
      <c r="L2000" s="499"/>
      <c r="BX2000" s="769"/>
      <c r="BY2000"/>
      <c r="BZ2000"/>
      <c r="CA2000"/>
      <c r="CB2000"/>
      <c r="CC2000"/>
      <c r="CD2000"/>
      <c r="CE2000"/>
      <c r="CF2000"/>
      <c r="CG2000"/>
      <c r="CH2000"/>
      <c r="CI2000"/>
      <c r="CJ2000"/>
      <c r="CK2000"/>
      <c r="CL2000"/>
      <c r="CM2000"/>
    </row>
    <row r="2001" spans="1:91" x14ac:dyDescent="0.2">
      <c r="A2001"/>
      <c r="B2001"/>
      <c r="D2001"/>
      <c r="E2001"/>
      <c r="F2001"/>
      <c r="G2001"/>
      <c r="I2001"/>
      <c r="J2001"/>
      <c r="K2001"/>
      <c r="L2001" s="499"/>
      <c r="BX2001" s="769"/>
      <c r="BY2001"/>
      <c r="BZ2001"/>
      <c r="CA2001"/>
      <c r="CB2001"/>
      <c r="CC2001"/>
      <c r="CD2001"/>
      <c r="CE2001"/>
      <c r="CF2001"/>
      <c r="CG2001"/>
      <c r="CH2001"/>
      <c r="CI2001"/>
      <c r="CJ2001"/>
      <c r="CK2001"/>
      <c r="CL2001"/>
      <c r="CM2001"/>
    </row>
    <row r="2002" spans="1:91" x14ac:dyDescent="0.2">
      <c r="A2002"/>
      <c r="B2002"/>
      <c r="D2002"/>
      <c r="E2002"/>
      <c r="F2002"/>
      <c r="G2002"/>
      <c r="I2002"/>
      <c r="J2002"/>
      <c r="K2002"/>
      <c r="L2002" s="499"/>
      <c r="BX2002" s="769"/>
      <c r="BY2002"/>
      <c r="BZ2002"/>
      <c r="CA2002"/>
      <c r="CB2002"/>
      <c r="CC2002"/>
      <c r="CD2002"/>
      <c r="CE2002"/>
      <c r="CF2002"/>
      <c r="CG2002"/>
      <c r="CH2002"/>
      <c r="CI2002"/>
      <c r="CJ2002"/>
      <c r="CK2002"/>
      <c r="CL2002"/>
      <c r="CM2002"/>
    </row>
    <row r="2003" spans="1:91" x14ac:dyDescent="0.2">
      <c r="A2003"/>
      <c r="B2003"/>
      <c r="D2003"/>
      <c r="E2003"/>
      <c r="F2003"/>
      <c r="G2003"/>
      <c r="I2003"/>
      <c r="J2003"/>
      <c r="K2003"/>
      <c r="L2003" s="499"/>
      <c r="BX2003" s="769"/>
      <c r="BY2003"/>
      <c r="BZ2003"/>
      <c r="CA2003"/>
      <c r="CB2003"/>
      <c r="CC2003"/>
      <c r="CD2003"/>
      <c r="CE2003"/>
      <c r="CF2003"/>
      <c r="CG2003"/>
      <c r="CH2003"/>
      <c r="CI2003"/>
      <c r="CJ2003"/>
      <c r="CK2003"/>
      <c r="CL2003"/>
      <c r="CM2003"/>
    </row>
    <row r="2004" spans="1:91" x14ac:dyDescent="0.2">
      <c r="A2004"/>
      <c r="B2004"/>
      <c r="D2004"/>
      <c r="E2004"/>
      <c r="F2004"/>
      <c r="G2004"/>
      <c r="I2004"/>
      <c r="J2004"/>
      <c r="K2004"/>
      <c r="L2004" s="499"/>
      <c r="BX2004" s="769"/>
      <c r="BY2004"/>
      <c r="BZ2004"/>
      <c r="CA2004"/>
      <c r="CB2004"/>
      <c r="CC2004"/>
      <c r="CD2004"/>
      <c r="CE2004"/>
      <c r="CF2004"/>
      <c r="CG2004"/>
      <c r="CH2004"/>
      <c r="CI2004"/>
      <c r="CJ2004"/>
      <c r="CK2004"/>
      <c r="CL2004"/>
      <c r="CM2004"/>
    </row>
    <row r="2005" spans="1:91" x14ac:dyDescent="0.2">
      <c r="A2005"/>
      <c r="B2005"/>
      <c r="D2005"/>
      <c r="E2005"/>
      <c r="F2005"/>
      <c r="G2005"/>
      <c r="I2005"/>
      <c r="J2005"/>
      <c r="K2005"/>
      <c r="L2005" s="499"/>
      <c r="BX2005" s="769"/>
      <c r="BY2005"/>
      <c r="BZ2005"/>
      <c r="CA2005"/>
      <c r="CB2005"/>
      <c r="CC2005"/>
      <c r="CD2005"/>
      <c r="CE2005"/>
      <c r="CF2005"/>
      <c r="CG2005"/>
      <c r="CH2005"/>
      <c r="CI2005"/>
      <c r="CJ2005"/>
      <c r="CK2005"/>
      <c r="CL2005"/>
      <c r="CM2005"/>
    </row>
    <row r="2006" spans="1:91" x14ac:dyDescent="0.2">
      <c r="A2006"/>
      <c r="B2006"/>
      <c r="D2006"/>
      <c r="E2006"/>
      <c r="F2006"/>
      <c r="G2006"/>
      <c r="I2006"/>
      <c r="J2006"/>
      <c r="K2006"/>
      <c r="L2006" s="499"/>
      <c r="BX2006" s="769"/>
      <c r="BY2006"/>
      <c r="BZ2006"/>
      <c r="CA2006"/>
      <c r="CB2006"/>
      <c r="CC2006"/>
      <c r="CD2006"/>
      <c r="CE2006"/>
      <c r="CF2006"/>
      <c r="CG2006"/>
      <c r="CH2006"/>
      <c r="CI2006"/>
      <c r="CJ2006"/>
      <c r="CK2006"/>
      <c r="CL2006"/>
      <c r="CM2006"/>
    </row>
    <row r="2007" spans="1:91" x14ac:dyDescent="0.2">
      <c r="A2007"/>
      <c r="B2007"/>
      <c r="D2007"/>
      <c r="E2007"/>
      <c r="F2007"/>
      <c r="G2007"/>
      <c r="I2007"/>
      <c r="J2007"/>
      <c r="K2007"/>
      <c r="L2007" s="499"/>
      <c r="BX2007" s="769"/>
      <c r="BY2007"/>
      <c r="BZ2007"/>
      <c r="CA2007"/>
      <c r="CB2007"/>
      <c r="CC2007"/>
      <c r="CD2007"/>
      <c r="CE2007"/>
      <c r="CF2007"/>
      <c r="CG2007"/>
      <c r="CH2007"/>
      <c r="CI2007"/>
      <c r="CJ2007"/>
      <c r="CK2007"/>
      <c r="CL2007"/>
      <c r="CM2007"/>
    </row>
    <row r="2008" spans="1:91" x14ac:dyDescent="0.2">
      <c r="A2008"/>
      <c r="B2008"/>
      <c r="D2008"/>
      <c r="E2008"/>
      <c r="F2008"/>
      <c r="G2008"/>
      <c r="I2008"/>
      <c r="J2008"/>
      <c r="K2008"/>
      <c r="L2008" s="499"/>
      <c r="BX2008" s="769"/>
      <c r="BY2008"/>
      <c r="BZ2008"/>
      <c r="CA2008"/>
      <c r="CB2008"/>
      <c r="CC2008"/>
      <c r="CD2008"/>
      <c r="CE2008"/>
      <c r="CF2008"/>
      <c r="CG2008"/>
      <c r="CH2008"/>
      <c r="CI2008"/>
      <c r="CJ2008"/>
      <c r="CK2008"/>
      <c r="CL2008"/>
      <c r="CM2008"/>
    </row>
    <row r="2009" spans="1:91" x14ac:dyDescent="0.2">
      <c r="A2009"/>
      <c r="B2009"/>
      <c r="D2009"/>
      <c r="E2009"/>
      <c r="F2009"/>
      <c r="G2009"/>
      <c r="I2009"/>
      <c r="J2009"/>
      <c r="K2009"/>
      <c r="L2009" s="499"/>
      <c r="BX2009" s="769"/>
      <c r="BY2009"/>
      <c r="BZ2009"/>
      <c r="CA2009"/>
      <c r="CB2009"/>
      <c r="CC2009"/>
      <c r="CD2009"/>
      <c r="CE2009"/>
      <c r="CF2009"/>
      <c r="CG2009"/>
      <c r="CH2009"/>
      <c r="CI2009"/>
      <c r="CJ2009"/>
      <c r="CK2009"/>
      <c r="CL2009"/>
      <c r="CM2009"/>
    </row>
    <row r="2010" spans="1:91" x14ac:dyDescent="0.2">
      <c r="A2010"/>
      <c r="B2010"/>
      <c r="D2010"/>
      <c r="E2010"/>
      <c r="F2010"/>
      <c r="G2010"/>
      <c r="I2010"/>
      <c r="J2010"/>
      <c r="K2010"/>
      <c r="L2010" s="499"/>
      <c r="BX2010" s="769"/>
      <c r="BY2010"/>
      <c r="BZ2010"/>
      <c r="CA2010"/>
      <c r="CB2010"/>
      <c r="CC2010"/>
      <c r="CD2010"/>
      <c r="CE2010"/>
      <c r="CF2010"/>
      <c r="CG2010"/>
      <c r="CH2010"/>
      <c r="CI2010"/>
      <c r="CJ2010"/>
      <c r="CK2010"/>
      <c r="CL2010"/>
      <c r="CM2010"/>
    </row>
    <row r="2011" spans="1:91" x14ac:dyDescent="0.2">
      <c r="A2011"/>
      <c r="B2011"/>
      <c r="D2011"/>
      <c r="E2011"/>
      <c r="F2011"/>
      <c r="G2011"/>
      <c r="I2011"/>
      <c r="J2011"/>
      <c r="K2011"/>
      <c r="L2011" s="499"/>
      <c r="BX2011" s="769"/>
      <c r="BY2011"/>
      <c r="BZ2011"/>
      <c r="CA2011"/>
      <c r="CB2011"/>
      <c r="CC2011"/>
      <c r="CD2011"/>
      <c r="CE2011"/>
      <c r="CF2011"/>
      <c r="CG2011"/>
      <c r="CH2011"/>
      <c r="CI2011"/>
      <c r="CJ2011"/>
      <c r="CK2011"/>
      <c r="CL2011"/>
      <c r="CM2011"/>
    </row>
    <row r="2012" spans="1:91" x14ac:dyDescent="0.2">
      <c r="A2012"/>
      <c r="B2012"/>
      <c r="D2012"/>
      <c r="E2012"/>
      <c r="F2012"/>
      <c r="G2012"/>
      <c r="I2012"/>
      <c r="J2012"/>
      <c r="K2012"/>
      <c r="L2012" s="499"/>
      <c r="BX2012" s="769"/>
      <c r="BY2012"/>
      <c r="BZ2012"/>
      <c r="CA2012"/>
      <c r="CB2012"/>
      <c r="CC2012"/>
      <c r="CD2012"/>
      <c r="CE2012"/>
      <c r="CF2012"/>
      <c r="CG2012"/>
      <c r="CH2012"/>
      <c r="CI2012"/>
      <c r="CJ2012"/>
      <c r="CK2012"/>
      <c r="CL2012"/>
      <c r="CM2012"/>
    </row>
    <row r="2013" spans="1:91" x14ac:dyDescent="0.2">
      <c r="A2013"/>
      <c r="B2013"/>
      <c r="D2013"/>
      <c r="E2013"/>
      <c r="F2013"/>
      <c r="G2013"/>
      <c r="I2013"/>
      <c r="J2013"/>
      <c r="K2013"/>
      <c r="L2013" s="499"/>
      <c r="BX2013" s="769"/>
      <c r="BY2013"/>
      <c r="BZ2013"/>
      <c r="CA2013"/>
      <c r="CB2013"/>
      <c r="CC2013"/>
      <c r="CD2013"/>
      <c r="CE2013"/>
      <c r="CF2013"/>
      <c r="CG2013"/>
      <c r="CH2013"/>
      <c r="CI2013"/>
      <c r="CJ2013"/>
      <c r="CK2013"/>
      <c r="CL2013"/>
      <c r="CM2013"/>
    </row>
    <row r="2014" spans="1:91" x14ac:dyDescent="0.2">
      <c r="A2014"/>
      <c r="B2014"/>
      <c r="D2014"/>
      <c r="E2014"/>
      <c r="F2014"/>
      <c r="G2014"/>
      <c r="I2014"/>
      <c r="J2014"/>
      <c r="K2014"/>
      <c r="L2014" s="499"/>
      <c r="BX2014" s="769"/>
      <c r="BY2014"/>
      <c r="BZ2014"/>
      <c r="CA2014"/>
      <c r="CB2014"/>
      <c r="CC2014"/>
      <c r="CD2014"/>
      <c r="CE2014"/>
      <c r="CF2014"/>
      <c r="CG2014"/>
      <c r="CH2014"/>
      <c r="CI2014"/>
      <c r="CJ2014"/>
      <c r="CK2014"/>
      <c r="CL2014"/>
      <c r="CM2014"/>
    </row>
    <row r="2015" spans="1:91" x14ac:dyDescent="0.2">
      <c r="A2015"/>
      <c r="B2015"/>
      <c r="D2015"/>
      <c r="E2015"/>
      <c r="F2015"/>
      <c r="G2015"/>
      <c r="I2015"/>
      <c r="J2015"/>
      <c r="K2015"/>
      <c r="L2015" s="499"/>
      <c r="BX2015" s="769"/>
      <c r="BY2015"/>
      <c r="BZ2015"/>
      <c r="CA2015"/>
      <c r="CB2015"/>
      <c r="CC2015"/>
      <c r="CD2015"/>
      <c r="CE2015"/>
      <c r="CF2015"/>
      <c r="CG2015"/>
      <c r="CH2015"/>
      <c r="CI2015"/>
      <c r="CJ2015"/>
      <c r="CK2015"/>
      <c r="CL2015"/>
      <c r="CM2015"/>
    </row>
    <row r="2016" spans="1:91" x14ac:dyDescent="0.2">
      <c r="A2016"/>
      <c r="B2016"/>
      <c r="D2016"/>
      <c r="E2016"/>
      <c r="F2016"/>
      <c r="G2016"/>
      <c r="I2016"/>
      <c r="J2016"/>
      <c r="K2016"/>
      <c r="L2016" s="499"/>
      <c r="BX2016" s="769"/>
      <c r="BY2016"/>
      <c r="BZ2016"/>
      <c r="CA2016"/>
      <c r="CB2016"/>
      <c r="CC2016"/>
      <c r="CD2016"/>
      <c r="CE2016"/>
      <c r="CF2016"/>
      <c r="CG2016"/>
      <c r="CH2016"/>
      <c r="CI2016"/>
      <c r="CJ2016"/>
      <c r="CK2016"/>
      <c r="CL2016"/>
      <c r="CM2016"/>
    </row>
    <row r="2017" spans="1:91" x14ac:dyDescent="0.2">
      <c r="A2017"/>
      <c r="B2017"/>
      <c r="D2017"/>
      <c r="E2017"/>
      <c r="F2017"/>
      <c r="G2017"/>
      <c r="I2017"/>
      <c r="J2017"/>
      <c r="K2017"/>
      <c r="L2017" s="499"/>
      <c r="BX2017" s="769"/>
      <c r="BY2017"/>
      <c r="BZ2017"/>
      <c r="CA2017"/>
      <c r="CB2017"/>
      <c r="CC2017"/>
      <c r="CD2017"/>
      <c r="CE2017"/>
      <c r="CF2017"/>
      <c r="CG2017"/>
      <c r="CH2017"/>
      <c r="CI2017"/>
      <c r="CJ2017"/>
      <c r="CK2017"/>
      <c r="CL2017"/>
      <c r="CM2017"/>
    </row>
    <row r="2018" spans="1:91" x14ac:dyDescent="0.2">
      <c r="A2018"/>
      <c r="B2018"/>
      <c r="D2018"/>
      <c r="E2018"/>
      <c r="F2018"/>
      <c r="G2018"/>
      <c r="I2018"/>
      <c r="J2018"/>
      <c r="K2018"/>
      <c r="L2018" s="499"/>
      <c r="BX2018" s="769"/>
      <c r="BY2018"/>
      <c r="BZ2018"/>
      <c r="CA2018"/>
      <c r="CB2018"/>
      <c r="CC2018"/>
      <c r="CD2018"/>
      <c r="CE2018"/>
      <c r="CF2018"/>
      <c r="CG2018"/>
      <c r="CH2018"/>
      <c r="CI2018"/>
      <c r="CJ2018"/>
      <c r="CK2018"/>
      <c r="CL2018"/>
      <c r="CM2018"/>
    </row>
    <row r="2019" spans="1:91" x14ac:dyDescent="0.2">
      <c r="A2019"/>
      <c r="B2019"/>
      <c r="D2019"/>
      <c r="E2019"/>
      <c r="F2019"/>
      <c r="G2019"/>
      <c r="I2019"/>
      <c r="J2019"/>
      <c r="K2019"/>
      <c r="L2019" s="499"/>
      <c r="BX2019" s="769"/>
      <c r="BY2019"/>
      <c r="BZ2019"/>
      <c r="CA2019"/>
      <c r="CB2019"/>
      <c r="CC2019"/>
      <c r="CD2019"/>
      <c r="CE2019"/>
      <c r="CF2019"/>
      <c r="CG2019"/>
      <c r="CH2019"/>
      <c r="CI2019"/>
      <c r="CJ2019"/>
      <c r="CK2019"/>
      <c r="CL2019"/>
      <c r="CM2019"/>
    </row>
    <row r="2020" spans="1:91" x14ac:dyDescent="0.2">
      <c r="A2020"/>
      <c r="B2020"/>
      <c r="D2020"/>
      <c r="E2020"/>
      <c r="F2020"/>
      <c r="G2020"/>
      <c r="I2020"/>
      <c r="J2020"/>
      <c r="K2020"/>
      <c r="L2020" s="499"/>
      <c r="BX2020" s="769"/>
      <c r="BY2020"/>
      <c r="BZ2020"/>
      <c r="CA2020"/>
      <c r="CB2020"/>
      <c r="CC2020"/>
      <c r="CD2020"/>
      <c r="CE2020"/>
      <c r="CF2020"/>
      <c r="CG2020"/>
      <c r="CH2020"/>
      <c r="CI2020"/>
      <c r="CJ2020"/>
      <c r="CK2020"/>
      <c r="CL2020"/>
      <c r="CM2020"/>
    </row>
    <row r="2021" spans="1:91" x14ac:dyDescent="0.2">
      <c r="A2021"/>
      <c r="B2021"/>
      <c r="D2021"/>
      <c r="E2021"/>
      <c r="F2021"/>
      <c r="G2021"/>
      <c r="I2021"/>
      <c r="J2021"/>
      <c r="K2021"/>
      <c r="L2021" s="499"/>
      <c r="BX2021" s="769"/>
      <c r="BY2021"/>
      <c r="BZ2021"/>
      <c r="CA2021"/>
      <c r="CB2021"/>
      <c r="CC2021"/>
      <c r="CD2021"/>
      <c r="CE2021"/>
      <c r="CF2021"/>
      <c r="CG2021"/>
      <c r="CH2021"/>
      <c r="CI2021"/>
      <c r="CJ2021"/>
      <c r="CK2021"/>
      <c r="CL2021"/>
      <c r="CM2021"/>
    </row>
    <row r="2022" spans="1:91" x14ac:dyDescent="0.2">
      <c r="A2022"/>
      <c r="B2022"/>
      <c r="D2022"/>
      <c r="E2022"/>
      <c r="F2022"/>
      <c r="G2022"/>
      <c r="I2022"/>
      <c r="J2022"/>
      <c r="K2022"/>
      <c r="L2022" s="499"/>
      <c r="BX2022" s="769"/>
      <c r="BY2022"/>
      <c r="BZ2022"/>
      <c r="CA2022"/>
      <c r="CB2022"/>
      <c r="CC2022"/>
      <c r="CD2022"/>
      <c r="CE2022"/>
      <c r="CF2022"/>
      <c r="CG2022"/>
      <c r="CH2022"/>
      <c r="CI2022"/>
      <c r="CJ2022"/>
      <c r="CK2022"/>
      <c r="CL2022"/>
      <c r="CM2022"/>
    </row>
    <row r="2023" spans="1:91" x14ac:dyDescent="0.2">
      <c r="A2023"/>
      <c r="B2023"/>
      <c r="D2023"/>
      <c r="E2023"/>
      <c r="F2023"/>
      <c r="G2023"/>
      <c r="I2023"/>
      <c r="J2023"/>
      <c r="K2023"/>
      <c r="L2023" s="499"/>
      <c r="BX2023" s="769"/>
      <c r="BY2023"/>
      <c r="BZ2023"/>
      <c r="CA2023"/>
      <c r="CB2023"/>
      <c r="CC2023"/>
      <c r="CD2023"/>
      <c r="CE2023"/>
      <c r="CF2023"/>
      <c r="CG2023"/>
      <c r="CH2023"/>
      <c r="CI2023"/>
      <c r="CJ2023"/>
      <c r="CK2023"/>
      <c r="CL2023"/>
      <c r="CM2023"/>
    </row>
    <row r="2024" spans="1:91" x14ac:dyDescent="0.2">
      <c r="A2024"/>
      <c r="B2024"/>
      <c r="D2024"/>
      <c r="E2024"/>
      <c r="F2024"/>
      <c r="G2024"/>
      <c r="I2024"/>
      <c r="J2024"/>
      <c r="K2024"/>
      <c r="L2024" s="499"/>
      <c r="BX2024" s="769"/>
      <c r="BY2024"/>
      <c r="BZ2024"/>
      <c r="CA2024"/>
      <c r="CB2024"/>
      <c r="CC2024"/>
      <c r="CD2024"/>
      <c r="CE2024"/>
      <c r="CF2024"/>
      <c r="CG2024"/>
      <c r="CH2024"/>
      <c r="CI2024"/>
      <c r="CJ2024"/>
      <c r="CK2024"/>
      <c r="CL2024"/>
      <c r="CM2024"/>
    </row>
    <row r="2025" spans="1:91" x14ac:dyDescent="0.2">
      <c r="A2025"/>
      <c r="B2025"/>
      <c r="D2025"/>
      <c r="E2025"/>
      <c r="F2025"/>
      <c r="G2025"/>
      <c r="I2025"/>
      <c r="J2025"/>
      <c r="K2025"/>
      <c r="L2025" s="499"/>
      <c r="BX2025" s="769"/>
      <c r="BY2025"/>
      <c r="BZ2025"/>
      <c r="CA2025"/>
      <c r="CB2025"/>
      <c r="CC2025"/>
      <c r="CD2025"/>
      <c r="CE2025"/>
      <c r="CF2025"/>
      <c r="CG2025"/>
      <c r="CH2025"/>
      <c r="CI2025"/>
      <c r="CJ2025"/>
      <c r="CK2025"/>
      <c r="CL2025"/>
      <c r="CM2025"/>
    </row>
    <row r="2026" spans="1:91" x14ac:dyDescent="0.2">
      <c r="A2026"/>
      <c r="B2026"/>
      <c r="D2026"/>
      <c r="E2026"/>
      <c r="F2026"/>
      <c r="G2026"/>
      <c r="I2026"/>
      <c r="J2026"/>
      <c r="K2026"/>
      <c r="L2026" s="499"/>
      <c r="BX2026" s="769"/>
      <c r="BY2026"/>
      <c r="BZ2026"/>
      <c r="CA2026"/>
      <c r="CB2026"/>
      <c r="CC2026"/>
      <c r="CD2026"/>
      <c r="CE2026"/>
      <c r="CF2026"/>
      <c r="CG2026"/>
      <c r="CH2026"/>
      <c r="CI2026"/>
      <c r="CJ2026"/>
      <c r="CK2026"/>
      <c r="CL2026"/>
      <c r="CM2026"/>
    </row>
    <row r="2027" spans="1:91" x14ac:dyDescent="0.2">
      <c r="A2027"/>
      <c r="B2027"/>
      <c r="D2027"/>
      <c r="E2027"/>
      <c r="F2027"/>
      <c r="G2027"/>
      <c r="I2027"/>
      <c r="J2027"/>
      <c r="K2027"/>
      <c r="L2027" s="499"/>
      <c r="BX2027" s="769"/>
      <c r="BY2027"/>
      <c r="BZ2027"/>
      <c r="CA2027"/>
      <c r="CB2027"/>
      <c r="CC2027"/>
      <c r="CD2027"/>
      <c r="CE2027"/>
      <c r="CF2027"/>
      <c r="CG2027"/>
      <c r="CH2027"/>
      <c r="CI2027"/>
      <c r="CJ2027"/>
      <c r="CK2027"/>
      <c r="CL2027"/>
      <c r="CM2027"/>
    </row>
    <row r="2028" spans="1:91" x14ac:dyDescent="0.2">
      <c r="A2028"/>
      <c r="B2028"/>
      <c r="D2028"/>
      <c r="E2028"/>
      <c r="F2028"/>
      <c r="G2028"/>
      <c r="I2028"/>
      <c r="J2028"/>
      <c r="K2028"/>
      <c r="L2028" s="499"/>
      <c r="BX2028" s="769"/>
      <c r="BY2028"/>
      <c r="BZ2028"/>
      <c r="CA2028"/>
      <c r="CB2028"/>
      <c r="CC2028"/>
      <c r="CD2028"/>
      <c r="CE2028"/>
      <c r="CF2028"/>
      <c r="CG2028"/>
      <c r="CH2028"/>
      <c r="CI2028"/>
      <c r="CJ2028"/>
      <c r="CK2028"/>
      <c r="CL2028"/>
      <c r="CM2028"/>
    </row>
    <row r="2029" spans="1:91" x14ac:dyDescent="0.2">
      <c r="A2029"/>
      <c r="B2029"/>
      <c r="D2029"/>
      <c r="E2029"/>
      <c r="F2029"/>
      <c r="G2029"/>
      <c r="I2029"/>
      <c r="J2029"/>
      <c r="K2029"/>
      <c r="L2029" s="499"/>
      <c r="BX2029" s="769"/>
      <c r="BY2029"/>
      <c r="BZ2029"/>
      <c r="CA2029"/>
      <c r="CB2029"/>
      <c r="CC2029"/>
      <c r="CD2029"/>
      <c r="CE2029"/>
      <c r="CF2029"/>
      <c r="CG2029"/>
      <c r="CH2029"/>
      <c r="CI2029"/>
      <c r="CJ2029"/>
      <c r="CK2029"/>
      <c r="CL2029"/>
      <c r="CM2029"/>
    </row>
    <row r="2030" spans="1:91" x14ac:dyDescent="0.2">
      <c r="A2030"/>
      <c r="B2030"/>
      <c r="D2030"/>
      <c r="E2030"/>
      <c r="F2030"/>
      <c r="G2030"/>
      <c r="I2030"/>
      <c r="J2030"/>
      <c r="K2030"/>
      <c r="L2030" s="499"/>
      <c r="BX2030" s="769"/>
      <c r="BY2030"/>
      <c r="BZ2030"/>
      <c r="CA2030"/>
      <c r="CB2030"/>
      <c r="CC2030"/>
      <c r="CD2030"/>
      <c r="CE2030"/>
      <c r="CF2030"/>
      <c r="CG2030"/>
      <c r="CH2030"/>
      <c r="CI2030"/>
      <c r="CJ2030"/>
      <c r="CK2030"/>
      <c r="CL2030"/>
      <c r="CM2030"/>
    </row>
    <row r="2031" spans="1:91" x14ac:dyDescent="0.2">
      <c r="A2031"/>
      <c r="B2031"/>
      <c r="D2031"/>
      <c r="E2031"/>
      <c r="F2031"/>
      <c r="G2031"/>
      <c r="I2031"/>
      <c r="J2031"/>
      <c r="K2031"/>
      <c r="L2031" s="499"/>
      <c r="BX2031" s="769"/>
      <c r="BY2031"/>
      <c r="BZ2031"/>
      <c r="CA2031"/>
      <c r="CB2031"/>
      <c r="CC2031"/>
      <c r="CD2031"/>
      <c r="CE2031"/>
      <c r="CF2031"/>
      <c r="CG2031"/>
      <c r="CH2031"/>
      <c r="CI2031"/>
      <c r="CJ2031"/>
      <c r="CK2031"/>
      <c r="CL2031"/>
      <c r="CM2031"/>
    </row>
    <row r="2032" spans="1:91" x14ac:dyDescent="0.2">
      <c r="A2032"/>
      <c r="B2032"/>
      <c r="D2032"/>
      <c r="E2032"/>
      <c r="F2032"/>
      <c r="G2032"/>
      <c r="I2032"/>
      <c r="J2032"/>
      <c r="K2032"/>
      <c r="L2032" s="499"/>
      <c r="BX2032" s="769"/>
      <c r="BY2032"/>
      <c r="BZ2032"/>
      <c r="CA2032"/>
      <c r="CB2032"/>
      <c r="CC2032"/>
      <c r="CD2032"/>
      <c r="CE2032"/>
      <c r="CF2032"/>
      <c r="CG2032"/>
      <c r="CH2032"/>
      <c r="CI2032"/>
      <c r="CJ2032"/>
      <c r="CK2032"/>
      <c r="CL2032"/>
      <c r="CM2032"/>
    </row>
    <row r="2033" spans="1:91" x14ac:dyDescent="0.2">
      <c r="A2033"/>
      <c r="B2033"/>
      <c r="D2033"/>
      <c r="E2033"/>
      <c r="F2033"/>
      <c r="G2033"/>
      <c r="I2033"/>
      <c r="J2033"/>
      <c r="K2033"/>
      <c r="L2033" s="499"/>
      <c r="BX2033" s="769"/>
      <c r="BY2033"/>
      <c r="BZ2033"/>
      <c r="CA2033"/>
      <c r="CB2033"/>
      <c r="CC2033"/>
      <c r="CD2033"/>
      <c r="CE2033"/>
      <c r="CF2033"/>
      <c r="CG2033"/>
      <c r="CH2033"/>
      <c r="CI2033"/>
      <c r="CJ2033"/>
      <c r="CK2033"/>
      <c r="CL2033"/>
      <c r="CM2033"/>
    </row>
    <row r="2034" spans="1:91" x14ac:dyDescent="0.2">
      <c r="A2034"/>
      <c r="B2034"/>
      <c r="D2034"/>
      <c r="E2034"/>
      <c r="F2034"/>
      <c r="G2034"/>
      <c r="I2034"/>
      <c r="J2034"/>
      <c r="K2034"/>
      <c r="L2034" s="499"/>
      <c r="BX2034" s="769"/>
      <c r="BY2034"/>
      <c r="BZ2034"/>
      <c r="CA2034"/>
      <c r="CB2034"/>
      <c r="CC2034"/>
      <c r="CD2034"/>
      <c r="CE2034"/>
      <c r="CF2034"/>
      <c r="CG2034"/>
      <c r="CH2034"/>
      <c r="CI2034"/>
      <c r="CJ2034"/>
      <c r="CK2034"/>
      <c r="CL2034"/>
      <c r="CM2034"/>
    </row>
    <row r="2035" spans="1:91" x14ac:dyDescent="0.2">
      <c r="A2035"/>
      <c r="B2035"/>
      <c r="D2035"/>
      <c r="E2035"/>
      <c r="F2035"/>
      <c r="G2035"/>
      <c r="I2035"/>
      <c r="J2035"/>
      <c r="K2035"/>
      <c r="L2035" s="499"/>
      <c r="BX2035" s="769"/>
      <c r="BY2035"/>
      <c r="BZ2035"/>
      <c r="CA2035"/>
      <c r="CB2035"/>
      <c r="CC2035"/>
      <c r="CD2035"/>
      <c r="CE2035"/>
      <c r="CF2035"/>
      <c r="CG2035"/>
      <c r="CH2035"/>
      <c r="CI2035"/>
      <c r="CJ2035"/>
      <c r="CK2035"/>
      <c r="CL2035"/>
      <c r="CM2035"/>
    </row>
    <row r="2036" spans="1:91" x14ac:dyDescent="0.2">
      <c r="A2036"/>
      <c r="B2036"/>
      <c r="D2036"/>
      <c r="E2036"/>
      <c r="F2036"/>
      <c r="G2036"/>
      <c r="I2036"/>
      <c r="J2036"/>
      <c r="K2036"/>
      <c r="L2036" s="499"/>
      <c r="BX2036" s="769"/>
      <c r="BY2036"/>
      <c r="BZ2036"/>
      <c r="CA2036"/>
      <c r="CB2036"/>
      <c r="CC2036"/>
      <c r="CD2036"/>
      <c r="CE2036"/>
      <c r="CF2036"/>
      <c r="CG2036"/>
      <c r="CH2036"/>
      <c r="CI2036"/>
      <c r="CJ2036"/>
      <c r="CK2036"/>
      <c r="CL2036"/>
      <c r="CM2036"/>
    </row>
    <row r="2037" spans="1:91" x14ac:dyDescent="0.2">
      <c r="A2037"/>
      <c r="B2037"/>
      <c r="D2037"/>
      <c r="E2037"/>
      <c r="F2037"/>
      <c r="G2037"/>
      <c r="I2037"/>
      <c r="J2037"/>
      <c r="K2037"/>
      <c r="L2037" s="499"/>
      <c r="BX2037" s="769"/>
      <c r="BY2037"/>
      <c r="BZ2037"/>
      <c r="CA2037"/>
      <c r="CB2037"/>
      <c r="CC2037"/>
      <c r="CD2037"/>
      <c r="CE2037"/>
      <c r="CF2037"/>
      <c r="CG2037"/>
      <c r="CH2037"/>
      <c r="CI2037"/>
      <c r="CJ2037"/>
      <c r="CK2037"/>
      <c r="CL2037"/>
      <c r="CM2037"/>
    </row>
    <row r="2038" spans="1:91" x14ac:dyDescent="0.2">
      <c r="A2038"/>
      <c r="B2038"/>
      <c r="D2038"/>
      <c r="E2038"/>
      <c r="F2038"/>
      <c r="G2038"/>
      <c r="I2038"/>
      <c r="J2038"/>
      <c r="K2038"/>
      <c r="L2038" s="499"/>
      <c r="BX2038" s="769"/>
      <c r="BY2038"/>
      <c r="BZ2038"/>
      <c r="CA2038"/>
      <c r="CB2038"/>
      <c r="CC2038"/>
      <c r="CD2038"/>
      <c r="CE2038"/>
      <c r="CF2038"/>
      <c r="CG2038"/>
      <c r="CH2038"/>
      <c r="CI2038"/>
      <c r="CJ2038"/>
      <c r="CK2038"/>
      <c r="CL2038"/>
      <c r="CM2038"/>
    </row>
    <row r="2039" spans="1:91" x14ac:dyDescent="0.2">
      <c r="A2039"/>
      <c r="B2039"/>
      <c r="D2039"/>
      <c r="E2039"/>
      <c r="F2039"/>
      <c r="G2039"/>
      <c r="I2039"/>
      <c r="J2039"/>
      <c r="K2039"/>
      <c r="L2039" s="499"/>
      <c r="BX2039" s="769"/>
      <c r="BY2039"/>
      <c r="BZ2039"/>
      <c r="CA2039"/>
      <c r="CB2039"/>
      <c r="CC2039"/>
      <c r="CD2039"/>
      <c r="CE2039"/>
      <c r="CF2039"/>
      <c r="CG2039"/>
      <c r="CH2039"/>
      <c r="CI2039"/>
      <c r="CJ2039"/>
      <c r="CK2039"/>
      <c r="CL2039"/>
      <c r="CM2039"/>
    </row>
    <row r="2040" spans="1:91" x14ac:dyDescent="0.2">
      <c r="A2040"/>
      <c r="B2040"/>
      <c r="D2040"/>
      <c r="E2040"/>
      <c r="F2040"/>
      <c r="G2040"/>
      <c r="I2040"/>
      <c r="J2040"/>
      <c r="K2040"/>
      <c r="L2040" s="499"/>
      <c r="BX2040" s="769"/>
      <c r="BY2040"/>
      <c r="BZ2040"/>
      <c r="CA2040"/>
      <c r="CB2040"/>
      <c r="CC2040"/>
      <c r="CD2040"/>
      <c r="CE2040"/>
      <c r="CF2040"/>
      <c r="CG2040"/>
      <c r="CH2040"/>
      <c r="CI2040"/>
      <c r="CJ2040"/>
      <c r="CK2040"/>
      <c r="CL2040"/>
      <c r="CM2040"/>
    </row>
    <row r="2041" spans="1:91" x14ac:dyDescent="0.2">
      <c r="A2041"/>
      <c r="B2041"/>
      <c r="D2041"/>
      <c r="E2041"/>
      <c r="F2041"/>
      <c r="G2041"/>
      <c r="I2041"/>
      <c r="J2041"/>
      <c r="K2041"/>
      <c r="L2041" s="499"/>
      <c r="BX2041" s="769"/>
      <c r="BY2041"/>
      <c r="BZ2041"/>
      <c r="CA2041"/>
      <c r="CB2041"/>
      <c r="CC2041"/>
      <c r="CD2041"/>
      <c r="CE2041"/>
      <c r="CF2041"/>
      <c r="CG2041"/>
      <c r="CH2041"/>
      <c r="CI2041"/>
      <c r="CJ2041"/>
      <c r="CK2041"/>
      <c r="CL2041"/>
      <c r="CM2041"/>
    </row>
    <row r="2042" spans="1:91" x14ac:dyDescent="0.2">
      <c r="A2042"/>
      <c r="B2042"/>
      <c r="D2042"/>
      <c r="E2042"/>
      <c r="F2042"/>
      <c r="G2042"/>
      <c r="I2042"/>
      <c r="J2042"/>
      <c r="K2042"/>
      <c r="L2042" s="499"/>
      <c r="BX2042" s="769"/>
      <c r="BY2042"/>
      <c r="BZ2042"/>
      <c r="CA2042"/>
      <c r="CB2042"/>
      <c r="CC2042"/>
      <c r="CD2042"/>
      <c r="CE2042"/>
      <c r="CF2042"/>
      <c r="CG2042"/>
      <c r="CH2042"/>
      <c r="CI2042"/>
      <c r="CJ2042"/>
      <c r="CK2042"/>
      <c r="CL2042"/>
      <c r="CM2042"/>
    </row>
    <row r="2043" spans="1:91" x14ac:dyDescent="0.2">
      <c r="A2043"/>
      <c r="B2043"/>
      <c r="D2043"/>
      <c r="E2043"/>
      <c r="F2043"/>
      <c r="G2043"/>
      <c r="I2043"/>
      <c r="J2043"/>
      <c r="K2043"/>
      <c r="L2043" s="499"/>
      <c r="BX2043" s="769"/>
      <c r="BY2043"/>
      <c r="BZ2043"/>
      <c r="CA2043"/>
      <c r="CB2043"/>
      <c r="CC2043"/>
      <c r="CD2043"/>
      <c r="CE2043"/>
      <c r="CF2043"/>
      <c r="CG2043"/>
      <c r="CH2043"/>
      <c r="CI2043"/>
      <c r="CJ2043"/>
      <c r="CK2043"/>
      <c r="CL2043"/>
      <c r="CM2043"/>
    </row>
    <row r="2044" spans="1:91" x14ac:dyDescent="0.2">
      <c r="A2044"/>
      <c r="B2044"/>
      <c r="D2044"/>
      <c r="E2044"/>
      <c r="F2044"/>
      <c r="G2044"/>
      <c r="I2044"/>
      <c r="J2044"/>
      <c r="K2044"/>
      <c r="L2044" s="499"/>
      <c r="BX2044" s="769"/>
      <c r="BY2044"/>
      <c r="BZ2044"/>
      <c r="CA2044"/>
      <c r="CB2044"/>
      <c r="CC2044"/>
      <c r="CD2044"/>
      <c r="CE2044"/>
      <c r="CF2044"/>
      <c r="CG2044"/>
      <c r="CH2044"/>
      <c r="CI2044"/>
      <c r="CJ2044"/>
      <c r="CK2044"/>
      <c r="CL2044"/>
      <c r="CM2044"/>
    </row>
    <row r="2045" spans="1:91" x14ac:dyDescent="0.2">
      <c r="A2045"/>
      <c r="B2045"/>
      <c r="D2045"/>
      <c r="E2045"/>
      <c r="F2045"/>
      <c r="G2045"/>
      <c r="I2045"/>
      <c r="J2045"/>
      <c r="K2045"/>
      <c r="L2045" s="499"/>
      <c r="BX2045" s="769"/>
      <c r="BY2045"/>
      <c r="BZ2045"/>
      <c r="CA2045"/>
      <c r="CB2045"/>
      <c r="CC2045"/>
      <c r="CD2045"/>
      <c r="CE2045"/>
      <c r="CF2045"/>
      <c r="CG2045"/>
      <c r="CH2045"/>
      <c r="CI2045"/>
      <c r="CJ2045"/>
      <c r="CK2045"/>
      <c r="CL2045"/>
      <c r="CM2045"/>
    </row>
    <row r="2046" spans="1:91" x14ac:dyDescent="0.2">
      <c r="A2046"/>
      <c r="B2046"/>
      <c r="D2046"/>
      <c r="E2046"/>
      <c r="F2046"/>
      <c r="G2046"/>
      <c r="I2046"/>
      <c r="J2046"/>
      <c r="K2046"/>
      <c r="L2046" s="499"/>
      <c r="BX2046" s="769"/>
      <c r="BY2046"/>
      <c r="BZ2046"/>
      <c r="CA2046"/>
      <c r="CB2046"/>
      <c r="CC2046"/>
      <c r="CD2046"/>
      <c r="CE2046"/>
      <c r="CF2046"/>
      <c r="CG2046"/>
      <c r="CH2046"/>
      <c r="CI2046"/>
      <c r="CJ2046"/>
      <c r="CK2046"/>
      <c r="CL2046"/>
      <c r="CM2046"/>
    </row>
    <row r="2047" spans="1:91" x14ac:dyDescent="0.2">
      <c r="A2047"/>
      <c r="B2047"/>
      <c r="D2047"/>
      <c r="E2047"/>
      <c r="F2047"/>
      <c r="G2047"/>
      <c r="I2047"/>
      <c r="J2047"/>
      <c r="K2047"/>
      <c r="L2047" s="499"/>
      <c r="BX2047" s="769"/>
      <c r="BY2047"/>
      <c r="BZ2047"/>
      <c r="CA2047"/>
      <c r="CB2047"/>
      <c r="CC2047"/>
      <c r="CD2047"/>
      <c r="CE2047"/>
      <c r="CF2047"/>
      <c r="CG2047"/>
      <c r="CH2047"/>
      <c r="CI2047"/>
      <c r="CJ2047"/>
      <c r="CK2047"/>
      <c r="CL2047"/>
      <c r="CM2047"/>
    </row>
    <row r="2048" spans="1:91" x14ac:dyDescent="0.2">
      <c r="A2048"/>
      <c r="B2048"/>
      <c r="D2048"/>
      <c r="E2048"/>
      <c r="F2048"/>
      <c r="G2048"/>
      <c r="I2048"/>
      <c r="J2048"/>
      <c r="K2048"/>
      <c r="L2048" s="499"/>
      <c r="BX2048" s="769"/>
      <c r="BY2048"/>
      <c r="BZ2048"/>
      <c r="CA2048"/>
      <c r="CB2048"/>
      <c r="CC2048"/>
      <c r="CD2048"/>
      <c r="CE2048"/>
      <c r="CF2048"/>
      <c r="CG2048"/>
      <c r="CH2048"/>
      <c r="CI2048"/>
      <c r="CJ2048"/>
      <c r="CK2048"/>
      <c r="CL2048"/>
      <c r="CM2048"/>
    </row>
    <row r="2049" spans="1:91" x14ac:dyDescent="0.2">
      <c r="A2049"/>
      <c r="B2049"/>
      <c r="D2049"/>
      <c r="E2049"/>
      <c r="F2049"/>
      <c r="G2049"/>
      <c r="I2049"/>
      <c r="J2049"/>
      <c r="K2049"/>
      <c r="L2049" s="499"/>
      <c r="BX2049" s="769"/>
      <c r="BY2049"/>
      <c r="BZ2049"/>
      <c r="CA2049"/>
      <c r="CB2049"/>
      <c r="CC2049"/>
      <c r="CD2049"/>
      <c r="CE2049"/>
      <c r="CF2049"/>
      <c r="CG2049"/>
      <c r="CH2049"/>
      <c r="CI2049"/>
      <c r="CJ2049"/>
      <c r="CK2049"/>
      <c r="CL2049"/>
      <c r="CM2049"/>
    </row>
    <row r="2050" spans="1:91" x14ac:dyDescent="0.2">
      <c r="A2050"/>
      <c r="B2050"/>
      <c r="D2050"/>
      <c r="E2050"/>
      <c r="F2050"/>
      <c r="G2050"/>
      <c r="I2050"/>
      <c r="J2050"/>
      <c r="K2050"/>
      <c r="L2050" s="499"/>
      <c r="BX2050" s="769"/>
      <c r="BY2050"/>
      <c r="BZ2050"/>
      <c r="CA2050"/>
      <c r="CB2050"/>
      <c r="CC2050"/>
      <c r="CD2050"/>
      <c r="CE2050"/>
      <c r="CF2050"/>
      <c r="CG2050"/>
      <c r="CH2050"/>
      <c r="CI2050"/>
      <c r="CJ2050"/>
      <c r="CK2050"/>
      <c r="CL2050"/>
      <c r="CM2050"/>
    </row>
    <row r="2051" spans="1:91" x14ac:dyDescent="0.2">
      <c r="A2051"/>
      <c r="B2051"/>
      <c r="D2051"/>
      <c r="E2051"/>
      <c r="F2051"/>
      <c r="G2051"/>
      <c r="I2051"/>
      <c r="J2051"/>
      <c r="K2051"/>
      <c r="L2051" s="499"/>
      <c r="BX2051" s="769"/>
      <c r="BY2051"/>
      <c r="BZ2051"/>
      <c r="CA2051"/>
      <c r="CB2051"/>
      <c r="CC2051"/>
      <c r="CD2051"/>
      <c r="CE2051"/>
      <c r="CF2051"/>
      <c r="CG2051"/>
      <c r="CH2051"/>
      <c r="CI2051"/>
      <c r="CJ2051"/>
      <c r="CK2051"/>
      <c r="CL2051"/>
      <c r="CM2051"/>
    </row>
    <row r="2052" spans="1:91" x14ac:dyDescent="0.2">
      <c r="A2052"/>
      <c r="B2052"/>
      <c r="D2052"/>
      <c r="E2052"/>
      <c r="F2052"/>
      <c r="G2052"/>
      <c r="I2052"/>
      <c r="J2052"/>
      <c r="K2052"/>
      <c r="L2052" s="499"/>
      <c r="BX2052" s="769"/>
      <c r="BY2052"/>
      <c r="BZ2052"/>
      <c r="CA2052"/>
      <c r="CB2052"/>
      <c r="CC2052"/>
      <c r="CD2052"/>
      <c r="CE2052"/>
      <c r="CF2052"/>
      <c r="CG2052"/>
      <c r="CH2052"/>
      <c r="CI2052"/>
      <c r="CJ2052"/>
      <c r="CK2052"/>
      <c r="CL2052"/>
      <c r="CM2052"/>
    </row>
    <row r="2053" spans="1:91" x14ac:dyDescent="0.2">
      <c r="A2053"/>
      <c r="B2053"/>
      <c r="D2053"/>
      <c r="E2053"/>
      <c r="F2053"/>
      <c r="G2053"/>
      <c r="I2053"/>
      <c r="J2053"/>
      <c r="K2053"/>
      <c r="L2053" s="499"/>
      <c r="BX2053" s="769"/>
      <c r="BY2053"/>
      <c r="BZ2053"/>
      <c r="CA2053"/>
      <c r="CB2053"/>
      <c r="CC2053"/>
      <c r="CD2053"/>
      <c r="CE2053"/>
      <c r="CF2053"/>
      <c r="CG2053"/>
      <c r="CH2053"/>
      <c r="CI2053"/>
      <c r="CJ2053"/>
      <c r="CK2053"/>
      <c r="CL2053"/>
      <c r="CM2053"/>
    </row>
    <row r="2054" spans="1:91" x14ac:dyDescent="0.2">
      <c r="A2054"/>
      <c r="B2054"/>
      <c r="D2054"/>
      <c r="E2054"/>
      <c r="F2054"/>
      <c r="G2054"/>
      <c r="I2054"/>
      <c r="J2054"/>
      <c r="K2054"/>
      <c r="L2054" s="499"/>
      <c r="BX2054" s="769"/>
      <c r="BY2054"/>
      <c r="BZ2054"/>
      <c r="CA2054"/>
      <c r="CB2054"/>
      <c r="CC2054"/>
      <c r="CD2054"/>
      <c r="CE2054"/>
      <c r="CF2054"/>
      <c r="CG2054"/>
      <c r="CH2054"/>
      <c r="CI2054"/>
      <c r="CJ2054"/>
      <c r="CK2054"/>
      <c r="CL2054"/>
      <c r="CM2054"/>
    </row>
    <row r="2055" spans="1:91" x14ac:dyDescent="0.2">
      <c r="A2055"/>
      <c r="B2055"/>
      <c r="D2055"/>
      <c r="E2055"/>
      <c r="F2055"/>
      <c r="G2055"/>
      <c r="I2055"/>
      <c r="J2055"/>
      <c r="K2055"/>
      <c r="L2055" s="499"/>
      <c r="BX2055" s="769"/>
      <c r="BY2055"/>
      <c r="BZ2055"/>
      <c r="CA2055"/>
      <c r="CB2055"/>
      <c r="CC2055"/>
      <c r="CD2055"/>
      <c r="CE2055"/>
      <c r="CF2055"/>
      <c r="CG2055"/>
      <c r="CH2055"/>
      <c r="CI2055"/>
      <c r="CJ2055"/>
      <c r="CK2055"/>
      <c r="CL2055"/>
      <c r="CM2055"/>
    </row>
    <row r="2056" spans="1:91" x14ac:dyDescent="0.2">
      <c r="A2056"/>
      <c r="B2056"/>
      <c r="D2056"/>
      <c r="E2056"/>
      <c r="F2056"/>
      <c r="G2056"/>
      <c r="I2056"/>
      <c r="J2056"/>
      <c r="K2056"/>
      <c r="L2056" s="499"/>
      <c r="BX2056" s="769"/>
      <c r="BY2056"/>
      <c r="BZ2056"/>
      <c r="CA2056"/>
      <c r="CB2056"/>
      <c r="CC2056"/>
      <c r="CD2056"/>
      <c r="CE2056"/>
      <c r="CF2056"/>
      <c r="CG2056"/>
      <c r="CH2056"/>
      <c r="CI2056"/>
      <c r="CJ2056"/>
      <c r="CK2056"/>
      <c r="CL2056"/>
      <c r="CM2056"/>
    </row>
    <row r="2057" spans="1:91" x14ac:dyDescent="0.2">
      <c r="A2057"/>
      <c r="B2057"/>
      <c r="D2057"/>
      <c r="E2057"/>
      <c r="F2057"/>
      <c r="G2057"/>
      <c r="I2057"/>
      <c r="J2057"/>
      <c r="K2057"/>
      <c r="L2057" s="499"/>
      <c r="BX2057" s="769"/>
      <c r="BY2057"/>
      <c r="BZ2057"/>
      <c r="CA2057"/>
      <c r="CB2057"/>
      <c r="CC2057"/>
      <c r="CD2057"/>
      <c r="CE2057"/>
      <c r="CF2057"/>
      <c r="CG2057"/>
      <c r="CH2057"/>
      <c r="CI2057"/>
      <c r="CJ2057"/>
      <c r="CK2057"/>
      <c r="CL2057"/>
      <c r="CM2057"/>
    </row>
    <row r="2058" spans="1:91" x14ac:dyDescent="0.2">
      <c r="A2058"/>
      <c r="B2058"/>
      <c r="D2058"/>
      <c r="E2058"/>
      <c r="F2058"/>
      <c r="G2058"/>
      <c r="I2058"/>
      <c r="J2058"/>
      <c r="K2058"/>
      <c r="L2058" s="499"/>
      <c r="BX2058" s="769"/>
      <c r="BY2058"/>
      <c r="BZ2058"/>
      <c r="CA2058"/>
      <c r="CB2058"/>
      <c r="CC2058"/>
      <c r="CD2058"/>
      <c r="CE2058"/>
      <c r="CF2058"/>
      <c r="CG2058"/>
      <c r="CH2058"/>
      <c r="CI2058"/>
      <c r="CJ2058"/>
      <c r="CK2058"/>
      <c r="CL2058"/>
      <c r="CM2058"/>
    </row>
    <row r="2059" spans="1:91" x14ac:dyDescent="0.2">
      <c r="A2059"/>
      <c r="B2059"/>
      <c r="D2059"/>
      <c r="E2059"/>
      <c r="F2059"/>
      <c r="G2059"/>
      <c r="I2059"/>
      <c r="J2059"/>
      <c r="K2059"/>
      <c r="L2059" s="499"/>
      <c r="BX2059" s="769"/>
      <c r="BY2059"/>
      <c r="BZ2059"/>
      <c r="CA2059"/>
      <c r="CB2059"/>
      <c r="CC2059"/>
      <c r="CD2059"/>
      <c r="CE2059"/>
      <c r="CF2059"/>
      <c r="CG2059"/>
      <c r="CH2059"/>
      <c r="CI2059"/>
      <c r="CJ2059"/>
      <c r="CK2059"/>
      <c r="CL2059"/>
      <c r="CM2059"/>
    </row>
    <row r="2060" spans="1:91" x14ac:dyDescent="0.2">
      <c r="A2060"/>
      <c r="B2060"/>
      <c r="D2060"/>
      <c r="E2060"/>
      <c r="F2060"/>
      <c r="G2060"/>
      <c r="I2060"/>
      <c r="J2060"/>
      <c r="K2060"/>
      <c r="L2060" s="499"/>
      <c r="BX2060" s="769"/>
      <c r="BY2060"/>
      <c r="BZ2060"/>
      <c r="CA2060"/>
      <c r="CB2060"/>
      <c r="CC2060"/>
      <c r="CD2060"/>
      <c r="CE2060"/>
      <c r="CF2060"/>
      <c r="CG2060"/>
      <c r="CH2060"/>
      <c r="CI2060"/>
      <c r="CJ2060"/>
      <c r="CK2060"/>
      <c r="CL2060"/>
      <c r="CM2060"/>
    </row>
    <row r="2061" spans="1:91" x14ac:dyDescent="0.2">
      <c r="A2061"/>
      <c r="B2061"/>
      <c r="D2061"/>
      <c r="E2061"/>
      <c r="F2061"/>
      <c r="G2061"/>
      <c r="I2061"/>
      <c r="J2061"/>
      <c r="K2061"/>
      <c r="L2061" s="499"/>
      <c r="BX2061" s="769"/>
      <c r="BY2061"/>
      <c r="BZ2061"/>
      <c r="CA2061"/>
      <c r="CB2061"/>
      <c r="CC2061"/>
      <c r="CD2061"/>
      <c r="CE2061"/>
      <c r="CF2061"/>
      <c r="CG2061"/>
      <c r="CH2061"/>
      <c r="CI2061"/>
      <c r="CJ2061"/>
      <c r="CK2061"/>
      <c r="CL2061"/>
      <c r="CM2061"/>
    </row>
    <row r="2062" spans="1:91" x14ac:dyDescent="0.2">
      <c r="A2062"/>
      <c r="B2062"/>
      <c r="D2062"/>
      <c r="E2062"/>
      <c r="F2062"/>
      <c r="G2062"/>
      <c r="I2062"/>
      <c r="J2062"/>
      <c r="K2062"/>
      <c r="L2062" s="499"/>
      <c r="BX2062" s="769"/>
      <c r="BY2062"/>
      <c r="BZ2062"/>
      <c r="CA2062"/>
      <c r="CB2062"/>
      <c r="CC2062"/>
      <c r="CD2062"/>
      <c r="CE2062"/>
      <c r="CF2062"/>
      <c r="CG2062"/>
      <c r="CH2062"/>
      <c r="CI2062"/>
      <c r="CJ2062"/>
      <c r="CK2062"/>
      <c r="CL2062"/>
      <c r="CM2062"/>
    </row>
    <row r="2063" spans="1:91" x14ac:dyDescent="0.2">
      <c r="A2063"/>
      <c r="B2063"/>
      <c r="D2063"/>
      <c r="E2063"/>
      <c r="F2063"/>
      <c r="G2063"/>
      <c r="I2063"/>
      <c r="J2063"/>
      <c r="K2063"/>
      <c r="L2063" s="499"/>
      <c r="BX2063" s="769"/>
      <c r="BY2063"/>
      <c r="BZ2063"/>
      <c r="CA2063"/>
      <c r="CB2063"/>
      <c r="CC2063"/>
      <c r="CD2063"/>
      <c r="CE2063"/>
      <c r="CF2063"/>
      <c r="CG2063"/>
      <c r="CH2063"/>
      <c r="CI2063"/>
      <c r="CJ2063"/>
      <c r="CK2063"/>
      <c r="CL2063"/>
      <c r="CM2063"/>
    </row>
    <row r="2064" spans="1:91" x14ac:dyDescent="0.2">
      <c r="A2064"/>
      <c r="B2064"/>
      <c r="D2064"/>
      <c r="E2064"/>
      <c r="F2064"/>
      <c r="G2064"/>
      <c r="I2064"/>
      <c r="J2064"/>
      <c r="K2064"/>
      <c r="L2064" s="499"/>
      <c r="BX2064" s="769"/>
      <c r="BY2064"/>
      <c r="BZ2064"/>
      <c r="CA2064"/>
      <c r="CB2064"/>
      <c r="CC2064"/>
      <c r="CD2064"/>
      <c r="CE2064"/>
      <c r="CF2064"/>
      <c r="CG2064"/>
      <c r="CH2064"/>
      <c r="CI2064"/>
      <c r="CJ2064"/>
      <c r="CK2064"/>
      <c r="CL2064"/>
      <c r="CM2064"/>
    </row>
    <row r="2065" spans="1:91" x14ac:dyDescent="0.2">
      <c r="A2065"/>
      <c r="B2065"/>
      <c r="D2065"/>
      <c r="E2065"/>
      <c r="F2065"/>
      <c r="G2065"/>
      <c r="I2065"/>
      <c r="J2065"/>
      <c r="K2065"/>
      <c r="L2065" s="499"/>
      <c r="BX2065" s="769"/>
      <c r="BY2065"/>
      <c r="BZ2065"/>
      <c r="CA2065"/>
      <c r="CB2065"/>
      <c r="CC2065"/>
      <c r="CD2065"/>
      <c r="CE2065"/>
      <c r="CF2065"/>
      <c r="CG2065"/>
      <c r="CH2065"/>
      <c r="CI2065"/>
      <c r="CJ2065"/>
      <c r="CK2065"/>
      <c r="CL2065"/>
      <c r="CM2065"/>
    </row>
    <row r="2066" spans="1:91" x14ac:dyDescent="0.2">
      <c r="A2066"/>
      <c r="B2066"/>
      <c r="D2066"/>
      <c r="E2066"/>
      <c r="F2066"/>
      <c r="G2066"/>
      <c r="I2066"/>
      <c r="J2066"/>
      <c r="K2066"/>
      <c r="L2066" s="499"/>
      <c r="BX2066" s="769"/>
      <c r="BY2066"/>
      <c r="BZ2066"/>
      <c r="CA2066"/>
      <c r="CB2066"/>
      <c r="CC2066"/>
      <c r="CD2066"/>
      <c r="CE2066"/>
      <c r="CF2066"/>
      <c r="CG2066"/>
      <c r="CH2066"/>
      <c r="CI2066"/>
      <c r="CJ2066"/>
      <c r="CK2066"/>
      <c r="CL2066"/>
      <c r="CM2066"/>
    </row>
    <row r="2067" spans="1:91" x14ac:dyDescent="0.2">
      <c r="A2067"/>
      <c r="B2067"/>
      <c r="D2067"/>
      <c r="E2067"/>
      <c r="F2067"/>
      <c r="G2067"/>
      <c r="I2067"/>
      <c r="J2067"/>
      <c r="K2067"/>
      <c r="L2067" s="499"/>
      <c r="BX2067" s="769"/>
      <c r="BY2067"/>
      <c r="BZ2067"/>
      <c r="CA2067"/>
      <c r="CB2067"/>
      <c r="CC2067"/>
      <c r="CD2067"/>
      <c r="CE2067"/>
      <c r="CF2067"/>
      <c r="CG2067"/>
      <c r="CH2067"/>
      <c r="CI2067"/>
      <c r="CJ2067"/>
      <c r="CK2067"/>
      <c r="CL2067"/>
      <c r="CM2067"/>
    </row>
    <row r="2068" spans="1:91" x14ac:dyDescent="0.2">
      <c r="A2068"/>
      <c r="B2068"/>
      <c r="D2068"/>
      <c r="E2068"/>
      <c r="F2068"/>
      <c r="G2068"/>
      <c r="I2068"/>
      <c r="J2068"/>
      <c r="K2068"/>
      <c r="L2068" s="499"/>
      <c r="BX2068" s="769"/>
      <c r="BY2068"/>
      <c r="BZ2068"/>
      <c r="CA2068"/>
      <c r="CB2068"/>
      <c r="CC2068"/>
      <c r="CD2068"/>
      <c r="CE2068"/>
      <c r="CF2068"/>
      <c r="CG2068"/>
      <c r="CH2068"/>
      <c r="CI2068"/>
      <c r="CJ2068"/>
      <c r="CK2068"/>
      <c r="CL2068"/>
      <c r="CM2068"/>
    </row>
    <row r="2069" spans="1:91" x14ac:dyDescent="0.2">
      <c r="A2069"/>
      <c r="B2069"/>
      <c r="D2069"/>
      <c r="E2069"/>
      <c r="F2069"/>
      <c r="G2069"/>
      <c r="I2069"/>
      <c r="J2069"/>
      <c r="K2069"/>
      <c r="L2069" s="499"/>
      <c r="BX2069" s="769"/>
      <c r="BY2069"/>
      <c r="BZ2069"/>
      <c r="CA2069"/>
      <c r="CB2069"/>
      <c r="CC2069"/>
      <c r="CD2069"/>
      <c r="CE2069"/>
      <c r="CF2069"/>
      <c r="CG2069"/>
      <c r="CH2069"/>
      <c r="CI2069"/>
      <c r="CJ2069"/>
      <c r="CK2069"/>
      <c r="CL2069"/>
      <c r="CM2069"/>
    </row>
    <row r="2070" spans="1:91" x14ac:dyDescent="0.2">
      <c r="A2070"/>
      <c r="B2070"/>
      <c r="D2070"/>
      <c r="E2070"/>
      <c r="F2070"/>
      <c r="G2070"/>
      <c r="I2070"/>
      <c r="J2070"/>
      <c r="K2070"/>
      <c r="L2070" s="499"/>
      <c r="BX2070" s="769"/>
      <c r="BY2070"/>
      <c r="BZ2070"/>
      <c r="CA2070"/>
      <c r="CB2070"/>
      <c r="CC2070"/>
      <c r="CD2070"/>
      <c r="CE2070"/>
      <c r="CF2070"/>
      <c r="CG2070"/>
      <c r="CH2070"/>
      <c r="CI2070"/>
      <c r="CJ2070"/>
      <c r="CK2070"/>
      <c r="CL2070"/>
      <c r="CM2070"/>
    </row>
    <row r="2071" spans="1:91" x14ac:dyDescent="0.2">
      <c r="A2071"/>
      <c r="B2071"/>
      <c r="D2071"/>
      <c r="E2071"/>
      <c r="F2071"/>
      <c r="G2071"/>
      <c r="I2071"/>
      <c r="J2071"/>
      <c r="K2071"/>
      <c r="L2071" s="499"/>
      <c r="BX2071" s="769"/>
      <c r="BY2071"/>
      <c r="BZ2071"/>
      <c r="CA2071"/>
      <c r="CB2071"/>
      <c r="CC2071"/>
      <c r="CD2071"/>
      <c r="CE2071"/>
      <c r="CF2071"/>
      <c r="CG2071"/>
      <c r="CH2071"/>
      <c r="CI2071"/>
      <c r="CJ2071"/>
      <c r="CK2071"/>
      <c r="CL2071"/>
      <c r="CM2071"/>
    </row>
    <row r="2072" spans="1:91" x14ac:dyDescent="0.2">
      <c r="A2072"/>
      <c r="B2072"/>
      <c r="D2072"/>
      <c r="E2072"/>
      <c r="F2072"/>
      <c r="G2072"/>
      <c r="I2072"/>
      <c r="J2072"/>
      <c r="K2072"/>
      <c r="L2072" s="499"/>
      <c r="BX2072" s="769"/>
      <c r="BY2072"/>
      <c r="BZ2072"/>
      <c r="CA2072"/>
      <c r="CB2072"/>
      <c r="CC2072"/>
      <c r="CD2072"/>
      <c r="CE2072"/>
      <c r="CF2072"/>
      <c r="CG2072"/>
      <c r="CH2072"/>
      <c r="CI2072"/>
      <c r="CJ2072"/>
      <c r="CK2072"/>
      <c r="CL2072"/>
      <c r="CM2072"/>
    </row>
    <row r="2073" spans="1:91" x14ac:dyDescent="0.2">
      <c r="A2073"/>
      <c r="B2073"/>
      <c r="D2073"/>
      <c r="E2073"/>
      <c r="F2073"/>
      <c r="G2073"/>
      <c r="I2073"/>
      <c r="J2073"/>
      <c r="K2073"/>
      <c r="L2073" s="499"/>
      <c r="BX2073" s="769"/>
      <c r="BY2073"/>
      <c r="BZ2073"/>
      <c r="CA2073"/>
      <c r="CB2073"/>
      <c r="CC2073"/>
      <c r="CD2073"/>
      <c r="CE2073"/>
      <c r="CF2073"/>
      <c r="CG2073"/>
      <c r="CH2073"/>
      <c r="CI2073"/>
      <c r="CJ2073"/>
      <c r="CK2073"/>
      <c r="CL2073"/>
      <c r="CM2073"/>
    </row>
    <row r="2074" spans="1:91" x14ac:dyDescent="0.2">
      <c r="A2074"/>
      <c r="B2074"/>
      <c r="D2074"/>
      <c r="E2074"/>
      <c r="F2074"/>
      <c r="G2074"/>
      <c r="I2074"/>
      <c r="J2074"/>
      <c r="K2074"/>
      <c r="L2074" s="499"/>
      <c r="BX2074" s="769"/>
      <c r="BY2074"/>
      <c r="BZ2074"/>
      <c r="CA2074"/>
      <c r="CB2074"/>
      <c r="CC2074"/>
      <c r="CD2074"/>
      <c r="CE2074"/>
      <c r="CF2074"/>
      <c r="CG2074"/>
      <c r="CH2074"/>
      <c r="CI2074"/>
      <c r="CJ2074"/>
      <c r="CK2074"/>
      <c r="CL2074"/>
      <c r="CM2074"/>
    </row>
    <row r="2075" spans="1:91" x14ac:dyDescent="0.2">
      <c r="A2075"/>
      <c r="B2075"/>
      <c r="D2075"/>
      <c r="E2075"/>
      <c r="F2075"/>
      <c r="G2075"/>
      <c r="I2075"/>
      <c r="J2075"/>
      <c r="K2075"/>
      <c r="L2075" s="499"/>
      <c r="BX2075" s="769"/>
      <c r="BY2075"/>
      <c r="BZ2075"/>
      <c r="CA2075"/>
      <c r="CB2075"/>
      <c r="CC2075"/>
      <c r="CD2075"/>
      <c r="CE2075"/>
      <c r="CF2075"/>
      <c r="CG2075"/>
      <c r="CH2075"/>
      <c r="CI2075"/>
      <c r="CJ2075"/>
      <c r="CK2075"/>
      <c r="CL2075"/>
      <c r="CM2075"/>
    </row>
    <row r="2076" spans="1:91" x14ac:dyDescent="0.2">
      <c r="A2076"/>
      <c r="B2076"/>
      <c r="D2076"/>
      <c r="E2076"/>
      <c r="F2076"/>
      <c r="G2076"/>
      <c r="I2076"/>
      <c r="J2076"/>
      <c r="K2076"/>
      <c r="L2076" s="499"/>
      <c r="BX2076" s="769"/>
      <c r="BY2076"/>
      <c r="BZ2076"/>
      <c r="CA2076"/>
      <c r="CB2076"/>
      <c r="CC2076"/>
      <c r="CD2076"/>
      <c r="CE2076"/>
      <c r="CF2076"/>
      <c r="CG2076"/>
      <c r="CH2076"/>
      <c r="CI2076"/>
      <c r="CJ2076"/>
      <c r="CK2076"/>
      <c r="CL2076"/>
      <c r="CM2076"/>
    </row>
    <row r="2077" spans="1:91" x14ac:dyDescent="0.2">
      <c r="A2077"/>
      <c r="B2077"/>
      <c r="D2077"/>
      <c r="E2077"/>
      <c r="F2077"/>
      <c r="G2077"/>
      <c r="I2077"/>
      <c r="J2077"/>
      <c r="K2077"/>
      <c r="L2077" s="499"/>
      <c r="BX2077" s="769"/>
      <c r="BY2077"/>
      <c r="BZ2077"/>
      <c r="CA2077"/>
      <c r="CB2077"/>
      <c r="CC2077"/>
      <c r="CD2077"/>
      <c r="CE2077"/>
      <c r="CF2077"/>
      <c r="CG2077"/>
      <c r="CH2077"/>
      <c r="CI2077"/>
      <c r="CJ2077"/>
      <c r="CK2077"/>
      <c r="CL2077"/>
      <c r="CM2077"/>
    </row>
    <row r="2078" spans="1:91" x14ac:dyDescent="0.2">
      <c r="A2078"/>
      <c r="B2078"/>
      <c r="D2078"/>
      <c r="E2078"/>
      <c r="F2078"/>
      <c r="G2078"/>
      <c r="I2078"/>
      <c r="J2078"/>
      <c r="K2078"/>
      <c r="L2078" s="499"/>
      <c r="BX2078" s="769"/>
      <c r="BY2078"/>
      <c r="BZ2078"/>
      <c r="CA2078"/>
      <c r="CB2078"/>
      <c r="CC2078"/>
      <c r="CD2078"/>
      <c r="CE2078"/>
      <c r="CF2078"/>
      <c r="CG2078"/>
      <c r="CH2078"/>
      <c r="CI2078"/>
      <c r="CJ2078"/>
      <c r="CK2078"/>
      <c r="CL2078"/>
      <c r="CM2078"/>
    </row>
    <row r="2079" spans="1:91" x14ac:dyDescent="0.2">
      <c r="A2079"/>
      <c r="B2079"/>
      <c r="D2079"/>
      <c r="E2079"/>
      <c r="F2079"/>
      <c r="G2079"/>
      <c r="I2079"/>
      <c r="J2079"/>
      <c r="K2079"/>
      <c r="L2079" s="499"/>
      <c r="BX2079" s="769"/>
      <c r="BY2079"/>
      <c r="BZ2079"/>
      <c r="CA2079"/>
      <c r="CB2079"/>
      <c r="CC2079"/>
      <c r="CD2079"/>
      <c r="CE2079"/>
      <c r="CF2079"/>
      <c r="CG2079"/>
      <c r="CH2079"/>
      <c r="CI2079"/>
      <c r="CJ2079"/>
      <c r="CK2079"/>
      <c r="CL2079"/>
      <c r="CM2079"/>
    </row>
    <row r="2080" spans="1:91" x14ac:dyDescent="0.2">
      <c r="A2080"/>
      <c r="B2080"/>
      <c r="D2080"/>
      <c r="E2080"/>
      <c r="F2080"/>
      <c r="G2080"/>
      <c r="I2080"/>
      <c r="J2080"/>
      <c r="K2080"/>
      <c r="L2080" s="499"/>
      <c r="BX2080" s="769"/>
      <c r="BY2080"/>
      <c r="BZ2080"/>
      <c r="CA2080"/>
      <c r="CB2080"/>
      <c r="CC2080"/>
      <c r="CD2080"/>
      <c r="CE2080"/>
      <c r="CF2080"/>
      <c r="CG2080"/>
      <c r="CH2080"/>
      <c r="CI2080"/>
      <c r="CJ2080"/>
      <c r="CK2080"/>
      <c r="CL2080"/>
      <c r="CM2080"/>
    </row>
    <row r="2081" spans="1:91" x14ac:dyDescent="0.2">
      <c r="A2081"/>
      <c r="B2081"/>
      <c r="D2081"/>
      <c r="E2081"/>
      <c r="F2081"/>
      <c r="G2081"/>
      <c r="I2081"/>
      <c r="J2081"/>
      <c r="K2081"/>
      <c r="L2081" s="499"/>
      <c r="BX2081" s="769"/>
      <c r="BY2081"/>
      <c r="BZ2081"/>
      <c r="CA2081"/>
      <c r="CB2081"/>
      <c r="CC2081"/>
      <c r="CD2081"/>
      <c r="CE2081"/>
      <c r="CF2081"/>
      <c r="CG2081"/>
      <c r="CH2081"/>
      <c r="CI2081"/>
      <c r="CJ2081"/>
      <c r="CK2081"/>
      <c r="CL2081"/>
      <c r="CM2081"/>
    </row>
    <row r="2082" spans="1:91" x14ac:dyDescent="0.2">
      <c r="A2082"/>
      <c r="B2082"/>
      <c r="D2082"/>
      <c r="E2082"/>
      <c r="F2082"/>
      <c r="G2082"/>
      <c r="I2082"/>
      <c r="J2082"/>
      <c r="K2082"/>
      <c r="L2082" s="499"/>
      <c r="BX2082" s="769"/>
      <c r="BY2082"/>
      <c r="BZ2082"/>
      <c r="CA2082"/>
      <c r="CB2082"/>
      <c r="CC2082"/>
      <c r="CD2082"/>
      <c r="CE2082"/>
      <c r="CF2082"/>
      <c r="CG2082"/>
      <c r="CH2082"/>
      <c r="CI2082"/>
      <c r="CJ2082"/>
      <c r="CK2082"/>
      <c r="CL2082"/>
      <c r="CM2082"/>
    </row>
    <row r="2083" spans="1:91" x14ac:dyDescent="0.2">
      <c r="A2083"/>
      <c r="B2083"/>
      <c r="D2083"/>
      <c r="E2083"/>
      <c r="F2083"/>
      <c r="G2083"/>
      <c r="I2083"/>
      <c r="J2083"/>
      <c r="K2083"/>
      <c r="L2083" s="499"/>
      <c r="BX2083" s="769"/>
      <c r="BY2083"/>
      <c r="BZ2083"/>
      <c r="CA2083"/>
      <c r="CB2083"/>
      <c r="CC2083"/>
      <c r="CD2083"/>
      <c r="CE2083"/>
      <c r="CF2083"/>
      <c r="CG2083"/>
      <c r="CH2083"/>
      <c r="CI2083"/>
      <c r="CJ2083"/>
      <c r="CK2083"/>
      <c r="CL2083"/>
      <c r="CM2083"/>
    </row>
    <row r="2084" spans="1:91" x14ac:dyDescent="0.2">
      <c r="A2084"/>
      <c r="B2084"/>
      <c r="D2084"/>
      <c r="E2084"/>
      <c r="F2084"/>
      <c r="G2084"/>
      <c r="I2084"/>
      <c r="J2084"/>
      <c r="K2084"/>
      <c r="L2084" s="499"/>
      <c r="BX2084" s="769"/>
      <c r="BY2084"/>
      <c r="BZ2084"/>
      <c r="CA2084"/>
      <c r="CB2084"/>
      <c r="CC2084"/>
      <c r="CD2084"/>
      <c r="CE2084"/>
      <c r="CF2084"/>
      <c r="CG2084"/>
      <c r="CH2084"/>
      <c r="CI2084"/>
      <c r="CJ2084"/>
      <c r="CK2084"/>
      <c r="CL2084"/>
      <c r="CM2084"/>
    </row>
    <row r="2085" spans="1:91" x14ac:dyDescent="0.2">
      <c r="A2085"/>
      <c r="B2085"/>
      <c r="D2085"/>
      <c r="E2085"/>
      <c r="F2085"/>
      <c r="G2085"/>
      <c r="I2085"/>
      <c r="J2085"/>
      <c r="K2085"/>
      <c r="L2085" s="499"/>
      <c r="BX2085" s="769"/>
      <c r="BY2085"/>
      <c r="BZ2085"/>
      <c r="CA2085"/>
      <c r="CB2085"/>
      <c r="CC2085"/>
      <c r="CD2085"/>
      <c r="CE2085"/>
      <c r="CF2085"/>
      <c r="CG2085"/>
      <c r="CH2085"/>
      <c r="CI2085"/>
      <c r="CJ2085"/>
      <c r="CK2085"/>
      <c r="CL2085"/>
      <c r="CM2085"/>
    </row>
    <row r="2086" spans="1:91" x14ac:dyDescent="0.2">
      <c r="A2086"/>
      <c r="B2086"/>
      <c r="D2086"/>
      <c r="E2086"/>
      <c r="F2086"/>
      <c r="G2086"/>
      <c r="I2086"/>
      <c r="J2086"/>
      <c r="K2086"/>
      <c r="L2086" s="499"/>
      <c r="BX2086" s="769"/>
      <c r="BY2086"/>
      <c r="BZ2086"/>
      <c r="CA2086"/>
      <c r="CB2086"/>
      <c r="CC2086"/>
      <c r="CD2086"/>
      <c r="CE2086"/>
      <c r="CF2086"/>
      <c r="CG2086"/>
      <c r="CH2086"/>
      <c r="CI2086"/>
      <c r="CJ2086"/>
      <c r="CK2086"/>
      <c r="CL2086"/>
      <c r="CM2086"/>
    </row>
    <row r="2087" spans="1:91" x14ac:dyDescent="0.2">
      <c r="A2087"/>
      <c r="B2087"/>
      <c r="D2087"/>
      <c r="E2087"/>
      <c r="F2087"/>
      <c r="G2087"/>
      <c r="I2087"/>
      <c r="J2087"/>
      <c r="K2087"/>
      <c r="L2087" s="499"/>
      <c r="BX2087" s="769"/>
      <c r="BY2087"/>
      <c r="BZ2087"/>
      <c r="CA2087"/>
      <c r="CB2087"/>
      <c r="CC2087"/>
      <c r="CD2087"/>
      <c r="CE2087"/>
      <c r="CF2087"/>
      <c r="CG2087"/>
      <c r="CH2087"/>
      <c r="CI2087"/>
      <c r="CJ2087"/>
      <c r="CK2087"/>
      <c r="CL2087"/>
      <c r="CM2087"/>
    </row>
    <row r="2088" spans="1:91" x14ac:dyDescent="0.2">
      <c r="A2088"/>
      <c r="B2088"/>
      <c r="D2088"/>
      <c r="E2088"/>
      <c r="F2088"/>
      <c r="G2088"/>
      <c r="I2088"/>
      <c r="J2088"/>
      <c r="K2088"/>
      <c r="L2088" s="499"/>
      <c r="BX2088" s="769"/>
      <c r="BY2088"/>
      <c r="BZ2088"/>
      <c r="CA2088"/>
      <c r="CB2088"/>
      <c r="CC2088"/>
      <c r="CD2088"/>
      <c r="CE2088"/>
      <c r="CF2088"/>
      <c r="CG2088"/>
      <c r="CH2088"/>
      <c r="CI2088"/>
      <c r="CJ2088"/>
      <c r="CK2088"/>
      <c r="CL2088"/>
      <c r="CM2088"/>
    </row>
    <row r="2089" spans="1:91" x14ac:dyDescent="0.2">
      <c r="A2089"/>
      <c r="B2089"/>
      <c r="D2089"/>
      <c r="E2089"/>
      <c r="F2089"/>
      <c r="G2089"/>
      <c r="I2089"/>
      <c r="J2089"/>
      <c r="K2089"/>
      <c r="L2089" s="499"/>
      <c r="BX2089" s="769"/>
      <c r="BY2089"/>
      <c r="BZ2089"/>
      <c r="CA2089"/>
      <c r="CB2089"/>
      <c r="CC2089"/>
      <c r="CD2089"/>
      <c r="CE2089"/>
      <c r="CF2089"/>
      <c r="CG2089"/>
      <c r="CH2089"/>
      <c r="CI2089"/>
      <c r="CJ2089"/>
      <c r="CK2089"/>
      <c r="CL2089"/>
      <c r="CM2089"/>
    </row>
    <row r="2090" spans="1:91" x14ac:dyDescent="0.2">
      <c r="A2090"/>
      <c r="B2090"/>
      <c r="D2090"/>
      <c r="E2090"/>
      <c r="F2090"/>
      <c r="G2090"/>
      <c r="I2090"/>
      <c r="J2090"/>
      <c r="K2090"/>
      <c r="L2090" s="499"/>
      <c r="BX2090" s="769"/>
      <c r="BY2090"/>
      <c r="BZ2090"/>
      <c r="CA2090"/>
      <c r="CB2090"/>
      <c r="CC2090"/>
      <c r="CD2090"/>
      <c r="CE2090"/>
      <c r="CF2090"/>
      <c r="CG2090"/>
      <c r="CH2090"/>
      <c r="CI2090"/>
      <c r="CJ2090"/>
      <c r="CK2090"/>
      <c r="CL2090"/>
      <c r="CM2090"/>
    </row>
    <row r="2091" spans="1:91" x14ac:dyDescent="0.2">
      <c r="A2091"/>
      <c r="B2091"/>
      <c r="D2091"/>
      <c r="E2091"/>
      <c r="F2091"/>
      <c r="G2091"/>
      <c r="I2091"/>
      <c r="J2091"/>
      <c r="K2091"/>
      <c r="L2091" s="499"/>
      <c r="BX2091" s="769"/>
      <c r="BY2091"/>
      <c r="BZ2091"/>
      <c r="CA2091"/>
      <c r="CB2091"/>
      <c r="CC2091"/>
      <c r="CD2091"/>
      <c r="CE2091"/>
      <c r="CF2091"/>
      <c r="CG2091"/>
      <c r="CH2091"/>
      <c r="CI2091"/>
      <c r="CJ2091"/>
      <c r="CK2091"/>
      <c r="CL2091"/>
      <c r="CM2091"/>
    </row>
    <row r="2092" spans="1:91" x14ac:dyDescent="0.2">
      <c r="A2092"/>
      <c r="B2092"/>
      <c r="D2092"/>
      <c r="E2092"/>
      <c r="F2092"/>
      <c r="G2092"/>
      <c r="I2092"/>
      <c r="J2092"/>
      <c r="K2092"/>
      <c r="L2092" s="499"/>
      <c r="BX2092" s="769"/>
      <c r="BY2092"/>
      <c r="BZ2092"/>
      <c r="CA2092"/>
      <c r="CB2092"/>
      <c r="CC2092"/>
      <c r="CD2092"/>
      <c r="CE2092"/>
      <c r="CF2092"/>
      <c r="CG2092"/>
      <c r="CH2092"/>
      <c r="CI2092"/>
      <c r="CJ2092"/>
      <c r="CK2092"/>
      <c r="CL2092"/>
      <c r="CM2092"/>
    </row>
    <row r="2093" spans="1:91" x14ac:dyDescent="0.2">
      <c r="A2093"/>
      <c r="B2093"/>
      <c r="D2093"/>
      <c r="E2093"/>
      <c r="F2093"/>
      <c r="G2093"/>
      <c r="I2093"/>
      <c r="J2093"/>
      <c r="K2093"/>
      <c r="L2093" s="499"/>
      <c r="BX2093" s="769"/>
      <c r="BY2093"/>
      <c r="BZ2093"/>
      <c r="CA2093"/>
      <c r="CB2093"/>
      <c r="CC2093"/>
      <c r="CD2093"/>
      <c r="CE2093"/>
      <c r="CF2093"/>
      <c r="CG2093"/>
      <c r="CH2093"/>
      <c r="CI2093"/>
      <c r="CJ2093"/>
      <c r="CK2093"/>
      <c r="CL2093"/>
      <c r="CM2093"/>
    </row>
    <row r="2094" spans="1:91" x14ac:dyDescent="0.2">
      <c r="A2094"/>
      <c r="B2094"/>
      <c r="D2094"/>
      <c r="E2094"/>
      <c r="F2094"/>
      <c r="G2094"/>
      <c r="I2094"/>
      <c r="J2094"/>
      <c r="K2094"/>
      <c r="L2094" s="499"/>
      <c r="BX2094" s="769"/>
      <c r="BY2094"/>
      <c r="BZ2094"/>
      <c r="CA2094"/>
      <c r="CB2094"/>
      <c r="CC2094"/>
      <c r="CD2094"/>
      <c r="CE2094"/>
      <c r="CF2094"/>
      <c r="CG2094"/>
      <c r="CH2094"/>
      <c r="CI2094"/>
      <c r="CJ2094"/>
      <c r="CK2094"/>
      <c r="CL2094"/>
      <c r="CM2094"/>
    </row>
    <row r="2095" spans="1:91" x14ac:dyDescent="0.2">
      <c r="A2095"/>
      <c r="B2095"/>
      <c r="D2095"/>
      <c r="E2095"/>
      <c r="F2095"/>
      <c r="G2095"/>
      <c r="I2095"/>
      <c r="J2095"/>
      <c r="K2095"/>
      <c r="L2095" s="499"/>
      <c r="BX2095" s="769"/>
      <c r="BY2095"/>
      <c r="BZ2095"/>
      <c r="CA2095"/>
      <c r="CB2095"/>
      <c r="CC2095"/>
      <c r="CD2095"/>
      <c r="CE2095"/>
      <c r="CF2095"/>
      <c r="CG2095"/>
      <c r="CH2095"/>
      <c r="CI2095"/>
      <c r="CJ2095"/>
      <c r="CK2095"/>
      <c r="CL2095"/>
      <c r="CM2095"/>
    </row>
    <row r="2096" spans="1:91" x14ac:dyDescent="0.2">
      <c r="A2096"/>
      <c r="B2096"/>
      <c r="D2096"/>
      <c r="E2096"/>
      <c r="F2096"/>
      <c r="G2096"/>
      <c r="I2096"/>
      <c r="J2096"/>
      <c r="K2096"/>
      <c r="L2096" s="499"/>
      <c r="BX2096" s="769"/>
      <c r="BY2096"/>
      <c r="BZ2096"/>
      <c r="CA2096"/>
      <c r="CB2096"/>
      <c r="CC2096"/>
      <c r="CD2096"/>
      <c r="CE2096"/>
      <c r="CF2096"/>
      <c r="CG2096"/>
      <c r="CH2096"/>
      <c r="CI2096"/>
      <c r="CJ2096"/>
      <c r="CK2096"/>
      <c r="CL2096"/>
      <c r="CM2096"/>
    </row>
    <row r="2097" spans="1:91" x14ac:dyDescent="0.2">
      <c r="A2097"/>
      <c r="B2097"/>
      <c r="D2097"/>
      <c r="E2097"/>
      <c r="F2097"/>
      <c r="G2097"/>
      <c r="I2097"/>
      <c r="J2097"/>
      <c r="K2097"/>
      <c r="L2097" s="499"/>
      <c r="BX2097" s="769"/>
      <c r="BY2097"/>
      <c r="BZ2097"/>
      <c r="CA2097"/>
      <c r="CB2097"/>
      <c r="CC2097"/>
      <c r="CD2097"/>
      <c r="CE2097"/>
      <c r="CF2097"/>
      <c r="CG2097"/>
      <c r="CH2097"/>
      <c r="CI2097"/>
      <c r="CJ2097"/>
      <c r="CK2097"/>
      <c r="CL2097"/>
      <c r="CM2097"/>
    </row>
    <row r="2098" spans="1:91" x14ac:dyDescent="0.2">
      <c r="A2098"/>
      <c r="B2098"/>
      <c r="D2098"/>
      <c r="E2098"/>
      <c r="F2098"/>
      <c r="G2098"/>
      <c r="I2098"/>
      <c r="J2098"/>
      <c r="K2098"/>
      <c r="L2098" s="499"/>
      <c r="BX2098" s="769"/>
      <c r="BY2098"/>
      <c r="BZ2098"/>
      <c r="CA2098"/>
      <c r="CB2098"/>
      <c r="CC2098"/>
      <c r="CD2098"/>
      <c r="CE2098"/>
      <c r="CF2098"/>
      <c r="CG2098"/>
      <c r="CH2098"/>
      <c r="CI2098"/>
      <c r="CJ2098"/>
      <c r="CK2098"/>
      <c r="CL2098"/>
      <c r="CM2098"/>
    </row>
    <row r="2099" spans="1:91" x14ac:dyDescent="0.2">
      <c r="A2099"/>
      <c r="B2099"/>
      <c r="D2099"/>
      <c r="E2099"/>
      <c r="F2099"/>
      <c r="G2099"/>
      <c r="I2099"/>
      <c r="J2099"/>
      <c r="K2099"/>
      <c r="L2099" s="499"/>
      <c r="BX2099" s="769"/>
      <c r="BY2099"/>
      <c r="BZ2099"/>
      <c r="CA2099"/>
      <c r="CB2099"/>
      <c r="CC2099"/>
      <c r="CD2099"/>
      <c r="CE2099"/>
      <c r="CF2099"/>
      <c r="CG2099"/>
      <c r="CH2099"/>
      <c r="CI2099"/>
      <c r="CJ2099"/>
      <c r="CK2099"/>
      <c r="CL2099"/>
      <c r="CM2099"/>
    </row>
    <row r="2100" spans="1:91" x14ac:dyDescent="0.2">
      <c r="A2100"/>
      <c r="B2100"/>
      <c r="D2100"/>
      <c r="E2100"/>
      <c r="F2100"/>
      <c r="G2100"/>
      <c r="I2100"/>
      <c r="J2100"/>
      <c r="K2100"/>
      <c r="L2100" s="499"/>
      <c r="BX2100" s="769"/>
      <c r="BY2100"/>
      <c r="BZ2100"/>
      <c r="CA2100"/>
      <c r="CB2100"/>
      <c r="CC2100"/>
      <c r="CD2100"/>
      <c r="CE2100"/>
      <c r="CF2100"/>
      <c r="CG2100"/>
      <c r="CH2100"/>
      <c r="CI2100"/>
      <c r="CJ2100"/>
      <c r="CK2100"/>
      <c r="CL2100"/>
      <c r="CM2100"/>
    </row>
    <row r="2101" spans="1:91" x14ac:dyDescent="0.2">
      <c r="A2101"/>
      <c r="B2101"/>
      <c r="D2101"/>
      <c r="E2101"/>
      <c r="F2101"/>
      <c r="G2101"/>
      <c r="I2101"/>
      <c r="J2101"/>
      <c r="K2101"/>
      <c r="L2101" s="499"/>
      <c r="BX2101" s="769"/>
      <c r="BY2101"/>
      <c r="BZ2101"/>
      <c r="CA2101"/>
      <c r="CB2101"/>
      <c r="CC2101"/>
      <c r="CD2101"/>
      <c r="CE2101"/>
      <c r="CF2101"/>
      <c r="CG2101"/>
      <c r="CH2101"/>
      <c r="CI2101"/>
      <c r="CJ2101"/>
      <c r="CK2101"/>
      <c r="CL2101"/>
      <c r="CM2101"/>
    </row>
    <row r="2102" spans="1:91" x14ac:dyDescent="0.2">
      <c r="A2102"/>
      <c r="B2102"/>
      <c r="D2102"/>
      <c r="E2102"/>
      <c r="F2102"/>
      <c r="G2102"/>
      <c r="I2102"/>
      <c r="J2102"/>
      <c r="K2102"/>
      <c r="L2102" s="499"/>
      <c r="BX2102" s="769"/>
      <c r="BY2102"/>
      <c r="BZ2102"/>
      <c r="CA2102"/>
      <c r="CB2102"/>
      <c r="CC2102"/>
      <c r="CD2102"/>
      <c r="CE2102"/>
      <c r="CF2102"/>
      <c r="CG2102"/>
      <c r="CH2102"/>
      <c r="CI2102"/>
      <c r="CJ2102"/>
      <c r="CK2102"/>
      <c r="CL2102"/>
      <c r="CM2102"/>
    </row>
    <row r="2103" spans="1:91" x14ac:dyDescent="0.2">
      <c r="A2103"/>
      <c r="B2103"/>
      <c r="D2103"/>
      <c r="E2103"/>
      <c r="F2103"/>
      <c r="G2103"/>
      <c r="I2103"/>
      <c r="J2103"/>
      <c r="K2103"/>
      <c r="L2103" s="499"/>
      <c r="BX2103" s="769"/>
      <c r="BY2103"/>
      <c r="BZ2103"/>
      <c r="CA2103"/>
      <c r="CB2103"/>
      <c r="CC2103"/>
      <c r="CD2103"/>
      <c r="CE2103"/>
      <c r="CF2103"/>
      <c r="CG2103"/>
      <c r="CH2103"/>
      <c r="CI2103"/>
      <c r="CJ2103"/>
      <c r="CK2103"/>
      <c r="CL2103"/>
      <c r="CM2103"/>
    </row>
    <row r="2104" spans="1:91" x14ac:dyDescent="0.2">
      <c r="A2104"/>
      <c r="B2104"/>
      <c r="D2104"/>
      <c r="E2104"/>
      <c r="F2104"/>
      <c r="G2104"/>
      <c r="I2104"/>
      <c r="J2104"/>
      <c r="K2104"/>
      <c r="L2104" s="499"/>
      <c r="BX2104" s="769"/>
      <c r="BY2104"/>
      <c r="BZ2104"/>
      <c r="CA2104"/>
      <c r="CB2104"/>
      <c r="CC2104"/>
      <c r="CD2104"/>
      <c r="CE2104"/>
      <c r="CF2104"/>
      <c r="CG2104"/>
      <c r="CH2104"/>
      <c r="CI2104"/>
      <c r="CJ2104"/>
      <c r="CK2104"/>
      <c r="CL2104"/>
      <c r="CM2104"/>
    </row>
    <row r="2105" spans="1:91" x14ac:dyDescent="0.2">
      <c r="A2105"/>
      <c r="B2105"/>
      <c r="D2105"/>
      <c r="E2105"/>
      <c r="F2105"/>
      <c r="G2105"/>
      <c r="I2105"/>
      <c r="J2105"/>
      <c r="K2105"/>
      <c r="L2105" s="499"/>
      <c r="BX2105" s="769"/>
      <c r="BY2105"/>
      <c r="BZ2105"/>
      <c r="CA2105"/>
      <c r="CB2105"/>
      <c r="CC2105"/>
      <c r="CD2105"/>
      <c r="CE2105"/>
      <c r="CF2105"/>
      <c r="CG2105"/>
      <c r="CH2105"/>
      <c r="CI2105"/>
      <c r="CJ2105"/>
      <c r="CK2105"/>
      <c r="CL2105"/>
      <c r="CM2105"/>
    </row>
    <row r="2106" spans="1:91" x14ac:dyDescent="0.2">
      <c r="A2106"/>
      <c r="B2106"/>
      <c r="D2106"/>
      <c r="E2106"/>
      <c r="F2106"/>
      <c r="G2106"/>
      <c r="I2106"/>
      <c r="J2106"/>
      <c r="K2106"/>
      <c r="L2106" s="499"/>
      <c r="BX2106" s="769"/>
      <c r="BY2106"/>
      <c r="BZ2106"/>
      <c r="CA2106"/>
      <c r="CB2106"/>
      <c r="CC2106"/>
      <c r="CD2106"/>
      <c r="CE2106"/>
      <c r="CF2106"/>
      <c r="CG2106"/>
      <c r="CH2106"/>
      <c r="CI2106"/>
      <c r="CJ2106"/>
      <c r="CK2106"/>
      <c r="CL2106"/>
      <c r="CM2106"/>
    </row>
    <row r="2107" spans="1:91" x14ac:dyDescent="0.2">
      <c r="A2107"/>
      <c r="B2107"/>
      <c r="D2107"/>
      <c r="E2107"/>
      <c r="F2107"/>
      <c r="G2107"/>
      <c r="I2107"/>
      <c r="J2107"/>
      <c r="K2107"/>
      <c r="L2107" s="499"/>
      <c r="BX2107" s="769"/>
      <c r="BY2107"/>
      <c r="BZ2107"/>
      <c r="CA2107"/>
      <c r="CB2107"/>
      <c r="CC2107"/>
      <c r="CD2107"/>
      <c r="CE2107"/>
      <c r="CF2107"/>
      <c r="CG2107"/>
      <c r="CH2107"/>
      <c r="CI2107"/>
      <c r="CJ2107"/>
      <c r="CK2107"/>
      <c r="CL2107"/>
      <c r="CM2107"/>
    </row>
    <row r="2108" spans="1:91" x14ac:dyDescent="0.2">
      <c r="A2108"/>
      <c r="B2108"/>
      <c r="D2108"/>
      <c r="E2108"/>
      <c r="F2108"/>
      <c r="G2108"/>
      <c r="I2108"/>
      <c r="J2108"/>
      <c r="K2108"/>
      <c r="L2108" s="499"/>
      <c r="BX2108" s="769"/>
      <c r="BY2108"/>
      <c r="BZ2108"/>
      <c r="CA2108"/>
      <c r="CB2108"/>
      <c r="CC2108"/>
      <c r="CD2108"/>
      <c r="CE2108"/>
      <c r="CF2108"/>
      <c r="CG2108"/>
      <c r="CH2108"/>
      <c r="CI2108"/>
      <c r="CJ2108"/>
      <c r="CK2108"/>
      <c r="CL2108"/>
      <c r="CM2108"/>
    </row>
    <row r="2109" spans="1:91" x14ac:dyDescent="0.2">
      <c r="A2109"/>
      <c r="B2109"/>
      <c r="D2109"/>
      <c r="E2109"/>
      <c r="F2109"/>
      <c r="G2109"/>
      <c r="I2109"/>
      <c r="J2109"/>
      <c r="K2109"/>
      <c r="L2109" s="499"/>
      <c r="BX2109" s="769"/>
      <c r="BY2109"/>
      <c r="BZ2109"/>
      <c r="CA2109"/>
      <c r="CB2109"/>
      <c r="CC2109"/>
      <c r="CD2109"/>
      <c r="CE2109"/>
      <c r="CF2109"/>
      <c r="CG2109"/>
      <c r="CH2109"/>
      <c r="CI2109"/>
      <c r="CJ2109"/>
      <c r="CK2109"/>
      <c r="CL2109"/>
      <c r="CM2109"/>
    </row>
    <row r="2110" spans="1:91" x14ac:dyDescent="0.2">
      <c r="A2110"/>
      <c r="B2110"/>
      <c r="D2110"/>
      <c r="E2110"/>
      <c r="F2110"/>
      <c r="G2110"/>
      <c r="I2110"/>
      <c r="J2110"/>
      <c r="K2110"/>
      <c r="L2110" s="499"/>
      <c r="BX2110" s="769"/>
      <c r="BY2110"/>
      <c r="BZ2110"/>
      <c r="CA2110"/>
      <c r="CB2110"/>
      <c r="CC2110"/>
      <c r="CD2110"/>
      <c r="CE2110"/>
      <c r="CF2110"/>
      <c r="CG2110"/>
      <c r="CH2110"/>
      <c r="CI2110"/>
      <c r="CJ2110"/>
      <c r="CK2110"/>
      <c r="CL2110"/>
      <c r="CM2110"/>
    </row>
    <row r="2111" spans="1:91" x14ac:dyDescent="0.2">
      <c r="A2111"/>
      <c r="B2111"/>
      <c r="D2111"/>
      <c r="E2111"/>
      <c r="F2111"/>
      <c r="G2111"/>
      <c r="I2111"/>
      <c r="J2111"/>
      <c r="K2111"/>
      <c r="L2111" s="499"/>
      <c r="BX2111" s="769"/>
      <c r="BY2111"/>
      <c r="BZ2111"/>
      <c r="CA2111"/>
      <c r="CB2111"/>
      <c r="CC2111"/>
      <c r="CD2111"/>
      <c r="CE2111"/>
      <c r="CF2111"/>
      <c r="CG2111"/>
      <c r="CH2111"/>
      <c r="CI2111"/>
      <c r="CJ2111"/>
      <c r="CK2111"/>
      <c r="CL2111"/>
      <c r="CM2111"/>
    </row>
    <row r="2112" spans="1:91" x14ac:dyDescent="0.2">
      <c r="A2112"/>
      <c r="B2112"/>
      <c r="D2112"/>
      <c r="E2112"/>
      <c r="F2112"/>
      <c r="G2112"/>
      <c r="I2112"/>
      <c r="J2112"/>
      <c r="K2112"/>
      <c r="L2112" s="499"/>
      <c r="BX2112" s="769"/>
      <c r="BY2112"/>
      <c r="BZ2112"/>
      <c r="CA2112"/>
      <c r="CB2112"/>
      <c r="CC2112"/>
      <c r="CD2112"/>
      <c r="CE2112"/>
      <c r="CF2112"/>
      <c r="CG2112"/>
      <c r="CH2112"/>
      <c r="CI2112"/>
      <c r="CJ2112"/>
      <c r="CK2112"/>
      <c r="CL2112"/>
      <c r="CM2112"/>
    </row>
    <row r="2113" spans="1:91" x14ac:dyDescent="0.2">
      <c r="A2113"/>
      <c r="B2113"/>
      <c r="D2113"/>
      <c r="E2113"/>
      <c r="F2113"/>
      <c r="G2113"/>
      <c r="I2113"/>
      <c r="J2113"/>
      <c r="K2113"/>
      <c r="L2113" s="499"/>
      <c r="BX2113" s="769"/>
      <c r="BY2113"/>
      <c r="BZ2113"/>
      <c r="CA2113"/>
      <c r="CB2113"/>
      <c r="CC2113"/>
      <c r="CD2113"/>
      <c r="CE2113"/>
      <c r="CF2113"/>
      <c r="CG2113"/>
      <c r="CH2113"/>
      <c r="CI2113"/>
      <c r="CJ2113"/>
      <c r="CK2113"/>
      <c r="CL2113"/>
      <c r="CM2113"/>
    </row>
    <row r="2114" spans="1:91" x14ac:dyDescent="0.2">
      <c r="A2114"/>
      <c r="B2114"/>
      <c r="D2114"/>
      <c r="E2114"/>
      <c r="F2114"/>
      <c r="G2114"/>
      <c r="I2114"/>
      <c r="J2114"/>
      <c r="K2114"/>
      <c r="L2114" s="499"/>
      <c r="BX2114" s="769"/>
      <c r="BY2114"/>
      <c r="BZ2114"/>
      <c r="CA2114"/>
      <c r="CB2114"/>
      <c r="CC2114"/>
      <c r="CD2114"/>
      <c r="CE2114"/>
      <c r="CF2114"/>
      <c r="CG2114"/>
      <c r="CH2114"/>
      <c r="CI2114"/>
      <c r="CJ2114"/>
      <c r="CK2114"/>
      <c r="CL2114"/>
      <c r="CM2114"/>
    </row>
    <row r="2115" spans="1:91" x14ac:dyDescent="0.2">
      <c r="A2115"/>
      <c r="B2115"/>
      <c r="D2115"/>
      <c r="E2115"/>
      <c r="F2115"/>
      <c r="G2115"/>
      <c r="I2115"/>
      <c r="J2115"/>
      <c r="K2115"/>
      <c r="L2115" s="499"/>
      <c r="BX2115" s="769"/>
      <c r="BY2115"/>
      <c r="BZ2115"/>
      <c r="CA2115"/>
      <c r="CB2115"/>
      <c r="CC2115"/>
      <c r="CD2115"/>
      <c r="CE2115"/>
      <c r="CF2115"/>
      <c r="CG2115"/>
      <c r="CH2115"/>
      <c r="CI2115"/>
      <c r="CJ2115"/>
      <c r="CK2115"/>
      <c r="CL2115"/>
      <c r="CM2115"/>
    </row>
    <row r="2116" spans="1:91" x14ac:dyDescent="0.2">
      <c r="A2116"/>
      <c r="B2116"/>
      <c r="D2116"/>
      <c r="E2116"/>
      <c r="F2116"/>
      <c r="G2116"/>
      <c r="I2116"/>
      <c r="J2116"/>
      <c r="K2116"/>
      <c r="L2116" s="499"/>
      <c r="BX2116" s="769"/>
      <c r="BY2116"/>
      <c r="BZ2116"/>
      <c r="CA2116"/>
      <c r="CB2116"/>
      <c r="CC2116"/>
      <c r="CD2116"/>
      <c r="CE2116"/>
      <c r="CF2116"/>
      <c r="CG2116"/>
      <c r="CH2116"/>
      <c r="CI2116"/>
      <c r="CJ2116"/>
      <c r="CK2116"/>
      <c r="CL2116"/>
      <c r="CM2116"/>
    </row>
    <row r="2117" spans="1:91" x14ac:dyDescent="0.2">
      <c r="A2117"/>
      <c r="B2117"/>
      <c r="D2117"/>
      <c r="E2117"/>
      <c r="F2117"/>
      <c r="G2117"/>
      <c r="I2117"/>
      <c r="J2117"/>
      <c r="K2117"/>
      <c r="L2117" s="499"/>
      <c r="BX2117" s="769"/>
      <c r="BY2117"/>
      <c r="BZ2117"/>
      <c r="CA2117"/>
      <c r="CB2117"/>
      <c r="CC2117"/>
      <c r="CD2117"/>
      <c r="CE2117"/>
      <c r="CF2117"/>
      <c r="CG2117"/>
      <c r="CH2117"/>
      <c r="CI2117"/>
      <c r="CJ2117"/>
      <c r="CK2117"/>
      <c r="CL2117"/>
      <c r="CM2117"/>
    </row>
    <row r="2118" spans="1:91" x14ac:dyDescent="0.2">
      <c r="A2118"/>
      <c r="B2118"/>
      <c r="D2118"/>
      <c r="E2118"/>
      <c r="F2118"/>
      <c r="G2118"/>
      <c r="I2118"/>
      <c r="J2118"/>
      <c r="K2118"/>
      <c r="L2118" s="499"/>
      <c r="BX2118" s="769"/>
      <c r="BY2118"/>
      <c r="BZ2118"/>
      <c r="CA2118"/>
      <c r="CB2118"/>
      <c r="CC2118"/>
      <c r="CD2118"/>
      <c r="CE2118"/>
      <c r="CF2118"/>
      <c r="CG2118"/>
      <c r="CH2118"/>
      <c r="CI2118"/>
      <c r="CJ2118"/>
      <c r="CK2118"/>
      <c r="CL2118"/>
      <c r="CM2118"/>
    </row>
    <row r="2119" spans="1:91" x14ac:dyDescent="0.2">
      <c r="A2119"/>
      <c r="B2119"/>
      <c r="D2119"/>
      <c r="E2119"/>
      <c r="F2119"/>
      <c r="G2119"/>
      <c r="I2119"/>
      <c r="J2119"/>
      <c r="K2119"/>
      <c r="L2119" s="499"/>
      <c r="BX2119" s="769"/>
      <c r="BY2119"/>
      <c r="BZ2119"/>
      <c r="CA2119"/>
      <c r="CB2119"/>
      <c r="CC2119"/>
      <c r="CD2119"/>
      <c r="CE2119"/>
      <c r="CF2119"/>
      <c r="CG2119"/>
      <c r="CH2119"/>
      <c r="CI2119"/>
      <c r="CJ2119"/>
      <c r="CK2119"/>
      <c r="CL2119"/>
      <c r="CM2119"/>
    </row>
    <row r="2120" spans="1:91" x14ac:dyDescent="0.2">
      <c r="A2120"/>
      <c r="B2120"/>
      <c r="D2120"/>
      <c r="E2120"/>
      <c r="F2120"/>
      <c r="G2120"/>
      <c r="I2120"/>
      <c r="J2120"/>
      <c r="K2120"/>
      <c r="L2120" s="499"/>
      <c r="BX2120" s="769"/>
      <c r="BY2120"/>
      <c r="BZ2120"/>
      <c r="CA2120"/>
      <c r="CB2120"/>
      <c r="CC2120"/>
      <c r="CD2120"/>
      <c r="CE2120"/>
      <c r="CF2120"/>
      <c r="CG2120"/>
      <c r="CH2120"/>
      <c r="CI2120"/>
      <c r="CJ2120"/>
      <c r="CK2120"/>
      <c r="CL2120"/>
      <c r="CM2120"/>
    </row>
    <row r="2121" spans="1:91" x14ac:dyDescent="0.2">
      <c r="A2121"/>
      <c r="B2121"/>
      <c r="D2121"/>
      <c r="E2121"/>
      <c r="F2121"/>
      <c r="G2121"/>
      <c r="I2121"/>
      <c r="J2121"/>
      <c r="K2121"/>
      <c r="L2121" s="499"/>
      <c r="BX2121" s="769"/>
      <c r="BY2121"/>
      <c r="BZ2121"/>
      <c r="CA2121"/>
      <c r="CB2121"/>
      <c r="CC2121"/>
      <c r="CD2121"/>
      <c r="CE2121"/>
      <c r="CF2121"/>
      <c r="CG2121"/>
      <c r="CH2121"/>
      <c r="CI2121"/>
      <c r="CJ2121"/>
      <c r="CK2121"/>
      <c r="CL2121"/>
      <c r="CM2121"/>
    </row>
    <row r="2122" spans="1:91" x14ac:dyDescent="0.2">
      <c r="A2122"/>
      <c r="B2122"/>
      <c r="D2122"/>
      <c r="E2122"/>
      <c r="F2122"/>
      <c r="G2122"/>
      <c r="I2122"/>
      <c r="J2122"/>
      <c r="K2122"/>
      <c r="L2122" s="499"/>
      <c r="BX2122" s="769"/>
      <c r="BY2122"/>
      <c r="BZ2122"/>
      <c r="CA2122"/>
      <c r="CB2122"/>
      <c r="CC2122"/>
      <c r="CD2122"/>
      <c r="CE2122"/>
      <c r="CF2122"/>
      <c r="CG2122"/>
      <c r="CH2122"/>
      <c r="CI2122"/>
      <c r="CJ2122"/>
      <c r="CK2122"/>
      <c r="CL2122"/>
      <c r="CM2122"/>
    </row>
    <row r="2123" spans="1:91" x14ac:dyDescent="0.2">
      <c r="A2123"/>
      <c r="B2123"/>
      <c r="D2123"/>
      <c r="E2123"/>
      <c r="F2123"/>
      <c r="G2123"/>
      <c r="I2123"/>
      <c r="J2123"/>
      <c r="K2123"/>
      <c r="L2123" s="499"/>
      <c r="BX2123" s="769"/>
      <c r="BY2123"/>
      <c r="BZ2123"/>
      <c r="CA2123"/>
      <c r="CB2123"/>
      <c r="CC2123"/>
      <c r="CD2123"/>
      <c r="CE2123"/>
      <c r="CF2123"/>
      <c r="CG2123"/>
      <c r="CH2123"/>
      <c r="CI2123"/>
      <c r="CJ2123"/>
      <c r="CK2123"/>
      <c r="CL2123"/>
      <c r="CM2123"/>
    </row>
    <row r="2124" spans="1:91" x14ac:dyDescent="0.2">
      <c r="A2124"/>
      <c r="B2124"/>
      <c r="D2124"/>
      <c r="E2124"/>
      <c r="F2124"/>
      <c r="G2124"/>
      <c r="I2124"/>
      <c r="J2124"/>
      <c r="K2124"/>
      <c r="L2124" s="499"/>
      <c r="BX2124" s="769"/>
      <c r="BY2124"/>
      <c r="BZ2124"/>
      <c r="CA2124"/>
      <c r="CB2124"/>
      <c r="CC2124"/>
      <c r="CD2124"/>
      <c r="CE2124"/>
      <c r="CF2124"/>
      <c r="CG2124"/>
      <c r="CH2124"/>
      <c r="CI2124"/>
      <c r="CJ2124"/>
      <c r="CK2124"/>
      <c r="CL2124"/>
      <c r="CM2124"/>
    </row>
    <row r="2125" spans="1:91" x14ac:dyDescent="0.2">
      <c r="A2125"/>
      <c r="B2125"/>
      <c r="D2125"/>
      <c r="E2125"/>
      <c r="F2125"/>
      <c r="G2125"/>
      <c r="I2125"/>
      <c r="J2125"/>
      <c r="K2125"/>
      <c r="L2125" s="499"/>
      <c r="BX2125" s="769"/>
      <c r="BY2125"/>
      <c r="BZ2125"/>
      <c r="CA2125"/>
      <c r="CB2125"/>
      <c r="CC2125"/>
      <c r="CD2125"/>
      <c r="CE2125"/>
      <c r="CF2125"/>
      <c r="CG2125"/>
      <c r="CH2125"/>
      <c r="CI2125"/>
      <c r="CJ2125"/>
      <c r="CK2125"/>
      <c r="CL2125"/>
      <c r="CM2125"/>
    </row>
    <row r="2126" spans="1:91" x14ac:dyDescent="0.2">
      <c r="A2126"/>
      <c r="B2126"/>
      <c r="D2126"/>
      <c r="E2126"/>
      <c r="F2126"/>
      <c r="G2126"/>
      <c r="I2126"/>
      <c r="J2126"/>
      <c r="K2126"/>
      <c r="L2126" s="499"/>
      <c r="BX2126" s="769"/>
      <c r="BY2126"/>
      <c r="BZ2126"/>
      <c r="CA2126"/>
      <c r="CB2126"/>
      <c r="CC2126"/>
      <c r="CD2126"/>
      <c r="CE2126"/>
      <c r="CF2126"/>
      <c r="CG2126"/>
      <c r="CH2126"/>
      <c r="CI2126"/>
      <c r="CJ2126"/>
      <c r="CK2126"/>
      <c r="CL2126"/>
      <c r="CM2126"/>
    </row>
    <row r="2127" spans="1:91" x14ac:dyDescent="0.2">
      <c r="A2127"/>
      <c r="B2127"/>
      <c r="D2127"/>
      <c r="E2127"/>
      <c r="F2127"/>
      <c r="G2127"/>
      <c r="I2127"/>
      <c r="J2127"/>
      <c r="K2127"/>
      <c r="L2127" s="499"/>
      <c r="BX2127" s="769"/>
      <c r="BY2127"/>
      <c r="BZ2127"/>
      <c r="CA2127"/>
      <c r="CB2127"/>
      <c r="CC2127"/>
      <c r="CD2127"/>
      <c r="CE2127"/>
      <c r="CF2127"/>
      <c r="CG2127"/>
      <c r="CH2127"/>
      <c r="CI2127"/>
      <c r="CJ2127"/>
      <c r="CK2127"/>
      <c r="CL2127"/>
      <c r="CM2127"/>
    </row>
    <row r="2128" spans="1:91" x14ac:dyDescent="0.2">
      <c r="A2128"/>
      <c r="B2128"/>
      <c r="D2128"/>
      <c r="E2128"/>
      <c r="F2128"/>
      <c r="G2128"/>
      <c r="I2128"/>
      <c r="J2128"/>
      <c r="K2128"/>
      <c r="L2128" s="499"/>
      <c r="BX2128" s="769"/>
      <c r="BY2128"/>
      <c r="BZ2128"/>
      <c r="CA2128"/>
      <c r="CB2128"/>
      <c r="CC2128"/>
      <c r="CD2128"/>
      <c r="CE2128"/>
      <c r="CF2128"/>
      <c r="CG2128"/>
      <c r="CH2128"/>
      <c r="CI2128"/>
      <c r="CJ2128"/>
      <c r="CK2128"/>
      <c r="CL2128"/>
      <c r="CM2128"/>
    </row>
    <row r="2129" spans="1:91" x14ac:dyDescent="0.2">
      <c r="A2129"/>
      <c r="B2129"/>
      <c r="D2129"/>
      <c r="E2129"/>
      <c r="F2129"/>
      <c r="G2129"/>
      <c r="I2129"/>
      <c r="J2129"/>
      <c r="K2129"/>
      <c r="L2129" s="499"/>
      <c r="BX2129" s="769"/>
      <c r="BY2129"/>
      <c r="BZ2129"/>
      <c r="CA2129"/>
      <c r="CB2129"/>
      <c r="CC2129"/>
      <c r="CD2129"/>
      <c r="CE2129"/>
      <c r="CF2129"/>
      <c r="CG2129"/>
      <c r="CH2129"/>
      <c r="CI2129"/>
      <c r="CJ2129"/>
      <c r="CK2129"/>
      <c r="CL2129"/>
      <c r="CM2129"/>
    </row>
    <row r="2130" spans="1:91" x14ac:dyDescent="0.2">
      <c r="A2130"/>
      <c r="B2130"/>
      <c r="D2130"/>
      <c r="E2130"/>
      <c r="F2130"/>
      <c r="G2130"/>
      <c r="I2130"/>
      <c r="J2130"/>
      <c r="K2130"/>
      <c r="L2130" s="499"/>
      <c r="BX2130" s="769"/>
      <c r="BY2130"/>
      <c r="BZ2130"/>
      <c r="CA2130"/>
      <c r="CB2130"/>
      <c r="CC2130"/>
      <c r="CD2130"/>
      <c r="CE2130"/>
      <c r="CF2130"/>
      <c r="CG2130"/>
      <c r="CH2130"/>
      <c r="CI2130"/>
      <c r="CJ2130"/>
      <c r="CK2130"/>
      <c r="CL2130"/>
      <c r="CM2130"/>
    </row>
    <row r="2131" spans="1:91" x14ac:dyDescent="0.2">
      <c r="A2131"/>
      <c r="B2131"/>
      <c r="D2131"/>
      <c r="E2131"/>
      <c r="F2131"/>
      <c r="G2131"/>
      <c r="I2131"/>
      <c r="J2131"/>
      <c r="K2131"/>
      <c r="L2131" s="499"/>
      <c r="BX2131" s="769"/>
      <c r="BY2131"/>
      <c r="BZ2131"/>
      <c r="CA2131"/>
      <c r="CB2131"/>
      <c r="CC2131"/>
      <c r="CD2131"/>
      <c r="CE2131"/>
      <c r="CF2131"/>
      <c r="CG2131"/>
      <c r="CH2131"/>
      <c r="CI2131"/>
      <c r="CJ2131"/>
      <c r="CK2131"/>
      <c r="CL2131"/>
      <c r="CM2131"/>
    </row>
    <row r="2132" spans="1:91" x14ac:dyDescent="0.2">
      <c r="A2132"/>
      <c r="B2132"/>
      <c r="D2132"/>
      <c r="E2132"/>
      <c r="F2132"/>
      <c r="G2132"/>
      <c r="I2132"/>
      <c r="J2132"/>
      <c r="K2132"/>
      <c r="L2132" s="499"/>
      <c r="BX2132" s="769"/>
      <c r="BY2132"/>
      <c r="BZ2132"/>
      <c r="CA2132"/>
      <c r="CB2132"/>
      <c r="CC2132"/>
      <c r="CD2132"/>
      <c r="CE2132"/>
      <c r="CF2132"/>
      <c r="CG2132"/>
      <c r="CH2132"/>
      <c r="CI2132"/>
      <c r="CJ2132"/>
      <c r="CK2132"/>
      <c r="CL2132"/>
      <c r="CM2132"/>
    </row>
    <row r="2133" spans="1:91" x14ac:dyDescent="0.2">
      <c r="A2133"/>
      <c r="B2133"/>
      <c r="D2133"/>
      <c r="E2133"/>
      <c r="F2133"/>
      <c r="G2133"/>
      <c r="I2133"/>
      <c r="J2133"/>
      <c r="K2133"/>
      <c r="L2133" s="499"/>
      <c r="BX2133" s="769"/>
      <c r="BY2133"/>
      <c r="BZ2133"/>
      <c r="CA2133"/>
      <c r="CB2133"/>
      <c r="CC2133"/>
      <c r="CD2133"/>
      <c r="CE2133"/>
      <c r="CF2133"/>
      <c r="CG2133"/>
      <c r="CH2133"/>
      <c r="CI2133"/>
      <c r="CJ2133"/>
      <c r="CK2133"/>
      <c r="CL2133"/>
      <c r="CM2133"/>
    </row>
    <row r="2134" spans="1:91" x14ac:dyDescent="0.2">
      <c r="A2134"/>
      <c r="B2134"/>
      <c r="D2134"/>
      <c r="E2134"/>
      <c r="F2134"/>
      <c r="G2134"/>
      <c r="I2134"/>
      <c r="J2134"/>
      <c r="K2134"/>
      <c r="L2134" s="499"/>
      <c r="BX2134" s="769"/>
      <c r="BY2134"/>
      <c r="BZ2134"/>
      <c r="CA2134"/>
      <c r="CB2134"/>
      <c r="CC2134"/>
      <c r="CD2134"/>
      <c r="CE2134"/>
      <c r="CF2134"/>
      <c r="CG2134"/>
      <c r="CH2134"/>
      <c r="CI2134"/>
      <c r="CJ2134"/>
      <c r="CK2134"/>
      <c r="CL2134"/>
      <c r="CM2134"/>
    </row>
    <row r="2135" spans="1:91" x14ac:dyDescent="0.2">
      <c r="A2135"/>
      <c r="B2135"/>
      <c r="D2135"/>
      <c r="E2135"/>
      <c r="F2135"/>
      <c r="G2135"/>
      <c r="I2135"/>
      <c r="J2135"/>
      <c r="K2135"/>
      <c r="L2135" s="499"/>
      <c r="BX2135" s="769"/>
      <c r="BY2135"/>
      <c r="BZ2135"/>
      <c r="CA2135"/>
      <c r="CB2135"/>
      <c r="CC2135"/>
      <c r="CD2135"/>
      <c r="CE2135"/>
      <c r="CF2135"/>
      <c r="CG2135"/>
      <c r="CH2135"/>
      <c r="CI2135"/>
      <c r="CJ2135"/>
      <c r="CK2135"/>
      <c r="CL2135"/>
      <c r="CM2135"/>
    </row>
    <row r="2136" spans="1:91" x14ac:dyDescent="0.2">
      <c r="A2136"/>
      <c r="B2136"/>
      <c r="D2136"/>
      <c r="E2136"/>
      <c r="F2136"/>
      <c r="G2136"/>
      <c r="I2136"/>
      <c r="J2136"/>
      <c r="K2136"/>
      <c r="L2136" s="499"/>
      <c r="BX2136" s="769"/>
      <c r="BY2136"/>
      <c r="BZ2136"/>
      <c r="CA2136"/>
      <c r="CB2136"/>
      <c r="CC2136"/>
      <c r="CD2136"/>
      <c r="CE2136"/>
      <c r="CF2136"/>
      <c r="CG2136"/>
      <c r="CH2136"/>
      <c r="CI2136"/>
      <c r="CJ2136"/>
      <c r="CK2136"/>
      <c r="CL2136"/>
      <c r="CM2136"/>
    </row>
    <row r="2137" spans="1:91" x14ac:dyDescent="0.2">
      <c r="A2137"/>
      <c r="B2137"/>
      <c r="D2137"/>
      <c r="E2137"/>
      <c r="F2137"/>
      <c r="G2137"/>
      <c r="I2137"/>
      <c r="J2137"/>
      <c r="K2137"/>
      <c r="L2137" s="499"/>
      <c r="BX2137" s="769"/>
      <c r="BY2137"/>
      <c r="BZ2137"/>
      <c r="CA2137"/>
      <c r="CB2137"/>
      <c r="CC2137"/>
      <c r="CD2137"/>
      <c r="CE2137"/>
      <c r="CF2137"/>
      <c r="CG2137"/>
      <c r="CH2137"/>
      <c r="CI2137"/>
      <c r="CJ2137"/>
      <c r="CK2137"/>
      <c r="CL2137"/>
      <c r="CM2137"/>
    </row>
    <row r="2138" spans="1:91" x14ac:dyDescent="0.2">
      <c r="A2138"/>
      <c r="B2138"/>
      <c r="D2138"/>
      <c r="E2138"/>
      <c r="F2138"/>
      <c r="G2138"/>
      <c r="I2138"/>
      <c r="J2138"/>
      <c r="K2138"/>
      <c r="L2138" s="499"/>
      <c r="BX2138" s="769"/>
      <c r="BY2138"/>
      <c r="BZ2138"/>
      <c r="CA2138"/>
      <c r="CB2138"/>
      <c r="CC2138"/>
      <c r="CD2138"/>
      <c r="CE2138"/>
      <c r="CF2138"/>
      <c r="CG2138"/>
      <c r="CH2138"/>
      <c r="CI2138"/>
      <c r="CJ2138"/>
      <c r="CK2138"/>
      <c r="CL2138"/>
      <c r="CM2138"/>
    </row>
    <row r="2139" spans="1:91" x14ac:dyDescent="0.2">
      <c r="A2139"/>
      <c r="B2139"/>
      <c r="D2139"/>
      <c r="E2139"/>
      <c r="F2139"/>
      <c r="G2139"/>
      <c r="I2139"/>
      <c r="J2139"/>
      <c r="K2139"/>
      <c r="L2139" s="499"/>
      <c r="BX2139" s="769"/>
      <c r="BY2139"/>
      <c r="BZ2139"/>
      <c r="CA2139"/>
      <c r="CB2139"/>
      <c r="CC2139"/>
      <c r="CD2139"/>
      <c r="CE2139"/>
      <c r="CF2139"/>
      <c r="CG2139"/>
      <c r="CH2139"/>
      <c r="CI2139"/>
      <c r="CJ2139"/>
      <c r="CK2139"/>
      <c r="CL2139"/>
      <c r="CM2139"/>
    </row>
    <row r="2140" spans="1:91" x14ac:dyDescent="0.2">
      <c r="A2140"/>
      <c r="B2140"/>
      <c r="D2140"/>
      <c r="E2140"/>
      <c r="F2140"/>
      <c r="G2140"/>
      <c r="I2140"/>
      <c r="J2140"/>
      <c r="K2140"/>
      <c r="L2140" s="499"/>
      <c r="BX2140" s="769"/>
      <c r="BY2140"/>
      <c r="BZ2140"/>
      <c r="CA2140"/>
      <c r="CB2140"/>
      <c r="CC2140"/>
      <c r="CD2140"/>
      <c r="CE2140"/>
      <c r="CF2140"/>
      <c r="CG2140"/>
      <c r="CH2140"/>
      <c r="CI2140"/>
      <c r="CJ2140"/>
      <c r="CK2140"/>
      <c r="CL2140"/>
      <c r="CM2140"/>
    </row>
    <row r="2141" spans="1:91" x14ac:dyDescent="0.2">
      <c r="A2141"/>
      <c r="B2141"/>
      <c r="D2141"/>
      <c r="E2141"/>
      <c r="F2141"/>
      <c r="G2141"/>
      <c r="I2141"/>
      <c r="J2141"/>
      <c r="K2141"/>
      <c r="L2141" s="499"/>
      <c r="BX2141" s="769"/>
      <c r="BY2141"/>
      <c r="BZ2141"/>
      <c r="CA2141"/>
      <c r="CB2141"/>
      <c r="CC2141"/>
      <c r="CD2141"/>
      <c r="CE2141"/>
      <c r="CF2141"/>
      <c r="CG2141"/>
      <c r="CH2141"/>
      <c r="CI2141"/>
      <c r="CJ2141"/>
      <c r="CK2141"/>
      <c r="CL2141"/>
      <c r="CM2141"/>
    </row>
    <row r="2142" spans="1:91" x14ac:dyDescent="0.2">
      <c r="A2142"/>
      <c r="B2142"/>
      <c r="D2142"/>
      <c r="E2142"/>
      <c r="F2142"/>
      <c r="G2142"/>
      <c r="I2142"/>
      <c r="J2142"/>
      <c r="K2142"/>
      <c r="L2142" s="499"/>
      <c r="BX2142" s="769"/>
      <c r="BY2142"/>
      <c r="BZ2142"/>
      <c r="CA2142"/>
      <c r="CB2142"/>
      <c r="CC2142"/>
      <c r="CD2142"/>
      <c r="CE2142"/>
      <c r="CF2142"/>
      <c r="CG2142"/>
      <c r="CH2142"/>
      <c r="CI2142"/>
      <c r="CJ2142"/>
      <c r="CK2142"/>
      <c r="CL2142"/>
      <c r="CM2142"/>
    </row>
    <row r="2143" spans="1:91" x14ac:dyDescent="0.2">
      <c r="A2143"/>
      <c r="B2143"/>
      <c r="D2143"/>
      <c r="E2143"/>
      <c r="F2143"/>
      <c r="G2143"/>
      <c r="I2143"/>
      <c r="J2143"/>
      <c r="K2143"/>
      <c r="L2143" s="499"/>
      <c r="BX2143" s="769"/>
      <c r="BY2143"/>
      <c r="BZ2143"/>
      <c r="CA2143"/>
      <c r="CB2143"/>
      <c r="CC2143"/>
      <c r="CD2143"/>
      <c r="CE2143"/>
      <c r="CF2143"/>
      <c r="CG2143"/>
      <c r="CH2143"/>
      <c r="CI2143"/>
      <c r="CJ2143"/>
      <c r="CK2143"/>
      <c r="CL2143"/>
      <c r="CM2143"/>
    </row>
    <row r="2144" spans="1:91" x14ac:dyDescent="0.2">
      <c r="A2144"/>
      <c r="B2144"/>
      <c r="D2144"/>
      <c r="E2144"/>
      <c r="F2144"/>
      <c r="G2144"/>
      <c r="I2144"/>
      <c r="J2144"/>
      <c r="K2144"/>
      <c r="L2144" s="499"/>
      <c r="BX2144" s="769"/>
      <c r="BY2144"/>
      <c r="BZ2144"/>
      <c r="CA2144"/>
      <c r="CB2144"/>
      <c r="CC2144"/>
      <c r="CD2144"/>
      <c r="CE2144"/>
      <c r="CF2144"/>
      <c r="CG2144"/>
      <c r="CH2144"/>
      <c r="CI2144"/>
      <c r="CJ2144"/>
      <c r="CK2144"/>
      <c r="CL2144"/>
      <c r="CM2144"/>
    </row>
    <row r="2145" spans="1:91" x14ac:dyDescent="0.2">
      <c r="A2145"/>
      <c r="B2145"/>
      <c r="D2145"/>
      <c r="E2145"/>
      <c r="F2145"/>
      <c r="G2145"/>
      <c r="I2145"/>
      <c r="J2145"/>
      <c r="K2145"/>
      <c r="L2145" s="499"/>
      <c r="BX2145" s="769"/>
      <c r="BY2145"/>
      <c r="BZ2145"/>
      <c r="CA2145"/>
      <c r="CB2145"/>
      <c r="CC2145"/>
      <c r="CD2145"/>
      <c r="CE2145"/>
      <c r="CF2145"/>
      <c r="CG2145"/>
      <c r="CH2145"/>
      <c r="CI2145"/>
      <c r="CJ2145"/>
      <c r="CK2145"/>
      <c r="CL2145"/>
      <c r="CM2145"/>
    </row>
    <row r="2146" spans="1:91" x14ac:dyDescent="0.2">
      <c r="A2146"/>
      <c r="B2146"/>
      <c r="D2146"/>
      <c r="E2146"/>
      <c r="F2146"/>
      <c r="G2146"/>
      <c r="I2146"/>
      <c r="J2146"/>
      <c r="K2146"/>
      <c r="L2146" s="499"/>
      <c r="BX2146" s="769"/>
      <c r="BY2146"/>
      <c r="BZ2146"/>
      <c r="CA2146"/>
      <c r="CB2146"/>
      <c r="CC2146"/>
      <c r="CD2146"/>
      <c r="CE2146"/>
      <c r="CF2146"/>
      <c r="CG2146"/>
      <c r="CH2146"/>
      <c r="CI2146"/>
      <c r="CJ2146"/>
      <c r="CK2146"/>
      <c r="CL2146"/>
      <c r="CM2146"/>
    </row>
    <row r="2147" spans="1:91" x14ac:dyDescent="0.2">
      <c r="A2147"/>
      <c r="B2147"/>
      <c r="D2147"/>
      <c r="E2147"/>
      <c r="F2147"/>
      <c r="G2147"/>
      <c r="I2147"/>
      <c r="J2147"/>
      <c r="K2147"/>
      <c r="L2147" s="499"/>
      <c r="BX2147" s="769"/>
      <c r="BY2147"/>
      <c r="BZ2147"/>
      <c r="CA2147"/>
      <c r="CB2147"/>
      <c r="CC2147"/>
      <c r="CD2147"/>
      <c r="CE2147"/>
      <c r="CF2147"/>
      <c r="CG2147"/>
      <c r="CH2147"/>
      <c r="CI2147"/>
      <c r="CJ2147"/>
      <c r="CK2147"/>
      <c r="CL2147"/>
      <c r="CM2147"/>
    </row>
    <row r="2148" spans="1:91" x14ac:dyDescent="0.2">
      <c r="A2148"/>
      <c r="B2148"/>
      <c r="D2148"/>
      <c r="E2148"/>
      <c r="F2148"/>
      <c r="G2148"/>
      <c r="I2148"/>
      <c r="J2148"/>
      <c r="K2148"/>
      <c r="L2148" s="499"/>
      <c r="BX2148" s="769"/>
      <c r="BY2148"/>
      <c r="BZ2148"/>
      <c r="CA2148"/>
      <c r="CB2148"/>
      <c r="CC2148"/>
      <c r="CD2148"/>
      <c r="CE2148"/>
      <c r="CF2148"/>
      <c r="CG2148"/>
      <c r="CH2148"/>
      <c r="CI2148"/>
      <c r="CJ2148"/>
      <c r="CK2148"/>
      <c r="CL2148"/>
      <c r="CM2148"/>
    </row>
    <row r="2149" spans="1:91" x14ac:dyDescent="0.2">
      <c r="A2149"/>
      <c r="B2149"/>
      <c r="D2149"/>
      <c r="E2149"/>
      <c r="F2149"/>
      <c r="G2149"/>
      <c r="I2149"/>
      <c r="J2149"/>
      <c r="K2149"/>
      <c r="L2149" s="499"/>
      <c r="BX2149" s="769"/>
      <c r="BY2149"/>
      <c r="BZ2149"/>
      <c r="CA2149"/>
      <c r="CB2149"/>
      <c r="CC2149"/>
      <c r="CD2149"/>
      <c r="CE2149"/>
      <c r="CF2149"/>
      <c r="CG2149"/>
      <c r="CH2149"/>
      <c r="CI2149"/>
      <c r="CJ2149"/>
      <c r="CK2149"/>
      <c r="CL2149"/>
      <c r="CM2149"/>
    </row>
    <row r="2150" spans="1:91" x14ac:dyDescent="0.2">
      <c r="A2150"/>
      <c r="B2150"/>
      <c r="D2150"/>
      <c r="E2150"/>
      <c r="F2150"/>
      <c r="G2150"/>
      <c r="I2150"/>
      <c r="J2150"/>
      <c r="K2150"/>
      <c r="L2150" s="499"/>
      <c r="BX2150" s="769"/>
      <c r="BY2150"/>
      <c r="BZ2150"/>
      <c r="CA2150"/>
      <c r="CB2150"/>
      <c r="CC2150"/>
      <c r="CD2150"/>
      <c r="CE2150"/>
      <c r="CF2150"/>
      <c r="CG2150"/>
      <c r="CH2150"/>
      <c r="CI2150"/>
      <c r="CJ2150"/>
      <c r="CK2150"/>
      <c r="CL2150"/>
      <c r="CM2150"/>
    </row>
    <row r="2151" spans="1:91" x14ac:dyDescent="0.2">
      <c r="A2151"/>
      <c r="B2151"/>
      <c r="D2151"/>
      <c r="E2151"/>
      <c r="F2151"/>
      <c r="G2151"/>
      <c r="I2151"/>
      <c r="J2151"/>
      <c r="K2151"/>
      <c r="L2151" s="499"/>
      <c r="BX2151" s="769"/>
      <c r="BY2151"/>
      <c r="BZ2151"/>
      <c r="CA2151"/>
      <c r="CB2151"/>
      <c r="CC2151"/>
      <c r="CD2151"/>
      <c r="CE2151"/>
      <c r="CF2151"/>
      <c r="CG2151"/>
      <c r="CH2151"/>
      <c r="CI2151"/>
      <c r="CJ2151"/>
      <c r="CK2151"/>
      <c r="CL2151"/>
      <c r="CM2151"/>
    </row>
    <row r="2152" spans="1:91" x14ac:dyDescent="0.2">
      <c r="A2152"/>
      <c r="B2152"/>
      <c r="D2152"/>
      <c r="E2152"/>
      <c r="F2152"/>
      <c r="G2152"/>
      <c r="I2152"/>
      <c r="J2152"/>
      <c r="K2152"/>
      <c r="L2152" s="499"/>
      <c r="BX2152" s="769"/>
      <c r="BY2152"/>
      <c r="BZ2152"/>
      <c r="CA2152"/>
      <c r="CB2152"/>
      <c r="CC2152"/>
      <c r="CD2152"/>
      <c r="CE2152"/>
      <c r="CF2152"/>
      <c r="CG2152"/>
      <c r="CH2152"/>
      <c r="CI2152"/>
      <c r="CJ2152"/>
      <c r="CK2152"/>
      <c r="CL2152"/>
      <c r="CM2152"/>
    </row>
    <row r="2153" spans="1:91" x14ac:dyDescent="0.2">
      <c r="A2153"/>
      <c r="B2153"/>
      <c r="D2153"/>
      <c r="E2153"/>
      <c r="F2153"/>
      <c r="G2153"/>
      <c r="I2153"/>
      <c r="J2153"/>
      <c r="K2153"/>
      <c r="L2153" s="499"/>
      <c r="BX2153" s="769"/>
      <c r="BY2153"/>
      <c r="BZ2153"/>
      <c r="CA2153"/>
      <c r="CB2153"/>
      <c r="CC2153"/>
      <c r="CD2153"/>
      <c r="CE2153"/>
      <c r="CF2153"/>
      <c r="CG2153"/>
      <c r="CH2153"/>
      <c r="CI2153"/>
      <c r="CJ2153"/>
      <c r="CK2153"/>
      <c r="CL2153"/>
      <c r="CM2153"/>
    </row>
    <row r="2154" spans="1:91" x14ac:dyDescent="0.2">
      <c r="A2154"/>
      <c r="B2154"/>
      <c r="D2154"/>
      <c r="E2154"/>
      <c r="F2154"/>
      <c r="G2154"/>
      <c r="I2154"/>
      <c r="J2154"/>
      <c r="K2154"/>
      <c r="L2154" s="499"/>
      <c r="BX2154" s="769"/>
      <c r="BY2154"/>
      <c r="BZ2154"/>
      <c r="CA2154"/>
      <c r="CB2154"/>
      <c r="CC2154"/>
      <c r="CD2154"/>
      <c r="CE2154"/>
      <c r="CF2154"/>
      <c r="CG2154"/>
      <c r="CH2154"/>
      <c r="CI2154"/>
      <c r="CJ2154"/>
      <c r="CK2154"/>
      <c r="CL2154"/>
      <c r="CM2154"/>
    </row>
    <row r="2155" spans="1:91" x14ac:dyDescent="0.2">
      <c r="A2155"/>
      <c r="B2155"/>
      <c r="D2155"/>
      <c r="E2155"/>
      <c r="F2155"/>
      <c r="G2155"/>
      <c r="I2155"/>
      <c r="J2155"/>
      <c r="K2155"/>
      <c r="L2155" s="499"/>
      <c r="BX2155" s="769"/>
      <c r="BY2155"/>
      <c r="BZ2155"/>
      <c r="CA2155"/>
      <c r="CB2155"/>
      <c r="CC2155"/>
      <c r="CD2155"/>
      <c r="CE2155"/>
      <c r="CF2155"/>
      <c r="CG2155"/>
      <c r="CH2155"/>
      <c r="CI2155"/>
      <c r="CJ2155"/>
      <c r="CK2155"/>
      <c r="CL2155"/>
      <c r="CM2155"/>
    </row>
    <row r="2156" spans="1:91" x14ac:dyDescent="0.2">
      <c r="A2156"/>
      <c r="B2156"/>
      <c r="D2156"/>
      <c r="E2156"/>
      <c r="F2156"/>
      <c r="G2156"/>
      <c r="I2156"/>
      <c r="J2156"/>
      <c r="K2156"/>
      <c r="L2156" s="499"/>
      <c r="BX2156" s="769"/>
      <c r="BY2156"/>
      <c r="BZ2156"/>
      <c r="CA2156"/>
      <c r="CB2156"/>
      <c r="CC2156"/>
      <c r="CD2156"/>
      <c r="CE2156"/>
      <c r="CF2156"/>
      <c r="CG2156"/>
      <c r="CH2156"/>
      <c r="CI2156"/>
      <c r="CJ2156"/>
      <c r="CK2156"/>
      <c r="CL2156"/>
      <c r="CM2156"/>
    </row>
    <row r="2157" spans="1:91" x14ac:dyDescent="0.2">
      <c r="A2157"/>
      <c r="B2157"/>
      <c r="D2157"/>
      <c r="E2157"/>
      <c r="F2157"/>
      <c r="G2157"/>
      <c r="I2157"/>
      <c r="J2157"/>
      <c r="K2157"/>
      <c r="L2157" s="499"/>
      <c r="BX2157" s="769"/>
      <c r="BY2157"/>
      <c r="BZ2157"/>
      <c r="CA2157"/>
      <c r="CB2157"/>
      <c r="CC2157"/>
      <c r="CD2157"/>
      <c r="CE2157"/>
      <c r="CF2157"/>
      <c r="CG2157"/>
      <c r="CH2157"/>
      <c r="CI2157"/>
      <c r="CJ2157"/>
      <c r="CK2157"/>
      <c r="CL2157"/>
      <c r="CM2157"/>
    </row>
    <row r="2158" spans="1:91" x14ac:dyDescent="0.2">
      <c r="A2158"/>
      <c r="B2158"/>
      <c r="D2158"/>
      <c r="E2158"/>
      <c r="F2158"/>
      <c r="G2158"/>
      <c r="I2158"/>
      <c r="J2158"/>
      <c r="K2158"/>
      <c r="L2158" s="499"/>
      <c r="BX2158" s="769"/>
      <c r="BY2158"/>
      <c r="BZ2158"/>
      <c r="CA2158"/>
      <c r="CB2158"/>
      <c r="CC2158"/>
      <c r="CD2158"/>
      <c r="CE2158"/>
      <c r="CF2158"/>
      <c r="CG2158"/>
      <c r="CH2158"/>
      <c r="CI2158"/>
      <c r="CJ2158"/>
      <c r="CK2158"/>
      <c r="CL2158"/>
      <c r="CM2158"/>
    </row>
    <row r="2159" spans="1:91" x14ac:dyDescent="0.2">
      <c r="A2159"/>
      <c r="B2159"/>
      <c r="D2159"/>
      <c r="E2159"/>
      <c r="F2159"/>
      <c r="G2159"/>
      <c r="I2159"/>
      <c r="J2159"/>
      <c r="K2159"/>
      <c r="L2159" s="499"/>
      <c r="BX2159" s="769"/>
      <c r="BY2159"/>
      <c r="BZ2159"/>
      <c r="CA2159"/>
      <c r="CB2159"/>
      <c r="CC2159"/>
      <c r="CD2159"/>
      <c r="CE2159"/>
      <c r="CF2159"/>
      <c r="CG2159"/>
      <c r="CH2159"/>
      <c r="CI2159"/>
      <c r="CJ2159"/>
      <c r="CK2159"/>
      <c r="CL2159"/>
      <c r="CM2159"/>
    </row>
    <row r="2160" spans="1:91" x14ac:dyDescent="0.2">
      <c r="A2160"/>
      <c r="B2160"/>
      <c r="D2160"/>
      <c r="E2160"/>
      <c r="F2160"/>
      <c r="G2160"/>
      <c r="I2160"/>
      <c r="J2160"/>
      <c r="K2160"/>
      <c r="L2160" s="499"/>
      <c r="BX2160" s="769"/>
      <c r="BY2160"/>
      <c r="BZ2160"/>
      <c r="CA2160"/>
      <c r="CB2160"/>
      <c r="CC2160"/>
      <c r="CD2160"/>
      <c r="CE2160"/>
      <c r="CF2160"/>
      <c r="CG2160"/>
      <c r="CH2160"/>
      <c r="CI2160"/>
      <c r="CJ2160"/>
      <c r="CK2160"/>
      <c r="CL2160"/>
      <c r="CM2160"/>
    </row>
    <row r="2161" spans="1:91" x14ac:dyDescent="0.2">
      <c r="A2161"/>
      <c r="B2161"/>
      <c r="D2161"/>
      <c r="E2161"/>
      <c r="F2161"/>
      <c r="G2161"/>
      <c r="I2161"/>
      <c r="J2161"/>
      <c r="K2161"/>
      <c r="L2161" s="499"/>
      <c r="BX2161" s="769"/>
      <c r="BY2161"/>
      <c r="BZ2161"/>
      <c r="CA2161"/>
      <c r="CB2161"/>
      <c r="CC2161"/>
      <c r="CD2161"/>
      <c r="CE2161"/>
      <c r="CF2161"/>
      <c r="CG2161"/>
      <c r="CH2161"/>
      <c r="CI2161"/>
      <c r="CJ2161"/>
      <c r="CK2161"/>
      <c r="CL2161"/>
      <c r="CM2161"/>
    </row>
    <row r="2162" spans="1:91" x14ac:dyDescent="0.2">
      <c r="A2162"/>
      <c r="B2162"/>
      <c r="D2162"/>
      <c r="E2162"/>
      <c r="F2162"/>
      <c r="G2162"/>
      <c r="I2162"/>
      <c r="J2162"/>
      <c r="K2162"/>
      <c r="L2162" s="499"/>
      <c r="BX2162" s="769"/>
      <c r="BY2162"/>
      <c r="BZ2162"/>
      <c r="CA2162"/>
      <c r="CB2162"/>
      <c r="CC2162"/>
      <c r="CD2162"/>
      <c r="CE2162"/>
      <c r="CF2162"/>
      <c r="CG2162"/>
      <c r="CH2162"/>
      <c r="CI2162"/>
      <c r="CJ2162"/>
      <c r="CK2162"/>
      <c r="CL2162"/>
      <c r="CM2162"/>
    </row>
    <row r="2163" spans="1:91" x14ac:dyDescent="0.2">
      <c r="A2163"/>
      <c r="B2163"/>
      <c r="D2163"/>
      <c r="E2163"/>
      <c r="F2163"/>
      <c r="G2163"/>
      <c r="I2163"/>
      <c r="J2163"/>
      <c r="K2163"/>
      <c r="L2163" s="499"/>
      <c r="BX2163" s="769"/>
      <c r="BY2163"/>
      <c r="BZ2163"/>
      <c r="CA2163"/>
      <c r="CB2163"/>
      <c r="CC2163"/>
      <c r="CD2163"/>
      <c r="CE2163"/>
      <c r="CF2163"/>
      <c r="CG2163"/>
      <c r="CH2163"/>
      <c r="CI2163"/>
      <c r="CJ2163"/>
      <c r="CK2163"/>
      <c r="CL2163"/>
      <c r="CM2163"/>
    </row>
    <row r="2164" spans="1:91" x14ac:dyDescent="0.2">
      <c r="A2164"/>
      <c r="B2164"/>
      <c r="D2164"/>
      <c r="E2164"/>
      <c r="F2164"/>
      <c r="G2164"/>
      <c r="I2164"/>
      <c r="J2164"/>
      <c r="K2164"/>
      <c r="L2164" s="499"/>
      <c r="BX2164" s="769"/>
      <c r="BY2164"/>
      <c r="BZ2164"/>
      <c r="CA2164"/>
      <c r="CB2164"/>
      <c r="CC2164"/>
      <c r="CD2164"/>
      <c r="CE2164"/>
      <c r="CF2164"/>
      <c r="CG2164"/>
      <c r="CH2164"/>
      <c r="CI2164"/>
      <c r="CJ2164"/>
      <c r="CK2164"/>
      <c r="CL2164"/>
      <c r="CM2164"/>
    </row>
    <row r="2165" spans="1:91" x14ac:dyDescent="0.2">
      <c r="A2165"/>
      <c r="B2165"/>
      <c r="D2165"/>
      <c r="E2165"/>
      <c r="F2165"/>
      <c r="G2165"/>
      <c r="I2165"/>
      <c r="J2165"/>
      <c r="K2165"/>
      <c r="L2165" s="499"/>
      <c r="BX2165" s="769"/>
      <c r="BY2165"/>
      <c r="BZ2165"/>
      <c r="CA2165"/>
      <c r="CB2165"/>
      <c r="CC2165"/>
      <c r="CD2165"/>
      <c r="CE2165"/>
      <c r="CF2165"/>
      <c r="CG2165"/>
      <c r="CH2165"/>
      <c r="CI2165"/>
      <c r="CJ2165"/>
      <c r="CK2165"/>
      <c r="CL2165"/>
      <c r="CM2165"/>
    </row>
    <row r="2166" spans="1:91" x14ac:dyDescent="0.2">
      <c r="A2166"/>
      <c r="B2166"/>
      <c r="D2166"/>
      <c r="E2166"/>
      <c r="F2166"/>
      <c r="G2166"/>
      <c r="I2166"/>
      <c r="J2166"/>
      <c r="K2166"/>
      <c r="L2166" s="499"/>
      <c r="BX2166" s="769"/>
      <c r="BY2166"/>
      <c r="BZ2166"/>
      <c r="CA2166"/>
      <c r="CB2166"/>
      <c r="CC2166"/>
      <c r="CD2166"/>
      <c r="CE2166"/>
      <c r="CF2166"/>
      <c r="CG2166"/>
      <c r="CH2166"/>
      <c r="CI2166"/>
      <c r="CJ2166"/>
      <c r="CK2166"/>
      <c r="CL2166"/>
      <c r="CM2166"/>
    </row>
    <row r="2167" spans="1:91" x14ac:dyDescent="0.2">
      <c r="A2167"/>
      <c r="B2167"/>
      <c r="D2167"/>
      <c r="E2167"/>
      <c r="F2167"/>
      <c r="G2167"/>
      <c r="I2167"/>
      <c r="J2167"/>
      <c r="K2167"/>
      <c r="L2167" s="499"/>
      <c r="BX2167" s="769"/>
      <c r="BY2167"/>
      <c r="BZ2167"/>
      <c r="CA2167"/>
      <c r="CB2167"/>
      <c r="CC2167"/>
      <c r="CD2167"/>
      <c r="CE2167"/>
      <c r="CF2167"/>
      <c r="CG2167"/>
      <c r="CH2167"/>
      <c r="CI2167"/>
      <c r="CJ2167"/>
      <c r="CK2167"/>
      <c r="CL2167"/>
      <c r="CM2167"/>
    </row>
    <row r="2168" spans="1:91" x14ac:dyDescent="0.2">
      <c r="A2168"/>
      <c r="B2168"/>
      <c r="D2168"/>
      <c r="E2168"/>
      <c r="F2168"/>
      <c r="G2168"/>
      <c r="I2168"/>
      <c r="J2168"/>
      <c r="K2168"/>
      <c r="L2168" s="499"/>
      <c r="BX2168" s="769"/>
      <c r="BY2168"/>
      <c r="BZ2168"/>
      <c r="CA2168"/>
      <c r="CB2168"/>
      <c r="CC2168"/>
      <c r="CD2168"/>
      <c r="CE2168"/>
      <c r="CF2168"/>
      <c r="CG2168"/>
      <c r="CH2168"/>
      <c r="CI2168"/>
      <c r="CJ2168"/>
      <c r="CK2168"/>
      <c r="CL2168"/>
      <c r="CM2168"/>
    </row>
    <row r="2169" spans="1:91" x14ac:dyDescent="0.2">
      <c r="A2169"/>
      <c r="B2169"/>
      <c r="D2169"/>
      <c r="E2169"/>
      <c r="F2169"/>
      <c r="G2169"/>
      <c r="I2169"/>
      <c r="J2169"/>
      <c r="K2169"/>
      <c r="L2169" s="499"/>
      <c r="BX2169" s="769"/>
      <c r="BY2169"/>
      <c r="BZ2169"/>
      <c r="CA2169"/>
      <c r="CB2169"/>
      <c r="CC2169"/>
      <c r="CD2169"/>
      <c r="CE2169"/>
      <c r="CF2169"/>
      <c r="CG2169"/>
      <c r="CH2169"/>
      <c r="CI2169"/>
      <c r="CJ2169"/>
      <c r="CK2169"/>
      <c r="CL2169"/>
      <c r="CM2169"/>
    </row>
    <row r="2170" spans="1:91" x14ac:dyDescent="0.2">
      <c r="A2170"/>
      <c r="B2170"/>
      <c r="D2170"/>
      <c r="E2170"/>
      <c r="F2170"/>
      <c r="G2170"/>
      <c r="I2170"/>
      <c r="J2170"/>
      <c r="K2170"/>
      <c r="L2170" s="499"/>
      <c r="BX2170" s="769"/>
      <c r="BY2170"/>
      <c r="BZ2170"/>
      <c r="CA2170"/>
      <c r="CB2170"/>
      <c r="CC2170"/>
      <c r="CD2170"/>
      <c r="CE2170"/>
      <c r="CF2170"/>
      <c r="CG2170"/>
      <c r="CH2170"/>
      <c r="CI2170"/>
      <c r="CJ2170"/>
      <c r="CK2170"/>
      <c r="CL2170"/>
      <c r="CM2170"/>
    </row>
    <row r="2171" spans="1:91" x14ac:dyDescent="0.2">
      <c r="A2171"/>
      <c r="B2171"/>
      <c r="D2171"/>
      <c r="E2171"/>
      <c r="F2171"/>
      <c r="G2171"/>
      <c r="I2171"/>
      <c r="J2171"/>
      <c r="K2171"/>
      <c r="L2171" s="499"/>
      <c r="BX2171" s="769"/>
      <c r="BY2171"/>
      <c r="BZ2171"/>
      <c r="CA2171"/>
      <c r="CB2171"/>
      <c r="CC2171"/>
      <c r="CD2171"/>
      <c r="CE2171"/>
      <c r="CF2171"/>
      <c r="CG2171"/>
      <c r="CH2171"/>
      <c r="CI2171"/>
      <c r="CJ2171"/>
      <c r="CK2171"/>
      <c r="CL2171"/>
      <c r="CM2171"/>
    </row>
    <row r="2172" spans="1:91" x14ac:dyDescent="0.2">
      <c r="A2172"/>
      <c r="B2172"/>
      <c r="D2172"/>
      <c r="E2172"/>
      <c r="F2172"/>
      <c r="G2172"/>
      <c r="I2172"/>
      <c r="J2172"/>
      <c r="K2172"/>
      <c r="L2172" s="499"/>
      <c r="BX2172" s="769"/>
      <c r="BY2172"/>
      <c r="BZ2172"/>
      <c r="CA2172"/>
      <c r="CB2172"/>
      <c r="CC2172"/>
      <c r="CD2172"/>
      <c r="CE2172"/>
      <c r="CF2172"/>
      <c r="CG2172"/>
      <c r="CH2172"/>
      <c r="CI2172"/>
      <c r="CJ2172"/>
      <c r="CK2172"/>
      <c r="CL2172"/>
      <c r="CM2172"/>
    </row>
    <row r="2173" spans="1:91" x14ac:dyDescent="0.2">
      <c r="A2173"/>
      <c r="B2173"/>
      <c r="D2173"/>
      <c r="E2173"/>
      <c r="F2173"/>
      <c r="G2173"/>
      <c r="I2173"/>
      <c r="J2173"/>
      <c r="K2173"/>
      <c r="L2173" s="499"/>
      <c r="BX2173" s="769"/>
      <c r="BY2173"/>
      <c r="BZ2173"/>
      <c r="CA2173"/>
      <c r="CB2173"/>
      <c r="CC2173"/>
      <c r="CD2173"/>
      <c r="CE2173"/>
      <c r="CF2173"/>
      <c r="CG2173"/>
      <c r="CH2173"/>
      <c r="CI2173"/>
      <c r="CJ2173"/>
      <c r="CK2173"/>
      <c r="CL2173"/>
      <c r="CM2173"/>
    </row>
    <row r="2174" spans="1:91" x14ac:dyDescent="0.2">
      <c r="A2174"/>
      <c r="B2174"/>
      <c r="D2174"/>
      <c r="E2174"/>
      <c r="F2174"/>
      <c r="G2174"/>
      <c r="I2174"/>
      <c r="J2174"/>
      <c r="K2174"/>
      <c r="L2174" s="499"/>
      <c r="BX2174" s="769"/>
      <c r="BY2174"/>
      <c r="BZ2174"/>
      <c r="CA2174"/>
      <c r="CB2174"/>
      <c r="CC2174"/>
      <c r="CD2174"/>
      <c r="CE2174"/>
      <c r="CF2174"/>
      <c r="CG2174"/>
      <c r="CH2174"/>
      <c r="CI2174"/>
      <c r="CJ2174"/>
      <c r="CK2174"/>
      <c r="CL2174"/>
      <c r="CM2174"/>
    </row>
    <row r="2175" spans="1:91" x14ac:dyDescent="0.2">
      <c r="A2175"/>
      <c r="B2175"/>
      <c r="D2175"/>
      <c r="E2175"/>
      <c r="F2175"/>
      <c r="G2175"/>
      <c r="I2175"/>
      <c r="J2175"/>
      <c r="K2175"/>
      <c r="L2175" s="499"/>
      <c r="BX2175" s="769"/>
      <c r="BY2175"/>
      <c r="BZ2175"/>
      <c r="CA2175"/>
      <c r="CB2175"/>
      <c r="CC2175"/>
      <c r="CD2175"/>
      <c r="CE2175"/>
      <c r="CF2175"/>
      <c r="CG2175"/>
      <c r="CH2175"/>
      <c r="CI2175"/>
      <c r="CJ2175"/>
      <c r="CK2175"/>
      <c r="CL2175"/>
      <c r="CM2175"/>
    </row>
    <row r="2176" spans="1:91" x14ac:dyDescent="0.2">
      <c r="A2176"/>
      <c r="B2176"/>
      <c r="D2176"/>
      <c r="E2176"/>
      <c r="F2176"/>
      <c r="G2176"/>
      <c r="I2176"/>
      <c r="J2176"/>
      <c r="K2176"/>
      <c r="L2176" s="499"/>
      <c r="BX2176" s="769"/>
      <c r="BY2176"/>
      <c r="BZ2176"/>
      <c r="CA2176"/>
      <c r="CB2176"/>
      <c r="CC2176"/>
      <c r="CD2176"/>
      <c r="CE2176"/>
      <c r="CF2176"/>
      <c r="CG2176"/>
      <c r="CH2176"/>
      <c r="CI2176"/>
      <c r="CJ2176"/>
      <c r="CK2176"/>
      <c r="CL2176"/>
      <c r="CM2176"/>
    </row>
    <row r="2177" spans="1:91" x14ac:dyDescent="0.2">
      <c r="A2177"/>
      <c r="B2177"/>
      <c r="D2177"/>
      <c r="E2177"/>
      <c r="F2177"/>
      <c r="G2177"/>
      <c r="I2177"/>
      <c r="J2177"/>
      <c r="K2177"/>
      <c r="L2177" s="499"/>
      <c r="BX2177" s="769"/>
      <c r="BY2177"/>
      <c r="BZ2177"/>
      <c r="CA2177"/>
      <c r="CB2177"/>
      <c r="CC2177"/>
      <c r="CD2177"/>
      <c r="CE2177"/>
      <c r="CF2177"/>
      <c r="CG2177"/>
      <c r="CH2177"/>
      <c r="CI2177"/>
      <c r="CJ2177"/>
      <c r="CK2177"/>
      <c r="CL2177"/>
      <c r="CM2177"/>
    </row>
    <row r="2178" spans="1:91" x14ac:dyDescent="0.2">
      <c r="A2178"/>
      <c r="B2178"/>
      <c r="D2178"/>
      <c r="E2178"/>
      <c r="F2178"/>
      <c r="G2178"/>
      <c r="I2178"/>
      <c r="J2178"/>
      <c r="K2178"/>
      <c r="L2178" s="499"/>
      <c r="BX2178" s="769"/>
      <c r="BY2178"/>
      <c r="BZ2178"/>
      <c r="CA2178"/>
      <c r="CB2178"/>
      <c r="CC2178"/>
      <c r="CD2178"/>
      <c r="CE2178"/>
      <c r="CF2178"/>
      <c r="CG2178"/>
      <c r="CH2178"/>
      <c r="CI2178"/>
      <c r="CJ2178"/>
      <c r="CK2178"/>
      <c r="CL2178"/>
      <c r="CM2178"/>
    </row>
    <row r="2179" spans="1:91" x14ac:dyDescent="0.2">
      <c r="A2179"/>
      <c r="B2179"/>
      <c r="D2179"/>
      <c r="E2179"/>
      <c r="F2179"/>
      <c r="G2179"/>
      <c r="I2179"/>
      <c r="J2179"/>
      <c r="K2179"/>
      <c r="L2179" s="499"/>
      <c r="BX2179" s="769"/>
      <c r="BY2179"/>
      <c r="BZ2179"/>
      <c r="CA2179"/>
      <c r="CB2179"/>
      <c r="CC2179"/>
      <c r="CD2179"/>
      <c r="CE2179"/>
      <c r="CF2179"/>
      <c r="CG2179"/>
      <c r="CH2179"/>
      <c r="CI2179"/>
      <c r="CJ2179"/>
      <c r="CK2179"/>
      <c r="CL2179"/>
      <c r="CM2179"/>
    </row>
    <row r="2180" spans="1:91" x14ac:dyDescent="0.2">
      <c r="A2180"/>
      <c r="B2180"/>
      <c r="D2180"/>
      <c r="E2180"/>
      <c r="F2180"/>
      <c r="G2180"/>
      <c r="I2180"/>
      <c r="J2180"/>
      <c r="K2180"/>
      <c r="L2180" s="499"/>
      <c r="BX2180" s="769"/>
      <c r="BY2180"/>
      <c r="BZ2180"/>
      <c r="CA2180"/>
      <c r="CB2180"/>
      <c r="CC2180"/>
      <c r="CD2180"/>
      <c r="CE2180"/>
      <c r="CF2180"/>
      <c r="CG2180"/>
      <c r="CH2180"/>
      <c r="CI2180"/>
      <c r="CJ2180"/>
      <c r="CK2180"/>
      <c r="CL2180"/>
      <c r="CM2180"/>
    </row>
    <row r="2181" spans="1:91" x14ac:dyDescent="0.2">
      <c r="A2181"/>
      <c r="B2181"/>
      <c r="D2181"/>
      <c r="E2181"/>
      <c r="F2181"/>
      <c r="G2181"/>
      <c r="I2181"/>
      <c r="J2181"/>
      <c r="K2181"/>
      <c r="L2181" s="499"/>
      <c r="BX2181" s="769"/>
      <c r="BY2181"/>
      <c r="BZ2181"/>
      <c r="CA2181"/>
      <c r="CB2181"/>
      <c r="CC2181"/>
      <c r="CD2181"/>
      <c r="CE2181"/>
      <c r="CF2181"/>
      <c r="CG2181"/>
      <c r="CH2181"/>
      <c r="CI2181"/>
      <c r="CJ2181"/>
      <c r="CK2181"/>
      <c r="CL2181"/>
      <c r="CM2181"/>
    </row>
    <row r="2182" spans="1:91" x14ac:dyDescent="0.2">
      <c r="A2182"/>
      <c r="B2182"/>
      <c r="D2182"/>
      <c r="E2182"/>
      <c r="F2182"/>
      <c r="G2182"/>
      <c r="I2182"/>
      <c r="J2182"/>
      <c r="K2182"/>
      <c r="L2182" s="499"/>
      <c r="BX2182" s="769"/>
      <c r="BY2182"/>
      <c r="BZ2182"/>
      <c r="CA2182"/>
      <c r="CB2182"/>
      <c r="CC2182"/>
      <c r="CD2182"/>
      <c r="CE2182"/>
      <c r="CF2182"/>
      <c r="CG2182"/>
      <c r="CH2182"/>
      <c r="CI2182"/>
      <c r="CJ2182"/>
      <c r="CK2182"/>
      <c r="CL2182"/>
      <c r="CM2182"/>
    </row>
    <row r="2183" spans="1:91" x14ac:dyDescent="0.2">
      <c r="A2183"/>
      <c r="B2183"/>
      <c r="D2183"/>
      <c r="E2183"/>
      <c r="F2183"/>
      <c r="G2183"/>
      <c r="I2183"/>
      <c r="J2183"/>
      <c r="K2183"/>
      <c r="L2183" s="499"/>
      <c r="BX2183" s="769"/>
      <c r="BY2183"/>
      <c r="BZ2183"/>
      <c r="CA2183"/>
      <c r="CB2183"/>
      <c r="CC2183"/>
      <c r="CD2183"/>
      <c r="CE2183"/>
      <c r="CF2183"/>
      <c r="CG2183"/>
      <c r="CH2183"/>
      <c r="CI2183"/>
      <c r="CJ2183"/>
      <c r="CK2183"/>
      <c r="CL2183"/>
      <c r="CM2183"/>
    </row>
    <row r="2184" spans="1:91" x14ac:dyDescent="0.2">
      <c r="A2184"/>
      <c r="B2184"/>
      <c r="D2184"/>
      <c r="E2184"/>
      <c r="F2184"/>
      <c r="G2184"/>
      <c r="I2184"/>
      <c r="J2184"/>
      <c r="K2184"/>
      <c r="L2184" s="499"/>
      <c r="BX2184" s="769"/>
      <c r="BY2184"/>
      <c r="BZ2184"/>
      <c r="CA2184"/>
      <c r="CB2184"/>
      <c r="CC2184"/>
      <c r="CD2184"/>
      <c r="CE2184"/>
      <c r="CF2184"/>
      <c r="CG2184"/>
      <c r="CH2184"/>
      <c r="CI2184"/>
      <c r="CJ2184"/>
      <c r="CK2184"/>
      <c r="CL2184"/>
      <c r="CM2184"/>
    </row>
    <row r="2185" spans="1:91" x14ac:dyDescent="0.2">
      <c r="A2185"/>
      <c r="B2185"/>
      <c r="D2185"/>
      <c r="E2185"/>
      <c r="F2185"/>
      <c r="G2185"/>
      <c r="I2185"/>
      <c r="J2185"/>
      <c r="K2185"/>
      <c r="L2185" s="499"/>
      <c r="BX2185" s="769"/>
      <c r="BY2185"/>
      <c r="BZ2185"/>
      <c r="CA2185"/>
      <c r="CB2185"/>
      <c r="CC2185"/>
      <c r="CD2185"/>
      <c r="CE2185"/>
      <c r="CF2185"/>
      <c r="CG2185"/>
      <c r="CH2185"/>
      <c r="CI2185"/>
      <c r="CJ2185"/>
      <c r="CK2185"/>
      <c r="CL2185"/>
      <c r="CM2185"/>
    </row>
    <row r="2186" spans="1:91" x14ac:dyDescent="0.2">
      <c r="A2186"/>
      <c r="B2186"/>
      <c r="D2186"/>
      <c r="E2186"/>
      <c r="F2186"/>
      <c r="G2186"/>
      <c r="I2186"/>
      <c r="J2186"/>
      <c r="K2186"/>
      <c r="L2186" s="499"/>
      <c r="BX2186" s="769"/>
      <c r="BY2186"/>
      <c r="BZ2186"/>
      <c r="CA2186"/>
      <c r="CB2186"/>
      <c r="CC2186"/>
      <c r="CD2186"/>
      <c r="CE2186"/>
      <c r="CF2186"/>
      <c r="CG2186"/>
      <c r="CH2186"/>
      <c r="CI2186"/>
      <c r="CJ2186"/>
      <c r="CK2186"/>
      <c r="CL2186"/>
      <c r="CM2186"/>
    </row>
    <row r="2187" spans="1:91" x14ac:dyDescent="0.2">
      <c r="A2187"/>
      <c r="B2187"/>
      <c r="D2187"/>
      <c r="E2187"/>
      <c r="F2187"/>
      <c r="G2187"/>
      <c r="I2187"/>
      <c r="J2187"/>
      <c r="K2187"/>
      <c r="L2187" s="499"/>
      <c r="BX2187" s="769"/>
      <c r="BY2187"/>
      <c r="BZ2187"/>
      <c r="CA2187"/>
      <c r="CB2187"/>
      <c r="CC2187"/>
      <c r="CD2187"/>
      <c r="CE2187"/>
      <c r="CF2187"/>
      <c r="CG2187"/>
      <c r="CH2187"/>
      <c r="CI2187"/>
      <c r="CJ2187"/>
      <c r="CK2187"/>
      <c r="CL2187"/>
      <c r="CM2187"/>
    </row>
    <row r="2188" spans="1:91" x14ac:dyDescent="0.2">
      <c r="A2188"/>
      <c r="B2188"/>
      <c r="D2188"/>
      <c r="E2188"/>
      <c r="F2188"/>
      <c r="G2188"/>
      <c r="I2188"/>
      <c r="J2188"/>
      <c r="K2188"/>
      <c r="L2188" s="499"/>
      <c r="BX2188" s="769"/>
      <c r="BY2188"/>
      <c r="BZ2188"/>
      <c r="CA2188"/>
      <c r="CB2188"/>
      <c r="CC2188"/>
      <c r="CD2188"/>
      <c r="CE2188"/>
      <c r="CF2188"/>
      <c r="CG2188"/>
      <c r="CH2188"/>
      <c r="CI2188"/>
      <c r="CJ2188"/>
      <c r="CK2188"/>
      <c r="CL2188"/>
      <c r="CM2188"/>
    </row>
    <row r="2189" spans="1:91" x14ac:dyDescent="0.2">
      <c r="A2189"/>
      <c r="B2189"/>
      <c r="D2189"/>
      <c r="E2189"/>
      <c r="F2189"/>
      <c r="G2189"/>
      <c r="I2189"/>
      <c r="J2189"/>
      <c r="K2189"/>
      <c r="L2189" s="499"/>
      <c r="BX2189" s="769"/>
      <c r="BY2189"/>
      <c r="BZ2189"/>
      <c r="CA2189"/>
      <c r="CB2189"/>
      <c r="CC2189"/>
      <c r="CD2189"/>
      <c r="CE2189"/>
      <c r="CF2189"/>
      <c r="CG2189"/>
      <c r="CH2189"/>
      <c r="CI2189"/>
      <c r="CJ2189"/>
      <c r="CK2189"/>
      <c r="CL2189"/>
      <c r="CM2189"/>
    </row>
    <row r="2190" spans="1:91" x14ac:dyDescent="0.2">
      <c r="A2190"/>
      <c r="B2190"/>
      <c r="D2190"/>
      <c r="E2190"/>
      <c r="F2190"/>
      <c r="G2190"/>
      <c r="I2190"/>
      <c r="J2190"/>
      <c r="K2190"/>
      <c r="L2190" s="499"/>
      <c r="BX2190" s="769"/>
      <c r="BY2190"/>
      <c r="BZ2190"/>
      <c r="CA2190"/>
      <c r="CB2190"/>
      <c r="CC2190"/>
      <c r="CD2190"/>
      <c r="CE2190"/>
      <c r="CF2190"/>
      <c r="CG2190"/>
      <c r="CH2190"/>
      <c r="CI2190"/>
      <c r="CJ2190"/>
      <c r="CK2190"/>
      <c r="CL2190"/>
      <c r="CM2190"/>
    </row>
    <row r="2191" spans="1:91" x14ac:dyDescent="0.2">
      <c r="A2191"/>
      <c r="B2191"/>
      <c r="D2191"/>
      <c r="E2191"/>
      <c r="F2191"/>
      <c r="G2191"/>
      <c r="I2191"/>
      <c r="J2191"/>
      <c r="K2191"/>
      <c r="L2191" s="499"/>
      <c r="BX2191" s="769"/>
      <c r="BY2191"/>
      <c r="BZ2191"/>
      <c r="CA2191"/>
      <c r="CB2191"/>
      <c r="CC2191"/>
      <c r="CD2191"/>
      <c r="CE2191"/>
      <c r="CF2191"/>
      <c r="CG2191"/>
      <c r="CH2191"/>
      <c r="CI2191"/>
      <c r="CJ2191"/>
      <c r="CK2191"/>
      <c r="CL2191"/>
      <c r="CM2191"/>
    </row>
    <row r="2192" spans="1:91" x14ac:dyDescent="0.2">
      <c r="A2192"/>
      <c r="B2192"/>
      <c r="D2192"/>
      <c r="E2192"/>
      <c r="F2192"/>
      <c r="G2192"/>
      <c r="I2192"/>
      <c r="J2192"/>
      <c r="K2192"/>
      <c r="L2192" s="499"/>
      <c r="BX2192" s="769"/>
      <c r="BY2192"/>
      <c r="BZ2192"/>
      <c r="CA2192"/>
      <c r="CB2192"/>
      <c r="CC2192"/>
      <c r="CD2192"/>
      <c r="CE2192"/>
      <c r="CF2192"/>
      <c r="CG2192"/>
      <c r="CH2192"/>
      <c r="CI2192"/>
      <c r="CJ2192"/>
      <c r="CK2192"/>
      <c r="CL2192"/>
      <c r="CM2192"/>
    </row>
    <row r="2193" spans="1:91" x14ac:dyDescent="0.2">
      <c r="A2193"/>
      <c r="B2193"/>
      <c r="D2193"/>
      <c r="E2193"/>
      <c r="F2193"/>
      <c r="G2193"/>
      <c r="I2193"/>
      <c r="J2193"/>
      <c r="K2193"/>
      <c r="L2193" s="499"/>
      <c r="BX2193" s="769"/>
      <c r="BY2193"/>
      <c r="BZ2193"/>
      <c r="CA2193"/>
      <c r="CB2193"/>
      <c r="CC2193"/>
      <c r="CD2193"/>
      <c r="CE2193"/>
      <c r="CF2193"/>
      <c r="CG2193"/>
      <c r="CH2193"/>
      <c r="CI2193"/>
      <c r="CJ2193"/>
      <c r="CK2193"/>
      <c r="CL2193"/>
      <c r="CM2193"/>
    </row>
    <row r="2194" spans="1:91" x14ac:dyDescent="0.2">
      <c r="A2194"/>
      <c r="B2194"/>
      <c r="D2194"/>
      <c r="E2194"/>
      <c r="F2194"/>
      <c r="G2194"/>
      <c r="I2194"/>
      <c r="J2194"/>
      <c r="K2194"/>
      <c r="L2194" s="499"/>
      <c r="BX2194" s="769"/>
      <c r="BY2194"/>
      <c r="BZ2194"/>
      <c r="CA2194"/>
      <c r="CB2194"/>
      <c r="CC2194"/>
      <c r="CD2194"/>
      <c r="CE2194"/>
      <c r="CF2194"/>
      <c r="CG2194"/>
      <c r="CH2194"/>
      <c r="CI2194"/>
      <c r="CJ2194"/>
      <c r="CK2194"/>
      <c r="CL2194"/>
      <c r="CM2194"/>
    </row>
    <row r="2195" spans="1:91" x14ac:dyDescent="0.2">
      <c r="A2195"/>
      <c r="B2195"/>
      <c r="D2195"/>
      <c r="E2195"/>
      <c r="F2195"/>
      <c r="G2195"/>
      <c r="I2195"/>
      <c r="J2195"/>
      <c r="K2195"/>
      <c r="L2195" s="499"/>
      <c r="BX2195" s="769"/>
      <c r="BY2195"/>
      <c r="BZ2195"/>
      <c r="CA2195"/>
      <c r="CB2195"/>
      <c r="CC2195"/>
      <c r="CD2195"/>
      <c r="CE2195"/>
      <c r="CF2195"/>
      <c r="CG2195"/>
      <c r="CH2195"/>
      <c r="CI2195"/>
      <c r="CJ2195"/>
      <c r="CK2195"/>
      <c r="CL2195"/>
      <c r="CM2195"/>
    </row>
    <row r="2196" spans="1:91" x14ac:dyDescent="0.2">
      <c r="A2196"/>
      <c r="B2196"/>
      <c r="D2196"/>
      <c r="E2196"/>
      <c r="F2196"/>
      <c r="G2196"/>
      <c r="I2196"/>
      <c r="J2196"/>
      <c r="K2196"/>
      <c r="L2196" s="499"/>
      <c r="BX2196" s="769"/>
      <c r="BY2196"/>
      <c r="BZ2196"/>
      <c r="CA2196"/>
      <c r="CB2196"/>
      <c r="CC2196"/>
      <c r="CD2196"/>
      <c r="CE2196"/>
      <c r="CF2196"/>
      <c r="CG2196"/>
      <c r="CH2196"/>
      <c r="CI2196"/>
      <c r="CJ2196"/>
      <c r="CK2196"/>
      <c r="CL2196"/>
      <c r="CM2196"/>
    </row>
    <row r="2197" spans="1:91" x14ac:dyDescent="0.2">
      <c r="A2197"/>
      <c r="B2197"/>
      <c r="D2197"/>
      <c r="E2197"/>
      <c r="F2197"/>
      <c r="G2197"/>
      <c r="I2197"/>
      <c r="J2197"/>
      <c r="K2197"/>
      <c r="L2197" s="499"/>
      <c r="BX2197" s="769"/>
      <c r="BY2197"/>
      <c r="BZ2197"/>
      <c r="CA2197"/>
      <c r="CB2197"/>
      <c r="CC2197"/>
      <c r="CD2197"/>
      <c r="CE2197"/>
      <c r="CF2197"/>
      <c r="CG2197"/>
      <c r="CH2197"/>
      <c r="CI2197"/>
      <c r="CJ2197"/>
      <c r="CK2197"/>
      <c r="CL2197"/>
      <c r="CM2197"/>
    </row>
    <row r="2198" spans="1:91" x14ac:dyDescent="0.2">
      <c r="A2198"/>
      <c r="B2198"/>
      <c r="D2198"/>
      <c r="E2198"/>
      <c r="F2198"/>
      <c r="G2198"/>
      <c r="I2198"/>
      <c r="J2198"/>
      <c r="K2198"/>
      <c r="L2198" s="499"/>
      <c r="BX2198" s="769"/>
      <c r="BY2198"/>
      <c r="BZ2198"/>
      <c r="CA2198"/>
      <c r="CB2198"/>
      <c r="CC2198"/>
      <c r="CD2198"/>
      <c r="CE2198"/>
      <c r="CF2198"/>
      <c r="CG2198"/>
      <c r="CH2198"/>
      <c r="CI2198"/>
      <c r="CJ2198"/>
      <c r="CK2198"/>
      <c r="CL2198"/>
      <c r="CM2198"/>
    </row>
    <row r="2199" spans="1:91" x14ac:dyDescent="0.2">
      <c r="A2199"/>
      <c r="B2199"/>
      <c r="D2199"/>
      <c r="E2199"/>
      <c r="F2199"/>
      <c r="G2199"/>
      <c r="I2199"/>
      <c r="J2199"/>
      <c r="K2199"/>
      <c r="L2199" s="499"/>
      <c r="BX2199" s="769"/>
      <c r="BY2199"/>
      <c r="BZ2199"/>
      <c r="CA2199"/>
      <c r="CB2199"/>
      <c r="CC2199"/>
      <c r="CD2199"/>
      <c r="CE2199"/>
      <c r="CF2199"/>
      <c r="CG2199"/>
      <c r="CH2199"/>
      <c r="CI2199"/>
      <c r="CJ2199"/>
      <c r="CK2199"/>
      <c r="CL2199"/>
      <c r="CM2199"/>
    </row>
    <row r="2200" spans="1:91" x14ac:dyDescent="0.2">
      <c r="A2200"/>
      <c r="B2200"/>
      <c r="D2200"/>
      <c r="E2200"/>
      <c r="F2200"/>
      <c r="G2200"/>
      <c r="I2200"/>
      <c r="J2200"/>
      <c r="K2200"/>
      <c r="L2200" s="499"/>
      <c r="BX2200" s="769"/>
      <c r="BY2200"/>
      <c r="BZ2200"/>
      <c r="CA2200"/>
      <c r="CB2200"/>
      <c r="CC2200"/>
      <c r="CD2200"/>
      <c r="CE2200"/>
      <c r="CF2200"/>
      <c r="CG2200"/>
      <c r="CH2200"/>
      <c r="CI2200"/>
      <c r="CJ2200"/>
      <c r="CK2200"/>
      <c r="CL2200"/>
      <c r="CM2200"/>
    </row>
    <row r="2201" spans="1:91" x14ac:dyDescent="0.2">
      <c r="A2201"/>
      <c r="B2201"/>
      <c r="D2201"/>
      <c r="E2201"/>
      <c r="F2201"/>
      <c r="G2201"/>
      <c r="I2201"/>
      <c r="J2201"/>
      <c r="K2201"/>
      <c r="L2201" s="499"/>
      <c r="BX2201" s="769"/>
      <c r="BY2201"/>
      <c r="BZ2201"/>
      <c r="CA2201"/>
      <c r="CB2201"/>
      <c r="CC2201"/>
      <c r="CD2201"/>
      <c r="CE2201"/>
      <c r="CF2201"/>
      <c r="CG2201"/>
      <c r="CH2201"/>
      <c r="CI2201"/>
      <c r="CJ2201"/>
      <c r="CK2201"/>
      <c r="CL2201"/>
      <c r="CM2201"/>
    </row>
    <row r="2202" spans="1:91" x14ac:dyDescent="0.2">
      <c r="A2202"/>
      <c r="B2202"/>
      <c r="D2202"/>
      <c r="E2202"/>
      <c r="F2202"/>
      <c r="G2202"/>
      <c r="I2202"/>
      <c r="J2202"/>
      <c r="K2202"/>
      <c r="L2202" s="499"/>
      <c r="BX2202" s="769"/>
      <c r="BY2202"/>
      <c r="BZ2202"/>
      <c r="CA2202"/>
      <c r="CB2202"/>
      <c r="CC2202"/>
      <c r="CD2202"/>
      <c r="CE2202"/>
      <c r="CF2202"/>
      <c r="CG2202"/>
      <c r="CH2202"/>
      <c r="CI2202"/>
      <c r="CJ2202"/>
      <c r="CK2202"/>
      <c r="CL2202"/>
      <c r="CM2202"/>
    </row>
    <row r="2203" spans="1:91" x14ac:dyDescent="0.2">
      <c r="A2203"/>
      <c r="B2203"/>
      <c r="D2203"/>
      <c r="E2203"/>
      <c r="F2203"/>
      <c r="G2203"/>
      <c r="I2203"/>
      <c r="J2203"/>
      <c r="K2203"/>
      <c r="L2203" s="499"/>
      <c r="BX2203" s="769"/>
      <c r="BY2203"/>
      <c r="BZ2203"/>
      <c r="CA2203"/>
      <c r="CB2203"/>
      <c r="CC2203"/>
      <c r="CD2203"/>
      <c r="CE2203"/>
      <c r="CF2203"/>
      <c r="CG2203"/>
      <c r="CH2203"/>
      <c r="CI2203"/>
      <c r="CJ2203"/>
      <c r="CK2203"/>
      <c r="CL2203"/>
      <c r="CM2203"/>
    </row>
    <row r="2204" spans="1:91" x14ac:dyDescent="0.2">
      <c r="A2204"/>
      <c r="B2204"/>
      <c r="D2204"/>
      <c r="E2204"/>
      <c r="F2204"/>
      <c r="G2204"/>
      <c r="I2204"/>
      <c r="J2204"/>
      <c r="K2204"/>
      <c r="L2204" s="499"/>
      <c r="BX2204" s="769"/>
      <c r="BY2204"/>
      <c r="BZ2204"/>
      <c r="CA2204"/>
      <c r="CB2204"/>
      <c r="CC2204"/>
      <c r="CD2204"/>
      <c r="CE2204"/>
      <c r="CF2204"/>
      <c r="CG2204"/>
      <c r="CH2204"/>
      <c r="CI2204"/>
      <c r="CJ2204"/>
      <c r="CK2204"/>
      <c r="CL2204"/>
      <c r="CM2204"/>
    </row>
    <row r="2205" spans="1:91" x14ac:dyDescent="0.2">
      <c r="A2205"/>
      <c r="B2205"/>
      <c r="D2205"/>
      <c r="E2205"/>
      <c r="F2205"/>
      <c r="G2205"/>
      <c r="I2205"/>
      <c r="J2205"/>
      <c r="K2205"/>
      <c r="L2205" s="499"/>
      <c r="BX2205" s="769"/>
      <c r="BY2205"/>
      <c r="BZ2205"/>
      <c r="CA2205"/>
      <c r="CB2205"/>
      <c r="CC2205"/>
      <c r="CD2205"/>
      <c r="CE2205"/>
      <c r="CF2205"/>
      <c r="CG2205"/>
      <c r="CH2205"/>
      <c r="CI2205"/>
      <c r="CJ2205"/>
      <c r="CK2205"/>
      <c r="CL2205"/>
      <c r="CM2205"/>
    </row>
    <row r="2206" spans="1:91" x14ac:dyDescent="0.2">
      <c r="A2206"/>
      <c r="B2206"/>
      <c r="D2206"/>
      <c r="E2206"/>
      <c r="F2206"/>
      <c r="G2206"/>
      <c r="I2206"/>
      <c r="J2206"/>
      <c r="K2206"/>
      <c r="L2206" s="499"/>
      <c r="BX2206" s="769"/>
      <c r="BY2206"/>
      <c r="BZ2206"/>
      <c r="CA2206"/>
      <c r="CB2206"/>
      <c r="CC2206"/>
      <c r="CD2206"/>
      <c r="CE2206"/>
      <c r="CF2206"/>
      <c r="CG2206"/>
      <c r="CH2206"/>
      <c r="CI2206"/>
      <c r="CJ2206"/>
      <c r="CK2206"/>
      <c r="CL2206"/>
      <c r="CM2206"/>
    </row>
    <row r="2207" spans="1:91" x14ac:dyDescent="0.2">
      <c r="A2207"/>
      <c r="B2207"/>
      <c r="D2207"/>
      <c r="E2207"/>
      <c r="F2207"/>
      <c r="G2207"/>
      <c r="I2207"/>
      <c r="J2207"/>
      <c r="K2207"/>
      <c r="L2207" s="499"/>
      <c r="BX2207" s="769"/>
      <c r="BY2207"/>
      <c r="BZ2207"/>
      <c r="CA2207"/>
      <c r="CB2207"/>
      <c r="CC2207"/>
      <c r="CD2207"/>
      <c r="CE2207"/>
      <c r="CF2207"/>
      <c r="CG2207"/>
      <c r="CH2207"/>
      <c r="CI2207"/>
      <c r="CJ2207"/>
      <c r="CK2207"/>
      <c r="CL2207"/>
      <c r="CM2207"/>
    </row>
    <row r="2208" spans="1:91" x14ac:dyDescent="0.2">
      <c r="A2208"/>
      <c r="B2208"/>
      <c r="D2208"/>
      <c r="E2208"/>
      <c r="F2208"/>
      <c r="G2208"/>
      <c r="I2208"/>
      <c r="J2208"/>
      <c r="K2208"/>
      <c r="L2208" s="499"/>
      <c r="BX2208" s="769"/>
      <c r="BY2208"/>
      <c r="BZ2208"/>
      <c r="CA2208"/>
      <c r="CB2208"/>
      <c r="CC2208"/>
      <c r="CD2208"/>
      <c r="CE2208"/>
      <c r="CF2208"/>
      <c r="CG2208"/>
      <c r="CH2208"/>
      <c r="CI2208"/>
      <c r="CJ2208"/>
      <c r="CK2208"/>
      <c r="CL2208"/>
      <c r="CM2208"/>
    </row>
    <row r="2209" spans="1:91" x14ac:dyDescent="0.2">
      <c r="A2209"/>
      <c r="B2209"/>
      <c r="D2209"/>
      <c r="E2209"/>
      <c r="F2209"/>
      <c r="G2209"/>
      <c r="I2209"/>
      <c r="J2209"/>
      <c r="K2209"/>
      <c r="L2209" s="499"/>
      <c r="BX2209" s="769"/>
      <c r="BY2209"/>
      <c r="BZ2209"/>
      <c r="CA2209"/>
      <c r="CB2209"/>
      <c r="CC2209"/>
      <c r="CD2209"/>
      <c r="CE2209"/>
      <c r="CF2209"/>
      <c r="CG2209"/>
      <c r="CH2209"/>
      <c r="CI2209"/>
      <c r="CJ2209"/>
      <c r="CK2209"/>
      <c r="CL2209"/>
      <c r="CM2209"/>
    </row>
    <row r="2210" spans="1:91" x14ac:dyDescent="0.2">
      <c r="A2210"/>
      <c r="B2210"/>
      <c r="D2210"/>
      <c r="E2210"/>
      <c r="F2210"/>
      <c r="G2210"/>
      <c r="I2210"/>
      <c r="J2210"/>
      <c r="K2210"/>
      <c r="L2210" s="499"/>
      <c r="BX2210" s="769"/>
      <c r="BY2210"/>
      <c r="BZ2210"/>
      <c r="CA2210"/>
      <c r="CB2210"/>
      <c r="CC2210"/>
      <c r="CD2210"/>
      <c r="CE2210"/>
      <c r="CF2210"/>
      <c r="CG2210"/>
      <c r="CH2210"/>
      <c r="CI2210"/>
      <c r="CJ2210"/>
      <c r="CK2210"/>
      <c r="CL2210"/>
      <c r="CM2210"/>
    </row>
    <row r="2211" spans="1:91" x14ac:dyDescent="0.2">
      <c r="A2211"/>
      <c r="B2211"/>
      <c r="D2211"/>
      <c r="E2211"/>
      <c r="F2211"/>
      <c r="G2211"/>
      <c r="I2211"/>
      <c r="J2211"/>
      <c r="K2211"/>
      <c r="L2211" s="499"/>
      <c r="BX2211" s="769"/>
      <c r="BY2211"/>
      <c r="BZ2211"/>
      <c r="CA2211"/>
      <c r="CB2211"/>
      <c r="CC2211"/>
      <c r="CD2211"/>
      <c r="CE2211"/>
      <c r="CF2211"/>
      <c r="CG2211"/>
      <c r="CH2211"/>
      <c r="CI2211"/>
      <c r="CJ2211"/>
      <c r="CK2211"/>
      <c r="CL2211"/>
      <c r="CM2211"/>
    </row>
    <row r="2212" spans="1:91" x14ac:dyDescent="0.2">
      <c r="A2212"/>
      <c r="B2212"/>
      <c r="D2212"/>
      <c r="E2212"/>
      <c r="F2212"/>
      <c r="G2212"/>
      <c r="I2212"/>
      <c r="J2212"/>
      <c r="K2212"/>
      <c r="L2212" s="499"/>
      <c r="BX2212" s="769"/>
      <c r="BY2212"/>
      <c r="BZ2212"/>
      <c r="CA2212"/>
      <c r="CB2212"/>
      <c r="CC2212"/>
      <c r="CD2212"/>
      <c r="CE2212"/>
      <c r="CF2212"/>
      <c r="CG2212"/>
      <c r="CH2212"/>
      <c r="CI2212"/>
      <c r="CJ2212"/>
      <c r="CK2212"/>
      <c r="CL2212"/>
      <c r="CM2212"/>
    </row>
    <row r="2213" spans="1:91" x14ac:dyDescent="0.2">
      <c r="A2213"/>
      <c r="B2213"/>
      <c r="D2213"/>
      <c r="E2213"/>
      <c r="F2213"/>
      <c r="G2213"/>
      <c r="I2213"/>
      <c r="J2213"/>
      <c r="K2213"/>
      <c r="L2213" s="499"/>
      <c r="BX2213" s="769"/>
      <c r="BY2213"/>
      <c r="BZ2213"/>
      <c r="CA2213"/>
      <c r="CB2213"/>
      <c r="CC2213"/>
      <c r="CD2213"/>
      <c r="CE2213"/>
      <c r="CF2213"/>
      <c r="CG2213"/>
      <c r="CH2213"/>
      <c r="CI2213"/>
      <c r="CJ2213"/>
      <c r="CK2213"/>
      <c r="CL2213"/>
      <c r="CM2213"/>
    </row>
    <row r="2214" spans="1:91" x14ac:dyDescent="0.2">
      <c r="A2214"/>
      <c r="B2214"/>
      <c r="D2214"/>
      <c r="E2214"/>
      <c r="F2214"/>
      <c r="G2214"/>
      <c r="I2214"/>
      <c r="J2214"/>
      <c r="K2214"/>
      <c r="L2214" s="499"/>
      <c r="BX2214" s="769"/>
      <c r="BY2214"/>
      <c r="BZ2214"/>
      <c r="CA2214"/>
      <c r="CB2214"/>
      <c r="CC2214"/>
      <c r="CD2214"/>
      <c r="CE2214"/>
      <c r="CF2214"/>
      <c r="CG2214"/>
      <c r="CH2214"/>
      <c r="CI2214"/>
      <c r="CJ2214"/>
      <c r="CK2214"/>
      <c r="CL2214"/>
      <c r="CM2214"/>
    </row>
    <row r="2215" spans="1:91" x14ac:dyDescent="0.2">
      <c r="A2215"/>
      <c r="B2215"/>
      <c r="D2215"/>
      <c r="E2215"/>
      <c r="F2215"/>
      <c r="G2215"/>
      <c r="I2215"/>
      <c r="J2215"/>
      <c r="K2215"/>
      <c r="L2215" s="499"/>
      <c r="BX2215" s="769"/>
      <c r="BY2215"/>
      <c r="BZ2215"/>
      <c r="CA2215"/>
      <c r="CB2215"/>
      <c r="CC2215"/>
      <c r="CD2215"/>
      <c r="CE2215"/>
      <c r="CF2215"/>
      <c r="CG2215"/>
      <c r="CH2215"/>
      <c r="CI2215"/>
      <c r="CJ2215"/>
      <c r="CK2215"/>
      <c r="CL2215"/>
      <c r="CM2215"/>
    </row>
    <row r="2216" spans="1:91" x14ac:dyDescent="0.2">
      <c r="A2216"/>
      <c r="B2216"/>
      <c r="D2216"/>
      <c r="E2216"/>
      <c r="F2216"/>
      <c r="G2216"/>
      <c r="I2216"/>
      <c r="J2216"/>
      <c r="K2216"/>
      <c r="L2216" s="499"/>
      <c r="BX2216" s="769"/>
      <c r="BY2216"/>
      <c r="BZ2216"/>
      <c r="CA2216"/>
      <c r="CB2216"/>
      <c r="CC2216"/>
      <c r="CD2216"/>
      <c r="CE2216"/>
      <c r="CF2216"/>
      <c r="CG2216"/>
      <c r="CH2216"/>
      <c r="CI2216"/>
      <c r="CJ2216"/>
      <c r="CK2216"/>
      <c r="CL2216"/>
      <c r="CM2216"/>
    </row>
    <row r="2217" spans="1:91" x14ac:dyDescent="0.2">
      <c r="A2217"/>
      <c r="B2217"/>
      <c r="D2217"/>
      <c r="E2217"/>
      <c r="F2217"/>
      <c r="G2217"/>
      <c r="I2217"/>
      <c r="J2217"/>
      <c r="K2217"/>
      <c r="L2217" s="499"/>
      <c r="BX2217" s="769"/>
      <c r="BY2217"/>
      <c r="BZ2217"/>
      <c r="CA2217"/>
      <c r="CB2217"/>
      <c r="CC2217"/>
      <c r="CD2217"/>
      <c r="CE2217"/>
      <c r="CF2217"/>
      <c r="CG2217"/>
      <c r="CH2217"/>
      <c r="CI2217"/>
      <c r="CJ2217"/>
      <c r="CK2217"/>
      <c r="CL2217"/>
      <c r="CM2217"/>
    </row>
    <row r="2218" spans="1:91" x14ac:dyDescent="0.2">
      <c r="A2218"/>
      <c r="B2218"/>
      <c r="D2218"/>
      <c r="E2218"/>
      <c r="F2218"/>
      <c r="G2218"/>
      <c r="I2218"/>
      <c r="J2218"/>
      <c r="K2218"/>
      <c r="L2218" s="499"/>
      <c r="BX2218" s="769"/>
      <c r="BY2218"/>
      <c r="BZ2218"/>
      <c r="CA2218"/>
      <c r="CB2218"/>
      <c r="CC2218"/>
      <c r="CD2218"/>
      <c r="CE2218"/>
      <c r="CF2218"/>
      <c r="CG2218"/>
      <c r="CH2218"/>
      <c r="CI2218"/>
      <c r="CJ2218"/>
      <c r="CK2218"/>
      <c r="CL2218"/>
      <c r="CM2218"/>
    </row>
    <row r="2219" spans="1:91" x14ac:dyDescent="0.2">
      <c r="A2219"/>
      <c r="B2219"/>
      <c r="D2219"/>
      <c r="E2219"/>
      <c r="F2219"/>
      <c r="G2219"/>
      <c r="I2219"/>
      <c r="J2219"/>
      <c r="K2219"/>
      <c r="L2219" s="499"/>
      <c r="BX2219" s="769"/>
      <c r="BY2219"/>
      <c r="BZ2219"/>
      <c r="CA2219"/>
      <c r="CB2219"/>
      <c r="CC2219"/>
      <c r="CD2219"/>
      <c r="CE2219"/>
      <c r="CF2219"/>
      <c r="CG2219"/>
      <c r="CH2219"/>
      <c r="CI2219"/>
      <c r="CJ2219"/>
      <c r="CK2219"/>
      <c r="CL2219"/>
      <c r="CM2219"/>
    </row>
    <row r="2220" spans="1:91" x14ac:dyDescent="0.2">
      <c r="A2220"/>
      <c r="B2220"/>
      <c r="D2220"/>
      <c r="E2220"/>
      <c r="F2220"/>
      <c r="G2220"/>
      <c r="I2220"/>
      <c r="J2220"/>
      <c r="K2220"/>
      <c r="L2220" s="499"/>
      <c r="BX2220" s="769"/>
      <c r="BY2220"/>
      <c r="BZ2220"/>
      <c r="CA2220"/>
      <c r="CB2220"/>
      <c r="CC2220"/>
      <c r="CD2220"/>
      <c r="CE2220"/>
      <c r="CF2220"/>
      <c r="CG2220"/>
      <c r="CH2220"/>
      <c r="CI2220"/>
      <c r="CJ2220"/>
      <c r="CK2220"/>
      <c r="CL2220"/>
      <c r="CM2220"/>
    </row>
    <row r="2221" spans="1:91" x14ac:dyDescent="0.2">
      <c r="A2221"/>
      <c r="B2221"/>
      <c r="D2221"/>
      <c r="E2221"/>
      <c r="F2221"/>
      <c r="G2221"/>
      <c r="I2221"/>
      <c r="J2221"/>
      <c r="K2221"/>
      <c r="L2221" s="499"/>
      <c r="BX2221" s="769"/>
      <c r="BY2221"/>
      <c r="BZ2221"/>
      <c r="CA2221"/>
      <c r="CB2221"/>
      <c r="CC2221"/>
      <c r="CD2221"/>
      <c r="CE2221"/>
      <c r="CF2221"/>
      <c r="CG2221"/>
      <c r="CH2221"/>
      <c r="CI2221"/>
      <c r="CJ2221"/>
      <c r="CK2221"/>
      <c r="CL2221"/>
      <c r="CM2221"/>
    </row>
    <row r="2222" spans="1:91" x14ac:dyDescent="0.2">
      <c r="A2222"/>
      <c r="B2222"/>
      <c r="D2222"/>
      <c r="E2222"/>
      <c r="F2222"/>
      <c r="G2222"/>
      <c r="I2222"/>
      <c r="J2222"/>
      <c r="K2222"/>
      <c r="L2222" s="499"/>
      <c r="BX2222" s="769"/>
      <c r="BY2222"/>
      <c r="BZ2222"/>
      <c r="CA2222"/>
      <c r="CB2222"/>
      <c r="CC2222"/>
      <c r="CD2222"/>
      <c r="CE2222"/>
      <c r="CF2222"/>
      <c r="CG2222"/>
      <c r="CH2222"/>
      <c r="CI2222"/>
      <c r="CJ2222"/>
      <c r="CK2222"/>
      <c r="CL2222"/>
      <c r="CM2222"/>
    </row>
    <row r="2223" spans="1:91" x14ac:dyDescent="0.2">
      <c r="A2223"/>
      <c r="B2223"/>
      <c r="D2223"/>
      <c r="E2223"/>
      <c r="F2223"/>
      <c r="G2223"/>
      <c r="I2223"/>
      <c r="J2223"/>
      <c r="K2223"/>
      <c r="L2223" s="499"/>
      <c r="BX2223" s="769"/>
      <c r="BY2223"/>
      <c r="BZ2223"/>
      <c r="CA2223"/>
      <c r="CB2223"/>
      <c r="CC2223"/>
      <c r="CD2223"/>
      <c r="CE2223"/>
      <c r="CF2223"/>
      <c r="CG2223"/>
      <c r="CH2223"/>
      <c r="CI2223"/>
      <c r="CJ2223"/>
      <c r="CK2223"/>
      <c r="CL2223"/>
      <c r="CM2223"/>
    </row>
    <row r="2224" spans="1:91" x14ac:dyDescent="0.2">
      <c r="A2224"/>
      <c r="B2224"/>
      <c r="D2224"/>
      <c r="E2224"/>
      <c r="F2224"/>
      <c r="G2224"/>
      <c r="I2224"/>
      <c r="J2224"/>
      <c r="K2224"/>
      <c r="L2224" s="499"/>
      <c r="BX2224" s="769"/>
      <c r="BY2224"/>
      <c r="BZ2224"/>
      <c r="CA2224"/>
      <c r="CB2224"/>
      <c r="CC2224"/>
      <c r="CD2224"/>
      <c r="CE2224"/>
      <c r="CF2224"/>
      <c r="CG2224"/>
      <c r="CH2224"/>
      <c r="CI2224"/>
      <c r="CJ2224"/>
      <c r="CK2224"/>
      <c r="CL2224"/>
      <c r="CM2224"/>
    </row>
    <row r="2225" spans="1:91" x14ac:dyDescent="0.2">
      <c r="A2225"/>
      <c r="B2225"/>
      <c r="D2225"/>
      <c r="E2225"/>
      <c r="F2225"/>
      <c r="G2225"/>
      <c r="I2225"/>
      <c r="J2225"/>
      <c r="K2225"/>
      <c r="L2225" s="499"/>
      <c r="BX2225" s="769"/>
      <c r="BY2225"/>
      <c r="BZ2225"/>
      <c r="CA2225"/>
      <c r="CB2225"/>
      <c r="CC2225"/>
      <c r="CD2225"/>
      <c r="CE2225"/>
      <c r="CF2225"/>
      <c r="CG2225"/>
      <c r="CH2225"/>
      <c r="CI2225"/>
      <c r="CJ2225"/>
      <c r="CK2225"/>
      <c r="CL2225"/>
      <c r="CM2225"/>
    </row>
    <row r="2226" spans="1:91" x14ac:dyDescent="0.2">
      <c r="A2226"/>
      <c r="B2226"/>
      <c r="D2226"/>
      <c r="E2226"/>
      <c r="F2226"/>
      <c r="G2226"/>
      <c r="I2226"/>
      <c r="J2226"/>
      <c r="K2226"/>
      <c r="L2226" s="499"/>
      <c r="BX2226" s="769"/>
      <c r="BY2226"/>
      <c r="BZ2226"/>
      <c r="CA2226"/>
      <c r="CB2226"/>
      <c r="CC2226"/>
      <c r="CD2226"/>
      <c r="CE2226"/>
      <c r="CF2226"/>
      <c r="CG2226"/>
      <c r="CH2226"/>
      <c r="CI2226"/>
      <c r="CJ2226"/>
      <c r="CK2226"/>
      <c r="CL2226"/>
      <c r="CM2226"/>
    </row>
    <row r="2227" spans="1:91" x14ac:dyDescent="0.2">
      <c r="A2227"/>
      <c r="B2227"/>
      <c r="D2227"/>
      <c r="E2227"/>
      <c r="F2227"/>
      <c r="G2227"/>
      <c r="I2227"/>
      <c r="J2227"/>
      <c r="K2227"/>
      <c r="L2227" s="499"/>
      <c r="BX2227" s="769"/>
      <c r="BY2227"/>
      <c r="BZ2227"/>
      <c r="CA2227"/>
      <c r="CB2227"/>
      <c r="CC2227"/>
      <c r="CD2227"/>
      <c r="CE2227"/>
      <c r="CF2227"/>
      <c r="CG2227"/>
      <c r="CH2227"/>
      <c r="CI2227"/>
      <c r="CJ2227"/>
      <c r="CK2227"/>
      <c r="CL2227"/>
      <c r="CM2227"/>
    </row>
    <row r="2228" spans="1:91" x14ac:dyDescent="0.2">
      <c r="A2228"/>
      <c r="B2228"/>
      <c r="D2228"/>
      <c r="E2228"/>
      <c r="F2228"/>
      <c r="G2228"/>
      <c r="I2228"/>
      <c r="J2228"/>
      <c r="K2228"/>
      <c r="L2228" s="499"/>
      <c r="BX2228" s="769"/>
      <c r="BY2228"/>
      <c r="BZ2228"/>
      <c r="CA2228"/>
      <c r="CB2228"/>
      <c r="CC2228"/>
      <c r="CD2228"/>
      <c r="CE2228"/>
      <c r="CF2228"/>
      <c r="CG2228"/>
      <c r="CH2228"/>
      <c r="CI2228"/>
      <c r="CJ2228"/>
      <c r="CK2228"/>
      <c r="CL2228"/>
      <c r="CM2228"/>
    </row>
    <row r="2229" spans="1:91" x14ac:dyDescent="0.2">
      <c r="A2229"/>
      <c r="B2229"/>
      <c r="D2229"/>
      <c r="E2229"/>
      <c r="F2229"/>
      <c r="G2229"/>
      <c r="I2229"/>
      <c r="J2229"/>
      <c r="K2229"/>
      <c r="L2229" s="499"/>
      <c r="BX2229" s="769"/>
      <c r="BY2229"/>
      <c r="BZ2229"/>
      <c r="CA2229"/>
      <c r="CB2229"/>
      <c r="CC2229"/>
      <c r="CD2229"/>
      <c r="CE2229"/>
      <c r="CF2229"/>
      <c r="CG2229"/>
      <c r="CH2229"/>
      <c r="CI2229"/>
      <c r="CJ2229"/>
      <c r="CK2229"/>
      <c r="CL2229"/>
      <c r="CM2229"/>
    </row>
    <row r="2230" spans="1:91" x14ac:dyDescent="0.2">
      <c r="A2230"/>
      <c r="B2230"/>
      <c r="D2230"/>
      <c r="E2230"/>
      <c r="F2230"/>
      <c r="G2230"/>
      <c r="I2230"/>
      <c r="J2230"/>
      <c r="K2230"/>
      <c r="L2230" s="499"/>
      <c r="BX2230" s="769"/>
      <c r="BY2230"/>
      <c r="BZ2230"/>
      <c r="CA2230"/>
      <c r="CB2230"/>
      <c r="CC2230"/>
      <c r="CD2230"/>
      <c r="CE2230"/>
      <c r="CF2230"/>
      <c r="CG2230"/>
      <c r="CH2230"/>
      <c r="CI2230"/>
      <c r="CJ2230"/>
      <c r="CK2230"/>
      <c r="CL2230"/>
      <c r="CM2230"/>
    </row>
    <row r="2231" spans="1:91" x14ac:dyDescent="0.2">
      <c r="A2231"/>
      <c r="B2231"/>
      <c r="D2231"/>
      <c r="E2231"/>
      <c r="F2231"/>
      <c r="G2231"/>
      <c r="I2231"/>
      <c r="J2231"/>
      <c r="K2231"/>
      <c r="L2231" s="499"/>
      <c r="BX2231" s="769"/>
      <c r="BY2231"/>
      <c r="BZ2231"/>
      <c r="CA2231"/>
      <c r="CB2231"/>
      <c r="CC2231"/>
      <c r="CD2231"/>
      <c r="CE2231"/>
      <c r="CF2231"/>
      <c r="CG2231"/>
      <c r="CH2231"/>
      <c r="CI2231"/>
      <c r="CJ2231"/>
      <c r="CK2231"/>
      <c r="CL2231"/>
      <c r="CM2231"/>
    </row>
    <row r="2232" spans="1:91" x14ac:dyDescent="0.2">
      <c r="A2232"/>
      <c r="B2232"/>
      <c r="D2232"/>
      <c r="E2232"/>
      <c r="F2232"/>
      <c r="G2232"/>
      <c r="I2232"/>
      <c r="J2232"/>
      <c r="K2232"/>
      <c r="L2232" s="499"/>
      <c r="BX2232" s="769"/>
      <c r="BY2232"/>
      <c r="BZ2232"/>
      <c r="CA2232"/>
      <c r="CB2232"/>
      <c r="CC2232"/>
      <c r="CD2232"/>
      <c r="CE2232"/>
      <c r="CF2232"/>
      <c r="CG2232"/>
      <c r="CH2232"/>
      <c r="CI2232"/>
      <c r="CJ2232"/>
      <c r="CK2232"/>
      <c r="CL2232"/>
      <c r="CM2232"/>
    </row>
    <row r="2233" spans="1:91" x14ac:dyDescent="0.2">
      <c r="A2233"/>
      <c r="B2233"/>
      <c r="D2233"/>
      <c r="E2233"/>
      <c r="F2233"/>
      <c r="G2233"/>
      <c r="I2233"/>
      <c r="J2233"/>
      <c r="K2233"/>
      <c r="L2233" s="499"/>
      <c r="BX2233" s="769"/>
      <c r="BY2233"/>
      <c r="BZ2233"/>
      <c r="CA2233"/>
      <c r="CB2233"/>
      <c r="CC2233"/>
      <c r="CD2233"/>
      <c r="CE2233"/>
      <c r="CF2233"/>
      <c r="CG2233"/>
      <c r="CH2233"/>
      <c r="CI2233"/>
      <c r="CJ2233"/>
      <c r="CK2233"/>
      <c r="CL2233"/>
      <c r="CM2233"/>
    </row>
    <row r="2234" spans="1:91" x14ac:dyDescent="0.2">
      <c r="A2234"/>
      <c r="B2234"/>
      <c r="D2234"/>
      <c r="E2234"/>
      <c r="F2234"/>
      <c r="G2234"/>
      <c r="I2234"/>
      <c r="J2234"/>
      <c r="K2234"/>
      <c r="L2234" s="499"/>
      <c r="BX2234" s="769"/>
      <c r="BY2234"/>
      <c r="BZ2234"/>
      <c r="CA2234"/>
      <c r="CB2234"/>
      <c r="CC2234"/>
      <c r="CD2234"/>
      <c r="CE2234"/>
      <c r="CF2234"/>
      <c r="CG2234"/>
      <c r="CH2234"/>
      <c r="CI2234"/>
      <c r="CJ2234"/>
      <c r="CK2234"/>
      <c r="CL2234"/>
      <c r="CM2234"/>
    </row>
    <row r="2235" spans="1:91" x14ac:dyDescent="0.2">
      <c r="A2235"/>
      <c r="B2235"/>
      <c r="D2235"/>
      <c r="E2235"/>
      <c r="F2235"/>
      <c r="G2235"/>
      <c r="I2235"/>
      <c r="J2235"/>
      <c r="K2235"/>
      <c r="L2235" s="499"/>
      <c r="BX2235" s="769"/>
      <c r="BY2235"/>
      <c r="BZ2235"/>
      <c r="CA2235"/>
      <c r="CB2235"/>
      <c r="CC2235"/>
      <c r="CD2235"/>
      <c r="CE2235"/>
      <c r="CF2235"/>
      <c r="CG2235"/>
      <c r="CH2235"/>
      <c r="CI2235"/>
      <c r="CJ2235"/>
      <c r="CK2235"/>
      <c r="CL2235"/>
      <c r="CM2235"/>
    </row>
    <row r="2236" spans="1:91" x14ac:dyDescent="0.2">
      <c r="A2236"/>
      <c r="B2236"/>
      <c r="D2236"/>
      <c r="E2236"/>
      <c r="F2236"/>
      <c r="G2236"/>
      <c r="I2236"/>
      <c r="J2236"/>
      <c r="K2236"/>
      <c r="L2236" s="499"/>
      <c r="BX2236" s="769"/>
      <c r="BY2236"/>
      <c r="BZ2236"/>
      <c r="CA2236"/>
      <c r="CB2236"/>
      <c r="CC2236"/>
      <c r="CD2236"/>
      <c r="CE2236"/>
      <c r="CF2236"/>
      <c r="CG2236"/>
      <c r="CH2236"/>
      <c r="CI2236"/>
      <c r="CJ2236"/>
      <c r="CK2236"/>
      <c r="CL2236"/>
      <c r="CM2236"/>
    </row>
    <row r="2237" spans="1:91" x14ac:dyDescent="0.2">
      <c r="A2237"/>
      <c r="B2237"/>
      <c r="D2237"/>
      <c r="E2237"/>
      <c r="F2237"/>
      <c r="G2237"/>
      <c r="I2237"/>
      <c r="J2237"/>
      <c r="K2237"/>
      <c r="L2237" s="499"/>
      <c r="BX2237" s="769"/>
      <c r="BY2237"/>
      <c r="BZ2237"/>
      <c r="CA2237"/>
      <c r="CB2237"/>
      <c r="CC2237"/>
      <c r="CD2237"/>
      <c r="CE2237"/>
      <c r="CF2237"/>
      <c r="CG2237"/>
      <c r="CH2237"/>
      <c r="CI2237"/>
      <c r="CJ2237"/>
      <c r="CK2237"/>
      <c r="CL2237"/>
      <c r="CM2237"/>
    </row>
    <row r="2238" spans="1:91" x14ac:dyDescent="0.2">
      <c r="A2238"/>
      <c r="B2238"/>
      <c r="D2238"/>
      <c r="E2238"/>
      <c r="F2238"/>
      <c r="G2238"/>
      <c r="I2238"/>
      <c r="J2238"/>
      <c r="K2238"/>
      <c r="L2238" s="499"/>
      <c r="BX2238" s="769"/>
      <c r="BY2238"/>
      <c r="BZ2238"/>
      <c r="CA2238"/>
      <c r="CB2238"/>
      <c r="CC2238"/>
      <c r="CD2238"/>
      <c r="CE2238"/>
      <c r="CF2238"/>
      <c r="CG2238"/>
      <c r="CH2238"/>
      <c r="CI2238"/>
      <c r="CJ2238"/>
      <c r="CK2238"/>
      <c r="CL2238"/>
      <c r="CM2238"/>
    </row>
    <row r="2239" spans="1:91" x14ac:dyDescent="0.2">
      <c r="A2239"/>
      <c r="B2239"/>
      <c r="D2239"/>
      <c r="E2239"/>
      <c r="F2239"/>
      <c r="G2239"/>
      <c r="I2239"/>
      <c r="J2239"/>
      <c r="K2239"/>
      <c r="L2239" s="499"/>
      <c r="BX2239" s="769"/>
      <c r="BY2239"/>
      <c r="BZ2239"/>
      <c r="CA2239"/>
      <c r="CB2239"/>
      <c r="CC2239"/>
      <c r="CD2239"/>
      <c r="CE2239"/>
      <c r="CF2239"/>
      <c r="CG2239"/>
      <c r="CH2239"/>
      <c r="CI2239"/>
      <c r="CJ2239"/>
      <c r="CK2239"/>
      <c r="CL2239"/>
      <c r="CM2239"/>
    </row>
    <row r="2240" spans="1:91" x14ac:dyDescent="0.2">
      <c r="A2240"/>
      <c r="B2240"/>
      <c r="D2240"/>
      <c r="E2240"/>
      <c r="F2240"/>
      <c r="G2240"/>
      <c r="I2240"/>
      <c r="J2240"/>
      <c r="K2240"/>
      <c r="L2240" s="499"/>
      <c r="BX2240" s="769"/>
      <c r="BY2240"/>
      <c r="BZ2240"/>
      <c r="CA2240"/>
      <c r="CB2240"/>
      <c r="CC2240"/>
      <c r="CD2240"/>
      <c r="CE2240"/>
      <c r="CF2240"/>
      <c r="CG2240"/>
      <c r="CH2240"/>
      <c r="CI2240"/>
      <c r="CJ2240"/>
      <c r="CK2240"/>
      <c r="CL2240"/>
      <c r="CM2240"/>
    </row>
    <row r="2241" spans="1:91" x14ac:dyDescent="0.2">
      <c r="A2241"/>
      <c r="B2241"/>
      <c r="D2241"/>
      <c r="E2241"/>
      <c r="F2241"/>
      <c r="G2241"/>
      <c r="I2241"/>
      <c r="J2241"/>
      <c r="K2241"/>
      <c r="L2241" s="499"/>
      <c r="BX2241" s="769"/>
      <c r="BY2241"/>
      <c r="BZ2241"/>
      <c r="CA2241"/>
      <c r="CB2241"/>
      <c r="CC2241"/>
      <c r="CD2241"/>
      <c r="CE2241"/>
      <c r="CF2241"/>
      <c r="CG2241"/>
      <c r="CH2241"/>
      <c r="CI2241"/>
      <c r="CJ2241"/>
      <c r="CK2241"/>
      <c r="CL2241"/>
      <c r="CM2241"/>
    </row>
    <row r="2242" spans="1:91" x14ac:dyDescent="0.2">
      <c r="A2242"/>
      <c r="B2242"/>
      <c r="D2242"/>
      <c r="E2242"/>
      <c r="F2242"/>
      <c r="G2242"/>
      <c r="I2242"/>
      <c r="J2242"/>
      <c r="K2242"/>
      <c r="L2242" s="499"/>
      <c r="BX2242" s="769"/>
      <c r="BY2242"/>
      <c r="BZ2242"/>
      <c r="CA2242"/>
      <c r="CB2242"/>
      <c r="CC2242"/>
      <c r="CD2242"/>
      <c r="CE2242"/>
      <c r="CF2242"/>
      <c r="CG2242"/>
      <c r="CH2242"/>
      <c r="CI2242"/>
      <c r="CJ2242"/>
      <c r="CK2242"/>
      <c r="CL2242"/>
      <c r="CM2242"/>
    </row>
    <row r="2243" spans="1:91" x14ac:dyDescent="0.2">
      <c r="A2243"/>
      <c r="B2243"/>
      <c r="D2243"/>
      <c r="E2243"/>
      <c r="F2243"/>
      <c r="G2243"/>
      <c r="I2243"/>
      <c r="J2243"/>
      <c r="K2243"/>
      <c r="L2243" s="499"/>
      <c r="BX2243" s="769"/>
      <c r="BY2243"/>
      <c r="BZ2243"/>
      <c r="CA2243"/>
      <c r="CB2243"/>
      <c r="CC2243"/>
      <c r="CD2243"/>
      <c r="CE2243"/>
      <c r="CF2243"/>
      <c r="CG2243"/>
      <c r="CH2243"/>
      <c r="CI2243"/>
      <c r="CJ2243"/>
      <c r="CK2243"/>
      <c r="CL2243"/>
      <c r="CM2243"/>
    </row>
    <row r="2244" spans="1:91" x14ac:dyDescent="0.2">
      <c r="A2244"/>
      <c r="B2244"/>
      <c r="D2244"/>
      <c r="E2244"/>
      <c r="F2244"/>
      <c r="G2244"/>
      <c r="I2244"/>
      <c r="J2244"/>
      <c r="K2244"/>
      <c r="L2244" s="499"/>
      <c r="BX2244" s="769"/>
      <c r="BY2244"/>
      <c r="BZ2244"/>
      <c r="CA2244"/>
      <c r="CB2244"/>
      <c r="CC2244"/>
      <c r="CD2244"/>
      <c r="CE2244"/>
      <c r="CF2244"/>
      <c r="CG2244"/>
      <c r="CH2244"/>
      <c r="CI2244"/>
      <c r="CJ2244"/>
      <c r="CK2244"/>
      <c r="CL2244"/>
      <c r="CM2244"/>
    </row>
    <row r="2245" spans="1:91" x14ac:dyDescent="0.2">
      <c r="A2245"/>
      <c r="B2245"/>
      <c r="D2245"/>
      <c r="E2245"/>
      <c r="F2245"/>
      <c r="G2245"/>
      <c r="I2245"/>
      <c r="J2245"/>
      <c r="K2245"/>
      <c r="L2245" s="499"/>
      <c r="BX2245" s="769"/>
      <c r="BY2245"/>
      <c r="BZ2245"/>
      <c r="CA2245"/>
      <c r="CB2245"/>
      <c r="CC2245"/>
      <c r="CD2245"/>
      <c r="CE2245"/>
      <c r="CF2245"/>
      <c r="CG2245"/>
      <c r="CH2245"/>
      <c r="CI2245"/>
      <c r="CJ2245"/>
      <c r="CK2245"/>
      <c r="CL2245"/>
      <c r="CM2245"/>
    </row>
    <row r="2246" spans="1:91" x14ac:dyDescent="0.2">
      <c r="A2246"/>
      <c r="B2246"/>
      <c r="D2246"/>
      <c r="E2246"/>
      <c r="F2246"/>
      <c r="G2246"/>
      <c r="I2246"/>
      <c r="J2246"/>
      <c r="K2246"/>
      <c r="L2246" s="499"/>
      <c r="BX2246" s="769"/>
      <c r="BY2246"/>
      <c r="BZ2246"/>
      <c r="CA2246"/>
      <c r="CB2246"/>
      <c r="CC2246"/>
      <c r="CD2246"/>
      <c r="CE2246"/>
      <c r="CF2246"/>
      <c r="CG2246"/>
      <c r="CH2246"/>
      <c r="CI2246"/>
      <c r="CJ2246"/>
      <c r="CK2246"/>
      <c r="CL2246"/>
      <c r="CM2246"/>
    </row>
    <row r="2247" spans="1:91" x14ac:dyDescent="0.2">
      <c r="A2247"/>
      <c r="B2247"/>
      <c r="D2247"/>
      <c r="E2247"/>
      <c r="F2247"/>
      <c r="G2247"/>
      <c r="I2247"/>
      <c r="J2247"/>
      <c r="K2247"/>
      <c r="L2247" s="499"/>
      <c r="BX2247" s="769"/>
      <c r="BY2247"/>
      <c r="BZ2247"/>
      <c r="CA2247"/>
      <c r="CB2247"/>
      <c r="CC2247"/>
      <c r="CD2247"/>
      <c r="CE2247"/>
      <c r="CF2247"/>
      <c r="CG2247"/>
      <c r="CH2247"/>
      <c r="CI2247"/>
      <c r="CJ2247"/>
      <c r="CK2247"/>
      <c r="CL2247"/>
      <c r="CM2247"/>
    </row>
    <row r="2248" spans="1:91" x14ac:dyDescent="0.2">
      <c r="A2248"/>
      <c r="B2248"/>
      <c r="D2248"/>
      <c r="E2248"/>
      <c r="F2248"/>
      <c r="G2248"/>
      <c r="I2248"/>
      <c r="J2248"/>
      <c r="K2248"/>
      <c r="L2248" s="499"/>
      <c r="BX2248" s="769"/>
      <c r="BY2248"/>
      <c r="BZ2248"/>
      <c r="CA2248"/>
      <c r="CB2248"/>
      <c r="CC2248"/>
      <c r="CD2248"/>
      <c r="CE2248"/>
      <c r="CF2248"/>
      <c r="CG2248"/>
      <c r="CH2248"/>
      <c r="CI2248"/>
      <c r="CJ2248"/>
      <c r="CK2248"/>
      <c r="CL2248"/>
      <c r="CM2248"/>
    </row>
    <row r="2249" spans="1:91" x14ac:dyDescent="0.2">
      <c r="A2249"/>
      <c r="B2249"/>
      <c r="D2249"/>
      <c r="E2249"/>
      <c r="F2249"/>
      <c r="G2249"/>
      <c r="I2249"/>
      <c r="J2249"/>
      <c r="K2249"/>
      <c r="L2249" s="499"/>
      <c r="BX2249" s="769"/>
      <c r="BY2249"/>
      <c r="BZ2249"/>
      <c r="CA2249"/>
      <c r="CB2249"/>
      <c r="CC2249"/>
      <c r="CD2249"/>
      <c r="CE2249"/>
      <c r="CF2249"/>
      <c r="CG2249"/>
      <c r="CH2249"/>
      <c r="CI2249"/>
      <c r="CJ2249"/>
      <c r="CK2249"/>
      <c r="CL2249"/>
      <c r="CM2249"/>
    </row>
    <row r="2250" spans="1:91" x14ac:dyDescent="0.2">
      <c r="A2250"/>
      <c r="B2250"/>
      <c r="D2250"/>
      <c r="E2250"/>
      <c r="F2250"/>
      <c r="G2250"/>
      <c r="I2250"/>
      <c r="J2250"/>
      <c r="K2250"/>
      <c r="L2250" s="499"/>
      <c r="BX2250" s="769"/>
      <c r="BY2250"/>
      <c r="BZ2250"/>
      <c r="CA2250"/>
      <c r="CB2250"/>
      <c r="CC2250"/>
      <c r="CD2250"/>
      <c r="CE2250"/>
      <c r="CF2250"/>
      <c r="CG2250"/>
      <c r="CH2250"/>
      <c r="CI2250"/>
      <c r="CJ2250"/>
      <c r="CK2250"/>
      <c r="CL2250"/>
      <c r="CM2250"/>
    </row>
    <row r="2251" spans="1:91" x14ac:dyDescent="0.2">
      <c r="A2251"/>
      <c r="B2251"/>
      <c r="D2251"/>
      <c r="E2251"/>
      <c r="F2251"/>
      <c r="G2251"/>
      <c r="I2251"/>
      <c r="J2251"/>
      <c r="K2251"/>
      <c r="L2251" s="499"/>
      <c r="BX2251" s="769"/>
      <c r="BY2251"/>
      <c r="BZ2251"/>
      <c r="CA2251"/>
      <c r="CB2251"/>
      <c r="CC2251"/>
      <c r="CD2251"/>
      <c r="CE2251"/>
      <c r="CF2251"/>
      <c r="CG2251"/>
      <c r="CH2251"/>
      <c r="CI2251"/>
      <c r="CJ2251"/>
      <c r="CK2251"/>
      <c r="CL2251"/>
      <c r="CM2251"/>
    </row>
    <row r="2252" spans="1:91" x14ac:dyDescent="0.2">
      <c r="A2252"/>
      <c r="B2252"/>
      <c r="D2252"/>
      <c r="E2252"/>
      <c r="F2252"/>
      <c r="G2252"/>
      <c r="I2252"/>
      <c r="J2252"/>
      <c r="K2252"/>
      <c r="L2252" s="499"/>
      <c r="BX2252" s="769"/>
      <c r="BY2252"/>
      <c r="BZ2252"/>
      <c r="CA2252"/>
      <c r="CB2252"/>
      <c r="CC2252"/>
      <c r="CD2252"/>
      <c r="CE2252"/>
      <c r="CF2252"/>
      <c r="CG2252"/>
      <c r="CH2252"/>
      <c r="CI2252"/>
      <c r="CJ2252"/>
      <c r="CK2252"/>
      <c r="CL2252"/>
      <c r="CM2252"/>
    </row>
    <row r="2253" spans="1:91" x14ac:dyDescent="0.2">
      <c r="A2253"/>
      <c r="B2253"/>
      <c r="D2253"/>
      <c r="E2253"/>
      <c r="F2253"/>
      <c r="G2253"/>
      <c r="I2253"/>
      <c r="J2253"/>
      <c r="K2253"/>
      <c r="L2253" s="499"/>
      <c r="BX2253" s="769"/>
      <c r="BY2253"/>
      <c r="BZ2253"/>
      <c r="CA2253"/>
      <c r="CB2253"/>
      <c r="CC2253"/>
      <c r="CD2253"/>
      <c r="CE2253"/>
      <c r="CF2253"/>
      <c r="CG2253"/>
      <c r="CH2253"/>
      <c r="CI2253"/>
      <c r="CJ2253"/>
      <c r="CK2253"/>
      <c r="CL2253"/>
      <c r="CM2253"/>
    </row>
    <row r="2254" spans="1:91" x14ac:dyDescent="0.2">
      <c r="A2254"/>
      <c r="B2254"/>
      <c r="D2254"/>
      <c r="E2254"/>
      <c r="F2254"/>
      <c r="G2254"/>
      <c r="I2254"/>
      <c r="J2254"/>
      <c r="K2254"/>
      <c r="L2254" s="499"/>
      <c r="BX2254" s="769"/>
      <c r="BY2254"/>
      <c r="BZ2254"/>
      <c r="CA2254"/>
      <c r="CB2254"/>
      <c r="CC2254"/>
      <c r="CD2254"/>
      <c r="CE2254"/>
      <c r="CF2254"/>
      <c r="CG2254"/>
      <c r="CH2254"/>
      <c r="CI2254"/>
      <c r="CJ2254"/>
      <c r="CK2254"/>
      <c r="CL2254"/>
      <c r="CM2254"/>
    </row>
    <row r="2255" spans="1:91" x14ac:dyDescent="0.2">
      <c r="A2255"/>
      <c r="B2255"/>
      <c r="D2255"/>
      <c r="E2255"/>
      <c r="F2255"/>
      <c r="G2255"/>
      <c r="I2255"/>
      <c r="J2255"/>
      <c r="K2255"/>
      <c r="L2255" s="499"/>
      <c r="BX2255" s="769"/>
      <c r="BY2255"/>
      <c r="BZ2255"/>
      <c r="CA2255"/>
      <c r="CB2255"/>
      <c r="CC2255"/>
      <c r="CD2255"/>
      <c r="CE2255"/>
      <c r="CF2255"/>
      <c r="CG2255"/>
      <c r="CH2255"/>
      <c r="CI2255"/>
      <c r="CJ2255"/>
      <c r="CK2255"/>
      <c r="CL2255"/>
      <c r="CM2255"/>
    </row>
    <row r="2256" spans="1:91" x14ac:dyDescent="0.2">
      <c r="A2256"/>
      <c r="B2256"/>
      <c r="D2256"/>
      <c r="E2256"/>
      <c r="F2256"/>
      <c r="G2256"/>
      <c r="I2256"/>
      <c r="J2256"/>
      <c r="K2256"/>
      <c r="L2256" s="499"/>
      <c r="BX2256" s="769"/>
      <c r="BY2256"/>
      <c r="BZ2256"/>
      <c r="CA2256"/>
      <c r="CB2256"/>
      <c r="CC2256"/>
      <c r="CD2256"/>
      <c r="CE2256"/>
      <c r="CF2256"/>
      <c r="CG2256"/>
      <c r="CH2256"/>
      <c r="CI2256"/>
      <c r="CJ2256"/>
      <c r="CK2256"/>
      <c r="CL2256"/>
      <c r="CM2256"/>
    </row>
    <row r="2257" spans="1:91" x14ac:dyDescent="0.2">
      <c r="A2257"/>
      <c r="B2257"/>
      <c r="D2257"/>
      <c r="E2257"/>
      <c r="F2257"/>
      <c r="G2257"/>
      <c r="I2257"/>
      <c r="J2257"/>
      <c r="K2257"/>
      <c r="L2257" s="499"/>
      <c r="BX2257" s="769"/>
      <c r="BY2257"/>
      <c r="BZ2257"/>
      <c r="CA2257"/>
      <c r="CB2257"/>
      <c r="CC2257"/>
      <c r="CD2257"/>
      <c r="CE2257"/>
      <c r="CF2257"/>
      <c r="CG2257"/>
      <c r="CH2257"/>
      <c r="CI2257"/>
      <c r="CJ2257"/>
      <c r="CK2257"/>
      <c r="CL2257"/>
      <c r="CM2257"/>
    </row>
    <row r="2258" spans="1:91" x14ac:dyDescent="0.2">
      <c r="A2258"/>
      <c r="B2258"/>
      <c r="D2258"/>
      <c r="E2258"/>
      <c r="F2258"/>
      <c r="G2258"/>
      <c r="I2258"/>
      <c r="J2258"/>
      <c r="K2258"/>
      <c r="L2258" s="499"/>
      <c r="BX2258" s="769"/>
      <c r="BY2258"/>
      <c r="BZ2258"/>
      <c r="CA2258"/>
      <c r="CB2258"/>
      <c r="CC2258"/>
      <c r="CD2258"/>
      <c r="CE2258"/>
      <c r="CF2258"/>
      <c r="CG2258"/>
      <c r="CH2258"/>
      <c r="CI2258"/>
      <c r="CJ2258"/>
      <c r="CK2258"/>
      <c r="CL2258"/>
      <c r="CM2258"/>
    </row>
    <row r="2259" spans="1:91" x14ac:dyDescent="0.2">
      <c r="A2259"/>
      <c r="B2259"/>
      <c r="D2259"/>
      <c r="E2259"/>
      <c r="F2259"/>
      <c r="G2259"/>
      <c r="I2259"/>
      <c r="J2259"/>
      <c r="K2259"/>
      <c r="L2259" s="499"/>
      <c r="BX2259" s="769"/>
      <c r="BY2259"/>
      <c r="BZ2259"/>
      <c r="CA2259"/>
      <c r="CB2259"/>
      <c r="CC2259"/>
      <c r="CD2259"/>
      <c r="CE2259"/>
      <c r="CF2259"/>
      <c r="CG2259"/>
      <c r="CH2259"/>
      <c r="CI2259"/>
      <c r="CJ2259"/>
      <c r="CK2259"/>
      <c r="CL2259"/>
      <c r="CM2259"/>
    </row>
    <row r="2260" spans="1:91" x14ac:dyDescent="0.2">
      <c r="A2260"/>
      <c r="B2260"/>
      <c r="D2260"/>
      <c r="E2260"/>
      <c r="F2260"/>
      <c r="G2260"/>
      <c r="I2260"/>
      <c r="J2260"/>
      <c r="K2260"/>
      <c r="L2260" s="499"/>
      <c r="BX2260" s="769"/>
      <c r="BY2260"/>
      <c r="BZ2260"/>
      <c r="CA2260"/>
      <c r="CB2260"/>
      <c r="CC2260"/>
      <c r="CD2260"/>
      <c r="CE2260"/>
      <c r="CF2260"/>
      <c r="CG2260"/>
      <c r="CH2260"/>
      <c r="CI2260"/>
      <c r="CJ2260"/>
      <c r="CK2260"/>
      <c r="CL2260"/>
      <c r="CM2260"/>
    </row>
    <row r="2261" spans="1:91" x14ac:dyDescent="0.2">
      <c r="A2261"/>
      <c r="B2261"/>
      <c r="D2261"/>
      <c r="E2261"/>
      <c r="F2261"/>
      <c r="G2261"/>
      <c r="I2261"/>
      <c r="J2261"/>
      <c r="K2261"/>
      <c r="L2261" s="499"/>
      <c r="BX2261" s="769"/>
      <c r="BY2261"/>
      <c r="BZ2261"/>
      <c r="CA2261"/>
      <c r="CB2261"/>
      <c r="CC2261"/>
      <c r="CD2261"/>
      <c r="CE2261"/>
      <c r="CF2261"/>
      <c r="CG2261"/>
      <c r="CH2261"/>
      <c r="CI2261"/>
      <c r="CJ2261"/>
      <c r="CK2261"/>
      <c r="CL2261"/>
      <c r="CM2261"/>
    </row>
    <row r="2262" spans="1:91" x14ac:dyDescent="0.2">
      <c r="A2262"/>
      <c r="B2262"/>
      <c r="D2262"/>
      <c r="E2262"/>
      <c r="F2262"/>
      <c r="G2262"/>
      <c r="I2262"/>
      <c r="J2262"/>
      <c r="K2262"/>
      <c r="L2262" s="499"/>
      <c r="BX2262" s="769"/>
      <c r="BY2262"/>
      <c r="BZ2262"/>
      <c r="CA2262"/>
      <c r="CB2262"/>
      <c r="CC2262"/>
      <c r="CD2262"/>
      <c r="CE2262"/>
      <c r="CF2262"/>
      <c r="CG2262"/>
      <c r="CH2262"/>
      <c r="CI2262"/>
      <c r="CJ2262"/>
      <c r="CK2262"/>
      <c r="CL2262"/>
      <c r="CM2262"/>
    </row>
    <row r="2263" spans="1:91" x14ac:dyDescent="0.2">
      <c r="A2263"/>
      <c r="B2263"/>
      <c r="D2263"/>
      <c r="E2263"/>
      <c r="F2263"/>
      <c r="G2263"/>
      <c r="I2263"/>
      <c r="J2263"/>
      <c r="K2263"/>
      <c r="L2263" s="499"/>
      <c r="BX2263" s="769"/>
      <c r="BY2263"/>
      <c r="BZ2263"/>
      <c r="CA2263"/>
      <c r="CB2263"/>
      <c r="CC2263"/>
      <c r="CD2263"/>
      <c r="CE2263"/>
      <c r="CF2263"/>
      <c r="CG2263"/>
      <c r="CH2263"/>
      <c r="CI2263"/>
      <c r="CJ2263"/>
      <c r="CK2263"/>
      <c r="CL2263"/>
      <c r="CM2263"/>
    </row>
    <row r="2264" spans="1:91" x14ac:dyDescent="0.2">
      <c r="A2264"/>
      <c r="B2264"/>
      <c r="D2264"/>
      <c r="E2264"/>
      <c r="F2264"/>
      <c r="G2264"/>
      <c r="I2264"/>
      <c r="J2264"/>
      <c r="K2264"/>
      <c r="L2264" s="499"/>
      <c r="BX2264" s="769"/>
      <c r="BY2264"/>
      <c r="BZ2264"/>
      <c r="CA2264"/>
      <c r="CB2264"/>
      <c r="CC2264"/>
      <c r="CD2264"/>
      <c r="CE2264"/>
      <c r="CF2264"/>
      <c r="CG2264"/>
      <c r="CH2264"/>
      <c r="CI2264"/>
      <c r="CJ2264"/>
      <c r="CK2264"/>
      <c r="CL2264"/>
      <c r="CM2264"/>
    </row>
    <row r="2265" spans="1:91" x14ac:dyDescent="0.2">
      <c r="A2265"/>
      <c r="B2265"/>
      <c r="D2265"/>
      <c r="E2265"/>
      <c r="F2265"/>
      <c r="G2265"/>
      <c r="I2265"/>
      <c r="J2265"/>
      <c r="K2265"/>
      <c r="L2265" s="499"/>
      <c r="BX2265" s="769"/>
      <c r="BY2265"/>
      <c r="BZ2265"/>
      <c r="CA2265"/>
      <c r="CB2265"/>
      <c r="CC2265"/>
      <c r="CD2265"/>
      <c r="CE2265"/>
      <c r="CF2265"/>
      <c r="CG2265"/>
      <c r="CH2265"/>
      <c r="CI2265"/>
      <c r="CJ2265"/>
      <c r="CK2265"/>
      <c r="CL2265"/>
      <c r="CM2265"/>
    </row>
    <row r="2266" spans="1:91" x14ac:dyDescent="0.2">
      <c r="A2266"/>
      <c r="B2266"/>
      <c r="D2266"/>
      <c r="E2266"/>
      <c r="F2266"/>
      <c r="G2266"/>
      <c r="I2266"/>
      <c r="J2266"/>
      <c r="K2266"/>
      <c r="L2266" s="499"/>
      <c r="BX2266" s="769"/>
      <c r="BY2266"/>
      <c r="BZ2266"/>
      <c r="CA2266"/>
      <c r="CB2266"/>
      <c r="CC2266"/>
      <c r="CD2266"/>
      <c r="CE2266"/>
      <c r="CF2266"/>
      <c r="CG2266"/>
      <c r="CH2266"/>
      <c r="CI2266"/>
      <c r="CJ2266"/>
      <c r="CK2266"/>
      <c r="CL2266"/>
      <c r="CM2266"/>
    </row>
    <row r="2267" spans="1:91" x14ac:dyDescent="0.2">
      <c r="A2267"/>
      <c r="B2267"/>
      <c r="D2267"/>
      <c r="E2267"/>
      <c r="F2267"/>
      <c r="G2267"/>
      <c r="I2267"/>
      <c r="J2267"/>
      <c r="K2267"/>
      <c r="L2267" s="499"/>
      <c r="BX2267" s="769"/>
      <c r="BY2267"/>
      <c r="BZ2267"/>
      <c r="CA2267"/>
      <c r="CB2267"/>
      <c r="CC2267"/>
      <c r="CD2267"/>
      <c r="CE2267"/>
      <c r="CF2267"/>
      <c r="CG2267"/>
      <c r="CH2267"/>
      <c r="CI2267"/>
      <c r="CJ2267"/>
      <c r="CK2267"/>
      <c r="CL2267"/>
      <c r="CM2267"/>
    </row>
    <row r="2268" spans="1:91" x14ac:dyDescent="0.2">
      <c r="A2268"/>
      <c r="B2268"/>
      <c r="D2268"/>
      <c r="E2268"/>
      <c r="F2268"/>
      <c r="G2268"/>
      <c r="I2268"/>
      <c r="J2268"/>
      <c r="K2268"/>
      <c r="L2268" s="499"/>
      <c r="BX2268" s="769"/>
      <c r="BY2268"/>
      <c r="BZ2268"/>
      <c r="CA2268"/>
      <c r="CB2268"/>
      <c r="CC2268"/>
      <c r="CD2268"/>
      <c r="CE2268"/>
      <c r="CF2268"/>
      <c r="CG2268"/>
      <c r="CH2268"/>
      <c r="CI2268"/>
      <c r="CJ2268"/>
      <c r="CK2268"/>
      <c r="CL2268"/>
      <c r="CM2268"/>
    </row>
    <row r="2269" spans="1:91" x14ac:dyDescent="0.2">
      <c r="A2269"/>
      <c r="B2269"/>
      <c r="D2269"/>
      <c r="E2269"/>
      <c r="F2269"/>
      <c r="G2269"/>
      <c r="I2269"/>
      <c r="J2269"/>
      <c r="K2269"/>
      <c r="L2269" s="499"/>
      <c r="BX2269" s="769"/>
      <c r="BY2269"/>
      <c r="BZ2269"/>
      <c r="CA2269"/>
      <c r="CB2269"/>
      <c r="CC2269"/>
      <c r="CD2269"/>
      <c r="CE2269"/>
      <c r="CF2269"/>
      <c r="CG2269"/>
      <c r="CH2269"/>
      <c r="CI2269"/>
      <c r="CJ2269"/>
      <c r="CK2269"/>
      <c r="CL2269"/>
      <c r="CM2269"/>
    </row>
    <row r="2270" spans="1:91" x14ac:dyDescent="0.2">
      <c r="A2270"/>
      <c r="B2270"/>
      <c r="D2270"/>
      <c r="E2270"/>
      <c r="F2270"/>
      <c r="G2270"/>
      <c r="I2270"/>
      <c r="J2270"/>
      <c r="K2270"/>
      <c r="L2270" s="499"/>
      <c r="BX2270" s="769"/>
      <c r="BY2270"/>
      <c r="BZ2270"/>
      <c r="CA2270"/>
      <c r="CB2270"/>
      <c r="CC2270"/>
      <c r="CD2270"/>
      <c r="CE2270"/>
      <c r="CF2270"/>
      <c r="CG2270"/>
      <c r="CH2270"/>
      <c r="CI2270"/>
      <c r="CJ2270"/>
      <c r="CK2270"/>
      <c r="CL2270"/>
      <c r="CM2270"/>
    </row>
    <row r="2271" spans="1:91" x14ac:dyDescent="0.2">
      <c r="A2271"/>
      <c r="B2271"/>
      <c r="D2271"/>
      <c r="E2271"/>
      <c r="F2271"/>
      <c r="G2271"/>
      <c r="I2271"/>
      <c r="J2271"/>
      <c r="K2271"/>
      <c r="L2271" s="499"/>
      <c r="BX2271" s="769"/>
      <c r="BY2271"/>
      <c r="BZ2271"/>
      <c r="CA2271"/>
      <c r="CB2271"/>
      <c r="CC2271"/>
      <c r="CD2271"/>
      <c r="CE2271"/>
      <c r="CF2271"/>
      <c r="CG2271"/>
      <c r="CH2271"/>
      <c r="CI2271"/>
      <c r="CJ2271"/>
      <c r="CK2271"/>
      <c r="CL2271"/>
      <c r="CM2271"/>
    </row>
    <row r="2272" spans="1:91" x14ac:dyDescent="0.2">
      <c r="A2272"/>
      <c r="B2272"/>
      <c r="D2272"/>
      <c r="E2272"/>
      <c r="F2272"/>
      <c r="G2272"/>
      <c r="I2272"/>
      <c r="J2272"/>
      <c r="K2272"/>
      <c r="L2272" s="499"/>
      <c r="BX2272" s="769"/>
      <c r="BY2272"/>
      <c r="BZ2272"/>
      <c r="CA2272"/>
      <c r="CB2272"/>
      <c r="CC2272"/>
      <c r="CD2272"/>
      <c r="CE2272"/>
      <c r="CF2272"/>
      <c r="CG2272"/>
      <c r="CH2272"/>
      <c r="CI2272"/>
      <c r="CJ2272"/>
      <c r="CK2272"/>
      <c r="CL2272"/>
      <c r="CM2272"/>
    </row>
    <row r="2273" spans="1:91" x14ac:dyDescent="0.2">
      <c r="A2273"/>
      <c r="B2273"/>
      <c r="D2273"/>
      <c r="E2273"/>
      <c r="F2273"/>
      <c r="G2273"/>
      <c r="I2273"/>
      <c r="J2273"/>
      <c r="K2273"/>
      <c r="L2273" s="499"/>
      <c r="BX2273" s="769"/>
      <c r="BY2273"/>
      <c r="BZ2273"/>
      <c r="CA2273"/>
      <c r="CB2273"/>
      <c r="CC2273"/>
      <c r="CD2273"/>
      <c r="CE2273"/>
      <c r="CF2273"/>
      <c r="CG2273"/>
      <c r="CH2273"/>
      <c r="CI2273"/>
      <c r="CJ2273"/>
      <c r="CK2273"/>
      <c r="CL2273"/>
      <c r="CM2273"/>
    </row>
    <row r="2274" spans="1:91" x14ac:dyDescent="0.2">
      <c r="A2274"/>
      <c r="B2274"/>
      <c r="D2274"/>
      <c r="E2274"/>
      <c r="F2274"/>
      <c r="G2274"/>
      <c r="I2274"/>
      <c r="J2274"/>
      <c r="K2274"/>
      <c r="L2274" s="499"/>
      <c r="BX2274" s="769"/>
      <c r="BY2274"/>
      <c r="BZ2274"/>
      <c r="CA2274"/>
      <c r="CB2274"/>
      <c r="CC2274"/>
      <c r="CD2274"/>
      <c r="CE2274"/>
      <c r="CF2274"/>
      <c r="CG2274"/>
      <c r="CH2274"/>
      <c r="CI2274"/>
      <c r="CJ2274"/>
      <c r="CK2274"/>
      <c r="CL2274"/>
      <c r="CM2274"/>
    </row>
    <row r="2275" spans="1:91" x14ac:dyDescent="0.2">
      <c r="A2275"/>
      <c r="B2275"/>
      <c r="D2275"/>
      <c r="E2275"/>
      <c r="F2275"/>
      <c r="G2275"/>
      <c r="I2275"/>
      <c r="J2275"/>
      <c r="K2275"/>
      <c r="L2275" s="499"/>
      <c r="BX2275" s="769"/>
      <c r="BY2275"/>
      <c r="BZ2275"/>
      <c r="CA2275"/>
      <c r="CB2275"/>
      <c r="CC2275"/>
      <c r="CD2275"/>
      <c r="CE2275"/>
      <c r="CF2275"/>
      <c r="CG2275"/>
      <c r="CH2275"/>
      <c r="CI2275"/>
      <c r="CJ2275"/>
      <c r="CK2275"/>
      <c r="CL2275"/>
      <c r="CM2275"/>
    </row>
    <row r="2276" spans="1:91" x14ac:dyDescent="0.2">
      <c r="A2276"/>
      <c r="B2276"/>
      <c r="D2276"/>
      <c r="E2276"/>
      <c r="F2276"/>
      <c r="G2276"/>
      <c r="I2276"/>
      <c r="J2276"/>
      <c r="K2276"/>
      <c r="L2276" s="499"/>
      <c r="BX2276" s="769"/>
      <c r="BY2276"/>
      <c r="BZ2276"/>
      <c r="CA2276"/>
      <c r="CB2276"/>
      <c r="CC2276"/>
      <c r="CD2276"/>
      <c r="CE2276"/>
      <c r="CF2276"/>
      <c r="CG2276"/>
      <c r="CH2276"/>
      <c r="CI2276"/>
      <c r="CJ2276"/>
      <c r="CK2276"/>
      <c r="CL2276"/>
      <c r="CM2276"/>
    </row>
    <row r="2277" spans="1:91" x14ac:dyDescent="0.2">
      <c r="A2277"/>
      <c r="B2277"/>
      <c r="D2277"/>
      <c r="E2277"/>
      <c r="F2277"/>
      <c r="G2277"/>
      <c r="I2277"/>
      <c r="J2277"/>
      <c r="K2277"/>
      <c r="L2277" s="499"/>
      <c r="BX2277" s="769"/>
      <c r="BY2277"/>
      <c r="BZ2277"/>
      <c r="CA2277"/>
      <c r="CB2277"/>
      <c r="CC2277"/>
      <c r="CD2277"/>
      <c r="CE2277"/>
      <c r="CF2277"/>
      <c r="CG2277"/>
      <c r="CH2277"/>
      <c r="CI2277"/>
      <c r="CJ2277"/>
      <c r="CK2277"/>
      <c r="CL2277"/>
      <c r="CM2277"/>
    </row>
    <row r="2278" spans="1:91" x14ac:dyDescent="0.2">
      <c r="A2278"/>
      <c r="B2278"/>
      <c r="D2278"/>
      <c r="E2278"/>
      <c r="F2278"/>
      <c r="G2278"/>
      <c r="I2278"/>
      <c r="J2278"/>
      <c r="K2278"/>
      <c r="L2278" s="499"/>
      <c r="BX2278" s="769"/>
      <c r="BY2278"/>
      <c r="BZ2278"/>
      <c r="CA2278"/>
      <c r="CB2278"/>
      <c r="CC2278"/>
      <c r="CD2278"/>
      <c r="CE2278"/>
      <c r="CF2278"/>
      <c r="CG2278"/>
      <c r="CH2278"/>
      <c r="CI2278"/>
      <c r="CJ2278"/>
      <c r="CK2278"/>
      <c r="CL2278"/>
      <c r="CM2278"/>
    </row>
    <row r="2279" spans="1:91" x14ac:dyDescent="0.2">
      <c r="A2279"/>
      <c r="B2279"/>
      <c r="D2279"/>
      <c r="E2279"/>
      <c r="F2279"/>
      <c r="G2279"/>
      <c r="I2279"/>
      <c r="J2279"/>
      <c r="K2279"/>
      <c r="L2279" s="499"/>
      <c r="BX2279" s="769"/>
      <c r="BY2279"/>
      <c r="BZ2279"/>
      <c r="CA2279"/>
      <c r="CB2279"/>
      <c r="CC2279"/>
      <c r="CD2279"/>
      <c r="CE2279"/>
      <c r="CF2279"/>
      <c r="CG2279"/>
      <c r="CH2279"/>
      <c r="CI2279"/>
      <c r="CJ2279"/>
      <c r="CK2279"/>
      <c r="CL2279"/>
      <c r="CM2279"/>
    </row>
    <row r="2280" spans="1:91" x14ac:dyDescent="0.2">
      <c r="A2280"/>
      <c r="B2280"/>
      <c r="D2280"/>
      <c r="E2280"/>
      <c r="F2280"/>
      <c r="G2280"/>
      <c r="I2280"/>
      <c r="J2280"/>
      <c r="K2280"/>
      <c r="L2280" s="499"/>
      <c r="BX2280" s="769"/>
      <c r="BY2280"/>
      <c r="BZ2280"/>
      <c r="CA2280"/>
      <c r="CB2280"/>
      <c r="CC2280"/>
      <c r="CD2280"/>
      <c r="CE2280"/>
      <c r="CF2280"/>
      <c r="CG2280"/>
      <c r="CH2280"/>
      <c r="CI2280"/>
      <c r="CJ2280"/>
      <c r="CK2280"/>
      <c r="CL2280"/>
      <c r="CM2280"/>
    </row>
    <row r="2281" spans="1:91" x14ac:dyDescent="0.2">
      <c r="A2281"/>
      <c r="B2281"/>
      <c r="D2281"/>
      <c r="E2281"/>
      <c r="F2281"/>
      <c r="G2281"/>
      <c r="I2281"/>
      <c r="J2281"/>
      <c r="K2281"/>
      <c r="L2281" s="499"/>
      <c r="BX2281" s="769"/>
      <c r="BY2281"/>
      <c r="BZ2281"/>
      <c r="CA2281"/>
      <c r="CB2281"/>
      <c r="CC2281"/>
      <c r="CD2281"/>
      <c r="CE2281"/>
      <c r="CF2281"/>
      <c r="CG2281"/>
      <c r="CH2281"/>
      <c r="CI2281"/>
      <c r="CJ2281"/>
      <c r="CK2281"/>
      <c r="CL2281"/>
      <c r="CM2281"/>
    </row>
    <row r="2282" spans="1:91" x14ac:dyDescent="0.2">
      <c r="A2282"/>
      <c r="B2282"/>
      <c r="D2282"/>
      <c r="E2282"/>
      <c r="F2282"/>
      <c r="G2282"/>
      <c r="I2282"/>
      <c r="J2282"/>
      <c r="K2282"/>
      <c r="L2282" s="499"/>
      <c r="BX2282" s="769"/>
      <c r="BY2282"/>
      <c r="BZ2282"/>
      <c r="CA2282"/>
      <c r="CB2282"/>
      <c r="CC2282"/>
      <c r="CD2282"/>
      <c r="CE2282"/>
      <c r="CF2282"/>
      <c r="CG2282"/>
      <c r="CH2282"/>
      <c r="CI2282"/>
      <c r="CJ2282"/>
      <c r="CK2282"/>
      <c r="CL2282"/>
      <c r="CM2282"/>
    </row>
    <row r="2283" spans="1:91" x14ac:dyDescent="0.2">
      <c r="A2283"/>
      <c r="B2283"/>
      <c r="D2283"/>
      <c r="E2283"/>
      <c r="F2283"/>
      <c r="G2283"/>
      <c r="I2283"/>
      <c r="J2283"/>
      <c r="K2283"/>
      <c r="L2283" s="499"/>
      <c r="BX2283" s="769"/>
      <c r="BY2283"/>
      <c r="BZ2283"/>
      <c r="CA2283"/>
      <c r="CB2283"/>
      <c r="CC2283"/>
      <c r="CD2283"/>
      <c r="CE2283"/>
      <c r="CF2283"/>
      <c r="CG2283"/>
      <c r="CH2283"/>
      <c r="CI2283"/>
      <c r="CJ2283"/>
      <c r="CK2283"/>
      <c r="CL2283"/>
      <c r="CM2283"/>
    </row>
    <row r="2284" spans="1:91" x14ac:dyDescent="0.2">
      <c r="A2284"/>
      <c r="B2284"/>
      <c r="D2284"/>
      <c r="E2284"/>
      <c r="F2284"/>
      <c r="G2284"/>
      <c r="I2284"/>
      <c r="J2284"/>
      <c r="K2284"/>
      <c r="L2284" s="499"/>
      <c r="BX2284" s="769"/>
      <c r="BY2284"/>
      <c r="BZ2284"/>
      <c r="CA2284"/>
      <c r="CB2284"/>
      <c r="CC2284"/>
      <c r="CD2284"/>
      <c r="CE2284"/>
      <c r="CF2284"/>
      <c r="CG2284"/>
      <c r="CH2284"/>
      <c r="CI2284"/>
      <c r="CJ2284"/>
      <c r="CK2284"/>
      <c r="CL2284"/>
      <c r="CM2284"/>
    </row>
    <row r="2285" spans="1:91" x14ac:dyDescent="0.2">
      <c r="A2285"/>
      <c r="B2285"/>
      <c r="D2285"/>
      <c r="E2285"/>
      <c r="F2285"/>
      <c r="G2285"/>
      <c r="I2285"/>
      <c r="J2285"/>
      <c r="K2285"/>
      <c r="L2285" s="499"/>
      <c r="BX2285" s="769"/>
      <c r="BY2285"/>
      <c r="BZ2285"/>
      <c r="CA2285"/>
      <c r="CB2285"/>
      <c r="CC2285"/>
      <c r="CD2285"/>
      <c r="CE2285"/>
      <c r="CF2285"/>
      <c r="CG2285"/>
      <c r="CH2285"/>
      <c r="CI2285"/>
      <c r="CJ2285"/>
      <c r="CK2285"/>
      <c r="CL2285"/>
      <c r="CM2285"/>
    </row>
    <row r="2286" spans="1:91" x14ac:dyDescent="0.2">
      <c r="A2286"/>
      <c r="B2286"/>
      <c r="D2286"/>
      <c r="E2286"/>
      <c r="F2286"/>
      <c r="G2286"/>
      <c r="I2286"/>
      <c r="J2286"/>
      <c r="K2286"/>
      <c r="L2286" s="499"/>
      <c r="BX2286" s="769"/>
      <c r="BY2286"/>
      <c r="BZ2286"/>
      <c r="CA2286"/>
      <c r="CB2286"/>
      <c r="CC2286"/>
      <c r="CD2286"/>
      <c r="CE2286"/>
      <c r="CF2286"/>
      <c r="CG2286"/>
      <c r="CH2286"/>
      <c r="CI2286"/>
      <c r="CJ2286"/>
      <c r="CK2286"/>
      <c r="CL2286"/>
      <c r="CM2286"/>
    </row>
    <row r="2287" spans="1:91" x14ac:dyDescent="0.2">
      <c r="A2287"/>
      <c r="B2287"/>
      <c r="D2287"/>
      <c r="E2287"/>
      <c r="F2287"/>
      <c r="G2287"/>
      <c r="I2287"/>
      <c r="J2287"/>
      <c r="K2287"/>
      <c r="L2287" s="499"/>
      <c r="BX2287" s="769"/>
      <c r="BY2287"/>
      <c r="BZ2287"/>
      <c r="CA2287"/>
      <c r="CB2287"/>
      <c r="CC2287"/>
      <c r="CD2287"/>
      <c r="CE2287"/>
      <c r="CF2287"/>
      <c r="CG2287"/>
      <c r="CH2287"/>
      <c r="CI2287"/>
      <c r="CJ2287"/>
      <c r="CK2287"/>
      <c r="CL2287"/>
      <c r="CM2287"/>
    </row>
    <row r="2288" spans="1:91" x14ac:dyDescent="0.2">
      <c r="A2288"/>
      <c r="B2288"/>
      <c r="D2288"/>
      <c r="E2288"/>
      <c r="F2288"/>
      <c r="G2288"/>
      <c r="I2288"/>
      <c r="J2288"/>
      <c r="K2288"/>
      <c r="L2288" s="499"/>
      <c r="BX2288" s="769"/>
      <c r="BY2288"/>
      <c r="BZ2288"/>
      <c r="CA2288"/>
      <c r="CB2288"/>
      <c r="CC2288"/>
      <c r="CD2288"/>
      <c r="CE2288"/>
      <c r="CF2288"/>
      <c r="CG2288"/>
      <c r="CH2288"/>
      <c r="CI2288"/>
      <c r="CJ2288"/>
      <c r="CK2288"/>
      <c r="CL2288"/>
      <c r="CM2288"/>
    </row>
    <row r="2289" spans="1:91" x14ac:dyDescent="0.2">
      <c r="A2289"/>
      <c r="B2289"/>
      <c r="D2289"/>
      <c r="E2289"/>
      <c r="F2289"/>
      <c r="G2289"/>
      <c r="I2289"/>
      <c r="J2289"/>
      <c r="K2289"/>
      <c r="L2289" s="499"/>
      <c r="BX2289" s="769"/>
      <c r="BY2289"/>
      <c r="BZ2289"/>
      <c r="CA2289"/>
      <c r="CB2289"/>
      <c r="CC2289"/>
      <c r="CD2289"/>
      <c r="CE2289"/>
      <c r="CF2289"/>
      <c r="CG2289"/>
      <c r="CH2289"/>
      <c r="CI2289"/>
      <c r="CJ2289"/>
      <c r="CK2289"/>
      <c r="CL2289"/>
      <c r="CM2289"/>
    </row>
    <row r="2290" spans="1:91" x14ac:dyDescent="0.2">
      <c r="A2290"/>
      <c r="B2290"/>
      <c r="D2290"/>
      <c r="E2290"/>
      <c r="F2290"/>
      <c r="G2290"/>
      <c r="I2290"/>
      <c r="J2290"/>
      <c r="K2290"/>
      <c r="L2290" s="499"/>
      <c r="BX2290" s="769"/>
      <c r="BY2290"/>
      <c r="BZ2290"/>
      <c r="CA2290"/>
      <c r="CB2290"/>
      <c r="CC2290"/>
      <c r="CD2290"/>
      <c r="CE2290"/>
      <c r="CF2290"/>
      <c r="CG2290"/>
      <c r="CH2290"/>
      <c r="CI2290"/>
      <c r="CJ2290"/>
      <c r="CK2290"/>
      <c r="CL2290"/>
      <c r="CM2290"/>
    </row>
    <row r="2291" spans="1:91" x14ac:dyDescent="0.2">
      <c r="A2291"/>
      <c r="B2291"/>
      <c r="D2291"/>
      <c r="E2291"/>
      <c r="F2291"/>
      <c r="G2291"/>
      <c r="I2291"/>
      <c r="J2291"/>
      <c r="K2291"/>
      <c r="L2291" s="499"/>
      <c r="BX2291" s="769"/>
      <c r="BY2291"/>
      <c r="BZ2291"/>
      <c r="CA2291"/>
      <c r="CB2291"/>
      <c r="CC2291"/>
      <c r="CD2291"/>
      <c r="CE2291"/>
      <c r="CF2291"/>
      <c r="CG2291"/>
      <c r="CH2291"/>
      <c r="CI2291"/>
      <c r="CJ2291"/>
      <c r="CK2291"/>
      <c r="CL2291"/>
      <c r="CM2291"/>
    </row>
    <row r="2292" spans="1:91" x14ac:dyDescent="0.2">
      <c r="A2292"/>
      <c r="B2292"/>
      <c r="D2292"/>
      <c r="E2292"/>
      <c r="F2292"/>
      <c r="G2292"/>
      <c r="I2292"/>
      <c r="J2292"/>
      <c r="K2292"/>
      <c r="L2292" s="499"/>
      <c r="BX2292" s="769"/>
      <c r="BY2292"/>
      <c r="BZ2292"/>
      <c r="CA2292"/>
      <c r="CB2292"/>
      <c r="CC2292"/>
      <c r="CD2292"/>
      <c r="CE2292"/>
      <c r="CF2292"/>
      <c r="CG2292"/>
      <c r="CH2292"/>
      <c r="CI2292"/>
      <c r="CJ2292"/>
      <c r="CK2292"/>
      <c r="CL2292"/>
      <c r="CM2292"/>
    </row>
    <row r="2293" spans="1:91" x14ac:dyDescent="0.2">
      <c r="A2293"/>
      <c r="B2293"/>
      <c r="D2293"/>
      <c r="E2293"/>
      <c r="F2293"/>
      <c r="G2293"/>
      <c r="I2293"/>
      <c r="J2293"/>
      <c r="K2293"/>
      <c r="L2293" s="499"/>
      <c r="BX2293" s="769"/>
      <c r="BY2293"/>
      <c r="BZ2293"/>
      <c r="CA2293"/>
      <c r="CB2293"/>
      <c r="CC2293"/>
      <c r="CD2293"/>
      <c r="CE2293"/>
      <c r="CF2293"/>
      <c r="CG2293"/>
      <c r="CH2293"/>
      <c r="CI2293"/>
      <c r="CJ2293"/>
      <c r="CK2293"/>
      <c r="CL2293"/>
      <c r="CM2293"/>
    </row>
    <row r="2294" spans="1:91" x14ac:dyDescent="0.2">
      <c r="A2294"/>
      <c r="B2294"/>
      <c r="D2294"/>
      <c r="E2294"/>
      <c r="F2294"/>
      <c r="G2294"/>
      <c r="I2294"/>
      <c r="J2294"/>
      <c r="K2294"/>
      <c r="L2294" s="499"/>
      <c r="BX2294" s="769"/>
      <c r="BY2294"/>
      <c r="BZ2294"/>
      <c r="CA2294"/>
      <c r="CB2294"/>
      <c r="CC2294"/>
      <c r="CD2294"/>
      <c r="CE2294"/>
      <c r="CF2294"/>
      <c r="CG2294"/>
      <c r="CH2294"/>
      <c r="CI2294"/>
      <c r="CJ2294"/>
      <c r="CK2294"/>
      <c r="CL2294"/>
      <c r="CM2294"/>
    </row>
    <row r="2295" spans="1:91" x14ac:dyDescent="0.2">
      <c r="A2295"/>
      <c r="B2295"/>
      <c r="D2295"/>
      <c r="E2295"/>
      <c r="F2295"/>
      <c r="G2295"/>
      <c r="I2295"/>
      <c r="J2295"/>
      <c r="K2295"/>
      <c r="L2295" s="499"/>
      <c r="BX2295" s="769"/>
      <c r="BY2295"/>
      <c r="BZ2295"/>
      <c r="CA2295"/>
      <c r="CB2295"/>
      <c r="CC2295"/>
      <c r="CD2295"/>
      <c r="CE2295"/>
      <c r="CF2295"/>
      <c r="CG2295"/>
      <c r="CH2295"/>
      <c r="CI2295"/>
      <c r="CJ2295"/>
      <c r="CK2295"/>
      <c r="CL2295"/>
      <c r="CM2295"/>
    </row>
    <row r="2296" spans="1:91" x14ac:dyDescent="0.2">
      <c r="A2296"/>
      <c r="B2296"/>
      <c r="D2296"/>
      <c r="E2296"/>
      <c r="F2296"/>
      <c r="G2296"/>
      <c r="I2296"/>
      <c r="J2296"/>
      <c r="K2296"/>
      <c r="L2296" s="499"/>
      <c r="BX2296" s="769"/>
      <c r="BY2296"/>
      <c r="BZ2296"/>
      <c r="CA2296"/>
      <c r="CB2296"/>
      <c r="CC2296"/>
      <c r="CD2296"/>
      <c r="CE2296"/>
      <c r="CF2296"/>
      <c r="CG2296"/>
      <c r="CH2296"/>
      <c r="CI2296"/>
      <c r="CJ2296"/>
      <c r="CK2296"/>
      <c r="CL2296"/>
      <c r="CM2296"/>
    </row>
    <row r="2297" spans="1:91" x14ac:dyDescent="0.2">
      <c r="A2297"/>
      <c r="B2297"/>
      <c r="D2297"/>
      <c r="E2297"/>
      <c r="F2297"/>
      <c r="G2297"/>
      <c r="I2297"/>
      <c r="J2297"/>
      <c r="K2297"/>
      <c r="L2297" s="499"/>
      <c r="BX2297" s="769"/>
      <c r="BY2297"/>
      <c r="BZ2297"/>
      <c r="CA2297"/>
      <c r="CB2297"/>
      <c r="CC2297"/>
      <c r="CD2297"/>
      <c r="CE2297"/>
      <c r="CF2297"/>
      <c r="CG2297"/>
      <c r="CH2297"/>
      <c r="CI2297"/>
      <c r="CJ2297"/>
      <c r="CK2297"/>
      <c r="CL2297"/>
      <c r="CM2297"/>
    </row>
    <row r="2298" spans="1:91" x14ac:dyDescent="0.2">
      <c r="A2298"/>
      <c r="B2298"/>
      <c r="D2298"/>
      <c r="E2298"/>
      <c r="F2298"/>
      <c r="G2298"/>
      <c r="I2298"/>
      <c r="J2298"/>
      <c r="K2298"/>
      <c r="L2298" s="499"/>
      <c r="BX2298" s="769"/>
      <c r="BY2298"/>
      <c r="BZ2298"/>
      <c r="CA2298"/>
      <c r="CB2298"/>
      <c r="CC2298"/>
      <c r="CD2298"/>
      <c r="CE2298"/>
      <c r="CF2298"/>
      <c r="CG2298"/>
      <c r="CH2298"/>
      <c r="CI2298"/>
      <c r="CJ2298"/>
      <c r="CK2298"/>
      <c r="CL2298"/>
      <c r="CM2298"/>
    </row>
    <row r="2299" spans="1:91" x14ac:dyDescent="0.2">
      <c r="A2299"/>
      <c r="B2299"/>
      <c r="D2299"/>
      <c r="E2299"/>
      <c r="F2299"/>
      <c r="G2299"/>
      <c r="I2299"/>
      <c r="J2299"/>
      <c r="K2299"/>
      <c r="L2299" s="499"/>
      <c r="BX2299" s="769"/>
      <c r="BY2299"/>
      <c r="BZ2299"/>
      <c r="CA2299"/>
      <c r="CB2299"/>
      <c r="CC2299"/>
      <c r="CD2299"/>
      <c r="CE2299"/>
      <c r="CF2299"/>
      <c r="CG2299"/>
      <c r="CH2299"/>
      <c r="CI2299"/>
      <c r="CJ2299"/>
      <c r="CK2299"/>
      <c r="CL2299"/>
      <c r="CM2299"/>
    </row>
    <row r="2300" spans="1:91" x14ac:dyDescent="0.2">
      <c r="A2300"/>
      <c r="B2300"/>
      <c r="D2300"/>
      <c r="E2300"/>
      <c r="F2300"/>
      <c r="G2300"/>
      <c r="I2300"/>
      <c r="J2300"/>
      <c r="K2300"/>
      <c r="L2300" s="499"/>
      <c r="BX2300" s="769"/>
      <c r="BY2300"/>
      <c r="BZ2300"/>
      <c r="CA2300"/>
      <c r="CB2300"/>
      <c r="CC2300"/>
      <c r="CD2300"/>
      <c r="CE2300"/>
      <c r="CF2300"/>
      <c r="CG2300"/>
      <c r="CH2300"/>
      <c r="CI2300"/>
      <c r="CJ2300"/>
      <c r="CK2300"/>
      <c r="CL2300"/>
      <c r="CM2300"/>
    </row>
    <row r="2301" spans="1:91" x14ac:dyDescent="0.2">
      <c r="A2301"/>
      <c r="B2301"/>
      <c r="D2301"/>
      <c r="E2301"/>
      <c r="F2301"/>
      <c r="G2301"/>
      <c r="I2301"/>
      <c r="J2301"/>
      <c r="K2301"/>
      <c r="L2301" s="499"/>
      <c r="BX2301" s="769"/>
      <c r="BY2301"/>
      <c r="BZ2301"/>
      <c r="CA2301"/>
      <c r="CB2301"/>
      <c r="CC2301"/>
      <c r="CD2301"/>
      <c r="CE2301"/>
      <c r="CF2301"/>
      <c r="CG2301"/>
      <c r="CH2301"/>
      <c r="CI2301"/>
      <c r="CJ2301"/>
      <c r="CK2301"/>
      <c r="CL2301"/>
      <c r="CM2301"/>
    </row>
    <row r="2302" spans="1:91" x14ac:dyDescent="0.2">
      <c r="A2302"/>
      <c r="B2302"/>
      <c r="D2302"/>
      <c r="E2302"/>
      <c r="F2302"/>
      <c r="G2302"/>
      <c r="I2302"/>
      <c r="J2302"/>
      <c r="K2302"/>
      <c r="L2302" s="499"/>
      <c r="BX2302" s="769"/>
      <c r="BY2302"/>
      <c r="BZ2302"/>
      <c r="CA2302"/>
      <c r="CB2302"/>
      <c r="CC2302"/>
      <c r="CD2302"/>
      <c r="CE2302"/>
      <c r="CF2302"/>
      <c r="CG2302"/>
      <c r="CH2302"/>
      <c r="CI2302"/>
      <c r="CJ2302"/>
      <c r="CK2302"/>
      <c r="CL2302"/>
      <c r="CM2302"/>
    </row>
    <row r="2303" spans="1:91" x14ac:dyDescent="0.2">
      <c r="A2303"/>
      <c r="B2303"/>
      <c r="D2303"/>
      <c r="E2303"/>
      <c r="F2303"/>
      <c r="G2303"/>
      <c r="I2303"/>
      <c r="J2303"/>
      <c r="K2303"/>
      <c r="L2303" s="499"/>
      <c r="BX2303" s="769"/>
      <c r="BY2303"/>
      <c r="BZ2303"/>
      <c r="CA2303"/>
      <c r="CB2303"/>
      <c r="CC2303"/>
      <c r="CD2303"/>
      <c r="CE2303"/>
      <c r="CF2303"/>
      <c r="CG2303"/>
      <c r="CH2303"/>
      <c r="CI2303"/>
      <c r="CJ2303"/>
      <c r="CK2303"/>
      <c r="CL2303"/>
      <c r="CM2303"/>
    </row>
    <row r="2304" spans="1:91" x14ac:dyDescent="0.2">
      <c r="A2304"/>
      <c r="B2304"/>
      <c r="D2304"/>
      <c r="E2304"/>
      <c r="F2304"/>
      <c r="G2304"/>
      <c r="I2304"/>
      <c r="J2304"/>
      <c r="K2304"/>
      <c r="L2304" s="499"/>
      <c r="BX2304" s="769"/>
      <c r="BY2304"/>
      <c r="BZ2304"/>
      <c r="CA2304"/>
      <c r="CB2304"/>
      <c r="CC2304"/>
      <c r="CD2304"/>
      <c r="CE2304"/>
      <c r="CF2304"/>
      <c r="CG2304"/>
      <c r="CH2304"/>
      <c r="CI2304"/>
      <c r="CJ2304"/>
      <c r="CK2304"/>
      <c r="CL2304"/>
      <c r="CM2304"/>
    </row>
    <row r="2305" spans="1:91" x14ac:dyDescent="0.2">
      <c r="A2305"/>
      <c r="B2305"/>
      <c r="D2305"/>
      <c r="E2305"/>
      <c r="F2305"/>
      <c r="G2305"/>
      <c r="I2305"/>
      <c r="J2305"/>
      <c r="K2305"/>
      <c r="L2305" s="499"/>
      <c r="BX2305" s="769"/>
      <c r="BY2305"/>
      <c r="BZ2305"/>
      <c r="CA2305"/>
      <c r="CB2305"/>
      <c r="CC2305"/>
      <c r="CD2305"/>
      <c r="CE2305"/>
      <c r="CF2305"/>
      <c r="CG2305"/>
      <c r="CH2305"/>
      <c r="CI2305"/>
      <c r="CJ2305"/>
      <c r="CK2305"/>
      <c r="CL2305"/>
      <c r="CM2305"/>
    </row>
    <row r="2306" spans="1:91" x14ac:dyDescent="0.2">
      <c r="A2306"/>
      <c r="B2306"/>
      <c r="D2306"/>
      <c r="E2306"/>
      <c r="F2306"/>
      <c r="G2306"/>
      <c r="I2306"/>
      <c r="J2306"/>
      <c r="K2306"/>
      <c r="L2306" s="499"/>
      <c r="BX2306" s="769"/>
      <c r="BY2306"/>
      <c r="BZ2306"/>
      <c r="CA2306"/>
      <c r="CB2306"/>
      <c r="CC2306"/>
      <c r="CD2306"/>
      <c r="CE2306"/>
      <c r="CF2306"/>
      <c r="CG2306"/>
      <c r="CH2306"/>
      <c r="CI2306"/>
      <c r="CJ2306"/>
      <c r="CK2306"/>
      <c r="CL2306"/>
      <c r="CM2306"/>
    </row>
    <row r="2307" spans="1:91" x14ac:dyDescent="0.2">
      <c r="A2307"/>
      <c r="B2307"/>
      <c r="D2307"/>
      <c r="E2307"/>
      <c r="F2307"/>
      <c r="G2307"/>
      <c r="I2307"/>
      <c r="J2307"/>
      <c r="K2307"/>
      <c r="L2307" s="499"/>
      <c r="BX2307" s="769"/>
      <c r="BY2307"/>
      <c r="BZ2307"/>
      <c r="CA2307"/>
      <c r="CB2307"/>
      <c r="CC2307"/>
      <c r="CD2307"/>
      <c r="CE2307"/>
      <c r="CF2307"/>
      <c r="CG2307"/>
      <c r="CH2307"/>
      <c r="CI2307"/>
      <c r="CJ2307"/>
      <c r="CK2307"/>
      <c r="CL2307"/>
      <c r="CM2307"/>
    </row>
    <row r="2308" spans="1:91" x14ac:dyDescent="0.2">
      <c r="A2308"/>
      <c r="B2308"/>
      <c r="D2308"/>
      <c r="E2308"/>
      <c r="F2308"/>
      <c r="G2308"/>
      <c r="I2308"/>
      <c r="J2308"/>
      <c r="K2308"/>
      <c r="L2308" s="499"/>
      <c r="BX2308" s="769"/>
      <c r="BY2308"/>
      <c r="BZ2308"/>
      <c r="CA2308"/>
      <c r="CB2308"/>
      <c r="CC2308"/>
      <c r="CD2308"/>
      <c r="CE2308"/>
      <c r="CF2308"/>
      <c r="CG2308"/>
      <c r="CH2308"/>
      <c r="CI2308"/>
      <c r="CJ2308"/>
      <c r="CK2308"/>
      <c r="CL2308"/>
      <c r="CM2308"/>
    </row>
    <row r="2309" spans="1:91" x14ac:dyDescent="0.2">
      <c r="A2309"/>
      <c r="B2309"/>
      <c r="D2309"/>
      <c r="E2309"/>
      <c r="F2309"/>
      <c r="G2309"/>
      <c r="I2309"/>
      <c r="J2309"/>
      <c r="K2309"/>
      <c r="L2309" s="499"/>
      <c r="BX2309" s="769"/>
      <c r="BY2309"/>
      <c r="BZ2309"/>
      <c r="CA2309"/>
      <c r="CB2309"/>
      <c r="CC2309"/>
      <c r="CD2309"/>
      <c r="CE2309"/>
      <c r="CF2309"/>
      <c r="CG2309"/>
      <c r="CH2309"/>
      <c r="CI2309"/>
      <c r="CJ2309"/>
      <c r="CK2309"/>
      <c r="CL2309"/>
      <c r="CM2309"/>
    </row>
    <row r="2310" spans="1:91" x14ac:dyDescent="0.2">
      <c r="A2310"/>
      <c r="B2310"/>
      <c r="D2310"/>
      <c r="E2310"/>
      <c r="F2310"/>
      <c r="G2310"/>
      <c r="I2310"/>
      <c r="J2310"/>
      <c r="K2310"/>
      <c r="L2310" s="499"/>
      <c r="BX2310" s="769"/>
      <c r="BY2310"/>
      <c r="BZ2310"/>
      <c r="CA2310"/>
      <c r="CB2310"/>
      <c r="CC2310"/>
      <c r="CD2310"/>
      <c r="CE2310"/>
      <c r="CF2310"/>
      <c r="CG2310"/>
      <c r="CH2310"/>
      <c r="CI2310"/>
      <c r="CJ2310"/>
      <c r="CK2310"/>
      <c r="CL2310"/>
      <c r="CM2310"/>
    </row>
    <row r="2311" spans="1:91" x14ac:dyDescent="0.2">
      <c r="A2311"/>
      <c r="B2311"/>
      <c r="D2311"/>
      <c r="E2311"/>
      <c r="F2311"/>
      <c r="G2311"/>
      <c r="I2311"/>
      <c r="J2311"/>
      <c r="K2311"/>
      <c r="L2311" s="499"/>
      <c r="BX2311" s="769"/>
      <c r="BY2311"/>
      <c r="BZ2311"/>
      <c r="CA2311"/>
      <c r="CB2311"/>
      <c r="CC2311"/>
      <c r="CD2311"/>
      <c r="CE2311"/>
      <c r="CF2311"/>
      <c r="CG2311"/>
      <c r="CH2311"/>
      <c r="CI2311"/>
      <c r="CJ2311"/>
      <c r="CK2311"/>
      <c r="CL2311"/>
      <c r="CM2311"/>
    </row>
    <row r="2312" spans="1:91" x14ac:dyDescent="0.2">
      <c r="A2312"/>
      <c r="B2312"/>
      <c r="D2312"/>
      <c r="E2312"/>
      <c r="F2312"/>
      <c r="G2312"/>
      <c r="I2312"/>
      <c r="J2312"/>
      <c r="K2312"/>
      <c r="L2312" s="499"/>
      <c r="BX2312" s="769"/>
      <c r="BY2312"/>
      <c r="BZ2312"/>
      <c r="CA2312"/>
      <c r="CB2312"/>
      <c r="CC2312"/>
      <c r="CD2312"/>
      <c r="CE2312"/>
      <c r="CF2312"/>
      <c r="CG2312"/>
      <c r="CH2312"/>
      <c r="CI2312"/>
      <c r="CJ2312"/>
      <c r="CK2312"/>
      <c r="CL2312"/>
      <c r="CM2312"/>
    </row>
    <row r="2313" spans="1:91" x14ac:dyDescent="0.2">
      <c r="A2313"/>
      <c r="B2313"/>
      <c r="D2313"/>
      <c r="E2313"/>
      <c r="F2313"/>
      <c r="G2313"/>
      <c r="I2313"/>
      <c r="J2313"/>
      <c r="K2313"/>
      <c r="L2313" s="499"/>
      <c r="BX2313" s="769"/>
      <c r="BY2313"/>
      <c r="BZ2313"/>
      <c r="CA2313"/>
      <c r="CB2313"/>
      <c r="CC2313"/>
      <c r="CD2313"/>
      <c r="CE2313"/>
      <c r="CF2313"/>
      <c r="CG2313"/>
      <c r="CH2313"/>
      <c r="CI2313"/>
      <c r="CJ2313"/>
      <c r="CK2313"/>
      <c r="CL2313"/>
      <c r="CM2313"/>
    </row>
    <row r="2314" spans="1:91" x14ac:dyDescent="0.2">
      <c r="A2314"/>
      <c r="B2314"/>
      <c r="D2314"/>
      <c r="E2314"/>
      <c r="F2314"/>
      <c r="G2314"/>
      <c r="I2314"/>
      <c r="J2314"/>
      <c r="K2314"/>
      <c r="L2314" s="499"/>
      <c r="BX2314" s="769"/>
      <c r="BY2314"/>
      <c r="BZ2314"/>
      <c r="CA2314"/>
      <c r="CB2314"/>
      <c r="CC2314"/>
      <c r="CD2314"/>
      <c r="CE2314"/>
      <c r="CF2314"/>
      <c r="CG2314"/>
      <c r="CH2314"/>
      <c r="CI2314"/>
      <c r="CJ2314"/>
      <c r="CK2314"/>
      <c r="CL2314"/>
      <c r="CM2314"/>
    </row>
    <row r="2315" spans="1:91" x14ac:dyDescent="0.2">
      <c r="A2315"/>
      <c r="B2315"/>
      <c r="D2315"/>
      <c r="E2315"/>
      <c r="F2315"/>
      <c r="G2315"/>
      <c r="I2315"/>
      <c r="J2315"/>
      <c r="K2315"/>
      <c r="L2315" s="499"/>
      <c r="BX2315" s="769"/>
      <c r="BY2315"/>
      <c r="BZ2315"/>
      <c r="CA2315"/>
      <c r="CB2315"/>
      <c r="CC2315"/>
      <c r="CD2315"/>
      <c r="CE2315"/>
      <c r="CF2315"/>
      <c r="CG2315"/>
      <c r="CH2315"/>
      <c r="CI2315"/>
      <c r="CJ2315"/>
      <c r="CK2315"/>
      <c r="CL2315"/>
      <c r="CM2315"/>
    </row>
    <row r="2316" spans="1:91" x14ac:dyDescent="0.2">
      <c r="A2316"/>
      <c r="B2316"/>
      <c r="D2316"/>
      <c r="E2316"/>
      <c r="F2316"/>
      <c r="G2316"/>
      <c r="I2316"/>
      <c r="J2316"/>
      <c r="K2316"/>
      <c r="L2316" s="499"/>
      <c r="BX2316" s="769"/>
      <c r="BY2316"/>
      <c r="BZ2316"/>
      <c r="CA2316"/>
      <c r="CB2316"/>
      <c r="CC2316"/>
      <c r="CD2316"/>
      <c r="CE2316"/>
      <c r="CF2316"/>
      <c r="CG2316"/>
      <c r="CH2316"/>
      <c r="CI2316"/>
      <c r="CJ2316"/>
      <c r="CK2316"/>
      <c r="CL2316"/>
      <c r="CM2316"/>
    </row>
    <row r="2317" spans="1:91" x14ac:dyDescent="0.2">
      <c r="A2317"/>
      <c r="B2317"/>
      <c r="D2317"/>
      <c r="E2317"/>
      <c r="F2317"/>
      <c r="G2317"/>
      <c r="I2317"/>
      <c r="J2317"/>
      <c r="K2317"/>
      <c r="L2317" s="499"/>
      <c r="BX2317" s="769"/>
      <c r="BY2317"/>
      <c r="BZ2317"/>
      <c r="CA2317"/>
      <c r="CB2317"/>
      <c r="CC2317"/>
      <c r="CD2317"/>
      <c r="CE2317"/>
      <c r="CF2317"/>
      <c r="CG2317"/>
      <c r="CH2317"/>
      <c r="CI2317"/>
      <c r="CJ2317"/>
      <c r="CK2317"/>
      <c r="CL2317"/>
      <c r="CM2317"/>
    </row>
    <row r="2318" spans="1:91" x14ac:dyDescent="0.2">
      <c r="A2318"/>
      <c r="B2318"/>
      <c r="D2318"/>
      <c r="E2318"/>
      <c r="F2318"/>
      <c r="G2318"/>
      <c r="I2318"/>
      <c r="J2318"/>
      <c r="K2318"/>
      <c r="L2318" s="499"/>
      <c r="BX2318" s="769"/>
      <c r="BY2318"/>
      <c r="BZ2318"/>
      <c r="CA2318"/>
      <c r="CB2318"/>
      <c r="CC2318"/>
      <c r="CD2318"/>
      <c r="CE2318"/>
      <c r="CF2318"/>
      <c r="CG2318"/>
      <c r="CH2318"/>
      <c r="CI2318"/>
      <c r="CJ2318"/>
      <c r="CK2318"/>
      <c r="CL2318"/>
      <c r="CM2318"/>
    </row>
    <row r="2319" spans="1:91" x14ac:dyDescent="0.2">
      <c r="A2319"/>
      <c r="B2319"/>
      <c r="D2319"/>
      <c r="E2319"/>
      <c r="F2319"/>
      <c r="G2319"/>
      <c r="I2319"/>
      <c r="J2319"/>
      <c r="K2319"/>
      <c r="L2319" s="499"/>
      <c r="BX2319" s="769"/>
      <c r="BY2319"/>
      <c r="BZ2319"/>
      <c r="CA2319"/>
      <c r="CB2319"/>
      <c r="CC2319"/>
      <c r="CD2319"/>
      <c r="CE2319"/>
      <c r="CF2319"/>
      <c r="CG2319"/>
      <c r="CH2319"/>
      <c r="CI2319"/>
      <c r="CJ2319"/>
      <c r="CK2319"/>
      <c r="CL2319"/>
      <c r="CM2319"/>
    </row>
    <row r="2320" spans="1:91" x14ac:dyDescent="0.2">
      <c r="A2320"/>
      <c r="B2320"/>
      <c r="D2320"/>
      <c r="E2320"/>
      <c r="F2320"/>
      <c r="G2320"/>
      <c r="I2320"/>
      <c r="J2320"/>
      <c r="K2320"/>
      <c r="L2320" s="499"/>
      <c r="BX2320" s="769"/>
      <c r="BY2320"/>
      <c r="BZ2320"/>
      <c r="CA2320"/>
      <c r="CB2320"/>
      <c r="CC2320"/>
      <c r="CD2320"/>
      <c r="CE2320"/>
      <c r="CF2320"/>
      <c r="CG2320"/>
      <c r="CH2320"/>
      <c r="CI2320"/>
      <c r="CJ2320"/>
      <c r="CK2320"/>
      <c r="CL2320"/>
      <c r="CM2320"/>
    </row>
    <row r="2321" spans="1:91" x14ac:dyDescent="0.2">
      <c r="A2321"/>
      <c r="B2321"/>
      <c r="D2321"/>
      <c r="E2321"/>
      <c r="F2321"/>
      <c r="G2321"/>
      <c r="I2321"/>
      <c r="J2321"/>
      <c r="K2321"/>
      <c r="L2321" s="499"/>
      <c r="BX2321" s="769"/>
      <c r="BY2321"/>
      <c r="BZ2321"/>
      <c r="CA2321"/>
      <c r="CB2321"/>
      <c r="CC2321"/>
      <c r="CD2321"/>
      <c r="CE2321"/>
      <c r="CF2321"/>
      <c r="CG2321"/>
      <c r="CH2321"/>
      <c r="CI2321"/>
      <c r="CJ2321"/>
      <c r="CK2321"/>
      <c r="CL2321"/>
      <c r="CM2321"/>
    </row>
    <row r="2322" spans="1:91" x14ac:dyDescent="0.2">
      <c r="A2322"/>
      <c r="B2322"/>
      <c r="D2322"/>
      <c r="E2322"/>
      <c r="F2322"/>
      <c r="G2322"/>
      <c r="I2322"/>
      <c r="J2322"/>
      <c r="K2322"/>
      <c r="L2322" s="499"/>
      <c r="BX2322" s="769"/>
      <c r="BY2322"/>
      <c r="BZ2322"/>
      <c r="CA2322"/>
      <c r="CB2322"/>
      <c r="CC2322"/>
      <c r="CD2322"/>
      <c r="CE2322"/>
      <c r="CF2322"/>
      <c r="CG2322"/>
      <c r="CH2322"/>
      <c r="CI2322"/>
      <c r="CJ2322"/>
      <c r="CK2322"/>
      <c r="CL2322"/>
      <c r="CM2322"/>
    </row>
    <row r="2323" spans="1:91" x14ac:dyDescent="0.2">
      <c r="A2323"/>
      <c r="B2323"/>
      <c r="D2323"/>
      <c r="E2323"/>
      <c r="F2323"/>
      <c r="G2323"/>
      <c r="I2323"/>
      <c r="J2323"/>
      <c r="K2323"/>
      <c r="L2323" s="499"/>
      <c r="BX2323" s="769"/>
      <c r="BY2323"/>
      <c r="BZ2323"/>
      <c r="CA2323"/>
      <c r="CB2323"/>
      <c r="CC2323"/>
      <c r="CD2323"/>
      <c r="CE2323"/>
      <c r="CF2323"/>
      <c r="CG2323"/>
      <c r="CH2323"/>
      <c r="CI2323"/>
      <c r="CJ2323"/>
      <c r="CK2323"/>
      <c r="CL2323"/>
      <c r="CM2323"/>
    </row>
    <row r="2324" spans="1:91" x14ac:dyDescent="0.2">
      <c r="A2324"/>
      <c r="B2324"/>
      <c r="D2324"/>
      <c r="E2324"/>
      <c r="F2324"/>
      <c r="G2324"/>
      <c r="I2324"/>
      <c r="J2324"/>
      <c r="K2324"/>
      <c r="L2324" s="499"/>
      <c r="BX2324" s="769"/>
      <c r="BY2324"/>
      <c r="BZ2324"/>
      <c r="CA2324"/>
      <c r="CB2324"/>
      <c r="CC2324"/>
      <c r="CD2324"/>
      <c r="CE2324"/>
      <c r="CF2324"/>
      <c r="CG2324"/>
      <c r="CH2324"/>
      <c r="CI2324"/>
      <c r="CJ2324"/>
      <c r="CK2324"/>
      <c r="CL2324"/>
      <c r="CM2324"/>
    </row>
    <row r="2325" spans="1:91" x14ac:dyDescent="0.2">
      <c r="A2325"/>
      <c r="B2325"/>
      <c r="D2325"/>
      <c r="E2325"/>
      <c r="F2325"/>
      <c r="G2325"/>
      <c r="I2325"/>
      <c r="J2325"/>
      <c r="K2325"/>
      <c r="L2325" s="499"/>
      <c r="BX2325" s="769"/>
      <c r="BY2325"/>
      <c r="BZ2325"/>
      <c r="CA2325"/>
      <c r="CB2325"/>
      <c r="CC2325"/>
      <c r="CD2325"/>
      <c r="CE2325"/>
      <c r="CF2325"/>
      <c r="CG2325"/>
      <c r="CH2325"/>
      <c r="CI2325"/>
      <c r="CJ2325"/>
      <c r="CK2325"/>
      <c r="CL2325"/>
      <c r="CM2325"/>
    </row>
    <row r="2326" spans="1:91" x14ac:dyDescent="0.2">
      <c r="A2326"/>
      <c r="B2326"/>
      <c r="D2326"/>
      <c r="E2326"/>
      <c r="F2326"/>
      <c r="G2326"/>
      <c r="I2326"/>
      <c r="J2326"/>
      <c r="K2326"/>
      <c r="L2326" s="499"/>
      <c r="BX2326" s="769"/>
      <c r="BY2326"/>
      <c r="BZ2326"/>
      <c r="CA2326"/>
      <c r="CB2326"/>
      <c r="CC2326"/>
      <c r="CD2326"/>
      <c r="CE2326"/>
      <c r="CF2326"/>
      <c r="CG2326"/>
      <c r="CH2326"/>
      <c r="CI2326"/>
      <c r="CJ2326"/>
      <c r="CK2326"/>
      <c r="CL2326"/>
      <c r="CM2326"/>
    </row>
    <row r="2327" spans="1:91" x14ac:dyDescent="0.2">
      <c r="A2327"/>
      <c r="B2327"/>
      <c r="D2327"/>
      <c r="E2327"/>
      <c r="F2327"/>
      <c r="G2327"/>
      <c r="I2327"/>
      <c r="J2327"/>
      <c r="K2327"/>
      <c r="L2327" s="499"/>
      <c r="BX2327" s="769"/>
      <c r="BY2327"/>
      <c r="BZ2327"/>
      <c r="CA2327"/>
      <c r="CB2327"/>
      <c r="CC2327"/>
      <c r="CD2327"/>
      <c r="CE2327"/>
      <c r="CF2327"/>
      <c r="CG2327"/>
      <c r="CH2327"/>
      <c r="CI2327"/>
      <c r="CJ2327"/>
      <c r="CK2327"/>
      <c r="CL2327"/>
      <c r="CM2327"/>
    </row>
    <row r="2328" spans="1:91" x14ac:dyDescent="0.2">
      <c r="A2328"/>
      <c r="B2328"/>
      <c r="D2328"/>
      <c r="E2328"/>
      <c r="F2328"/>
      <c r="G2328"/>
      <c r="I2328"/>
      <c r="J2328"/>
      <c r="K2328"/>
      <c r="L2328" s="499"/>
      <c r="BX2328" s="769"/>
      <c r="BY2328"/>
      <c r="BZ2328"/>
      <c r="CA2328"/>
      <c r="CB2328"/>
      <c r="CC2328"/>
      <c r="CD2328"/>
      <c r="CE2328"/>
      <c r="CF2328"/>
      <c r="CG2328"/>
      <c r="CH2328"/>
      <c r="CI2328"/>
      <c r="CJ2328"/>
      <c r="CK2328"/>
      <c r="CL2328"/>
      <c r="CM2328"/>
    </row>
    <row r="2329" spans="1:91" x14ac:dyDescent="0.2">
      <c r="A2329"/>
      <c r="B2329"/>
      <c r="D2329"/>
      <c r="E2329"/>
      <c r="F2329"/>
      <c r="G2329"/>
      <c r="I2329"/>
      <c r="J2329"/>
      <c r="K2329"/>
      <c r="L2329" s="499"/>
      <c r="BX2329" s="769"/>
      <c r="BY2329"/>
      <c r="BZ2329"/>
      <c r="CA2329"/>
      <c r="CB2329"/>
      <c r="CC2329"/>
      <c r="CD2329"/>
      <c r="CE2329"/>
      <c r="CF2329"/>
      <c r="CG2329"/>
      <c r="CH2329"/>
      <c r="CI2329"/>
      <c r="CJ2329"/>
      <c r="CK2329"/>
      <c r="CL2329"/>
      <c r="CM2329"/>
    </row>
    <row r="2330" spans="1:91" x14ac:dyDescent="0.2">
      <c r="A2330"/>
      <c r="B2330"/>
      <c r="D2330"/>
      <c r="E2330"/>
      <c r="F2330"/>
      <c r="G2330"/>
      <c r="I2330"/>
      <c r="J2330"/>
      <c r="K2330"/>
      <c r="L2330" s="499"/>
      <c r="BX2330" s="769"/>
      <c r="BY2330"/>
      <c r="BZ2330"/>
      <c r="CA2330"/>
      <c r="CB2330"/>
      <c r="CC2330"/>
      <c r="CD2330"/>
      <c r="CE2330"/>
      <c r="CF2330"/>
      <c r="CG2330"/>
      <c r="CH2330"/>
      <c r="CI2330"/>
      <c r="CJ2330"/>
      <c r="CK2330"/>
      <c r="CL2330"/>
      <c r="CM2330"/>
    </row>
    <row r="2331" spans="1:91" x14ac:dyDescent="0.2">
      <c r="A2331"/>
      <c r="B2331"/>
      <c r="D2331"/>
      <c r="E2331"/>
      <c r="F2331"/>
      <c r="G2331"/>
      <c r="I2331"/>
      <c r="J2331"/>
      <c r="K2331"/>
      <c r="L2331" s="499"/>
      <c r="BX2331" s="769"/>
      <c r="BY2331"/>
      <c r="BZ2331"/>
      <c r="CA2331"/>
      <c r="CB2331"/>
      <c r="CC2331"/>
      <c r="CD2331"/>
      <c r="CE2331"/>
      <c r="CF2331"/>
      <c r="CG2331"/>
      <c r="CH2331"/>
      <c r="CI2331"/>
      <c r="CJ2331"/>
      <c r="CK2331"/>
      <c r="CL2331"/>
      <c r="CM2331"/>
    </row>
    <row r="2332" spans="1:91" x14ac:dyDescent="0.2">
      <c r="A2332"/>
      <c r="B2332"/>
      <c r="D2332"/>
      <c r="E2332"/>
      <c r="F2332"/>
      <c r="G2332"/>
      <c r="I2332"/>
      <c r="J2332"/>
      <c r="K2332"/>
      <c r="L2332" s="499"/>
      <c r="BX2332" s="769"/>
      <c r="BY2332"/>
      <c r="BZ2332"/>
      <c r="CA2332"/>
      <c r="CB2332"/>
      <c r="CC2332"/>
      <c r="CD2332"/>
      <c r="CE2332"/>
      <c r="CF2332"/>
      <c r="CG2332"/>
      <c r="CH2332"/>
      <c r="CI2332"/>
      <c r="CJ2332"/>
      <c r="CK2332"/>
      <c r="CL2332"/>
      <c r="CM2332"/>
    </row>
    <row r="2333" spans="1:91" x14ac:dyDescent="0.2">
      <c r="A2333"/>
      <c r="B2333"/>
      <c r="D2333"/>
      <c r="E2333"/>
      <c r="F2333"/>
      <c r="G2333"/>
      <c r="I2333"/>
      <c r="J2333"/>
      <c r="K2333"/>
      <c r="L2333" s="499"/>
      <c r="BX2333" s="769"/>
      <c r="BY2333"/>
      <c r="BZ2333"/>
      <c r="CA2333"/>
      <c r="CB2333"/>
      <c r="CC2333"/>
      <c r="CD2333"/>
      <c r="CE2333"/>
      <c r="CF2333"/>
      <c r="CG2333"/>
      <c r="CH2333"/>
      <c r="CI2333"/>
      <c r="CJ2333"/>
      <c r="CK2333"/>
      <c r="CL2333"/>
      <c r="CM2333"/>
    </row>
    <row r="2334" spans="1:91" x14ac:dyDescent="0.2">
      <c r="A2334"/>
      <c r="B2334"/>
      <c r="D2334"/>
      <c r="E2334"/>
      <c r="F2334"/>
      <c r="G2334"/>
      <c r="I2334"/>
      <c r="J2334"/>
      <c r="K2334"/>
      <c r="L2334" s="499"/>
      <c r="BX2334" s="769"/>
      <c r="BY2334"/>
      <c r="BZ2334"/>
      <c r="CA2334"/>
      <c r="CB2334"/>
      <c r="CC2334"/>
      <c r="CD2334"/>
      <c r="CE2334"/>
      <c r="CF2334"/>
      <c r="CG2334"/>
      <c r="CH2334"/>
      <c r="CI2334"/>
      <c r="CJ2334"/>
      <c r="CK2334"/>
      <c r="CL2334"/>
      <c r="CM2334"/>
    </row>
    <row r="2335" spans="1:91" x14ac:dyDescent="0.2">
      <c r="A2335"/>
      <c r="B2335"/>
      <c r="D2335"/>
      <c r="E2335"/>
      <c r="F2335"/>
      <c r="G2335"/>
      <c r="I2335"/>
      <c r="J2335"/>
      <c r="K2335"/>
      <c r="L2335" s="499"/>
      <c r="BX2335" s="769"/>
      <c r="BY2335"/>
      <c r="BZ2335"/>
      <c r="CA2335"/>
      <c r="CB2335"/>
      <c r="CC2335"/>
      <c r="CD2335"/>
      <c r="CE2335"/>
      <c r="CF2335"/>
      <c r="CG2335"/>
      <c r="CH2335"/>
      <c r="CI2335"/>
      <c r="CJ2335"/>
      <c r="CK2335"/>
      <c r="CL2335"/>
      <c r="CM2335"/>
    </row>
    <row r="2336" spans="1:91" x14ac:dyDescent="0.2">
      <c r="A2336"/>
      <c r="B2336"/>
      <c r="D2336"/>
      <c r="E2336"/>
      <c r="F2336"/>
      <c r="G2336"/>
      <c r="I2336"/>
      <c r="J2336"/>
      <c r="K2336"/>
      <c r="L2336" s="499"/>
      <c r="BX2336" s="769"/>
      <c r="BY2336"/>
      <c r="BZ2336"/>
      <c r="CA2336"/>
      <c r="CB2336"/>
      <c r="CC2336"/>
      <c r="CD2336"/>
      <c r="CE2336"/>
      <c r="CF2336"/>
      <c r="CG2336"/>
      <c r="CH2336"/>
      <c r="CI2336"/>
      <c r="CJ2336"/>
      <c r="CK2336"/>
      <c r="CL2336"/>
      <c r="CM2336"/>
    </row>
    <row r="2337" spans="1:91" x14ac:dyDescent="0.2">
      <c r="A2337"/>
      <c r="B2337"/>
      <c r="D2337"/>
      <c r="E2337"/>
      <c r="F2337"/>
      <c r="G2337"/>
      <c r="I2337"/>
      <c r="J2337"/>
      <c r="K2337"/>
      <c r="L2337" s="499"/>
      <c r="BX2337" s="769"/>
      <c r="BY2337"/>
      <c r="BZ2337"/>
      <c r="CA2337"/>
      <c r="CB2337"/>
      <c r="CC2337"/>
      <c r="CD2337"/>
      <c r="CE2337"/>
      <c r="CF2337"/>
      <c r="CG2337"/>
      <c r="CH2337"/>
      <c r="CI2337"/>
      <c r="CJ2337"/>
      <c r="CK2337"/>
      <c r="CL2337"/>
      <c r="CM2337"/>
    </row>
    <row r="2338" spans="1:91" x14ac:dyDescent="0.2">
      <c r="A2338"/>
      <c r="B2338"/>
      <c r="D2338"/>
      <c r="E2338"/>
      <c r="F2338"/>
      <c r="G2338"/>
      <c r="I2338"/>
      <c r="J2338"/>
      <c r="K2338"/>
      <c r="L2338" s="499"/>
      <c r="BX2338" s="769"/>
      <c r="BY2338"/>
      <c r="BZ2338"/>
      <c r="CA2338"/>
      <c r="CB2338"/>
      <c r="CC2338"/>
      <c r="CD2338"/>
      <c r="CE2338"/>
      <c r="CF2338"/>
      <c r="CG2338"/>
      <c r="CH2338"/>
      <c r="CI2338"/>
      <c r="CJ2338"/>
      <c r="CK2338"/>
      <c r="CL2338"/>
      <c r="CM2338"/>
    </row>
    <row r="2339" spans="1:91" x14ac:dyDescent="0.2">
      <c r="A2339"/>
      <c r="B2339"/>
      <c r="D2339"/>
      <c r="E2339"/>
      <c r="F2339"/>
      <c r="G2339"/>
      <c r="I2339"/>
      <c r="J2339"/>
      <c r="K2339"/>
      <c r="L2339" s="499"/>
      <c r="BX2339" s="769"/>
      <c r="BY2339"/>
      <c r="BZ2339"/>
      <c r="CA2339"/>
      <c r="CB2339"/>
      <c r="CC2339"/>
      <c r="CD2339"/>
      <c r="CE2339"/>
      <c r="CF2339"/>
      <c r="CG2339"/>
      <c r="CH2339"/>
      <c r="CI2339"/>
      <c r="CJ2339"/>
      <c r="CK2339"/>
      <c r="CL2339"/>
      <c r="CM2339"/>
    </row>
    <row r="2340" spans="1:91" x14ac:dyDescent="0.2">
      <c r="A2340"/>
      <c r="B2340"/>
      <c r="D2340"/>
      <c r="E2340"/>
      <c r="F2340"/>
      <c r="G2340"/>
      <c r="I2340"/>
      <c r="J2340"/>
      <c r="K2340"/>
      <c r="L2340" s="499"/>
      <c r="BX2340" s="769"/>
      <c r="BY2340"/>
      <c r="BZ2340"/>
      <c r="CA2340"/>
      <c r="CB2340"/>
      <c r="CC2340"/>
      <c r="CD2340"/>
      <c r="CE2340"/>
      <c r="CF2340"/>
      <c r="CG2340"/>
      <c r="CH2340"/>
      <c r="CI2340"/>
      <c r="CJ2340"/>
      <c r="CK2340"/>
      <c r="CL2340"/>
      <c r="CM2340"/>
    </row>
    <row r="2341" spans="1:91" x14ac:dyDescent="0.2">
      <c r="A2341"/>
      <c r="B2341"/>
      <c r="D2341"/>
      <c r="E2341"/>
      <c r="F2341"/>
      <c r="G2341"/>
      <c r="I2341"/>
      <c r="J2341"/>
      <c r="K2341"/>
      <c r="L2341" s="499"/>
      <c r="BX2341" s="769"/>
      <c r="BY2341"/>
      <c r="BZ2341"/>
      <c r="CA2341"/>
      <c r="CB2341"/>
      <c r="CC2341"/>
      <c r="CD2341"/>
      <c r="CE2341"/>
      <c r="CF2341"/>
      <c r="CG2341"/>
      <c r="CH2341"/>
      <c r="CI2341"/>
      <c r="CJ2341"/>
      <c r="CK2341"/>
      <c r="CL2341"/>
      <c r="CM2341"/>
    </row>
    <row r="2342" spans="1:91" x14ac:dyDescent="0.2">
      <c r="A2342"/>
      <c r="B2342"/>
      <c r="D2342"/>
      <c r="E2342"/>
      <c r="F2342"/>
      <c r="G2342"/>
      <c r="I2342"/>
      <c r="J2342"/>
      <c r="K2342"/>
      <c r="L2342" s="499"/>
      <c r="BX2342" s="769"/>
      <c r="BY2342"/>
      <c r="BZ2342"/>
      <c r="CA2342"/>
      <c r="CB2342"/>
      <c r="CC2342"/>
      <c r="CD2342"/>
      <c r="CE2342"/>
      <c r="CF2342"/>
      <c r="CG2342"/>
      <c r="CH2342"/>
      <c r="CI2342"/>
      <c r="CJ2342"/>
      <c r="CK2342"/>
      <c r="CL2342"/>
      <c r="CM2342"/>
    </row>
    <row r="2343" spans="1:91" x14ac:dyDescent="0.2">
      <c r="A2343"/>
      <c r="B2343"/>
      <c r="D2343"/>
      <c r="E2343"/>
      <c r="F2343"/>
      <c r="G2343"/>
      <c r="I2343"/>
      <c r="J2343"/>
      <c r="K2343"/>
      <c r="L2343" s="499"/>
      <c r="BX2343" s="769"/>
      <c r="BY2343"/>
      <c r="BZ2343"/>
      <c r="CA2343"/>
      <c r="CB2343"/>
      <c r="CC2343"/>
      <c r="CD2343"/>
      <c r="CE2343"/>
      <c r="CF2343"/>
      <c r="CG2343"/>
      <c r="CH2343"/>
      <c r="CI2343"/>
      <c r="CJ2343"/>
      <c r="CK2343"/>
      <c r="CL2343"/>
      <c r="CM2343"/>
    </row>
    <row r="2344" spans="1:91" x14ac:dyDescent="0.2">
      <c r="A2344"/>
      <c r="B2344"/>
      <c r="D2344"/>
      <c r="E2344"/>
      <c r="F2344"/>
      <c r="G2344"/>
      <c r="I2344"/>
      <c r="J2344"/>
      <c r="K2344"/>
      <c r="L2344" s="499"/>
      <c r="BX2344" s="769"/>
      <c r="BY2344"/>
      <c r="BZ2344"/>
      <c r="CA2344"/>
      <c r="CB2344"/>
      <c r="CC2344"/>
      <c r="CD2344"/>
      <c r="CE2344"/>
      <c r="CF2344"/>
      <c r="CG2344"/>
      <c r="CH2344"/>
      <c r="CI2344"/>
      <c r="CJ2344"/>
      <c r="CK2344"/>
      <c r="CL2344"/>
      <c r="CM2344"/>
    </row>
    <row r="2345" spans="1:91" x14ac:dyDescent="0.2">
      <c r="A2345"/>
      <c r="B2345"/>
      <c r="D2345"/>
      <c r="E2345"/>
      <c r="F2345"/>
      <c r="G2345"/>
      <c r="I2345"/>
      <c r="J2345"/>
      <c r="K2345"/>
      <c r="L2345" s="499"/>
      <c r="BX2345" s="769"/>
      <c r="BY2345"/>
      <c r="BZ2345"/>
      <c r="CA2345"/>
      <c r="CB2345"/>
      <c r="CC2345"/>
      <c r="CD2345"/>
      <c r="CE2345"/>
      <c r="CF2345"/>
      <c r="CG2345"/>
      <c r="CH2345"/>
      <c r="CI2345"/>
      <c r="CJ2345"/>
      <c r="CK2345"/>
      <c r="CL2345"/>
      <c r="CM2345"/>
    </row>
    <row r="2346" spans="1:91" x14ac:dyDescent="0.2">
      <c r="A2346"/>
      <c r="B2346"/>
      <c r="D2346"/>
      <c r="E2346"/>
      <c r="F2346"/>
      <c r="G2346"/>
      <c r="I2346"/>
      <c r="J2346"/>
      <c r="K2346"/>
      <c r="L2346" s="499"/>
      <c r="BX2346" s="769"/>
      <c r="BY2346"/>
      <c r="BZ2346"/>
      <c r="CA2346"/>
      <c r="CB2346"/>
      <c r="CC2346"/>
      <c r="CD2346"/>
      <c r="CE2346"/>
      <c r="CF2346"/>
      <c r="CG2346"/>
      <c r="CH2346"/>
      <c r="CI2346"/>
      <c r="CJ2346"/>
      <c r="CK2346"/>
      <c r="CL2346"/>
      <c r="CM2346"/>
    </row>
    <row r="2347" spans="1:91" x14ac:dyDescent="0.2">
      <c r="A2347"/>
      <c r="B2347"/>
      <c r="D2347"/>
      <c r="E2347"/>
      <c r="F2347"/>
      <c r="G2347"/>
      <c r="I2347"/>
      <c r="J2347"/>
      <c r="K2347"/>
      <c r="L2347" s="499"/>
      <c r="BX2347" s="769"/>
      <c r="BY2347"/>
      <c r="BZ2347"/>
      <c r="CA2347"/>
      <c r="CB2347"/>
      <c r="CC2347"/>
      <c r="CD2347"/>
      <c r="CE2347"/>
      <c r="CF2347"/>
      <c r="CG2347"/>
      <c r="CH2347"/>
      <c r="CI2347"/>
      <c r="CJ2347"/>
      <c r="CK2347"/>
      <c r="CL2347"/>
      <c r="CM2347"/>
    </row>
    <row r="2348" spans="1:91" x14ac:dyDescent="0.2">
      <c r="A2348"/>
      <c r="B2348"/>
      <c r="D2348"/>
      <c r="E2348"/>
      <c r="F2348"/>
      <c r="G2348"/>
      <c r="I2348"/>
      <c r="J2348"/>
      <c r="K2348"/>
      <c r="L2348" s="499"/>
      <c r="BX2348" s="769"/>
      <c r="BY2348"/>
      <c r="BZ2348"/>
      <c r="CA2348"/>
      <c r="CB2348"/>
      <c r="CC2348"/>
      <c r="CD2348"/>
      <c r="CE2348"/>
      <c r="CF2348"/>
      <c r="CG2348"/>
      <c r="CH2348"/>
      <c r="CI2348"/>
      <c r="CJ2348"/>
      <c r="CK2348"/>
      <c r="CL2348"/>
      <c r="CM2348"/>
    </row>
    <row r="2349" spans="1:91" x14ac:dyDescent="0.2">
      <c r="A2349"/>
      <c r="B2349"/>
      <c r="D2349"/>
      <c r="E2349"/>
      <c r="F2349"/>
      <c r="G2349"/>
      <c r="I2349"/>
      <c r="J2349"/>
      <c r="K2349"/>
      <c r="L2349" s="499"/>
      <c r="BX2349" s="769"/>
      <c r="BY2349"/>
      <c r="BZ2349"/>
      <c r="CA2349"/>
      <c r="CB2349"/>
      <c r="CC2349"/>
      <c r="CD2349"/>
      <c r="CE2349"/>
      <c r="CF2349"/>
      <c r="CG2349"/>
      <c r="CH2349"/>
      <c r="CI2349"/>
      <c r="CJ2349"/>
      <c r="CK2349"/>
      <c r="CL2349"/>
      <c r="CM2349"/>
    </row>
    <row r="2350" spans="1:91" x14ac:dyDescent="0.2">
      <c r="A2350"/>
      <c r="B2350"/>
      <c r="D2350"/>
      <c r="E2350"/>
      <c r="F2350"/>
      <c r="G2350"/>
      <c r="I2350"/>
      <c r="J2350"/>
      <c r="K2350"/>
      <c r="L2350" s="499"/>
      <c r="BX2350" s="769"/>
      <c r="BY2350"/>
      <c r="BZ2350"/>
      <c r="CA2350"/>
      <c r="CB2350"/>
      <c r="CC2350"/>
      <c r="CD2350"/>
      <c r="CE2350"/>
      <c r="CF2350"/>
      <c r="CG2350"/>
      <c r="CH2350"/>
      <c r="CI2350"/>
      <c r="CJ2350"/>
      <c r="CK2350"/>
      <c r="CL2350"/>
      <c r="CM2350"/>
    </row>
    <row r="2351" spans="1:91" x14ac:dyDescent="0.2">
      <c r="A2351"/>
      <c r="B2351"/>
      <c r="D2351"/>
      <c r="E2351"/>
      <c r="F2351"/>
      <c r="G2351"/>
      <c r="I2351"/>
      <c r="J2351"/>
      <c r="K2351"/>
      <c r="L2351" s="499"/>
      <c r="BX2351" s="769"/>
      <c r="BY2351"/>
      <c r="BZ2351"/>
      <c r="CA2351"/>
      <c r="CB2351"/>
      <c r="CC2351"/>
      <c r="CD2351"/>
      <c r="CE2351"/>
      <c r="CF2351"/>
      <c r="CG2351"/>
      <c r="CH2351"/>
      <c r="CI2351"/>
      <c r="CJ2351"/>
      <c r="CK2351"/>
      <c r="CL2351"/>
      <c r="CM2351"/>
    </row>
    <row r="2352" spans="1:91" x14ac:dyDescent="0.2">
      <c r="A2352"/>
      <c r="B2352"/>
      <c r="D2352"/>
      <c r="E2352"/>
      <c r="F2352"/>
      <c r="G2352"/>
      <c r="I2352"/>
      <c r="J2352"/>
      <c r="K2352"/>
      <c r="L2352" s="499"/>
      <c r="BX2352" s="769"/>
      <c r="BY2352"/>
      <c r="BZ2352"/>
      <c r="CA2352"/>
      <c r="CB2352"/>
      <c r="CC2352"/>
      <c r="CD2352"/>
      <c r="CE2352"/>
      <c r="CF2352"/>
      <c r="CG2352"/>
      <c r="CH2352"/>
      <c r="CI2352"/>
      <c r="CJ2352"/>
      <c r="CK2352"/>
      <c r="CL2352"/>
      <c r="CM2352"/>
    </row>
    <row r="2353" spans="1:91" x14ac:dyDescent="0.2">
      <c r="A2353"/>
      <c r="B2353"/>
      <c r="D2353"/>
      <c r="E2353"/>
      <c r="F2353"/>
      <c r="G2353"/>
      <c r="I2353"/>
      <c r="J2353"/>
      <c r="K2353"/>
      <c r="L2353" s="499"/>
      <c r="BX2353" s="769"/>
      <c r="BY2353"/>
      <c r="BZ2353"/>
      <c r="CA2353"/>
      <c r="CB2353"/>
      <c r="CC2353"/>
      <c r="CD2353"/>
      <c r="CE2353"/>
      <c r="CF2353"/>
      <c r="CG2353"/>
      <c r="CH2353"/>
      <c r="CI2353"/>
      <c r="CJ2353"/>
      <c r="CK2353"/>
      <c r="CL2353"/>
      <c r="CM2353"/>
    </row>
    <row r="2354" spans="1:91" x14ac:dyDescent="0.2">
      <c r="A2354"/>
      <c r="B2354"/>
      <c r="D2354"/>
      <c r="E2354"/>
      <c r="F2354"/>
      <c r="G2354"/>
      <c r="I2354"/>
      <c r="J2354"/>
      <c r="K2354"/>
      <c r="L2354" s="499"/>
      <c r="BX2354" s="769"/>
      <c r="BY2354"/>
      <c r="BZ2354"/>
      <c r="CA2354"/>
      <c r="CB2354"/>
      <c r="CC2354"/>
      <c r="CD2354"/>
      <c r="CE2354"/>
      <c r="CF2354"/>
      <c r="CG2354"/>
      <c r="CH2354"/>
      <c r="CI2354"/>
      <c r="CJ2354"/>
      <c r="CK2354"/>
      <c r="CL2354"/>
      <c r="CM2354"/>
    </row>
    <row r="2355" spans="1:91" x14ac:dyDescent="0.2">
      <c r="A2355"/>
      <c r="B2355"/>
      <c r="D2355"/>
      <c r="E2355"/>
      <c r="F2355"/>
      <c r="G2355"/>
      <c r="I2355"/>
      <c r="J2355"/>
      <c r="K2355"/>
      <c r="L2355" s="499"/>
      <c r="BX2355" s="769"/>
      <c r="BY2355"/>
      <c r="BZ2355"/>
      <c r="CA2355"/>
      <c r="CB2355"/>
      <c r="CC2355"/>
      <c r="CD2355"/>
      <c r="CE2355"/>
      <c r="CF2355"/>
      <c r="CG2355"/>
      <c r="CH2355"/>
      <c r="CI2355"/>
      <c r="CJ2355"/>
      <c r="CK2355"/>
      <c r="CL2355"/>
      <c r="CM2355"/>
    </row>
    <row r="2356" spans="1:91" x14ac:dyDescent="0.2">
      <c r="A2356"/>
      <c r="B2356"/>
      <c r="D2356"/>
      <c r="E2356"/>
      <c r="F2356"/>
      <c r="G2356"/>
      <c r="I2356"/>
      <c r="J2356"/>
      <c r="K2356"/>
      <c r="L2356" s="499"/>
      <c r="BX2356" s="769"/>
      <c r="BY2356"/>
      <c r="BZ2356"/>
      <c r="CA2356"/>
      <c r="CB2356"/>
      <c r="CC2356"/>
      <c r="CD2356"/>
      <c r="CE2356"/>
      <c r="CF2356"/>
      <c r="CG2356"/>
      <c r="CH2356"/>
      <c r="CI2356"/>
      <c r="CJ2356"/>
      <c r="CK2356"/>
      <c r="CL2356"/>
      <c r="CM2356"/>
    </row>
    <row r="2357" spans="1:91" x14ac:dyDescent="0.2">
      <c r="A2357"/>
      <c r="B2357"/>
      <c r="D2357"/>
      <c r="E2357"/>
      <c r="F2357"/>
      <c r="G2357"/>
      <c r="I2357"/>
      <c r="J2357"/>
      <c r="K2357"/>
      <c r="L2357" s="499"/>
      <c r="BX2357" s="769"/>
      <c r="BY2357"/>
      <c r="BZ2357"/>
      <c r="CA2357"/>
      <c r="CB2357"/>
      <c r="CC2357"/>
      <c r="CD2357"/>
      <c r="CE2357"/>
      <c r="CF2357"/>
      <c r="CG2357"/>
      <c r="CH2357"/>
      <c r="CI2357"/>
      <c r="CJ2357"/>
      <c r="CK2357"/>
      <c r="CL2357"/>
      <c r="CM2357"/>
    </row>
    <row r="2358" spans="1:91" x14ac:dyDescent="0.2">
      <c r="A2358"/>
      <c r="B2358"/>
      <c r="D2358"/>
      <c r="E2358"/>
      <c r="F2358"/>
      <c r="G2358"/>
      <c r="I2358"/>
      <c r="J2358"/>
      <c r="K2358"/>
      <c r="L2358" s="499"/>
      <c r="BX2358" s="769"/>
      <c r="BY2358"/>
      <c r="BZ2358"/>
      <c r="CA2358"/>
      <c r="CB2358"/>
      <c r="CC2358"/>
      <c r="CD2358"/>
      <c r="CE2358"/>
      <c r="CF2358"/>
      <c r="CG2358"/>
      <c r="CH2358"/>
      <c r="CI2358"/>
      <c r="CJ2358"/>
      <c r="CK2358"/>
      <c r="CL2358"/>
      <c r="CM2358"/>
    </row>
    <row r="2359" spans="1:91" x14ac:dyDescent="0.2">
      <c r="A2359"/>
      <c r="B2359"/>
      <c r="D2359"/>
      <c r="E2359"/>
      <c r="F2359"/>
      <c r="G2359"/>
      <c r="I2359"/>
      <c r="J2359"/>
      <c r="K2359"/>
      <c r="L2359" s="499"/>
      <c r="BX2359" s="769"/>
      <c r="BY2359"/>
      <c r="BZ2359"/>
      <c r="CA2359"/>
      <c r="CB2359"/>
      <c r="CC2359"/>
      <c r="CD2359"/>
      <c r="CE2359"/>
      <c r="CF2359"/>
      <c r="CG2359"/>
      <c r="CH2359"/>
      <c r="CI2359"/>
      <c r="CJ2359"/>
      <c r="CK2359"/>
      <c r="CL2359"/>
      <c r="CM2359"/>
    </row>
    <row r="2360" spans="1:91" x14ac:dyDescent="0.2">
      <c r="A2360"/>
      <c r="B2360"/>
      <c r="D2360"/>
      <c r="E2360"/>
      <c r="F2360"/>
      <c r="G2360"/>
      <c r="I2360"/>
      <c r="J2360"/>
      <c r="K2360"/>
      <c r="L2360" s="499"/>
      <c r="BX2360" s="769"/>
      <c r="BY2360"/>
      <c r="BZ2360"/>
      <c r="CA2360"/>
      <c r="CB2360"/>
      <c r="CC2360"/>
      <c r="CD2360"/>
      <c r="CE2360"/>
      <c r="CF2360"/>
      <c r="CG2360"/>
      <c r="CH2360"/>
      <c r="CI2360"/>
      <c r="CJ2360"/>
      <c r="CK2360"/>
      <c r="CL2360"/>
      <c r="CM2360"/>
    </row>
    <row r="2361" spans="1:91" x14ac:dyDescent="0.2">
      <c r="A2361"/>
      <c r="B2361"/>
      <c r="D2361"/>
      <c r="E2361"/>
      <c r="F2361"/>
      <c r="G2361"/>
      <c r="I2361"/>
      <c r="J2361"/>
      <c r="K2361"/>
      <c r="L2361" s="499"/>
      <c r="BX2361" s="769"/>
      <c r="BY2361"/>
      <c r="BZ2361"/>
      <c r="CA2361"/>
      <c r="CB2361"/>
      <c r="CC2361"/>
      <c r="CD2361"/>
      <c r="CE2361"/>
      <c r="CF2361"/>
      <c r="CG2361"/>
      <c r="CH2361"/>
      <c r="CI2361"/>
      <c r="CJ2361"/>
      <c r="CK2361"/>
      <c r="CL2361"/>
      <c r="CM2361"/>
    </row>
    <row r="2362" spans="1:91" x14ac:dyDescent="0.2">
      <c r="A2362"/>
      <c r="B2362"/>
      <c r="D2362"/>
      <c r="E2362"/>
      <c r="F2362"/>
      <c r="G2362"/>
      <c r="I2362"/>
      <c r="J2362"/>
      <c r="K2362"/>
      <c r="L2362" s="499"/>
      <c r="BX2362" s="769"/>
      <c r="BY2362"/>
      <c r="BZ2362"/>
      <c r="CA2362"/>
      <c r="CB2362"/>
      <c r="CC2362"/>
      <c r="CD2362"/>
      <c r="CE2362"/>
      <c r="CF2362"/>
      <c r="CG2362"/>
      <c r="CH2362"/>
      <c r="CI2362"/>
      <c r="CJ2362"/>
      <c r="CK2362"/>
      <c r="CL2362"/>
      <c r="CM2362"/>
    </row>
    <row r="2363" spans="1:91" x14ac:dyDescent="0.2">
      <c r="A2363"/>
      <c r="B2363"/>
      <c r="D2363"/>
      <c r="E2363"/>
      <c r="F2363"/>
      <c r="G2363"/>
      <c r="I2363"/>
      <c r="J2363"/>
      <c r="K2363"/>
      <c r="L2363" s="499"/>
      <c r="BX2363" s="769"/>
      <c r="BY2363"/>
      <c r="BZ2363"/>
      <c r="CA2363"/>
      <c r="CB2363"/>
      <c r="CC2363"/>
      <c r="CD2363"/>
      <c r="CE2363"/>
      <c r="CF2363"/>
      <c r="CG2363"/>
      <c r="CH2363"/>
      <c r="CI2363"/>
      <c r="CJ2363"/>
      <c r="CK2363"/>
      <c r="CL2363"/>
      <c r="CM2363"/>
    </row>
    <row r="2364" spans="1:91" x14ac:dyDescent="0.2">
      <c r="A2364"/>
      <c r="B2364"/>
      <c r="D2364"/>
      <c r="E2364"/>
      <c r="F2364"/>
      <c r="G2364"/>
      <c r="I2364"/>
      <c r="J2364"/>
      <c r="K2364"/>
      <c r="L2364" s="499"/>
      <c r="BX2364" s="769"/>
      <c r="BY2364"/>
      <c r="BZ2364"/>
      <c r="CA2364"/>
      <c r="CB2364"/>
      <c r="CC2364"/>
      <c r="CD2364"/>
      <c r="CE2364"/>
      <c r="CF2364"/>
      <c r="CG2364"/>
      <c r="CH2364"/>
      <c r="CI2364"/>
      <c r="CJ2364"/>
      <c r="CK2364"/>
      <c r="CL2364"/>
      <c r="CM2364"/>
    </row>
    <row r="2365" spans="1:91" x14ac:dyDescent="0.2">
      <c r="A2365"/>
      <c r="B2365"/>
      <c r="D2365"/>
      <c r="E2365"/>
      <c r="F2365"/>
      <c r="G2365"/>
      <c r="I2365"/>
      <c r="J2365"/>
      <c r="K2365"/>
      <c r="L2365" s="499"/>
      <c r="BX2365" s="769"/>
      <c r="BY2365"/>
      <c r="BZ2365"/>
      <c r="CA2365"/>
      <c r="CB2365"/>
      <c r="CC2365"/>
      <c r="CD2365"/>
      <c r="CE2365"/>
      <c r="CF2365"/>
      <c r="CG2365"/>
      <c r="CH2365"/>
      <c r="CI2365"/>
      <c r="CJ2365"/>
      <c r="CK2365"/>
      <c r="CL2365"/>
      <c r="CM2365"/>
    </row>
    <row r="2366" spans="1:91" x14ac:dyDescent="0.2">
      <c r="A2366"/>
      <c r="B2366"/>
      <c r="D2366"/>
      <c r="E2366"/>
      <c r="F2366"/>
      <c r="G2366"/>
      <c r="I2366"/>
      <c r="J2366"/>
      <c r="K2366"/>
      <c r="L2366" s="499"/>
      <c r="BX2366" s="769"/>
      <c r="BY2366"/>
      <c r="BZ2366"/>
      <c r="CA2366"/>
      <c r="CB2366"/>
      <c r="CC2366"/>
      <c r="CD2366"/>
      <c r="CE2366"/>
      <c r="CF2366"/>
      <c r="CG2366"/>
      <c r="CH2366"/>
      <c r="CI2366"/>
      <c r="CJ2366"/>
      <c r="CK2366"/>
      <c r="CL2366"/>
      <c r="CM2366"/>
    </row>
    <row r="2367" spans="1:91" x14ac:dyDescent="0.2">
      <c r="A2367"/>
      <c r="B2367"/>
      <c r="D2367"/>
      <c r="E2367"/>
      <c r="F2367"/>
      <c r="G2367"/>
      <c r="I2367"/>
      <c r="J2367"/>
      <c r="K2367"/>
      <c r="L2367" s="499"/>
      <c r="BX2367" s="769"/>
      <c r="BY2367"/>
      <c r="BZ2367"/>
      <c r="CA2367"/>
      <c r="CB2367"/>
      <c r="CC2367"/>
      <c r="CD2367"/>
      <c r="CE2367"/>
      <c r="CF2367"/>
      <c r="CG2367"/>
      <c r="CH2367"/>
      <c r="CI2367"/>
      <c r="CJ2367"/>
      <c r="CK2367"/>
      <c r="CL2367"/>
      <c r="CM2367"/>
    </row>
    <row r="2368" spans="1:91" x14ac:dyDescent="0.2">
      <c r="A2368"/>
      <c r="B2368"/>
      <c r="D2368"/>
      <c r="E2368"/>
      <c r="F2368"/>
      <c r="G2368"/>
      <c r="I2368"/>
      <c r="J2368"/>
      <c r="K2368"/>
      <c r="L2368" s="499"/>
      <c r="BX2368" s="769"/>
      <c r="BY2368"/>
      <c r="BZ2368"/>
      <c r="CA2368"/>
      <c r="CB2368"/>
      <c r="CC2368"/>
      <c r="CD2368"/>
      <c r="CE2368"/>
      <c r="CF2368"/>
      <c r="CG2368"/>
      <c r="CH2368"/>
      <c r="CI2368"/>
      <c r="CJ2368"/>
      <c r="CK2368"/>
      <c r="CL2368"/>
      <c r="CM2368"/>
    </row>
    <row r="2369" spans="1:91" x14ac:dyDescent="0.2">
      <c r="A2369"/>
      <c r="B2369"/>
      <c r="D2369"/>
      <c r="E2369"/>
      <c r="F2369"/>
      <c r="G2369"/>
      <c r="I2369"/>
      <c r="J2369"/>
      <c r="K2369"/>
      <c r="L2369" s="499"/>
      <c r="BX2369" s="769"/>
      <c r="BY2369"/>
      <c r="BZ2369"/>
      <c r="CA2369"/>
      <c r="CB2369"/>
      <c r="CC2369"/>
      <c r="CD2369"/>
      <c r="CE2369"/>
      <c r="CF2369"/>
      <c r="CG2369"/>
      <c r="CH2369"/>
      <c r="CI2369"/>
      <c r="CJ2369"/>
      <c r="CK2369"/>
      <c r="CL2369"/>
      <c r="CM2369"/>
    </row>
    <row r="2370" spans="1:91" x14ac:dyDescent="0.2">
      <c r="A2370"/>
      <c r="B2370"/>
      <c r="D2370"/>
      <c r="E2370"/>
      <c r="F2370"/>
      <c r="G2370"/>
      <c r="I2370"/>
      <c r="J2370"/>
      <c r="K2370"/>
      <c r="L2370" s="499"/>
      <c r="BX2370" s="769"/>
      <c r="BY2370"/>
      <c r="BZ2370"/>
      <c r="CA2370"/>
      <c r="CB2370"/>
      <c r="CC2370"/>
      <c r="CD2370"/>
      <c r="CE2370"/>
      <c r="CF2370"/>
      <c r="CG2370"/>
      <c r="CH2370"/>
      <c r="CI2370"/>
      <c r="CJ2370"/>
      <c r="CK2370"/>
      <c r="CL2370"/>
      <c r="CM2370"/>
    </row>
    <row r="2371" spans="1:91" x14ac:dyDescent="0.2">
      <c r="A2371"/>
      <c r="B2371"/>
      <c r="D2371"/>
      <c r="E2371"/>
      <c r="F2371"/>
      <c r="G2371"/>
      <c r="I2371"/>
      <c r="J2371"/>
      <c r="K2371"/>
      <c r="L2371" s="499"/>
      <c r="BX2371" s="769"/>
      <c r="BY2371"/>
      <c r="BZ2371"/>
      <c r="CA2371"/>
      <c r="CB2371"/>
      <c r="CC2371"/>
      <c r="CD2371"/>
      <c r="CE2371"/>
      <c r="CF2371"/>
      <c r="CG2371"/>
      <c r="CH2371"/>
      <c r="CI2371"/>
      <c r="CJ2371"/>
      <c r="CK2371"/>
      <c r="CL2371"/>
      <c r="CM2371"/>
    </row>
    <row r="2372" spans="1:91" x14ac:dyDescent="0.2">
      <c r="A2372"/>
      <c r="B2372"/>
      <c r="D2372"/>
      <c r="E2372"/>
      <c r="F2372"/>
      <c r="G2372"/>
      <c r="I2372"/>
      <c r="J2372"/>
      <c r="K2372"/>
      <c r="L2372" s="499"/>
      <c r="BX2372" s="769"/>
      <c r="BY2372"/>
      <c r="BZ2372"/>
      <c r="CA2372"/>
      <c r="CB2372"/>
      <c r="CC2372"/>
      <c r="CD2372"/>
      <c r="CE2372"/>
      <c r="CF2372"/>
      <c r="CG2372"/>
      <c r="CH2372"/>
      <c r="CI2372"/>
      <c r="CJ2372"/>
      <c r="CK2372"/>
      <c r="CL2372"/>
      <c r="CM2372"/>
    </row>
    <row r="2373" spans="1:91" x14ac:dyDescent="0.2">
      <c r="A2373"/>
      <c r="B2373"/>
      <c r="D2373"/>
      <c r="E2373"/>
      <c r="F2373"/>
      <c r="G2373"/>
      <c r="I2373"/>
      <c r="J2373"/>
      <c r="K2373"/>
      <c r="L2373" s="499"/>
      <c r="BX2373" s="769"/>
      <c r="BY2373"/>
      <c r="BZ2373"/>
      <c r="CA2373"/>
      <c r="CB2373"/>
      <c r="CC2373"/>
      <c r="CD2373"/>
      <c r="CE2373"/>
      <c r="CF2373"/>
      <c r="CG2373"/>
      <c r="CH2373"/>
      <c r="CI2373"/>
      <c r="CJ2373"/>
      <c r="CK2373"/>
      <c r="CL2373"/>
      <c r="CM2373"/>
    </row>
    <row r="2374" spans="1:91" x14ac:dyDescent="0.2">
      <c r="A2374"/>
      <c r="B2374"/>
      <c r="D2374"/>
      <c r="E2374"/>
      <c r="F2374"/>
      <c r="G2374"/>
      <c r="I2374"/>
      <c r="J2374"/>
      <c r="K2374"/>
      <c r="L2374" s="499"/>
      <c r="BX2374" s="769"/>
      <c r="BY2374"/>
      <c r="BZ2374"/>
      <c r="CA2374"/>
      <c r="CB2374"/>
      <c r="CC2374"/>
      <c r="CD2374"/>
      <c r="CE2374"/>
      <c r="CF2374"/>
      <c r="CG2374"/>
      <c r="CH2374"/>
      <c r="CI2374"/>
      <c r="CJ2374"/>
      <c r="CK2374"/>
      <c r="CL2374"/>
      <c r="CM2374"/>
    </row>
    <row r="2375" spans="1:91" x14ac:dyDescent="0.2">
      <c r="A2375"/>
      <c r="B2375"/>
      <c r="D2375"/>
      <c r="E2375"/>
      <c r="F2375"/>
      <c r="G2375"/>
      <c r="I2375"/>
      <c r="J2375"/>
      <c r="K2375"/>
      <c r="L2375" s="499"/>
      <c r="BX2375" s="769"/>
      <c r="BY2375"/>
      <c r="BZ2375"/>
      <c r="CA2375"/>
      <c r="CB2375"/>
      <c r="CC2375"/>
      <c r="CD2375"/>
      <c r="CE2375"/>
      <c r="CF2375"/>
      <c r="CG2375"/>
      <c r="CH2375"/>
      <c r="CI2375"/>
      <c r="CJ2375"/>
      <c r="CK2375"/>
      <c r="CL2375"/>
      <c r="CM2375"/>
    </row>
    <row r="2376" spans="1:91" x14ac:dyDescent="0.2">
      <c r="A2376"/>
      <c r="B2376"/>
      <c r="D2376"/>
      <c r="E2376"/>
      <c r="F2376"/>
      <c r="G2376"/>
      <c r="I2376"/>
      <c r="J2376"/>
      <c r="K2376"/>
      <c r="L2376" s="499"/>
      <c r="BX2376" s="769"/>
      <c r="BY2376"/>
      <c r="BZ2376"/>
      <c r="CA2376"/>
      <c r="CB2376"/>
      <c r="CC2376"/>
      <c r="CD2376"/>
      <c r="CE2376"/>
      <c r="CF2376"/>
      <c r="CG2376"/>
      <c r="CH2376"/>
      <c r="CI2376"/>
      <c r="CJ2376"/>
      <c r="CK2376"/>
      <c r="CL2376"/>
      <c r="CM2376"/>
    </row>
    <row r="2377" spans="1:91" x14ac:dyDescent="0.2">
      <c r="A2377"/>
      <c r="B2377"/>
      <c r="D2377"/>
      <c r="E2377"/>
      <c r="F2377"/>
      <c r="G2377"/>
      <c r="I2377"/>
      <c r="J2377"/>
      <c r="K2377"/>
      <c r="L2377" s="499"/>
      <c r="BX2377" s="769"/>
      <c r="BY2377"/>
      <c r="BZ2377"/>
      <c r="CA2377"/>
      <c r="CB2377"/>
      <c r="CC2377"/>
      <c r="CD2377"/>
      <c r="CE2377"/>
      <c r="CF2377"/>
      <c r="CG2377"/>
      <c r="CH2377"/>
      <c r="CI2377"/>
      <c r="CJ2377"/>
      <c r="CK2377"/>
      <c r="CL2377"/>
      <c r="CM2377"/>
    </row>
    <row r="2378" spans="1:91" x14ac:dyDescent="0.2">
      <c r="A2378"/>
      <c r="B2378"/>
      <c r="D2378"/>
      <c r="E2378"/>
      <c r="F2378"/>
      <c r="G2378"/>
      <c r="I2378"/>
      <c r="J2378"/>
      <c r="K2378"/>
      <c r="L2378" s="499"/>
      <c r="BX2378" s="769"/>
      <c r="BY2378"/>
      <c r="BZ2378"/>
      <c r="CA2378"/>
      <c r="CB2378"/>
      <c r="CC2378"/>
      <c r="CD2378"/>
      <c r="CE2378"/>
      <c r="CF2378"/>
      <c r="CG2378"/>
      <c r="CH2378"/>
      <c r="CI2378"/>
      <c r="CJ2378"/>
      <c r="CK2378"/>
      <c r="CL2378"/>
      <c r="CM2378"/>
    </row>
    <row r="2379" spans="1:91" x14ac:dyDescent="0.2">
      <c r="A2379"/>
      <c r="B2379"/>
      <c r="D2379"/>
      <c r="E2379"/>
      <c r="F2379"/>
      <c r="G2379"/>
      <c r="I2379"/>
      <c r="J2379"/>
      <c r="K2379"/>
      <c r="L2379" s="499"/>
      <c r="BX2379" s="769"/>
      <c r="BY2379"/>
      <c r="BZ2379"/>
      <c r="CA2379"/>
      <c r="CB2379"/>
      <c r="CC2379"/>
      <c r="CD2379"/>
      <c r="CE2379"/>
      <c r="CF2379"/>
      <c r="CG2379"/>
      <c r="CH2379"/>
      <c r="CI2379"/>
      <c r="CJ2379"/>
      <c r="CK2379"/>
      <c r="CL2379"/>
      <c r="CM2379"/>
    </row>
    <row r="2380" spans="1:91" x14ac:dyDescent="0.2">
      <c r="A2380"/>
      <c r="B2380"/>
      <c r="D2380"/>
      <c r="E2380"/>
      <c r="F2380"/>
      <c r="G2380"/>
      <c r="I2380"/>
      <c r="J2380"/>
      <c r="K2380"/>
      <c r="L2380" s="499"/>
      <c r="BX2380" s="769"/>
      <c r="BY2380"/>
      <c r="BZ2380"/>
      <c r="CA2380"/>
      <c r="CB2380"/>
      <c r="CC2380"/>
      <c r="CD2380"/>
      <c r="CE2380"/>
      <c r="CF2380"/>
      <c r="CG2380"/>
      <c r="CH2380"/>
      <c r="CI2380"/>
      <c r="CJ2380"/>
      <c r="CK2380"/>
      <c r="CL2380"/>
      <c r="CM2380"/>
    </row>
    <row r="2381" spans="1:91" x14ac:dyDescent="0.2">
      <c r="A2381"/>
      <c r="B2381"/>
      <c r="D2381"/>
      <c r="E2381"/>
      <c r="F2381"/>
      <c r="G2381"/>
      <c r="I2381"/>
      <c r="J2381"/>
      <c r="K2381"/>
      <c r="L2381" s="499"/>
      <c r="BX2381" s="769"/>
      <c r="BY2381"/>
      <c r="BZ2381"/>
      <c r="CA2381"/>
      <c r="CB2381"/>
      <c r="CC2381"/>
      <c r="CD2381"/>
      <c r="CE2381"/>
      <c r="CF2381"/>
      <c r="CG2381"/>
      <c r="CH2381"/>
      <c r="CI2381"/>
      <c r="CJ2381"/>
      <c r="CK2381"/>
      <c r="CL2381"/>
      <c r="CM2381"/>
    </row>
    <row r="2382" spans="1:91" x14ac:dyDescent="0.2">
      <c r="A2382"/>
      <c r="B2382"/>
      <c r="D2382"/>
      <c r="E2382"/>
      <c r="F2382"/>
      <c r="G2382"/>
      <c r="I2382"/>
      <c r="J2382"/>
      <c r="K2382"/>
      <c r="L2382" s="499"/>
      <c r="BX2382" s="769"/>
      <c r="BY2382"/>
      <c r="BZ2382"/>
      <c r="CA2382"/>
      <c r="CB2382"/>
      <c r="CC2382"/>
      <c r="CD2382"/>
      <c r="CE2382"/>
      <c r="CF2382"/>
      <c r="CG2382"/>
      <c r="CH2382"/>
      <c r="CI2382"/>
      <c r="CJ2382"/>
      <c r="CK2382"/>
      <c r="CL2382"/>
      <c r="CM2382"/>
    </row>
    <row r="2383" spans="1:91" x14ac:dyDescent="0.2">
      <c r="A2383"/>
      <c r="B2383"/>
      <c r="D2383"/>
      <c r="E2383"/>
      <c r="F2383"/>
      <c r="G2383"/>
      <c r="I2383"/>
      <c r="J2383"/>
      <c r="K2383"/>
      <c r="L2383" s="499"/>
      <c r="BX2383" s="769"/>
      <c r="BY2383"/>
      <c r="BZ2383"/>
      <c r="CA2383"/>
      <c r="CB2383"/>
      <c r="CC2383"/>
      <c r="CD2383"/>
      <c r="CE2383"/>
      <c r="CF2383"/>
      <c r="CG2383"/>
      <c r="CH2383"/>
      <c r="CI2383"/>
      <c r="CJ2383"/>
      <c r="CK2383"/>
      <c r="CL2383"/>
      <c r="CM2383"/>
    </row>
    <row r="2384" spans="1:91" x14ac:dyDescent="0.2">
      <c r="A2384"/>
      <c r="B2384"/>
      <c r="D2384"/>
      <c r="E2384"/>
      <c r="F2384"/>
      <c r="G2384"/>
      <c r="I2384"/>
      <c r="J2384"/>
      <c r="K2384"/>
      <c r="L2384" s="499"/>
      <c r="BX2384" s="769"/>
      <c r="BY2384"/>
      <c r="BZ2384"/>
      <c r="CA2384"/>
      <c r="CB2384"/>
      <c r="CC2384"/>
      <c r="CD2384"/>
      <c r="CE2384"/>
      <c r="CF2384"/>
      <c r="CG2384"/>
      <c r="CH2384"/>
      <c r="CI2384"/>
      <c r="CJ2384"/>
      <c r="CK2384"/>
      <c r="CL2384"/>
      <c r="CM2384"/>
    </row>
    <row r="2385" spans="1:91" x14ac:dyDescent="0.2">
      <c r="A2385"/>
      <c r="B2385"/>
      <c r="D2385"/>
      <c r="E2385"/>
      <c r="F2385"/>
      <c r="G2385"/>
      <c r="I2385"/>
      <c r="J2385"/>
      <c r="K2385"/>
      <c r="L2385" s="499"/>
      <c r="BX2385" s="769"/>
      <c r="BY2385"/>
      <c r="BZ2385"/>
      <c r="CA2385"/>
      <c r="CB2385"/>
      <c r="CC2385"/>
      <c r="CD2385"/>
      <c r="CE2385"/>
      <c r="CF2385"/>
      <c r="CG2385"/>
      <c r="CH2385"/>
      <c r="CI2385"/>
      <c r="CJ2385"/>
      <c r="CK2385"/>
      <c r="CL2385"/>
      <c r="CM2385"/>
    </row>
    <row r="2386" spans="1:91" x14ac:dyDescent="0.2">
      <c r="A2386"/>
      <c r="B2386"/>
      <c r="D2386"/>
      <c r="E2386"/>
      <c r="F2386"/>
      <c r="G2386"/>
      <c r="I2386"/>
      <c r="J2386"/>
      <c r="K2386"/>
      <c r="L2386" s="499"/>
      <c r="BX2386" s="769"/>
      <c r="BY2386"/>
      <c r="BZ2386"/>
      <c r="CA2386"/>
      <c r="CB2386"/>
      <c r="CC2386"/>
      <c r="CD2386"/>
      <c r="CE2386"/>
      <c r="CF2386"/>
      <c r="CG2386"/>
      <c r="CH2386"/>
      <c r="CI2386"/>
      <c r="CJ2386"/>
      <c r="CK2386"/>
      <c r="CL2386"/>
      <c r="CM2386"/>
    </row>
    <row r="2387" spans="1:91" x14ac:dyDescent="0.2">
      <c r="A2387"/>
      <c r="B2387"/>
      <c r="D2387"/>
      <c r="E2387"/>
      <c r="F2387"/>
      <c r="G2387"/>
      <c r="I2387"/>
      <c r="J2387"/>
      <c r="K2387"/>
      <c r="L2387" s="499"/>
      <c r="BX2387" s="769"/>
      <c r="BY2387"/>
      <c r="BZ2387"/>
      <c r="CA2387"/>
      <c r="CB2387"/>
      <c r="CC2387"/>
      <c r="CD2387"/>
      <c r="CE2387"/>
      <c r="CF2387"/>
      <c r="CG2387"/>
      <c r="CH2387"/>
      <c r="CI2387"/>
      <c r="CJ2387"/>
      <c r="CK2387"/>
      <c r="CL2387"/>
      <c r="CM2387"/>
    </row>
    <row r="2388" spans="1:91" x14ac:dyDescent="0.2">
      <c r="A2388"/>
      <c r="B2388"/>
      <c r="D2388"/>
      <c r="E2388"/>
      <c r="F2388"/>
      <c r="G2388"/>
      <c r="I2388"/>
      <c r="J2388"/>
      <c r="K2388"/>
      <c r="L2388" s="499"/>
      <c r="BX2388" s="769"/>
      <c r="BY2388"/>
      <c r="BZ2388"/>
      <c r="CA2388"/>
      <c r="CB2388"/>
      <c r="CC2388"/>
      <c r="CD2388"/>
      <c r="CE2388"/>
      <c r="CF2388"/>
      <c r="CG2388"/>
      <c r="CH2388"/>
      <c r="CI2388"/>
      <c r="CJ2388"/>
      <c r="CK2388"/>
      <c r="CL2388"/>
      <c r="CM2388"/>
    </row>
    <row r="2389" spans="1:91" x14ac:dyDescent="0.2">
      <c r="A2389"/>
      <c r="B2389"/>
      <c r="D2389"/>
      <c r="E2389"/>
      <c r="F2389"/>
      <c r="G2389"/>
      <c r="I2389"/>
      <c r="J2389"/>
      <c r="K2389"/>
      <c r="L2389" s="499"/>
      <c r="BX2389" s="769"/>
      <c r="BY2389"/>
      <c r="BZ2389"/>
      <c r="CA2389"/>
      <c r="CB2389"/>
      <c r="CC2389"/>
      <c r="CD2389"/>
      <c r="CE2389"/>
      <c r="CF2389"/>
      <c r="CG2389"/>
      <c r="CH2389"/>
      <c r="CI2389"/>
      <c r="CJ2389"/>
      <c r="CK2389"/>
      <c r="CL2389"/>
      <c r="CM2389"/>
    </row>
    <row r="2390" spans="1:91" x14ac:dyDescent="0.2">
      <c r="A2390"/>
      <c r="B2390"/>
      <c r="D2390"/>
      <c r="E2390"/>
      <c r="F2390"/>
      <c r="G2390"/>
      <c r="I2390"/>
      <c r="J2390"/>
      <c r="K2390"/>
      <c r="L2390" s="499"/>
      <c r="BX2390" s="769"/>
      <c r="BY2390"/>
      <c r="BZ2390"/>
      <c r="CA2390"/>
      <c r="CB2390"/>
      <c r="CC2390"/>
      <c r="CD2390"/>
      <c r="CE2390"/>
      <c r="CF2390"/>
      <c r="CG2390"/>
      <c r="CH2390"/>
      <c r="CI2390"/>
      <c r="CJ2390"/>
      <c r="CK2390"/>
      <c r="CL2390"/>
      <c r="CM2390"/>
    </row>
    <row r="2391" spans="1:91" x14ac:dyDescent="0.2">
      <c r="A2391"/>
      <c r="B2391"/>
      <c r="D2391"/>
      <c r="E2391"/>
      <c r="F2391"/>
      <c r="G2391"/>
      <c r="I2391"/>
      <c r="J2391"/>
      <c r="K2391"/>
      <c r="L2391" s="499"/>
      <c r="BX2391" s="769"/>
      <c r="BY2391"/>
      <c r="BZ2391"/>
      <c r="CA2391"/>
      <c r="CB2391"/>
      <c r="CC2391"/>
      <c r="CD2391"/>
      <c r="CE2391"/>
      <c r="CF2391"/>
      <c r="CG2391"/>
      <c r="CH2391"/>
      <c r="CI2391"/>
      <c r="CJ2391"/>
      <c r="CK2391"/>
      <c r="CL2391"/>
      <c r="CM2391"/>
    </row>
    <row r="2392" spans="1:91" x14ac:dyDescent="0.2">
      <c r="A2392"/>
      <c r="B2392"/>
      <c r="D2392"/>
      <c r="E2392"/>
      <c r="F2392"/>
      <c r="G2392"/>
      <c r="I2392"/>
      <c r="J2392"/>
      <c r="K2392"/>
      <c r="L2392" s="499"/>
      <c r="BX2392" s="769"/>
      <c r="BY2392"/>
      <c r="BZ2392"/>
      <c r="CA2392"/>
      <c r="CB2392"/>
      <c r="CC2392"/>
      <c r="CD2392"/>
      <c r="CE2392"/>
      <c r="CF2392"/>
      <c r="CG2392"/>
      <c r="CH2392"/>
      <c r="CI2392"/>
      <c r="CJ2392"/>
      <c r="CK2392"/>
      <c r="CL2392"/>
      <c r="CM2392"/>
    </row>
    <row r="2393" spans="1:91" x14ac:dyDescent="0.2">
      <c r="A2393"/>
      <c r="B2393"/>
      <c r="D2393"/>
      <c r="E2393"/>
      <c r="F2393"/>
      <c r="G2393"/>
      <c r="I2393"/>
      <c r="J2393"/>
      <c r="K2393"/>
      <c r="L2393" s="499"/>
      <c r="BX2393" s="769"/>
      <c r="BY2393"/>
      <c r="BZ2393"/>
      <c r="CA2393"/>
      <c r="CB2393"/>
      <c r="CC2393"/>
      <c r="CD2393"/>
      <c r="CE2393"/>
      <c r="CF2393"/>
      <c r="CG2393"/>
      <c r="CH2393"/>
      <c r="CI2393"/>
      <c r="CJ2393"/>
      <c r="CK2393"/>
      <c r="CL2393"/>
      <c r="CM2393"/>
    </row>
    <row r="2394" spans="1:91" x14ac:dyDescent="0.2">
      <c r="A2394"/>
      <c r="B2394"/>
      <c r="D2394"/>
      <c r="E2394"/>
      <c r="F2394"/>
      <c r="G2394"/>
      <c r="I2394"/>
      <c r="J2394"/>
      <c r="K2394"/>
      <c r="L2394" s="499"/>
      <c r="BX2394" s="769"/>
      <c r="BY2394"/>
      <c r="BZ2394"/>
      <c r="CA2394"/>
      <c r="CB2394"/>
      <c r="CC2394"/>
      <c r="CD2394"/>
      <c r="CE2394"/>
      <c r="CF2394"/>
      <c r="CG2394"/>
      <c r="CH2394"/>
      <c r="CI2394"/>
      <c r="CJ2394"/>
      <c r="CK2394"/>
      <c r="CL2394"/>
      <c r="CM2394"/>
    </row>
    <row r="2395" spans="1:91" x14ac:dyDescent="0.2">
      <c r="A2395"/>
      <c r="B2395"/>
      <c r="D2395"/>
      <c r="E2395"/>
      <c r="F2395"/>
      <c r="G2395"/>
      <c r="I2395"/>
      <c r="J2395"/>
      <c r="K2395"/>
      <c r="L2395" s="499"/>
      <c r="BX2395" s="769"/>
      <c r="BY2395"/>
      <c r="BZ2395"/>
      <c r="CA2395"/>
      <c r="CB2395"/>
      <c r="CC2395"/>
      <c r="CD2395"/>
      <c r="CE2395"/>
      <c r="CF2395"/>
      <c r="CG2395"/>
      <c r="CH2395"/>
      <c r="CI2395"/>
      <c r="CJ2395"/>
      <c r="CK2395"/>
      <c r="CL2395"/>
      <c r="CM2395"/>
    </row>
    <row r="2396" spans="1:91" x14ac:dyDescent="0.2">
      <c r="A2396"/>
      <c r="B2396"/>
      <c r="D2396"/>
      <c r="E2396"/>
      <c r="F2396"/>
      <c r="G2396"/>
      <c r="I2396"/>
      <c r="J2396"/>
      <c r="K2396"/>
      <c r="L2396" s="499"/>
      <c r="BX2396" s="769"/>
      <c r="BY2396"/>
      <c r="BZ2396"/>
      <c r="CA2396"/>
      <c r="CB2396"/>
      <c r="CC2396"/>
      <c r="CD2396"/>
      <c r="CE2396"/>
      <c r="CF2396"/>
      <c r="CG2396"/>
      <c r="CH2396"/>
      <c r="CI2396"/>
      <c r="CJ2396"/>
      <c r="CK2396"/>
      <c r="CL2396"/>
      <c r="CM2396"/>
    </row>
    <row r="2397" spans="1:91" x14ac:dyDescent="0.2">
      <c r="A2397"/>
      <c r="B2397"/>
      <c r="D2397"/>
      <c r="E2397"/>
      <c r="F2397"/>
      <c r="G2397"/>
      <c r="I2397"/>
      <c r="J2397"/>
      <c r="K2397"/>
      <c r="L2397" s="499"/>
      <c r="BX2397" s="769"/>
      <c r="BY2397"/>
      <c r="BZ2397"/>
      <c r="CA2397"/>
      <c r="CB2397"/>
      <c r="CC2397"/>
      <c r="CD2397"/>
      <c r="CE2397"/>
      <c r="CF2397"/>
      <c r="CG2397"/>
      <c r="CH2397"/>
      <c r="CI2397"/>
      <c r="CJ2397"/>
      <c r="CK2397"/>
      <c r="CL2397"/>
      <c r="CM2397"/>
    </row>
    <row r="2398" spans="1:91" x14ac:dyDescent="0.2">
      <c r="A2398"/>
      <c r="B2398"/>
      <c r="D2398"/>
      <c r="E2398"/>
      <c r="F2398"/>
      <c r="G2398"/>
      <c r="I2398"/>
      <c r="J2398"/>
      <c r="K2398"/>
      <c r="L2398" s="499"/>
      <c r="BX2398" s="769"/>
      <c r="BY2398"/>
      <c r="BZ2398"/>
      <c r="CA2398"/>
      <c r="CB2398"/>
      <c r="CC2398"/>
      <c r="CD2398"/>
      <c r="CE2398"/>
      <c r="CF2398"/>
      <c r="CG2398"/>
      <c r="CH2398"/>
      <c r="CI2398"/>
      <c r="CJ2398"/>
      <c r="CK2398"/>
      <c r="CL2398"/>
      <c r="CM2398"/>
    </row>
    <row r="2399" spans="1:91" x14ac:dyDescent="0.2">
      <c r="A2399"/>
      <c r="B2399"/>
      <c r="D2399"/>
      <c r="E2399"/>
      <c r="F2399"/>
      <c r="G2399"/>
      <c r="I2399"/>
      <c r="J2399"/>
      <c r="K2399"/>
      <c r="L2399" s="499"/>
      <c r="BX2399" s="769"/>
      <c r="BY2399"/>
      <c r="BZ2399"/>
      <c r="CA2399"/>
      <c r="CB2399"/>
      <c r="CC2399"/>
      <c r="CD2399"/>
      <c r="CE2399"/>
      <c r="CF2399"/>
      <c r="CG2399"/>
      <c r="CH2399"/>
      <c r="CI2399"/>
      <c r="CJ2399"/>
      <c r="CK2399"/>
      <c r="CL2399"/>
      <c r="CM2399"/>
    </row>
    <row r="2400" spans="1:91" x14ac:dyDescent="0.2">
      <c r="A2400"/>
      <c r="B2400"/>
      <c r="D2400"/>
      <c r="E2400"/>
      <c r="F2400"/>
      <c r="G2400"/>
      <c r="I2400"/>
      <c r="J2400"/>
      <c r="K2400"/>
      <c r="L2400" s="499"/>
      <c r="BX2400" s="769"/>
      <c r="BY2400"/>
      <c r="BZ2400"/>
      <c r="CA2400"/>
      <c r="CB2400"/>
      <c r="CC2400"/>
      <c r="CD2400"/>
      <c r="CE2400"/>
      <c r="CF2400"/>
      <c r="CG2400"/>
      <c r="CH2400"/>
      <c r="CI2400"/>
      <c r="CJ2400"/>
      <c r="CK2400"/>
      <c r="CL2400"/>
      <c r="CM2400"/>
    </row>
    <row r="2401" spans="1:91" x14ac:dyDescent="0.2">
      <c r="A2401"/>
      <c r="B2401"/>
      <c r="D2401"/>
      <c r="E2401"/>
      <c r="F2401"/>
      <c r="G2401"/>
      <c r="I2401"/>
      <c r="J2401"/>
      <c r="K2401"/>
      <c r="L2401" s="499"/>
      <c r="BX2401" s="769"/>
      <c r="BY2401"/>
      <c r="BZ2401"/>
      <c r="CA2401"/>
      <c r="CB2401"/>
      <c r="CC2401"/>
      <c r="CD2401"/>
      <c r="CE2401"/>
      <c r="CF2401"/>
      <c r="CG2401"/>
      <c r="CH2401"/>
      <c r="CI2401"/>
      <c r="CJ2401"/>
      <c r="CK2401"/>
      <c r="CL2401"/>
      <c r="CM2401"/>
    </row>
    <row r="2402" spans="1:91" x14ac:dyDescent="0.2">
      <c r="A2402"/>
      <c r="B2402"/>
      <c r="D2402"/>
      <c r="E2402"/>
      <c r="F2402"/>
      <c r="G2402"/>
      <c r="I2402"/>
      <c r="J2402"/>
      <c r="K2402"/>
      <c r="L2402" s="499"/>
      <c r="BX2402" s="769"/>
      <c r="BY2402"/>
      <c r="BZ2402"/>
      <c r="CA2402"/>
      <c r="CB2402"/>
      <c r="CC2402"/>
      <c r="CD2402"/>
      <c r="CE2402"/>
      <c r="CF2402"/>
      <c r="CG2402"/>
      <c r="CH2402"/>
      <c r="CI2402"/>
      <c r="CJ2402"/>
      <c r="CK2402"/>
      <c r="CL2402"/>
      <c r="CM2402"/>
    </row>
    <row r="2403" spans="1:91" x14ac:dyDescent="0.2">
      <c r="A2403"/>
      <c r="B2403"/>
      <c r="D2403"/>
      <c r="E2403"/>
      <c r="F2403"/>
      <c r="G2403"/>
      <c r="I2403"/>
      <c r="J2403"/>
      <c r="K2403"/>
      <c r="L2403" s="499"/>
      <c r="BX2403" s="769"/>
      <c r="BY2403"/>
      <c r="BZ2403"/>
      <c r="CA2403"/>
      <c r="CB2403"/>
      <c r="CC2403"/>
      <c r="CD2403"/>
      <c r="CE2403"/>
      <c r="CF2403"/>
      <c r="CG2403"/>
      <c r="CH2403"/>
      <c r="CI2403"/>
      <c r="CJ2403"/>
      <c r="CK2403"/>
      <c r="CL2403"/>
      <c r="CM2403"/>
    </row>
    <row r="2404" spans="1:91" x14ac:dyDescent="0.2">
      <c r="A2404"/>
      <c r="B2404"/>
      <c r="D2404"/>
      <c r="E2404"/>
      <c r="F2404"/>
      <c r="G2404"/>
      <c r="I2404"/>
      <c r="J2404"/>
      <c r="K2404"/>
      <c r="L2404" s="499"/>
      <c r="BX2404" s="769"/>
      <c r="BY2404"/>
      <c r="BZ2404"/>
      <c r="CA2404"/>
      <c r="CB2404"/>
      <c r="CC2404"/>
      <c r="CD2404"/>
      <c r="CE2404"/>
      <c r="CF2404"/>
      <c r="CG2404"/>
      <c r="CH2404"/>
      <c r="CI2404"/>
      <c r="CJ2404"/>
      <c r="CK2404"/>
      <c r="CL2404"/>
      <c r="CM2404"/>
    </row>
    <row r="2405" spans="1:91" x14ac:dyDescent="0.2">
      <c r="A2405"/>
      <c r="B2405"/>
      <c r="D2405"/>
      <c r="E2405"/>
      <c r="F2405"/>
      <c r="G2405"/>
      <c r="I2405"/>
      <c r="J2405"/>
      <c r="K2405"/>
      <c r="L2405" s="499"/>
      <c r="BX2405" s="769"/>
      <c r="BY2405"/>
      <c r="BZ2405"/>
      <c r="CA2405"/>
      <c r="CB2405"/>
      <c r="CC2405"/>
      <c r="CD2405"/>
      <c r="CE2405"/>
      <c r="CF2405"/>
      <c r="CG2405"/>
      <c r="CH2405"/>
      <c r="CI2405"/>
      <c r="CJ2405"/>
      <c r="CK2405"/>
      <c r="CL2405"/>
      <c r="CM2405"/>
    </row>
    <row r="2406" spans="1:91" x14ac:dyDescent="0.2">
      <c r="A2406"/>
      <c r="B2406"/>
      <c r="D2406"/>
      <c r="E2406"/>
      <c r="F2406"/>
      <c r="G2406"/>
      <c r="I2406"/>
      <c r="J2406"/>
      <c r="K2406"/>
      <c r="L2406" s="499"/>
      <c r="BX2406" s="769"/>
      <c r="BY2406"/>
      <c r="BZ2406"/>
      <c r="CA2406"/>
      <c r="CB2406"/>
      <c r="CC2406"/>
      <c r="CD2406"/>
      <c r="CE2406"/>
      <c r="CF2406"/>
      <c r="CG2406"/>
      <c r="CH2406"/>
      <c r="CI2406"/>
      <c r="CJ2406"/>
      <c r="CK2406"/>
      <c r="CL2406"/>
      <c r="CM2406"/>
    </row>
    <row r="2407" spans="1:91" x14ac:dyDescent="0.2">
      <c r="A2407"/>
      <c r="B2407"/>
      <c r="D2407"/>
      <c r="E2407"/>
      <c r="F2407"/>
      <c r="G2407"/>
      <c r="I2407"/>
      <c r="J2407"/>
      <c r="K2407"/>
      <c r="L2407" s="499"/>
      <c r="BX2407" s="769"/>
      <c r="BY2407"/>
      <c r="BZ2407"/>
      <c r="CA2407"/>
      <c r="CB2407"/>
      <c r="CC2407"/>
      <c r="CD2407"/>
      <c r="CE2407"/>
      <c r="CF2407"/>
      <c r="CG2407"/>
      <c r="CH2407"/>
      <c r="CI2407"/>
      <c r="CJ2407"/>
      <c r="CK2407"/>
      <c r="CL2407"/>
      <c r="CM2407"/>
    </row>
    <row r="2408" spans="1:91" x14ac:dyDescent="0.2">
      <c r="A2408"/>
      <c r="B2408"/>
      <c r="D2408"/>
      <c r="E2408"/>
      <c r="F2408"/>
      <c r="G2408"/>
      <c r="I2408"/>
      <c r="J2408"/>
      <c r="K2408"/>
      <c r="L2408" s="499"/>
      <c r="BX2408" s="769"/>
      <c r="BY2408"/>
      <c r="BZ2408"/>
      <c r="CA2408"/>
      <c r="CB2408"/>
      <c r="CC2408"/>
      <c r="CD2408"/>
      <c r="CE2408"/>
      <c r="CF2408"/>
      <c r="CG2408"/>
      <c r="CH2408"/>
      <c r="CI2408"/>
      <c r="CJ2408"/>
      <c r="CK2408"/>
      <c r="CL2408"/>
      <c r="CM2408"/>
    </row>
    <row r="2409" spans="1:91" x14ac:dyDescent="0.2">
      <c r="A2409"/>
      <c r="B2409"/>
      <c r="D2409"/>
      <c r="E2409"/>
      <c r="F2409"/>
      <c r="G2409"/>
      <c r="I2409"/>
      <c r="J2409"/>
      <c r="K2409"/>
      <c r="L2409" s="499"/>
      <c r="BX2409" s="769"/>
      <c r="BY2409"/>
      <c r="BZ2409"/>
      <c r="CA2409"/>
      <c r="CB2409"/>
      <c r="CC2409"/>
      <c r="CD2409"/>
      <c r="CE2409"/>
      <c r="CF2409"/>
      <c r="CG2409"/>
      <c r="CH2409"/>
      <c r="CI2409"/>
      <c r="CJ2409"/>
      <c r="CK2409"/>
      <c r="CL2409"/>
      <c r="CM2409"/>
    </row>
    <row r="2410" spans="1:91" x14ac:dyDescent="0.2">
      <c r="A2410"/>
      <c r="B2410"/>
      <c r="D2410"/>
      <c r="E2410"/>
      <c r="F2410"/>
      <c r="G2410"/>
      <c r="I2410"/>
      <c r="J2410"/>
      <c r="K2410"/>
      <c r="L2410" s="499"/>
      <c r="BX2410" s="769"/>
      <c r="BY2410"/>
      <c r="BZ2410"/>
      <c r="CA2410"/>
      <c r="CB2410"/>
      <c r="CC2410"/>
      <c r="CD2410"/>
      <c r="CE2410"/>
      <c r="CF2410"/>
      <c r="CG2410"/>
      <c r="CH2410"/>
      <c r="CI2410"/>
      <c r="CJ2410"/>
      <c r="CK2410"/>
      <c r="CL2410"/>
      <c r="CM2410"/>
    </row>
    <row r="2411" spans="1:91" x14ac:dyDescent="0.2">
      <c r="A2411"/>
      <c r="B2411"/>
      <c r="D2411"/>
      <c r="E2411"/>
      <c r="F2411"/>
      <c r="G2411"/>
      <c r="I2411"/>
      <c r="J2411"/>
      <c r="K2411"/>
      <c r="L2411" s="499"/>
      <c r="BX2411" s="769"/>
      <c r="BY2411"/>
      <c r="BZ2411"/>
      <c r="CA2411"/>
      <c r="CB2411"/>
      <c r="CC2411"/>
      <c r="CD2411"/>
      <c r="CE2411"/>
      <c r="CF2411"/>
      <c r="CG2411"/>
      <c r="CH2411"/>
      <c r="CI2411"/>
      <c r="CJ2411"/>
      <c r="CK2411"/>
      <c r="CL2411"/>
      <c r="CM2411"/>
    </row>
    <row r="2412" spans="1:91" x14ac:dyDescent="0.2">
      <c r="A2412"/>
      <c r="B2412"/>
      <c r="D2412"/>
      <c r="E2412"/>
      <c r="F2412"/>
      <c r="G2412"/>
      <c r="I2412"/>
      <c r="J2412"/>
      <c r="K2412"/>
      <c r="L2412" s="499"/>
      <c r="BX2412" s="769"/>
      <c r="BY2412"/>
      <c r="BZ2412"/>
      <c r="CA2412"/>
      <c r="CB2412"/>
      <c r="CC2412"/>
      <c r="CD2412"/>
      <c r="CE2412"/>
      <c r="CF2412"/>
      <c r="CG2412"/>
      <c r="CH2412"/>
      <c r="CI2412"/>
      <c r="CJ2412"/>
      <c r="CK2412"/>
      <c r="CL2412"/>
      <c r="CM2412"/>
    </row>
    <row r="2413" spans="1:91" x14ac:dyDescent="0.2">
      <c r="A2413"/>
      <c r="B2413"/>
      <c r="D2413"/>
      <c r="E2413"/>
      <c r="F2413"/>
      <c r="G2413"/>
      <c r="I2413"/>
      <c r="J2413"/>
      <c r="K2413"/>
      <c r="L2413" s="499"/>
      <c r="BX2413" s="769"/>
      <c r="BY2413"/>
      <c r="BZ2413"/>
      <c r="CA2413"/>
      <c r="CB2413"/>
      <c r="CC2413"/>
      <c r="CD2413"/>
      <c r="CE2413"/>
      <c r="CF2413"/>
      <c r="CG2413"/>
      <c r="CH2413"/>
      <c r="CI2413"/>
      <c r="CJ2413"/>
      <c r="CK2413"/>
      <c r="CL2413"/>
      <c r="CM2413"/>
    </row>
    <row r="2414" spans="1:91" x14ac:dyDescent="0.2">
      <c r="A2414"/>
      <c r="B2414"/>
      <c r="D2414"/>
      <c r="E2414"/>
      <c r="F2414"/>
      <c r="G2414"/>
      <c r="I2414"/>
      <c r="J2414"/>
      <c r="K2414"/>
      <c r="L2414" s="499"/>
      <c r="BX2414" s="769"/>
      <c r="BY2414"/>
      <c r="BZ2414"/>
      <c r="CA2414"/>
      <c r="CB2414"/>
      <c r="CC2414"/>
      <c r="CD2414"/>
      <c r="CE2414"/>
      <c r="CF2414"/>
      <c r="CG2414"/>
      <c r="CH2414"/>
      <c r="CI2414"/>
      <c r="CJ2414"/>
      <c r="CK2414"/>
      <c r="CL2414"/>
      <c r="CM2414"/>
    </row>
    <row r="2415" spans="1:91" x14ac:dyDescent="0.2">
      <c r="A2415"/>
      <c r="B2415"/>
      <c r="D2415"/>
      <c r="E2415"/>
      <c r="F2415"/>
      <c r="G2415"/>
      <c r="I2415"/>
      <c r="J2415"/>
      <c r="K2415"/>
      <c r="L2415" s="499"/>
      <c r="BX2415" s="769"/>
      <c r="BY2415"/>
      <c r="BZ2415"/>
      <c r="CA2415"/>
      <c r="CB2415"/>
      <c r="CC2415"/>
      <c r="CD2415"/>
      <c r="CE2415"/>
      <c r="CF2415"/>
      <c r="CG2415"/>
      <c r="CH2415"/>
      <c r="CI2415"/>
      <c r="CJ2415"/>
      <c r="CK2415"/>
      <c r="CL2415"/>
      <c r="CM2415"/>
    </row>
    <row r="2416" spans="1:91" x14ac:dyDescent="0.2">
      <c r="A2416"/>
      <c r="B2416"/>
      <c r="D2416"/>
      <c r="E2416"/>
      <c r="F2416"/>
      <c r="G2416"/>
      <c r="I2416"/>
      <c r="J2416"/>
      <c r="K2416"/>
      <c r="L2416" s="499"/>
      <c r="BX2416" s="769"/>
      <c r="BY2416"/>
      <c r="BZ2416"/>
      <c r="CA2416"/>
      <c r="CB2416"/>
      <c r="CC2416"/>
      <c r="CD2416"/>
      <c r="CE2416"/>
      <c r="CF2416"/>
      <c r="CG2416"/>
      <c r="CH2416"/>
      <c r="CI2416"/>
      <c r="CJ2416"/>
      <c r="CK2416"/>
      <c r="CL2416"/>
      <c r="CM2416"/>
    </row>
    <row r="2417" spans="1:91" x14ac:dyDescent="0.2">
      <c r="A2417"/>
      <c r="B2417"/>
      <c r="D2417"/>
      <c r="E2417"/>
      <c r="F2417"/>
      <c r="G2417"/>
      <c r="I2417"/>
      <c r="J2417"/>
      <c r="K2417"/>
      <c r="L2417" s="499"/>
      <c r="BX2417" s="769"/>
      <c r="BY2417"/>
      <c r="BZ2417"/>
      <c r="CA2417"/>
      <c r="CB2417"/>
      <c r="CC2417"/>
      <c r="CD2417"/>
      <c r="CE2417"/>
      <c r="CF2417"/>
      <c r="CG2417"/>
      <c r="CH2417"/>
      <c r="CI2417"/>
      <c r="CJ2417"/>
      <c r="CK2417"/>
      <c r="CL2417"/>
      <c r="CM2417"/>
    </row>
    <row r="2418" spans="1:91" x14ac:dyDescent="0.2">
      <c r="A2418"/>
      <c r="B2418"/>
      <c r="D2418"/>
      <c r="E2418"/>
      <c r="F2418"/>
      <c r="G2418"/>
      <c r="I2418"/>
      <c r="J2418"/>
      <c r="K2418"/>
      <c r="L2418" s="499"/>
      <c r="BX2418" s="769"/>
      <c r="BY2418"/>
      <c r="BZ2418"/>
      <c r="CA2418"/>
      <c r="CB2418"/>
      <c r="CC2418"/>
      <c r="CD2418"/>
      <c r="CE2418"/>
      <c r="CF2418"/>
      <c r="CG2418"/>
      <c r="CH2418"/>
      <c r="CI2418"/>
      <c r="CJ2418"/>
      <c r="CK2418"/>
      <c r="CL2418"/>
      <c r="CM2418"/>
    </row>
    <row r="2419" spans="1:91" x14ac:dyDescent="0.2">
      <c r="A2419"/>
      <c r="B2419"/>
      <c r="D2419"/>
      <c r="E2419"/>
      <c r="F2419"/>
      <c r="G2419"/>
      <c r="I2419"/>
      <c r="J2419"/>
      <c r="K2419"/>
      <c r="L2419" s="499"/>
      <c r="BX2419" s="769"/>
      <c r="BY2419"/>
      <c r="BZ2419"/>
      <c r="CA2419"/>
      <c r="CB2419"/>
      <c r="CC2419"/>
      <c r="CD2419"/>
      <c r="CE2419"/>
      <c r="CF2419"/>
      <c r="CG2419"/>
      <c r="CH2419"/>
      <c r="CI2419"/>
      <c r="CJ2419"/>
      <c r="CK2419"/>
      <c r="CL2419"/>
      <c r="CM2419"/>
    </row>
    <row r="2420" spans="1:91" x14ac:dyDescent="0.2">
      <c r="A2420"/>
      <c r="B2420"/>
      <c r="D2420"/>
      <c r="E2420"/>
      <c r="F2420"/>
      <c r="G2420"/>
      <c r="I2420"/>
      <c r="J2420"/>
      <c r="K2420"/>
      <c r="L2420" s="499"/>
      <c r="BX2420" s="769"/>
      <c r="BY2420"/>
      <c r="BZ2420"/>
      <c r="CA2420"/>
      <c r="CB2420"/>
      <c r="CC2420"/>
      <c r="CD2420"/>
      <c r="CE2420"/>
      <c r="CF2420"/>
      <c r="CG2420"/>
      <c r="CH2420"/>
      <c r="CI2420"/>
      <c r="CJ2420"/>
      <c r="CK2420"/>
      <c r="CL2420"/>
      <c r="CM2420"/>
    </row>
    <row r="2421" spans="1:91" x14ac:dyDescent="0.2">
      <c r="A2421"/>
      <c r="B2421"/>
      <c r="D2421"/>
      <c r="E2421"/>
      <c r="F2421"/>
      <c r="G2421"/>
      <c r="I2421"/>
      <c r="J2421"/>
      <c r="K2421"/>
      <c r="L2421" s="499"/>
      <c r="BX2421" s="769"/>
      <c r="BY2421"/>
      <c r="BZ2421"/>
      <c r="CA2421"/>
      <c r="CB2421"/>
      <c r="CC2421"/>
      <c r="CD2421"/>
      <c r="CE2421"/>
      <c r="CF2421"/>
      <c r="CG2421"/>
      <c r="CH2421"/>
      <c r="CI2421"/>
      <c r="CJ2421"/>
      <c r="CK2421"/>
      <c r="CL2421"/>
      <c r="CM2421"/>
    </row>
    <row r="2422" spans="1:91" x14ac:dyDescent="0.2">
      <c r="A2422"/>
      <c r="B2422"/>
      <c r="D2422"/>
      <c r="E2422"/>
      <c r="F2422"/>
      <c r="G2422"/>
      <c r="I2422"/>
      <c r="J2422"/>
      <c r="K2422"/>
      <c r="L2422" s="499"/>
      <c r="BX2422" s="769"/>
      <c r="BY2422"/>
      <c r="BZ2422"/>
      <c r="CA2422"/>
      <c r="CB2422"/>
      <c r="CC2422"/>
      <c r="CD2422"/>
      <c r="CE2422"/>
      <c r="CF2422"/>
      <c r="CG2422"/>
      <c r="CH2422"/>
      <c r="CI2422"/>
      <c r="CJ2422"/>
      <c r="CK2422"/>
      <c r="CL2422"/>
      <c r="CM2422"/>
    </row>
    <row r="2423" spans="1:91" x14ac:dyDescent="0.2">
      <c r="A2423"/>
      <c r="B2423"/>
      <c r="D2423"/>
      <c r="E2423"/>
      <c r="F2423"/>
      <c r="G2423"/>
      <c r="I2423"/>
      <c r="J2423"/>
      <c r="K2423"/>
      <c r="L2423" s="499"/>
      <c r="BX2423" s="769"/>
      <c r="BY2423"/>
      <c r="BZ2423"/>
      <c r="CA2423"/>
      <c r="CB2423"/>
      <c r="CC2423"/>
      <c r="CD2423"/>
      <c r="CE2423"/>
      <c r="CF2423"/>
      <c r="CG2423"/>
      <c r="CH2423"/>
      <c r="CI2423"/>
      <c r="CJ2423"/>
      <c r="CK2423"/>
      <c r="CL2423"/>
      <c r="CM2423"/>
    </row>
    <row r="2424" spans="1:91" x14ac:dyDescent="0.2">
      <c r="A2424"/>
      <c r="B2424"/>
      <c r="D2424"/>
      <c r="E2424"/>
      <c r="F2424"/>
      <c r="G2424"/>
      <c r="I2424"/>
      <c r="J2424"/>
      <c r="K2424"/>
      <c r="L2424" s="499"/>
      <c r="BX2424" s="769"/>
      <c r="BY2424"/>
      <c r="BZ2424"/>
      <c r="CA2424"/>
      <c r="CB2424"/>
      <c r="CC2424"/>
      <c r="CD2424"/>
      <c r="CE2424"/>
      <c r="CF2424"/>
      <c r="CG2424"/>
      <c r="CH2424"/>
      <c r="CI2424"/>
      <c r="CJ2424"/>
      <c r="CK2424"/>
      <c r="CL2424"/>
      <c r="CM2424"/>
    </row>
    <row r="2425" spans="1:91" x14ac:dyDescent="0.2">
      <c r="A2425"/>
      <c r="B2425"/>
      <c r="D2425"/>
      <c r="E2425"/>
      <c r="F2425"/>
      <c r="G2425"/>
      <c r="I2425"/>
      <c r="J2425"/>
      <c r="K2425"/>
      <c r="L2425" s="499"/>
      <c r="BX2425" s="769"/>
      <c r="BY2425"/>
      <c r="BZ2425"/>
      <c r="CA2425"/>
      <c r="CB2425"/>
      <c r="CC2425"/>
      <c r="CD2425"/>
      <c r="CE2425"/>
      <c r="CF2425"/>
      <c r="CG2425"/>
      <c r="CH2425"/>
      <c r="CI2425"/>
      <c r="CJ2425"/>
      <c r="CK2425"/>
      <c r="CL2425"/>
      <c r="CM2425"/>
    </row>
    <row r="2426" spans="1:91" x14ac:dyDescent="0.2">
      <c r="A2426"/>
      <c r="B2426"/>
      <c r="D2426"/>
      <c r="E2426"/>
      <c r="F2426"/>
      <c r="G2426"/>
      <c r="I2426"/>
      <c r="J2426"/>
      <c r="K2426"/>
      <c r="L2426" s="499"/>
      <c r="BX2426" s="769"/>
      <c r="BY2426"/>
      <c r="BZ2426"/>
      <c r="CA2426"/>
      <c r="CB2426"/>
      <c r="CC2426"/>
      <c r="CD2426"/>
      <c r="CE2426"/>
      <c r="CF2426"/>
      <c r="CG2426"/>
      <c r="CH2426"/>
      <c r="CI2426"/>
      <c r="CJ2426"/>
      <c r="CK2426"/>
      <c r="CL2426"/>
      <c r="CM2426"/>
    </row>
    <row r="2427" spans="1:91" x14ac:dyDescent="0.2">
      <c r="A2427"/>
      <c r="B2427"/>
      <c r="D2427"/>
      <c r="E2427"/>
      <c r="F2427"/>
      <c r="G2427"/>
      <c r="I2427"/>
      <c r="J2427"/>
      <c r="K2427"/>
      <c r="L2427" s="499"/>
      <c r="BX2427" s="769"/>
      <c r="BY2427"/>
      <c r="BZ2427"/>
      <c r="CA2427"/>
      <c r="CB2427"/>
      <c r="CC2427"/>
      <c r="CD2427"/>
      <c r="CE2427"/>
      <c r="CF2427"/>
      <c r="CG2427"/>
      <c r="CH2427"/>
      <c r="CI2427"/>
      <c r="CJ2427"/>
      <c r="CK2427"/>
      <c r="CL2427"/>
      <c r="CM2427"/>
    </row>
    <row r="2428" spans="1:91" x14ac:dyDescent="0.2">
      <c r="A2428"/>
      <c r="B2428"/>
      <c r="D2428"/>
      <c r="E2428"/>
      <c r="F2428"/>
      <c r="G2428"/>
      <c r="I2428"/>
      <c r="J2428"/>
      <c r="K2428"/>
      <c r="L2428" s="499"/>
      <c r="BX2428" s="769"/>
      <c r="BY2428"/>
      <c r="BZ2428"/>
      <c r="CA2428"/>
      <c r="CB2428"/>
      <c r="CC2428"/>
      <c r="CD2428"/>
      <c r="CE2428"/>
      <c r="CF2428"/>
      <c r="CG2428"/>
      <c r="CH2428"/>
      <c r="CI2428"/>
      <c r="CJ2428"/>
      <c r="CK2428"/>
      <c r="CL2428"/>
      <c r="CM2428"/>
    </row>
    <row r="2429" spans="1:91" x14ac:dyDescent="0.2">
      <c r="A2429"/>
      <c r="B2429"/>
      <c r="D2429"/>
      <c r="E2429"/>
      <c r="F2429"/>
      <c r="G2429"/>
      <c r="I2429"/>
      <c r="J2429"/>
      <c r="K2429"/>
      <c r="L2429" s="499"/>
      <c r="BX2429" s="769"/>
      <c r="BY2429"/>
      <c r="BZ2429"/>
      <c r="CA2429"/>
      <c r="CB2429"/>
      <c r="CC2429"/>
      <c r="CD2429"/>
      <c r="CE2429"/>
      <c r="CF2429"/>
      <c r="CG2429"/>
      <c r="CH2429"/>
      <c r="CI2429"/>
      <c r="CJ2429"/>
      <c r="CK2429"/>
      <c r="CL2429"/>
      <c r="CM2429"/>
    </row>
    <row r="2430" spans="1:91" x14ac:dyDescent="0.2">
      <c r="A2430"/>
      <c r="B2430"/>
      <c r="D2430"/>
      <c r="E2430"/>
      <c r="F2430"/>
      <c r="G2430"/>
      <c r="I2430"/>
      <c r="J2430"/>
      <c r="K2430"/>
      <c r="L2430" s="499"/>
      <c r="BX2430" s="769"/>
      <c r="BY2430"/>
      <c r="BZ2430"/>
      <c r="CA2430"/>
      <c r="CB2430"/>
      <c r="CC2430"/>
      <c r="CD2430"/>
      <c r="CE2430"/>
      <c r="CF2430"/>
      <c r="CG2430"/>
      <c r="CH2430"/>
      <c r="CI2430"/>
      <c r="CJ2430"/>
      <c r="CK2430"/>
      <c r="CL2430"/>
      <c r="CM2430"/>
    </row>
    <row r="2431" spans="1:91" x14ac:dyDescent="0.2">
      <c r="A2431"/>
      <c r="B2431"/>
      <c r="D2431"/>
      <c r="E2431"/>
      <c r="F2431"/>
      <c r="G2431"/>
      <c r="I2431"/>
      <c r="J2431"/>
      <c r="K2431"/>
      <c r="L2431" s="499"/>
      <c r="BX2431" s="769"/>
      <c r="BY2431"/>
      <c r="BZ2431"/>
      <c r="CA2431"/>
      <c r="CB2431"/>
      <c r="CC2431"/>
      <c r="CD2431"/>
      <c r="CE2431"/>
      <c r="CF2431"/>
      <c r="CG2431"/>
      <c r="CH2431"/>
      <c r="CI2431"/>
      <c r="CJ2431"/>
      <c r="CK2431"/>
      <c r="CL2431"/>
      <c r="CM2431"/>
    </row>
    <row r="2432" spans="1:91" x14ac:dyDescent="0.2">
      <c r="A2432"/>
      <c r="B2432"/>
      <c r="D2432"/>
      <c r="E2432"/>
      <c r="F2432"/>
      <c r="G2432"/>
      <c r="I2432"/>
      <c r="J2432"/>
      <c r="K2432"/>
      <c r="L2432" s="499"/>
      <c r="BX2432" s="769"/>
      <c r="BY2432"/>
      <c r="BZ2432"/>
      <c r="CA2432"/>
      <c r="CB2432"/>
      <c r="CC2432"/>
      <c r="CD2432"/>
      <c r="CE2432"/>
      <c r="CF2432"/>
      <c r="CG2432"/>
      <c r="CH2432"/>
      <c r="CI2432"/>
      <c r="CJ2432"/>
      <c r="CK2432"/>
      <c r="CL2432"/>
      <c r="CM2432"/>
    </row>
    <row r="2433" spans="1:91" x14ac:dyDescent="0.2">
      <c r="A2433"/>
      <c r="B2433"/>
      <c r="D2433"/>
      <c r="E2433"/>
      <c r="F2433"/>
      <c r="G2433"/>
      <c r="I2433"/>
      <c r="J2433"/>
      <c r="K2433"/>
      <c r="L2433" s="499"/>
      <c r="BX2433" s="769"/>
      <c r="BY2433"/>
      <c r="BZ2433"/>
      <c r="CA2433"/>
      <c r="CB2433"/>
      <c r="CC2433"/>
      <c r="CD2433"/>
      <c r="CE2433"/>
      <c r="CF2433"/>
      <c r="CG2433"/>
      <c r="CH2433"/>
      <c r="CI2433"/>
      <c r="CJ2433"/>
      <c r="CK2433"/>
      <c r="CL2433"/>
      <c r="CM2433"/>
    </row>
    <row r="2434" spans="1:91" x14ac:dyDescent="0.2">
      <c r="A2434"/>
      <c r="B2434"/>
      <c r="D2434"/>
      <c r="E2434"/>
      <c r="F2434"/>
      <c r="G2434"/>
      <c r="I2434"/>
      <c r="J2434"/>
      <c r="K2434"/>
      <c r="L2434" s="499"/>
      <c r="BX2434" s="769"/>
      <c r="BY2434"/>
      <c r="BZ2434"/>
      <c r="CA2434"/>
      <c r="CB2434"/>
      <c r="CC2434"/>
      <c r="CD2434"/>
      <c r="CE2434"/>
      <c r="CF2434"/>
      <c r="CG2434"/>
      <c r="CH2434"/>
      <c r="CI2434"/>
      <c r="CJ2434"/>
      <c r="CK2434"/>
      <c r="CL2434"/>
      <c r="CM2434"/>
    </row>
    <row r="2435" spans="1:91" x14ac:dyDescent="0.2">
      <c r="A2435"/>
      <c r="B2435"/>
      <c r="D2435"/>
      <c r="E2435"/>
      <c r="F2435"/>
      <c r="G2435"/>
      <c r="I2435"/>
      <c r="J2435"/>
      <c r="K2435"/>
      <c r="L2435" s="499"/>
      <c r="BX2435" s="769"/>
      <c r="BY2435"/>
      <c r="BZ2435"/>
      <c r="CA2435"/>
      <c r="CB2435"/>
      <c r="CC2435"/>
      <c r="CD2435"/>
      <c r="CE2435"/>
      <c r="CF2435"/>
      <c r="CG2435"/>
      <c r="CH2435"/>
      <c r="CI2435"/>
      <c r="CJ2435"/>
      <c r="CK2435"/>
      <c r="CL2435"/>
      <c r="CM2435"/>
    </row>
    <row r="2436" spans="1:91" x14ac:dyDescent="0.2">
      <c r="A2436"/>
      <c r="B2436"/>
      <c r="D2436"/>
      <c r="E2436"/>
      <c r="F2436"/>
      <c r="G2436"/>
      <c r="I2436"/>
      <c r="J2436"/>
      <c r="K2436"/>
      <c r="L2436" s="499"/>
      <c r="BX2436" s="769"/>
      <c r="BY2436"/>
      <c r="BZ2436"/>
      <c r="CA2436"/>
      <c r="CB2436"/>
      <c r="CC2436"/>
      <c r="CD2436"/>
      <c r="CE2436"/>
      <c r="CF2436"/>
      <c r="CG2436"/>
      <c r="CH2436"/>
      <c r="CI2436"/>
      <c r="CJ2436"/>
      <c r="CK2436"/>
      <c r="CL2436"/>
      <c r="CM2436"/>
    </row>
    <row r="2437" spans="1:91" x14ac:dyDescent="0.2">
      <c r="A2437"/>
      <c r="B2437"/>
      <c r="D2437"/>
      <c r="E2437"/>
      <c r="F2437"/>
      <c r="G2437"/>
      <c r="I2437"/>
      <c r="J2437"/>
      <c r="K2437"/>
      <c r="L2437" s="499"/>
      <c r="BX2437" s="769"/>
      <c r="BY2437"/>
      <c r="BZ2437"/>
      <c r="CA2437"/>
      <c r="CB2437"/>
      <c r="CC2437"/>
      <c r="CD2437"/>
      <c r="CE2437"/>
      <c r="CF2437"/>
      <c r="CG2437"/>
      <c r="CH2437"/>
      <c r="CI2437"/>
      <c r="CJ2437"/>
      <c r="CK2437"/>
      <c r="CL2437"/>
      <c r="CM2437"/>
    </row>
    <row r="2438" spans="1:91" x14ac:dyDescent="0.2">
      <c r="A2438"/>
      <c r="B2438"/>
      <c r="D2438"/>
      <c r="E2438"/>
      <c r="F2438"/>
      <c r="G2438"/>
      <c r="I2438"/>
      <c r="J2438"/>
      <c r="K2438"/>
      <c r="L2438" s="499"/>
      <c r="BX2438" s="769"/>
      <c r="BY2438"/>
      <c r="BZ2438"/>
      <c r="CA2438"/>
      <c r="CB2438"/>
      <c r="CC2438"/>
      <c r="CD2438"/>
      <c r="CE2438"/>
      <c r="CF2438"/>
      <c r="CG2438"/>
      <c r="CH2438"/>
      <c r="CI2438"/>
      <c r="CJ2438"/>
      <c r="CK2438"/>
      <c r="CL2438"/>
      <c r="CM2438"/>
    </row>
    <row r="2439" spans="1:91" x14ac:dyDescent="0.2">
      <c r="A2439"/>
      <c r="B2439"/>
      <c r="D2439"/>
      <c r="E2439"/>
      <c r="F2439"/>
      <c r="G2439"/>
      <c r="I2439"/>
      <c r="J2439"/>
      <c r="K2439"/>
      <c r="L2439" s="499"/>
      <c r="BX2439" s="769"/>
      <c r="BY2439"/>
      <c r="BZ2439"/>
      <c r="CA2439"/>
      <c r="CB2439"/>
      <c r="CC2439"/>
      <c r="CD2439"/>
      <c r="CE2439"/>
      <c r="CF2439"/>
      <c r="CG2439"/>
      <c r="CH2439"/>
      <c r="CI2439"/>
      <c r="CJ2439"/>
      <c r="CK2439"/>
      <c r="CL2439"/>
      <c r="CM2439"/>
    </row>
    <row r="2440" spans="1:91" x14ac:dyDescent="0.2">
      <c r="A2440"/>
      <c r="B2440"/>
      <c r="D2440"/>
      <c r="E2440"/>
      <c r="F2440"/>
      <c r="G2440"/>
      <c r="I2440"/>
      <c r="J2440"/>
      <c r="K2440"/>
      <c r="L2440" s="499"/>
      <c r="BX2440" s="769"/>
      <c r="BY2440"/>
      <c r="BZ2440"/>
      <c r="CA2440"/>
      <c r="CB2440"/>
      <c r="CC2440"/>
      <c r="CD2440"/>
      <c r="CE2440"/>
      <c r="CF2440"/>
      <c r="CG2440"/>
      <c r="CH2440"/>
      <c r="CI2440"/>
      <c r="CJ2440"/>
      <c r="CK2440"/>
      <c r="CL2440"/>
      <c r="CM2440"/>
    </row>
    <row r="2441" spans="1:91" x14ac:dyDescent="0.2">
      <c r="A2441"/>
      <c r="B2441"/>
      <c r="D2441"/>
      <c r="E2441"/>
      <c r="F2441"/>
      <c r="G2441"/>
      <c r="I2441"/>
      <c r="J2441"/>
      <c r="K2441"/>
      <c r="L2441" s="499"/>
      <c r="BX2441" s="769"/>
      <c r="BY2441"/>
      <c r="BZ2441"/>
      <c r="CA2441"/>
      <c r="CB2441"/>
      <c r="CC2441"/>
      <c r="CD2441"/>
      <c r="CE2441"/>
      <c r="CF2441"/>
      <c r="CG2441"/>
      <c r="CH2441"/>
      <c r="CI2441"/>
      <c r="CJ2441"/>
      <c r="CK2441"/>
      <c r="CL2441"/>
      <c r="CM2441"/>
    </row>
    <row r="2442" spans="1:91" x14ac:dyDescent="0.2">
      <c r="A2442"/>
      <c r="B2442"/>
      <c r="D2442"/>
      <c r="E2442"/>
      <c r="F2442"/>
      <c r="G2442"/>
      <c r="I2442"/>
      <c r="J2442"/>
      <c r="K2442"/>
      <c r="L2442" s="499"/>
      <c r="BX2442" s="769"/>
      <c r="BY2442"/>
      <c r="BZ2442"/>
      <c r="CA2442"/>
      <c r="CB2442"/>
      <c r="CC2442"/>
      <c r="CD2442"/>
      <c r="CE2442"/>
      <c r="CF2442"/>
      <c r="CG2442"/>
      <c r="CH2442"/>
      <c r="CI2442"/>
      <c r="CJ2442"/>
      <c r="CK2442"/>
      <c r="CL2442"/>
      <c r="CM2442"/>
    </row>
    <row r="2443" spans="1:91" x14ac:dyDescent="0.2">
      <c r="A2443"/>
      <c r="B2443"/>
      <c r="D2443"/>
      <c r="E2443"/>
      <c r="F2443"/>
      <c r="G2443"/>
      <c r="I2443"/>
      <c r="J2443"/>
      <c r="K2443"/>
      <c r="L2443" s="499"/>
      <c r="BX2443" s="769"/>
      <c r="BY2443"/>
      <c r="BZ2443"/>
      <c r="CA2443"/>
      <c r="CB2443"/>
      <c r="CC2443"/>
      <c r="CD2443"/>
      <c r="CE2443"/>
      <c r="CF2443"/>
      <c r="CG2443"/>
      <c r="CH2443"/>
      <c r="CI2443"/>
      <c r="CJ2443"/>
      <c r="CK2443"/>
      <c r="CL2443"/>
      <c r="CM2443"/>
    </row>
    <row r="2444" spans="1:91" x14ac:dyDescent="0.2">
      <c r="A2444"/>
      <c r="B2444"/>
      <c r="D2444"/>
      <c r="E2444"/>
      <c r="F2444"/>
      <c r="G2444"/>
      <c r="I2444"/>
      <c r="J2444"/>
      <c r="K2444"/>
      <c r="L2444" s="499"/>
      <c r="BX2444" s="769"/>
      <c r="BY2444"/>
      <c r="BZ2444"/>
      <c r="CA2444"/>
      <c r="CB2444"/>
      <c r="CC2444"/>
      <c r="CD2444"/>
      <c r="CE2444"/>
      <c r="CF2444"/>
      <c r="CG2444"/>
      <c r="CH2444"/>
      <c r="CI2444"/>
      <c r="CJ2444"/>
      <c r="CK2444"/>
      <c r="CL2444"/>
      <c r="CM2444"/>
    </row>
    <row r="2445" spans="1:91" x14ac:dyDescent="0.2">
      <c r="A2445"/>
      <c r="B2445"/>
      <c r="D2445"/>
      <c r="E2445"/>
      <c r="F2445"/>
      <c r="G2445"/>
      <c r="I2445"/>
      <c r="J2445"/>
      <c r="K2445"/>
      <c r="L2445" s="499"/>
      <c r="BX2445" s="769"/>
      <c r="BY2445"/>
      <c r="BZ2445"/>
      <c r="CA2445"/>
      <c r="CB2445"/>
      <c r="CC2445"/>
      <c r="CD2445"/>
      <c r="CE2445"/>
      <c r="CF2445"/>
      <c r="CG2445"/>
      <c r="CH2445"/>
      <c r="CI2445"/>
      <c r="CJ2445"/>
      <c r="CK2445"/>
      <c r="CL2445"/>
      <c r="CM2445"/>
    </row>
    <row r="2446" spans="1:91" x14ac:dyDescent="0.2">
      <c r="A2446"/>
      <c r="B2446"/>
      <c r="D2446"/>
      <c r="E2446"/>
      <c r="F2446"/>
      <c r="G2446"/>
      <c r="I2446"/>
      <c r="J2446"/>
      <c r="K2446"/>
      <c r="L2446" s="499"/>
      <c r="BX2446" s="769"/>
      <c r="BY2446"/>
      <c r="BZ2446"/>
      <c r="CA2446"/>
      <c r="CB2446"/>
      <c r="CC2446"/>
      <c r="CD2446"/>
      <c r="CE2446"/>
      <c r="CF2446"/>
      <c r="CG2446"/>
      <c r="CH2446"/>
      <c r="CI2446"/>
      <c r="CJ2446"/>
      <c r="CK2446"/>
      <c r="CL2446"/>
      <c r="CM2446"/>
    </row>
    <row r="2447" spans="1:91" x14ac:dyDescent="0.2">
      <c r="A2447"/>
      <c r="B2447"/>
      <c r="D2447"/>
      <c r="E2447"/>
      <c r="F2447"/>
      <c r="G2447"/>
      <c r="I2447"/>
      <c r="J2447"/>
      <c r="K2447"/>
      <c r="L2447" s="499"/>
      <c r="BX2447" s="769"/>
      <c r="BY2447"/>
      <c r="BZ2447"/>
      <c r="CA2447"/>
      <c r="CB2447"/>
      <c r="CC2447"/>
      <c r="CD2447"/>
      <c r="CE2447"/>
      <c r="CF2447"/>
      <c r="CG2447"/>
      <c r="CH2447"/>
      <c r="CI2447"/>
      <c r="CJ2447"/>
      <c r="CK2447"/>
      <c r="CL2447"/>
      <c r="CM2447"/>
    </row>
    <row r="2448" spans="1:91" x14ac:dyDescent="0.2">
      <c r="A2448"/>
      <c r="B2448"/>
      <c r="D2448"/>
      <c r="E2448"/>
      <c r="F2448"/>
      <c r="G2448"/>
      <c r="I2448"/>
      <c r="J2448"/>
      <c r="K2448"/>
      <c r="L2448" s="499"/>
      <c r="BX2448" s="769"/>
      <c r="BY2448"/>
      <c r="BZ2448"/>
      <c r="CA2448"/>
      <c r="CB2448"/>
      <c r="CC2448"/>
      <c r="CD2448"/>
      <c r="CE2448"/>
      <c r="CF2448"/>
      <c r="CG2448"/>
      <c r="CH2448"/>
      <c r="CI2448"/>
      <c r="CJ2448"/>
      <c r="CK2448"/>
      <c r="CL2448"/>
      <c r="CM2448"/>
    </row>
    <row r="2449" spans="1:91" x14ac:dyDescent="0.2">
      <c r="A2449"/>
      <c r="B2449"/>
      <c r="D2449"/>
      <c r="E2449"/>
      <c r="F2449"/>
      <c r="G2449"/>
      <c r="I2449"/>
      <c r="J2449"/>
      <c r="K2449"/>
      <c r="L2449" s="499"/>
      <c r="BX2449" s="769"/>
      <c r="BY2449"/>
      <c r="BZ2449"/>
      <c r="CA2449"/>
      <c r="CB2449"/>
      <c r="CC2449"/>
      <c r="CD2449"/>
      <c r="CE2449"/>
      <c r="CF2449"/>
      <c r="CG2449"/>
      <c r="CH2449"/>
      <c r="CI2449"/>
      <c r="CJ2449"/>
      <c r="CK2449"/>
      <c r="CL2449"/>
      <c r="CM2449"/>
    </row>
    <row r="2450" spans="1:91" x14ac:dyDescent="0.2">
      <c r="A2450"/>
      <c r="B2450"/>
      <c r="D2450"/>
      <c r="E2450"/>
      <c r="F2450"/>
      <c r="G2450"/>
      <c r="I2450"/>
      <c r="J2450"/>
      <c r="K2450"/>
      <c r="L2450" s="499"/>
      <c r="BX2450" s="769"/>
      <c r="BY2450"/>
      <c r="BZ2450"/>
      <c r="CA2450"/>
      <c r="CB2450"/>
      <c r="CC2450"/>
      <c r="CD2450"/>
      <c r="CE2450"/>
      <c r="CF2450"/>
      <c r="CG2450"/>
      <c r="CH2450"/>
      <c r="CI2450"/>
      <c r="CJ2450"/>
      <c r="CK2450"/>
      <c r="CL2450"/>
      <c r="CM2450"/>
    </row>
    <row r="2451" spans="1:91" x14ac:dyDescent="0.2">
      <c r="A2451"/>
      <c r="B2451"/>
      <c r="D2451"/>
      <c r="E2451"/>
      <c r="F2451"/>
      <c r="G2451"/>
      <c r="I2451"/>
      <c r="J2451"/>
      <c r="K2451"/>
      <c r="L2451" s="499"/>
      <c r="BX2451" s="769"/>
      <c r="BY2451"/>
      <c r="BZ2451"/>
      <c r="CA2451"/>
      <c r="CB2451"/>
      <c r="CC2451"/>
      <c r="CD2451"/>
      <c r="CE2451"/>
      <c r="CF2451"/>
      <c r="CG2451"/>
      <c r="CH2451"/>
      <c r="CI2451"/>
      <c r="CJ2451"/>
      <c r="CK2451"/>
      <c r="CL2451"/>
      <c r="CM2451"/>
    </row>
    <row r="2452" spans="1:91" x14ac:dyDescent="0.2">
      <c r="A2452"/>
      <c r="B2452"/>
      <c r="D2452"/>
      <c r="E2452"/>
      <c r="F2452"/>
      <c r="G2452"/>
      <c r="I2452"/>
      <c r="J2452"/>
      <c r="K2452"/>
      <c r="L2452" s="499"/>
      <c r="BX2452" s="769"/>
      <c r="BY2452"/>
      <c r="BZ2452"/>
      <c r="CA2452"/>
      <c r="CB2452"/>
      <c r="CC2452"/>
      <c r="CD2452"/>
      <c r="CE2452"/>
      <c r="CF2452"/>
      <c r="CG2452"/>
      <c r="CH2452"/>
      <c r="CI2452"/>
      <c r="CJ2452"/>
      <c r="CK2452"/>
      <c r="CL2452"/>
      <c r="CM2452"/>
    </row>
    <row r="2453" spans="1:91" x14ac:dyDescent="0.2">
      <c r="A2453"/>
      <c r="B2453"/>
      <c r="D2453"/>
      <c r="E2453"/>
      <c r="F2453"/>
      <c r="G2453"/>
      <c r="I2453"/>
      <c r="J2453"/>
      <c r="K2453"/>
      <c r="L2453" s="499"/>
      <c r="BX2453" s="769"/>
      <c r="BY2453"/>
      <c r="BZ2453"/>
      <c r="CA2453"/>
      <c r="CB2453"/>
      <c r="CC2453"/>
      <c r="CD2453"/>
      <c r="CE2453"/>
      <c r="CF2453"/>
      <c r="CG2453"/>
      <c r="CH2453"/>
      <c r="CI2453"/>
      <c r="CJ2453"/>
      <c r="CK2453"/>
      <c r="CL2453"/>
      <c r="CM2453"/>
    </row>
    <row r="2454" spans="1:91" x14ac:dyDescent="0.2">
      <c r="A2454"/>
      <c r="B2454"/>
      <c r="D2454"/>
      <c r="E2454"/>
      <c r="F2454"/>
      <c r="G2454"/>
      <c r="I2454"/>
      <c r="J2454"/>
      <c r="K2454"/>
      <c r="L2454" s="499"/>
      <c r="BX2454" s="769"/>
      <c r="BY2454"/>
      <c r="BZ2454"/>
      <c r="CA2454"/>
      <c r="CB2454"/>
      <c r="CC2454"/>
      <c r="CD2454"/>
      <c r="CE2454"/>
      <c r="CF2454"/>
      <c r="CG2454"/>
      <c r="CH2454"/>
      <c r="CI2454"/>
      <c r="CJ2454"/>
      <c r="CK2454"/>
      <c r="CL2454"/>
      <c r="CM2454"/>
    </row>
    <row r="2455" spans="1:91" x14ac:dyDescent="0.2">
      <c r="A2455"/>
      <c r="B2455"/>
      <c r="D2455"/>
      <c r="E2455"/>
      <c r="F2455"/>
      <c r="G2455"/>
      <c r="I2455"/>
      <c r="J2455"/>
      <c r="K2455"/>
      <c r="L2455" s="499"/>
      <c r="BX2455" s="769"/>
      <c r="BY2455"/>
      <c r="BZ2455"/>
      <c r="CA2455"/>
      <c r="CB2455"/>
      <c r="CC2455"/>
      <c r="CD2455"/>
      <c r="CE2455"/>
      <c r="CF2455"/>
      <c r="CG2455"/>
      <c r="CH2455"/>
      <c r="CI2455"/>
      <c r="CJ2455"/>
      <c r="CK2455"/>
      <c r="CL2455"/>
      <c r="CM2455"/>
    </row>
    <row r="2456" spans="1:91" x14ac:dyDescent="0.2">
      <c r="A2456"/>
      <c r="B2456"/>
      <c r="D2456"/>
      <c r="E2456"/>
      <c r="F2456"/>
      <c r="G2456"/>
      <c r="I2456"/>
      <c r="J2456"/>
      <c r="K2456"/>
      <c r="L2456" s="499"/>
      <c r="BX2456" s="769"/>
      <c r="BY2456"/>
      <c r="BZ2456"/>
      <c r="CA2456"/>
      <c r="CB2456"/>
      <c r="CC2456"/>
      <c r="CD2456"/>
      <c r="CE2456"/>
      <c r="CF2456"/>
      <c r="CG2456"/>
      <c r="CH2456"/>
      <c r="CI2456"/>
      <c r="CJ2456"/>
      <c r="CK2456"/>
      <c r="CL2456"/>
      <c r="CM2456"/>
    </row>
    <row r="2457" spans="1:91" x14ac:dyDescent="0.2">
      <c r="A2457"/>
      <c r="B2457"/>
      <c r="D2457"/>
      <c r="E2457"/>
      <c r="F2457"/>
      <c r="G2457"/>
      <c r="I2457"/>
      <c r="J2457"/>
      <c r="K2457"/>
      <c r="L2457" s="499"/>
      <c r="BX2457" s="769"/>
      <c r="BY2457"/>
      <c r="BZ2457"/>
      <c r="CA2457"/>
      <c r="CB2457"/>
      <c r="CC2457"/>
      <c r="CD2457"/>
      <c r="CE2457"/>
      <c r="CF2457"/>
      <c r="CG2457"/>
      <c r="CH2457"/>
      <c r="CI2457"/>
      <c r="CJ2457"/>
      <c r="CK2457"/>
      <c r="CL2457"/>
      <c r="CM2457"/>
    </row>
    <row r="2458" spans="1:91" x14ac:dyDescent="0.2">
      <c r="A2458"/>
      <c r="B2458"/>
      <c r="D2458"/>
      <c r="E2458"/>
      <c r="F2458"/>
      <c r="G2458"/>
      <c r="I2458"/>
      <c r="J2458"/>
      <c r="K2458"/>
      <c r="L2458" s="499"/>
      <c r="BX2458" s="769"/>
      <c r="BY2458"/>
      <c r="BZ2458"/>
      <c r="CA2458"/>
      <c r="CB2458"/>
      <c r="CC2458"/>
      <c r="CD2458"/>
      <c r="CE2458"/>
      <c r="CF2458"/>
      <c r="CG2458"/>
      <c r="CH2458"/>
      <c r="CI2458"/>
      <c r="CJ2458"/>
      <c r="CK2458"/>
      <c r="CL2458"/>
      <c r="CM2458"/>
    </row>
    <row r="2459" spans="1:91" x14ac:dyDescent="0.2">
      <c r="A2459"/>
      <c r="B2459"/>
      <c r="D2459"/>
      <c r="E2459"/>
      <c r="F2459"/>
      <c r="G2459"/>
      <c r="I2459"/>
      <c r="J2459"/>
      <c r="K2459"/>
      <c r="L2459" s="499"/>
      <c r="BX2459" s="769"/>
      <c r="BY2459"/>
      <c r="BZ2459"/>
      <c r="CA2459"/>
      <c r="CB2459"/>
      <c r="CC2459"/>
      <c r="CD2459"/>
      <c r="CE2459"/>
      <c r="CF2459"/>
      <c r="CG2459"/>
      <c r="CH2459"/>
      <c r="CI2459"/>
      <c r="CJ2459"/>
      <c r="CK2459"/>
      <c r="CL2459"/>
      <c r="CM2459"/>
    </row>
    <row r="2460" spans="1:91" x14ac:dyDescent="0.2">
      <c r="A2460"/>
      <c r="B2460"/>
      <c r="D2460"/>
      <c r="E2460"/>
      <c r="F2460"/>
      <c r="G2460"/>
      <c r="I2460"/>
      <c r="J2460"/>
      <c r="K2460"/>
      <c r="L2460" s="499"/>
      <c r="BX2460" s="769"/>
      <c r="BY2460"/>
      <c r="BZ2460"/>
      <c r="CA2460"/>
      <c r="CB2460"/>
      <c r="CC2460"/>
      <c r="CD2460"/>
      <c r="CE2460"/>
      <c r="CF2460"/>
      <c r="CG2460"/>
      <c r="CH2460"/>
      <c r="CI2460"/>
      <c r="CJ2460"/>
      <c r="CK2460"/>
      <c r="CL2460"/>
      <c r="CM2460"/>
    </row>
    <row r="2461" spans="1:91" x14ac:dyDescent="0.2">
      <c r="A2461"/>
      <c r="B2461"/>
      <c r="D2461"/>
      <c r="E2461"/>
      <c r="F2461"/>
      <c r="G2461"/>
      <c r="I2461"/>
      <c r="J2461"/>
      <c r="K2461"/>
      <c r="L2461" s="499"/>
      <c r="BX2461" s="769"/>
      <c r="BY2461"/>
      <c r="BZ2461"/>
      <c r="CA2461"/>
      <c r="CB2461"/>
      <c r="CC2461"/>
      <c r="CD2461"/>
      <c r="CE2461"/>
      <c r="CF2461"/>
      <c r="CG2461"/>
      <c r="CH2461"/>
      <c r="CI2461"/>
      <c r="CJ2461"/>
      <c r="CK2461"/>
      <c r="CL2461"/>
      <c r="CM2461"/>
    </row>
    <row r="2462" spans="1:91" x14ac:dyDescent="0.2">
      <c r="A2462"/>
      <c r="B2462"/>
      <c r="D2462"/>
      <c r="E2462"/>
      <c r="F2462"/>
      <c r="G2462"/>
      <c r="I2462"/>
      <c r="J2462"/>
      <c r="K2462"/>
      <c r="L2462" s="499"/>
      <c r="BX2462" s="769"/>
      <c r="BY2462"/>
      <c r="BZ2462"/>
      <c r="CA2462"/>
      <c r="CB2462"/>
      <c r="CC2462"/>
      <c r="CD2462"/>
      <c r="CE2462"/>
      <c r="CF2462"/>
      <c r="CG2462"/>
      <c r="CH2462"/>
      <c r="CI2462"/>
      <c r="CJ2462"/>
      <c r="CK2462"/>
      <c r="CL2462"/>
      <c r="CM2462"/>
    </row>
    <row r="2463" spans="1:91" x14ac:dyDescent="0.2">
      <c r="A2463"/>
      <c r="B2463"/>
      <c r="D2463"/>
      <c r="E2463"/>
      <c r="F2463"/>
      <c r="G2463"/>
      <c r="I2463"/>
      <c r="J2463"/>
      <c r="K2463"/>
      <c r="L2463" s="499"/>
      <c r="BX2463" s="769"/>
      <c r="BY2463"/>
      <c r="BZ2463"/>
      <c r="CA2463"/>
      <c r="CB2463"/>
      <c r="CC2463"/>
      <c r="CD2463"/>
      <c r="CE2463"/>
      <c r="CF2463"/>
      <c r="CG2463"/>
      <c r="CH2463"/>
      <c r="CI2463"/>
      <c r="CJ2463"/>
      <c r="CK2463"/>
      <c r="CL2463"/>
      <c r="CM2463"/>
    </row>
    <row r="2464" spans="1:91" x14ac:dyDescent="0.2">
      <c r="A2464"/>
      <c r="B2464"/>
      <c r="D2464"/>
      <c r="E2464"/>
      <c r="F2464"/>
      <c r="G2464"/>
      <c r="I2464"/>
      <c r="J2464"/>
      <c r="K2464"/>
      <c r="L2464" s="499"/>
      <c r="BX2464" s="769"/>
      <c r="BY2464"/>
      <c r="BZ2464"/>
      <c r="CA2464"/>
      <c r="CB2464"/>
      <c r="CC2464"/>
      <c r="CD2464"/>
      <c r="CE2464"/>
      <c r="CF2464"/>
      <c r="CG2464"/>
      <c r="CH2464"/>
      <c r="CI2464"/>
      <c r="CJ2464"/>
      <c r="CK2464"/>
      <c r="CL2464"/>
      <c r="CM2464"/>
    </row>
    <row r="2465" spans="1:91" x14ac:dyDescent="0.2">
      <c r="A2465"/>
      <c r="B2465"/>
      <c r="D2465"/>
      <c r="E2465"/>
      <c r="F2465"/>
      <c r="G2465"/>
      <c r="I2465"/>
      <c r="J2465"/>
      <c r="K2465"/>
      <c r="L2465" s="499"/>
      <c r="BX2465" s="769"/>
      <c r="BY2465"/>
      <c r="BZ2465"/>
      <c r="CA2465"/>
      <c r="CB2465"/>
      <c r="CC2465"/>
      <c r="CD2465"/>
      <c r="CE2465"/>
      <c r="CF2465"/>
      <c r="CG2465"/>
      <c r="CH2465"/>
      <c r="CI2465"/>
      <c r="CJ2465"/>
      <c r="CK2465"/>
      <c r="CL2465"/>
      <c r="CM2465"/>
    </row>
    <row r="2466" spans="1:91" x14ac:dyDescent="0.2">
      <c r="A2466"/>
      <c r="B2466"/>
      <c r="D2466"/>
      <c r="E2466"/>
      <c r="F2466"/>
      <c r="G2466"/>
      <c r="I2466"/>
      <c r="J2466"/>
      <c r="K2466"/>
      <c r="L2466" s="499"/>
      <c r="BX2466" s="769"/>
      <c r="BY2466"/>
      <c r="BZ2466"/>
      <c r="CA2466"/>
      <c r="CB2466"/>
      <c r="CC2466"/>
      <c r="CD2466"/>
      <c r="CE2466"/>
      <c r="CF2466"/>
      <c r="CG2466"/>
      <c r="CH2466"/>
      <c r="CI2466"/>
      <c r="CJ2466"/>
      <c r="CK2466"/>
      <c r="CL2466"/>
      <c r="CM2466"/>
    </row>
    <row r="2467" spans="1:91" x14ac:dyDescent="0.2">
      <c r="A2467"/>
      <c r="B2467"/>
      <c r="D2467"/>
      <c r="E2467"/>
      <c r="F2467"/>
      <c r="G2467"/>
      <c r="I2467"/>
      <c r="J2467"/>
      <c r="K2467"/>
      <c r="L2467" s="499"/>
      <c r="BX2467" s="769"/>
      <c r="BY2467"/>
      <c r="BZ2467"/>
      <c r="CA2467"/>
      <c r="CB2467"/>
      <c r="CC2467"/>
      <c r="CD2467"/>
      <c r="CE2467"/>
      <c r="CF2467"/>
      <c r="CG2467"/>
      <c r="CH2467"/>
      <c r="CI2467"/>
      <c r="CJ2467"/>
      <c r="CK2467"/>
      <c r="CL2467"/>
      <c r="CM2467"/>
    </row>
    <row r="2468" spans="1:91" x14ac:dyDescent="0.2">
      <c r="A2468"/>
      <c r="B2468"/>
      <c r="D2468"/>
      <c r="E2468"/>
      <c r="F2468"/>
      <c r="G2468"/>
      <c r="I2468"/>
      <c r="J2468"/>
      <c r="K2468"/>
      <c r="L2468" s="499"/>
      <c r="BX2468" s="769"/>
      <c r="BY2468"/>
      <c r="BZ2468"/>
      <c r="CA2468"/>
      <c r="CB2468"/>
      <c r="CC2468"/>
      <c r="CD2468"/>
      <c r="CE2468"/>
      <c r="CF2468"/>
      <c r="CG2468"/>
      <c r="CH2468"/>
      <c r="CI2468"/>
      <c r="CJ2468"/>
      <c r="CK2468"/>
      <c r="CL2468"/>
      <c r="CM2468"/>
    </row>
    <row r="2469" spans="1:91" x14ac:dyDescent="0.2">
      <c r="A2469"/>
      <c r="B2469"/>
      <c r="D2469"/>
      <c r="E2469"/>
      <c r="F2469"/>
      <c r="G2469"/>
      <c r="I2469"/>
      <c r="J2469"/>
      <c r="K2469"/>
      <c r="L2469" s="499"/>
      <c r="BX2469" s="769"/>
      <c r="BY2469"/>
      <c r="BZ2469"/>
      <c r="CA2469"/>
      <c r="CB2469"/>
      <c r="CC2469"/>
      <c r="CD2469"/>
      <c r="CE2469"/>
      <c r="CF2469"/>
      <c r="CG2469"/>
      <c r="CH2469"/>
      <c r="CI2469"/>
      <c r="CJ2469"/>
      <c r="CK2469"/>
      <c r="CL2469"/>
      <c r="CM2469"/>
    </row>
    <row r="2470" spans="1:91" x14ac:dyDescent="0.2">
      <c r="A2470"/>
      <c r="B2470"/>
      <c r="D2470"/>
      <c r="E2470"/>
      <c r="F2470"/>
      <c r="G2470"/>
      <c r="I2470"/>
      <c r="J2470"/>
      <c r="K2470"/>
      <c r="L2470" s="499"/>
      <c r="BX2470" s="769"/>
      <c r="BY2470"/>
      <c r="BZ2470"/>
      <c r="CA2470"/>
      <c r="CB2470"/>
      <c r="CC2470"/>
      <c r="CD2470"/>
      <c r="CE2470"/>
      <c r="CF2470"/>
      <c r="CG2470"/>
      <c r="CH2470"/>
      <c r="CI2470"/>
      <c r="CJ2470"/>
      <c r="CK2470"/>
      <c r="CL2470"/>
      <c r="CM2470"/>
    </row>
    <row r="2471" spans="1:91" x14ac:dyDescent="0.2">
      <c r="A2471"/>
      <c r="B2471"/>
      <c r="D2471"/>
      <c r="E2471"/>
      <c r="F2471"/>
      <c r="G2471"/>
      <c r="I2471"/>
      <c r="J2471"/>
      <c r="K2471"/>
      <c r="L2471" s="499"/>
      <c r="BX2471" s="769"/>
      <c r="BY2471"/>
      <c r="BZ2471"/>
      <c r="CA2471"/>
      <c r="CB2471"/>
      <c r="CC2471"/>
      <c r="CD2471"/>
      <c r="CE2471"/>
      <c r="CF2471"/>
      <c r="CG2471"/>
      <c r="CH2471"/>
      <c r="CI2471"/>
      <c r="CJ2471"/>
      <c r="CK2471"/>
      <c r="CL2471"/>
      <c r="CM2471"/>
    </row>
    <row r="2472" spans="1:91" x14ac:dyDescent="0.2">
      <c r="A2472"/>
      <c r="B2472"/>
      <c r="D2472"/>
      <c r="E2472"/>
      <c r="F2472"/>
      <c r="G2472"/>
      <c r="I2472"/>
      <c r="J2472"/>
      <c r="K2472"/>
      <c r="L2472" s="499"/>
      <c r="BX2472" s="769"/>
      <c r="BY2472"/>
      <c r="BZ2472"/>
      <c r="CA2472"/>
      <c r="CB2472"/>
      <c r="CC2472"/>
      <c r="CD2472"/>
      <c r="CE2472"/>
      <c r="CF2472"/>
      <c r="CG2472"/>
      <c r="CH2472"/>
      <c r="CI2472"/>
      <c r="CJ2472"/>
      <c r="CK2472"/>
      <c r="CL2472"/>
      <c r="CM2472"/>
    </row>
    <row r="2473" spans="1:91" x14ac:dyDescent="0.2">
      <c r="A2473"/>
      <c r="B2473"/>
      <c r="D2473"/>
      <c r="E2473"/>
      <c r="F2473"/>
      <c r="G2473"/>
      <c r="I2473"/>
      <c r="J2473"/>
      <c r="K2473"/>
      <c r="L2473" s="499"/>
      <c r="BX2473" s="769"/>
      <c r="BY2473"/>
      <c r="BZ2473"/>
      <c r="CA2473"/>
      <c r="CB2473"/>
      <c r="CC2473"/>
      <c r="CD2473"/>
      <c r="CE2473"/>
      <c r="CF2473"/>
      <c r="CG2473"/>
      <c r="CH2473"/>
      <c r="CI2473"/>
      <c r="CJ2473"/>
      <c r="CK2473"/>
      <c r="CL2473"/>
      <c r="CM2473"/>
    </row>
    <row r="2474" spans="1:91" x14ac:dyDescent="0.2">
      <c r="A2474"/>
      <c r="B2474"/>
      <c r="D2474"/>
      <c r="E2474"/>
      <c r="F2474"/>
      <c r="G2474"/>
      <c r="I2474"/>
      <c r="J2474"/>
      <c r="K2474"/>
      <c r="L2474" s="499"/>
      <c r="BX2474" s="769"/>
      <c r="BY2474"/>
      <c r="BZ2474"/>
      <c r="CA2474"/>
      <c r="CB2474"/>
      <c r="CC2474"/>
      <c r="CD2474"/>
      <c r="CE2474"/>
      <c r="CF2474"/>
      <c r="CG2474"/>
      <c r="CH2474"/>
      <c r="CI2474"/>
      <c r="CJ2474"/>
      <c r="CK2474"/>
      <c r="CL2474"/>
      <c r="CM2474"/>
    </row>
    <row r="2475" spans="1:91" x14ac:dyDescent="0.2">
      <c r="A2475"/>
      <c r="B2475"/>
      <c r="D2475"/>
      <c r="E2475"/>
      <c r="F2475"/>
      <c r="G2475"/>
      <c r="I2475"/>
      <c r="J2475"/>
      <c r="K2475"/>
      <c r="L2475" s="499"/>
      <c r="BX2475" s="769"/>
      <c r="BY2475"/>
      <c r="BZ2475"/>
      <c r="CA2475"/>
      <c r="CB2475"/>
      <c r="CC2475"/>
      <c r="CD2475"/>
      <c r="CE2475"/>
      <c r="CF2475"/>
      <c r="CG2475"/>
      <c r="CH2475"/>
      <c r="CI2475"/>
      <c r="CJ2475"/>
      <c r="CK2475"/>
      <c r="CL2475"/>
      <c r="CM2475"/>
    </row>
    <row r="2476" spans="1:91" x14ac:dyDescent="0.2">
      <c r="A2476"/>
      <c r="B2476"/>
      <c r="D2476"/>
      <c r="E2476"/>
      <c r="F2476"/>
      <c r="G2476"/>
      <c r="I2476"/>
      <c r="J2476"/>
      <c r="K2476"/>
      <c r="L2476" s="499"/>
      <c r="BX2476" s="769"/>
      <c r="BY2476"/>
      <c r="BZ2476"/>
      <c r="CA2476"/>
      <c r="CB2476"/>
      <c r="CC2476"/>
      <c r="CD2476"/>
      <c r="CE2476"/>
      <c r="CF2476"/>
      <c r="CG2476"/>
      <c r="CH2476"/>
      <c r="CI2476"/>
      <c r="CJ2476"/>
      <c r="CK2476"/>
      <c r="CL2476"/>
      <c r="CM2476"/>
    </row>
    <row r="2477" spans="1:91" x14ac:dyDescent="0.2">
      <c r="A2477"/>
      <c r="B2477"/>
      <c r="D2477"/>
      <c r="E2477"/>
      <c r="F2477"/>
      <c r="G2477"/>
      <c r="I2477"/>
      <c r="J2477"/>
      <c r="K2477"/>
      <c r="L2477" s="499"/>
      <c r="BX2477" s="769"/>
      <c r="BY2477"/>
      <c r="BZ2477"/>
      <c r="CA2477"/>
      <c r="CB2477"/>
      <c r="CC2477"/>
      <c r="CD2477"/>
      <c r="CE2477"/>
      <c r="CF2477"/>
      <c r="CG2477"/>
      <c r="CH2477"/>
      <c r="CI2477"/>
      <c r="CJ2477"/>
      <c r="CK2477"/>
      <c r="CL2477"/>
      <c r="CM2477"/>
    </row>
    <row r="2478" spans="1:91" x14ac:dyDescent="0.2">
      <c r="A2478"/>
      <c r="B2478"/>
      <c r="D2478"/>
      <c r="E2478"/>
      <c r="F2478"/>
      <c r="G2478"/>
      <c r="I2478"/>
      <c r="J2478"/>
      <c r="K2478"/>
      <c r="L2478" s="499"/>
      <c r="BX2478" s="769"/>
      <c r="BY2478"/>
      <c r="BZ2478"/>
      <c r="CA2478"/>
      <c r="CB2478"/>
      <c r="CC2478"/>
      <c r="CD2478"/>
      <c r="CE2478"/>
      <c r="CF2478"/>
      <c r="CG2478"/>
      <c r="CH2478"/>
      <c r="CI2478"/>
      <c r="CJ2478"/>
      <c r="CK2478"/>
      <c r="CL2478"/>
      <c r="CM2478"/>
    </row>
    <row r="2479" spans="1:91" x14ac:dyDescent="0.2">
      <c r="A2479"/>
      <c r="B2479"/>
      <c r="D2479"/>
      <c r="E2479"/>
      <c r="F2479"/>
      <c r="G2479"/>
      <c r="I2479"/>
      <c r="J2479"/>
      <c r="K2479"/>
      <c r="L2479" s="499"/>
      <c r="BX2479" s="769"/>
      <c r="BY2479"/>
      <c r="BZ2479"/>
      <c r="CA2479"/>
      <c r="CB2479"/>
      <c r="CC2479"/>
      <c r="CD2479"/>
      <c r="CE2479"/>
      <c r="CF2479"/>
      <c r="CG2479"/>
      <c r="CH2479"/>
      <c r="CI2479"/>
      <c r="CJ2479"/>
      <c r="CK2479"/>
      <c r="CL2479"/>
      <c r="CM2479"/>
    </row>
    <row r="2480" spans="1:91" x14ac:dyDescent="0.2">
      <c r="A2480"/>
      <c r="B2480"/>
      <c r="D2480"/>
      <c r="E2480"/>
      <c r="F2480"/>
      <c r="G2480"/>
      <c r="I2480"/>
      <c r="J2480"/>
      <c r="K2480"/>
      <c r="L2480" s="499"/>
      <c r="BX2480" s="769"/>
      <c r="BY2480"/>
      <c r="BZ2480"/>
      <c r="CA2480"/>
      <c r="CB2480"/>
      <c r="CC2480"/>
      <c r="CD2480"/>
      <c r="CE2480"/>
      <c r="CF2480"/>
      <c r="CG2480"/>
      <c r="CH2480"/>
      <c r="CI2480"/>
      <c r="CJ2480"/>
      <c r="CK2480"/>
      <c r="CL2480"/>
      <c r="CM2480"/>
    </row>
    <row r="2481" spans="1:91" x14ac:dyDescent="0.2">
      <c r="A2481"/>
      <c r="B2481"/>
      <c r="D2481"/>
      <c r="E2481"/>
      <c r="F2481"/>
      <c r="G2481"/>
      <c r="I2481"/>
      <c r="J2481"/>
      <c r="K2481"/>
      <c r="L2481" s="499"/>
      <c r="BX2481" s="769"/>
      <c r="BY2481"/>
      <c r="BZ2481"/>
      <c r="CA2481"/>
      <c r="CB2481"/>
      <c r="CC2481"/>
      <c r="CD2481"/>
      <c r="CE2481"/>
      <c r="CF2481"/>
      <c r="CG2481"/>
      <c r="CH2481"/>
      <c r="CI2481"/>
      <c r="CJ2481"/>
      <c r="CK2481"/>
      <c r="CL2481"/>
      <c r="CM2481"/>
    </row>
    <row r="2482" spans="1:91" x14ac:dyDescent="0.2">
      <c r="A2482"/>
      <c r="B2482"/>
      <c r="D2482"/>
      <c r="E2482"/>
      <c r="F2482"/>
      <c r="G2482"/>
      <c r="I2482"/>
      <c r="J2482"/>
      <c r="K2482"/>
      <c r="L2482" s="499"/>
      <c r="BX2482" s="769"/>
      <c r="BY2482"/>
      <c r="BZ2482"/>
      <c r="CA2482"/>
      <c r="CB2482"/>
      <c r="CC2482"/>
      <c r="CD2482"/>
      <c r="CE2482"/>
      <c r="CF2482"/>
      <c r="CG2482"/>
      <c r="CH2482"/>
      <c r="CI2482"/>
      <c r="CJ2482"/>
      <c r="CK2482"/>
      <c r="CL2482"/>
      <c r="CM2482"/>
    </row>
    <row r="2483" spans="1:91" x14ac:dyDescent="0.2">
      <c r="A2483"/>
      <c r="B2483"/>
      <c r="D2483"/>
      <c r="E2483"/>
      <c r="F2483"/>
      <c r="G2483"/>
      <c r="I2483"/>
      <c r="J2483"/>
      <c r="K2483"/>
      <c r="L2483" s="499"/>
      <c r="BX2483" s="769"/>
      <c r="BY2483"/>
      <c r="BZ2483"/>
      <c r="CA2483"/>
      <c r="CB2483"/>
      <c r="CC2483"/>
      <c r="CD2483"/>
      <c r="CE2483"/>
      <c r="CF2483"/>
      <c r="CG2483"/>
      <c r="CH2483"/>
      <c r="CI2483"/>
      <c r="CJ2483"/>
      <c r="CK2483"/>
      <c r="CL2483"/>
      <c r="CM2483"/>
    </row>
    <row r="2484" spans="1:91" x14ac:dyDescent="0.2">
      <c r="A2484"/>
      <c r="B2484"/>
      <c r="D2484"/>
      <c r="E2484"/>
      <c r="F2484"/>
      <c r="G2484"/>
      <c r="I2484"/>
      <c r="J2484"/>
      <c r="K2484"/>
      <c r="L2484" s="499"/>
      <c r="BX2484" s="769"/>
      <c r="BY2484"/>
      <c r="BZ2484"/>
      <c r="CA2484"/>
      <c r="CB2484"/>
      <c r="CC2484"/>
      <c r="CD2484"/>
      <c r="CE2484"/>
      <c r="CF2484"/>
      <c r="CG2484"/>
      <c r="CH2484"/>
      <c r="CI2484"/>
      <c r="CJ2484"/>
      <c r="CK2484"/>
      <c r="CL2484"/>
      <c r="CM2484"/>
    </row>
    <row r="2485" spans="1:91" x14ac:dyDescent="0.2">
      <c r="A2485"/>
      <c r="B2485"/>
      <c r="D2485"/>
      <c r="E2485"/>
      <c r="F2485"/>
      <c r="G2485"/>
      <c r="I2485"/>
      <c r="J2485"/>
      <c r="K2485"/>
      <c r="L2485" s="499"/>
      <c r="BX2485" s="769"/>
      <c r="BY2485"/>
      <c r="BZ2485"/>
      <c r="CA2485"/>
      <c r="CB2485"/>
      <c r="CC2485"/>
      <c r="CD2485"/>
      <c r="CE2485"/>
      <c r="CF2485"/>
      <c r="CG2485"/>
      <c r="CH2485"/>
      <c r="CI2485"/>
      <c r="CJ2485"/>
      <c r="CK2485"/>
      <c r="CL2485"/>
      <c r="CM2485"/>
    </row>
    <row r="2486" spans="1:91" x14ac:dyDescent="0.2">
      <c r="A2486"/>
      <c r="B2486"/>
      <c r="D2486"/>
      <c r="E2486"/>
      <c r="F2486"/>
      <c r="G2486"/>
      <c r="I2486"/>
      <c r="J2486"/>
      <c r="K2486"/>
      <c r="L2486" s="499"/>
      <c r="BX2486" s="769"/>
      <c r="BY2486"/>
      <c r="BZ2486"/>
      <c r="CA2486"/>
      <c r="CB2486"/>
      <c r="CC2486"/>
      <c r="CD2486"/>
      <c r="CE2486"/>
      <c r="CF2486"/>
      <c r="CG2486"/>
      <c r="CH2486"/>
      <c r="CI2486"/>
      <c r="CJ2486"/>
      <c r="CK2486"/>
      <c r="CL2486"/>
      <c r="CM2486"/>
    </row>
    <row r="2487" spans="1:91" x14ac:dyDescent="0.2">
      <c r="A2487"/>
      <c r="B2487"/>
      <c r="D2487"/>
      <c r="E2487"/>
      <c r="F2487"/>
      <c r="G2487"/>
      <c r="I2487"/>
      <c r="J2487"/>
      <c r="K2487"/>
      <c r="L2487" s="499"/>
      <c r="BX2487" s="769"/>
      <c r="BY2487"/>
      <c r="BZ2487"/>
      <c r="CA2487"/>
      <c r="CB2487"/>
      <c r="CC2487"/>
      <c r="CD2487"/>
      <c r="CE2487"/>
      <c r="CF2487"/>
      <c r="CG2487"/>
      <c r="CH2487"/>
      <c r="CI2487"/>
      <c r="CJ2487"/>
      <c r="CK2487"/>
      <c r="CL2487"/>
      <c r="CM2487"/>
    </row>
    <row r="2488" spans="1:91" x14ac:dyDescent="0.2">
      <c r="A2488"/>
      <c r="B2488"/>
      <c r="D2488"/>
      <c r="E2488"/>
      <c r="F2488"/>
      <c r="G2488"/>
      <c r="I2488"/>
      <c r="J2488"/>
      <c r="K2488"/>
      <c r="L2488" s="499"/>
      <c r="BX2488" s="769"/>
      <c r="BY2488"/>
      <c r="BZ2488"/>
      <c r="CA2488"/>
      <c r="CB2488"/>
      <c r="CC2488"/>
      <c r="CD2488"/>
      <c r="CE2488"/>
      <c r="CF2488"/>
      <c r="CG2488"/>
      <c r="CH2488"/>
      <c r="CI2488"/>
      <c r="CJ2488"/>
      <c r="CK2488"/>
      <c r="CL2488"/>
      <c r="CM2488"/>
    </row>
    <row r="2489" spans="1:91" x14ac:dyDescent="0.2">
      <c r="A2489"/>
      <c r="B2489"/>
      <c r="D2489"/>
      <c r="E2489"/>
      <c r="F2489"/>
      <c r="G2489"/>
      <c r="I2489"/>
      <c r="J2489"/>
      <c r="K2489"/>
      <c r="L2489" s="499"/>
      <c r="BX2489" s="769"/>
      <c r="BY2489"/>
      <c r="BZ2489"/>
      <c r="CA2489"/>
      <c r="CB2489"/>
      <c r="CC2489"/>
      <c r="CD2489"/>
      <c r="CE2489"/>
      <c r="CF2489"/>
      <c r="CG2489"/>
      <c r="CH2489"/>
      <c r="CI2489"/>
      <c r="CJ2489"/>
      <c r="CK2489"/>
      <c r="CL2489"/>
      <c r="CM2489"/>
    </row>
    <row r="2490" spans="1:91" x14ac:dyDescent="0.2">
      <c r="A2490"/>
      <c r="B2490"/>
      <c r="D2490"/>
      <c r="E2490"/>
      <c r="F2490"/>
      <c r="G2490"/>
      <c r="I2490"/>
      <c r="J2490"/>
      <c r="K2490"/>
      <c r="L2490" s="499"/>
      <c r="BX2490" s="769"/>
      <c r="BY2490"/>
      <c r="BZ2490"/>
      <c r="CA2490"/>
      <c r="CB2490"/>
      <c r="CC2490"/>
      <c r="CD2490"/>
      <c r="CE2490"/>
      <c r="CF2490"/>
      <c r="CG2490"/>
      <c r="CH2490"/>
      <c r="CI2490"/>
      <c r="CJ2490"/>
      <c r="CK2490"/>
      <c r="CL2490"/>
      <c r="CM2490"/>
    </row>
    <row r="2491" spans="1:91" x14ac:dyDescent="0.2">
      <c r="A2491"/>
      <c r="B2491"/>
      <c r="D2491"/>
      <c r="E2491"/>
      <c r="F2491"/>
      <c r="G2491"/>
      <c r="I2491"/>
      <c r="J2491"/>
      <c r="K2491"/>
      <c r="L2491" s="499"/>
      <c r="BX2491" s="769"/>
      <c r="BY2491"/>
      <c r="BZ2491"/>
      <c r="CA2491"/>
      <c r="CB2491"/>
      <c r="CC2491"/>
      <c r="CD2491"/>
      <c r="CE2491"/>
      <c r="CF2491"/>
      <c r="CG2491"/>
      <c r="CH2491"/>
      <c r="CI2491"/>
      <c r="CJ2491"/>
      <c r="CK2491"/>
      <c r="CL2491"/>
      <c r="CM2491"/>
    </row>
    <row r="2492" spans="1:91" x14ac:dyDescent="0.2">
      <c r="A2492"/>
      <c r="B2492"/>
      <c r="D2492"/>
      <c r="E2492"/>
      <c r="F2492"/>
      <c r="G2492"/>
      <c r="I2492"/>
      <c r="J2492"/>
      <c r="K2492"/>
      <c r="L2492" s="499"/>
      <c r="BX2492" s="769"/>
      <c r="BY2492"/>
      <c r="BZ2492"/>
      <c r="CA2492"/>
      <c r="CB2492"/>
      <c r="CC2492"/>
      <c r="CD2492"/>
      <c r="CE2492"/>
      <c r="CF2492"/>
      <c r="CG2492"/>
      <c r="CH2492"/>
      <c r="CI2492"/>
      <c r="CJ2492"/>
      <c r="CK2492"/>
      <c r="CL2492"/>
      <c r="CM2492"/>
    </row>
    <row r="2493" spans="1:91" x14ac:dyDescent="0.2">
      <c r="A2493"/>
      <c r="B2493"/>
      <c r="D2493"/>
      <c r="E2493"/>
      <c r="F2493"/>
      <c r="G2493"/>
      <c r="I2493"/>
      <c r="J2493"/>
      <c r="K2493"/>
      <c r="L2493" s="499"/>
      <c r="BX2493" s="769"/>
      <c r="BY2493"/>
      <c r="BZ2493"/>
      <c r="CA2493"/>
      <c r="CB2493"/>
      <c r="CC2493"/>
      <c r="CD2493"/>
      <c r="CE2493"/>
      <c r="CF2493"/>
      <c r="CG2493"/>
      <c r="CH2493"/>
      <c r="CI2493"/>
      <c r="CJ2493"/>
      <c r="CK2493"/>
      <c r="CL2493"/>
      <c r="CM2493"/>
    </row>
    <row r="2494" spans="1:91" x14ac:dyDescent="0.2">
      <c r="A2494"/>
      <c r="B2494"/>
      <c r="D2494"/>
      <c r="E2494"/>
      <c r="F2494"/>
      <c r="G2494"/>
      <c r="I2494"/>
      <c r="J2494"/>
      <c r="K2494"/>
      <c r="L2494" s="499"/>
      <c r="BX2494" s="769"/>
      <c r="BY2494"/>
      <c r="BZ2494"/>
      <c r="CA2494"/>
      <c r="CB2494"/>
      <c r="CC2494"/>
      <c r="CD2494"/>
      <c r="CE2494"/>
      <c r="CF2494"/>
      <c r="CG2494"/>
      <c r="CH2494"/>
      <c r="CI2494"/>
      <c r="CJ2494"/>
      <c r="CK2494"/>
      <c r="CL2494"/>
      <c r="CM2494"/>
    </row>
    <row r="2495" spans="1:91" x14ac:dyDescent="0.2">
      <c r="A2495"/>
      <c r="B2495"/>
      <c r="D2495"/>
      <c r="E2495"/>
      <c r="F2495"/>
      <c r="G2495"/>
      <c r="I2495"/>
      <c r="J2495"/>
      <c r="K2495"/>
      <c r="L2495" s="499"/>
      <c r="BX2495" s="769"/>
      <c r="BY2495"/>
      <c r="BZ2495"/>
      <c r="CA2495"/>
      <c r="CB2495"/>
      <c r="CC2495"/>
      <c r="CD2495"/>
      <c r="CE2495"/>
      <c r="CF2495"/>
      <c r="CG2495"/>
      <c r="CH2495"/>
      <c r="CI2495"/>
      <c r="CJ2495"/>
      <c r="CK2495"/>
      <c r="CL2495"/>
      <c r="CM2495"/>
    </row>
    <row r="2496" spans="1:91" x14ac:dyDescent="0.2">
      <c r="A2496"/>
      <c r="B2496"/>
      <c r="D2496"/>
      <c r="E2496"/>
      <c r="F2496"/>
      <c r="G2496"/>
      <c r="I2496"/>
      <c r="J2496"/>
      <c r="K2496"/>
      <c r="L2496" s="499"/>
      <c r="BX2496" s="769"/>
      <c r="BY2496"/>
      <c r="BZ2496"/>
      <c r="CA2496"/>
      <c r="CB2496"/>
      <c r="CC2496"/>
      <c r="CD2496"/>
      <c r="CE2496"/>
      <c r="CF2496"/>
      <c r="CG2496"/>
      <c r="CH2496"/>
      <c r="CI2496"/>
      <c r="CJ2496"/>
      <c r="CK2496"/>
      <c r="CL2496"/>
      <c r="CM2496"/>
    </row>
    <row r="2497" spans="1:91" x14ac:dyDescent="0.2">
      <c r="A2497"/>
      <c r="B2497"/>
      <c r="D2497"/>
      <c r="E2497"/>
      <c r="F2497"/>
      <c r="G2497"/>
      <c r="I2497"/>
      <c r="J2497"/>
      <c r="K2497"/>
      <c r="L2497" s="499"/>
      <c r="BX2497" s="769"/>
      <c r="BY2497"/>
      <c r="BZ2497"/>
      <c r="CA2497"/>
      <c r="CB2497"/>
      <c r="CC2497"/>
      <c r="CD2497"/>
      <c r="CE2497"/>
      <c r="CF2497"/>
      <c r="CG2497"/>
      <c r="CH2497"/>
      <c r="CI2497"/>
      <c r="CJ2497"/>
      <c r="CK2497"/>
      <c r="CL2497"/>
      <c r="CM2497"/>
    </row>
    <row r="2498" spans="1:91" x14ac:dyDescent="0.2">
      <c r="A2498"/>
      <c r="B2498"/>
      <c r="D2498"/>
      <c r="E2498"/>
      <c r="F2498"/>
      <c r="G2498"/>
      <c r="I2498"/>
      <c r="J2498"/>
      <c r="K2498"/>
      <c r="L2498" s="499"/>
      <c r="BX2498" s="769"/>
      <c r="BY2498"/>
      <c r="BZ2498"/>
      <c r="CA2498"/>
      <c r="CB2498"/>
      <c r="CC2498"/>
      <c r="CD2498"/>
      <c r="CE2498"/>
      <c r="CF2498"/>
      <c r="CG2498"/>
      <c r="CH2498"/>
      <c r="CI2498"/>
      <c r="CJ2498"/>
      <c r="CK2498"/>
      <c r="CL2498"/>
      <c r="CM2498"/>
    </row>
    <row r="2499" spans="1:91" x14ac:dyDescent="0.2">
      <c r="A2499"/>
      <c r="B2499"/>
      <c r="D2499"/>
      <c r="E2499"/>
      <c r="F2499"/>
      <c r="G2499"/>
      <c r="I2499"/>
      <c r="J2499"/>
      <c r="K2499"/>
      <c r="L2499" s="499"/>
      <c r="BX2499" s="769"/>
      <c r="BY2499"/>
      <c r="BZ2499"/>
      <c r="CA2499"/>
      <c r="CB2499"/>
      <c r="CC2499"/>
      <c r="CD2499"/>
      <c r="CE2499"/>
      <c r="CF2499"/>
      <c r="CG2499"/>
      <c r="CH2499"/>
      <c r="CI2499"/>
      <c r="CJ2499"/>
      <c r="CK2499"/>
      <c r="CL2499"/>
      <c r="CM2499"/>
    </row>
    <row r="2500" spans="1:91" x14ac:dyDescent="0.2">
      <c r="A2500"/>
      <c r="B2500"/>
      <c r="D2500"/>
      <c r="E2500"/>
      <c r="F2500"/>
      <c r="G2500"/>
      <c r="I2500"/>
      <c r="J2500"/>
      <c r="K2500"/>
      <c r="L2500" s="499"/>
      <c r="BX2500" s="769"/>
      <c r="BY2500"/>
      <c r="BZ2500"/>
      <c r="CA2500"/>
      <c r="CB2500"/>
      <c r="CC2500"/>
      <c r="CD2500"/>
      <c r="CE2500"/>
      <c r="CF2500"/>
      <c r="CG2500"/>
      <c r="CH2500"/>
      <c r="CI2500"/>
      <c r="CJ2500"/>
      <c r="CK2500"/>
      <c r="CL2500"/>
      <c r="CM2500"/>
    </row>
    <row r="2501" spans="1:91" x14ac:dyDescent="0.2">
      <c r="A2501"/>
      <c r="B2501"/>
      <c r="D2501"/>
      <c r="E2501"/>
      <c r="F2501"/>
      <c r="G2501"/>
      <c r="I2501"/>
      <c r="J2501"/>
      <c r="K2501"/>
      <c r="L2501" s="499"/>
      <c r="BX2501" s="769"/>
      <c r="BY2501"/>
      <c r="BZ2501"/>
      <c r="CA2501"/>
      <c r="CB2501"/>
      <c r="CC2501"/>
      <c r="CD2501"/>
      <c r="CE2501"/>
      <c r="CF2501"/>
      <c r="CG2501"/>
      <c r="CH2501"/>
      <c r="CI2501"/>
      <c r="CJ2501"/>
      <c r="CK2501"/>
      <c r="CL2501"/>
      <c r="CM2501"/>
    </row>
    <row r="2502" spans="1:91" x14ac:dyDescent="0.2">
      <c r="A2502"/>
      <c r="B2502"/>
      <c r="D2502"/>
      <c r="E2502"/>
      <c r="F2502"/>
      <c r="G2502"/>
      <c r="I2502"/>
      <c r="J2502"/>
      <c r="K2502"/>
      <c r="L2502" s="499"/>
      <c r="BX2502" s="769"/>
      <c r="BY2502"/>
      <c r="BZ2502"/>
      <c r="CA2502"/>
      <c r="CB2502"/>
      <c r="CC2502"/>
      <c r="CD2502"/>
      <c r="CE2502"/>
      <c r="CF2502"/>
      <c r="CG2502"/>
      <c r="CH2502"/>
      <c r="CI2502"/>
      <c r="CJ2502"/>
      <c r="CK2502"/>
      <c r="CL2502"/>
      <c r="CM2502"/>
    </row>
    <row r="2503" spans="1:91" x14ac:dyDescent="0.2">
      <c r="A2503"/>
      <c r="B2503"/>
      <c r="D2503"/>
      <c r="E2503"/>
      <c r="F2503"/>
      <c r="G2503"/>
      <c r="I2503"/>
      <c r="J2503"/>
      <c r="K2503"/>
      <c r="L2503" s="499"/>
      <c r="BX2503" s="769"/>
      <c r="BY2503"/>
      <c r="BZ2503"/>
      <c r="CA2503"/>
      <c r="CB2503"/>
      <c r="CC2503"/>
      <c r="CD2503"/>
      <c r="CE2503"/>
      <c r="CF2503"/>
      <c r="CG2503"/>
      <c r="CH2503"/>
      <c r="CI2503"/>
      <c r="CJ2503"/>
      <c r="CK2503"/>
      <c r="CL2503"/>
      <c r="CM2503"/>
    </row>
    <row r="2504" spans="1:91" x14ac:dyDescent="0.2">
      <c r="A2504"/>
      <c r="B2504"/>
      <c r="D2504"/>
      <c r="E2504"/>
      <c r="F2504"/>
      <c r="G2504"/>
      <c r="I2504"/>
      <c r="J2504"/>
      <c r="K2504"/>
      <c r="L2504" s="499"/>
      <c r="BX2504" s="769"/>
      <c r="BY2504"/>
      <c r="BZ2504"/>
      <c r="CA2504"/>
      <c r="CB2504"/>
      <c r="CC2504"/>
      <c r="CD2504"/>
      <c r="CE2504"/>
      <c r="CF2504"/>
      <c r="CG2504"/>
      <c r="CH2504"/>
      <c r="CI2504"/>
      <c r="CJ2504"/>
      <c r="CK2504"/>
      <c r="CL2504"/>
      <c r="CM2504"/>
    </row>
    <row r="2505" spans="1:91" x14ac:dyDescent="0.2">
      <c r="A2505"/>
      <c r="B2505"/>
      <c r="D2505"/>
      <c r="E2505"/>
      <c r="F2505"/>
      <c r="G2505"/>
      <c r="I2505"/>
      <c r="J2505"/>
      <c r="K2505"/>
      <c r="L2505" s="499"/>
      <c r="BX2505" s="769"/>
      <c r="BY2505"/>
      <c r="BZ2505"/>
      <c r="CA2505"/>
      <c r="CB2505"/>
      <c r="CC2505"/>
      <c r="CD2505"/>
      <c r="CE2505"/>
      <c r="CF2505"/>
      <c r="CG2505"/>
      <c r="CH2505"/>
      <c r="CI2505"/>
      <c r="CJ2505"/>
      <c r="CK2505"/>
      <c r="CL2505"/>
      <c r="CM2505"/>
    </row>
    <row r="2506" spans="1:91" x14ac:dyDescent="0.2">
      <c r="A2506"/>
      <c r="B2506"/>
      <c r="D2506"/>
      <c r="E2506"/>
      <c r="F2506"/>
      <c r="G2506"/>
      <c r="I2506"/>
      <c r="J2506"/>
      <c r="K2506"/>
      <c r="L2506" s="499"/>
      <c r="BX2506" s="769"/>
      <c r="BY2506"/>
      <c r="BZ2506"/>
      <c r="CA2506"/>
      <c r="CB2506"/>
      <c r="CC2506"/>
      <c r="CD2506"/>
      <c r="CE2506"/>
      <c r="CF2506"/>
      <c r="CG2506"/>
      <c r="CH2506"/>
      <c r="CI2506"/>
      <c r="CJ2506"/>
      <c r="CK2506"/>
      <c r="CL2506"/>
      <c r="CM2506"/>
    </row>
    <row r="2507" spans="1:91" x14ac:dyDescent="0.2">
      <c r="A2507"/>
      <c r="B2507"/>
      <c r="D2507"/>
      <c r="E2507"/>
      <c r="F2507"/>
      <c r="G2507"/>
      <c r="I2507"/>
      <c r="J2507"/>
      <c r="K2507"/>
      <c r="L2507" s="499"/>
      <c r="BX2507" s="769"/>
      <c r="BY2507"/>
      <c r="BZ2507"/>
      <c r="CA2507"/>
      <c r="CB2507"/>
      <c r="CC2507"/>
      <c r="CD2507"/>
      <c r="CE2507"/>
      <c r="CF2507"/>
      <c r="CG2507"/>
      <c r="CH2507"/>
      <c r="CI2507"/>
      <c r="CJ2507"/>
      <c r="CK2507"/>
      <c r="CL2507"/>
      <c r="CM2507"/>
    </row>
    <row r="2508" spans="1:91" x14ac:dyDescent="0.2">
      <c r="A2508"/>
      <c r="B2508"/>
      <c r="D2508"/>
      <c r="E2508"/>
      <c r="F2508"/>
      <c r="G2508"/>
      <c r="I2508"/>
      <c r="J2508"/>
      <c r="K2508"/>
      <c r="L2508" s="499"/>
      <c r="BX2508" s="769"/>
      <c r="BY2508"/>
      <c r="BZ2508"/>
      <c r="CA2508"/>
      <c r="CB2508"/>
      <c r="CC2508"/>
      <c r="CD2508"/>
      <c r="CE2508"/>
      <c r="CF2508"/>
      <c r="CG2508"/>
      <c r="CH2508"/>
      <c r="CI2508"/>
      <c r="CJ2508"/>
      <c r="CK2508"/>
      <c r="CL2508"/>
      <c r="CM2508"/>
    </row>
    <row r="2509" spans="1:91" x14ac:dyDescent="0.2">
      <c r="A2509"/>
      <c r="B2509"/>
      <c r="D2509"/>
      <c r="E2509"/>
      <c r="F2509"/>
      <c r="G2509"/>
      <c r="I2509"/>
      <c r="J2509"/>
      <c r="K2509"/>
      <c r="L2509" s="499"/>
      <c r="BX2509" s="769"/>
      <c r="BY2509"/>
      <c r="BZ2509"/>
      <c r="CA2509"/>
      <c r="CB2509"/>
      <c r="CC2509"/>
      <c r="CD2509"/>
      <c r="CE2509"/>
      <c r="CF2509"/>
      <c r="CG2509"/>
      <c r="CH2509"/>
      <c r="CI2509"/>
      <c r="CJ2509"/>
      <c r="CK2509"/>
      <c r="CL2509"/>
      <c r="CM2509"/>
    </row>
    <row r="2510" spans="1:91" x14ac:dyDescent="0.2">
      <c r="A2510"/>
      <c r="B2510"/>
      <c r="D2510"/>
      <c r="E2510"/>
      <c r="F2510"/>
      <c r="G2510"/>
      <c r="I2510"/>
      <c r="J2510"/>
      <c r="K2510"/>
      <c r="L2510" s="499"/>
      <c r="BX2510" s="769"/>
      <c r="BY2510"/>
      <c r="BZ2510"/>
      <c r="CA2510"/>
      <c r="CB2510"/>
      <c r="CC2510"/>
      <c r="CD2510"/>
      <c r="CE2510"/>
      <c r="CF2510"/>
      <c r="CG2510"/>
      <c r="CH2510"/>
      <c r="CI2510"/>
      <c r="CJ2510"/>
      <c r="CK2510"/>
      <c r="CL2510"/>
      <c r="CM2510"/>
    </row>
    <row r="2511" spans="1:91" x14ac:dyDescent="0.2">
      <c r="A2511"/>
      <c r="B2511"/>
      <c r="D2511"/>
      <c r="E2511"/>
      <c r="F2511"/>
      <c r="G2511"/>
      <c r="I2511"/>
      <c r="J2511"/>
      <c r="K2511"/>
      <c r="L2511" s="499"/>
      <c r="BX2511" s="769"/>
      <c r="BY2511"/>
      <c r="BZ2511"/>
      <c r="CA2511"/>
      <c r="CB2511"/>
      <c r="CC2511"/>
      <c r="CD2511"/>
      <c r="CE2511"/>
      <c r="CF2511"/>
      <c r="CG2511"/>
      <c r="CH2511"/>
      <c r="CI2511"/>
      <c r="CJ2511"/>
      <c r="CK2511"/>
      <c r="CL2511"/>
      <c r="CM2511"/>
    </row>
    <row r="2512" spans="1:91" x14ac:dyDescent="0.2">
      <c r="A2512"/>
      <c r="B2512"/>
      <c r="D2512"/>
      <c r="E2512"/>
      <c r="F2512"/>
      <c r="G2512"/>
      <c r="I2512"/>
      <c r="J2512"/>
      <c r="K2512"/>
      <c r="L2512" s="499"/>
      <c r="BX2512" s="769"/>
      <c r="BY2512"/>
      <c r="BZ2512"/>
      <c r="CA2512"/>
      <c r="CB2512"/>
      <c r="CC2512"/>
      <c r="CD2512"/>
      <c r="CE2512"/>
      <c r="CF2512"/>
      <c r="CG2512"/>
      <c r="CH2512"/>
      <c r="CI2512"/>
      <c r="CJ2512"/>
      <c r="CK2512"/>
      <c r="CL2512"/>
      <c r="CM2512"/>
    </row>
    <row r="2513" spans="1:91" x14ac:dyDescent="0.2">
      <c r="A2513"/>
      <c r="B2513"/>
      <c r="D2513"/>
      <c r="E2513"/>
      <c r="F2513"/>
      <c r="G2513"/>
      <c r="I2513"/>
      <c r="J2513"/>
      <c r="K2513"/>
      <c r="L2513" s="499"/>
      <c r="BX2513" s="769"/>
      <c r="BY2513"/>
      <c r="BZ2513"/>
      <c r="CA2513"/>
      <c r="CB2513"/>
      <c r="CC2513"/>
      <c r="CD2513"/>
      <c r="CE2513"/>
      <c r="CF2513"/>
      <c r="CG2513"/>
      <c r="CH2513"/>
      <c r="CI2513"/>
      <c r="CJ2513"/>
      <c r="CK2513"/>
      <c r="CL2513"/>
      <c r="CM2513"/>
    </row>
    <row r="2514" spans="1:91" x14ac:dyDescent="0.2">
      <c r="A2514"/>
      <c r="B2514"/>
      <c r="D2514"/>
      <c r="E2514"/>
      <c r="F2514"/>
      <c r="G2514"/>
      <c r="I2514"/>
      <c r="J2514"/>
      <c r="K2514"/>
      <c r="L2514" s="499"/>
      <c r="BX2514" s="769"/>
      <c r="BY2514"/>
      <c r="BZ2514"/>
      <c r="CA2514"/>
      <c r="CB2514"/>
      <c r="CC2514"/>
      <c r="CD2514"/>
      <c r="CE2514"/>
      <c r="CF2514"/>
      <c r="CG2514"/>
      <c r="CH2514"/>
      <c r="CI2514"/>
      <c r="CJ2514"/>
      <c r="CK2514"/>
      <c r="CL2514"/>
      <c r="CM2514"/>
    </row>
    <row r="2515" spans="1:91" x14ac:dyDescent="0.2">
      <c r="A2515"/>
      <c r="B2515"/>
      <c r="D2515"/>
      <c r="E2515"/>
      <c r="F2515"/>
      <c r="G2515"/>
      <c r="I2515"/>
      <c r="J2515"/>
      <c r="K2515"/>
      <c r="L2515" s="499"/>
      <c r="BX2515" s="769"/>
      <c r="BY2515"/>
      <c r="BZ2515"/>
      <c r="CA2515"/>
      <c r="CB2515"/>
      <c r="CC2515"/>
      <c r="CD2515"/>
      <c r="CE2515"/>
      <c r="CF2515"/>
      <c r="CG2515"/>
      <c r="CH2515"/>
      <c r="CI2515"/>
      <c r="CJ2515"/>
      <c r="CK2515"/>
      <c r="CL2515"/>
      <c r="CM2515"/>
    </row>
    <row r="2516" spans="1:91" x14ac:dyDescent="0.2">
      <c r="A2516"/>
      <c r="B2516"/>
      <c r="D2516"/>
      <c r="E2516"/>
      <c r="F2516"/>
      <c r="G2516"/>
      <c r="I2516"/>
      <c r="J2516"/>
      <c r="K2516"/>
      <c r="L2516" s="499"/>
      <c r="BX2516" s="769"/>
      <c r="BY2516"/>
      <c r="BZ2516"/>
      <c r="CA2516"/>
      <c r="CB2516"/>
      <c r="CC2516"/>
      <c r="CD2516"/>
      <c r="CE2516"/>
      <c r="CF2516"/>
      <c r="CG2516"/>
      <c r="CH2516"/>
      <c r="CI2516"/>
      <c r="CJ2516"/>
      <c r="CK2516"/>
      <c r="CL2516"/>
      <c r="CM2516"/>
    </row>
    <row r="2517" spans="1:91" x14ac:dyDescent="0.2">
      <c r="A2517"/>
      <c r="B2517"/>
      <c r="D2517"/>
      <c r="E2517"/>
      <c r="F2517"/>
      <c r="G2517"/>
      <c r="I2517"/>
      <c r="J2517"/>
      <c r="K2517"/>
      <c r="L2517" s="499"/>
      <c r="BX2517" s="769"/>
      <c r="BY2517"/>
      <c r="BZ2517"/>
      <c r="CA2517"/>
      <c r="CB2517"/>
      <c r="CC2517"/>
      <c r="CD2517"/>
      <c r="CE2517"/>
      <c r="CF2517"/>
      <c r="CG2517"/>
      <c r="CH2517"/>
      <c r="CI2517"/>
      <c r="CJ2517"/>
      <c r="CK2517"/>
      <c r="CL2517"/>
      <c r="CM2517"/>
    </row>
    <row r="2518" spans="1:91" x14ac:dyDescent="0.2">
      <c r="A2518"/>
      <c r="B2518"/>
      <c r="D2518"/>
      <c r="E2518"/>
      <c r="F2518"/>
      <c r="G2518"/>
      <c r="I2518"/>
      <c r="J2518"/>
      <c r="K2518"/>
      <c r="L2518" s="499"/>
      <c r="BX2518" s="769"/>
      <c r="BY2518"/>
      <c r="BZ2518"/>
      <c r="CA2518"/>
      <c r="CB2518"/>
      <c r="CC2518"/>
      <c r="CD2518"/>
      <c r="CE2518"/>
      <c r="CF2518"/>
      <c r="CG2518"/>
      <c r="CH2518"/>
      <c r="CI2518"/>
      <c r="CJ2518"/>
      <c r="CK2518"/>
      <c r="CL2518"/>
      <c r="CM2518"/>
    </row>
    <row r="2519" spans="1:91" x14ac:dyDescent="0.2">
      <c r="A2519"/>
      <c r="B2519"/>
      <c r="D2519"/>
      <c r="E2519"/>
      <c r="F2519"/>
      <c r="G2519"/>
      <c r="I2519"/>
      <c r="J2519"/>
      <c r="K2519"/>
      <c r="L2519" s="499"/>
      <c r="BX2519" s="769"/>
      <c r="BY2519"/>
      <c r="BZ2519"/>
      <c r="CA2519"/>
      <c r="CB2519"/>
      <c r="CC2519"/>
      <c r="CD2519"/>
      <c r="CE2519"/>
      <c r="CF2519"/>
      <c r="CG2519"/>
      <c r="CH2519"/>
      <c r="CI2519"/>
      <c r="CJ2519"/>
      <c r="CK2519"/>
      <c r="CL2519"/>
      <c r="CM2519"/>
    </row>
    <row r="2520" spans="1:91" x14ac:dyDescent="0.2">
      <c r="A2520"/>
      <c r="B2520"/>
      <c r="D2520"/>
      <c r="E2520"/>
      <c r="F2520"/>
      <c r="G2520"/>
      <c r="I2520"/>
      <c r="J2520"/>
      <c r="K2520"/>
      <c r="L2520" s="499"/>
      <c r="BX2520" s="769"/>
      <c r="BY2520"/>
      <c r="BZ2520"/>
      <c r="CA2520"/>
      <c r="CB2520"/>
      <c r="CC2520"/>
      <c r="CD2520"/>
      <c r="CE2520"/>
      <c r="CF2520"/>
      <c r="CG2520"/>
      <c r="CH2520"/>
      <c r="CI2520"/>
      <c r="CJ2520"/>
      <c r="CK2520"/>
      <c r="CL2520"/>
      <c r="CM2520"/>
    </row>
    <row r="2521" spans="1:91" x14ac:dyDescent="0.2">
      <c r="A2521"/>
      <c r="B2521"/>
      <c r="D2521"/>
      <c r="E2521"/>
      <c r="F2521"/>
      <c r="G2521"/>
      <c r="I2521"/>
      <c r="J2521"/>
      <c r="K2521"/>
      <c r="L2521" s="499"/>
      <c r="BX2521" s="769"/>
      <c r="BY2521"/>
      <c r="BZ2521"/>
      <c r="CA2521"/>
      <c r="CB2521"/>
      <c r="CC2521"/>
      <c r="CD2521"/>
      <c r="CE2521"/>
      <c r="CF2521"/>
      <c r="CG2521"/>
      <c r="CH2521"/>
      <c r="CI2521"/>
      <c r="CJ2521"/>
      <c r="CK2521"/>
      <c r="CL2521"/>
      <c r="CM2521"/>
    </row>
    <row r="2522" spans="1:91" x14ac:dyDescent="0.2">
      <c r="A2522"/>
      <c r="B2522"/>
      <c r="D2522"/>
      <c r="E2522"/>
      <c r="F2522"/>
      <c r="G2522"/>
      <c r="I2522"/>
      <c r="J2522"/>
      <c r="K2522"/>
      <c r="L2522" s="499"/>
      <c r="BX2522" s="769"/>
      <c r="BY2522"/>
      <c r="BZ2522"/>
      <c r="CA2522"/>
      <c r="CB2522"/>
      <c r="CC2522"/>
      <c r="CD2522"/>
      <c r="CE2522"/>
      <c r="CF2522"/>
      <c r="CG2522"/>
      <c r="CH2522"/>
      <c r="CI2522"/>
      <c r="CJ2522"/>
      <c r="CK2522"/>
      <c r="CL2522"/>
      <c r="CM2522"/>
    </row>
    <row r="2523" spans="1:91" x14ac:dyDescent="0.2">
      <c r="A2523"/>
      <c r="B2523"/>
      <c r="D2523"/>
      <c r="E2523"/>
      <c r="F2523"/>
      <c r="G2523"/>
      <c r="I2523"/>
      <c r="J2523"/>
      <c r="K2523"/>
      <c r="L2523" s="499"/>
      <c r="BX2523" s="769"/>
      <c r="BY2523"/>
      <c r="BZ2523"/>
      <c r="CA2523"/>
      <c r="CB2523"/>
      <c r="CC2523"/>
      <c r="CD2523"/>
      <c r="CE2523"/>
      <c r="CF2523"/>
      <c r="CG2523"/>
      <c r="CH2523"/>
      <c r="CI2523"/>
      <c r="CJ2523"/>
      <c r="CK2523"/>
      <c r="CL2523"/>
      <c r="CM2523"/>
    </row>
    <row r="2524" spans="1:91" x14ac:dyDescent="0.2">
      <c r="A2524"/>
      <c r="B2524"/>
      <c r="D2524"/>
      <c r="E2524"/>
      <c r="F2524"/>
      <c r="G2524"/>
      <c r="I2524"/>
      <c r="J2524"/>
      <c r="K2524"/>
      <c r="L2524" s="499"/>
      <c r="BX2524" s="769"/>
      <c r="BY2524"/>
      <c r="BZ2524"/>
      <c r="CA2524"/>
      <c r="CB2524"/>
      <c r="CC2524"/>
      <c r="CD2524"/>
      <c r="CE2524"/>
      <c r="CF2524"/>
      <c r="CG2524"/>
      <c r="CH2524"/>
      <c r="CI2524"/>
      <c r="CJ2524"/>
      <c r="CK2524"/>
      <c r="CL2524"/>
      <c r="CM2524"/>
    </row>
    <row r="2525" spans="1:91" x14ac:dyDescent="0.2">
      <c r="A2525"/>
      <c r="B2525"/>
      <c r="D2525"/>
      <c r="E2525"/>
      <c r="F2525"/>
      <c r="G2525"/>
      <c r="I2525"/>
      <c r="J2525"/>
      <c r="K2525"/>
      <c r="L2525" s="499"/>
      <c r="BX2525" s="769"/>
      <c r="BY2525"/>
      <c r="BZ2525"/>
      <c r="CA2525"/>
      <c r="CB2525"/>
      <c r="CC2525"/>
      <c r="CD2525"/>
      <c r="CE2525"/>
      <c r="CF2525"/>
      <c r="CG2525"/>
      <c r="CH2525"/>
      <c r="CI2525"/>
      <c r="CJ2525"/>
      <c r="CK2525"/>
      <c r="CL2525"/>
      <c r="CM2525"/>
    </row>
    <row r="2526" spans="1:91" x14ac:dyDescent="0.2">
      <c r="A2526"/>
      <c r="B2526"/>
      <c r="D2526"/>
      <c r="E2526"/>
      <c r="F2526"/>
      <c r="G2526"/>
      <c r="I2526"/>
      <c r="J2526"/>
      <c r="K2526"/>
      <c r="L2526" s="499"/>
      <c r="BX2526" s="769"/>
      <c r="BY2526"/>
      <c r="BZ2526"/>
      <c r="CA2526"/>
      <c r="CB2526"/>
      <c r="CC2526"/>
      <c r="CD2526"/>
      <c r="CE2526"/>
      <c r="CF2526"/>
      <c r="CG2526"/>
      <c r="CH2526"/>
      <c r="CI2526"/>
      <c r="CJ2526"/>
      <c r="CK2526"/>
      <c r="CL2526"/>
      <c r="CM2526"/>
    </row>
    <row r="2527" spans="1:91" x14ac:dyDescent="0.2">
      <c r="A2527"/>
      <c r="B2527"/>
      <c r="D2527"/>
      <c r="E2527"/>
      <c r="F2527"/>
      <c r="G2527"/>
      <c r="I2527"/>
      <c r="J2527"/>
      <c r="K2527"/>
      <c r="L2527" s="499"/>
      <c r="BX2527" s="769"/>
      <c r="BY2527"/>
      <c r="BZ2527"/>
      <c r="CA2527"/>
      <c r="CB2527"/>
      <c r="CC2527"/>
      <c r="CD2527"/>
      <c r="CE2527"/>
      <c r="CF2527"/>
      <c r="CG2527"/>
      <c r="CH2527"/>
      <c r="CI2527"/>
      <c r="CJ2527"/>
      <c r="CK2527"/>
      <c r="CL2527"/>
      <c r="CM2527"/>
    </row>
    <row r="2528" spans="1:91" x14ac:dyDescent="0.2">
      <c r="A2528"/>
      <c r="B2528"/>
      <c r="D2528"/>
      <c r="E2528"/>
      <c r="F2528"/>
      <c r="G2528"/>
      <c r="I2528"/>
      <c r="J2528"/>
      <c r="K2528"/>
      <c r="L2528" s="499"/>
      <c r="BX2528" s="769"/>
      <c r="BY2528"/>
      <c r="BZ2528"/>
      <c r="CA2528"/>
      <c r="CB2528"/>
      <c r="CC2528"/>
      <c r="CD2528"/>
      <c r="CE2528"/>
      <c r="CF2528"/>
      <c r="CG2528"/>
      <c r="CH2528"/>
      <c r="CI2528"/>
      <c r="CJ2528"/>
      <c r="CK2528"/>
      <c r="CL2528"/>
      <c r="CM2528"/>
    </row>
    <row r="2529" spans="1:91" x14ac:dyDescent="0.2">
      <c r="A2529"/>
      <c r="B2529"/>
      <c r="L2529" s="499"/>
      <c r="BX2529" s="769"/>
      <c r="BY2529"/>
      <c r="BZ2529"/>
      <c r="CA2529"/>
      <c r="CB2529"/>
      <c r="CC2529"/>
      <c r="CD2529"/>
      <c r="CE2529"/>
      <c r="CF2529"/>
      <c r="CG2529"/>
      <c r="CH2529"/>
      <c r="CI2529"/>
      <c r="CJ2529"/>
      <c r="CK2529"/>
      <c r="CL2529"/>
      <c r="CM2529"/>
    </row>
    <row r="2530" spans="1:91" x14ac:dyDescent="0.2">
      <c r="A2530"/>
      <c r="B2530"/>
      <c r="L2530" s="499"/>
      <c r="BX2530" s="769"/>
      <c r="BY2530"/>
      <c r="BZ2530"/>
      <c r="CA2530"/>
      <c r="CB2530"/>
      <c r="CC2530"/>
      <c r="CD2530"/>
      <c r="CE2530"/>
      <c r="CF2530"/>
      <c r="CG2530"/>
      <c r="CH2530"/>
      <c r="CI2530"/>
      <c r="CJ2530"/>
      <c r="CK2530"/>
      <c r="CL2530"/>
      <c r="CM2530"/>
    </row>
    <row r="2531" spans="1:91" x14ac:dyDescent="0.2">
      <c r="A2531"/>
      <c r="B2531"/>
      <c r="L2531" s="499"/>
      <c r="BX2531" s="769"/>
      <c r="BY2531"/>
      <c r="BZ2531"/>
      <c r="CA2531"/>
      <c r="CB2531"/>
      <c r="CC2531"/>
      <c r="CD2531"/>
      <c r="CE2531"/>
      <c r="CF2531"/>
      <c r="CG2531"/>
      <c r="CH2531"/>
      <c r="CI2531"/>
      <c r="CJ2531"/>
      <c r="CK2531"/>
      <c r="CL2531"/>
      <c r="CM2531"/>
    </row>
    <row r="2532" spans="1:91" x14ac:dyDescent="0.2">
      <c r="A2532"/>
      <c r="B2532"/>
      <c r="L2532" s="499"/>
      <c r="BX2532" s="769"/>
      <c r="BY2532"/>
      <c r="BZ2532"/>
      <c r="CA2532"/>
      <c r="CB2532"/>
      <c r="CC2532"/>
      <c r="CD2532"/>
      <c r="CE2532"/>
      <c r="CF2532"/>
      <c r="CG2532"/>
      <c r="CH2532"/>
      <c r="CI2532"/>
      <c r="CJ2532"/>
      <c r="CK2532"/>
      <c r="CL2532"/>
      <c r="CM2532"/>
    </row>
    <row r="2533" spans="1:91" x14ac:dyDescent="0.2">
      <c r="A2533"/>
      <c r="B2533"/>
      <c r="L2533" s="499"/>
      <c r="BX2533" s="769"/>
      <c r="BY2533"/>
      <c r="BZ2533"/>
      <c r="CA2533"/>
      <c r="CB2533"/>
      <c r="CC2533"/>
      <c r="CD2533"/>
      <c r="CE2533"/>
      <c r="CF2533"/>
      <c r="CG2533"/>
      <c r="CH2533"/>
      <c r="CI2533"/>
      <c r="CJ2533"/>
      <c r="CK2533"/>
      <c r="CL2533"/>
      <c r="CM2533"/>
    </row>
    <row r="2534" spans="1:91" x14ac:dyDescent="0.2">
      <c r="A2534"/>
      <c r="B2534"/>
      <c r="L2534" s="499"/>
      <c r="BX2534" s="769"/>
      <c r="BY2534"/>
      <c r="BZ2534"/>
      <c r="CA2534"/>
      <c r="CB2534"/>
      <c r="CC2534"/>
      <c r="CD2534"/>
      <c r="CE2534"/>
      <c r="CF2534"/>
      <c r="CG2534"/>
      <c r="CH2534"/>
      <c r="CI2534"/>
      <c r="CJ2534"/>
      <c r="CK2534"/>
      <c r="CL2534"/>
      <c r="CM2534"/>
    </row>
    <row r="2535" spans="1:91" x14ac:dyDescent="0.2">
      <c r="A2535"/>
      <c r="B2535"/>
      <c r="L2535" s="499"/>
      <c r="BX2535" s="769"/>
      <c r="BY2535"/>
      <c r="BZ2535"/>
      <c r="CA2535"/>
      <c r="CB2535"/>
      <c r="CC2535"/>
      <c r="CD2535"/>
      <c r="CE2535"/>
      <c r="CF2535"/>
      <c r="CG2535"/>
      <c r="CH2535"/>
      <c r="CI2535"/>
      <c r="CJ2535"/>
      <c r="CK2535"/>
      <c r="CL2535"/>
      <c r="CM2535"/>
    </row>
    <row r="2536" spans="1:91" x14ac:dyDescent="0.2">
      <c r="A2536"/>
      <c r="B2536"/>
      <c r="L2536" s="499"/>
      <c r="BX2536" s="769"/>
      <c r="BY2536"/>
      <c r="BZ2536"/>
      <c r="CA2536"/>
      <c r="CB2536"/>
      <c r="CC2536"/>
      <c r="CD2536"/>
      <c r="CE2536"/>
      <c r="CF2536"/>
      <c r="CG2536"/>
      <c r="CH2536"/>
      <c r="CI2536"/>
      <c r="CJ2536"/>
      <c r="CK2536"/>
      <c r="CL2536"/>
      <c r="CM2536"/>
    </row>
    <row r="2537" spans="1:91" x14ac:dyDescent="0.2">
      <c r="A2537"/>
      <c r="B2537"/>
      <c r="L2537" s="499"/>
      <c r="BX2537" s="769"/>
      <c r="BY2537"/>
      <c r="BZ2537"/>
      <c r="CA2537"/>
      <c r="CB2537"/>
      <c r="CC2537"/>
      <c r="CD2537"/>
      <c r="CE2537"/>
      <c r="CF2537"/>
      <c r="CG2537"/>
      <c r="CH2537"/>
      <c r="CI2537"/>
      <c r="CJ2537"/>
      <c r="CK2537"/>
      <c r="CL2537"/>
      <c r="CM2537"/>
    </row>
    <row r="2538" spans="1:91" x14ac:dyDescent="0.2">
      <c r="A2538"/>
      <c r="B2538"/>
      <c r="L2538" s="499"/>
      <c r="BX2538" s="769"/>
      <c r="BY2538"/>
      <c r="BZ2538"/>
      <c r="CA2538"/>
      <c r="CB2538"/>
      <c r="CC2538"/>
      <c r="CD2538"/>
      <c r="CE2538"/>
      <c r="CF2538"/>
      <c r="CG2538"/>
      <c r="CH2538"/>
      <c r="CI2538"/>
      <c r="CJ2538"/>
      <c r="CK2538"/>
      <c r="CL2538"/>
      <c r="CM2538"/>
    </row>
    <row r="2539" spans="1:91" x14ac:dyDescent="0.2">
      <c r="A2539"/>
      <c r="B2539"/>
      <c r="L2539" s="499"/>
      <c r="BX2539" s="769"/>
      <c r="BY2539"/>
      <c r="BZ2539"/>
      <c r="CA2539"/>
      <c r="CB2539"/>
      <c r="CC2539"/>
      <c r="CD2539"/>
      <c r="CE2539"/>
      <c r="CF2539"/>
      <c r="CG2539"/>
      <c r="CH2539"/>
      <c r="CI2539"/>
      <c r="CJ2539"/>
      <c r="CK2539"/>
      <c r="CL2539"/>
      <c r="CM2539"/>
    </row>
    <row r="2540" spans="1:91" x14ac:dyDescent="0.2">
      <c r="A2540"/>
      <c r="B2540"/>
      <c r="L2540" s="499"/>
      <c r="BX2540" s="769"/>
      <c r="BY2540"/>
      <c r="BZ2540"/>
      <c r="CA2540"/>
      <c r="CB2540"/>
      <c r="CC2540"/>
      <c r="CD2540"/>
      <c r="CE2540"/>
      <c r="CF2540"/>
      <c r="CG2540"/>
      <c r="CH2540"/>
      <c r="CI2540"/>
      <c r="CJ2540"/>
      <c r="CK2540"/>
      <c r="CL2540"/>
      <c r="CM2540"/>
    </row>
    <row r="2541" spans="1:91" x14ac:dyDescent="0.2">
      <c r="A2541"/>
      <c r="B2541"/>
      <c r="L2541" s="499"/>
      <c r="BX2541" s="769"/>
      <c r="BY2541"/>
      <c r="BZ2541"/>
      <c r="CA2541"/>
      <c r="CB2541"/>
      <c r="CC2541"/>
      <c r="CD2541"/>
      <c r="CE2541"/>
      <c r="CF2541"/>
      <c r="CG2541"/>
      <c r="CH2541"/>
      <c r="CI2541"/>
      <c r="CJ2541"/>
      <c r="CK2541"/>
      <c r="CL2541"/>
      <c r="CM2541"/>
    </row>
    <row r="2542" spans="1:91" x14ac:dyDescent="0.2">
      <c r="A2542"/>
      <c r="B2542"/>
      <c r="L2542" s="499"/>
      <c r="BX2542" s="769"/>
      <c r="BY2542"/>
      <c r="BZ2542"/>
      <c r="CA2542"/>
      <c r="CB2542"/>
      <c r="CC2542"/>
      <c r="CD2542"/>
      <c r="CE2542"/>
      <c r="CF2542"/>
      <c r="CG2542"/>
      <c r="CH2542"/>
      <c r="CI2542"/>
      <c r="CJ2542"/>
      <c r="CK2542"/>
      <c r="CL2542"/>
      <c r="CM2542"/>
    </row>
    <row r="2543" spans="1:91" x14ac:dyDescent="0.2">
      <c r="A2543"/>
      <c r="B2543"/>
      <c r="L2543" s="499"/>
      <c r="BX2543" s="769"/>
      <c r="BY2543"/>
      <c r="BZ2543"/>
      <c r="CA2543"/>
      <c r="CB2543"/>
      <c r="CC2543"/>
      <c r="CD2543"/>
      <c r="CE2543"/>
      <c r="CF2543"/>
      <c r="CG2543"/>
      <c r="CH2543"/>
      <c r="CI2543"/>
      <c r="CJ2543"/>
      <c r="CK2543"/>
      <c r="CL2543"/>
      <c r="CM2543"/>
    </row>
    <row r="2544" spans="1:91" x14ac:dyDescent="0.2">
      <c r="A2544"/>
      <c r="B2544"/>
      <c r="C2544" s="45"/>
      <c r="E2544" s="650"/>
      <c r="F2544" s="650"/>
      <c r="G2544" s="73"/>
      <c r="H2544" s="45"/>
      <c r="I2544" s="111"/>
      <c r="J2544" s="81"/>
      <c r="K2544" s="81"/>
      <c r="L2544" s="499"/>
      <c r="M2544" s="73"/>
      <c r="Q2544" s="73"/>
      <c r="R2544" s="176"/>
      <c r="S2544" s="176"/>
      <c r="T2544" s="176"/>
      <c r="X2544" s="167"/>
      <c r="BX2544" s="769"/>
      <c r="BY2544"/>
      <c r="BZ2544"/>
      <c r="CA2544"/>
      <c r="CB2544"/>
      <c r="CC2544"/>
      <c r="CD2544"/>
      <c r="CE2544"/>
      <c r="CF2544"/>
      <c r="CG2544"/>
      <c r="CH2544"/>
      <c r="CI2544"/>
      <c r="CJ2544"/>
      <c r="CK2544"/>
      <c r="CL2544"/>
      <c r="CM2544"/>
    </row>
    <row r="2545" spans="1:91" x14ac:dyDescent="0.2">
      <c r="A2545"/>
      <c r="B2545"/>
      <c r="C2545" s="45"/>
      <c r="E2545" s="650"/>
      <c r="F2545" s="650"/>
      <c r="G2545" s="73"/>
      <c r="H2545" s="45"/>
      <c r="I2545" s="111"/>
      <c r="J2545" s="81"/>
      <c r="K2545" s="81"/>
      <c r="L2545" s="499"/>
      <c r="M2545" s="73"/>
      <c r="Q2545" s="73"/>
      <c r="R2545" s="176"/>
      <c r="S2545" s="176"/>
      <c r="T2545" s="176"/>
      <c r="X2545" s="167"/>
      <c r="BX2545" s="769"/>
      <c r="BY2545"/>
      <c r="BZ2545"/>
      <c r="CA2545"/>
      <c r="CB2545"/>
      <c r="CC2545"/>
      <c r="CD2545"/>
      <c r="CE2545"/>
      <c r="CF2545"/>
      <c r="CG2545"/>
      <c r="CH2545"/>
      <c r="CI2545"/>
      <c r="CJ2545"/>
      <c r="CK2545"/>
      <c r="CL2545"/>
      <c r="CM2545"/>
    </row>
    <row r="2546" spans="1:91" x14ac:dyDescent="0.2">
      <c r="A2546"/>
      <c r="B2546"/>
      <c r="C2546" s="45"/>
      <c r="E2546" s="650"/>
      <c r="F2546" s="650"/>
      <c r="G2546" s="73"/>
      <c r="H2546" s="45"/>
      <c r="I2546" s="111"/>
      <c r="J2546" s="81"/>
      <c r="K2546" s="81"/>
      <c r="L2546" s="499"/>
      <c r="M2546" s="73"/>
      <c r="Q2546" s="73"/>
      <c r="R2546" s="176"/>
      <c r="S2546" s="176"/>
      <c r="T2546" s="176"/>
      <c r="X2546" s="167"/>
      <c r="BX2546" s="769"/>
      <c r="BY2546"/>
      <c r="BZ2546"/>
      <c r="CA2546"/>
      <c r="CB2546"/>
      <c r="CC2546"/>
      <c r="CD2546"/>
      <c r="CE2546"/>
      <c r="CF2546"/>
      <c r="CG2546"/>
      <c r="CH2546"/>
      <c r="CI2546"/>
      <c r="CJ2546"/>
      <c r="CK2546"/>
      <c r="CL2546"/>
      <c r="CM2546"/>
    </row>
    <row r="2547" spans="1:91" x14ac:dyDescent="0.2">
      <c r="A2547"/>
      <c r="B2547"/>
      <c r="C2547" s="45"/>
      <c r="E2547" s="650"/>
      <c r="F2547" s="650"/>
      <c r="G2547" s="73"/>
      <c r="H2547" s="45"/>
      <c r="I2547" s="111"/>
      <c r="J2547" s="81"/>
      <c r="K2547" s="81"/>
      <c r="L2547" s="499"/>
      <c r="M2547" s="73"/>
      <c r="Q2547" s="73"/>
      <c r="R2547" s="176"/>
      <c r="S2547" s="176"/>
      <c r="T2547" s="176"/>
      <c r="X2547" s="167"/>
      <c r="BX2547" s="769"/>
      <c r="BY2547"/>
      <c r="BZ2547"/>
      <c r="CA2547"/>
      <c r="CB2547"/>
      <c r="CC2547"/>
      <c r="CD2547"/>
      <c r="CE2547"/>
      <c r="CF2547"/>
      <c r="CG2547"/>
      <c r="CH2547"/>
      <c r="CI2547"/>
      <c r="CJ2547"/>
      <c r="CK2547"/>
      <c r="CL2547"/>
      <c r="CM2547"/>
    </row>
    <row r="2548" spans="1:91" x14ac:dyDescent="0.2">
      <c r="A2548"/>
      <c r="B2548"/>
      <c r="C2548" s="45"/>
      <c r="E2548" s="650"/>
      <c r="F2548" s="650"/>
      <c r="G2548" s="73"/>
      <c r="H2548" s="45"/>
      <c r="I2548" s="111"/>
      <c r="J2548" s="81"/>
      <c r="K2548" s="81"/>
      <c r="L2548" s="499"/>
      <c r="M2548" s="73"/>
      <c r="Q2548" s="73"/>
      <c r="R2548" s="176"/>
      <c r="S2548" s="176"/>
      <c r="T2548" s="176"/>
      <c r="X2548" s="167"/>
      <c r="BX2548" s="769"/>
      <c r="BY2548"/>
      <c r="BZ2548"/>
      <c r="CA2548"/>
      <c r="CB2548"/>
      <c r="CC2548"/>
      <c r="CD2548"/>
      <c r="CE2548"/>
      <c r="CF2548"/>
      <c r="CG2548"/>
      <c r="CH2548"/>
      <c r="CI2548"/>
      <c r="CJ2548"/>
      <c r="CK2548"/>
      <c r="CL2548"/>
      <c r="CM2548"/>
    </row>
    <row r="2549" spans="1:91" x14ac:dyDescent="0.2">
      <c r="A2549"/>
      <c r="B2549"/>
      <c r="C2549" s="45"/>
      <c r="E2549" s="650"/>
      <c r="F2549" s="650"/>
      <c r="G2549" s="73"/>
      <c r="H2549" s="45"/>
      <c r="I2549" s="111"/>
      <c r="J2549" s="81"/>
      <c r="K2549" s="81"/>
      <c r="L2549" s="499"/>
      <c r="M2549" s="73"/>
      <c r="Q2549" s="73"/>
      <c r="R2549" s="176"/>
      <c r="S2549" s="176"/>
      <c r="T2549" s="176"/>
      <c r="X2549" s="167"/>
      <c r="BX2549" s="769"/>
      <c r="BY2549"/>
      <c r="BZ2549"/>
      <c r="CA2549"/>
      <c r="CB2549"/>
      <c r="CC2549"/>
      <c r="CD2549"/>
      <c r="CE2549"/>
      <c r="CF2549"/>
      <c r="CG2549"/>
      <c r="CH2549"/>
      <c r="CI2549"/>
      <c r="CJ2549"/>
      <c r="CK2549"/>
      <c r="CL2549"/>
      <c r="CM2549"/>
    </row>
    <row r="2550" spans="1:91" x14ac:dyDescent="0.2">
      <c r="A2550"/>
      <c r="B2550"/>
      <c r="C2550" s="45"/>
      <c r="E2550" s="650"/>
      <c r="F2550" s="650"/>
      <c r="G2550" s="73"/>
      <c r="H2550" s="45"/>
      <c r="I2550" s="111"/>
      <c r="J2550" s="81"/>
      <c r="K2550" s="81"/>
      <c r="L2550" s="499"/>
      <c r="M2550" s="73"/>
      <c r="Q2550" s="73"/>
      <c r="R2550" s="176"/>
      <c r="S2550" s="176"/>
      <c r="T2550" s="176"/>
      <c r="X2550" s="167"/>
      <c r="BX2550" s="769"/>
      <c r="BY2550"/>
      <c r="BZ2550"/>
      <c r="CA2550"/>
      <c r="CB2550"/>
      <c r="CC2550"/>
      <c r="CD2550"/>
      <c r="CE2550"/>
      <c r="CF2550"/>
      <c r="CG2550"/>
      <c r="CH2550"/>
      <c r="CI2550"/>
      <c r="CJ2550"/>
      <c r="CK2550"/>
      <c r="CL2550"/>
      <c r="CM2550"/>
    </row>
    <row r="2551" spans="1:91" x14ac:dyDescent="0.2">
      <c r="A2551"/>
      <c r="B2551"/>
      <c r="C2551" s="45"/>
      <c r="E2551" s="650"/>
      <c r="F2551" s="650"/>
      <c r="G2551" s="73"/>
      <c r="H2551" s="45"/>
      <c r="I2551" s="111"/>
      <c r="J2551" s="81"/>
      <c r="K2551" s="81"/>
      <c r="L2551" s="499"/>
      <c r="M2551" s="73"/>
      <c r="Q2551" s="73"/>
      <c r="R2551" s="176"/>
      <c r="S2551" s="176"/>
      <c r="T2551" s="176"/>
      <c r="X2551" s="167"/>
      <c r="BX2551" s="769"/>
      <c r="BY2551"/>
      <c r="BZ2551"/>
      <c r="CA2551"/>
      <c r="CB2551"/>
      <c r="CC2551"/>
      <c r="CD2551"/>
      <c r="CE2551"/>
      <c r="CF2551"/>
      <c r="CG2551"/>
      <c r="CH2551"/>
      <c r="CI2551"/>
      <c r="CJ2551"/>
      <c r="CK2551"/>
      <c r="CL2551"/>
      <c r="CM2551"/>
    </row>
    <row r="2552" spans="1:91" x14ac:dyDescent="0.2">
      <c r="A2552"/>
      <c r="B2552"/>
      <c r="C2552" s="45"/>
      <c r="E2552" s="650"/>
      <c r="F2552" s="650"/>
      <c r="G2552" s="73"/>
      <c r="H2552" s="45"/>
      <c r="I2552" s="111"/>
      <c r="J2552" s="81"/>
      <c r="K2552" s="81"/>
      <c r="L2552" s="499"/>
      <c r="M2552" s="73"/>
      <c r="Q2552" s="73"/>
      <c r="R2552" s="176"/>
      <c r="S2552" s="176"/>
      <c r="T2552" s="176"/>
      <c r="X2552" s="167"/>
      <c r="BX2552" s="769"/>
      <c r="BY2552"/>
      <c r="BZ2552"/>
      <c r="CA2552"/>
      <c r="CB2552"/>
      <c r="CC2552"/>
      <c r="CD2552"/>
      <c r="CE2552"/>
      <c r="CF2552"/>
      <c r="CG2552"/>
      <c r="CH2552"/>
      <c r="CI2552"/>
      <c r="CJ2552"/>
      <c r="CK2552"/>
      <c r="CL2552"/>
      <c r="CM2552"/>
    </row>
    <row r="2553" spans="1:91" x14ac:dyDescent="0.2">
      <c r="A2553"/>
      <c r="B2553"/>
      <c r="C2553" s="45"/>
      <c r="E2553" s="650"/>
      <c r="F2553" s="650"/>
      <c r="G2553" s="73"/>
      <c r="H2553" s="45"/>
      <c r="I2553" s="111"/>
      <c r="J2553" s="81"/>
      <c r="K2553" s="81"/>
      <c r="L2553" s="499"/>
      <c r="M2553" s="73"/>
      <c r="Q2553" s="73"/>
      <c r="R2553" s="176"/>
      <c r="S2553" s="176"/>
      <c r="T2553" s="176"/>
      <c r="X2553" s="167"/>
      <c r="BX2553" s="769"/>
      <c r="BY2553"/>
      <c r="BZ2553"/>
      <c r="CA2553"/>
      <c r="CB2553"/>
      <c r="CC2553"/>
      <c r="CD2553"/>
      <c r="CE2553"/>
      <c r="CF2553"/>
      <c r="CG2553"/>
      <c r="CH2553"/>
      <c r="CI2553"/>
      <c r="CJ2553"/>
      <c r="CK2553"/>
      <c r="CL2553"/>
      <c r="CM2553"/>
    </row>
    <row r="2554" spans="1:91" x14ac:dyDescent="0.2">
      <c r="A2554"/>
      <c r="B2554"/>
      <c r="C2554" s="45"/>
      <c r="E2554" s="650"/>
      <c r="F2554" s="650"/>
      <c r="G2554" s="73"/>
      <c r="H2554" s="45"/>
      <c r="I2554" s="111"/>
      <c r="J2554" s="81"/>
      <c r="K2554" s="81"/>
      <c r="L2554" s="499"/>
      <c r="M2554" s="73"/>
      <c r="Q2554" s="73"/>
      <c r="R2554" s="176"/>
      <c r="S2554" s="176"/>
      <c r="T2554" s="176"/>
      <c r="X2554" s="167"/>
      <c r="BX2554" s="769"/>
      <c r="BY2554"/>
      <c r="BZ2554"/>
      <c r="CA2554"/>
      <c r="CB2554"/>
      <c r="CC2554"/>
      <c r="CD2554"/>
      <c r="CE2554"/>
      <c r="CF2554"/>
      <c r="CG2554"/>
      <c r="CH2554"/>
      <c r="CI2554"/>
      <c r="CJ2554"/>
      <c r="CK2554"/>
      <c r="CL2554"/>
      <c r="CM2554"/>
    </row>
    <row r="2555" spans="1:91" x14ac:dyDescent="0.2">
      <c r="A2555"/>
      <c r="B2555"/>
      <c r="C2555" s="45"/>
      <c r="E2555" s="650"/>
      <c r="F2555" s="650"/>
      <c r="G2555" s="73"/>
      <c r="H2555" s="45"/>
      <c r="I2555" s="111"/>
      <c r="J2555" s="81"/>
      <c r="K2555" s="81"/>
      <c r="L2555" s="499"/>
      <c r="M2555" s="73"/>
      <c r="Q2555" s="73"/>
      <c r="R2555" s="176"/>
      <c r="S2555" s="176"/>
      <c r="T2555" s="176"/>
      <c r="X2555" s="167"/>
      <c r="BX2555" s="769"/>
      <c r="BY2555"/>
      <c r="BZ2555"/>
      <c r="CA2555"/>
      <c r="CB2555"/>
      <c r="CC2555"/>
      <c r="CD2555"/>
      <c r="CE2555"/>
      <c r="CF2555"/>
      <c r="CG2555"/>
      <c r="CH2555"/>
      <c r="CI2555"/>
      <c r="CJ2555"/>
      <c r="CK2555"/>
      <c r="CL2555"/>
      <c r="CM2555"/>
    </row>
    <row r="2556" spans="1:91" x14ac:dyDescent="0.2">
      <c r="A2556"/>
      <c r="B2556"/>
      <c r="C2556" s="45"/>
      <c r="E2556" s="650"/>
      <c r="F2556" s="650"/>
      <c r="G2556" s="73"/>
      <c r="H2556" s="45"/>
      <c r="I2556" s="111"/>
      <c r="J2556" s="81"/>
      <c r="K2556" s="81"/>
      <c r="L2556" s="499"/>
      <c r="M2556" s="73"/>
      <c r="Q2556" s="73"/>
      <c r="R2556" s="176"/>
      <c r="S2556" s="176"/>
      <c r="T2556" s="176"/>
      <c r="X2556" s="167"/>
      <c r="BX2556" s="769"/>
      <c r="BY2556"/>
      <c r="BZ2556"/>
      <c r="CA2556"/>
      <c r="CB2556"/>
      <c r="CC2556"/>
      <c r="CD2556"/>
      <c r="CE2556"/>
      <c r="CF2556"/>
      <c r="CG2556"/>
      <c r="CH2556"/>
      <c r="CI2556"/>
      <c r="CJ2556"/>
      <c r="CK2556"/>
      <c r="CL2556"/>
      <c r="CM2556"/>
    </row>
    <row r="2557" spans="1:91" x14ac:dyDescent="0.2">
      <c r="A2557"/>
      <c r="B2557"/>
      <c r="C2557" s="45"/>
      <c r="E2557" s="650"/>
      <c r="F2557" s="650"/>
      <c r="G2557" s="73"/>
      <c r="H2557" s="45"/>
      <c r="I2557" s="111"/>
      <c r="J2557" s="81"/>
      <c r="K2557" s="81"/>
      <c r="L2557" s="499"/>
      <c r="M2557" s="73"/>
      <c r="Q2557" s="73"/>
      <c r="R2557" s="176"/>
      <c r="S2557" s="176"/>
      <c r="T2557" s="176"/>
      <c r="X2557" s="167"/>
      <c r="BX2557" s="769"/>
      <c r="BY2557"/>
      <c r="BZ2557"/>
      <c r="CA2557"/>
      <c r="CB2557"/>
      <c r="CC2557"/>
      <c r="CD2557"/>
      <c r="CE2557"/>
      <c r="CF2557"/>
      <c r="CG2557"/>
      <c r="CH2557"/>
      <c r="CI2557"/>
      <c r="CJ2557"/>
      <c r="CK2557"/>
      <c r="CL2557"/>
      <c r="CM2557"/>
    </row>
    <row r="2558" spans="1:91" x14ac:dyDescent="0.2">
      <c r="A2558"/>
      <c r="B2558"/>
      <c r="C2558" s="45"/>
      <c r="E2558" s="650"/>
      <c r="F2558" s="650"/>
      <c r="G2558" s="73"/>
      <c r="H2558" s="45"/>
      <c r="I2558" s="111"/>
      <c r="J2558" s="81"/>
      <c r="K2558" s="81"/>
      <c r="L2558" s="499"/>
      <c r="M2558" s="73"/>
      <c r="Q2558" s="73"/>
      <c r="R2558" s="176"/>
      <c r="S2558" s="176"/>
      <c r="T2558" s="176"/>
      <c r="X2558" s="167"/>
      <c r="BX2558" s="769"/>
      <c r="BY2558"/>
      <c r="BZ2558"/>
      <c r="CA2558"/>
      <c r="CB2558"/>
      <c r="CC2558"/>
      <c r="CD2558"/>
      <c r="CE2558"/>
      <c r="CF2558"/>
      <c r="CG2558"/>
      <c r="CH2558"/>
      <c r="CI2558"/>
      <c r="CJ2558"/>
      <c r="CK2558"/>
      <c r="CL2558"/>
      <c r="CM2558"/>
    </row>
    <row r="2559" spans="1:91" x14ac:dyDescent="0.2">
      <c r="A2559"/>
      <c r="B2559"/>
      <c r="C2559" s="45"/>
      <c r="E2559" s="650"/>
      <c r="F2559" s="650"/>
      <c r="G2559" s="73"/>
      <c r="H2559" s="45"/>
      <c r="I2559" s="111"/>
      <c r="J2559" s="81"/>
      <c r="K2559" s="81"/>
      <c r="L2559" s="499"/>
      <c r="M2559" s="73"/>
      <c r="Q2559" s="73"/>
      <c r="R2559" s="176"/>
      <c r="S2559" s="176"/>
      <c r="T2559" s="176"/>
      <c r="X2559" s="167"/>
      <c r="BX2559" s="769"/>
      <c r="BY2559"/>
      <c r="BZ2559"/>
      <c r="CA2559"/>
      <c r="CB2559"/>
      <c r="CC2559"/>
      <c r="CD2559"/>
      <c r="CE2559"/>
      <c r="CF2559"/>
      <c r="CG2559"/>
      <c r="CH2559"/>
      <c r="CI2559"/>
      <c r="CJ2559"/>
      <c r="CK2559"/>
      <c r="CL2559"/>
      <c r="CM2559"/>
    </row>
    <row r="2560" spans="1:91" x14ac:dyDescent="0.2">
      <c r="A2560"/>
      <c r="B2560"/>
      <c r="C2560" s="45"/>
      <c r="E2560" s="650"/>
      <c r="F2560" s="650"/>
      <c r="G2560" s="73"/>
      <c r="H2560" s="45"/>
      <c r="I2560" s="111"/>
      <c r="J2560" s="81"/>
      <c r="K2560" s="81"/>
      <c r="L2560" s="499"/>
      <c r="M2560" s="73"/>
      <c r="Q2560" s="73"/>
      <c r="R2560" s="176"/>
      <c r="S2560" s="176"/>
      <c r="T2560" s="176"/>
      <c r="X2560" s="167"/>
      <c r="BX2560" s="769"/>
      <c r="BY2560"/>
      <c r="BZ2560"/>
      <c r="CA2560"/>
      <c r="CB2560"/>
      <c r="CC2560"/>
      <c r="CD2560"/>
      <c r="CE2560"/>
      <c r="CF2560"/>
      <c r="CG2560"/>
      <c r="CH2560"/>
      <c r="CI2560"/>
      <c r="CJ2560"/>
      <c r="CK2560"/>
      <c r="CL2560"/>
      <c r="CM2560"/>
    </row>
    <row r="2561" spans="1:91" x14ac:dyDescent="0.2">
      <c r="A2561"/>
      <c r="B2561"/>
      <c r="C2561" s="45"/>
      <c r="E2561" s="650"/>
      <c r="F2561" s="650"/>
      <c r="G2561" s="73"/>
      <c r="H2561" s="45"/>
      <c r="I2561" s="111"/>
      <c r="J2561" s="81"/>
      <c r="K2561" s="81"/>
      <c r="L2561" s="499"/>
      <c r="M2561" s="73"/>
      <c r="Q2561" s="73"/>
      <c r="R2561" s="176"/>
      <c r="S2561" s="176"/>
      <c r="T2561" s="176"/>
      <c r="X2561" s="167"/>
      <c r="BX2561" s="769"/>
      <c r="BY2561"/>
      <c r="BZ2561"/>
      <c r="CA2561"/>
      <c r="CB2561"/>
      <c r="CC2561"/>
      <c r="CD2561"/>
      <c r="CE2561"/>
      <c r="CF2561"/>
      <c r="CG2561"/>
      <c r="CH2561"/>
      <c r="CI2561"/>
      <c r="CJ2561"/>
      <c r="CK2561"/>
      <c r="CL2561"/>
      <c r="CM2561"/>
    </row>
    <row r="2562" spans="1:91" x14ac:dyDescent="0.2">
      <c r="A2562"/>
      <c r="B2562"/>
      <c r="C2562" s="45"/>
      <c r="E2562" s="650"/>
      <c r="F2562" s="650"/>
      <c r="G2562" s="73"/>
      <c r="H2562" s="45"/>
      <c r="I2562" s="111"/>
      <c r="J2562" s="81"/>
      <c r="K2562" s="81"/>
      <c r="L2562" s="499"/>
      <c r="M2562" s="73"/>
      <c r="Q2562" s="73"/>
      <c r="R2562" s="176"/>
      <c r="S2562" s="176"/>
      <c r="T2562" s="176"/>
      <c r="X2562" s="167"/>
      <c r="BX2562" s="769"/>
      <c r="BY2562"/>
      <c r="BZ2562"/>
      <c r="CA2562"/>
      <c r="CB2562"/>
      <c r="CC2562"/>
      <c r="CD2562"/>
      <c r="CE2562"/>
      <c r="CF2562"/>
      <c r="CG2562"/>
      <c r="CH2562"/>
      <c r="CI2562"/>
      <c r="CJ2562"/>
      <c r="CK2562"/>
      <c r="CL2562"/>
      <c r="CM2562"/>
    </row>
    <row r="2563" spans="1:91" x14ac:dyDescent="0.2">
      <c r="A2563"/>
      <c r="B2563"/>
      <c r="C2563" s="45"/>
      <c r="E2563" s="650"/>
      <c r="F2563" s="650"/>
      <c r="G2563" s="73"/>
      <c r="H2563" s="45"/>
      <c r="I2563" s="111"/>
      <c r="J2563" s="81"/>
      <c r="K2563" s="81"/>
      <c r="L2563" s="499"/>
      <c r="M2563" s="73"/>
      <c r="Q2563" s="73"/>
      <c r="R2563" s="176"/>
      <c r="S2563" s="176"/>
      <c r="T2563" s="176"/>
      <c r="X2563" s="167"/>
      <c r="BX2563" s="769"/>
      <c r="BY2563"/>
      <c r="BZ2563"/>
      <c r="CA2563"/>
      <c r="CB2563"/>
      <c r="CC2563"/>
      <c r="CD2563"/>
      <c r="CE2563"/>
      <c r="CF2563"/>
      <c r="CG2563"/>
      <c r="CH2563"/>
      <c r="CI2563"/>
      <c r="CJ2563"/>
      <c r="CK2563"/>
      <c r="CL2563"/>
      <c r="CM2563"/>
    </row>
    <row r="2564" spans="1:91" x14ac:dyDescent="0.2">
      <c r="A2564"/>
      <c r="B2564"/>
      <c r="C2564" s="45"/>
      <c r="E2564" s="650"/>
      <c r="F2564" s="650"/>
      <c r="G2564" s="73"/>
      <c r="H2564" s="45"/>
      <c r="I2564" s="111"/>
      <c r="J2564" s="81"/>
      <c r="K2564" s="81"/>
      <c r="L2564" s="499"/>
      <c r="M2564" s="73"/>
      <c r="Q2564" s="73"/>
      <c r="R2564" s="176"/>
      <c r="S2564" s="176"/>
      <c r="T2564" s="176"/>
      <c r="X2564" s="167"/>
      <c r="BX2564" s="769"/>
      <c r="BY2564"/>
      <c r="BZ2564"/>
      <c r="CA2564"/>
      <c r="CB2564"/>
      <c r="CC2564"/>
      <c r="CD2564"/>
      <c r="CE2564"/>
      <c r="CF2564"/>
      <c r="CG2564"/>
      <c r="CH2564"/>
      <c r="CI2564"/>
      <c r="CJ2564"/>
      <c r="CK2564"/>
      <c r="CL2564"/>
      <c r="CM2564"/>
    </row>
    <row r="2565" spans="1:91" x14ac:dyDescent="0.2">
      <c r="A2565"/>
      <c r="B2565"/>
      <c r="C2565" s="45"/>
      <c r="E2565" s="650"/>
      <c r="F2565" s="650"/>
      <c r="G2565" s="73"/>
      <c r="H2565" s="45"/>
      <c r="I2565" s="111"/>
      <c r="J2565" s="81"/>
      <c r="K2565" s="81"/>
      <c r="L2565" s="499"/>
      <c r="M2565" s="73"/>
      <c r="Q2565" s="73"/>
      <c r="R2565" s="176"/>
      <c r="S2565" s="176"/>
      <c r="T2565" s="176"/>
      <c r="X2565" s="167"/>
      <c r="BX2565" s="769"/>
      <c r="BY2565"/>
      <c r="BZ2565"/>
      <c r="CA2565"/>
      <c r="CB2565"/>
      <c r="CC2565"/>
      <c r="CD2565"/>
      <c r="CE2565"/>
      <c r="CF2565"/>
      <c r="CG2565"/>
      <c r="CH2565"/>
      <c r="CI2565"/>
      <c r="CJ2565"/>
      <c r="CK2565"/>
      <c r="CL2565"/>
      <c r="CM2565"/>
    </row>
    <row r="2566" spans="1:91" x14ac:dyDescent="0.2">
      <c r="A2566"/>
      <c r="B2566"/>
      <c r="C2566" s="45"/>
      <c r="E2566" s="650"/>
      <c r="F2566" s="650"/>
      <c r="G2566" s="73"/>
      <c r="H2566" s="45"/>
      <c r="I2566" s="111"/>
      <c r="J2566" s="81"/>
      <c r="K2566" s="81"/>
      <c r="L2566" s="499"/>
      <c r="M2566" s="73"/>
      <c r="Q2566" s="73"/>
      <c r="R2566" s="176"/>
      <c r="S2566" s="176"/>
      <c r="T2566" s="176"/>
      <c r="X2566" s="167"/>
      <c r="BX2566" s="769"/>
      <c r="BY2566"/>
      <c r="BZ2566"/>
      <c r="CA2566"/>
      <c r="CB2566"/>
      <c r="CC2566"/>
      <c r="CD2566"/>
      <c r="CE2566"/>
      <c r="CF2566"/>
      <c r="CG2566"/>
      <c r="CH2566"/>
      <c r="CI2566"/>
      <c r="CJ2566"/>
      <c r="CK2566"/>
      <c r="CL2566"/>
      <c r="CM2566"/>
    </row>
    <row r="2567" spans="1:91" x14ac:dyDescent="0.2">
      <c r="A2567"/>
      <c r="B2567"/>
      <c r="C2567" s="45"/>
      <c r="E2567" s="650"/>
      <c r="F2567" s="650"/>
      <c r="G2567" s="73"/>
      <c r="H2567" s="45"/>
      <c r="I2567" s="111"/>
      <c r="J2567" s="81"/>
      <c r="K2567" s="81"/>
      <c r="L2567" s="499"/>
      <c r="M2567" s="73"/>
      <c r="Q2567" s="73"/>
      <c r="R2567" s="176"/>
      <c r="S2567" s="176"/>
      <c r="T2567" s="176"/>
      <c r="X2567" s="167"/>
      <c r="BX2567" s="769"/>
      <c r="BY2567"/>
      <c r="BZ2567"/>
      <c r="CA2567"/>
      <c r="CB2567"/>
      <c r="CC2567"/>
      <c r="CD2567"/>
      <c r="CE2567"/>
      <c r="CF2567"/>
      <c r="CG2567"/>
      <c r="CH2567"/>
      <c r="CI2567"/>
      <c r="CJ2567"/>
      <c r="CK2567"/>
      <c r="CL2567"/>
      <c r="CM2567"/>
    </row>
    <row r="2568" spans="1:91" x14ac:dyDescent="0.2">
      <c r="A2568"/>
      <c r="B2568"/>
      <c r="C2568" s="45"/>
      <c r="E2568" s="650"/>
      <c r="F2568" s="650"/>
      <c r="G2568" s="73"/>
      <c r="H2568" s="45"/>
      <c r="I2568" s="111"/>
      <c r="J2568" s="81"/>
      <c r="K2568" s="81"/>
      <c r="L2568" s="499"/>
      <c r="M2568" s="73"/>
      <c r="Q2568" s="73"/>
      <c r="R2568" s="176"/>
      <c r="S2568" s="176"/>
      <c r="T2568" s="176"/>
      <c r="X2568" s="167"/>
      <c r="BX2568" s="769"/>
      <c r="BY2568"/>
      <c r="BZ2568"/>
      <c r="CA2568"/>
      <c r="CB2568"/>
      <c r="CC2568"/>
      <c r="CD2568"/>
      <c r="CE2568"/>
      <c r="CF2568"/>
      <c r="CG2568"/>
      <c r="CH2568"/>
      <c r="CI2568"/>
      <c r="CJ2568"/>
      <c r="CK2568"/>
      <c r="CL2568"/>
      <c r="CM2568"/>
    </row>
    <row r="2569" spans="1:91" x14ac:dyDescent="0.2">
      <c r="A2569"/>
      <c r="B2569"/>
      <c r="C2569" s="45"/>
      <c r="E2569" s="650"/>
      <c r="F2569" s="650"/>
      <c r="G2569" s="73"/>
      <c r="H2569" s="45"/>
      <c r="I2569" s="111"/>
      <c r="J2569" s="81"/>
      <c r="K2569" s="81"/>
      <c r="L2569" s="499"/>
      <c r="M2569" s="73"/>
      <c r="Q2569" s="73"/>
      <c r="R2569" s="176"/>
      <c r="S2569" s="176"/>
      <c r="T2569" s="176"/>
      <c r="X2569" s="167"/>
      <c r="BX2569" s="769"/>
      <c r="BY2569"/>
      <c r="BZ2569"/>
      <c r="CA2569"/>
      <c r="CB2569"/>
      <c r="CC2569"/>
      <c r="CD2569"/>
      <c r="CE2569"/>
      <c r="CF2569"/>
      <c r="CG2569"/>
      <c r="CH2569"/>
      <c r="CI2569"/>
      <c r="CJ2569"/>
      <c r="CK2569"/>
      <c r="CL2569"/>
      <c r="CM2569"/>
    </row>
    <row r="2570" spans="1:91" x14ac:dyDescent="0.2">
      <c r="A2570"/>
      <c r="B2570"/>
      <c r="C2570" s="45"/>
      <c r="E2570" s="650"/>
      <c r="F2570" s="650"/>
      <c r="G2570" s="73"/>
      <c r="H2570" s="45"/>
      <c r="I2570" s="111"/>
      <c r="J2570" s="81"/>
      <c r="K2570" s="81"/>
      <c r="L2570" s="499"/>
      <c r="M2570" s="73"/>
      <c r="Q2570" s="73"/>
      <c r="R2570" s="176"/>
      <c r="S2570" s="176"/>
      <c r="T2570" s="176"/>
      <c r="X2570" s="167"/>
      <c r="BX2570" s="769"/>
      <c r="BY2570"/>
      <c r="BZ2570"/>
      <c r="CA2570"/>
      <c r="CB2570"/>
      <c r="CC2570"/>
      <c r="CD2570"/>
      <c r="CE2570"/>
      <c r="CF2570"/>
      <c r="CG2570"/>
      <c r="CH2570"/>
      <c r="CI2570"/>
      <c r="CJ2570"/>
      <c r="CK2570"/>
      <c r="CL2570"/>
      <c r="CM2570"/>
    </row>
    <row r="2571" spans="1:91" x14ac:dyDescent="0.2">
      <c r="A2571"/>
      <c r="B2571"/>
      <c r="C2571" s="45"/>
      <c r="E2571" s="650"/>
      <c r="F2571" s="650"/>
      <c r="G2571" s="73"/>
      <c r="H2571" s="45"/>
      <c r="I2571" s="111"/>
      <c r="J2571" s="81"/>
      <c r="K2571" s="81"/>
      <c r="L2571" s="499"/>
      <c r="M2571" s="73"/>
      <c r="Q2571" s="73"/>
      <c r="R2571" s="176"/>
      <c r="S2571" s="176"/>
      <c r="T2571" s="176"/>
      <c r="X2571" s="167"/>
      <c r="BX2571" s="769"/>
      <c r="BY2571"/>
      <c r="BZ2571"/>
      <c r="CA2571"/>
      <c r="CB2571"/>
      <c r="CC2571"/>
      <c r="CD2571"/>
      <c r="CE2571"/>
      <c r="CF2571"/>
      <c r="CG2571"/>
      <c r="CH2571"/>
      <c r="CI2571"/>
      <c r="CJ2571"/>
      <c r="CK2571"/>
      <c r="CL2571"/>
      <c r="CM2571"/>
    </row>
    <row r="2572" spans="1:91" x14ac:dyDescent="0.2">
      <c r="A2572"/>
      <c r="B2572"/>
      <c r="C2572" s="45"/>
      <c r="E2572" s="650"/>
      <c r="F2572" s="650"/>
      <c r="G2572" s="73"/>
      <c r="H2572" s="45"/>
      <c r="I2572" s="111"/>
      <c r="J2572" s="81"/>
      <c r="K2572" s="81"/>
      <c r="L2572" s="499"/>
      <c r="M2572" s="73"/>
      <c r="Q2572" s="73"/>
      <c r="R2572" s="176"/>
      <c r="S2572" s="176"/>
      <c r="T2572" s="176"/>
      <c r="X2572" s="167"/>
      <c r="BX2572" s="769"/>
      <c r="BY2572"/>
      <c r="BZ2572"/>
      <c r="CA2572"/>
      <c r="CB2572"/>
      <c r="CC2572"/>
      <c r="CD2572"/>
      <c r="CE2572"/>
      <c r="CF2572"/>
      <c r="CG2572"/>
      <c r="CH2572"/>
      <c r="CI2572"/>
      <c r="CJ2572"/>
      <c r="CK2572"/>
      <c r="CL2572"/>
      <c r="CM2572"/>
    </row>
    <row r="2573" spans="1:91" x14ac:dyDescent="0.2">
      <c r="A2573"/>
      <c r="B2573"/>
      <c r="C2573" s="45"/>
      <c r="E2573" s="650"/>
      <c r="F2573" s="650"/>
      <c r="G2573" s="73"/>
      <c r="H2573" s="45"/>
      <c r="I2573" s="111"/>
      <c r="J2573" s="81"/>
      <c r="K2573" s="81"/>
      <c r="L2573" s="499"/>
      <c r="M2573" s="73"/>
      <c r="Q2573" s="73"/>
      <c r="R2573" s="176"/>
      <c r="S2573" s="176"/>
      <c r="T2573" s="176"/>
      <c r="X2573" s="167"/>
      <c r="BX2573" s="769"/>
      <c r="BY2573"/>
      <c r="BZ2573"/>
      <c r="CA2573"/>
      <c r="CB2573"/>
      <c r="CC2573"/>
      <c r="CD2573"/>
      <c r="CE2573"/>
      <c r="CF2573"/>
      <c r="CG2573"/>
      <c r="CH2573"/>
      <c r="CI2573"/>
      <c r="CJ2573"/>
      <c r="CK2573"/>
      <c r="CL2573"/>
      <c r="CM2573"/>
    </row>
    <row r="2574" spans="1:91" x14ac:dyDescent="0.2">
      <c r="A2574"/>
      <c r="B2574"/>
      <c r="C2574" s="45"/>
      <c r="E2574" s="650"/>
      <c r="F2574" s="650"/>
      <c r="G2574" s="73"/>
      <c r="H2574" s="45"/>
      <c r="I2574" s="111"/>
      <c r="J2574" s="81"/>
      <c r="K2574" s="81"/>
      <c r="L2574" s="499"/>
      <c r="M2574" s="73"/>
      <c r="Q2574" s="73"/>
      <c r="R2574" s="176"/>
      <c r="S2574" s="176"/>
      <c r="T2574" s="176"/>
      <c r="X2574" s="167"/>
      <c r="BX2574" s="769"/>
      <c r="BY2574"/>
      <c r="BZ2574"/>
      <c r="CA2574"/>
      <c r="CB2574"/>
      <c r="CC2574"/>
      <c r="CD2574"/>
      <c r="CE2574"/>
      <c r="CF2574"/>
      <c r="CG2574"/>
      <c r="CH2574"/>
      <c r="CI2574"/>
      <c r="CJ2574"/>
      <c r="CK2574"/>
      <c r="CL2574"/>
      <c r="CM2574"/>
    </row>
    <row r="2575" spans="1:91" x14ac:dyDescent="0.2">
      <c r="A2575"/>
      <c r="B2575"/>
      <c r="C2575" s="45"/>
      <c r="E2575" s="650"/>
      <c r="F2575" s="650"/>
      <c r="G2575" s="73"/>
      <c r="H2575" s="45"/>
      <c r="I2575" s="111"/>
      <c r="J2575" s="81"/>
      <c r="K2575" s="81"/>
      <c r="L2575" s="499"/>
      <c r="M2575" s="73"/>
      <c r="Q2575" s="73"/>
      <c r="R2575" s="176"/>
      <c r="S2575" s="176"/>
      <c r="T2575" s="176"/>
      <c r="X2575" s="167"/>
      <c r="BX2575" s="769"/>
      <c r="BY2575"/>
      <c r="BZ2575"/>
      <c r="CA2575"/>
      <c r="CB2575"/>
      <c r="CC2575"/>
      <c r="CD2575"/>
      <c r="CE2575"/>
      <c r="CF2575"/>
      <c r="CG2575"/>
      <c r="CH2575"/>
      <c r="CI2575"/>
      <c r="CJ2575"/>
      <c r="CK2575"/>
      <c r="CL2575"/>
      <c r="CM2575"/>
    </row>
    <row r="2576" spans="1:91" x14ac:dyDescent="0.2">
      <c r="A2576"/>
      <c r="B2576"/>
      <c r="C2576" s="45"/>
      <c r="E2576" s="650"/>
      <c r="F2576" s="650"/>
      <c r="G2576" s="73"/>
      <c r="H2576" s="45"/>
      <c r="I2576" s="111"/>
      <c r="J2576" s="81"/>
      <c r="K2576" s="81"/>
      <c r="L2576" s="499"/>
      <c r="M2576" s="73"/>
      <c r="Q2576" s="73"/>
      <c r="R2576" s="176"/>
      <c r="S2576" s="176"/>
      <c r="T2576" s="176"/>
      <c r="X2576" s="167"/>
      <c r="BX2576" s="769"/>
      <c r="BY2576"/>
      <c r="BZ2576"/>
      <c r="CA2576"/>
      <c r="CB2576"/>
      <c r="CC2576"/>
      <c r="CD2576"/>
      <c r="CE2576"/>
      <c r="CF2576"/>
      <c r="CG2576"/>
      <c r="CH2576"/>
      <c r="CI2576"/>
      <c r="CJ2576"/>
      <c r="CK2576"/>
      <c r="CL2576"/>
      <c r="CM2576"/>
    </row>
    <row r="2577" spans="1:91" x14ac:dyDescent="0.2">
      <c r="A2577"/>
      <c r="B2577"/>
      <c r="C2577" s="45"/>
      <c r="E2577" s="650"/>
      <c r="F2577" s="650"/>
      <c r="G2577" s="73"/>
      <c r="H2577" s="45"/>
      <c r="I2577" s="111"/>
      <c r="J2577" s="81"/>
      <c r="K2577" s="81"/>
      <c r="L2577" s="499"/>
      <c r="M2577" s="73"/>
      <c r="Q2577" s="73"/>
      <c r="R2577" s="176"/>
      <c r="S2577" s="176"/>
      <c r="T2577" s="176"/>
      <c r="X2577" s="167"/>
      <c r="BX2577" s="769"/>
      <c r="BY2577"/>
      <c r="BZ2577"/>
      <c r="CA2577"/>
      <c r="CB2577"/>
      <c r="CC2577"/>
      <c r="CD2577"/>
      <c r="CE2577"/>
      <c r="CF2577"/>
      <c r="CG2577"/>
      <c r="CH2577"/>
      <c r="CI2577"/>
      <c r="CJ2577"/>
      <c r="CK2577"/>
      <c r="CL2577"/>
      <c r="CM2577"/>
    </row>
    <row r="2578" spans="1:91" x14ac:dyDescent="0.2">
      <c r="A2578"/>
      <c r="B2578"/>
      <c r="C2578" s="45"/>
      <c r="E2578" s="650"/>
      <c r="F2578" s="650"/>
      <c r="G2578" s="73"/>
      <c r="H2578" s="45"/>
      <c r="I2578" s="111"/>
      <c r="J2578" s="81"/>
      <c r="K2578" s="81"/>
      <c r="L2578" s="499"/>
      <c r="M2578" s="73"/>
      <c r="Q2578" s="73"/>
      <c r="R2578" s="176"/>
      <c r="S2578" s="176"/>
      <c r="T2578" s="176"/>
      <c r="X2578" s="167"/>
      <c r="BX2578" s="769"/>
      <c r="BY2578"/>
      <c r="BZ2578"/>
      <c r="CA2578"/>
      <c r="CB2578"/>
      <c r="CC2578"/>
      <c r="CD2578"/>
      <c r="CE2578"/>
      <c r="CF2578"/>
      <c r="CG2578"/>
      <c r="CH2578"/>
      <c r="CI2578"/>
      <c r="CJ2578"/>
      <c r="CK2578"/>
      <c r="CL2578"/>
      <c r="CM2578"/>
    </row>
    <row r="2579" spans="1:91" x14ac:dyDescent="0.2">
      <c r="A2579"/>
      <c r="B2579"/>
      <c r="C2579" s="45"/>
      <c r="E2579" s="650"/>
      <c r="F2579" s="650"/>
      <c r="G2579" s="73"/>
      <c r="H2579" s="45"/>
      <c r="I2579" s="111"/>
      <c r="J2579" s="81"/>
      <c r="K2579" s="81"/>
      <c r="L2579" s="499"/>
      <c r="M2579" s="73"/>
      <c r="Q2579" s="73"/>
      <c r="R2579" s="176"/>
      <c r="S2579" s="176"/>
      <c r="T2579" s="176"/>
      <c r="X2579" s="167"/>
      <c r="BX2579" s="769"/>
      <c r="BY2579"/>
      <c r="BZ2579"/>
      <c r="CA2579"/>
      <c r="CB2579"/>
      <c r="CC2579"/>
      <c r="CD2579"/>
      <c r="CE2579"/>
      <c r="CF2579"/>
      <c r="CG2579"/>
      <c r="CH2579"/>
      <c r="CI2579"/>
      <c r="CJ2579"/>
      <c r="CK2579"/>
      <c r="CL2579"/>
      <c r="CM2579"/>
    </row>
    <row r="2580" spans="1:91" x14ac:dyDescent="0.2">
      <c r="A2580"/>
      <c r="B2580"/>
      <c r="C2580" s="45"/>
      <c r="E2580" s="650"/>
      <c r="F2580" s="650"/>
      <c r="G2580" s="73"/>
      <c r="H2580" s="45"/>
      <c r="I2580" s="111"/>
      <c r="J2580" s="81"/>
      <c r="K2580" s="81"/>
      <c r="L2580" s="499"/>
      <c r="M2580" s="73"/>
      <c r="Q2580" s="73"/>
      <c r="R2580" s="176"/>
      <c r="S2580" s="176"/>
      <c r="T2580" s="176"/>
      <c r="X2580" s="167"/>
      <c r="BX2580" s="769"/>
      <c r="BY2580"/>
      <c r="BZ2580"/>
      <c r="CA2580"/>
      <c r="CB2580"/>
      <c r="CC2580"/>
      <c r="CD2580"/>
      <c r="CE2580"/>
      <c r="CF2580"/>
      <c r="CG2580"/>
      <c r="CH2580"/>
      <c r="CI2580"/>
      <c r="CJ2580"/>
      <c r="CK2580"/>
      <c r="CL2580"/>
      <c r="CM2580"/>
    </row>
    <row r="2581" spans="1:91" x14ac:dyDescent="0.2">
      <c r="A2581"/>
      <c r="B2581"/>
      <c r="C2581" s="45"/>
      <c r="E2581" s="650"/>
      <c r="F2581" s="650"/>
      <c r="G2581" s="73"/>
      <c r="H2581" s="45"/>
      <c r="I2581" s="111"/>
      <c r="J2581" s="81"/>
      <c r="K2581" s="81"/>
      <c r="L2581" s="499"/>
      <c r="M2581" s="73"/>
      <c r="Q2581" s="73"/>
      <c r="R2581" s="176"/>
      <c r="S2581" s="176"/>
      <c r="T2581" s="176"/>
      <c r="X2581" s="167"/>
      <c r="BX2581" s="769"/>
      <c r="BY2581"/>
      <c r="BZ2581"/>
      <c r="CA2581"/>
      <c r="CB2581"/>
      <c r="CC2581"/>
      <c r="CD2581"/>
      <c r="CE2581"/>
      <c r="CF2581"/>
      <c r="CG2581"/>
      <c r="CH2581"/>
      <c r="CI2581"/>
      <c r="CJ2581"/>
      <c r="CK2581"/>
      <c r="CL2581"/>
      <c r="CM2581"/>
    </row>
    <row r="2582" spans="1:91" x14ac:dyDescent="0.2">
      <c r="A2582"/>
      <c r="B2582"/>
      <c r="C2582" s="45"/>
      <c r="E2582" s="650"/>
      <c r="F2582" s="650"/>
      <c r="G2582" s="73"/>
      <c r="H2582" s="45"/>
      <c r="I2582" s="111"/>
      <c r="J2582" s="81"/>
      <c r="K2582" s="81"/>
      <c r="L2582" s="499"/>
      <c r="M2582" s="73"/>
      <c r="Q2582" s="73"/>
      <c r="R2582" s="176"/>
      <c r="S2582" s="176"/>
      <c r="T2582" s="176"/>
      <c r="X2582" s="167"/>
      <c r="BX2582" s="769"/>
      <c r="BY2582"/>
      <c r="BZ2582"/>
      <c r="CA2582"/>
      <c r="CB2582"/>
      <c r="CC2582"/>
      <c r="CD2582"/>
      <c r="CE2582"/>
      <c r="CF2582"/>
      <c r="CG2582"/>
      <c r="CH2582"/>
      <c r="CI2582"/>
      <c r="CJ2582"/>
      <c r="CK2582"/>
      <c r="CL2582"/>
      <c r="CM2582"/>
    </row>
    <row r="2583" spans="1:91" x14ac:dyDescent="0.2">
      <c r="A2583"/>
      <c r="B2583"/>
      <c r="C2583" s="45"/>
      <c r="E2583" s="650"/>
      <c r="F2583" s="650"/>
      <c r="G2583" s="73"/>
      <c r="H2583" s="45"/>
      <c r="I2583" s="111"/>
      <c r="J2583" s="81"/>
      <c r="K2583" s="81"/>
      <c r="L2583" s="499"/>
      <c r="M2583" s="73"/>
      <c r="Q2583" s="73"/>
      <c r="R2583" s="176"/>
      <c r="S2583" s="176"/>
      <c r="T2583" s="176"/>
      <c r="X2583" s="167"/>
      <c r="BX2583" s="769"/>
      <c r="BY2583"/>
      <c r="BZ2583"/>
      <c r="CA2583"/>
      <c r="CB2583"/>
      <c r="CC2583"/>
      <c r="CD2583"/>
      <c r="CE2583"/>
      <c r="CF2583"/>
      <c r="CG2583"/>
      <c r="CH2583"/>
      <c r="CI2583"/>
      <c r="CJ2583"/>
      <c r="CK2583"/>
      <c r="CL2583"/>
      <c r="CM2583"/>
    </row>
    <row r="2584" spans="1:91" x14ac:dyDescent="0.2">
      <c r="A2584"/>
      <c r="B2584"/>
      <c r="C2584" s="45"/>
      <c r="E2584" s="650"/>
      <c r="F2584" s="650"/>
      <c r="G2584" s="73"/>
      <c r="H2584" s="45"/>
      <c r="I2584" s="111"/>
      <c r="J2584" s="81"/>
      <c r="K2584" s="81"/>
      <c r="L2584" s="499"/>
      <c r="M2584" s="73"/>
      <c r="Q2584" s="73"/>
      <c r="R2584" s="176"/>
      <c r="S2584" s="176"/>
      <c r="T2584" s="176"/>
      <c r="X2584" s="167"/>
      <c r="BX2584" s="769"/>
      <c r="BY2584"/>
      <c r="BZ2584"/>
      <c r="CA2584"/>
      <c r="CB2584"/>
      <c r="CC2584"/>
      <c r="CD2584"/>
      <c r="CE2584"/>
      <c r="CF2584"/>
      <c r="CG2584"/>
      <c r="CH2584"/>
      <c r="CI2584"/>
      <c r="CJ2584"/>
      <c r="CK2584"/>
      <c r="CL2584"/>
      <c r="CM2584"/>
    </row>
    <row r="2585" spans="1:91" x14ac:dyDescent="0.2">
      <c r="A2585"/>
      <c r="B2585"/>
      <c r="C2585" s="45"/>
      <c r="E2585" s="650"/>
      <c r="F2585" s="650"/>
      <c r="G2585" s="73"/>
      <c r="H2585" s="45"/>
      <c r="I2585" s="111"/>
      <c r="J2585" s="81"/>
      <c r="K2585" s="81"/>
      <c r="L2585" s="499"/>
      <c r="M2585" s="73"/>
      <c r="Q2585" s="73"/>
      <c r="R2585" s="176"/>
      <c r="S2585" s="176"/>
      <c r="T2585" s="176"/>
      <c r="X2585" s="167"/>
      <c r="BX2585" s="769"/>
      <c r="BY2585"/>
      <c r="BZ2585"/>
      <c r="CA2585"/>
      <c r="CB2585"/>
      <c r="CC2585"/>
      <c r="CD2585"/>
      <c r="CE2585"/>
      <c r="CF2585"/>
      <c r="CG2585"/>
      <c r="CH2585"/>
      <c r="CI2585"/>
      <c r="CJ2585"/>
      <c r="CK2585"/>
      <c r="CL2585"/>
      <c r="CM2585"/>
    </row>
    <row r="2586" spans="1:91" x14ac:dyDescent="0.2">
      <c r="A2586"/>
      <c r="B2586"/>
      <c r="C2586" s="45"/>
      <c r="E2586" s="650"/>
      <c r="F2586" s="650"/>
      <c r="G2586" s="73"/>
      <c r="H2586" s="45"/>
      <c r="I2586" s="111"/>
      <c r="J2586" s="81"/>
      <c r="K2586" s="81"/>
      <c r="L2586" s="499"/>
      <c r="M2586" s="73"/>
      <c r="Q2586" s="73"/>
      <c r="R2586" s="176"/>
      <c r="S2586" s="176"/>
      <c r="T2586" s="176"/>
      <c r="X2586" s="167"/>
      <c r="BX2586" s="769"/>
      <c r="BY2586"/>
      <c r="BZ2586"/>
      <c r="CA2586"/>
      <c r="CB2586"/>
      <c r="CC2586"/>
      <c r="CD2586"/>
      <c r="CE2586"/>
      <c r="CF2586"/>
      <c r="CG2586"/>
      <c r="CH2586"/>
      <c r="CI2586"/>
      <c r="CJ2586"/>
      <c r="CK2586"/>
      <c r="CL2586"/>
      <c r="CM2586"/>
    </row>
    <row r="2587" spans="1:91" x14ac:dyDescent="0.2">
      <c r="A2587"/>
      <c r="B2587"/>
      <c r="C2587" s="45"/>
      <c r="E2587" s="650"/>
      <c r="F2587" s="650"/>
      <c r="G2587" s="73"/>
      <c r="H2587" s="45"/>
      <c r="I2587" s="111"/>
      <c r="J2587" s="81"/>
      <c r="K2587" s="81"/>
      <c r="L2587" s="499"/>
      <c r="M2587" s="73"/>
      <c r="Q2587" s="73"/>
      <c r="R2587" s="176"/>
      <c r="S2587" s="176"/>
      <c r="T2587" s="176"/>
      <c r="X2587" s="167"/>
      <c r="BX2587" s="769"/>
      <c r="BY2587"/>
      <c r="BZ2587"/>
      <c r="CA2587"/>
      <c r="CB2587"/>
      <c r="CC2587"/>
      <c r="CD2587"/>
      <c r="CE2587"/>
      <c r="CF2587"/>
      <c r="CG2587"/>
      <c r="CH2587"/>
      <c r="CI2587"/>
      <c r="CJ2587"/>
      <c r="CK2587"/>
      <c r="CL2587"/>
      <c r="CM2587"/>
    </row>
    <row r="2588" spans="1:91" x14ac:dyDescent="0.2">
      <c r="A2588"/>
      <c r="B2588"/>
      <c r="C2588" s="45"/>
      <c r="E2588" s="650"/>
      <c r="F2588" s="650"/>
      <c r="G2588" s="73"/>
      <c r="H2588" s="45"/>
      <c r="I2588" s="111"/>
      <c r="J2588" s="81"/>
      <c r="K2588" s="81"/>
      <c r="L2588" s="499"/>
      <c r="M2588" s="73"/>
      <c r="Q2588" s="73"/>
      <c r="R2588" s="176"/>
      <c r="S2588" s="176"/>
      <c r="T2588" s="176"/>
      <c r="X2588" s="167"/>
      <c r="BX2588" s="769"/>
      <c r="BY2588"/>
      <c r="BZ2588"/>
      <c r="CA2588"/>
      <c r="CB2588"/>
      <c r="CC2588"/>
      <c r="CD2588"/>
      <c r="CE2588"/>
      <c r="CF2588"/>
      <c r="CG2588"/>
      <c r="CH2588"/>
      <c r="CI2588"/>
      <c r="CJ2588"/>
      <c r="CK2588"/>
      <c r="CL2588"/>
      <c r="CM2588"/>
    </row>
    <row r="2589" spans="1:91" x14ac:dyDescent="0.2">
      <c r="A2589"/>
      <c r="B2589"/>
      <c r="C2589" s="45"/>
      <c r="E2589" s="650"/>
      <c r="F2589" s="650"/>
      <c r="G2589" s="73"/>
      <c r="H2589" s="45"/>
      <c r="I2589" s="111"/>
      <c r="J2589" s="81"/>
      <c r="K2589" s="81"/>
      <c r="L2589" s="499"/>
      <c r="M2589" s="73"/>
      <c r="Q2589" s="73"/>
      <c r="R2589" s="176"/>
      <c r="S2589" s="176"/>
      <c r="T2589" s="176"/>
      <c r="X2589" s="167"/>
      <c r="BX2589" s="769"/>
      <c r="BY2589"/>
      <c r="BZ2589"/>
      <c r="CA2589"/>
      <c r="CB2589"/>
      <c r="CC2589"/>
      <c r="CD2589"/>
      <c r="CE2589"/>
      <c r="CF2589"/>
      <c r="CG2589"/>
      <c r="CH2589"/>
      <c r="CI2589"/>
      <c r="CJ2589"/>
      <c r="CK2589"/>
      <c r="CL2589"/>
      <c r="CM2589"/>
    </row>
    <row r="2590" spans="1:91" x14ac:dyDescent="0.2">
      <c r="A2590"/>
      <c r="B2590"/>
      <c r="C2590" s="45"/>
      <c r="E2590" s="650"/>
      <c r="F2590" s="650"/>
      <c r="G2590" s="73"/>
      <c r="H2590" s="45"/>
      <c r="I2590" s="111"/>
      <c r="J2590" s="81"/>
      <c r="K2590" s="81"/>
      <c r="L2590" s="499"/>
      <c r="M2590" s="73"/>
      <c r="Q2590" s="73"/>
      <c r="R2590" s="176"/>
      <c r="S2590" s="176"/>
      <c r="T2590" s="176"/>
      <c r="X2590" s="167"/>
      <c r="BX2590" s="769"/>
      <c r="BY2590"/>
      <c r="BZ2590"/>
      <c r="CA2590"/>
      <c r="CB2590"/>
      <c r="CC2590"/>
      <c r="CD2590"/>
      <c r="CE2590"/>
      <c r="CF2590"/>
      <c r="CG2590"/>
      <c r="CH2590"/>
      <c r="CI2590"/>
      <c r="CJ2590"/>
      <c r="CK2590"/>
      <c r="CL2590"/>
      <c r="CM2590"/>
    </row>
    <row r="2591" spans="1:91" x14ac:dyDescent="0.2">
      <c r="A2591"/>
      <c r="B2591"/>
      <c r="C2591" s="45"/>
      <c r="E2591" s="650"/>
      <c r="F2591" s="650"/>
      <c r="G2591" s="73"/>
      <c r="H2591" s="45"/>
      <c r="I2591" s="111"/>
      <c r="J2591" s="81"/>
      <c r="K2591" s="81"/>
      <c r="L2591" s="499"/>
      <c r="M2591" s="73"/>
      <c r="Q2591" s="73"/>
      <c r="R2591" s="176"/>
      <c r="S2591" s="176"/>
      <c r="T2591" s="176"/>
      <c r="X2591" s="167"/>
      <c r="BX2591" s="769"/>
      <c r="BY2591"/>
      <c r="BZ2591"/>
      <c r="CA2591"/>
      <c r="CB2591"/>
      <c r="CC2591"/>
      <c r="CD2591"/>
      <c r="CE2591"/>
      <c r="CF2591"/>
      <c r="CG2591"/>
      <c r="CH2591"/>
      <c r="CI2591"/>
      <c r="CJ2591"/>
      <c r="CK2591"/>
      <c r="CL2591"/>
      <c r="CM2591"/>
    </row>
    <row r="2592" spans="1:91" x14ac:dyDescent="0.2">
      <c r="A2592"/>
      <c r="B2592"/>
      <c r="C2592" s="45"/>
      <c r="E2592" s="650"/>
      <c r="F2592" s="650"/>
      <c r="G2592" s="73"/>
      <c r="H2592" s="45"/>
      <c r="I2592" s="111"/>
      <c r="J2592" s="81"/>
      <c r="K2592" s="81"/>
      <c r="L2592" s="499"/>
      <c r="M2592" s="73"/>
      <c r="Q2592" s="73"/>
      <c r="R2592" s="176"/>
      <c r="S2592" s="176"/>
      <c r="T2592" s="176"/>
      <c r="X2592" s="167"/>
      <c r="BX2592" s="769"/>
      <c r="BY2592"/>
      <c r="BZ2592"/>
      <c r="CA2592"/>
      <c r="CB2592"/>
      <c r="CC2592"/>
      <c r="CD2592"/>
      <c r="CE2592"/>
      <c r="CF2592"/>
      <c r="CG2592"/>
      <c r="CH2592"/>
      <c r="CI2592"/>
      <c r="CJ2592"/>
      <c r="CK2592"/>
      <c r="CL2592"/>
      <c r="CM2592"/>
    </row>
    <row r="2593" spans="1:91" x14ac:dyDescent="0.2">
      <c r="A2593"/>
      <c r="B2593"/>
      <c r="C2593" s="45"/>
      <c r="E2593" s="650"/>
      <c r="F2593" s="650"/>
      <c r="G2593" s="73"/>
      <c r="H2593" s="45"/>
      <c r="I2593" s="111"/>
      <c r="J2593" s="81"/>
      <c r="K2593" s="81"/>
      <c r="L2593" s="499"/>
      <c r="M2593" s="73"/>
      <c r="Q2593" s="73"/>
      <c r="R2593" s="176"/>
      <c r="S2593" s="176"/>
      <c r="T2593" s="176"/>
      <c r="X2593" s="167"/>
      <c r="BX2593" s="769"/>
      <c r="BY2593"/>
      <c r="BZ2593"/>
      <c r="CA2593"/>
      <c r="CB2593"/>
      <c r="CC2593"/>
      <c r="CD2593"/>
      <c r="CE2593"/>
      <c r="CF2593"/>
      <c r="CG2593"/>
      <c r="CH2593"/>
      <c r="CI2593"/>
      <c r="CJ2593"/>
      <c r="CK2593"/>
      <c r="CL2593"/>
      <c r="CM2593"/>
    </row>
    <row r="2594" spans="1:91" x14ac:dyDescent="0.2">
      <c r="A2594"/>
      <c r="B2594"/>
      <c r="C2594" s="45"/>
      <c r="E2594" s="650"/>
      <c r="F2594" s="650"/>
      <c r="G2594" s="73"/>
      <c r="H2594" s="45"/>
      <c r="I2594" s="111"/>
      <c r="J2594" s="81"/>
      <c r="K2594" s="81"/>
      <c r="L2594" s="499"/>
      <c r="M2594" s="73"/>
      <c r="Q2594" s="73"/>
      <c r="R2594" s="176"/>
      <c r="S2594" s="176"/>
      <c r="T2594" s="176"/>
      <c r="X2594" s="167"/>
      <c r="BX2594" s="769"/>
      <c r="BY2594"/>
      <c r="BZ2594"/>
      <c r="CA2594"/>
      <c r="CB2594"/>
      <c r="CC2594"/>
      <c r="CD2594"/>
      <c r="CE2594"/>
      <c r="CF2594"/>
      <c r="CG2594"/>
      <c r="CH2594"/>
      <c r="CI2594"/>
      <c r="CJ2594"/>
      <c r="CK2594"/>
      <c r="CL2594"/>
      <c r="CM2594"/>
    </row>
    <row r="2595" spans="1:91" x14ac:dyDescent="0.2">
      <c r="A2595"/>
      <c r="B2595"/>
      <c r="C2595" s="45"/>
      <c r="E2595" s="650"/>
      <c r="F2595" s="650"/>
      <c r="G2595" s="73"/>
      <c r="H2595" s="45"/>
      <c r="I2595" s="111"/>
      <c r="J2595" s="81"/>
      <c r="K2595" s="81"/>
      <c r="L2595" s="499"/>
      <c r="M2595" s="73"/>
      <c r="Q2595" s="73"/>
      <c r="R2595" s="176"/>
      <c r="S2595" s="176"/>
      <c r="T2595" s="176"/>
      <c r="X2595" s="167"/>
      <c r="BX2595" s="769"/>
      <c r="BY2595"/>
      <c r="BZ2595"/>
      <c r="CA2595"/>
      <c r="CB2595"/>
      <c r="CC2595"/>
      <c r="CD2595"/>
      <c r="CE2595"/>
      <c r="CF2595"/>
      <c r="CG2595"/>
      <c r="CH2595"/>
      <c r="CI2595"/>
      <c r="CJ2595"/>
      <c r="CK2595"/>
      <c r="CL2595"/>
      <c r="CM2595"/>
    </row>
    <row r="2596" spans="1:91" x14ac:dyDescent="0.2">
      <c r="A2596"/>
      <c r="B2596"/>
      <c r="C2596" s="45"/>
      <c r="E2596" s="650"/>
      <c r="F2596" s="650"/>
      <c r="G2596" s="73"/>
      <c r="H2596" s="45"/>
      <c r="I2596" s="111"/>
      <c r="J2596" s="81"/>
      <c r="K2596" s="81"/>
      <c r="L2596" s="499"/>
      <c r="M2596" s="73"/>
      <c r="Q2596" s="73"/>
      <c r="R2596" s="176"/>
      <c r="S2596" s="176"/>
      <c r="T2596" s="176"/>
      <c r="X2596" s="167"/>
      <c r="BX2596" s="769"/>
      <c r="BY2596"/>
      <c r="BZ2596"/>
      <c r="CA2596"/>
      <c r="CB2596"/>
      <c r="CC2596"/>
      <c r="CD2596"/>
      <c r="CE2596"/>
      <c r="CF2596"/>
      <c r="CG2596"/>
      <c r="CH2596"/>
      <c r="CI2596"/>
      <c r="CJ2596"/>
      <c r="CK2596"/>
      <c r="CL2596"/>
      <c r="CM2596"/>
    </row>
    <row r="2597" spans="1:91" x14ac:dyDescent="0.2">
      <c r="A2597"/>
      <c r="B2597"/>
      <c r="C2597" s="45"/>
      <c r="E2597" s="650"/>
      <c r="F2597" s="650"/>
      <c r="G2597" s="73"/>
      <c r="H2597" s="45"/>
      <c r="I2597" s="111"/>
      <c r="J2597" s="81"/>
      <c r="K2597" s="81"/>
      <c r="L2597" s="499"/>
      <c r="M2597" s="73"/>
      <c r="Q2597" s="73"/>
      <c r="R2597" s="176"/>
      <c r="S2597" s="176"/>
      <c r="T2597" s="176"/>
      <c r="X2597" s="167"/>
      <c r="BX2597" s="769"/>
      <c r="BY2597"/>
      <c r="BZ2597"/>
      <c r="CA2597"/>
      <c r="CB2597"/>
      <c r="CC2597"/>
      <c r="CD2597"/>
      <c r="CE2597"/>
      <c r="CF2597"/>
      <c r="CG2597"/>
      <c r="CH2597"/>
      <c r="CI2597"/>
      <c r="CJ2597"/>
      <c r="CK2597"/>
      <c r="CL2597"/>
      <c r="CM2597"/>
    </row>
    <row r="2598" spans="1:91" x14ac:dyDescent="0.2">
      <c r="A2598"/>
      <c r="B2598"/>
      <c r="C2598" s="45"/>
      <c r="E2598" s="650"/>
      <c r="F2598" s="650"/>
      <c r="G2598" s="73"/>
      <c r="H2598" s="45"/>
      <c r="I2598" s="111"/>
      <c r="J2598" s="81"/>
      <c r="K2598" s="81"/>
      <c r="L2598" s="499"/>
      <c r="M2598" s="73"/>
      <c r="Q2598" s="73"/>
      <c r="R2598" s="176"/>
      <c r="S2598" s="176"/>
      <c r="T2598" s="176"/>
      <c r="X2598" s="167"/>
      <c r="BX2598" s="769"/>
      <c r="BY2598"/>
      <c r="BZ2598"/>
      <c r="CA2598"/>
      <c r="CB2598"/>
      <c r="CC2598"/>
      <c r="CD2598"/>
      <c r="CE2598"/>
      <c r="CF2598"/>
      <c r="CG2598"/>
      <c r="CH2598"/>
      <c r="CI2598"/>
      <c r="CJ2598"/>
      <c r="CK2598"/>
      <c r="CL2598"/>
      <c r="CM2598"/>
    </row>
    <row r="2599" spans="1:91" x14ac:dyDescent="0.2">
      <c r="A2599"/>
      <c r="B2599"/>
      <c r="C2599" s="45"/>
      <c r="E2599" s="650"/>
      <c r="F2599" s="650"/>
      <c r="G2599" s="73"/>
      <c r="H2599" s="45"/>
      <c r="I2599" s="111"/>
      <c r="J2599" s="81"/>
      <c r="K2599" s="81"/>
      <c r="L2599" s="499"/>
      <c r="M2599" s="73"/>
      <c r="Q2599" s="73"/>
      <c r="R2599" s="176"/>
      <c r="S2599" s="176"/>
      <c r="T2599" s="176"/>
      <c r="X2599" s="167"/>
      <c r="BX2599" s="769"/>
      <c r="BY2599"/>
      <c r="BZ2599"/>
      <c r="CA2599"/>
      <c r="CB2599"/>
      <c r="CC2599"/>
      <c r="CD2599"/>
      <c r="CE2599"/>
      <c r="CF2599"/>
      <c r="CG2599"/>
      <c r="CH2599"/>
      <c r="CI2599"/>
      <c r="CJ2599"/>
      <c r="CK2599"/>
      <c r="CL2599"/>
      <c r="CM2599"/>
    </row>
    <row r="2600" spans="1:91" x14ac:dyDescent="0.2">
      <c r="A2600"/>
      <c r="B2600"/>
      <c r="C2600" s="45"/>
      <c r="E2600" s="650"/>
      <c r="F2600" s="650"/>
      <c r="G2600" s="73"/>
      <c r="H2600" s="45"/>
      <c r="I2600" s="111"/>
      <c r="J2600" s="81"/>
      <c r="K2600" s="81"/>
      <c r="L2600" s="499"/>
      <c r="M2600" s="73"/>
      <c r="Q2600" s="73"/>
      <c r="R2600" s="176"/>
      <c r="S2600" s="176"/>
      <c r="T2600" s="176"/>
      <c r="X2600" s="167"/>
      <c r="BX2600" s="769"/>
      <c r="BY2600"/>
      <c r="BZ2600"/>
      <c r="CA2600"/>
      <c r="CB2600"/>
      <c r="CC2600"/>
      <c r="CD2600"/>
      <c r="CE2600"/>
      <c r="CF2600"/>
      <c r="CG2600"/>
      <c r="CH2600"/>
      <c r="CI2600"/>
      <c r="CJ2600"/>
      <c r="CK2600"/>
      <c r="CL2600"/>
      <c r="CM2600"/>
    </row>
    <row r="2601" spans="1:91" x14ac:dyDescent="0.2">
      <c r="A2601"/>
      <c r="B2601"/>
      <c r="C2601" s="45"/>
      <c r="E2601" s="650"/>
      <c r="F2601" s="650"/>
      <c r="G2601" s="73"/>
      <c r="H2601" s="45"/>
      <c r="I2601" s="111"/>
      <c r="J2601" s="81"/>
      <c r="K2601" s="81"/>
      <c r="L2601" s="499"/>
      <c r="M2601" s="73"/>
      <c r="Q2601" s="73"/>
      <c r="R2601" s="176"/>
      <c r="S2601" s="176"/>
      <c r="T2601" s="176"/>
      <c r="X2601" s="167"/>
      <c r="BX2601" s="769"/>
      <c r="BY2601"/>
      <c r="BZ2601"/>
      <c r="CA2601"/>
      <c r="CB2601"/>
      <c r="CC2601"/>
      <c r="CD2601"/>
      <c r="CE2601"/>
      <c r="CF2601"/>
      <c r="CG2601"/>
      <c r="CH2601"/>
      <c r="CI2601"/>
      <c r="CJ2601"/>
      <c r="CK2601"/>
      <c r="CL2601"/>
      <c r="CM2601"/>
    </row>
    <row r="2602" spans="1:91" x14ac:dyDescent="0.2">
      <c r="A2602"/>
      <c r="B2602"/>
      <c r="C2602" s="45"/>
      <c r="E2602" s="650"/>
      <c r="F2602" s="650"/>
      <c r="G2602" s="73"/>
      <c r="H2602" s="45"/>
      <c r="I2602" s="111"/>
      <c r="J2602" s="81"/>
      <c r="K2602" s="81"/>
      <c r="L2602" s="499"/>
      <c r="M2602" s="73"/>
      <c r="Q2602" s="73"/>
      <c r="R2602" s="176"/>
      <c r="S2602" s="176"/>
      <c r="T2602" s="176"/>
      <c r="X2602" s="167"/>
      <c r="BX2602" s="769"/>
      <c r="BY2602"/>
      <c r="BZ2602"/>
      <c r="CA2602"/>
      <c r="CB2602"/>
      <c r="CC2602"/>
      <c r="CD2602"/>
      <c r="CE2602"/>
      <c r="CF2602"/>
      <c r="CG2602"/>
      <c r="CH2602"/>
      <c r="CI2602"/>
      <c r="CJ2602"/>
      <c r="CK2602"/>
      <c r="CL2602"/>
      <c r="CM2602"/>
    </row>
    <row r="2603" spans="1:91" x14ac:dyDescent="0.2">
      <c r="A2603"/>
      <c r="B2603"/>
      <c r="C2603" s="45"/>
      <c r="E2603" s="650"/>
      <c r="F2603" s="650"/>
      <c r="G2603" s="73"/>
      <c r="H2603" s="45"/>
      <c r="I2603" s="111"/>
      <c r="J2603" s="81"/>
      <c r="K2603" s="81"/>
      <c r="L2603" s="499"/>
      <c r="M2603" s="73"/>
      <c r="Q2603" s="73"/>
      <c r="R2603" s="176"/>
      <c r="S2603" s="176"/>
      <c r="T2603" s="176"/>
      <c r="X2603" s="167"/>
      <c r="BX2603" s="769"/>
      <c r="BY2603"/>
      <c r="BZ2603"/>
      <c r="CA2603"/>
      <c r="CB2603"/>
      <c r="CC2603"/>
      <c r="CD2603"/>
      <c r="CE2603"/>
      <c r="CF2603"/>
      <c r="CG2603"/>
      <c r="CH2603"/>
      <c r="CI2603"/>
      <c r="CJ2603"/>
      <c r="CK2603"/>
      <c r="CL2603"/>
      <c r="CM2603"/>
    </row>
    <row r="2604" spans="1:91" x14ac:dyDescent="0.2">
      <c r="A2604"/>
      <c r="B2604"/>
      <c r="C2604" s="45"/>
      <c r="E2604" s="650"/>
      <c r="F2604" s="650"/>
      <c r="G2604" s="73"/>
      <c r="H2604" s="45"/>
      <c r="I2604" s="111"/>
      <c r="J2604" s="81"/>
      <c r="K2604" s="81"/>
      <c r="L2604" s="499"/>
      <c r="M2604" s="73"/>
      <c r="Q2604" s="73"/>
      <c r="R2604" s="176"/>
      <c r="S2604" s="176"/>
      <c r="T2604" s="176"/>
      <c r="X2604" s="167"/>
      <c r="BX2604" s="769"/>
      <c r="BY2604"/>
      <c r="BZ2604"/>
      <c r="CA2604"/>
      <c r="CB2604"/>
      <c r="CC2604"/>
      <c r="CD2604"/>
      <c r="CE2604"/>
      <c r="CF2604"/>
      <c r="CG2604"/>
      <c r="CH2604"/>
      <c r="CI2604"/>
      <c r="CJ2604"/>
      <c r="CK2604"/>
      <c r="CL2604"/>
      <c r="CM2604"/>
    </row>
    <row r="2605" spans="1:91" x14ac:dyDescent="0.2">
      <c r="A2605"/>
      <c r="B2605"/>
      <c r="C2605" s="45"/>
      <c r="E2605" s="650"/>
      <c r="F2605" s="650"/>
      <c r="G2605" s="73"/>
      <c r="H2605" s="45"/>
      <c r="I2605" s="111"/>
      <c r="J2605" s="81"/>
      <c r="K2605" s="81"/>
      <c r="L2605" s="499"/>
      <c r="M2605" s="73"/>
      <c r="Q2605" s="73"/>
      <c r="R2605" s="176"/>
      <c r="S2605" s="176"/>
      <c r="T2605" s="176"/>
      <c r="X2605" s="167"/>
      <c r="BX2605" s="769"/>
      <c r="BY2605"/>
      <c r="BZ2605"/>
      <c r="CA2605"/>
      <c r="CB2605"/>
      <c r="CC2605"/>
      <c r="CD2605"/>
      <c r="CE2605"/>
      <c r="CF2605"/>
      <c r="CG2605"/>
      <c r="CH2605"/>
      <c r="CI2605"/>
      <c r="CJ2605"/>
      <c r="CK2605"/>
      <c r="CL2605"/>
      <c r="CM2605"/>
    </row>
    <row r="2606" spans="1:91" x14ac:dyDescent="0.2">
      <c r="A2606"/>
      <c r="B2606"/>
      <c r="C2606" s="45"/>
      <c r="E2606" s="650"/>
      <c r="F2606" s="650"/>
      <c r="G2606" s="73"/>
      <c r="H2606" s="45"/>
      <c r="I2606" s="111"/>
      <c r="J2606" s="81"/>
      <c r="K2606" s="81"/>
      <c r="L2606" s="499"/>
      <c r="M2606" s="73"/>
      <c r="Q2606" s="73"/>
      <c r="R2606" s="176"/>
      <c r="S2606" s="176"/>
      <c r="T2606" s="176"/>
      <c r="X2606" s="167"/>
      <c r="BX2606" s="769"/>
      <c r="BY2606"/>
      <c r="BZ2606"/>
      <c r="CA2606"/>
      <c r="CB2606"/>
      <c r="CC2606"/>
      <c r="CD2606"/>
      <c r="CE2606"/>
      <c r="CF2606"/>
      <c r="CG2606"/>
      <c r="CH2606"/>
      <c r="CI2606"/>
      <c r="CJ2606"/>
      <c r="CK2606"/>
      <c r="CL2606"/>
      <c r="CM2606"/>
    </row>
    <row r="2607" spans="1:91" x14ac:dyDescent="0.2">
      <c r="A2607"/>
      <c r="B2607"/>
      <c r="C2607" s="45"/>
      <c r="E2607" s="650"/>
      <c r="F2607" s="650"/>
      <c r="G2607" s="73"/>
      <c r="H2607" s="45"/>
      <c r="I2607" s="111"/>
      <c r="J2607" s="81"/>
      <c r="K2607" s="81"/>
      <c r="L2607" s="499"/>
      <c r="M2607" s="73"/>
      <c r="Q2607" s="73"/>
      <c r="R2607" s="176"/>
      <c r="S2607" s="176"/>
      <c r="T2607" s="176"/>
      <c r="X2607" s="167"/>
      <c r="BX2607" s="769"/>
      <c r="BY2607"/>
      <c r="BZ2607"/>
      <c r="CA2607"/>
      <c r="CB2607"/>
      <c r="CC2607"/>
      <c r="CD2607"/>
      <c r="CE2607"/>
      <c r="CF2607"/>
      <c r="CG2607"/>
      <c r="CH2607"/>
      <c r="CI2607"/>
      <c r="CJ2607"/>
      <c r="CK2607"/>
      <c r="CL2607"/>
      <c r="CM2607"/>
    </row>
    <row r="2608" spans="1:91" x14ac:dyDescent="0.2">
      <c r="A2608"/>
      <c r="B2608"/>
      <c r="C2608" s="45"/>
      <c r="E2608" s="650"/>
      <c r="F2608" s="650"/>
      <c r="G2608" s="73"/>
      <c r="H2608" s="45"/>
      <c r="I2608" s="111"/>
      <c r="J2608" s="81"/>
      <c r="K2608" s="81"/>
      <c r="L2608" s="499"/>
      <c r="M2608" s="73"/>
      <c r="Q2608" s="73"/>
      <c r="R2608" s="176"/>
      <c r="S2608" s="176"/>
      <c r="T2608" s="176"/>
      <c r="X2608" s="167"/>
      <c r="BX2608" s="769"/>
      <c r="BY2608"/>
      <c r="BZ2608"/>
      <c r="CA2608"/>
      <c r="CB2608"/>
      <c r="CC2608"/>
      <c r="CD2608"/>
      <c r="CE2608"/>
      <c r="CF2608"/>
      <c r="CG2608"/>
      <c r="CH2608"/>
      <c r="CI2608"/>
      <c r="CJ2608"/>
      <c r="CK2608"/>
      <c r="CL2608"/>
      <c r="CM2608"/>
    </row>
    <row r="2609" spans="1:91" x14ac:dyDescent="0.2">
      <c r="A2609"/>
      <c r="B2609"/>
      <c r="C2609" s="45"/>
      <c r="E2609" s="650"/>
      <c r="F2609" s="650"/>
      <c r="G2609" s="73"/>
      <c r="H2609" s="45"/>
      <c r="I2609" s="111"/>
      <c r="J2609" s="81"/>
      <c r="K2609" s="81"/>
      <c r="L2609" s="499"/>
      <c r="M2609" s="73"/>
      <c r="Q2609" s="73"/>
      <c r="R2609" s="176"/>
      <c r="S2609" s="176"/>
      <c r="T2609" s="176"/>
      <c r="X2609" s="167"/>
      <c r="BX2609" s="769"/>
      <c r="BY2609"/>
      <c r="BZ2609"/>
      <c r="CA2609"/>
      <c r="CB2609"/>
      <c r="CC2609"/>
      <c r="CD2609"/>
      <c r="CE2609"/>
      <c r="CF2609"/>
      <c r="CG2609"/>
      <c r="CH2609"/>
      <c r="CI2609"/>
      <c r="CJ2609"/>
      <c r="CK2609"/>
      <c r="CL2609"/>
      <c r="CM2609"/>
    </row>
    <row r="2610" spans="1:91" x14ac:dyDescent="0.2">
      <c r="A2610"/>
      <c r="B2610"/>
      <c r="C2610" s="45"/>
      <c r="E2610" s="650"/>
      <c r="F2610" s="650"/>
      <c r="G2610" s="73"/>
      <c r="H2610" s="45"/>
      <c r="I2610" s="111"/>
      <c r="J2610" s="81"/>
      <c r="K2610" s="81"/>
      <c r="L2610" s="499"/>
      <c r="M2610" s="73"/>
      <c r="Q2610" s="73"/>
      <c r="R2610" s="176"/>
      <c r="S2610" s="176"/>
      <c r="T2610" s="176"/>
      <c r="X2610" s="167"/>
      <c r="BX2610" s="769"/>
      <c r="BY2610"/>
      <c r="BZ2610"/>
      <c r="CA2610"/>
      <c r="CB2610"/>
      <c r="CC2610"/>
      <c r="CD2610"/>
      <c r="CE2610"/>
      <c r="CF2610"/>
      <c r="CG2610"/>
      <c r="CH2610"/>
      <c r="CI2610"/>
      <c r="CJ2610"/>
      <c r="CK2610"/>
      <c r="CL2610"/>
      <c r="CM2610"/>
    </row>
    <row r="2611" spans="1:91" x14ac:dyDescent="0.2">
      <c r="A2611"/>
      <c r="B2611"/>
      <c r="C2611" s="45"/>
      <c r="E2611" s="650"/>
      <c r="F2611" s="650"/>
      <c r="G2611" s="73"/>
      <c r="H2611" s="45"/>
      <c r="I2611" s="111"/>
      <c r="J2611" s="81"/>
      <c r="K2611" s="81"/>
      <c r="L2611" s="499"/>
      <c r="M2611" s="73"/>
      <c r="Q2611" s="73"/>
      <c r="R2611" s="176"/>
      <c r="S2611" s="176"/>
      <c r="T2611" s="176"/>
      <c r="X2611" s="167"/>
      <c r="BX2611" s="769"/>
      <c r="BY2611"/>
      <c r="BZ2611"/>
      <c r="CA2611"/>
      <c r="CB2611"/>
      <c r="CC2611"/>
      <c r="CD2611"/>
      <c r="CE2611"/>
      <c r="CF2611"/>
      <c r="CG2611"/>
      <c r="CH2611"/>
      <c r="CI2611"/>
      <c r="CJ2611"/>
      <c r="CK2611"/>
      <c r="CL2611"/>
      <c r="CM2611"/>
    </row>
    <row r="2612" spans="1:91" x14ac:dyDescent="0.2">
      <c r="A2612"/>
      <c r="B2612"/>
      <c r="C2612" s="45"/>
      <c r="E2612" s="650"/>
      <c r="F2612" s="650"/>
      <c r="G2612" s="73"/>
      <c r="H2612" s="45"/>
      <c r="I2612" s="111"/>
      <c r="J2612" s="81"/>
      <c r="K2612" s="81"/>
      <c r="L2612" s="499"/>
      <c r="M2612" s="73"/>
      <c r="O2612" s="73"/>
      <c r="P2612" s="73"/>
      <c r="Q2612" s="73"/>
      <c r="R2612" s="176"/>
      <c r="S2612" s="176"/>
      <c r="T2612" s="176"/>
      <c r="X2612" s="167"/>
      <c r="BX2612" s="769"/>
      <c r="BY2612"/>
      <c r="BZ2612"/>
      <c r="CA2612"/>
      <c r="CB2612"/>
      <c r="CC2612"/>
      <c r="CD2612"/>
      <c r="CE2612"/>
      <c r="CF2612"/>
      <c r="CG2612"/>
      <c r="CH2612"/>
      <c r="CI2612"/>
      <c r="CJ2612"/>
      <c r="CK2612"/>
      <c r="CL2612"/>
      <c r="CM2612"/>
    </row>
    <row r="2613" spans="1:91" x14ac:dyDescent="0.2">
      <c r="A2613"/>
      <c r="B2613"/>
      <c r="C2613" s="45"/>
      <c r="E2613" s="650"/>
      <c r="F2613" s="650"/>
      <c r="G2613" s="73"/>
      <c r="H2613" s="45"/>
      <c r="I2613" s="111"/>
      <c r="J2613" s="81"/>
      <c r="K2613" s="81"/>
      <c r="L2613" s="499"/>
      <c r="M2613" s="73"/>
      <c r="O2613" s="73"/>
      <c r="P2613" s="73"/>
      <c r="Q2613" s="73"/>
      <c r="R2613" s="176"/>
      <c r="S2613" s="176"/>
      <c r="T2613" s="176"/>
      <c r="X2613" s="167"/>
      <c r="BX2613" s="769"/>
      <c r="BY2613"/>
      <c r="BZ2613"/>
      <c r="CA2613"/>
      <c r="CB2613"/>
      <c r="CC2613"/>
      <c r="CD2613"/>
      <c r="CE2613"/>
      <c r="CF2613"/>
      <c r="CG2613"/>
      <c r="CH2613"/>
      <c r="CI2613"/>
      <c r="CJ2613"/>
      <c r="CK2613"/>
      <c r="CL2613"/>
      <c r="CM2613"/>
    </row>
    <row r="2614" spans="1:91" x14ac:dyDescent="0.2">
      <c r="A2614"/>
      <c r="B2614"/>
      <c r="C2614" s="45"/>
      <c r="E2614" s="650"/>
      <c r="F2614" s="650"/>
      <c r="G2614" s="73"/>
      <c r="H2614" s="45"/>
      <c r="I2614" s="111"/>
      <c r="J2614" s="81"/>
      <c r="K2614" s="81"/>
      <c r="L2614" s="499"/>
      <c r="M2614" s="73"/>
      <c r="O2614" s="73"/>
      <c r="P2614" s="73"/>
      <c r="Q2614" s="73"/>
      <c r="R2614" s="176"/>
      <c r="S2614" s="176"/>
      <c r="T2614" s="176"/>
      <c r="X2614" s="167"/>
      <c r="BX2614" s="769"/>
      <c r="BY2614"/>
      <c r="BZ2614"/>
      <c r="CA2614"/>
      <c r="CB2614"/>
      <c r="CC2614"/>
      <c r="CD2614"/>
      <c r="CE2614"/>
      <c r="CF2614"/>
      <c r="CG2614"/>
      <c r="CH2614"/>
      <c r="CI2614"/>
      <c r="CJ2614"/>
      <c r="CK2614"/>
      <c r="CL2614"/>
      <c r="CM2614"/>
    </row>
    <row r="2615" spans="1:91" x14ac:dyDescent="0.2">
      <c r="A2615"/>
      <c r="B2615"/>
      <c r="C2615" s="45"/>
      <c r="E2615" s="650"/>
      <c r="F2615" s="650"/>
      <c r="G2615" s="73"/>
      <c r="H2615" s="45"/>
      <c r="I2615" s="111"/>
      <c r="J2615" s="81"/>
      <c r="K2615" s="81"/>
      <c r="L2615" s="499"/>
      <c r="M2615" s="73"/>
      <c r="O2615" s="73"/>
      <c r="P2615" s="73"/>
      <c r="Q2615" s="73"/>
      <c r="R2615" s="176"/>
      <c r="S2615" s="176"/>
      <c r="T2615" s="176"/>
      <c r="X2615" s="167"/>
      <c r="BX2615" s="769"/>
      <c r="BY2615"/>
      <c r="BZ2615"/>
      <c r="CA2615"/>
      <c r="CB2615"/>
      <c r="CC2615"/>
      <c r="CD2615"/>
      <c r="CE2615"/>
      <c r="CF2615"/>
      <c r="CG2615"/>
      <c r="CH2615"/>
      <c r="CI2615"/>
      <c r="CJ2615"/>
      <c r="CK2615"/>
      <c r="CL2615"/>
      <c r="CM2615"/>
    </row>
    <row r="2616" spans="1:91" x14ac:dyDescent="0.2">
      <c r="A2616"/>
      <c r="B2616"/>
      <c r="C2616" s="45"/>
      <c r="E2616" s="650"/>
      <c r="F2616" s="650"/>
      <c r="G2616" s="73"/>
      <c r="H2616" s="45"/>
      <c r="I2616" s="111"/>
      <c r="J2616" s="81"/>
      <c r="K2616" s="81"/>
      <c r="L2616" s="499"/>
      <c r="M2616" s="73"/>
      <c r="O2616" s="73"/>
      <c r="P2616" s="73"/>
      <c r="Q2616" s="73"/>
      <c r="R2616" s="176"/>
      <c r="S2616" s="176"/>
      <c r="T2616" s="176"/>
      <c r="X2616" s="167"/>
      <c r="BX2616" s="769"/>
      <c r="BY2616"/>
      <c r="BZ2616"/>
      <c r="CA2616"/>
      <c r="CB2616"/>
      <c r="CC2616"/>
      <c r="CD2616"/>
      <c r="CE2616"/>
      <c r="CF2616"/>
      <c r="CG2616"/>
      <c r="CH2616"/>
      <c r="CI2616"/>
      <c r="CJ2616"/>
      <c r="CK2616"/>
      <c r="CL2616"/>
      <c r="CM2616"/>
    </row>
    <row r="2617" spans="1:91" x14ac:dyDescent="0.2">
      <c r="A2617"/>
      <c r="B2617"/>
      <c r="C2617" s="45"/>
      <c r="E2617" s="650"/>
      <c r="F2617" s="650"/>
      <c r="G2617" s="73"/>
      <c r="H2617" s="45"/>
      <c r="I2617" s="111"/>
      <c r="J2617" s="81"/>
      <c r="K2617" s="81"/>
      <c r="L2617" s="499"/>
      <c r="M2617" s="73"/>
      <c r="O2617" s="73"/>
      <c r="P2617" s="73"/>
      <c r="Q2617" s="73"/>
      <c r="R2617" s="176"/>
      <c r="S2617" s="176"/>
      <c r="T2617" s="176"/>
      <c r="X2617" s="167"/>
      <c r="BX2617" s="769"/>
      <c r="BY2617"/>
      <c r="BZ2617"/>
      <c r="CA2617"/>
      <c r="CB2617"/>
      <c r="CC2617"/>
      <c r="CD2617"/>
      <c r="CE2617"/>
      <c r="CF2617"/>
      <c r="CG2617"/>
      <c r="CH2617"/>
      <c r="CI2617"/>
      <c r="CJ2617"/>
      <c r="CK2617"/>
      <c r="CL2617"/>
      <c r="CM2617"/>
    </row>
    <row r="2618" spans="1:91" x14ac:dyDescent="0.2">
      <c r="A2618"/>
      <c r="B2618"/>
      <c r="C2618" s="45"/>
      <c r="E2618" s="650"/>
      <c r="F2618" s="650"/>
      <c r="G2618" s="73"/>
      <c r="H2618" s="45"/>
      <c r="I2618" s="111"/>
      <c r="J2618" s="81"/>
      <c r="K2618" s="81"/>
      <c r="L2618" s="499"/>
      <c r="M2618" s="73"/>
      <c r="O2618" s="73"/>
      <c r="P2618" s="73"/>
      <c r="Q2618" s="73"/>
      <c r="R2618" s="176"/>
      <c r="S2618" s="176"/>
      <c r="T2618" s="176"/>
      <c r="X2618" s="167"/>
      <c r="BX2618" s="769"/>
      <c r="BY2618"/>
      <c r="BZ2618"/>
      <c r="CA2618"/>
      <c r="CB2618"/>
      <c r="CC2618"/>
      <c r="CD2618"/>
      <c r="CE2618"/>
      <c r="CF2618"/>
      <c r="CG2618"/>
      <c r="CH2618"/>
      <c r="CI2618"/>
      <c r="CJ2618"/>
      <c r="CK2618"/>
      <c r="CL2618"/>
      <c r="CM2618"/>
    </row>
    <row r="2619" spans="1:91" x14ac:dyDescent="0.2">
      <c r="A2619"/>
      <c r="B2619"/>
      <c r="C2619" s="45"/>
      <c r="E2619" s="650"/>
      <c r="F2619" s="650"/>
      <c r="G2619" s="73"/>
      <c r="H2619" s="45"/>
      <c r="I2619" s="111"/>
      <c r="J2619" s="81"/>
      <c r="K2619" s="81"/>
      <c r="L2619" s="499"/>
      <c r="M2619" s="73"/>
      <c r="O2619" s="73"/>
      <c r="P2619" s="73"/>
      <c r="Q2619" s="73"/>
      <c r="R2619" s="176"/>
      <c r="S2619" s="176"/>
      <c r="T2619" s="176"/>
      <c r="X2619" s="167"/>
      <c r="BX2619" s="769"/>
      <c r="BY2619"/>
      <c r="BZ2619"/>
      <c r="CA2619"/>
      <c r="CB2619"/>
      <c r="CC2619"/>
      <c r="CD2619"/>
      <c r="CE2619"/>
      <c r="CF2619"/>
      <c r="CG2619"/>
      <c r="CH2619"/>
      <c r="CI2619"/>
      <c r="CJ2619"/>
      <c r="CK2619"/>
      <c r="CL2619"/>
      <c r="CM2619"/>
    </row>
    <row r="2620" spans="1:91" x14ac:dyDescent="0.2">
      <c r="A2620"/>
      <c r="B2620"/>
      <c r="C2620" s="45"/>
      <c r="E2620" s="650"/>
      <c r="F2620" s="650"/>
      <c r="G2620" s="73"/>
      <c r="H2620" s="45"/>
      <c r="I2620" s="111"/>
      <c r="J2620" s="81"/>
      <c r="K2620" s="81"/>
      <c r="L2620" s="499"/>
      <c r="M2620" s="73"/>
      <c r="O2620" s="73"/>
      <c r="P2620" s="73"/>
      <c r="Q2620" s="73"/>
      <c r="R2620" s="176"/>
      <c r="S2620" s="176"/>
      <c r="T2620" s="176"/>
      <c r="X2620" s="167"/>
      <c r="BX2620" s="769"/>
      <c r="BY2620"/>
      <c r="BZ2620"/>
      <c r="CA2620"/>
      <c r="CB2620"/>
      <c r="CC2620"/>
      <c r="CD2620"/>
      <c r="CE2620"/>
      <c r="CF2620"/>
      <c r="CG2620"/>
      <c r="CH2620"/>
      <c r="CI2620"/>
      <c r="CJ2620"/>
      <c r="CK2620"/>
      <c r="CL2620"/>
      <c r="CM2620"/>
    </row>
    <row r="2621" spans="1:91" x14ac:dyDescent="0.2">
      <c r="A2621"/>
      <c r="B2621"/>
      <c r="C2621" s="45"/>
      <c r="E2621" s="650"/>
      <c r="F2621" s="650"/>
      <c r="G2621" s="73"/>
      <c r="H2621" s="45"/>
      <c r="I2621" s="111"/>
      <c r="J2621" s="81"/>
      <c r="K2621" s="81"/>
      <c r="L2621" s="499"/>
      <c r="M2621" s="73"/>
      <c r="O2621" s="73"/>
      <c r="P2621" s="73"/>
      <c r="Q2621" s="73"/>
      <c r="R2621" s="176"/>
      <c r="S2621" s="176"/>
      <c r="T2621" s="176"/>
      <c r="X2621" s="167"/>
      <c r="BX2621" s="769"/>
      <c r="BY2621"/>
      <c r="BZ2621"/>
      <c r="CA2621"/>
      <c r="CB2621"/>
      <c r="CC2621"/>
      <c r="CD2621"/>
      <c r="CE2621"/>
      <c r="CF2621"/>
      <c r="CG2621"/>
      <c r="CH2621"/>
      <c r="CI2621"/>
      <c r="CJ2621"/>
      <c r="CK2621"/>
      <c r="CL2621"/>
      <c r="CM2621"/>
    </row>
    <row r="2622" spans="1:91" x14ac:dyDescent="0.2">
      <c r="A2622"/>
      <c r="B2622"/>
      <c r="C2622" s="45"/>
      <c r="E2622" s="650"/>
      <c r="F2622" s="650"/>
      <c r="G2622" s="73"/>
      <c r="H2622" s="45"/>
      <c r="I2622" s="111"/>
      <c r="J2622" s="81"/>
      <c r="K2622" s="81"/>
      <c r="L2622" s="499"/>
      <c r="M2622" s="73"/>
      <c r="O2622" s="73"/>
      <c r="P2622" s="73"/>
      <c r="Q2622" s="73"/>
      <c r="R2622" s="176"/>
      <c r="S2622" s="176"/>
      <c r="T2622" s="176"/>
      <c r="X2622" s="167"/>
      <c r="BX2622" s="769"/>
      <c r="BY2622"/>
      <c r="BZ2622"/>
      <c r="CA2622"/>
      <c r="CB2622"/>
      <c r="CC2622"/>
      <c r="CD2622"/>
      <c r="CE2622"/>
      <c r="CF2622"/>
      <c r="CG2622"/>
      <c r="CH2622"/>
      <c r="CI2622"/>
      <c r="CJ2622"/>
      <c r="CK2622"/>
      <c r="CL2622"/>
      <c r="CM2622"/>
    </row>
    <row r="2623" spans="1:91" x14ac:dyDescent="0.2">
      <c r="A2623"/>
      <c r="B2623"/>
      <c r="C2623" s="45"/>
      <c r="E2623" s="650"/>
      <c r="F2623" s="650"/>
      <c r="G2623" s="73"/>
      <c r="H2623" s="45"/>
      <c r="I2623" s="111"/>
      <c r="J2623" s="81"/>
      <c r="K2623" s="81"/>
      <c r="L2623" s="499"/>
      <c r="M2623" s="73"/>
      <c r="O2623" s="73"/>
      <c r="P2623" s="73"/>
      <c r="Q2623" s="73"/>
      <c r="R2623" s="176"/>
      <c r="S2623" s="176"/>
      <c r="T2623" s="176"/>
      <c r="X2623" s="167"/>
      <c r="BX2623" s="769"/>
      <c r="BY2623"/>
      <c r="BZ2623"/>
      <c r="CA2623"/>
      <c r="CB2623"/>
      <c r="CC2623"/>
      <c r="CD2623"/>
      <c r="CE2623"/>
      <c r="CF2623"/>
      <c r="CG2623"/>
      <c r="CH2623"/>
      <c r="CI2623"/>
      <c r="CJ2623"/>
      <c r="CK2623"/>
      <c r="CL2623"/>
      <c r="CM2623"/>
    </row>
    <row r="2624" spans="1:91" x14ac:dyDescent="0.2">
      <c r="A2624"/>
      <c r="B2624"/>
      <c r="C2624" s="45"/>
      <c r="E2624" s="650"/>
      <c r="F2624" s="650"/>
      <c r="G2624" s="73"/>
      <c r="H2624" s="45"/>
      <c r="I2624" s="111"/>
      <c r="J2624" s="81"/>
      <c r="K2624" s="81"/>
      <c r="L2624" s="499"/>
      <c r="M2624" s="73"/>
      <c r="O2624" s="73"/>
      <c r="P2624" s="73"/>
      <c r="Q2624" s="73"/>
      <c r="R2624" s="176"/>
      <c r="S2624" s="176"/>
      <c r="T2624" s="176"/>
      <c r="X2624" s="167"/>
      <c r="BX2624" s="769"/>
      <c r="BY2624"/>
      <c r="BZ2624"/>
      <c r="CA2624"/>
      <c r="CB2624"/>
      <c r="CC2624"/>
      <c r="CD2624"/>
      <c r="CE2624"/>
      <c r="CF2624"/>
      <c r="CG2624"/>
      <c r="CH2624"/>
      <c r="CI2624"/>
      <c r="CJ2624"/>
      <c r="CK2624"/>
      <c r="CL2624"/>
      <c r="CM2624"/>
    </row>
    <row r="2625" spans="1:91" x14ac:dyDescent="0.2">
      <c r="A2625"/>
      <c r="B2625"/>
      <c r="C2625" s="45"/>
      <c r="E2625" s="650"/>
      <c r="F2625" s="650"/>
      <c r="G2625" s="73"/>
      <c r="H2625" s="45"/>
      <c r="I2625" s="111"/>
      <c r="J2625" s="81"/>
      <c r="K2625" s="81"/>
      <c r="L2625" s="499"/>
      <c r="M2625" s="73"/>
      <c r="O2625" s="73"/>
      <c r="P2625" s="73"/>
      <c r="Q2625" s="73"/>
      <c r="R2625" s="176"/>
      <c r="S2625" s="176"/>
      <c r="T2625" s="176"/>
      <c r="X2625" s="167"/>
      <c r="BX2625" s="769"/>
      <c r="BY2625"/>
      <c r="BZ2625"/>
      <c r="CA2625"/>
      <c r="CB2625"/>
      <c r="CC2625"/>
      <c r="CD2625"/>
      <c r="CE2625"/>
      <c r="CF2625"/>
      <c r="CG2625"/>
      <c r="CH2625"/>
      <c r="CI2625"/>
      <c r="CJ2625"/>
      <c r="CK2625"/>
      <c r="CL2625"/>
      <c r="CM2625"/>
    </row>
    <row r="2626" spans="1:91" x14ac:dyDescent="0.2">
      <c r="A2626"/>
      <c r="B2626"/>
      <c r="C2626" s="45"/>
      <c r="E2626" s="650"/>
      <c r="F2626" s="650"/>
      <c r="G2626" s="73"/>
      <c r="H2626" s="45"/>
      <c r="I2626" s="111"/>
      <c r="J2626" s="81"/>
      <c r="K2626" s="81"/>
      <c r="L2626" s="499"/>
      <c r="M2626" s="73"/>
      <c r="O2626" s="73"/>
      <c r="P2626" s="73"/>
      <c r="Q2626" s="73"/>
      <c r="R2626" s="176"/>
      <c r="S2626" s="176"/>
      <c r="T2626" s="176"/>
      <c r="X2626" s="167"/>
      <c r="BX2626" s="769"/>
      <c r="BY2626"/>
      <c r="BZ2626"/>
      <c r="CA2626"/>
      <c r="CB2626"/>
      <c r="CC2626"/>
      <c r="CD2626"/>
      <c r="CE2626"/>
      <c r="CF2626"/>
      <c r="CG2626"/>
      <c r="CH2626"/>
      <c r="CI2626"/>
      <c r="CJ2626"/>
      <c r="CK2626"/>
      <c r="CL2626"/>
      <c r="CM2626"/>
    </row>
    <row r="2627" spans="1:91" x14ac:dyDescent="0.2">
      <c r="A2627"/>
      <c r="B2627"/>
      <c r="C2627" s="45"/>
      <c r="E2627" s="650"/>
      <c r="F2627" s="650"/>
      <c r="G2627" s="73"/>
      <c r="H2627" s="45"/>
      <c r="I2627" s="111"/>
      <c r="J2627" s="81"/>
      <c r="K2627" s="81"/>
      <c r="L2627" s="499"/>
      <c r="M2627" s="73"/>
      <c r="O2627" s="73"/>
      <c r="P2627" s="73"/>
      <c r="Q2627" s="73"/>
      <c r="R2627" s="176"/>
      <c r="S2627" s="176"/>
      <c r="T2627" s="176"/>
      <c r="X2627" s="167"/>
      <c r="BX2627" s="769"/>
      <c r="BY2627"/>
      <c r="BZ2627"/>
      <c r="CA2627"/>
      <c r="CB2627"/>
      <c r="CC2627"/>
      <c r="CD2627"/>
      <c r="CE2627"/>
      <c r="CF2627"/>
      <c r="CG2627"/>
      <c r="CH2627"/>
      <c r="CI2627"/>
      <c r="CJ2627"/>
      <c r="CK2627"/>
      <c r="CL2627"/>
      <c r="CM2627"/>
    </row>
    <row r="2628" spans="1:91" x14ac:dyDescent="0.2">
      <c r="A2628"/>
      <c r="B2628"/>
      <c r="C2628" s="45"/>
      <c r="E2628" s="650"/>
      <c r="F2628" s="650"/>
      <c r="G2628" s="73"/>
      <c r="H2628" s="45"/>
      <c r="I2628" s="111"/>
      <c r="J2628" s="81"/>
      <c r="K2628" s="81"/>
      <c r="L2628" s="499"/>
      <c r="M2628" s="73"/>
      <c r="O2628" s="73"/>
      <c r="P2628" s="73"/>
      <c r="Q2628" s="73"/>
      <c r="R2628" s="176"/>
      <c r="S2628" s="176"/>
      <c r="T2628" s="176"/>
      <c r="X2628" s="167"/>
      <c r="BX2628" s="769"/>
      <c r="BY2628"/>
      <c r="BZ2628"/>
      <c r="CA2628"/>
      <c r="CB2628"/>
      <c r="CC2628"/>
      <c r="CD2628"/>
      <c r="CE2628"/>
      <c r="CF2628"/>
      <c r="CG2628"/>
      <c r="CH2628"/>
      <c r="CI2628"/>
      <c r="CJ2628"/>
      <c r="CK2628"/>
      <c r="CL2628"/>
      <c r="CM2628"/>
    </row>
    <row r="2629" spans="1:91" x14ac:dyDescent="0.2">
      <c r="A2629"/>
      <c r="B2629"/>
      <c r="C2629" s="45"/>
      <c r="E2629" s="650"/>
      <c r="F2629" s="650"/>
      <c r="G2629" s="73"/>
      <c r="H2629" s="45"/>
      <c r="I2629" s="111"/>
      <c r="J2629" s="81"/>
      <c r="K2629" s="81"/>
      <c r="L2629" s="499"/>
      <c r="M2629" s="73"/>
      <c r="O2629" s="73"/>
      <c r="P2629" s="73"/>
      <c r="Q2629" s="73"/>
      <c r="R2629" s="176"/>
      <c r="S2629" s="176"/>
      <c r="T2629" s="176"/>
      <c r="X2629" s="167"/>
      <c r="BX2629" s="769"/>
      <c r="BY2629"/>
      <c r="BZ2629"/>
      <c r="CA2629"/>
      <c r="CB2629"/>
      <c r="CC2629"/>
      <c r="CD2629"/>
      <c r="CE2629"/>
      <c r="CF2629"/>
      <c r="CG2629"/>
      <c r="CH2629"/>
      <c r="CI2629"/>
      <c r="CJ2629"/>
      <c r="CK2629"/>
      <c r="CL2629"/>
      <c r="CM2629"/>
    </row>
    <row r="2630" spans="1:91" x14ac:dyDescent="0.2">
      <c r="A2630"/>
      <c r="B2630"/>
      <c r="C2630" s="45"/>
      <c r="E2630" s="650"/>
      <c r="F2630" s="650"/>
      <c r="G2630" s="73"/>
      <c r="H2630" s="45"/>
      <c r="I2630" s="111"/>
      <c r="J2630" s="81"/>
      <c r="K2630" s="81"/>
      <c r="L2630" s="499"/>
      <c r="M2630" s="73"/>
      <c r="O2630" s="73"/>
      <c r="P2630" s="73"/>
      <c r="Q2630" s="73"/>
      <c r="R2630" s="176"/>
      <c r="S2630" s="176"/>
      <c r="T2630" s="176"/>
      <c r="X2630" s="167"/>
      <c r="BX2630" s="769"/>
      <c r="BY2630"/>
      <c r="BZ2630"/>
      <c r="CA2630"/>
      <c r="CB2630"/>
      <c r="CC2630"/>
      <c r="CD2630"/>
      <c r="CE2630"/>
      <c r="CF2630"/>
      <c r="CG2630"/>
      <c r="CH2630"/>
      <c r="CI2630"/>
      <c r="CJ2630"/>
      <c r="CK2630"/>
      <c r="CL2630"/>
      <c r="CM2630"/>
    </row>
    <row r="2631" spans="1:91" x14ac:dyDescent="0.2">
      <c r="A2631"/>
      <c r="B2631"/>
      <c r="C2631" s="45"/>
      <c r="E2631" s="650"/>
      <c r="F2631" s="650"/>
      <c r="G2631" s="73"/>
      <c r="H2631" s="45"/>
      <c r="I2631" s="111"/>
      <c r="J2631" s="81"/>
      <c r="K2631" s="81"/>
      <c r="L2631" s="499"/>
      <c r="M2631" s="73"/>
      <c r="O2631" s="73"/>
      <c r="P2631" s="73"/>
      <c r="Q2631" s="73"/>
      <c r="R2631" s="176"/>
      <c r="S2631" s="176"/>
      <c r="T2631" s="176"/>
      <c r="X2631" s="167"/>
      <c r="BX2631" s="769"/>
      <c r="BY2631"/>
      <c r="BZ2631"/>
      <c r="CA2631"/>
      <c r="CB2631"/>
      <c r="CC2631"/>
      <c r="CD2631"/>
      <c r="CE2631"/>
      <c r="CF2631"/>
      <c r="CG2631"/>
      <c r="CH2631"/>
      <c r="CI2631"/>
      <c r="CJ2631"/>
      <c r="CK2631"/>
      <c r="CL2631"/>
      <c r="CM2631"/>
    </row>
    <row r="2632" spans="1:91" x14ac:dyDescent="0.2">
      <c r="A2632"/>
      <c r="B2632"/>
      <c r="C2632" s="45"/>
      <c r="E2632" s="650"/>
      <c r="F2632" s="650"/>
      <c r="G2632" s="73"/>
      <c r="H2632" s="45"/>
      <c r="I2632" s="111"/>
      <c r="J2632" s="81"/>
      <c r="K2632" s="81"/>
      <c r="L2632" s="499"/>
      <c r="M2632" s="73"/>
      <c r="O2632" s="73"/>
      <c r="P2632" s="73"/>
      <c r="Q2632" s="73"/>
      <c r="R2632" s="176"/>
      <c r="S2632" s="176"/>
      <c r="T2632" s="176"/>
      <c r="X2632" s="167"/>
      <c r="BX2632" s="769"/>
      <c r="BY2632"/>
      <c r="BZ2632"/>
      <c r="CA2632"/>
      <c r="CB2632"/>
      <c r="CC2632"/>
      <c r="CD2632"/>
      <c r="CE2632"/>
      <c r="CF2632"/>
      <c r="CG2632"/>
      <c r="CH2632"/>
      <c r="CI2632"/>
      <c r="CJ2632"/>
      <c r="CK2632"/>
      <c r="CL2632"/>
      <c r="CM2632"/>
    </row>
    <row r="2633" spans="1:91" x14ac:dyDescent="0.2">
      <c r="A2633"/>
      <c r="B2633"/>
      <c r="C2633" s="45"/>
      <c r="E2633" s="650"/>
      <c r="F2633" s="650"/>
      <c r="G2633" s="73"/>
      <c r="H2633" s="45"/>
      <c r="I2633" s="111"/>
      <c r="J2633" s="81"/>
      <c r="K2633" s="81"/>
      <c r="L2633" s="499"/>
      <c r="M2633" s="73"/>
      <c r="O2633" s="73"/>
      <c r="P2633" s="73"/>
      <c r="Q2633" s="73"/>
      <c r="R2633" s="176"/>
      <c r="S2633" s="176"/>
      <c r="T2633" s="176"/>
      <c r="X2633" s="167"/>
      <c r="BX2633" s="769"/>
      <c r="BY2633"/>
      <c r="BZ2633"/>
      <c r="CA2633"/>
      <c r="CB2633"/>
      <c r="CC2633"/>
      <c r="CD2633"/>
      <c r="CE2633"/>
      <c r="CF2633"/>
      <c r="CG2633"/>
      <c r="CH2633"/>
      <c r="CI2633"/>
      <c r="CJ2633"/>
      <c r="CK2633"/>
      <c r="CL2633"/>
      <c r="CM2633"/>
    </row>
    <row r="2634" spans="1:91" x14ac:dyDescent="0.2">
      <c r="A2634"/>
      <c r="B2634"/>
      <c r="C2634" s="45"/>
      <c r="E2634" s="650"/>
      <c r="F2634" s="650"/>
      <c r="G2634" s="73"/>
      <c r="H2634" s="45"/>
      <c r="I2634" s="111"/>
      <c r="J2634" s="81"/>
      <c r="K2634" s="81"/>
      <c r="L2634" s="499"/>
      <c r="M2634" s="73"/>
      <c r="O2634" s="73"/>
      <c r="P2634" s="73"/>
      <c r="Q2634" s="73"/>
      <c r="R2634" s="176"/>
      <c r="S2634" s="176"/>
      <c r="T2634" s="176"/>
      <c r="X2634" s="167"/>
      <c r="BX2634" s="769"/>
      <c r="BY2634"/>
      <c r="BZ2634"/>
      <c r="CA2634"/>
      <c r="CB2634"/>
      <c r="CC2634"/>
      <c r="CD2634"/>
      <c r="CE2634"/>
      <c r="CF2634"/>
      <c r="CG2634"/>
      <c r="CH2634"/>
      <c r="CI2634"/>
      <c r="CJ2634"/>
      <c r="CK2634"/>
      <c r="CL2634"/>
      <c r="CM2634"/>
    </row>
    <row r="2635" spans="1:91" x14ac:dyDescent="0.2">
      <c r="A2635"/>
      <c r="B2635"/>
      <c r="C2635" s="45"/>
      <c r="E2635" s="650"/>
      <c r="F2635" s="650"/>
      <c r="G2635" s="73"/>
      <c r="H2635" s="45"/>
      <c r="I2635" s="111"/>
      <c r="J2635" s="81"/>
      <c r="K2635" s="81"/>
      <c r="L2635" s="499"/>
      <c r="M2635" s="73"/>
      <c r="O2635" s="73"/>
      <c r="P2635" s="73"/>
      <c r="Q2635" s="73"/>
      <c r="R2635" s="176"/>
      <c r="S2635" s="176"/>
      <c r="T2635" s="176"/>
      <c r="X2635" s="167"/>
      <c r="BX2635" s="769"/>
      <c r="BY2635"/>
      <c r="BZ2635"/>
      <c r="CA2635"/>
      <c r="CB2635"/>
      <c r="CC2635"/>
      <c r="CD2635"/>
      <c r="CE2635"/>
      <c r="CF2635"/>
      <c r="CG2635"/>
      <c r="CH2635"/>
      <c r="CI2635"/>
      <c r="CJ2635"/>
      <c r="CK2635"/>
      <c r="CL2635"/>
      <c r="CM2635"/>
    </row>
    <row r="2636" spans="1:91" x14ac:dyDescent="0.2">
      <c r="A2636"/>
      <c r="B2636"/>
      <c r="C2636" s="45"/>
      <c r="E2636" s="650"/>
      <c r="F2636" s="650"/>
      <c r="G2636" s="73"/>
      <c r="H2636" s="45"/>
      <c r="I2636" s="111"/>
      <c r="J2636" s="81"/>
      <c r="K2636" s="81"/>
      <c r="L2636" s="499"/>
      <c r="M2636" s="73"/>
      <c r="O2636" s="73"/>
      <c r="P2636" s="73"/>
      <c r="Q2636" s="73"/>
      <c r="R2636" s="176"/>
      <c r="S2636" s="176"/>
      <c r="T2636" s="176"/>
      <c r="X2636" s="167"/>
      <c r="BX2636" s="769"/>
      <c r="BY2636"/>
      <c r="BZ2636"/>
      <c r="CA2636"/>
      <c r="CB2636"/>
      <c r="CC2636"/>
      <c r="CD2636"/>
      <c r="CE2636"/>
      <c r="CF2636"/>
      <c r="CG2636"/>
      <c r="CH2636"/>
      <c r="CI2636"/>
      <c r="CJ2636"/>
      <c r="CK2636"/>
      <c r="CL2636"/>
      <c r="CM2636"/>
    </row>
    <row r="2637" spans="1:91" x14ac:dyDescent="0.2">
      <c r="A2637"/>
      <c r="B2637"/>
      <c r="C2637" s="45"/>
      <c r="E2637" s="650"/>
      <c r="F2637" s="650"/>
      <c r="G2637" s="73"/>
      <c r="H2637" s="45"/>
      <c r="I2637" s="111"/>
      <c r="J2637" s="81"/>
      <c r="K2637" s="81"/>
      <c r="L2637" s="499"/>
      <c r="M2637" s="73"/>
      <c r="O2637" s="73"/>
      <c r="P2637" s="73"/>
      <c r="Q2637" s="73"/>
      <c r="R2637" s="176"/>
      <c r="S2637" s="176"/>
      <c r="T2637" s="176"/>
      <c r="X2637" s="167"/>
      <c r="BX2637" s="769"/>
      <c r="BY2637"/>
      <c r="BZ2637"/>
      <c r="CA2637"/>
      <c r="CB2637"/>
      <c r="CC2637"/>
      <c r="CD2637"/>
      <c r="CE2637"/>
      <c r="CF2637"/>
      <c r="CG2637"/>
      <c r="CH2637"/>
      <c r="CI2637"/>
      <c r="CJ2637"/>
      <c r="CK2637"/>
      <c r="CL2637"/>
      <c r="CM2637"/>
    </row>
    <row r="2638" spans="1:91" x14ac:dyDescent="0.2">
      <c r="A2638"/>
      <c r="B2638"/>
      <c r="C2638" s="45"/>
      <c r="E2638" s="650"/>
      <c r="F2638" s="650"/>
      <c r="G2638" s="73"/>
      <c r="H2638" s="45"/>
      <c r="I2638" s="111"/>
      <c r="J2638" s="81"/>
      <c r="K2638" s="81"/>
      <c r="L2638" s="499"/>
      <c r="M2638" s="73"/>
      <c r="O2638" s="73"/>
      <c r="P2638" s="73"/>
      <c r="Q2638" s="73"/>
      <c r="R2638" s="176"/>
      <c r="S2638" s="176"/>
      <c r="T2638" s="176"/>
      <c r="X2638" s="167"/>
      <c r="BX2638" s="769"/>
      <c r="BY2638"/>
      <c r="BZ2638"/>
      <c r="CA2638"/>
      <c r="CB2638"/>
      <c r="CC2638"/>
      <c r="CD2638"/>
      <c r="CE2638"/>
      <c r="CF2638"/>
      <c r="CG2638"/>
      <c r="CH2638"/>
      <c r="CI2638"/>
      <c r="CJ2638"/>
      <c r="CK2638"/>
      <c r="CL2638"/>
      <c r="CM2638"/>
    </row>
    <row r="2639" spans="1:91" x14ac:dyDescent="0.2">
      <c r="A2639"/>
      <c r="B2639"/>
      <c r="C2639" s="45"/>
      <c r="E2639" s="650"/>
      <c r="F2639" s="650"/>
      <c r="G2639" s="73"/>
      <c r="H2639" s="45"/>
      <c r="I2639" s="111"/>
      <c r="J2639" s="81"/>
      <c r="K2639" s="81"/>
      <c r="L2639" s="499"/>
      <c r="M2639" s="73"/>
      <c r="O2639" s="73"/>
      <c r="P2639" s="73"/>
      <c r="Q2639" s="73"/>
      <c r="R2639" s="176"/>
      <c r="S2639" s="176"/>
      <c r="T2639" s="176"/>
      <c r="X2639" s="167"/>
      <c r="BX2639" s="769"/>
      <c r="BY2639"/>
      <c r="BZ2639"/>
      <c r="CA2639"/>
      <c r="CB2639"/>
      <c r="CC2639"/>
      <c r="CD2639"/>
      <c r="CE2639"/>
      <c r="CF2639"/>
      <c r="CG2639"/>
      <c r="CH2639"/>
      <c r="CI2639"/>
      <c r="CJ2639"/>
      <c r="CK2639"/>
      <c r="CL2639"/>
      <c r="CM2639"/>
    </row>
    <row r="2640" spans="1:91" x14ac:dyDescent="0.2">
      <c r="A2640"/>
      <c r="B2640"/>
      <c r="C2640" s="45"/>
      <c r="E2640" s="650"/>
      <c r="F2640" s="650"/>
      <c r="G2640" s="73"/>
      <c r="H2640" s="45"/>
      <c r="I2640" s="111"/>
      <c r="J2640" s="81"/>
      <c r="K2640" s="81"/>
      <c r="L2640" s="499"/>
      <c r="M2640" s="73"/>
      <c r="O2640" s="73"/>
      <c r="P2640" s="73"/>
      <c r="Q2640" s="73"/>
      <c r="R2640" s="176"/>
      <c r="S2640" s="176"/>
      <c r="T2640" s="176"/>
      <c r="X2640" s="167"/>
      <c r="BX2640" s="769"/>
      <c r="BY2640"/>
      <c r="BZ2640"/>
      <c r="CA2640"/>
      <c r="CB2640"/>
      <c r="CC2640"/>
      <c r="CD2640"/>
      <c r="CE2640"/>
      <c r="CF2640"/>
      <c r="CG2640"/>
      <c r="CH2640"/>
      <c r="CI2640"/>
      <c r="CJ2640"/>
      <c r="CK2640"/>
      <c r="CL2640"/>
      <c r="CM2640"/>
    </row>
    <row r="2641" spans="1:109" x14ac:dyDescent="0.2">
      <c r="A2641"/>
      <c r="B2641"/>
      <c r="C2641" s="45"/>
      <c r="E2641" s="650"/>
      <c r="F2641" s="650"/>
      <c r="G2641" s="73"/>
      <c r="H2641" s="45"/>
      <c r="I2641" s="111"/>
      <c r="J2641" s="81"/>
      <c r="K2641" s="81"/>
      <c r="L2641" s="499"/>
      <c r="M2641" s="73"/>
      <c r="O2641" s="73"/>
      <c r="P2641" s="73"/>
      <c r="Q2641" s="73"/>
      <c r="R2641" s="176"/>
      <c r="S2641" s="176"/>
      <c r="T2641" s="176"/>
      <c r="X2641" s="167"/>
      <c r="BX2641" s="769"/>
      <c r="BY2641"/>
      <c r="BZ2641"/>
      <c r="CA2641"/>
      <c r="CB2641"/>
      <c r="CC2641"/>
      <c r="CD2641"/>
      <c r="CE2641"/>
      <c r="CF2641"/>
      <c r="CG2641"/>
      <c r="CH2641"/>
      <c r="CI2641"/>
      <c r="CJ2641"/>
      <c r="CK2641"/>
      <c r="CL2641"/>
      <c r="CM2641"/>
    </row>
    <row r="2642" spans="1:109" x14ac:dyDescent="0.2">
      <c r="A2642"/>
      <c r="B2642"/>
      <c r="C2642" s="45"/>
      <c r="E2642" s="650"/>
      <c r="F2642" s="650"/>
      <c r="G2642" s="73"/>
      <c r="H2642" s="45"/>
      <c r="I2642" s="111"/>
      <c r="J2642" s="81"/>
      <c r="K2642" s="81"/>
      <c r="L2642" s="499"/>
      <c r="M2642" s="73"/>
      <c r="O2642" s="73"/>
      <c r="P2642" s="73"/>
      <c r="Q2642" s="73"/>
      <c r="R2642" s="176"/>
      <c r="S2642" s="176"/>
      <c r="T2642" s="176"/>
      <c r="X2642" s="167"/>
      <c r="BX2642" s="769"/>
      <c r="BY2642"/>
      <c r="BZ2642"/>
      <c r="CA2642"/>
      <c r="CB2642"/>
      <c r="CC2642"/>
      <c r="CD2642"/>
      <c r="CE2642"/>
      <c r="CF2642"/>
      <c r="CG2642"/>
      <c r="CH2642"/>
      <c r="CI2642"/>
      <c r="CJ2642"/>
      <c r="CK2642"/>
      <c r="CL2642"/>
      <c r="CM2642"/>
    </row>
    <row r="2643" spans="1:109" x14ac:dyDescent="0.2">
      <c r="A2643"/>
      <c r="B2643"/>
      <c r="C2643" s="45"/>
      <c r="E2643" s="650"/>
      <c r="F2643" s="650"/>
      <c r="G2643" s="73"/>
      <c r="H2643" s="45"/>
      <c r="I2643" s="111"/>
      <c r="J2643" s="81"/>
      <c r="K2643" s="81"/>
      <c r="L2643" s="499"/>
      <c r="M2643" s="73"/>
      <c r="O2643" s="73"/>
      <c r="P2643" s="73"/>
      <c r="Q2643" s="73"/>
      <c r="R2643" s="176"/>
      <c r="S2643" s="176"/>
      <c r="T2643" s="176"/>
      <c r="X2643" s="167"/>
      <c r="BX2643" s="769"/>
      <c r="BY2643"/>
      <c r="BZ2643"/>
      <c r="CA2643"/>
      <c r="CB2643"/>
      <c r="CC2643"/>
      <c r="CD2643"/>
      <c r="CE2643"/>
      <c r="CF2643"/>
      <c r="CG2643"/>
      <c r="CH2643"/>
      <c r="CI2643"/>
      <c r="CJ2643"/>
      <c r="CK2643"/>
      <c r="CL2643"/>
      <c r="CM2643"/>
      <c r="CS2643" s="650"/>
      <c r="CT2643" s="45"/>
      <c r="CU2643" s="73"/>
      <c r="CV2643" s="73"/>
      <c r="CW2643" s="73"/>
      <c r="CX2643" s="73"/>
      <c r="CY2643" s="45"/>
      <c r="CZ2643" s="45"/>
      <c r="DA2643" s="650"/>
    </row>
    <row r="2644" spans="1:109" x14ac:dyDescent="0.2">
      <c r="A2644"/>
      <c r="B2644"/>
      <c r="C2644" s="45"/>
      <c r="E2644" s="650"/>
      <c r="F2644" s="650"/>
      <c r="G2644" s="73"/>
      <c r="H2644" s="45"/>
      <c r="I2644" s="111"/>
      <c r="J2644" s="81"/>
      <c r="K2644" s="81"/>
      <c r="L2644" s="499"/>
      <c r="M2644" s="73"/>
      <c r="O2644" s="73"/>
      <c r="P2644" s="73"/>
      <c r="Q2644" s="73"/>
      <c r="R2644" s="176"/>
      <c r="S2644" s="176"/>
      <c r="T2644" s="176"/>
      <c r="X2644" s="167"/>
      <c r="BX2644" s="769"/>
      <c r="BY2644"/>
      <c r="BZ2644"/>
      <c r="CA2644"/>
      <c r="CB2644"/>
      <c r="CC2644"/>
      <c r="CD2644"/>
      <c r="CE2644"/>
      <c r="CF2644"/>
      <c r="CG2644"/>
      <c r="CH2644"/>
      <c r="CI2644"/>
      <c r="CJ2644"/>
      <c r="CK2644"/>
      <c r="CL2644"/>
      <c r="CM2644"/>
      <c r="CS2644" s="650"/>
      <c r="CT2644" s="45"/>
      <c r="CU2644" s="73"/>
      <c r="CV2644" s="73"/>
      <c r="CW2644" s="73"/>
      <c r="CX2644" s="73"/>
      <c r="CY2644" s="45"/>
      <c r="CZ2644" s="45"/>
      <c r="DA2644" s="650"/>
    </row>
    <row r="2645" spans="1:109" x14ac:dyDescent="0.2">
      <c r="A2645"/>
      <c r="B2645"/>
      <c r="C2645" s="45"/>
      <c r="E2645" s="650"/>
      <c r="F2645" s="650"/>
      <c r="G2645" s="73"/>
      <c r="H2645" s="45"/>
      <c r="I2645" s="111"/>
      <c r="J2645" s="81"/>
      <c r="K2645" s="81"/>
      <c r="L2645" s="499"/>
      <c r="M2645" s="73"/>
      <c r="O2645" s="73"/>
      <c r="P2645" s="73"/>
      <c r="Q2645" s="73"/>
      <c r="R2645" s="176"/>
      <c r="S2645" s="176"/>
      <c r="T2645" s="176"/>
      <c r="X2645" s="167"/>
      <c r="BX2645" s="769"/>
      <c r="BY2645"/>
      <c r="BZ2645"/>
      <c r="CA2645"/>
      <c r="CB2645"/>
      <c r="CC2645"/>
      <c r="CD2645"/>
      <c r="CE2645"/>
      <c r="CF2645"/>
      <c r="CG2645"/>
      <c r="CH2645"/>
      <c r="CI2645"/>
      <c r="CJ2645"/>
      <c r="CK2645"/>
      <c r="CL2645"/>
      <c r="CM2645"/>
      <c r="CS2645" s="650"/>
      <c r="CT2645" s="45"/>
      <c r="CU2645" s="73"/>
      <c r="CV2645" s="73"/>
      <c r="CW2645" s="73"/>
      <c r="CX2645" s="73"/>
      <c r="CY2645" s="45"/>
      <c r="CZ2645" s="45"/>
      <c r="DA2645" s="650"/>
      <c r="DB2645" s="45"/>
    </row>
    <row r="2646" spans="1:109" x14ac:dyDescent="0.2">
      <c r="A2646"/>
      <c r="B2646"/>
      <c r="C2646" s="45"/>
      <c r="E2646" s="650"/>
      <c r="F2646" s="650"/>
      <c r="G2646" s="73"/>
      <c r="H2646" s="45"/>
      <c r="I2646" s="111"/>
      <c r="J2646" s="81"/>
      <c r="K2646" s="81"/>
      <c r="L2646" s="499"/>
      <c r="M2646" s="73"/>
      <c r="O2646" s="73"/>
      <c r="P2646" s="73"/>
      <c r="Q2646" s="73"/>
      <c r="R2646" s="176"/>
      <c r="S2646" s="176"/>
      <c r="T2646" s="176"/>
      <c r="X2646" s="167"/>
      <c r="BX2646" s="769"/>
      <c r="BY2646"/>
      <c r="BZ2646"/>
      <c r="CA2646"/>
      <c r="CB2646"/>
      <c r="CC2646"/>
      <c r="CD2646"/>
      <c r="CE2646"/>
      <c r="CF2646"/>
      <c r="CG2646"/>
      <c r="CH2646"/>
      <c r="CI2646"/>
      <c r="CJ2646"/>
      <c r="CK2646"/>
      <c r="CL2646"/>
      <c r="CM2646"/>
      <c r="CR2646" s="416"/>
      <c r="CS2646" s="650"/>
      <c r="CT2646" s="45"/>
      <c r="CU2646" s="73"/>
      <c r="CV2646" s="73"/>
      <c r="CW2646" s="73"/>
      <c r="CX2646" s="73"/>
      <c r="CY2646" s="45"/>
      <c r="CZ2646" s="45"/>
      <c r="DA2646" s="650"/>
      <c r="DB2646" s="45"/>
      <c r="DC2646" s="45"/>
    </row>
    <row r="2647" spans="1:109" x14ac:dyDescent="0.2">
      <c r="A2647"/>
      <c r="B2647"/>
      <c r="C2647" s="45"/>
      <c r="E2647" s="650"/>
      <c r="F2647" s="650"/>
      <c r="G2647" s="73"/>
      <c r="H2647" s="45"/>
      <c r="I2647" s="111"/>
      <c r="J2647" s="81"/>
      <c r="K2647" s="81"/>
      <c r="L2647" s="499"/>
      <c r="M2647" s="73"/>
      <c r="O2647" s="73"/>
      <c r="P2647" s="73"/>
      <c r="Q2647" s="73"/>
      <c r="R2647" s="176"/>
      <c r="S2647" s="176"/>
      <c r="T2647" s="176"/>
      <c r="X2647" s="167"/>
      <c r="BX2647" s="769"/>
      <c r="BY2647"/>
      <c r="BZ2647"/>
      <c r="CA2647"/>
      <c r="CB2647"/>
      <c r="CC2647"/>
      <c r="CD2647"/>
      <c r="CE2647"/>
      <c r="CF2647"/>
      <c r="CG2647"/>
      <c r="CH2647"/>
      <c r="CI2647"/>
      <c r="CJ2647"/>
      <c r="CK2647"/>
      <c r="CL2647"/>
      <c r="CM2647"/>
      <c r="CR2647" s="416"/>
      <c r="CS2647" s="650"/>
      <c r="CT2647" s="45"/>
      <c r="CU2647" s="73"/>
      <c r="CV2647" s="73"/>
      <c r="CW2647" s="73"/>
      <c r="CX2647" s="73"/>
      <c r="CY2647" s="45"/>
      <c r="CZ2647" s="45"/>
      <c r="DA2647" s="650"/>
      <c r="DB2647" s="45"/>
      <c r="DC2647" s="45"/>
    </row>
    <row r="2648" spans="1:109" x14ac:dyDescent="0.2">
      <c r="A2648"/>
      <c r="B2648"/>
      <c r="C2648" s="45"/>
      <c r="E2648" s="650"/>
      <c r="F2648" s="650"/>
      <c r="G2648" s="73"/>
      <c r="H2648" s="45"/>
      <c r="I2648" s="111"/>
      <c r="J2648" s="81"/>
      <c r="K2648" s="81"/>
      <c r="L2648" s="499"/>
      <c r="M2648" s="73"/>
      <c r="O2648" s="73"/>
      <c r="P2648" s="73"/>
      <c r="Q2648" s="73"/>
      <c r="R2648" s="176"/>
      <c r="S2648" s="176"/>
      <c r="T2648" s="176"/>
      <c r="X2648" s="167"/>
      <c r="BX2648" s="769"/>
      <c r="BY2648"/>
      <c r="BZ2648"/>
      <c r="CA2648"/>
      <c r="CB2648"/>
      <c r="CC2648"/>
      <c r="CD2648"/>
      <c r="CE2648"/>
      <c r="CF2648"/>
      <c r="CG2648"/>
      <c r="CH2648"/>
      <c r="CI2648"/>
      <c r="CJ2648"/>
      <c r="CK2648"/>
      <c r="CL2648"/>
      <c r="CM2648"/>
      <c r="CR2648" s="416"/>
      <c r="CS2648" s="650"/>
      <c r="CT2648" s="45"/>
      <c r="CU2648" s="73"/>
      <c r="CV2648" s="73"/>
      <c r="CW2648" s="73"/>
      <c r="CX2648" s="73"/>
      <c r="CY2648" s="45"/>
      <c r="CZ2648" s="45"/>
      <c r="DA2648" s="650"/>
      <c r="DB2648" s="45"/>
      <c r="DC2648" s="45"/>
    </row>
    <row r="2649" spans="1:109" x14ac:dyDescent="0.2">
      <c r="A2649"/>
      <c r="B2649"/>
      <c r="C2649" s="45"/>
      <c r="E2649" s="650"/>
      <c r="F2649" s="650"/>
      <c r="G2649" s="73"/>
      <c r="H2649" s="45"/>
      <c r="I2649" s="111"/>
      <c r="J2649" s="81"/>
      <c r="K2649" s="81"/>
      <c r="L2649" s="499"/>
      <c r="M2649" s="73"/>
      <c r="O2649" s="73"/>
      <c r="P2649" s="73"/>
      <c r="Q2649" s="73"/>
      <c r="R2649" s="176"/>
      <c r="S2649" s="176"/>
      <c r="T2649" s="176"/>
      <c r="X2649" s="167"/>
      <c r="BX2649" s="769"/>
      <c r="BY2649"/>
      <c r="BZ2649"/>
      <c r="CA2649"/>
      <c r="CB2649"/>
      <c r="CC2649"/>
      <c r="CD2649"/>
      <c r="CE2649"/>
      <c r="CF2649"/>
      <c r="CG2649"/>
      <c r="CH2649"/>
      <c r="CI2649"/>
      <c r="CJ2649"/>
      <c r="CK2649"/>
      <c r="CL2649"/>
      <c r="CM2649"/>
      <c r="CR2649" s="416"/>
      <c r="CS2649" s="650"/>
      <c r="CT2649" s="45"/>
      <c r="CU2649" s="73"/>
      <c r="CV2649" s="73"/>
      <c r="CW2649" s="73"/>
      <c r="CX2649" s="73"/>
      <c r="CY2649" s="45"/>
      <c r="CZ2649" s="45"/>
      <c r="DA2649" s="650"/>
      <c r="DB2649" s="45"/>
      <c r="DC2649" s="45"/>
    </row>
    <row r="2650" spans="1:109" x14ac:dyDescent="0.2">
      <c r="A2650"/>
      <c r="B2650"/>
      <c r="C2650" s="45"/>
      <c r="E2650" s="650"/>
      <c r="F2650" s="650"/>
      <c r="G2650" s="73"/>
      <c r="H2650" s="45"/>
      <c r="I2650" s="111"/>
      <c r="J2650" s="81"/>
      <c r="K2650" s="81"/>
      <c r="L2650" s="499"/>
      <c r="M2650" s="73"/>
      <c r="O2650" s="73"/>
      <c r="P2650" s="73"/>
      <c r="Q2650" s="73"/>
      <c r="R2650" s="176"/>
      <c r="S2650" s="176"/>
      <c r="T2650" s="176"/>
      <c r="X2650" s="167"/>
      <c r="BX2650" s="769"/>
      <c r="BY2650"/>
      <c r="BZ2650"/>
      <c r="CA2650"/>
      <c r="CB2650"/>
      <c r="CC2650"/>
      <c r="CD2650"/>
      <c r="CE2650"/>
      <c r="CF2650"/>
      <c r="CG2650"/>
      <c r="CH2650"/>
      <c r="CI2650"/>
      <c r="CJ2650"/>
      <c r="CK2650"/>
      <c r="CL2650"/>
      <c r="CM2650"/>
      <c r="CR2650" s="416"/>
      <c r="CS2650" s="650"/>
      <c r="CT2650" s="45"/>
      <c r="CU2650" s="73"/>
      <c r="CV2650" s="73"/>
      <c r="CW2650" s="73"/>
      <c r="CX2650" s="73"/>
      <c r="CY2650" s="45"/>
      <c r="CZ2650" s="45"/>
      <c r="DA2650" s="650"/>
      <c r="DB2650" s="45"/>
      <c r="DC2650" s="45"/>
      <c r="DD2650" s="45"/>
    </row>
    <row r="2651" spans="1:109" x14ac:dyDescent="0.2">
      <c r="A2651"/>
      <c r="B2651"/>
      <c r="C2651" s="45"/>
      <c r="E2651" s="650"/>
      <c r="F2651" s="650"/>
      <c r="G2651" s="73"/>
      <c r="H2651" s="45"/>
      <c r="I2651" s="111"/>
      <c r="J2651" s="81"/>
      <c r="K2651" s="81"/>
      <c r="L2651" s="499"/>
      <c r="M2651" s="73"/>
      <c r="O2651" s="73"/>
      <c r="P2651" s="73"/>
      <c r="Q2651" s="73"/>
      <c r="R2651" s="176"/>
      <c r="S2651" s="176"/>
      <c r="T2651" s="176"/>
      <c r="X2651" s="167"/>
      <c r="BX2651" s="769"/>
      <c r="BY2651"/>
      <c r="BZ2651"/>
      <c r="CA2651"/>
      <c r="CB2651"/>
      <c r="CC2651"/>
      <c r="CD2651"/>
      <c r="CE2651"/>
      <c r="CF2651"/>
      <c r="CG2651"/>
      <c r="CH2651"/>
      <c r="CI2651"/>
      <c r="CJ2651"/>
      <c r="CK2651"/>
      <c r="CL2651"/>
      <c r="CM2651"/>
      <c r="CR2651" s="416"/>
      <c r="CS2651" s="650"/>
      <c r="CT2651" s="45"/>
      <c r="CU2651" s="73"/>
      <c r="CV2651" s="73"/>
      <c r="CW2651" s="73"/>
      <c r="CX2651" s="73"/>
      <c r="CY2651" s="45"/>
      <c r="CZ2651" s="45"/>
      <c r="DA2651" s="650"/>
      <c r="DB2651" s="45"/>
      <c r="DC2651" s="45"/>
      <c r="DD2651" s="45"/>
      <c r="DE2651" s="45"/>
    </row>
    <row r="2652" spans="1:109" x14ac:dyDescent="0.2">
      <c r="A2652"/>
      <c r="B2652"/>
      <c r="C2652" s="45"/>
      <c r="E2652" s="650"/>
      <c r="F2652" s="650"/>
      <c r="G2652" s="73"/>
      <c r="H2652" s="45"/>
      <c r="I2652" s="111"/>
      <c r="J2652" s="81"/>
      <c r="K2652" s="81"/>
      <c r="L2652" s="499"/>
      <c r="M2652" s="73"/>
      <c r="O2652" s="73"/>
      <c r="P2652" s="73"/>
      <c r="Q2652" s="73"/>
      <c r="R2652" s="176"/>
      <c r="S2652" s="176"/>
      <c r="T2652" s="176"/>
      <c r="X2652" s="167"/>
      <c r="BX2652" s="769"/>
      <c r="BY2652"/>
      <c r="BZ2652"/>
      <c r="CA2652"/>
      <c r="CB2652"/>
      <c r="CC2652"/>
      <c r="CD2652"/>
      <c r="CE2652"/>
      <c r="CF2652"/>
      <c r="CG2652"/>
      <c r="CH2652"/>
      <c r="CI2652"/>
      <c r="CJ2652"/>
      <c r="CK2652"/>
      <c r="CL2652"/>
      <c r="CM2652"/>
      <c r="CR2652" s="416"/>
      <c r="CS2652" s="650"/>
      <c r="CT2652" s="45"/>
      <c r="CU2652" s="73"/>
      <c r="CV2652" s="73"/>
      <c r="CW2652" s="73"/>
      <c r="CX2652" s="73"/>
      <c r="CY2652" s="45"/>
      <c r="CZ2652" s="45"/>
      <c r="DA2652" s="650"/>
      <c r="DB2652" s="45"/>
      <c r="DC2652" s="45"/>
      <c r="DD2652" s="45"/>
      <c r="DE2652" s="45"/>
    </row>
    <row r="2653" spans="1:109" x14ac:dyDescent="0.2">
      <c r="A2653"/>
      <c r="B2653"/>
      <c r="C2653" s="45"/>
      <c r="E2653" s="650"/>
      <c r="F2653" s="650"/>
      <c r="G2653" s="73"/>
      <c r="H2653" s="45"/>
      <c r="I2653" s="111"/>
      <c r="J2653" s="81"/>
      <c r="K2653" s="81"/>
      <c r="L2653" s="499"/>
      <c r="M2653" s="73"/>
      <c r="O2653" s="73"/>
      <c r="P2653" s="73"/>
      <c r="Q2653" s="73"/>
      <c r="R2653" s="176"/>
      <c r="S2653" s="176"/>
      <c r="T2653" s="176"/>
      <c r="X2653" s="167"/>
      <c r="BX2653" s="769"/>
      <c r="BY2653"/>
      <c r="BZ2653"/>
      <c r="CA2653"/>
      <c r="CB2653"/>
      <c r="CC2653"/>
      <c r="CD2653"/>
      <c r="CE2653"/>
      <c r="CF2653"/>
      <c r="CG2653"/>
      <c r="CH2653"/>
      <c r="CI2653"/>
      <c r="CJ2653"/>
      <c r="CK2653"/>
      <c r="CL2653"/>
      <c r="CM2653"/>
      <c r="CR2653" s="416"/>
      <c r="CS2653" s="650"/>
      <c r="CT2653" s="45"/>
      <c r="CU2653" s="73"/>
      <c r="CV2653" s="73"/>
      <c r="CW2653" s="73"/>
      <c r="CX2653" s="73"/>
      <c r="CY2653" s="45"/>
      <c r="CZ2653" s="45"/>
      <c r="DA2653" s="650"/>
      <c r="DB2653" s="45"/>
      <c r="DC2653" s="45"/>
      <c r="DD2653" s="45"/>
      <c r="DE2653" s="45"/>
    </row>
    <row r="2654" spans="1:109" x14ac:dyDescent="0.2">
      <c r="A2654"/>
      <c r="B2654"/>
      <c r="C2654" s="45"/>
      <c r="E2654" s="650"/>
      <c r="F2654" s="650"/>
      <c r="G2654" s="73"/>
      <c r="H2654" s="45"/>
      <c r="I2654" s="111"/>
      <c r="J2654" s="81"/>
      <c r="K2654" s="81"/>
      <c r="L2654" s="499"/>
      <c r="M2654" s="73"/>
      <c r="O2654" s="73"/>
      <c r="P2654" s="73"/>
      <c r="Q2654" s="73"/>
      <c r="R2654" s="176"/>
      <c r="S2654" s="176"/>
      <c r="T2654" s="176"/>
      <c r="X2654" s="167"/>
      <c r="BX2654" s="769"/>
      <c r="BY2654"/>
      <c r="BZ2654"/>
      <c r="CA2654"/>
      <c r="CB2654"/>
      <c r="CC2654"/>
      <c r="CD2654"/>
      <c r="CE2654"/>
      <c r="CF2654"/>
      <c r="CG2654"/>
      <c r="CH2654"/>
      <c r="CI2654"/>
      <c r="CJ2654"/>
      <c r="CK2654"/>
      <c r="CL2654"/>
      <c r="CM2654"/>
      <c r="CR2654" s="416"/>
      <c r="CS2654" s="650"/>
      <c r="CT2654" s="45"/>
      <c r="CU2654" s="73"/>
      <c r="CV2654" s="73"/>
      <c r="CW2654" s="73"/>
      <c r="CX2654" s="73"/>
      <c r="CY2654" s="45"/>
      <c r="CZ2654" s="45"/>
      <c r="DA2654" s="650"/>
      <c r="DB2654" s="45"/>
      <c r="DC2654" s="45"/>
      <c r="DD2654" s="45"/>
      <c r="DE2654" s="45"/>
    </row>
    <row r="2655" spans="1:109" x14ac:dyDescent="0.2">
      <c r="A2655"/>
      <c r="B2655"/>
      <c r="C2655" s="45"/>
      <c r="E2655" s="650"/>
      <c r="F2655" s="650"/>
      <c r="G2655" s="73"/>
      <c r="H2655" s="45"/>
      <c r="I2655" s="111"/>
      <c r="J2655" s="81"/>
      <c r="K2655" s="81"/>
      <c r="L2655" s="499"/>
      <c r="M2655" s="73"/>
      <c r="O2655" s="73"/>
      <c r="P2655" s="73"/>
      <c r="Q2655" s="73"/>
      <c r="R2655" s="176"/>
      <c r="S2655" s="176"/>
      <c r="T2655" s="176"/>
      <c r="X2655" s="167"/>
      <c r="BX2655" s="769"/>
      <c r="BY2655"/>
      <c r="BZ2655"/>
      <c r="CA2655"/>
      <c r="CB2655"/>
      <c r="CC2655"/>
      <c r="CD2655"/>
      <c r="CE2655"/>
      <c r="CF2655"/>
      <c r="CG2655"/>
      <c r="CH2655"/>
      <c r="CI2655"/>
      <c r="CJ2655"/>
      <c r="CK2655"/>
      <c r="CL2655"/>
      <c r="CM2655"/>
      <c r="CR2655" s="416"/>
      <c r="CS2655" s="650"/>
      <c r="CT2655" s="45"/>
      <c r="CU2655" s="73"/>
      <c r="CV2655" s="73"/>
      <c r="CW2655" s="73"/>
      <c r="CX2655" s="73"/>
      <c r="CY2655" s="45"/>
      <c r="CZ2655" s="45"/>
      <c r="DA2655" s="650"/>
      <c r="DB2655" s="45"/>
      <c r="DC2655" s="45"/>
      <c r="DD2655" s="45"/>
      <c r="DE2655" s="45"/>
    </row>
    <row r="2656" spans="1:109" x14ac:dyDescent="0.2">
      <c r="A2656"/>
      <c r="B2656"/>
      <c r="C2656" s="45"/>
      <c r="E2656" s="650"/>
      <c r="F2656" s="650"/>
      <c r="G2656" s="73"/>
      <c r="H2656" s="45"/>
      <c r="I2656" s="111"/>
      <c r="J2656" s="81"/>
      <c r="K2656" s="81"/>
      <c r="L2656" s="499"/>
      <c r="M2656" s="73"/>
      <c r="O2656" s="73"/>
      <c r="P2656" s="73"/>
      <c r="Q2656" s="73"/>
      <c r="R2656" s="176"/>
      <c r="S2656" s="176"/>
      <c r="T2656" s="176"/>
      <c r="X2656" s="167"/>
      <c r="BX2656" s="769"/>
      <c r="BY2656"/>
      <c r="BZ2656"/>
      <c r="CA2656"/>
      <c r="CB2656"/>
      <c r="CC2656"/>
      <c r="CD2656"/>
      <c r="CE2656"/>
      <c r="CF2656"/>
      <c r="CG2656"/>
      <c r="CH2656"/>
      <c r="CI2656"/>
      <c r="CJ2656"/>
      <c r="CK2656"/>
      <c r="CL2656"/>
      <c r="CM2656"/>
      <c r="CR2656" s="416"/>
      <c r="CS2656" s="650"/>
      <c r="CT2656" s="45"/>
      <c r="CU2656" s="73"/>
      <c r="CV2656" s="73"/>
      <c r="CW2656" s="73"/>
      <c r="CX2656" s="73"/>
      <c r="CY2656" s="45"/>
      <c r="CZ2656" s="45"/>
      <c r="DA2656" s="650"/>
      <c r="DB2656" s="45"/>
      <c r="DC2656" s="45"/>
      <c r="DD2656" s="45"/>
      <c r="DE2656" s="45"/>
    </row>
    <row r="2657" spans="1:109" x14ac:dyDescent="0.2">
      <c r="A2657"/>
      <c r="B2657"/>
      <c r="C2657" s="45"/>
      <c r="E2657" s="650"/>
      <c r="F2657" s="650"/>
      <c r="G2657" s="73"/>
      <c r="H2657" s="45"/>
      <c r="I2657" s="111"/>
      <c r="J2657" s="81"/>
      <c r="K2657" s="81"/>
      <c r="L2657" s="499"/>
      <c r="M2657" s="73"/>
      <c r="O2657" s="73"/>
      <c r="P2657" s="73"/>
      <c r="Q2657" s="73"/>
      <c r="R2657" s="176"/>
      <c r="S2657" s="176"/>
      <c r="T2657" s="176"/>
      <c r="X2657" s="167"/>
      <c r="BX2657" s="769"/>
      <c r="BY2657"/>
      <c r="BZ2657"/>
      <c r="CA2657"/>
      <c r="CB2657"/>
      <c r="CC2657"/>
      <c r="CD2657"/>
      <c r="CE2657"/>
      <c r="CF2657"/>
      <c r="CG2657"/>
      <c r="CH2657"/>
      <c r="CI2657"/>
      <c r="CJ2657"/>
      <c r="CK2657"/>
      <c r="CL2657"/>
      <c r="CM2657"/>
      <c r="CR2657" s="416"/>
      <c r="CS2657" s="650"/>
      <c r="CT2657" s="45"/>
      <c r="CU2657" s="73"/>
      <c r="CV2657" s="73"/>
      <c r="CW2657" s="73"/>
      <c r="CX2657" s="73"/>
      <c r="CY2657" s="45"/>
      <c r="CZ2657" s="45"/>
      <c r="DA2657" s="650"/>
      <c r="DB2657" s="45"/>
      <c r="DC2657" s="45"/>
      <c r="DD2657" s="45"/>
      <c r="DE2657" s="45"/>
    </row>
    <row r="2658" spans="1:109" x14ac:dyDescent="0.2">
      <c r="A2658"/>
      <c r="B2658"/>
      <c r="C2658" s="45"/>
      <c r="E2658" s="650"/>
      <c r="F2658" s="650"/>
      <c r="G2658" s="73"/>
      <c r="H2658" s="45"/>
      <c r="I2658" s="111"/>
      <c r="J2658" s="81"/>
      <c r="K2658" s="81"/>
      <c r="L2658" s="499"/>
      <c r="M2658" s="73"/>
      <c r="O2658" s="73"/>
      <c r="P2658" s="73"/>
      <c r="Q2658" s="73"/>
      <c r="R2658" s="176"/>
      <c r="S2658" s="176"/>
      <c r="T2658" s="176"/>
      <c r="X2658" s="167"/>
      <c r="BX2658" s="769"/>
      <c r="BY2658"/>
      <c r="BZ2658"/>
      <c r="CA2658"/>
      <c r="CB2658"/>
      <c r="CC2658"/>
      <c r="CD2658"/>
      <c r="CE2658"/>
      <c r="CF2658"/>
      <c r="CG2658"/>
      <c r="CH2658"/>
      <c r="CI2658"/>
      <c r="CJ2658"/>
      <c r="CK2658"/>
      <c r="CL2658"/>
      <c r="CM2658"/>
      <c r="CR2658" s="416"/>
      <c r="CS2658" s="650"/>
      <c r="CT2658" s="45"/>
      <c r="CU2658" s="73"/>
      <c r="CV2658" s="73"/>
      <c r="CW2658" s="73"/>
      <c r="CX2658" s="73"/>
      <c r="CY2658" s="45"/>
      <c r="CZ2658" s="45"/>
      <c r="DA2658" s="650"/>
      <c r="DB2658" s="45"/>
      <c r="DC2658" s="45"/>
      <c r="DD2658" s="45"/>
      <c r="DE2658" s="45"/>
    </row>
    <row r="2659" spans="1:109" x14ac:dyDescent="0.2">
      <c r="A2659"/>
      <c r="B2659"/>
      <c r="C2659" s="45"/>
      <c r="E2659" s="650"/>
      <c r="F2659" s="650"/>
      <c r="G2659" s="73"/>
      <c r="H2659" s="45"/>
      <c r="I2659" s="111"/>
      <c r="J2659" s="81"/>
      <c r="K2659" s="81"/>
      <c r="L2659" s="499"/>
      <c r="M2659" s="73"/>
      <c r="O2659" s="73"/>
      <c r="P2659" s="73"/>
      <c r="Q2659" s="73"/>
      <c r="R2659" s="176"/>
      <c r="S2659" s="176"/>
      <c r="T2659" s="176"/>
      <c r="X2659" s="167"/>
      <c r="BX2659" s="769"/>
      <c r="BY2659"/>
      <c r="BZ2659"/>
      <c r="CA2659"/>
      <c r="CB2659"/>
      <c r="CC2659"/>
      <c r="CD2659"/>
      <c r="CE2659"/>
      <c r="CF2659"/>
      <c r="CG2659"/>
      <c r="CH2659"/>
      <c r="CI2659"/>
      <c r="CJ2659"/>
      <c r="CK2659"/>
      <c r="CL2659"/>
      <c r="CM2659"/>
      <c r="CR2659" s="416"/>
      <c r="CS2659" s="650"/>
      <c r="CT2659" s="45"/>
      <c r="CU2659" s="73"/>
      <c r="CV2659" s="73"/>
      <c r="CW2659" s="73"/>
      <c r="CX2659" s="73"/>
      <c r="CY2659" s="45"/>
      <c r="CZ2659" s="45"/>
      <c r="DA2659" s="650"/>
      <c r="DB2659" s="45"/>
      <c r="DC2659" s="45"/>
      <c r="DD2659" s="45"/>
      <c r="DE2659" s="45"/>
    </row>
    <row r="2660" spans="1:109" x14ac:dyDescent="0.2">
      <c r="A2660"/>
      <c r="B2660"/>
      <c r="C2660" s="45"/>
      <c r="E2660" s="650"/>
      <c r="F2660" s="650"/>
      <c r="G2660" s="73"/>
      <c r="H2660" s="45"/>
      <c r="I2660" s="111"/>
      <c r="J2660" s="81"/>
      <c r="K2660" s="81"/>
      <c r="L2660" s="499"/>
      <c r="M2660" s="73"/>
      <c r="O2660" s="73"/>
      <c r="P2660" s="73"/>
      <c r="Q2660" s="73"/>
      <c r="R2660" s="176"/>
      <c r="S2660" s="176"/>
      <c r="T2660" s="176"/>
      <c r="X2660" s="167"/>
      <c r="BX2660" s="769"/>
      <c r="BY2660"/>
      <c r="BZ2660"/>
      <c r="CA2660"/>
      <c r="CB2660"/>
      <c r="CC2660"/>
      <c r="CD2660"/>
      <c r="CE2660"/>
      <c r="CF2660"/>
      <c r="CG2660"/>
      <c r="CH2660"/>
      <c r="CI2660"/>
      <c r="CJ2660"/>
      <c r="CK2660"/>
      <c r="CL2660"/>
      <c r="CM2660"/>
      <c r="CR2660" s="416"/>
      <c r="CS2660" s="650"/>
      <c r="CT2660" s="45"/>
      <c r="CU2660" s="73"/>
      <c r="CV2660" s="73"/>
      <c r="CW2660" s="73"/>
      <c r="CX2660" s="73"/>
      <c r="CY2660" s="45"/>
      <c r="CZ2660" s="45"/>
      <c r="DA2660" s="650"/>
      <c r="DB2660" s="45"/>
      <c r="DC2660" s="45"/>
      <c r="DD2660" s="45"/>
      <c r="DE2660" s="45"/>
    </row>
    <row r="2661" spans="1:109" x14ac:dyDescent="0.2">
      <c r="A2661"/>
      <c r="B2661"/>
      <c r="C2661" s="45"/>
      <c r="E2661" s="650"/>
      <c r="F2661" s="650"/>
      <c r="G2661" s="73"/>
      <c r="H2661" s="45"/>
      <c r="I2661" s="111"/>
      <c r="J2661" s="81"/>
      <c r="K2661" s="81"/>
      <c r="L2661" s="499"/>
      <c r="M2661" s="73"/>
      <c r="O2661" s="73"/>
      <c r="P2661" s="73"/>
      <c r="Q2661" s="73"/>
      <c r="R2661" s="176"/>
      <c r="S2661" s="176"/>
      <c r="T2661" s="176"/>
      <c r="X2661" s="167"/>
      <c r="BX2661" s="769"/>
      <c r="BY2661"/>
      <c r="BZ2661"/>
      <c r="CA2661"/>
      <c r="CB2661"/>
      <c r="CC2661"/>
      <c r="CD2661"/>
      <c r="CE2661"/>
      <c r="CF2661"/>
      <c r="CG2661"/>
      <c r="CH2661"/>
      <c r="CI2661"/>
      <c r="CJ2661"/>
      <c r="CK2661"/>
      <c r="CL2661"/>
      <c r="CM2661"/>
      <c r="CR2661" s="416"/>
      <c r="CS2661" s="650"/>
      <c r="CT2661" s="45"/>
      <c r="CU2661" s="73"/>
      <c r="CV2661" s="73"/>
      <c r="CW2661" s="73"/>
      <c r="CX2661" s="73"/>
      <c r="CY2661" s="45"/>
      <c r="CZ2661" s="45"/>
      <c r="DA2661" s="650"/>
      <c r="DB2661" s="45"/>
      <c r="DC2661" s="45"/>
      <c r="DD2661" s="45"/>
      <c r="DE2661" s="45"/>
    </row>
    <row r="2662" spans="1:109" x14ac:dyDescent="0.2">
      <c r="A2662"/>
      <c r="B2662"/>
      <c r="C2662" s="45"/>
      <c r="E2662" s="650"/>
      <c r="F2662" s="650"/>
      <c r="G2662" s="73"/>
      <c r="H2662" s="45"/>
      <c r="I2662" s="111"/>
      <c r="J2662" s="81"/>
      <c r="K2662" s="81"/>
      <c r="L2662" s="499"/>
      <c r="M2662" s="73"/>
      <c r="O2662" s="73"/>
      <c r="P2662" s="73"/>
      <c r="Q2662" s="73"/>
      <c r="R2662" s="176"/>
      <c r="S2662" s="176"/>
      <c r="T2662" s="176"/>
      <c r="X2662" s="167"/>
      <c r="BX2662" s="769"/>
      <c r="BY2662"/>
      <c r="BZ2662"/>
      <c r="CA2662"/>
      <c r="CB2662"/>
      <c r="CC2662"/>
      <c r="CD2662"/>
      <c r="CE2662"/>
      <c r="CF2662"/>
      <c r="CG2662"/>
      <c r="CH2662"/>
      <c r="CI2662"/>
      <c r="CJ2662"/>
      <c r="CK2662"/>
      <c r="CL2662"/>
      <c r="CM2662"/>
      <c r="CR2662" s="416"/>
      <c r="CS2662" s="650"/>
      <c r="CT2662" s="45"/>
      <c r="CU2662" s="73"/>
      <c r="CV2662" s="73"/>
      <c r="CW2662" s="73"/>
      <c r="CX2662" s="73"/>
      <c r="CY2662" s="45"/>
      <c r="CZ2662" s="45"/>
      <c r="DA2662" s="650"/>
      <c r="DB2662" s="45"/>
      <c r="DC2662" s="45"/>
      <c r="DD2662" s="45"/>
      <c r="DE2662" s="45"/>
    </row>
    <row r="2663" spans="1:109" x14ac:dyDescent="0.2">
      <c r="A2663"/>
      <c r="B2663"/>
      <c r="C2663" s="45"/>
      <c r="E2663" s="650"/>
      <c r="F2663" s="650"/>
      <c r="G2663" s="73"/>
      <c r="H2663" s="45"/>
      <c r="I2663" s="111"/>
      <c r="J2663" s="81"/>
      <c r="K2663" s="81"/>
      <c r="L2663" s="499"/>
      <c r="M2663" s="73"/>
      <c r="O2663" s="73"/>
      <c r="P2663" s="73"/>
      <c r="Q2663" s="73"/>
      <c r="R2663" s="176"/>
      <c r="S2663" s="176"/>
      <c r="T2663" s="176"/>
      <c r="X2663" s="167"/>
      <c r="BX2663" s="769"/>
      <c r="BY2663"/>
      <c r="BZ2663"/>
      <c r="CA2663"/>
      <c r="CB2663"/>
      <c r="CC2663"/>
      <c r="CD2663"/>
      <c r="CE2663"/>
      <c r="CF2663"/>
      <c r="CG2663"/>
      <c r="CH2663"/>
      <c r="CI2663"/>
      <c r="CJ2663"/>
      <c r="CK2663"/>
      <c r="CL2663"/>
      <c r="CM2663"/>
      <c r="CR2663" s="416"/>
      <c r="CS2663" s="650"/>
      <c r="CT2663" s="45"/>
      <c r="CU2663" s="73"/>
      <c r="CV2663" s="73"/>
      <c r="CW2663" s="73"/>
      <c r="CX2663" s="73"/>
      <c r="CY2663" s="45"/>
      <c r="CZ2663" s="45"/>
      <c r="DA2663" s="650"/>
      <c r="DB2663" s="45"/>
      <c r="DC2663" s="45"/>
      <c r="DD2663" s="45"/>
      <c r="DE2663" s="45"/>
    </row>
    <row r="2664" spans="1:109" x14ac:dyDescent="0.2">
      <c r="A2664"/>
      <c r="B2664"/>
      <c r="C2664" s="45"/>
      <c r="E2664" s="650"/>
      <c r="F2664" s="650"/>
      <c r="G2664" s="73"/>
      <c r="H2664" s="45"/>
      <c r="I2664" s="111"/>
      <c r="J2664" s="81"/>
      <c r="K2664" s="81"/>
      <c r="L2664" s="499"/>
      <c r="M2664" s="73"/>
      <c r="O2664" s="73"/>
      <c r="P2664" s="73"/>
      <c r="Q2664" s="73"/>
      <c r="R2664" s="176"/>
      <c r="S2664" s="176"/>
      <c r="T2664" s="176"/>
      <c r="X2664" s="167"/>
      <c r="BX2664" s="769"/>
      <c r="BY2664"/>
      <c r="BZ2664"/>
      <c r="CA2664"/>
      <c r="CB2664"/>
      <c r="CC2664"/>
      <c r="CD2664"/>
      <c r="CE2664"/>
      <c r="CF2664"/>
      <c r="CG2664"/>
      <c r="CH2664"/>
      <c r="CI2664"/>
      <c r="CJ2664"/>
      <c r="CK2664"/>
      <c r="CL2664"/>
      <c r="CM2664"/>
      <c r="CR2664" s="416"/>
      <c r="CS2664" s="650"/>
      <c r="CT2664" s="45"/>
      <c r="CU2664" s="73"/>
      <c r="CV2664" s="73"/>
      <c r="CW2664" s="73"/>
      <c r="CX2664" s="73"/>
      <c r="CY2664" s="45"/>
      <c r="CZ2664" s="45"/>
      <c r="DA2664" s="650"/>
      <c r="DB2664" s="45"/>
      <c r="DC2664" s="45"/>
      <c r="DD2664" s="45"/>
      <c r="DE2664" s="45"/>
    </row>
    <row r="2665" spans="1:109" x14ac:dyDescent="0.2">
      <c r="A2665"/>
      <c r="B2665"/>
      <c r="C2665" s="45"/>
      <c r="E2665" s="650"/>
      <c r="F2665" s="650"/>
      <c r="G2665" s="73"/>
      <c r="H2665" s="45"/>
      <c r="I2665" s="111"/>
      <c r="J2665" s="81"/>
      <c r="K2665" s="81"/>
      <c r="L2665" s="499"/>
      <c r="M2665" s="73"/>
      <c r="O2665" s="73"/>
      <c r="P2665" s="73"/>
      <c r="Q2665" s="73"/>
      <c r="R2665" s="176"/>
      <c r="S2665" s="176"/>
      <c r="T2665" s="176"/>
      <c r="X2665" s="167"/>
      <c r="BX2665" s="769"/>
      <c r="BY2665"/>
      <c r="BZ2665"/>
      <c r="CA2665"/>
      <c r="CB2665"/>
      <c r="CC2665"/>
      <c r="CD2665"/>
      <c r="CE2665"/>
      <c r="CF2665"/>
      <c r="CG2665"/>
      <c r="CH2665"/>
      <c r="CI2665"/>
      <c r="CJ2665"/>
      <c r="CK2665"/>
      <c r="CL2665"/>
      <c r="CM2665"/>
      <c r="CR2665" s="416"/>
      <c r="CS2665" s="650"/>
      <c r="CT2665" s="45"/>
      <c r="CU2665" s="73"/>
      <c r="CV2665" s="73"/>
      <c r="CW2665" s="73"/>
      <c r="CX2665" s="73"/>
      <c r="CY2665" s="45"/>
      <c r="CZ2665" s="45"/>
      <c r="DA2665" s="650"/>
      <c r="DB2665" s="45"/>
      <c r="DC2665" s="45"/>
      <c r="DD2665" s="45"/>
      <c r="DE2665" s="45"/>
    </row>
    <row r="2666" spans="1:109" x14ac:dyDescent="0.2">
      <c r="A2666"/>
      <c r="B2666"/>
      <c r="C2666" s="45"/>
      <c r="E2666" s="650"/>
      <c r="F2666" s="650"/>
      <c r="G2666" s="73"/>
      <c r="H2666" s="45"/>
      <c r="I2666" s="111"/>
      <c r="J2666" s="81"/>
      <c r="K2666" s="81"/>
      <c r="L2666" s="499"/>
      <c r="M2666" s="73"/>
      <c r="O2666" s="73"/>
      <c r="P2666" s="73"/>
      <c r="Q2666" s="73"/>
      <c r="R2666" s="176"/>
      <c r="S2666" s="176"/>
      <c r="T2666" s="176"/>
      <c r="X2666" s="167"/>
      <c r="BX2666" s="769"/>
      <c r="BY2666"/>
      <c r="BZ2666"/>
      <c r="CA2666"/>
      <c r="CB2666"/>
      <c r="CC2666"/>
      <c r="CD2666"/>
      <c r="CE2666"/>
      <c r="CF2666"/>
      <c r="CG2666"/>
      <c r="CH2666"/>
      <c r="CI2666"/>
      <c r="CJ2666"/>
      <c r="CK2666"/>
      <c r="CL2666"/>
      <c r="CM2666"/>
      <c r="CR2666" s="416"/>
      <c r="CS2666" s="650"/>
      <c r="CT2666" s="45"/>
      <c r="CU2666" s="73"/>
      <c r="CV2666" s="73"/>
      <c r="CW2666" s="73"/>
      <c r="CX2666" s="73"/>
      <c r="CY2666" s="45"/>
      <c r="CZ2666" s="45"/>
      <c r="DA2666" s="650"/>
      <c r="DB2666" s="45"/>
      <c r="DC2666" s="45"/>
      <c r="DD2666" s="45"/>
      <c r="DE2666" s="45"/>
    </row>
    <row r="2667" spans="1:109" x14ac:dyDescent="0.2">
      <c r="A2667"/>
      <c r="B2667"/>
      <c r="C2667" s="45"/>
      <c r="E2667" s="650"/>
      <c r="F2667" s="650"/>
      <c r="G2667" s="73"/>
      <c r="H2667" s="45"/>
      <c r="I2667" s="111"/>
      <c r="J2667" s="81"/>
      <c r="K2667" s="81"/>
      <c r="L2667" s="499"/>
      <c r="M2667" s="73"/>
      <c r="O2667" s="73"/>
      <c r="P2667" s="73"/>
      <c r="Q2667" s="73"/>
      <c r="R2667" s="176"/>
      <c r="S2667" s="176"/>
      <c r="T2667" s="176"/>
      <c r="X2667" s="167"/>
      <c r="BX2667" s="769"/>
      <c r="BY2667"/>
      <c r="BZ2667"/>
      <c r="CA2667"/>
      <c r="CB2667"/>
      <c r="CC2667"/>
      <c r="CD2667"/>
      <c r="CE2667"/>
      <c r="CF2667"/>
      <c r="CG2667"/>
      <c r="CH2667"/>
      <c r="CI2667"/>
      <c r="CJ2667"/>
      <c r="CK2667"/>
      <c r="CL2667"/>
      <c r="CM2667"/>
      <c r="CR2667" s="416"/>
      <c r="CS2667" s="650"/>
      <c r="CT2667" s="45"/>
      <c r="CU2667" s="73"/>
      <c r="CV2667" s="73"/>
      <c r="CW2667" s="73"/>
      <c r="CX2667" s="73"/>
      <c r="CY2667" s="45"/>
      <c r="CZ2667" s="45"/>
      <c r="DA2667" s="650"/>
      <c r="DB2667" s="45"/>
      <c r="DC2667" s="45"/>
      <c r="DD2667" s="45"/>
      <c r="DE2667" s="45"/>
    </row>
    <row r="2668" spans="1:109" x14ac:dyDescent="0.2">
      <c r="A2668"/>
      <c r="B2668"/>
      <c r="C2668" s="45"/>
      <c r="E2668" s="650"/>
      <c r="F2668" s="650"/>
      <c r="G2668" s="73"/>
      <c r="H2668" s="45"/>
      <c r="I2668" s="111"/>
      <c r="J2668" s="81"/>
      <c r="K2668" s="81"/>
      <c r="L2668" s="499"/>
      <c r="M2668" s="73"/>
      <c r="O2668" s="73"/>
      <c r="P2668" s="73"/>
      <c r="Q2668" s="73"/>
      <c r="R2668" s="176"/>
      <c r="S2668" s="176"/>
      <c r="T2668" s="176"/>
      <c r="X2668" s="167"/>
      <c r="BX2668" s="769"/>
      <c r="BY2668"/>
      <c r="BZ2668"/>
      <c r="CA2668"/>
      <c r="CB2668"/>
      <c r="CC2668"/>
      <c r="CD2668"/>
      <c r="CE2668"/>
      <c r="CF2668"/>
      <c r="CG2668"/>
      <c r="CH2668"/>
      <c r="CI2668"/>
      <c r="CJ2668"/>
      <c r="CK2668"/>
      <c r="CL2668"/>
      <c r="CM2668"/>
      <c r="CR2668" s="416"/>
      <c r="CS2668" s="650"/>
      <c r="CT2668" s="45"/>
      <c r="CU2668" s="73"/>
      <c r="CV2668" s="73"/>
      <c r="CW2668" s="73"/>
      <c r="CX2668" s="73"/>
      <c r="CY2668" s="45"/>
      <c r="CZ2668" s="45"/>
      <c r="DA2668" s="650"/>
      <c r="DB2668" s="45"/>
      <c r="DC2668" s="45"/>
      <c r="DD2668" s="45"/>
      <c r="DE2668" s="45"/>
    </row>
    <row r="2669" spans="1:109" x14ac:dyDescent="0.2">
      <c r="A2669"/>
      <c r="B2669"/>
      <c r="C2669" s="45"/>
      <c r="E2669" s="650"/>
      <c r="F2669" s="650"/>
      <c r="G2669" s="73"/>
      <c r="H2669" s="45"/>
      <c r="I2669" s="111"/>
      <c r="J2669" s="81"/>
      <c r="K2669" s="81"/>
      <c r="L2669" s="499"/>
      <c r="M2669" s="73"/>
      <c r="O2669" s="73"/>
      <c r="P2669" s="73"/>
      <c r="Q2669" s="73"/>
      <c r="R2669" s="176"/>
      <c r="S2669" s="176"/>
      <c r="T2669" s="176"/>
      <c r="X2669" s="167"/>
      <c r="BX2669" s="769"/>
      <c r="BY2669"/>
      <c r="BZ2669"/>
      <c r="CA2669"/>
      <c r="CB2669"/>
      <c r="CC2669"/>
      <c r="CD2669"/>
      <c r="CE2669"/>
      <c r="CF2669"/>
      <c r="CG2669"/>
      <c r="CH2669"/>
      <c r="CI2669"/>
      <c r="CJ2669"/>
      <c r="CK2669"/>
      <c r="CL2669"/>
      <c r="CM2669"/>
      <c r="CR2669" s="416"/>
      <c r="CS2669" s="650"/>
      <c r="CT2669" s="45"/>
      <c r="CU2669" s="73"/>
      <c r="CV2669" s="73"/>
      <c r="CW2669" s="73"/>
      <c r="CX2669" s="73"/>
      <c r="CY2669" s="45"/>
      <c r="CZ2669" s="45"/>
      <c r="DA2669" s="650"/>
      <c r="DB2669" s="45"/>
      <c r="DC2669" s="45"/>
      <c r="DD2669" s="45"/>
      <c r="DE2669" s="45"/>
    </row>
    <row r="2670" spans="1:109" x14ac:dyDescent="0.2">
      <c r="A2670"/>
      <c r="B2670"/>
      <c r="C2670" s="45"/>
      <c r="E2670" s="650"/>
      <c r="F2670" s="650"/>
      <c r="G2670" s="73"/>
      <c r="H2670" s="45"/>
      <c r="I2670" s="111"/>
      <c r="J2670" s="81"/>
      <c r="K2670" s="81"/>
      <c r="L2670" s="499"/>
      <c r="M2670" s="73"/>
      <c r="O2670" s="73"/>
      <c r="P2670" s="73"/>
      <c r="Q2670" s="73"/>
      <c r="R2670" s="176"/>
      <c r="S2670" s="176"/>
      <c r="T2670" s="176"/>
      <c r="X2670" s="167"/>
      <c r="BX2670" s="769"/>
      <c r="BY2670"/>
      <c r="BZ2670"/>
      <c r="CA2670"/>
      <c r="CB2670"/>
      <c r="CC2670"/>
      <c r="CD2670"/>
      <c r="CE2670"/>
      <c r="CF2670"/>
      <c r="CG2670"/>
      <c r="CH2670"/>
      <c r="CI2670"/>
      <c r="CJ2670"/>
      <c r="CK2670"/>
      <c r="CL2670"/>
      <c r="CM2670"/>
      <c r="CR2670" s="416"/>
      <c r="CS2670" s="650"/>
      <c r="CT2670" s="45"/>
      <c r="CU2670" s="73"/>
      <c r="CV2670" s="73"/>
      <c r="CW2670" s="73"/>
      <c r="CX2670" s="73"/>
      <c r="CY2670" s="45"/>
      <c r="CZ2670" s="45"/>
      <c r="DA2670" s="650"/>
      <c r="DB2670" s="45"/>
      <c r="DC2670" s="45"/>
      <c r="DD2670" s="45"/>
      <c r="DE2670" s="45"/>
    </row>
    <row r="2671" spans="1:109" x14ac:dyDescent="0.2">
      <c r="A2671"/>
      <c r="B2671"/>
      <c r="C2671" s="45"/>
      <c r="E2671" s="650"/>
      <c r="F2671" s="650"/>
      <c r="G2671" s="73"/>
      <c r="H2671" s="45"/>
      <c r="I2671" s="111"/>
      <c r="J2671" s="81"/>
      <c r="K2671" s="81"/>
      <c r="L2671" s="499"/>
      <c r="M2671" s="73"/>
      <c r="O2671" s="73"/>
      <c r="P2671" s="73"/>
      <c r="Q2671" s="73"/>
      <c r="R2671" s="176"/>
      <c r="S2671" s="176"/>
      <c r="T2671" s="176"/>
      <c r="X2671" s="167"/>
      <c r="BX2671" s="769"/>
      <c r="BY2671"/>
      <c r="BZ2671"/>
      <c r="CA2671"/>
      <c r="CB2671"/>
      <c r="CC2671"/>
      <c r="CD2671"/>
      <c r="CE2671"/>
      <c r="CF2671"/>
      <c r="CG2671"/>
      <c r="CH2671"/>
      <c r="CI2671"/>
      <c r="CJ2671"/>
      <c r="CK2671"/>
      <c r="CL2671"/>
      <c r="CM2671"/>
      <c r="CR2671" s="416"/>
      <c r="CS2671" s="650"/>
      <c r="CT2671" s="45"/>
      <c r="CU2671" s="73"/>
      <c r="CV2671" s="73"/>
      <c r="CW2671" s="73"/>
      <c r="CX2671" s="73"/>
      <c r="CY2671" s="45"/>
      <c r="CZ2671" s="45"/>
      <c r="DA2671" s="650"/>
      <c r="DB2671" s="45"/>
      <c r="DC2671" s="45"/>
      <c r="DD2671" s="45"/>
      <c r="DE2671" s="45"/>
    </row>
    <row r="2672" spans="1:109" x14ac:dyDescent="0.2">
      <c r="A2672"/>
      <c r="B2672"/>
      <c r="C2672" s="45"/>
      <c r="E2672" s="650"/>
      <c r="F2672" s="650"/>
      <c r="G2672" s="73"/>
      <c r="H2672" s="45"/>
      <c r="I2672" s="111"/>
      <c r="J2672" s="81"/>
      <c r="K2672" s="81"/>
      <c r="L2672" s="499"/>
      <c r="M2672" s="73"/>
      <c r="O2672" s="73"/>
      <c r="P2672" s="73"/>
      <c r="Q2672" s="73"/>
      <c r="R2672" s="176"/>
      <c r="S2672" s="176"/>
      <c r="T2672" s="176"/>
      <c r="X2672" s="167"/>
      <c r="BX2672" s="769"/>
      <c r="BY2672"/>
      <c r="BZ2672"/>
      <c r="CA2672"/>
      <c r="CB2672"/>
      <c r="CC2672"/>
      <c r="CD2672"/>
      <c r="CE2672"/>
      <c r="CF2672"/>
      <c r="CG2672"/>
      <c r="CH2672"/>
      <c r="CI2672"/>
      <c r="CJ2672"/>
      <c r="CK2672"/>
      <c r="CL2672"/>
      <c r="CM2672"/>
      <c r="CR2672" s="416"/>
      <c r="CS2672" s="650"/>
      <c r="CT2672" s="45"/>
      <c r="CU2672" s="73"/>
      <c r="CV2672" s="73"/>
      <c r="CW2672" s="73"/>
      <c r="CX2672" s="73"/>
      <c r="CY2672" s="45"/>
      <c r="CZ2672" s="45"/>
      <c r="DA2672" s="650"/>
      <c r="DB2672" s="45"/>
      <c r="DC2672" s="45"/>
      <c r="DD2672" s="45"/>
      <c r="DE2672" s="45"/>
    </row>
    <row r="2673" spans="1:117" x14ac:dyDescent="0.2">
      <c r="A2673"/>
      <c r="B2673"/>
      <c r="C2673" s="45"/>
      <c r="E2673" s="650"/>
      <c r="F2673" s="650"/>
      <c r="G2673" s="73"/>
      <c r="H2673" s="45"/>
      <c r="I2673" s="111"/>
      <c r="J2673" s="81"/>
      <c r="K2673" s="81"/>
      <c r="L2673" s="499"/>
      <c r="M2673" s="73"/>
      <c r="O2673" s="73"/>
      <c r="P2673" s="73"/>
      <c r="Q2673" s="73"/>
      <c r="R2673" s="176"/>
      <c r="S2673" s="176"/>
      <c r="T2673" s="176"/>
      <c r="X2673" s="167"/>
      <c r="BX2673" s="769"/>
      <c r="BY2673"/>
      <c r="BZ2673"/>
      <c r="CA2673"/>
      <c r="CB2673"/>
      <c r="CC2673"/>
      <c r="CD2673"/>
      <c r="CE2673"/>
      <c r="CF2673"/>
      <c r="CG2673"/>
      <c r="CH2673"/>
      <c r="CI2673"/>
      <c r="CJ2673"/>
      <c r="CK2673"/>
      <c r="CL2673"/>
      <c r="CM2673"/>
      <c r="CR2673" s="416"/>
      <c r="CS2673" s="650"/>
      <c r="CT2673" s="45"/>
      <c r="CU2673" s="73"/>
      <c r="CV2673" s="73"/>
      <c r="CW2673" s="73"/>
      <c r="CX2673" s="73"/>
      <c r="CY2673" s="45"/>
      <c r="CZ2673" s="45"/>
      <c r="DA2673" s="650"/>
      <c r="DB2673" s="45"/>
      <c r="DC2673" s="45"/>
      <c r="DD2673" s="45"/>
      <c r="DE2673" s="45"/>
    </row>
    <row r="2674" spans="1:117" x14ac:dyDescent="0.2">
      <c r="A2674"/>
      <c r="B2674"/>
      <c r="C2674" s="45"/>
      <c r="E2674" s="650"/>
      <c r="F2674" s="650"/>
      <c r="G2674" s="73"/>
      <c r="H2674" s="45"/>
      <c r="I2674" s="111"/>
      <c r="J2674" s="81"/>
      <c r="K2674" s="81"/>
      <c r="L2674" s="499"/>
      <c r="M2674" s="73"/>
      <c r="O2674" s="73"/>
      <c r="P2674" s="73"/>
      <c r="Q2674" s="73"/>
      <c r="R2674" s="176"/>
      <c r="S2674" s="176"/>
      <c r="T2674" s="176"/>
      <c r="X2674" s="167"/>
      <c r="BX2674" s="769"/>
      <c r="BY2674"/>
      <c r="BZ2674"/>
      <c r="CA2674"/>
      <c r="CB2674"/>
      <c r="CC2674"/>
      <c r="CD2674"/>
      <c r="CE2674"/>
      <c r="CF2674"/>
      <c r="CG2674"/>
      <c r="CH2674"/>
      <c r="CI2674"/>
      <c r="CJ2674"/>
      <c r="CK2674"/>
      <c r="CL2674"/>
      <c r="CM2674"/>
      <c r="CR2674" s="416"/>
      <c r="CS2674" s="650"/>
      <c r="CT2674" s="45"/>
      <c r="CU2674" s="73"/>
      <c r="CV2674" s="73"/>
      <c r="CW2674" s="73"/>
      <c r="CX2674" s="73"/>
      <c r="CY2674" s="45"/>
      <c r="CZ2674" s="45"/>
      <c r="DA2674" s="650"/>
      <c r="DB2674" s="45"/>
      <c r="DC2674" s="45"/>
      <c r="DD2674" s="45"/>
      <c r="DE2674" s="45"/>
    </row>
    <row r="2675" spans="1:117" x14ac:dyDescent="0.2">
      <c r="A2675"/>
      <c r="B2675"/>
      <c r="C2675" s="45"/>
      <c r="E2675" s="650"/>
      <c r="F2675" s="650"/>
      <c r="G2675" s="73"/>
      <c r="H2675" s="45"/>
      <c r="I2675" s="111"/>
      <c r="J2675" s="81"/>
      <c r="K2675" s="81"/>
      <c r="L2675" s="499"/>
      <c r="M2675" s="73"/>
      <c r="O2675" s="73"/>
      <c r="P2675" s="73"/>
      <c r="Q2675" s="73"/>
      <c r="R2675" s="176"/>
      <c r="S2675" s="176"/>
      <c r="T2675" s="176"/>
      <c r="X2675" s="167"/>
      <c r="BX2675" s="769"/>
      <c r="BY2675"/>
      <c r="BZ2675"/>
      <c r="CA2675"/>
      <c r="CB2675"/>
      <c r="CC2675"/>
      <c r="CD2675"/>
      <c r="CE2675"/>
      <c r="CF2675"/>
      <c r="CG2675"/>
      <c r="CH2675"/>
      <c r="CI2675"/>
      <c r="CJ2675"/>
      <c r="CK2675"/>
      <c r="CL2675"/>
      <c r="CM2675"/>
      <c r="CR2675" s="416"/>
      <c r="CS2675" s="650"/>
      <c r="CT2675" s="45"/>
      <c r="CU2675" s="73"/>
      <c r="CV2675" s="73"/>
      <c r="CW2675" s="73"/>
      <c r="CX2675" s="73"/>
      <c r="CY2675" s="45"/>
      <c r="CZ2675" s="45"/>
      <c r="DA2675" s="650"/>
      <c r="DB2675" s="45"/>
      <c r="DC2675" s="45"/>
      <c r="DD2675" s="45"/>
      <c r="DE2675" s="45"/>
    </row>
    <row r="2676" spans="1:117" x14ac:dyDescent="0.2">
      <c r="A2676"/>
      <c r="B2676"/>
      <c r="C2676" s="45"/>
      <c r="E2676" s="650"/>
      <c r="F2676" s="650"/>
      <c r="G2676" s="73"/>
      <c r="H2676" s="45"/>
      <c r="I2676" s="111"/>
      <c r="J2676" s="81"/>
      <c r="K2676" s="81"/>
      <c r="L2676" s="499"/>
      <c r="M2676" s="73"/>
      <c r="O2676" s="73"/>
      <c r="P2676" s="73"/>
      <c r="Q2676" s="73"/>
      <c r="R2676" s="176"/>
      <c r="S2676" s="176"/>
      <c r="T2676" s="176"/>
      <c r="X2676" s="167"/>
      <c r="BX2676" s="769"/>
      <c r="BY2676"/>
      <c r="BZ2676"/>
      <c r="CA2676"/>
      <c r="CB2676"/>
      <c r="CC2676"/>
      <c r="CD2676"/>
      <c r="CE2676"/>
      <c r="CF2676"/>
      <c r="CG2676"/>
      <c r="CH2676"/>
      <c r="CI2676"/>
      <c r="CJ2676"/>
      <c r="CK2676"/>
      <c r="CL2676"/>
      <c r="CM2676"/>
      <c r="CR2676" s="416"/>
      <c r="CS2676" s="650"/>
      <c r="CT2676" s="45"/>
      <c r="CU2676" s="73"/>
      <c r="CV2676" s="73"/>
      <c r="CW2676" s="73"/>
      <c r="CX2676" s="73"/>
      <c r="CY2676" s="45"/>
      <c r="CZ2676" s="45"/>
      <c r="DA2676" s="650"/>
      <c r="DB2676" s="45"/>
      <c r="DC2676" s="45"/>
      <c r="DD2676" s="45"/>
      <c r="DE2676" s="45"/>
    </row>
    <row r="2677" spans="1:117" x14ac:dyDescent="0.2">
      <c r="A2677"/>
      <c r="B2677"/>
      <c r="C2677" s="45"/>
      <c r="E2677" s="650"/>
      <c r="F2677" s="650"/>
      <c r="G2677" s="73"/>
      <c r="H2677" s="45"/>
      <c r="I2677" s="111"/>
      <c r="J2677" s="81"/>
      <c r="K2677" s="81"/>
      <c r="L2677" s="499"/>
      <c r="M2677" s="73"/>
      <c r="O2677" s="73"/>
      <c r="P2677" s="73"/>
      <c r="Q2677" s="73"/>
      <c r="R2677" s="176"/>
      <c r="S2677" s="176"/>
      <c r="T2677" s="176"/>
      <c r="X2677" s="167"/>
      <c r="BX2677" s="769"/>
      <c r="BY2677"/>
      <c r="BZ2677"/>
      <c r="CA2677"/>
      <c r="CB2677"/>
      <c r="CC2677"/>
      <c r="CD2677"/>
      <c r="CE2677"/>
      <c r="CF2677"/>
      <c r="CG2677"/>
      <c r="CH2677"/>
      <c r="CI2677"/>
      <c r="CJ2677"/>
      <c r="CK2677"/>
      <c r="CL2677"/>
      <c r="CM2677"/>
      <c r="CR2677" s="416"/>
      <c r="CS2677" s="650"/>
      <c r="CT2677" s="45"/>
      <c r="CU2677" s="73"/>
      <c r="CV2677" s="73"/>
      <c r="CW2677" s="73"/>
      <c r="CX2677" s="73"/>
      <c r="CY2677" s="45"/>
      <c r="CZ2677" s="45"/>
      <c r="DA2677" s="650"/>
      <c r="DB2677" s="45"/>
      <c r="DC2677" s="45"/>
      <c r="DD2677" s="45"/>
      <c r="DE2677" s="45"/>
    </row>
    <row r="2678" spans="1:117" x14ac:dyDescent="0.2">
      <c r="A2678"/>
      <c r="B2678"/>
      <c r="C2678" s="45"/>
      <c r="E2678" s="650"/>
      <c r="F2678" s="650"/>
      <c r="G2678" s="73"/>
      <c r="H2678" s="45"/>
      <c r="I2678" s="111"/>
      <c r="J2678" s="81"/>
      <c r="K2678" s="81"/>
      <c r="L2678" s="499"/>
      <c r="M2678" s="73"/>
      <c r="O2678" s="73"/>
      <c r="P2678" s="73"/>
      <c r="Q2678" s="73"/>
      <c r="R2678" s="176"/>
      <c r="S2678" s="176"/>
      <c r="T2678" s="176"/>
      <c r="X2678" s="167"/>
      <c r="BX2678" s="769"/>
      <c r="BY2678"/>
      <c r="BZ2678"/>
      <c r="CA2678"/>
      <c r="CB2678"/>
      <c r="CC2678"/>
      <c r="CD2678"/>
      <c r="CE2678"/>
      <c r="CF2678"/>
      <c r="CG2678"/>
      <c r="CH2678"/>
      <c r="CI2678"/>
      <c r="CJ2678"/>
      <c r="CK2678"/>
      <c r="CL2678"/>
      <c r="CM2678"/>
      <c r="CR2678" s="416"/>
      <c r="CS2678" s="650"/>
      <c r="CT2678" s="45"/>
      <c r="CU2678" s="73"/>
      <c r="CV2678" s="73"/>
      <c r="CW2678" s="73"/>
      <c r="CX2678" s="73"/>
      <c r="CY2678" s="45"/>
      <c r="CZ2678" s="45"/>
      <c r="DA2678" s="650"/>
      <c r="DB2678" s="45"/>
      <c r="DC2678" s="45"/>
      <c r="DD2678" s="45"/>
      <c r="DE2678" s="45"/>
      <c r="DF2678" s="45"/>
    </row>
    <row r="2679" spans="1:117" x14ac:dyDescent="0.2">
      <c r="A2679"/>
      <c r="B2679"/>
      <c r="C2679" s="45"/>
      <c r="E2679" s="650"/>
      <c r="F2679" s="650"/>
      <c r="G2679" s="73"/>
      <c r="H2679" s="45"/>
      <c r="I2679" s="111"/>
      <c r="J2679" s="81"/>
      <c r="K2679" s="81"/>
      <c r="L2679" s="499"/>
      <c r="M2679" s="73"/>
      <c r="O2679" s="73"/>
      <c r="P2679" s="73"/>
      <c r="Q2679" s="73"/>
      <c r="R2679" s="176"/>
      <c r="S2679" s="176"/>
      <c r="T2679" s="176"/>
      <c r="X2679" s="167"/>
      <c r="BX2679" s="769"/>
      <c r="BY2679"/>
      <c r="BZ2679"/>
      <c r="CA2679"/>
      <c r="CB2679"/>
      <c r="CC2679"/>
      <c r="CD2679"/>
      <c r="CE2679"/>
      <c r="CF2679"/>
      <c r="CG2679"/>
      <c r="CH2679"/>
      <c r="CI2679"/>
      <c r="CJ2679"/>
      <c r="CK2679"/>
      <c r="CL2679"/>
      <c r="CM2679"/>
      <c r="CR2679" s="416"/>
      <c r="CS2679" s="650"/>
      <c r="CT2679" s="45"/>
      <c r="CU2679" s="73"/>
      <c r="CV2679" s="73"/>
      <c r="CW2679" s="73"/>
      <c r="CX2679" s="73"/>
      <c r="CY2679" s="45"/>
      <c r="CZ2679" s="45"/>
      <c r="DA2679" s="650"/>
      <c r="DB2679" s="45"/>
      <c r="DC2679" s="45"/>
      <c r="DD2679" s="45"/>
      <c r="DE2679" s="45"/>
      <c r="DF2679" s="45"/>
      <c r="DG2679" s="45"/>
      <c r="DH2679" s="45"/>
    </row>
    <row r="2680" spans="1:117" x14ac:dyDescent="0.2">
      <c r="A2680"/>
      <c r="B2680"/>
      <c r="C2680" s="45"/>
      <c r="E2680" s="650"/>
      <c r="F2680" s="650"/>
      <c r="G2680" s="73"/>
      <c r="H2680" s="45"/>
      <c r="I2680" s="111"/>
      <c r="J2680" s="81"/>
      <c r="K2680" s="81"/>
      <c r="L2680" s="499"/>
      <c r="M2680" s="73"/>
      <c r="O2680" s="73"/>
      <c r="P2680" s="73"/>
      <c r="Q2680" s="73"/>
      <c r="R2680" s="176"/>
      <c r="S2680" s="176"/>
      <c r="T2680" s="176"/>
      <c r="X2680" s="167"/>
      <c r="BX2680" s="769"/>
      <c r="BY2680"/>
      <c r="BZ2680"/>
      <c r="CA2680"/>
      <c r="CB2680"/>
      <c r="CC2680"/>
      <c r="CD2680"/>
      <c r="CE2680"/>
      <c r="CF2680"/>
      <c r="CG2680"/>
      <c r="CH2680"/>
      <c r="CI2680"/>
      <c r="CJ2680"/>
      <c r="CK2680"/>
      <c r="CL2680"/>
      <c r="CM2680"/>
      <c r="CR2680" s="416"/>
      <c r="CS2680" s="650"/>
      <c r="CT2680" s="45"/>
      <c r="CU2680" s="73"/>
      <c r="CV2680" s="73"/>
      <c r="CW2680" s="73"/>
      <c r="CX2680" s="73"/>
      <c r="CY2680" s="45"/>
      <c r="CZ2680" s="45"/>
      <c r="DA2680" s="650"/>
      <c r="DB2680" s="45"/>
      <c r="DC2680" s="45"/>
      <c r="DD2680" s="45"/>
      <c r="DE2680" s="45"/>
      <c r="DF2680" s="45"/>
      <c r="DG2680" s="45"/>
      <c r="DH2680" s="45"/>
      <c r="DI2680" s="45"/>
    </row>
    <row r="2681" spans="1:117" x14ac:dyDescent="0.2">
      <c r="A2681"/>
      <c r="B2681"/>
      <c r="C2681" s="45"/>
      <c r="E2681" s="650"/>
      <c r="F2681" s="650"/>
      <c r="G2681" s="73"/>
      <c r="H2681" s="45"/>
      <c r="I2681" s="111"/>
      <c r="J2681" s="81"/>
      <c r="K2681" s="81"/>
      <c r="L2681" s="499"/>
      <c r="M2681" s="73"/>
      <c r="O2681" s="73"/>
      <c r="P2681" s="73"/>
      <c r="Q2681" s="73"/>
      <c r="R2681" s="176"/>
      <c r="S2681" s="176"/>
      <c r="T2681" s="176"/>
      <c r="X2681" s="167"/>
      <c r="BX2681" s="769"/>
      <c r="BY2681"/>
      <c r="BZ2681"/>
      <c r="CA2681"/>
      <c r="CB2681"/>
      <c r="CC2681"/>
      <c r="CD2681"/>
      <c r="CE2681"/>
      <c r="CF2681"/>
      <c r="CG2681"/>
      <c r="CH2681"/>
      <c r="CI2681"/>
      <c r="CJ2681"/>
      <c r="CK2681"/>
      <c r="CL2681"/>
      <c r="CM2681"/>
      <c r="CR2681" s="416"/>
      <c r="CS2681" s="650"/>
      <c r="CT2681" s="45"/>
      <c r="CU2681" s="73"/>
      <c r="CV2681" s="73"/>
      <c r="CW2681" s="73"/>
      <c r="CX2681" s="73"/>
      <c r="CY2681" s="45"/>
      <c r="CZ2681" s="45"/>
      <c r="DA2681" s="650"/>
      <c r="DB2681" s="45"/>
      <c r="DC2681" s="45"/>
      <c r="DD2681" s="45"/>
      <c r="DE2681" s="45"/>
      <c r="DF2681" s="45"/>
      <c r="DG2681" s="45"/>
      <c r="DH2681" s="45"/>
      <c r="DI2681" s="45"/>
      <c r="DJ2681" s="45"/>
    </row>
    <row r="2682" spans="1:117" x14ac:dyDescent="0.2">
      <c r="A2682"/>
      <c r="B2682"/>
      <c r="C2682" s="45"/>
      <c r="E2682" s="650"/>
      <c r="F2682" s="650"/>
      <c r="G2682" s="73"/>
      <c r="H2682" s="45"/>
      <c r="I2682" s="111"/>
      <c r="J2682" s="81"/>
      <c r="K2682" s="81"/>
      <c r="L2682" s="499"/>
      <c r="M2682" s="73"/>
      <c r="O2682" s="73"/>
      <c r="P2682" s="73"/>
      <c r="Q2682" s="73"/>
      <c r="R2682" s="176"/>
      <c r="S2682" s="176"/>
      <c r="T2682" s="176"/>
      <c r="X2682" s="167"/>
      <c r="BX2682" s="769"/>
      <c r="BY2682"/>
      <c r="BZ2682"/>
      <c r="CA2682"/>
      <c r="CB2682"/>
      <c r="CC2682"/>
      <c r="CD2682"/>
      <c r="CE2682"/>
      <c r="CF2682"/>
      <c r="CG2682"/>
      <c r="CH2682"/>
      <c r="CI2682"/>
      <c r="CJ2682"/>
      <c r="CK2682"/>
      <c r="CL2682"/>
      <c r="CM2682"/>
      <c r="CR2682" s="416"/>
      <c r="CS2682" s="650"/>
      <c r="CT2682" s="45"/>
      <c r="CU2682" s="73"/>
      <c r="CV2682" s="73"/>
      <c r="CW2682" s="73"/>
      <c r="CX2682" s="73"/>
      <c r="CY2682" s="45"/>
      <c r="CZ2682" s="45"/>
      <c r="DA2682" s="650"/>
      <c r="DB2682" s="45"/>
      <c r="DC2682" s="45"/>
      <c r="DD2682" s="45"/>
      <c r="DE2682" s="45"/>
      <c r="DF2682" s="45"/>
      <c r="DG2682" s="45"/>
      <c r="DH2682" s="45"/>
      <c r="DI2682" s="45"/>
      <c r="DJ2682" s="45"/>
      <c r="DK2682" s="45"/>
    </row>
    <row r="2683" spans="1:117" x14ac:dyDescent="0.2">
      <c r="A2683"/>
      <c r="B2683"/>
      <c r="C2683" s="45"/>
      <c r="E2683" s="650"/>
      <c r="F2683" s="650"/>
      <c r="G2683" s="73"/>
      <c r="H2683" s="45"/>
      <c r="I2683" s="111"/>
      <c r="J2683" s="81"/>
      <c r="K2683" s="81"/>
      <c r="L2683" s="499"/>
      <c r="M2683" s="73"/>
      <c r="O2683" s="73"/>
      <c r="P2683" s="73"/>
      <c r="Q2683" s="73"/>
      <c r="R2683" s="176"/>
      <c r="S2683" s="176"/>
      <c r="T2683" s="176"/>
      <c r="X2683" s="167"/>
      <c r="BX2683" s="769"/>
      <c r="BY2683"/>
      <c r="BZ2683"/>
      <c r="CA2683"/>
      <c r="CB2683"/>
      <c r="CC2683"/>
      <c r="CD2683"/>
      <c r="CE2683"/>
      <c r="CF2683"/>
      <c r="CG2683"/>
      <c r="CH2683"/>
      <c r="CI2683"/>
      <c r="CJ2683"/>
      <c r="CK2683"/>
      <c r="CL2683"/>
      <c r="CM2683"/>
      <c r="CR2683" s="416"/>
      <c r="CS2683" s="650"/>
      <c r="CT2683" s="45"/>
      <c r="CU2683" s="73"/>
      <c r="CV2683" s="73"/>
      <c r="CW2683" s="73"/>
      <c r="CX2683" s="73"/>
      <c r="CY2683" s="45"/>
      <c r="CZ2683" s="45"/>
      <c r="DA2683" s="650"/>
      <c r="DB2683" s="45"/>
      <c r="DC2683" s="45"/>
      <c r="DD2683" s="45"/>
      <c r="DE2683" s="45"/>
      <c r="DF2683" s="45"/>
      <c r="DG2683" s="45"/>
      <c r="DH2683" s="45"/>
      <c r="DI2683" s="45"/>
      <c r="DJ2683" s="45"/>
      <c r="DK2683" s="45"/>
    </row>
    <row r="2684" spans="1:117" x14ac:dyDescent="0.2">
      <c r="A2684"/>
      <c r="B2684"/>
      <c r="C2684" s="45"/>
      <c r="E2684" s="650"/>
      <c r="F2684" s="650"/>
      <c r="G2684" s="73"/>
      <c r="H2684" s="45"/>
      <c r="I2684" s="111"/>
      <c r="J2684" s="81"/>
      <c r="K2684" s="81"/>
      <c r="L2684" s="499"/>
      <c r="M2684" s="73"/>
      <c r="O2684" s="73"/>
      <c r="P2684" s="73"/>
      <c r="Q2684" s="73"/>
      <c r="R2684" s="176"/>
      <c r="S2684" s="176"/>
      <c r="T2684" s="176"/>
      <c r="X2684" s="167"/>
      <c r="BX2684" s="769"/>
      <c r="BY2684"/>
      <c r="BZ2684"/>
      <c r="CA2684"/>
      <c r="CB2684"/>
      <c r="CC2684"/>
      <c r="CD2684"/>
      <c r="CE2684"/>
      <c r="CF2684"/>
      <c r="CG2684"/>
      <c r="CH2684"/>
      <c r="CI2684"/>
      <c r="CJ2684"/>
      <c r="CK2684"/>
      <c r="CL2684"/>
      <c r="CM2684"/>
      <c r="CR2684" s="416"/>
      <c r="CS2684" s="650"/>
      <c r="CT2684" s="45"/>
      <c r="CU2684" s="73"/>
      <c r="CV2684" s="73"/>
      <c r="CW2684" s="73"/>
      <c r="CX2684" s="73"/>
      <c r="CY2684" s="45"/>
      <c r="CZ2684" s="45"/>
      <c r="DA2684" s="650"/>
      <c r="DB2684" s="45"/>
      <c r="DC2684" s="45"/>
      <c r="DD2684" s="45"/>
      <c r="DE2684" s="45"/>
      <c r="DF2684" s="45"/>
      <c r="DG2684" s="45"/>
      <c r="DH2684" s="45"/>
      <c r="DI2684" s="45"/>
      <c r="DJ2684" s="45"/>
      <c r="DK2684" s="45"/>
    </row>
    <row r="2685" spans="1:117" x14ac:dyDescent="0.2">
      <c r="A2685"/>
      <c r="B2685"/>
      <c r="C2685" s="45"/>
      <c r="E2685" s="650"/>
      <c r="F2685" s="650"/>
      <c r="G2685" s="73"/>
      <c r="H2685" s="45"/>
      <c r="I2685" s="111"/>
      <c r="J2685" s="81"/>
      <c r="K2685" s="81"/>
      <c r="L2685" s="499"/>
      <c r="M2685" s="73"/>
      <c r="O2685" s="73"/>
      <c r="P2685" s="73"/>
      <c r="Q2685" s="73"/>
      <c r="R2685" s="176"/>
      <c r="S2685" s="176"/>
      <c r="T2685" s="176"/>
      <c r="X2685" s="167"/>
      <c r="BX2685" s="769"/>
      <c r="BY2685"/>
      <c r="BZ2685"/>
      <c r="CA2685"/>
      <c r="CB2685"/>
      <c r="CC2685"/>
      <c r="CD2685"/>
      <c r="CE2685"/>
      <c r="CF2685"/>
      <c r="CG2685"/>
      <c r="CH2685"/>
      <c r="CI2685"/>
      <c r="CJ2685"/>
      <c r="CK2685"/>
      <c r="CL2685"/>
      <c r="CM2685"/>
      <c r="CR2685" s="416"/>
      <c r="CS2685" s="650"/>
      <c r="CT2685" s="45"/>
      <c r="CU2685" s="73"/>
      <c r="CV2685" s="73"/>
      <c r="CW2685" s="73"/>
      <c r="CX2685" s="73"/>
      <c r="CY2685" s="45"/>
      <c r="CZ2685" s="45"/>
      <c r="DA2685" s="650"/>
      <c r="DB2685" s="45"/>
      <c r="DC2685" s="45"/>
      <c r="DD2685" s="45"/>
      <c r="DE2685" s="45"/>
      <c r="DF2685" s="45"/>
      <c r="DG2685" s="45"/>
      <c r="DH2685" s="45"/>
      <c r="DI2685" s="45"/>
      <c r="DJ2685" s="45"/>
      <c r="DK2685" s="45"/>
      <c r="DL2685" s="45"/>
    </row>
    <row r="2686" spans="1:117" x14ac:dyDescent="0.2">
      <c r="A2686"/>
      <c r="B2686"/>
      <c r="C2686" s="45"/>
      <c r="E2686" s="650"/>
      <c r="F2686" s="650"/>
      <c r="G2686" s="73"/>
      <c r="H2686" s="45"/>
      <c r="I2686" s="111"/>
      <c r="J2686" s="81"/>
      <c r="K2686" s="81"/>
      <c r="L2686" s="499"/>
      <c r="M2686" s="73"/>
      <c r="O2686" s="73"/>
      <c r="P2686" s="73"/>
      <c r="Q2686" s="73"/>
      <c r="R2686" s="176"/>
      <c r="S2686" s="176"/>
      <c r="T2686" s="176"/>
      <c r="X2686" s="167"/>
      <c r="BX2686" s="769"/>
      <c r="BY2686"/>
      <c r="BZ2686"/>
      <c r="CA2686"/>
      <c r="CB2686"/>
      <c r="CC2686"/>
      <c r="CD2686"/>
      <c r="CE2686"/>
      <c r="CF2686"/>
      <c r="CG2686"/>
      <c r="CH2686"/>
      <c r="CI2686"/>
      <c r="CJ2686"/>
      <c r="CK2686"/>
      <c r="CL2686"/>
      <c r="CM2686"/>
      <c r="CR2686" s="416"/>
      <c r="CS2686" s="650"/>
      <c r="CT2686" s="45"/>
      <c r="CU2686" s="73"/>
      <c r="CV2686" s="73"/>
      <c r="CW2686" s="73"/>
      <c r="CX2686" s="73"/>
      <c r="CY2686" s="45"/>
      <c r="CZ2686" s="45"/>
      <c r="DA2686" s="650"/>
      <c r="DB2686" s="45"/>
      <c r="DC2686" s="45"/>
      <c r="DD2686" s="45"/>
      <c r="DE2686" s="45"/>
      <c r="DF2686" s="45"/>
      <c r="DG2686" s="45"/>
      <c r="DH2686" s="45"/>
      <c r="DI2686" s="45"/>
      <c r="DJ2686" s="45"/>
      <c r="DK2686" s="45"/>
      <c r="DL2686" s="45"/>
    </row>
    <row r="2687" spans="1:117" x14ac:dyDescent="0.2">
      <c r="A2687"/>
      <c r="B2687"/>
      <c r="C2687" s="45"/>
      <c r="E2687" s="650"/>
      <c r="F2687" s="650"/>
      <c r="G2687" s="73"/>
      <c r="H2687" s="45"/>
      <c r="I2687" s="111"/>
      <c r="J2687" s="81"/>
      <c r="K2687" s="81"/>
      <c r="L2687" s="499"/>
      <c r="M2687" s="73"/>
      <c r="O2687" s="73"/>
      <c r="P2687" s="73"/>
      <c r="Q2687" s="73"/>
      <c r="R2687" s="176"/>
      <c r="S2687" s="176"/>
      <c r="T2687" s="176"/>
      <c r="X2687" s="167"/>
      <c r="BX2687" s="769"/>
      <c r="BY2687"/>
      <c r="BZ2687"/>
      <c r="CA2687"/>
      <c r="CB2687"/>
      <c r="CC2687"/>
      <c r="CD2687"/>
      <c r="CE2687"/>
      <c r="CF2687"/>
      <c r="CG2687"/>
      <c r="CH2687"/>
      <c r="CI2687"/>
      <c r="CJ2687"/>
      <c r="CK2687"/>
      <c r="CL2687"/>
      <c r="CM2687"/>
      <c r="CR2687" s="416"/>
      <c r="CS2687" s="650"/>
      <c r="CT2687" s="45"/>
      <c r="CU2687" s="73"/>
      <c r="CV2687" s="73"/>
      <c r="CW2687" s="73"/>
      <c r="CX2687" s="73"/>
      <c r="CY2687" s="45"/>
      <c r="CZ2687" s="45"/>
      <c r="DA2687" s="650"/>
      <c r="DB2687" s="45"/>
      <c r="DC2687" s="45"/>
      <c r="DD2687" s="45"/>
      <c r="DE2687" s="45"/>
      <c r="DF2687" s="45"/>
      <c r="DG2687" s="45"/>
      <c r="DH2687" s="45"/>
      <c r="DI2687" s="45"/>
      <c r="DJ2687" s="45"/>
      <c r="DK2687" s="45"/>
      <c r="DL2687" s="45"/>
      <c r="DM2687" s="45"/>
    </row>
    <row r="2688" spans="1:117" x14ac:dyDescent="0.2">
      <c r="A2688"/>
      <c r="B2688"/>
      <c r="C2688" s="45"/>
      <c r="E2688" s="650"/>
      <c r="F2688" s="650"/>
      <c r="G2688" s="73"/>
      <c r="H2688" s="45"/>
      <c r="I2688" s="111"/>
      <c r="J2688" s="81"/>
      <c r="K2688" s="81"/>
      <c r="L2688" s="499"/>
      <c r="M2688" s="73"/>
      <c r="O2688" s="73"/>
      <c r="P2688" s="73"/>
      <c r="Q2688" s="73"/>
      <c r="R2688" s="176"/>
      <c r="S2688" s="176"/>
      <c r="T2688" s="176"/>
      <c r="X2688" s="167"/>
      <c r="BX2688" s="769"/>
      <c r="BY2688"/>
      <c r="BZ2688"/>
      <c r="CA2688"/>
      <c r="CB2688"/>
      <c r="CC2688"/>
      <c r="CD2688"/>
      <c r="CE2688"/>
      <c r="CF2688"/>
      <c r="CG2688"/>
      <c r="CH2688"/>
      <c r="CI2688"/>
      <c r="CJ2688"/>
      <c r="CK2688"/>
      <c r="CL2688"/>
      <c r="CM2688"/>
      <c r="CR2688" s="416"/>
      <c r="CS2688" s="650"/>
      <c r="CT2688" s="45"/>
      <c r="CU2688" s="73"/>
      <c r="CV2688" s="73"/>
      <c r="CW2688" s="73"/>
      <c r="CX2688" s="73"/>
      <c r="CY2688" s="45"/>
      <c r="CZ2688" s="45"/>
      <c r="DA2688" s="650"/>
      <c r="DB2688" s="45"/>
      <c r="DC2688" s="45"/>
      <c r="DD2688" s="45"/>
      <c r="DE2688" s="45"/>
      <c r="DF2688" s="45"/>
      <c r="DG2688" s="45"/>
      <c r="DH2688" s="45"/>
      <c r="DI2688" s="45"/>
      <c r="DJ2688" s="45"/>
      <c r="DK2688" s="45"/>
      <c r="DL2688" s="45"/>
      <c r="DM2688" s="45"/>
    </row>
    <row r="2689" spans="1:126" x14ac:dyDescent="0.2">
      <c r="C2689" s="45"/>
      <c r="E2689" s="650"/>
      <c r="F2689" s="650"/>
      <c r="G2689" s="73"/>
      <c r="H2689" s="45"/>
      <c r="I2689" s="111"/>
      <c r="J2689" s="81"/>
      <c r="K2689" s="81"/>
      <c r="L2689" s="499"/>
      <c r="M2689" s="73"/>
      <c r="O2689" s="73"/>
      <c r="P2689" s="73"/>
      <c r="Q2689" s="73"/>
      <c r="R2689" s="176"/>
      <c r="S2689" s="176"/>
      <c r="T2689" s="176"/>
      <c r="X2689" s="167"/>
      <c r="BX2689" s="769"/>
      <c r="CR2689" s="416"/>
      <c r="CS2689" s="650"/>
      <c r="CT2689" s="45"/>
      <c r="CU2689" s="73"/>
      <c r="CV2689" s="73"/>
      <c r="CW2689" s="73"/>
      <c r="CX2689" s="73"/>
      <c r="CY2689" s="45"/>
      <c r="CZ2689" s="45"/>
      <c r="DA2689" s="650"/>
      <c r="DB2689" s="45"/>
      <c r="DC2689" s="45"/>
      <c r="DD2689" s="45"/>
      <c r="DE2689" s="45"/>
      <c r="DF2689" s="45"/>
      <c r="DG2689" s="45"/>
      <c r="DH2689" s="45"/>
      <c r="DI2689" s="45"/>
      <c r="DJ2689" s="45"/>
      <c r="DK2689" s="45"/>
      <c r="DL2689" s="45"/>
      <c r="DM2689" s="45"/>
      <c r="DN2689" s="45"/>
    </row>
    <row r="2690" spans="1:126" x14ac:dyDescent="0.2">
      <c r="C2690" s="45"/>
      <c r="E2690" s="650"/>
      <c r="F2690" s="650"/>
      <c r="G2690" s="73"/>
      <c r="H2690" s="45"/>
      <c r="I2690" s="111"/>
      <c r="J2690" s="81"/>
      <c r="K2690" s="81"/>
      <c r="L2690" s="499"/>
      <c r="M2690" s="73"/>
      <c r="O2690" s="73"/>
      <c r="P2690" s="73"/>
      <c r="Q2690" s="73"/>
      <c r="R2690" s="176"/>
      <c r="S2690" s="176"/>
      <c r="T2690" s="176"/>
      <c r="X2690" s="167"/>
      <c r="BX2690" s="769"/>
      <c r="CR2690" s="416"/>
      <c r="CS2690" s="650"/>
      <c r="CT2690" s="45"/>
      <c r="CU2690" s="73"/>
      <c r="CV2690" s="73"/>
      <c r="CW2690" s="73"/>
      <c r="CX2690" s="73"/>
      <c r="CY2690" s="45"/>
      <c r="CZ2690" s="45"/>
      <c r="DA2690" s="650"/>
      <c r="DB2690" s="45"/>
      <c r="DC2690" s="45"/>
      <c r="DD2690" s="45"/>
      <c r="DE2690" s="45"/>
      <c r="DF2690" s="45"/>
      <c r="DG2690" s="45"/>
      <c r="DH2690" s="45"/>
      <c r="DI2690" s="45"/>
      <c r="DJ2690" s="45"/>
      <c r="DK2690" s="45"/>
      <c r="DL2690" s="45"/>
      <c r="DM2690" s="45"/>
      <c r="DN2690" s="45"/>
      <c r="DO2690" s="45"/>
    </row>
    <row r="2691" spans="1:126" x14ac:dyDescent="0.2">
      <c r="C2691" s="45"/>
      <c r="E2691" s="650"/>
      <c r="F2691" s="650"/>
      <c r="G2691" s="73"/>
      <c r="H2691" s="45"/>
      <c r="I2691" s="111"/>
      <c r="J2691" s="81"/>
      <c r="K2691" s="81"/>
      <c r="L2691" s="499"/>
      <c r="M2691" s="73"/>
      <c r="O2691" s="73"/>
      <c r="P2691" s="73"/>
      <c r="Q2691" s="73"/>
      <c r="R2691" s="176"/>
      <c r="S2691" s="176"/>
      <c r="T2691" s="176"/>
      <c r="X2691" s="167"/>
      <c r="BX2691" s="769"/>
      <c r="CR2691" s="416"/>
      <c r="CS2691" s="650"/>
      <c r="CT2691" s="45"/>
      <c r="CU2691" s="73"/>
      <c r="CV2691" s="73"/>
      <c r="CW2691" s="73"/>
      <c r="CX2691" s="73"/>
      <c r="CY2691" s="45"/>
      <c r="CZ2691" s="45"/>
      <c r="DA2691" s="650"/>
      <c r="DB2691" s="45"/>
      <c r="DC2691" s="45"/>
      <c r="DD2691" s="45"/>
      <c r="DE2691" s="45"/>
      <c r="DF2691" s="45"/>
      <c r="DG2691" s="45"/>
      <c r="DH2691" s="45"/>
      <c r="DI2691" s="45"/>
      <c r="DJ2691" s="45"/>
      <c r="DK2691" s="45"/>
      <c r="DL2691" s="45"/>
      <c r="DM2691" s="45"/>
      <c r="DN2691" s="45"/>
      <c r="DO2691" s="45"/>
      <c r="DP2691" s="45"/>
      <c r="DQ2691" s="45"/>
    </row>
    <row r="2692" spans="1:126" x14ac:dyDescent="0.2">
      <c r="C2692" s="45"/>
      <c r="E2692" s="650"/>
      <c r="F2692" s="650"/>
      <c r="G2692" s="73"/>
      <c r="H2692" s="45"/>
      <c r="I2692" s="111"/>
      <c r="J2692" s="81"/>
      <c r="K2692" s="81"/>
      <c r="L2692" s="499"/>
      <c r="M2692" s="73"/>
      <c r="O2692" s="73"/>
      <c r="P2692" s="73"/>
      <c r="Q2692" s="73"/>
      <c r="R2692" s="176"/>
      <c r="S2692" s="176"/>
      <c r="T2692" s="176"/>
      <c r="X2692" s="167"/>
      <c r="BX2692" s="769"/>
      <c r="CR2692" s="416"/>
      <c r="CS2692" s="650"/>
      <c r="CT2692" s="45"/>
      <c r="CU2692" s="73"/>
      <c r="CV2692" s="73"/>
      <c r="CW2692" s="73"/>
      <c r="CX2692" s="73"/>
      <c r="CY2692" s="45"/>
      <c r="CZ2692" s="45"/>
      <c r="DA2692" s="650"/>
      <c r="DB2692" s="45"/>
      <c r="DC2692" s="45"/>
      <c r="DD2692" s="45"/>
      <c r="DE2692" s="45"/>
      <c r="DF2692" s="45"/>
      <c r="DG2692" s="45"/>
      <c r="DH2692" s="45"/>
      <c r="DI2692" s="45"/>
      <c r="DJ2692" s="45"/>
      <c r="DK2692" s="45"/>
      <c r="DL2692" s="45"/>
      <c r="DM2692" s="45"/>
      <c r="DN2692" s="45"/>
      <c r="DO2692" s="45"/>
      <c r="DP2692" s="45"/>
      <c r="DQ2692" s="45"/>
    </row>
    <row r="2693" spans="1:126" x14ac:dyDescent="0.2">
      <c r="C2693" s="45"/>
      <c r="E2693" s="650"/>
      <c r="F2693" s="650"/>
      <c r="G2693" s="73"/>
      <c r="H2693" s="45"/>
      <c r="I2693" s="111"/>
      <c r="J2693" s="81"/>
      <c r="K2693" s="81"/>
      <c r="L2693" s="499"/>
      <c r="M2693" s="73"/>
      <c r="O2693" s="73"/>
      <c r="P2693" s="73"/>
      <c r="Q2693" s="73"/>
      <c r="R2693" s="176"/>
      <c r="S2693" s="176"/>
      <c r="T2693" s="176"/>
      <c r="X2693" s="167"/>
      <c r="BX2693" s="769"/>
      <c r="CR2693" s="416"/>
      <c r="CS2693" s="650"/>
      <c r="CT2693" s="45"/>
      <c r="CU2693" s="73"/>
      <c r="CV2693" s="73"/>
      <c r="CW2693" s="73"/>
      <c r="CX2693" s="73"/>
      <c r="CY2693" s="45"/>
      <c r="CZ2693" s="45"/>
      <c r="DA2693" s="650"/>
      <c r="DB2693" s="45"/>
      <c r="DC2693" s="45"/>
      <c r="DD2693" s="45"/>
      <c r="DE2693" s="45"/>
      <c r="DF2693" s="45"/>
      <c r="DG2693" s="45"/>
      <c r="DH2693" s="45"/>
      <c r="DI2693" s="45"/>
      <c r="DJ2693" s="45"/>
      <c r="DK2693" s="45"/>
      <c r="DL2693" s="45"/>
      <c r="DM2693" s="45"/>
      <c r="DN2693" s="45"/>
      <c r="DO2693" s="45"/>
      <c r="DP2693" s="45"/>
      <c r="DQ2693" s="45"/>
      <c r="DR2693" s="45"/>
      <c r="DS2693" s="45"/>
      <c r="DT2693" s="45"/>
      <c r="DU2693" s="45"/>
      <c r="DV2693" s="45"/>
    </row>
    <row r="2694" spans="1:126" x14ac:dyDescent="0.2">
      <c r="A2694" s="650"/>
      <c r="B2694" s="438"/>
      <c r="C2694" s="45"/>
      <c r="E2694" s="650"/>
      <c r="F2694" s="650"/>
      <c r="G2694" s="73"/>
      <c r="H2694" s="45"/>
      <c r="I2694" s="111"/>
      <c r="J2694" s="81"/>
      <c r="K2694" s="81"/>
      <c r="L2694" s="499"/>
      <c r="M2694" s="73"/>
      <c r="O2694" s="73"/>
      <c r="P2694" s="73"/>
      <c r="Q2694" s="73"/>
      <c r="R2694" s="176"/>
      <c r="S2694" s="176"/>
      <c r="T2694" s="176"/>
      <c r="X2694" s="167"/>
      <c r="BX2694" s="769"/>
      <c r="CR2694" s="416"/>
      <c r="CS2694" s="650"/>
      <c r="CT2694" s="45"/>
      <c r="CU2694" s="73"/>
      <c r="CV2694" s="73"/>
      <c r="CW2694" s="73"/>
      <c r="CX2694" s="73"/>
      <c r="CY2694" s="45"/>
      <c r="CZ2694" s="45"/>
      <c r="DA2694" s="650"/>
      <c r="DB2694" s="45"/>
      <c r="DC2694" s="45"/>
      <c r="DD2694" s="45"/>
      <c r="DE2694" s="45"/>
      <c r="DF2694" s="45"/>
      <c r="DG2694" s="45"/>
      <c r="DH2694" s="45"/>
      <c r="DI2694" s="45"/>
      <c r="DJ2694" s="45"/>
      <c r="DK2694" s="45"/>
      <c r="DL2694" s="45"/>
      <c r="DM2694" s="45"/>
      <c r="DN2694" s="45"/>
      <c r="DO2694" s="45"/>
      <c r="DP2694" s="45"/>
      <c r="DQ2694" s="45"/>
      <c r="DR2694" s="45"/>
      <c r="DS2694" s="45"/>
      <c r="DT2694" s="45"/>
      <c r="DU2694" s="45"/>
      <c r="DV2694" s="45"/>
    </row>
    <row r="2695" spans="1:126" s="45" customFormat="1" x14ac:dyDescent="0.2">
      <c r="A2695" s="650"/>
      <c r="B2695" s="438"/>
      <c r="D2695" s="1"/>
      <c r="E2695" s="650"/>
      <c r="F2695" s="650"/>
      <c r="G2695" s="73"/>
      <c r="I2695" s="111"/>
      <c r="J2695" s="81"/>
      <c r="K2695" s="81"/>
      <c r="L2695" s="499"/>
      <c r="M2695" s="73"/>
      <c r="N2695" s="499"/>
      <c r="O2695" s="73"/>
      <c r="P2695" s="73"/>
      <c r="Q2695" s="73"/>
      <c r="R2695" s="176"/>
      <c r="S2695" s="176"/>
      <c r="T2695" s="176"/>
      <c r="U2695" s="400"/>
      <c r="V2695" s="400"/>
      <c r="W2695" s="732"/>
      <c r="X2695" s="167"/>
      <c r="Y2695" s="509"/>
      <c r="Z2695" s="466"/>
      <c r="AA2695" s="466"/>
      <c r="AB2695" s="466"/>
      <c r="AC2695" s="466"/>
      <c r="AD2695" s="466"/>
      <c r="AE2695" s="466"/>
      <c r="AF2695" s="466"/>
      <c r="AG2695" s="466"/>
      <c r="AH2695" s="466"/>
      <c r="AI2695" s="466"/>
      <c r="AJ2695" s="466"/>
      <c r="AK2695" s="466"/>
      <c r="AL2695" s="466"/>
      <c r="AM2695" s="466"/>
      <c r="AN2695" s="466"/>
      <c r="AO2695" s="466"/>
      <c r="AP2695" s="466"/>
      <c r="AQ2695" s="466"/>
      <c r="AR2695" s="466"/>
      <c r="AS2695" s="466"/>
      <c r="AT2695" s="466"/>
      <c r="AU2695" s="466"/>
      <c r="AV2695" s="466"/>
      <c r="AW2695" s="466"/>
      <c r="AX2695" s="466"/>
      <c r="AY2695" s="466"/>
      <c r="AZ2695" s="466"/>
      <c r="BA2695" s="466"/>
      <c r="BB2695" s="466"/>
      <c r="BC2695" s="466"/>
      <c r="BD2695" s="466"/>
      <c r="BE2695" s="467"/>
      <c r="BF2695" s="467"/>
      <c r="BG2695" s="466"/>
      <c r="BH2695" s="466"/>
      <c r="BI2695" s="467"/>
      <c r="BJ2695" s="467"/>
      <c r="BK2695" s="467"/>
      <c r="BL2695" s="467"/>
      <c r="BM2695" s="467"/>
      <c r="BN2695" s="467"/>
      <c r="BO2695" s="467"/>
      <c r="BP2695" s="467"/>
      <c r="BQ2695" s="467"/>
      <c r="BR2695" s="467"/>
      <c r="BS2695" s="467"/>
      <c r="BT2695" s="467"/>
      <c r="BU2695" s="467"/>
      <c r="BV2695" s="467"/>
      <c r="BW2695" s="467"/>
      <c r="BX2695" s="769"/>
      <c r="BY2695" s="769"/>
      <c r="BZ2695" s="769"/>
      <c r="CA2695" s="769"/>
      <c r="CB2695" s="769"/>
      <c r="CC2695" s="769"/>
      <c r="CD2695" s="769"/>
      <c r="CE2695" s="769"/>
      <c r="CF2695" s="769"/>
      <c r="CG2695" s="1"/>
      <c r="CH2695" s="418"/>
      <c r="CI2695" s="403"/>
      <c r="CJ2695" s="1"/>
      <c r="CK2695" s="48"/>
      <c r="CL2695" s="490"/>
      <c r="CM2695" s="650"/>
      <c r="CR2695" s="416"/>
      <c r="CS2695" s="650"/>
      <c r="CU2695" s="73"/>
      <c r="CV2695" s="73"/>
      <c r="CW2695" s="73"/>
      <c r="CX2695" s="73"/>
      <c r="DA2695" s="650"/>
    </row>
    <row r="2696" spans="1:126" s="45" customFormat="1" x14ac:dyDescent="0.2">
      <c r="A2696" s="650"/>
      <c r="B2696" s="438"/>
      <c r="D2696" s="1"/>
      <c r="E2696" s="650"/>
      <c r="F2696" s="650"/>
      <c r="G2696" s="73"/>
      <c r="I2696" s="111"/>
      <c r="J2696" s="81"/>
      <c r="K2696" s="81"/>
      <c r="L2696" s="499"/>
      <c r="M2696" s="73"/>
      <c r="N2696" s="499"/>
      <c r="O2696" s="73"/>
      <c r="P2696" s="73"/>
      <c r="Q2696" s="73"/>
      <c r="R2696" s="176"/>
      <c r="S2696" s="176"/>
      <c r="T2696" s="176"/>
      <c r="U2696" s="400"/>
      <c r="V2696" s="400"/>
      <c r="W2696" s="732"/>
      <c r="X2696" s="167"/>
      <c r="Y2696" s="509"/>
      <c r="Z2696" s="466"/>
      <c r="AA2696" s="466"/>
      <c r="AB2696" s="466"/>
      <c r="AC2696" s="466"/>
      <c r="AD2696" s="466"/>
      <c r="AE2696" s="466"/>
      <c r="AF2696" s="466"/>
      <c r="AG2696" s="466"/>
      <c r="AH2696" s="466"/>
      <c r="AI2696" s="466"/>
      <c r="AJ2696" s="466"/>
      <c r="AK2696" s="466"/>
      <c r="AL2696" s="466"/>
      <c r="AM2696" s="466"/>
      <c r="AN2696" s="466"/>
      <c r="AO2696" s="466"/>
      <c r="AP2696" s="466"/>
      <c r="AQ2696" s="466"/>
      <c r="AR2696" s="466"/>
      <c r="AS2696" s="466"/>
      <c r="AT2696" s="466"/>
      <c r="AU2696" s="466"/>
      <c r="AV2696" s="466"/>
      <c r="AW2696" s="466"/>
      <c r="AX2696" s="466"/>
      <c r="AY2696" s="466"/>
      <c r="AZ2696" s="466"/>
      <c r="BA2696" s="466"/>
      <c r="BB2696" s="466"/>
      <c r="BC2696" s="466"/>
      <c r="BD2696" s="466"/>
      <c r="BE2696" s="467"/>
      <c r="BF2696" s="467"/>
      <c r="BG2696" s="466"/>
      <c r="BH2696" s="466"/>
      <c r="BI2696" s="467"/>
      <c r="BJ2696" s="467"/>
      <c r="BK2696" s="467"/>
      <c r="BL2696" s="467"/>
      <c r="BM2696" s="467"/>
      <c r="BN2696" s="467"/>
      <c r="BO2696" s="467"/>
      <c r="BP2696" s="467"/>
      <c r="BQ2696" s="467"/>
      <c r="BR2696" s="467"/>
      <c r="BS2696" s="467"/>
      <c r="BT2696" s="467"/>
      <c r="BU2696" s="467"/>
      <c r="BV2696" s="467"/>
      <c r="BW2696" s="467"/>
      <c r="BX2696" s="769"/>
      <c r="BY2696" s="769"/>
      <c r="BZ2696" s="769"/>
      <c r="CA2696" s="769"/>
      <c r="CB2696" s="769"/>
      <c r="CC2696" s="769"/>
      <c r="CD2696" s="769"/>
      <c r="CE2696" s="769"/>
      <c r="CF2696" s="769"/>
      <c r="CG2696" s="1"/>
      <c r="CH2696" s="418"/>
      <c r="CI2696" s="403"/>
      <c r="CJ2696" s="1"/>
      <c r="CK2696" s="48"/>
      <c r="CL2696" s="490"/>
      <c r="CM2696" s="650"/>
      <c r="CR2696" s="416"/>
      <c r="CS2696" s="650"/>
      <c r="CU2696" s="73"/>
      <c r="CV2696" s="73"/>
      <c r="CW2696" s="73"/>
      <c r="CX2696" s="73"/>
      <c r="DA2696" s="650"/>
    </row>
    <row r="2697" spans="1:126" s="45" customFormat="1" x14ac:dyDescent="0.2">
      <c r="A2697" s="650"/>
      <c r="B2697" s="438"/>
      <c r="D2697" s="73"/>
      <c r="E2697" s="650"/>
      <c r="F2697" s="650"/>
      <c r="G2697" s="73"/>
      <c r="I2697" s="111"/>
      <c r="J2697" s="81"/>
      <c r="K2697" s="81"/>
      <c r="L2697" s="499"/>
      <c r="M2697" s="73"/>
      <c r="N2697" s="499"/>
      <c r="O2697" s="73"/>
      <c r="P2697" s="73"/>
      <c r="Q2697" s="73"/>
      <c r="R2697" s="176"/>
      <c r="S2697" s="176"/>
      <c r="T2697" s="176"/>
      <c r="U2697" s="400"/>
      <c r="V2697" s="400"/>
      <c r="W2697" s="732"/>
      <c r="X2697" s="167"/>
      <c r="Y2697" s="509"/>
      <c r="Z2697" s="466"/>
      <c r="AA2697" s="466"/>
      <c r="AB2697" s="466"/>
      <c r="AC2697" s="466"/>
      <c r="AD2697" s="466"/>
      <c r="AE2697" s="466"/>
      <c r="AF2697" s="466"/>
      <c r="AG2697" s="466"/>
      <c r="AH2697" s="466"/>
      <c r="AI2697" s="466"/>
      <c r="AJ2697" s="466"/>
      <c r="AK2697" s="466"/>
      <c r="AL2697" s="466"/>
      <c r="AM2697" s="466"/>
      <c r="AN2697" s="466"/>
      <c r="AO2697" s="466"/>
      <c r="AP2697" s="466"/>
      <c r="AQ2697" s="466"/>
      <c r="AR2697" s="466"/>
      <c r="AS2697" s="466"/>
      <c r="AT2697" s="466"/>
      <c r="AU2697" s="466"/>
      <c r="AV2697" s="466"/>
      <c r="AW2697" s="466"/>
      <c r="AX2697" s="466"/>
      <c r="AY2697" s="466"/>
      <c r="AZ2697" s="466"/>
      <c r="BA2697" s="466"/>
      <c r="BB2697" s="466"/>
      <c r="BC2697" s="466"/>
      <c r="BD2697" s="466"/>
      <c r="BE2697" s="467"/>
      <c r="BF2697" s="467"/>
      <c r="BG2697" s="466"/>
      <c r="BH2697" s="466"/>
      <c r="BI2697" s="467"/>
      <c r="BJ2697" s="467"/>
      <c r="BK2697" s="467"/>
      <c r="BL2697" s="467"/>
      <c r="BM2697" s="467"/>
      <c r="BN2697" s="467"/>
      <c r="BO2697" s="467"/>
      <c r="BP2697" s="467"/>
      <c r="BQ2697" s="467"/>
      <c r="BR2697" s="467"/>
      <c r="BS2697" s="467"/>
      <c r="BT2697" s="467"/>
      <c r="BU2697" s="467"/>
      <c r="BV2697" s="467"/>
      <c r="BW2697" s="467"/>
      <c r="BX2697" s="769"/>
      <c r="BY2697" s="769"/>
      <c r="BZ2697" s="769"/>
      <c r="CA2697" s="769"/>
      <c r="CB2697" s="769"/>
      <c r="CC2697" s="769"/>
      <c r="CD2697" s="769"/>
      <c r="CE2697" s="769"/>
      <c r="CF2697" s="769"/>
      <c r="CG2697" s="73"/>
      <c r="CH2697" s="438"/>
      <c r="CI2697" s="416"/>
      <c r="CJ2697" s="73"/>
      <c r="CK2697" s="650"/>
      <c r="CL2697" s="499"/>
      <c r="CM2697" s="650"/>
      <c r="CR2697" s="416"/>
      <c r="CS2697" s="650"/>
      <c r="CU2697" s="73"/>
      <c r="CV2697" s="73"/>
      <c r="CW2697" s="73"/>
      <c r="CX2697" s="73"/>
      <c r="DA2697" s="650"/>
    </row>
    <row r="2698" spans="1:126" s="45" customFormat="1" x14ac:dyDescent="0.2">
      <c r="A2698" s="650"/>
      <c r="B2698" s="438"/>
      <c r="D2698" s="73"/>
      <c r="E2698" s="650"/>
      <c r="F2698" s="650"/>
      <c r="G2698" s="73"/>
      <c r="I2698" s="111"/>
      <c r="J2698" s="81"/>
      <c r="K2698" s="81"/>
      <c r="L2698" s="499"/>
      <c r="M2698" s="73"/>
      <c r="N2698" s="499"/>
      <c r="O2698" s="73"/>
      <c r="P2698" s="73"/>
      <c r="Q2698" s="73"/>
      <c r="R2698" s="176"/>
      <c r="S2698" s="176"/>
      <c r="T2698" s="176"/>
      <c r="U2698" s="400"/>
      <c r="V2698" s="400"/>
      <c r="W2698" s="732"/>
      <c r="X2698" s="167"/>
      <c r="Y2698" s="509"/>
      <c r="Z2698" s="466"/>
      <c r="AA2698" s="466"/>
      <c r="AB2698" s="466"/>
      <c r="AC2698" s="466"/>
      <c r="AD2698" s="466"/>
      <c r="AE2698" s="466"/>
      <c r="AF2698" s="466"/>
      <c r="AG2698" s="466"/>
      <c r="AH2698" s="466"/>
      <c r="AI2698" s="466"/>
      <c r="AJ2698" s="466"/>
      <c r="AK2698" s="466"/>
      <c r="AL2698" s="466"/>
      <c r="AM2698" s="466"/>
      <c r="AN2698" s="466"/>
      <c r="AO2698" s="466"/>
      <c r="AP2698" s="466"/>
      <c r="AQ2698" s="466"/>
      <c r="AR2698" s="466"/>
      <c r="AS2698" s="466"/>
      <c r="AT2698" s="466"/>
      <c r="AU2698" s="466"/>
      <c r="AV2698" s="466"/>
      <c r="AW2698" s="466"/>
      <c r="AX2698" s="466"/>
      <c r="AY2698" s="466"/>
      <c r="AZ2698" s="466"/>
      <c r="BA2698" s="466"/>
      <c r="BB2698" s="466"/>
      <c r="BC2698" s="466"/>
      <c r="BD2698" s="466"/>
      <c r="BE2698" s="467"/>
      <c r="BF2698" s="467"/>
      <c r="BG2698" s="466"/>
      <c r="BH2698" s="466"/>
      <c r="BI2698" s="467"/>
      <c r="BJ2698" s="467"/>
      <c r="BK2698" s="467"/>
      <c r="BL2698" s="467"/>
      <c r="BM2698" s="467"/>
      <c r="BN2698" s="467"/>
      <c r="BO2698" s="467"/>
      <c r="BP2698" s="467"/>
      <c r="BQ2698" s="467"/>
      <c r="BR2698" s="467"/>
      <c r="BS2698" s="467"/>
      <c r="BT2698" s="467"/>
      <c r="BU2698" s="467"/>
      <c r="BV2698" s="467"/>
      <c r="BW2698" s="467"/>
      <c r="BX2698" s="769"/>
      <c r="BY2698" s="769"/>
      <c r="BZ2698" s="769"/>
      <c r="CA2698" s="769"/>
      <c r="CB2698" s="769"/>
      <c r="CC2698" s="769"/>
      <c r="CD2698" s="769"/>
      <c r="CE2698" s="769"/>
      <c r="CF2698" s="769"/>
      <c r="CG2698" s="73"/>
      <c r="CH2698" s="438"/>
      <c r="CI2698" s="416"/>
      <c r="CJ2698" s="73"/>
      <c r="CK2698" s="650"/>
      <c r="CL2698" s="499"/>
      <c r="CM2698" s="650"/>
      <c r="CR2698" s="416"/>
      <c r="CS2698" s="650"/>
      <c r="CU2698" s="73"/>
      <c r="CV2698" s="73"/>
      <c r="CW2698" s="73"/>
      <c r="CX2698" s="73"/>
      <c r="DA2698" s="650"/>
    </row>
    <row r="2699" spans="1:126" s="45" customFormat="1" x14ac:dyDescent="0.2">
      <c r="A2699" s="650"/>
      <c r="B2699" s="438"/>
      <c r="D2699" s="73"/>
      <c r="E2699" s="650"/>
      <c r="F2699" s="650"/>
      <c r="G2699" s="73"/>
      <c r="I2699" s="111"/>
      <c r="J2699" s="81"/>
      <c r="K2699" s="81"/>
      <c r="L2699" s="499"/>
      <c r="M2699" s="73"/>
      <c r="N2699" s="499"/>
      <c r="O2699" s="73"/>
      <c r="P2699" s="73"/>
      <c r="Q2699" s="73"/>
      <c r="R2699" s="176"/>
      <c r="S2699" s="176"/>
      <c r="T2699" s="176"/>
      <c r="U2699" s="400"/>
      <c r="V2699" s="400"/>
      <c r="W2699" s="732"/>
      <c r="X2699" s="167"/>
      <c r="Y2699" s="509"/>
      <c r="Z2699" s="466"/>
      <c r="AA2699" s="466"/>
      <c r="AB2699" s="466"/>
      <c r="AC2699" s="466"/>
      <c r="AD2699" s="466"/>
      <c r="AE2699" s="466"/>
      <c r="AF2699" s="466"/>
      <c r="AG2699" s="466"/>
      <c r="AH2699" s="466"/>
      <c r="AI2699" s="466"/>
      <c r="AJ2699" s="466"/>
      <c r="AK2699" s="466"/>
      <c r="AL2699" s="466"/>
      <c r="AM2699" s="466"/>
      <c r="AN2699" s="466"/>
      <c r="AO2699" s="466"/>
      <c r="AP2699" s="466"/>
      <c r="AQ2699" s="466"/>
      <c r="AR2699" s="466"/>
      <c r="AS2699" s="466"/>
      <c r="AT2699" s="466"/>
      <c r="AU2699" s="466"/>
      <c r="AV2699" s="466"/>
      <c r="AW2699" s="466"/>
      <c r="AX2699" s="466"/>
      <c r="AY2699" s="466"/>
      <c r="AZ2699" s="466"/>
      <c r="BA2699" s="466"/>
      <c r="BB2699" s="466"/>
      <c r="BC2699" s="466"/>
      <c r="BD2699" s="466"/>
      <c r="BE2699" s="467"/>
      <c r="BF2699" s="467"/>
      <c r="BG2699" s="466"/>
      <c r="BH2699" s="466"/>
      <c r="BI2699" s="467"/>
      <c r="BJ2699" s="467"/>
      <c r="BK2699" s="467"/>
      <c r="BL2699" s="467"/>
      <c r="BM2699" s="467"/>
      <c r="BN2699" s="467"/>
      <c r="BO2699" s="467"/>
      <c r="BP2699" s="467"/>
      <c r="BQ2699" s="467"/>
      <c r="BR2699" s="467"/>
      <c r="BS2699" s="467"/>
      <c r="BT2699" s="467"/>
      <c r="BU2699" s="467"/>
      <c r="BV2699" s="467"/>
      <c r="BW2699" s="467"/>
      <c r="BX2699" s="769"/>
      <c r="BY2699" s="769"/>
      <c r="BZ2699" s="769"/>
      <c r="CA2699" s="769"/>
      <c r="CB2699" s="769"/>
      <c r="CC2699" s="769"/>
      <c r="CD2699" s="769"/>
      <c r="CE2699" s="769"/>
      <c r="CF2699" s="769"/>
      <c r="CG2699" s="73"/>
      <c r="CH2699" s="438"/>
      <c r="CI2699" s="416"/>
      <c r="CJ2699" s="73"/>
      <c r="CK2699" s="650"/>
      <c r="CL2699" s="499"/>
      <c r="CM2699" s="650"/>
      <c r="CR2699" s="416"/>
      <c r="CS2699" s="650"/>
      <c r="CU2699" s="73"/>
      <c r="CV2699" s="73"/>
      <c r="CW2699" s="73"/>
      <c r="CX2699" s="73"/>
      <c r="DA2699" s="650"/>
    </row>
    <row r="2700" spans="1:126" s="45" customFormat="1" x14ac:dyDescent="0.2">
      <c r="A2700" s="650"/>
      <c r="B2700" s="438"/>
      <c r="D2700" s="73"/>
      <c r="E2700" s="650"/>
      <c r="F2700" s="650"/>
      <c r="G2700" s="73"/>
      <c r="I2700" s="111"/>
      <c r="J2700" s="81"/>
      <c r="K2700" s="81"/>
      <c r="L2700" s="499"/>
      <c r="M2700" s="73"/>
      <c r="N2700" s="499"/>
      <c r="O2700" s="73"/>
      <c r="P2700" s="73"/>
      <c r="Q2700" s="73"/>
      <c r="R2700" s="176"/>
      <c r="S2700" s="176"/>
      <c r="T2700" s="176"/>
      <c r="U2700" s="400"/>
      <c r="V2700" s="400"/>
      <c r="W2700" s="732"/>
      <c r="X2700" s="167"/>
      <c r="Y2700" s="509"/>
      <c r="Z2700" s="466"/>
      <c r="AA2700" s="466"/>
      <c r="AB2700" s="466"/>
      <c r="AC2700" s="466"/>
      <c r="AD2700" s="466"/>
      <c r="AE2700" s="466"/>
      <c r="AF2700" s="466"/>
      <c r="AG2700" s="466"/>
      <c r="AH2700" s="466"/>
      <c r="AI2700" s="466"/>
      <c r="AJ2700" s="466"/>
      <c r="AK2700" s="466"/>
      <c r="AL2700" s="466"/>
      <c r="AM2700" s="466"/>
      <c r="AN2700" s="466"/>
      <c r="AO2700" s="466"/>
      <c r="AP2700" s="466"/>
      <c r="AQ2700" s="466"/>
      <c r="AR2700" s="466"/>
      <c r="AS2700" s="466"/>
      <c r="AT2700" s="466"/>
      <c r="AU2700" s="466"/>
      <c r="AV2700" s="466"/>
      <c r="AW2700" s="466"/>
      <c r="AX2700" s="466"/>
      <c r="AY2700" s="466"/>
      <c r="AZ2700" s="466"/>
      <c r="BA2700" s="466"/>
      <c r="BB2700" s="466"/>
      <c r="BC2700" s="466"/>
      <c r="BD2700" s="466"/>
      <c r="BE2700" s="467"/>
      <c r="BF2700" s="467"/>
      <c r="BG2700" s="466"/>
      <c r="BH2700" s="466"/>
      <c r="BI2700" s="467"/>
      <c r="BJ2700" s="467"/>
      <c r="BK2700" s="467"/>
      <c r="BL2700" s="467"/>
      <c r="BM2700" s="467"/>
      <c r="BN2700" s="467"/>
      <c r="BO2700" s="467"/>
      <c r="BP2700" s="467"/>
      <c r="BQ2700" s="467"/>
      <c r="BR2700" s="467"/>
      <c r="BS2700" s="467"/>
      <c r="BT2700" s="467"/>
      <c r="BU2700" s="467"/>
      <c r="BV2700" s="467"/>
      <c r="BW2700" s="467"/>
      <c r="BX2700" s="769"/>
      <c r="BY2700" s="769"/>
      <c r="BZ2700" s="769"/>
      <c r="CA2700" s="769"/>
      <c r="CB2700" s="769"/>
      <c r="CC2700" s="769"/>
      <c r="CD2700" s="769"/>
      <c r="CE2700" s="769"/>
      <c r="CF2700" s="769"/>
      <c r="CG2700" s="73"/>
      <c r="CH2700" s="438"/>
      <c r="CI2700" s="416"/>
      <c r="CJ2700" s="73"/>
      <c r="CK2700" s="650"/>
      <c r="CL2700" s="499"/>
      <c r="CM2700" s="650"/>
      <c r="CR2700" s="416"/>
      <c r="CS2700" s="650"/>
      <c r="CU2700" s="73"/>
      <c r="CV2700" s="73"/>
      <c r="CW2700" s="73"/>
      <c r="CX2700" s="73"/>
      <c r="DA2700" s="650"/>
    </row>
    <row r="2701" spans="1:126" s="45" customFormat="1" x14ac:dyDescent="0.2">
      <c r="A2701" s="650"/>
      <c r="B2701" s="438"/>
      <c r="D2701" s="73"/>
      <c r="E2701" s="650"/>
      <c r="F2701" s="650"/>
      <c r="G2701" s="73"/>
      <c r="I2701" s="111"/>
      <c r="J2701" s="81"/>
      <c r="K2701" s="81"/>
      <c r="L2701" s="499"/>
      <c r="M2701" s="73"/>
      <c r="N2701" s="499"/>
      <c r="O2701" s="73"/>
      <c r="P2701" s="73"/>
      <c r="Q2701" s="73"/>
      <c r="R2701" s="176"/>
      <c r="S2701" s="176"/>
      <c r="T2701" s="176"/>
      <c r="U2701" s="400"/>
      <c r="V2701" s="400"/>
      <c r="W2701" s="732"/>
      <c r="X2701" s="167"/>
      <c r="Y2701" s="509"/>
      <c r="Z2701" s="466"/>
      <c r="AA2701" s="466"/>
      <c r="AB2701" s="466"/>
      <c r="AC2701" s="466"/>
      <c r="AD2701" s="466"/>
      <c r="AE2701" s="466"/>
      <c r="AF2701" s="466"/>
      <c r="AG2701" s="466"/>
      <c r="AH2701" s="466"/>
      <c r="AI2701" s="466"/>
      <c r="AJ2701" s="466"/>
      <c r="AK2701" s="466"/>
      <c r="AL2701" s="466"/>
      <c r="AM2701" s="466"/>
      <c r="AN2701" s="466"/>
      <c r="AO2701" s="466"/>
      <c r="AP2701" s="466"/>
      <c r="AQ2701" s="466"/>
      <c r="AR2701" s="466"/>
      <c r="AS2701" s="466"/>
      <c r="AT2701" s="466"/>
      <c r="AU2701" s="466"/>
      <c r="AV2701" s="466"/>
      <c r="AW2701" s="466"/>
      <c r="AX2701" s="466"/>
      <c r="AY2701" s="466"/>
      <c r="AZ2701" s="466"/>
      <c r="BA2701" s="466"/>
      <c r="BB2701" s="466"/>
      <c r="BC2701" s="466"/>
      <c r="BD2701" s="466"/>
      <c r="BE2701" s="467"/>
      <c r="BF2701" s="467"/>
      <c r="BG2701" s="466"/>
      <c r="BH2701" s="466"/>
      <c r="BI2701" s="467"/>
      <c r="BJ2701" s="467"/>
      <c r="BK2701" s="467"/>
      <c r="BL2701" s="467"/>
      <c r="BM2701" s="467"/>
      <c r="BN2701" s="467"/>
      <c r="BO2701" s="467"/>
      <c r="BP2701" s="467"/>
      <c r="BQ2701" s="467"/>
      <c r="BR2701" s="467"/>
      <c r="BS2701" s="467"/>
      <c r="BT2701" s="467"/>
      <c r="BU2701" s="467"/>
      <c r="BV2701" s="467"/>
      <c r="BW2701" s="467"/>
      <c r="BX2701" s="769"/>
      <c r="BY2701" s="769"/>
      <c r="BZ2701" s="769"/>
      <c r="CA2701" s="769"/>
      <c r="CB2701" s="769"/>
      <c r="CC2701" s="769"/>
      <c r="CD2701" s="769"/>
      <c r="CE2701" s="769"/>
      <c r="CF2701" s="769"/>
      <c r="CG2701" s="73"/>
      <c r="CH2701" s="438"/>
      <c r="CI2701" s="416"/>
      <c r="CJ2701" s="73"/>
      <c r="CK2701" s="650"/>
      <c r="CL2701" s="499"/>
      <c r="CM2701" s="650"/>
      <c r="CR2701" s="416"/>
      <c r="CS2701" s="650"/>
      <c r="CU2701" s="73"/>
      <c r="CV2701" s="73"/>
      <c r="CW2701" s="73"/>
      <c r="CX2701" s="73"/>
      <c r="DA2701" s="650"/>
    </row>
    <row r="2702" spans="1:126" s="45" customFormat="1" x14ac:dyDescent="0.2">
      <c r="A2702" s="650"/>
      <c r="B2702" s="438"/>
      <c r="D2702" s="73"/>
      <c r="E2702" s="650"/>
      <c r="F2702" s="650"/>
      <c r="G2702" s="73"/>
      <c r="I2702" s="111"/>
      <c r="J2702" s="81"/>
      <c r="K2702" s="81"/>
      <c r="L2702" s="499"/>
      <c r="M2702" s="73"/>
      <c r="N2702" s="499"/>
      <c r="O2702" s="73"/>
      <c r="P2702" s="73"/>
      <c r="Q2702" s="73"/>
      <c r="R2702" s="176"/>
      <c r="S2702" s="176"/>
      <c r="T2702" s="176"/>
      <c r="U2702" s="400"/>
      <c r="V2702" s="400"/>
      <c r="W2702" s="732"/>
      <c r="X2702" s="167"/>
      <c r="Y2702" s="509"/>
      <c r="Z2702" s="466"/>
      <c r="AA2702" s="466"/>
      <c r="AB2702" s="466"/>
      <c r="AC2702" s="466"/>
      <c r="AD2702" s="466"/>
      <c r="AE2702" s="466"/>
      <c r="AF2702" s="466"/>
      <c r="AG2702" s="466"/>
      <c r="AH2702" s="466"/>
      <c r="AI2702" s="466"/>
      <c r="AJ2702" s="466"/>
      <c r="AK2702" s="466"/>
      <c r="AL2702" s="466"/>
      <c r="AM2702" s="466"/>
      <c r="AN2702" s="466"/>
      <c r="AO2702" s="466"/>
      <c r="AP2702" s="466"/>
      <c r="AQ2702" s="466"/>
      <c r="AR2702" s="466"/>
      <c r="AS2702" s="466"/>
      <c r="AT2702" s="466"/>
      <c r="AU2702" s="466"/>
      <c r="AV2702" s="466"/>
      <c r="AW2702" s="466"/>
      <c r="AX2702" s="466"/>
      <c r="AY2702" s="466"/>
      <c r="AZ2702" s="466"/>
      <c r="BA2702" s="466"/>
      <c r="BB2702" s="466"/>
      <c r="BC2702" s="466"/>
      <c r="BD2702" s="466"/>
      <c r="BE2702" s="467"/>
      <c r="BF2702" s="467"/>
      <c r="BG2702" s="466"/>
      <c r="BH2702" s="466"/>
      <c r="BI2702" s="467"/>
      <c r="BJ2702" s="467"/>
      <c r="BK2702" s="467"/>
      <c r="BL2702" s="467"/>
      <c r="BM2702" s="467"/>
      <c r="BN2702" s="467"/>
      <c r="BO2702" s="467"/>
      <c r="BP2702" s="467"/>
      <c r="BQ2702" s="467"/>
      <c r="BR2702" s="467"/>
      <c r="BS2702" s="467"/>
      <c r="BT2702" s="467"/>
      <c r="BU2702" s="467"/>
      <c r="BV2702" s="467"/>
      <c r="BW2702" s="467"/>
      <c r="BX2702" s="769"/>
      <c r="BY2702" s="769"/>
      <c r="BZ2702" s="769"/>
      <c r="CA2702" s="769"/>
      <c r="CB2702" s="769"/>
      <c r="CC2702" s="769"/>
      <c r="CD2702" s="769"/>
      <c r="CE2702" s="769"/>
      <c r="CF2702" s="769"/>
      <c r="CG2702" s="73"/>
      <c r="CH2702" s="438"/>
      <c r="CI2702" s="416"/>
      <c r="CJ2702" s="73"/>
      <c r="CK2702" s="650"/>
      <c r="CL2702" s="499"/>
      <c r="CM2702" s="650"/>
      <c r="CR2702" s="416"/>
      <c r="CS2702" s="650"/>
      <c r="CU2702" s="73"/>
      <c r="CV2702" s="73"/>
      <c r="CW2702" s="73"/>
      <c r="CX2702" s="73"/>
      <c r="DA2702" s="650"/>
    </row>
    <row r="2703" spans="1:126" s="45" customFormat="1" x14ac:dyDescent="0.2">
      <c r="A2703" s="650"/>
      <c r="B2703" s="438"/>
      <c r="D2703" s="73"/>
      <c r="E2703" s="650"/>
      <c r="F2703" s="650"/>
      <c r="G2703" s="73"/>
      <c r="I2703" s="111"/>
      <c r="J2703" s="81"/>
      <c r="K2703" s="81"/>
      <c r="L2703" s="499"/>
      <c r="M2703" s="73"/>
      <c r="N2703" s="499"/>
      <c r="O2703" s="73"/>
      <c r="P2703" s="73"/>
      <c r="Q2703" s="73"/>
      <c r="R2703" s="176"/>
      <c r="S2703" s="176"/>
      <c r="T2703" s="176"/>
      <c r="U2703" s="400"/>
      <c r="V2703" s="400"/>
      <c r="W2703" s="732"/>
      <c r="X2703" s="167"/>
      <c r="Y2703" s="509"/>
      <c r="Z2703" s="466"/>
      <c r="AA2703" s="466"/>
      <c r="AB2703" s="466"/>
      <c r="AC2703" s="466"/>
      <c r="AD2703" s="466"/>
      <c r="AE2703" s="466"/>
      <c r="AF2703" s="466"/>
      <c r="AG2703" s="466"/>
      <c r="AH2703" s="466"/>
      <c r="AI2703" s="466"/>
      <c r="AJ2703" s="466"/>
      <c r="AK2703" s="466"/>
      <c r="AL2703" s="466"/>
      <c r="AM2703" s="466"/>
      <c r="AN2703" s="466"/>
      <c r="AO2703" s="466"/>
      <c r="AP2703" s="466"/>
      <c r="AQ2703" s="466"/>
      <c r="AR2703" s="466"/>
      <c r="AS2703" s="466"/>
      <c r="AT2703" s="466"/>
      <c r="AU2703" s="466"/>
      <c r="AV2703" s="466"/>
      <c r="AW2703" s="466"/>
      <c r="AX2703" s="466"/>
      <c r="AY2703" s="466"/>
      <c r="AZ2703" s="466"/>
      <c r="BA2703" s="466"/>
      <c r="BB2703" s="466"/>
      <c r="BC2703" s="466"/>
      <c r="BD2703" s="466"/>
      <c r="BE2703" s="467"/>
      <c r="BF2703" s="467"/>
      <c r="BG2703" s="466"/>
      <c r="BH2703" s="466"/>
      <c r="BI2703" s="467"/>
      <c r="BJ2703" s="467"/>
      <c r="BK2703" s="467"/>
      <c r="BL2703" s="467"/>
      <c r="BM2703" s="467"/>
      <c r="BN2703" s="467"/>
      <c r="BO2703" s="467"/>
      <c r="BP2703" s="467"/>
      <c r="BQ2703" s="467"/>
      <c r="BR2703" s="467"/>
      <c r="BS2703" s="467"/>
      <c r="BT2703" s="467"/>
      <c r="BU2703" s="467"/>
      <c r="BV2703" s="467"/>
      <c r="BW2703" s="467"/>
      <c r="BX2703" s="769"/>
      <c r="BY2703" s="769"/>
      <c r="BZ2703" s="769"/>
      <c r="CA2703" s="769"/>
      <c r="CB2703" s="769"/>
      <c r="CC2703" s="769"/>
      <c r="CD2703" s="769"/>
      <c r="CE2703" s="769"/>
      <c r="CF2703" s="769"/>
      <c r="CG2703" s="73"/>
      <c r="CH2703" s="438"/>
      <c r="CI2703" s="416"/>
      <c r="CJ2703" s="73"/>
      <c r="CK2703" s="650"/>
      <c r="CL2703" s="499"/>
      <c r="CM2703" s="650"/>
      <c r="CR2703" s="416"/>
      <c r="CS2703" s="650"/>
      <c r="CU2703" s="73"/>
      <c r="CV2703" s="73"/>
      <c r="CW2703" s="73"/>
      <c r="CX2703" s="73"/>
      <c r="DA2703" s="650"/>
    </row>
    <row r="2704" spans="1:126" s="45" customFormat="1" x14ac:dyDescent="0.2">
      <c r="A2704" s="650"/>
      <c r="B2704" s="438"/>
      <c r="D2704" s="73"/>
      <c r="E2704" s="650"/>
      <c r="F2704" s="650"/>
      <c r="G2704" s="73"/>
      <c r="I2704" s="111"/>
      <c r="J2704" s="81"/>
      <c r="K2704" s="81"/>
      <c r="L2704" s="499"/>
      <c r="M2704" s="73"/>
      <c r="N2704" s="499"/>
      <c r="O2704" s="73"/>
      <c r="P2704" s="73"/>
      <c r="Q2704" s="73"/>
      <c r="R2704" s="176"/>
      <c r="S2704" s="176"/>
      <c r="T2704" s="176"/>
      <c r="U2704" s="400"/>
      <c r="V2704" s="400"/>
      <c r="W2704" s="732"/>
      <c r="X2704" s="167"/>
      <c r="Y2704" s="509"/>
      <c r="Z2704" s="466"/>
      <c r="AA2704" s="466"/>
      <c r="AB2704" s="466"/>
      <c r="AC2704" s="466"/>
      <c r="AD2704" s="466"/>
      <c r="AE2704" s="466"/>
      <c r="AF2704" s="466"/>
      <c r="AG2704" s="466"/>
      <c r="AH2704" s="466"/>
      <c r="AI2704" s="466"/>
      <c r="AJ2704" s="466"/>
      <c r="AK2704" s="466"/>
      <c r="AL2704" s="466"/>
      <c r="AM2704" s="466"/>
      <c r="AN2704" s="466"/>
      <c r="AO2704" s="466"/>
      <c r="AP2704" s="466"/>
      <c r="AQ2704" s="466"/>
      <c r="AR2704" s="466"/>
      <c r="AS2704" s="466"/>
      <c r="AT2704" s="466"/>
      <c r="AU2704" s="466"/>
      <c r="AV2704" s="466"/>
      <c r="AW2704" s="466"/>
      <c r="AX2704" s="466"/>
      <c r="AY2704" s="466"/>
      <c r="AZ2704" s="466"/>
      <c r="BA2704" s="466"/>
      <c r="BB2704" s="466"/>
      <c r="BC2704" s="466"/>
      <c r="BD2704" s="466"/>
      <c r="BE2704" s="467"/>
      <c r="BF2704" s="467"/>
      <c r="BG2704" s="466"/>
      <c r="BH2704" s="466"/>
      <c r="BI2704" s="467"/>
      <c r="BJ2704" s="467"/>
      <c r="BK2704" s="467"/>
      <c r="BL2704" s="467"/>
      <c r="BM2704" s="467"/>
      <c r="BN2704" s="467"/>
      <c r="BO2704" s="467"/>
      <c r="BP2704" s="467"/>
      <c r="BQ2704" s="467"/>
      <c r="BR2704" s="467"/>
      <c r="BS2704" s="467"/>
      <c r="BT2704" s="467"/>
      <c r="BU2704" s="467"/>
      <c r="BV2704" s="467"/>
      <c r="BW2704" s="467"/>
      <c r="BX2704" s="769"/>
      <c r="BY2704" s="769"/>
      <c r="BZ2704" s="769"/>
      <c r="CA2704" s="769"/>
      <c r="CB2704" s="769"/>
      <c r="CC2704" s="769"/>
      <c r="CD2704" s="769"/>
      <c r="CE2704" s="769"/>
      <c r="CF2704" s="769"/>
      <c r="CG2704" s="73"/>
      <c r="CH2704" s="438"/>
      <c r="CI2704" s="416"/>
      <c r="CJ2704" s="73"/>
      <c r="CK2704" s="650"/>
      <c r="CL2704" s="499"/>
      <c r="CM2704" s="650"/>
      <c r="CR2704" s="416"/>
      <c r="CS2704" s="650"/>
      <c r="CU2704" s="73"/>
      <c r="CV2704" s="73"/>
      <c r="CW2704" s="73"/>
      <c r="CX2704" s="73"/>
      <c r="DA2704" s="650"/>
    </row>
    <row r="2705" spans="1:105" s="45" customFormat="1" x14ac:dyDescent="0.2">
      <c r="A2705" s="650"/>
      <c r="B2705" s="438"/>
      <c r="D2705" s="73"/>
      <c r="E2705" s="650"/>
      <c r="F2705" s="650"/>
      <c r="G2705" s="73"/>
      <c r="I2705" s="111"/>
      <c r="J2705" s="81"/>
      <c r="K2705" s="81"/>
      <c r="L2705" s="499"/>
      <c r="M2705" s="73"/>
      <c r="N2705" s="499"/>
      <c r="O2705" s="73"/>
      <c r="P2705" s="73"/>
      <c r="Q2705" s="73"/>
      <c r="R2705" s="176"/>
      <c r="S2705" s="176"/>
      <c r="T2705" s="176"/>
      <c r="U2705" s="400"/>
      <c r="V2705" s="400"/>
      <c r="W2705" s="732"/>
      <c r="X2705" s="167"/>
      <c r="Y2705" s="509"/>
      <c r="Z2705" s="466"/>
      <c r="AA2705" s="466"/>
      <c r="AB2705" s="466"/>
      <c r="AC2705" s="466"/>
      <c r="AD2705" s="466"/>
      <c r="AE2705" s="466"/>
      <c r="AF2705" s="466"/>
      <c r="AG2705" s="466"/>
      <c r="AH2705" s="466"/>
      <c r="AI2705" s="466"/>
      <c r="AJ2705" s="466"/>
      <c r="AK2705" s="466"/>
      <c r="AL2705" s="466"/>
      <c r="AM2705" s="466"/>
      <c r="AN2705" s="466"/>
      <c r="AO2705" s="466"/>
      <c r="AP2705" s="466"/>
      <c r="AQ2705" s="466"/>
      <c r="AR2705" s="466"/>
      <c r="AS2705" s="466"/>
      <c r="AT2705" s="466"/>
      <c r="AU2705" s="466"/>
      <c r="AV2705" s="466"/>
      <c r="AW2705" s="466"/>
      <c r="AX2705" s="466"/>
      <c r="AY2705" s="466"/>
      <c r="AZ2705" s="466"/>
      <c r="BA2705" s="466"/>
      <c r="BB2705" s="466"/>
      <c r="BC2705" s="466"/>
      <c r="BD2705" s="466"/>
      <c r="BE2705" s="467"/>
      <c r="BF2705" s="467"/>
      <c r="BG2705" s="466"/>
      <c r="BH2705" s="466"/>
      <c r="BI2705" s="467"/>
      <c r="BJ2705" s="467"/>
      <c r="BK2705" s="467"/>
      <c r="BL2705" s="467"/>
      <c r="BM2705" s="467"/>
      <c r="BN2705" s="467"/>
      <c r="BO2705" s="467"/>
      <c r="BP2705" s="467"/>
      <c r="BQ2705" s="467"/>
      <c r="BR2705" s="467"/>
      <c r="BS2705" s="467"/>
      <c r="BT2705" s="467"/>
      <c r="BU2705" s="467"/>
      <c r="BV2705" s="467"/>
      <c r="BW2705" s="467"/>
      <c r="BX2705" s="769"/>
      <c r="BY2705" s="769"/>
      <c r="BZ2705" s="769"/>
      <c r="CA2705" s="769"/>
      <c r="CB2705" s="769"/>
      <c r="CC2705" s="769"/>
      <c r="CD2705" s="769"/>
      <c r="CE2705" s="769"/>
      <c r="CF2705" s="769"/>
      <c r="CG2705" s="73"/>
      <c r="CH2705" s="438"/>
      <c r="CI2705" s="416"/>
      <c r="CJ2705" s="73"/>
      <c r="CK2705" s="650"/>
      <c r="CL2705" s="499"/>
      <c r="CM2705" s="650"/>
      <c r="CR2705" s="416"/>
      <c r="CS2705" s="650"/>
      <c r="CU2705" s="73"/>
      <c r="CV2705" s="73"/>
      <c r="CW2705" s="73"/>
      <c r="CX2705" s="73"/>
      <c r="DA2705" s="650"/>
    </row>
    <row r="2706" spans="1:105" s="45" customFormat="1" x14ac:dyDescent="0.2">
      <c r="A2706" s="650"/>
      <c r="B2706" s="438"/>
      <c r="D2706" s="73"/>
      <c r="E2706" s="650"/>
      <c r="F2706" s="650"/>
      <c r="G2706" s="73"/>
      <c r="I2706" s="111"/>
      <c r="J2706" s="81"/>
      <c r="K2706" s="81"/>
      <c r="L2706" s="499"/>
      <c r="M2706" s="73"/>
      <c r="N2706" s="499"/>
      <c r="O2706" s="73"/>
      <c r="P2706" s="73"/>
      <c r="Q2706" s="73"/>
      <c r="R2706" s="176"/>
      <c r="S2706" s="176"/>
      <c r="T2706" s="176"/>
      <c r="U2706" s="400"/>
      <c r="V2706" s="400"/>
      <c r="W2706" s="732"/>
      <c r="X2706" s="167"/>
      <c r="Y2706" s="509"/>
      <c r="Z2706" s="466"/>
      <c r="AA2706" s="466"/>
      <c r="AB2706" s="466"/>
      <c r="AC2706" s="466"/>
      <c r="AD2706" s="466"/>
      <c r="AE2706" s="466"/>
      <c r="AF2706" s="466"/>
      <c r="AG2706" s="466"/>
      <c r="AH2706" s="466"/>
      <c r="AI2706" s="466"/>
      <c r="AJ2706" s="466"/>
      <c r="AK2706" s="466"/>
      <c r="AL2706" s="466"/>
      <c r="AM2706" s="466"/>
      <c r="AN2706" s="466"/>
      <c r="AO2706" s="466"/>
      <c r="AP2706" s="466"/>
      <c r="AQ2706" s="466"/>
      <c r="AR2706" s="466"/>
      <c r="AS2706" s="466"/>
      <c r="AT2706" s="466"/>
      <c r="AU2706" s="466"/>
      <c r="AV2706" s="466"/>
      <c r="AW2706" s="466"/>
      <c r="AX2706" s="466"/>
      <c r="AY2706" s="466"/>
      <c r="AZ2706" s="466"/>
      <c r="BA2706" s="466"/>
      <c r="BB2706" s="466"/>
      <c r="BC2706" s="466"/>
      <c r="BD2706" s="466"/>
      <c r="BE2706" s="467"/>
      <c r="BF2706" s="467"/>
      <c r="BG2706" s="466"/>
      <c r="BH2706" s="466"/>
      <c r="BI2706" s="467"/>
      <c r="BJ2706" s="467"/>
      <c r="BK2706" s="467"/>
      <c r="BL2706" s="467"/>
      <c r="BM2706" s="467"/>
      <c r="BN2706" s="467"/>
      <c r="BO2706" s="467"/>
      <c r="BP2706" s="467"/>
      <c r="BQ2706" s="467"/>
      <c r="BR2706" s="467"/>
      <c r="BS2706" s="467"/>
      <c r="BT2706" s="467"/>
      <c r="BU2706" s="467"/>
      <c r="BV2706" s="467"/>
      <c r="BW2706" s="467"/>
      <c r="BX2706" s="769"/>
      <c r="BY2706" s="769"/>
      <c r="BZ2706" s="769"/>
      <c r="CA2706" s="769"/>
      <c r="CB2706" s="769"/>
      <c r="CC2706" s="769"/>
      <c r="CD2706" s="769"/>
      <c r="CE2706" s="769"/>
      <c r="CF2706" s="769"/>
      <c r="CG2706" s="73"/>
      <c r="CH2706" s="438"/>
      <c r="CI2706" s="416"/>
      <c r="CJ2706" s="73"/>
      <c r="CK2706" s="650"/>
      <c r="CL2706" s="499"/>
      <c r="CM2706" s="650"/>
      <c r="CR2706" s="416"/>
      <c r="CS2706" s="650"/>
      <c r="CU2706" s="73"/>
      <c r="CV2706" s="73"/>
      <c r="CW2706" s="73"/>
      <c r="CX2706" s="73"/>
      <c r="DA2706" s="650"/>
    </row>
    <row r="2707" spans="1:105" s="45" customFormat="1" x14ac:dyDescent="0.2">
      <c r="A2707" s="650"/>
      <c r="B2707" s="438"/>
      <c r="D2707" s="73"/>
      <c r="E2707" s="650"/>
      <c r="F2707" s="650"/>
      <c r="G2707" s="73"/>
      <c r="I2707" s="111"/>
      <c r="J2707" s="81"/>
      <c r="K2707" s="81"/>
      <c r="L2707" s="499"/>
      <c r="M2707" s="73"/>
      <c r="N2707" s="499"/>
      <c r="O2707" s="73"/>
      <c r="P2707" s="73"/>
      <c r="Q2707" s="73"/>
      <c r="R2707" s="176"/>
      <c r="S2707" s="176"/>
      <c r="T2707" s="176"/>
      <c r="U2707" s="400"/>
      <c r="V2707" s="400"/>
      <c r="W2707" s="732"/>
      <c r="X2707" s="167"/>
      <c r="Y2707" s="509"/>
      <c r="Z2707" s="466"/>
      <c r="AA2707" s="466"/>
      <c r="AB2707" s="466"/>
      <c r="AC2707" s="466"/>
      <c r="AD2707" s="466"/>
      <c r="AE2707" s="466"/>
      <c r="AF2707" s="466"/>
      <c r="AG2707" s="466"/>
      <c r="AH2707" s="466"/>
      <c r="AI2707" s="466"/>
      <c r="AJ2707" s="466"/>
      <c r="AK2707" s="466"/>
      <c r="AL2707" s="466"/>
      <c r="AM2707" s="466"/>
      <c r="AN2707" s="466"/>
      <c r="AO2707" s="466"/>
      <c r="AP2707" s="466"/>
      <c r="AQ2707" s="466"/>
      <c r="AR2707" s="466"/>
      <c r="AS2707" s="466"/>
      <c r="AT2707" s="466"/>
      <c r="AU2707" s="466"/>
      <c r="AV2707" s="466"/>
      <c r="AW2707" s="466"/>
      <c r="AX2707" s="466"/>
      <c r="AY2707" s="466"/>
      <c r="AZ2707" s="466"/>
      <c r="BA2707" s="466"/>
      <c r="BB2707" s="466"/>
      <c r="BC2707" s="466"/>
      <c r="BD2707" s="466"/>
      <c r="BE2707" s="467"/>
      <c r="BF2707" s="467"/>
      <c r="BG2707" s="466"/>
      <c r="BH2707" s="466"/>
      <c r="BI2707" s="467"/>
      <c r="BJ2707" s="467"/>
      <c r="BK2707" s="467"/>
      <c r="BL2707" s="467"/>
      <c r="BM2707" s="467"/>
      <c r="BN2707" s="467"/>
      <c r="BO2707" s="467"/>
      <c r="BP2707" s="467"/>
      <c r="BQ2707" s="467"/>
      <c r="BR2707" s="467"/>
      <c r="BS2707" s="467"/>
      <c r="BT2707" s="467"/>
      <c r="BU2707" s="467"/>
      <c r="BV2707" s="467"/>
      <c r="BW2707" s="467"/>
      <c r="BX2707" s="769"/>
      <c r="BY2707" s="769"/>
      <c r="BZ2707" s="769"/>
      <c r="CA2707" s="769"/>
      <c r="CB2707" s="769"/>
      <c r="CC2707" s="769"/>
      <c r="CD2707" s="769"/>
      <c r="CE2707" s="769"/>
      <c r="CF2707" s="769"/>
      <c r="CG2707" s="73"/>
      <c r="CH2707" s="438"/>
      <c r="CI2707" s="416"/>
      <c r="CJ2707" s="73"/>
      <c r="CK2707" s="650"/>
      <c r="CL2707" s="499"/>
      <c r="CM2707" s="650"/>
      <c r="CR2707" s="416"/>
      <c r="CS2707" s="650"/>
      <c r="CU2707" s="73"/>
      <c r="CV2707" s="73"/>
      <c r="CW2707" s="73"/>
      <c r="CX2707" s="73"/>
      <c r="DA2707" s="650"/>
    </row>
    <row r="2708" spans="1:105" s="45" customFormat="1" x14ac:dyDescent="0.2">
      <c r="A2708" s="650"/>
      <c r="B2708" s="438"/>
      <c r="D2708" s="73"/>
      <c r="E2708" s="650"/>
      <c r="F2708" s="650"/>
      <c r="G2708" s="73"/>
      <c r="I2708" s="111"/>
      <c r="J2708" s="81"/>
      <c r="K2708" s="81"/>
      <c r="L2708" s="499"/>
      <c r="M2708" s="73"/>
      <c r="N2708" s="499"/>
      <c r="O2708" s="73"/>
      <c r="P2708" s="73"/>
      <c r="Q2708" s="73"/>
      <c r="R2708" s="176"/>
      <c r="S2708" s="176"/>
      <c r="T2708" s="176"/>
      <c r="U2708" s="400"/>
      <c r="V2708" s="400"/>
      <c r="W2708" s="732"/>
      <c r="X2708" s="167"/>
      <c r="Y2708" s="509"/>
      <c r="Z2708" s="466"/>
      <c r="AA2708" s="466"/>
      <c r="AB2708" s="466"/>
      <c r="AC2708" s="466"/>
      <c r="AD2708" s="466"/>
      <c r="AE2708" s="466"/>
      <c r="AF2708" s="466"/>
      <c r="AG2708" s="466"/>
      <c r="AH2708" s="466"/>
      <c r="AI2708" s="466"/>
      <c r="AJ2708" s="466"/>
      <c r="AK2708" s="466"/>
      <c r="AL2708" s="466"/>
      <c r="AM2708" s="466"/>
      <c r="AN2708" s="466"/>
      <c r="AO2708" s="466"/>
      <c r="AP2708" s="466"/>
      <c r="AQ2708" s="466"/>
      <c r="AR2708" s="466"/>
      <c r="AS2708" s="466"/>
      <c r="AT2708" s="466"/>
      <c r="AU2708" s="466"/>
      <c r="AV2708" s="466"/>
      <c r="AW2708" s="466"/>
      <c r="AX2708" s="466"/>
      <c r="AY2708" s="466"/>
      <c r="AZ2708" s="466"/>
      <c r="BA2708" s="466"/>
      <c r="BB2708" s="466"/>
      <c r="BC2708" s="466"/>
      <c r="BD2708" s="466"/>
      <c r="BE2708" s="467"/>
      <c r="BF2708" s="467"/>
      <c r="BG2708" s="466"/>
      <c r="BH2708" s="466"/>
      <c r="BI2708" s="467"/>
      <c r="BJ2708" s="467"/>
      <c r="BK2708" s="467"/>
      <c r="BL2708" s="467"/>
      <c r="BM2708" s="467"/>
      <c r="BN2708" s="467"/>
      <c r="BO2708" s="467"/>
      <c r="BP2708" s="467"/>
      <c r="BQ2708" s="467"/>
      <c r="BR2708" s="467"/>
      <c r="BS2708" s="467"/>
      <c r="BT2708" s="467"/>
      <c r="BU2708" s="467"/>
      <c r="BV2708" s="467"/>
      <c r="BW2708" s="467"/>
      <c r="BX2708" s="769"/>
      <c r="BY2708" s="769"/>
      <c r="BZ2708" s="769"/>
      <c r="CA2708" s="769"/>
      <c r="CB2708" s="769"/>
      <c r="CC2708" s="769"/>
      <c r="CD2708" s="769"/>
      <c r="CE2708" s="769"/>
      <c r="CF2708" s="769"/>
      <c r="CG2708" s="73"/>
      <c r="CH2708" s="438"/>
      <c r="CI2708" s="416"/>
      <c r="CJ2708" s="73"/>
      <c r="CK2708" s="650"/>
      <c r="CL2708" s="499"/>
      <c r="CM2708" s="650"/>
      <c r="CR2708" s="416"/>
      <c r="CS2708" s="650"/>
      <c r="CU2708" s="73"/>
      <c r="CV2708" s="73"/>
      <c r="CW2708" s="73"/>
      <c r="CX2708" s="73"/>
      <c r="DA2708" s="650"/>
    </row>
    <row r="2709" spans="1:105" s="45" customFormat="1" x14ac:dyDescent="0.2">
      <c r="A2709" s="650"/>
      <c r="B2709" s="438"/>
      <c r="D2709" s="73"/>
      <c r="E2709" s="650"/>
      <c r="F2709" s="650"/>
      <c r="G2709" s="73"/>
      <c r="I2709" s="111"/>
      <c r="J2709" s="81"/>
      <c r="K2709" s="81"/>
      <c r="L2709" s="499"/>
      <c r="M2709" s="73"/>
      <c r="N2709" s="499"/>
      <c r="O2709" s="73"/>
      <c r="P2709" s="73"/>
      <c r="Q2709" s="73"/>
      <c r="R2709" s="176"/>
      <c r="S2709" s="176"/>
      <c r="T2709" s="176"/>
      <c r="U2709" s="400"/>
      <c r="V2709" s="400"/>
      <c r="W2709" s="732"/>
      <c r="X2709" s="167"/>
      <c r="Y2709" s="509"/>
      <c r="Z2709" s="466"/>
      <c r="AA2709" s="466"/>
      <c r="AB2709" s="466"/>
      <c r="AC2709" s="466"/>
      <c r="AD2709" s="466"/>
      <c r="AE2709" s="466"/>
      <c r="AF2709" s="466"/>
      <c r="AG2709" s="466"/>
      <c r="AH2709" s="466"/>
      <c r="AI2709" s="466"/>
      <c r="AJ2709" s="466"/>
      <c r="AK2709" s="466"/>
      <c r="AL2709" s="466"/>
      <c r="AM2709" s="466"/>
      <c r="AN2709" s="466"/>
      <c r="AO2709" s="466"/>
      <c r="AP2709" s="466"/>
      <c r="AQ2709" s="466"/>
      <c r="AR2709" s="466"/>
      <c r="AS2709" s="466"/>
      <c r="AT2709" s="466"/>
      <c r="AU2709" s="466"/>
      <c r="AV2709" s="466"/>
      <c r="AW2709" s="466"/>
      <c r="AX2709" s="466"/>
      <c r="AY2709" s="466"/>
      <c r="AZ2709" s="466"/>
      <c r="BA2709" s="466"/>
      <c r="BB2709" s="466"/>
      <c r="BC2709" s="466"/>
      <c r="BD2709" s="466"/>
      <c r="BE2709" s="467"/>
      <c r="BF2709" s="467"/>
      <c r="BG2709" s="466"/>
      <c r="BH2709" s="466"/>
      <c r="BI2709" s="467"/>
      <c r="BJ2709" s="467"/>
      <c r="BK2709" s="467"/>
      <c r="BL2709" s="467"/>
      <c r="BM2709" s="467"/>
      <c r="BN2709" s="467"/>
      <c r="BO2709" s="467"/>
      <c r="BP2709" s="467"/>
      <c r="BQ2709" s="467"/>
      <c r="BR2709" s="467"/>
      <c r="BS2709" s="467"/>
      <c r="BT2709" s="467"/>
      <c r="BU2709" s="467"/>
      <c r="BV2709" s="467"/>
      <c r="BW2709" s="467"/>
      <c r="BX2709" s="769"/>
      <c r="BY2709" s="769"/>
      <c r="BZ2709" s="769"/>
      <c r="CA2709" s="769"/>
      <c r="CB2709" s="769"/>
      <c r="CC2709" s="769"/>
      <c r="CD2709" s="769"/>
      <c r="CE2709" s="769"/>
      <c r="CF2709" s="769"/>
      <c r="CG2709" s="73"/>
      <c r="CH2709" s="438"/>
      <c r="CI2709" s="416"/>
      <c r="CJ2709" s="73"/>
      <c r="CK2709" s="650"/>
      <c r="CL2709" s="499"/>
      <c r="CM2709" s="650"/>
      <c r="CR2709" s="416"/>
      <c r="CS2709" s="650"/>
      <c r="CU2709" s="73"/>
      <c r="CV2709" s="73"/>
      <c r="CW2709" s="73"/>
      <c r="CX2709" s="73"/>
      <c r="DA2709" s="650"/>
    </row>
    <row r="2710" spans="1:105" s="45" customFormat="1" x14ac:dyDescent="0.2">
      <c r="A2710" s="650"/>
      <c r="B2710" s="438"/>
      <c r="D2710" s="73"/>
      <c r="E2710" s="650"/>
      <c r="F2710" s="650"/>
      <c r="G2710" s="73"/>
      <c r="I2710" s="111"/>
      <c r="J2710" s="81"/>
      <c r="K2710" s="81"/>
      <c r="L2710" s="499"/>
      <c r="M2710" s="73"/>
      <c r="N2710" s="499"/>
      <c r="O2710" s="73"/>
      <c r="P2710" s="73"/>
      <c r="Q2710" s="73"/>
      <c r="R2710" s="176"/>
      <c r="S2710" s="176"/>
      <c r="T2710" s="176"/>
      <c r="U2710" s="400"/>
      <c r="V2710" s="400"/>
      <c r="W2710" s="732"/>
      <c r="X2710" s="167"/>
      <c r="Y2710" s="509"/>
      <c r="Z2710" s="466"/>
      <c r="AA2710" s="466"/>
      <c r="AB2710" s="466"/>
      <c r="AC2710" s="466"/>
      <c r="AD2710" s="466"/>
      <c r="AE2710" s="466"/>
      <c r="AF2710" s="466"/>
      <c r="AG2710" s="466"/>
      <c r="AH2710" s="466"/>
      <c r="AI2710" s="466"/>
      <c r="AJ2710" s="466"/>
      <c r="AK2710" s="466"/>
      <c r="AL2710" s="466"/>
      <c r="AM2710" s="466"/>
      <c r="AN2710" s="466"/>
      <c r="AO2710" s="466"/>
      <c r="AP2710" s="466"/>
      <c r="AQ2710" s="466"/>
      <c r="AR2710" s="466"/>
      <c r="AS2710" s="466"/>
      <c r="AT2710" s="466"/>
      <c r="AU2710" s="466"/>
      <c r="AV2710" s="466"/>
      <c r="AW2710" s="466"/>
      <c r="AX2710" s="466"/>
      <c r="AY2710" s="466"/>
      <c r="AZ2710" s="466"/>
      <c r="BA2710" s="466"/>
      <c r="BB2710" s="466"/>
      <c r="BC2710" s="466"/>
      <c r="BD2710" s="466"/>
      <c r="BE2710" s="467"/>
      <c r="BF2710" s="467"/>
      <c r="BG2710" s="466"/>
      <c r="BH2710" s="466"/>
      <c r="BI2710" s="467"/>
      <c r="BJ2710" s="467"/>
      <c r="BK2710" s="467"/>
      <c r="BL2710" s="467"/>
      <c r="BM2710" s="467"/>
      <c r="BN2710" s="467"/>
      <c r="BO2710" s="467"/>
      <c r="BP2710" s="467"/>
      <c r="BQ2710" s="467"/>
      <c r="BR2710" s="467"/>
      <c r="BS2710" s="467"/>
      <c r="BT2710" s="467"/>
      <c r="BU2710" s="467"/>
      <c r="BV2710" s="467"/>
      <c r="BW2710" s="467"/>
      <c r="BX2710" s="769"/>
      <c r="BY2710" s="769"/>
      <c r="BZ2710" s="769"/>
      <c r="CA2710" s="769"/>
      <c r="CB2710" s="769"/>
      <c r="CC2710" s="769"/>
      <c r="CD2710" s="769"/>
      <c r="CE2710" s="769"/>
      <c r="CF2710" s="769"/>
      <c r="CG2710" s="73"/>
      <c r="CH2710" s="438"/>
      <c r="CI2710" s="416"/>
      <c r="CJ2710" s="73"/>
      <c r="CK2710" s="650"/>
      <c r="CL2710" s="499"/>
      <c r="CM2710" s="650"/>
      <c r="CR2710" s="416"/>
      <c r="CS2710" s="650"/>
      <c r="CU2710" s="73"/>
      <c r="CV2710" s="73"/>
      <c r="CW2710" s="73"/>
      <c r="CX2710" s="73"/>
      <c r="DA2710" s="650"/>
    </row>
    <row r="2711" spans="1:105" s="45" customFormat="1" x14ac:dyDescent="0.2">
      <c r="A2711" s="650"/>
      <c r="B2711" s="438"/>
      <c r="D2711" s="73"/>
      <c r="E2711" s="650"/>
      <c r="F2711" s="650"/>
      <c r="G2711" s="73"/>
      <c r="I2711" s="111"/>
      <c r="J2711" s="81"/>
      <c r="K2711" s="81"/>
      <c r="L2711" s="499"/>
      <c r="M2711" s="73"/>
      <c r="N2711" s="499"/>
      <c r="O2711" s="73"/>
      <c r="P2711" s="73"/>
      <c r="Q2711" s="73"/>
      <c r="R2711" s="176"/>
      <c r="S2711" s="176"/>
      <c r="T2711" s="176"/>
      <c r="U2711" s="400"/>
      <c r="V2711" s="400"/>
      <c r="W2711" s="732"/>
      <c r="X2711" s="167"/>
      <c r="Y2711" s="509"/>
      <c r="Z2711" s="466"/>
      <c r="AA2711" s="466"/>
      <c r="AB2711" s="466"/>
      <c r="AC2711" s="466"/>
      <c r="AD2711" s="466"/>
      <c r="AE2711" s="466"/>
      <c r="AF2711" s="466"/>
      <c r="AG2711" s="466"/>
      <c r="AH2711" s="466"/>
      <c r="AI2711" s="466"/>
      <c r="AJ2711" s="466"/>
      <c r="AK2711" s="466"/>
      <c r="AL2711" s="466"/>
      <c r="AM2711" s="466"/>
      <c r="AN2711" s="466"/>
      <c r="AO2711" s="466"/>
      <c r="AP2711" s="466"/>
      <c r="AQ2711" s="466"/>
      <c r="AR2711" s="466"/>
      <c r="AS2711" s="466"/>
      <c r="AT2711" s="466"/>
      <c r="AU2711" s="466"/>
      <c r="AV2711" s="466"/>
      <c r="AW2711" s="466"/>
      <c r="AX2711" s="466"/>
      <c r="AY2711" s="466"/>
      <c r="AZ2711" s="466"/>
      <c r="BA2711" s="466"/>
      <c r="BB2711" s="466"/>
      <c r="BC2711" s="466"/>
      <c r="BD2711" s="466"/>
      <c r="BE2711" s="467"/>
      <c r="BF2711" s="467"/>
      <c r="BG2711" s="466"/>
      <c r="BH2711" s="466"/>
      <c r="BI2711" s="467"/>
      <c r="BJ2711" s="467"/>
      <c r="BK2711" s="467"/>
      <c r="BL2711" s="467"/>
      <c r="BM2711" s="467"/>
      <c r="BN2711" s="467"/>
      <c r="BO2711" s="467"/>
      <c r="BP2711" s="467"/>
      <c r="BQ2711" s="467"/>
      <c r="BR2711" s="467"/>
      <c r="BS2711" s="467"/>
      <c r="BT2711" s="467"/>
      <c r="BU2711" s="467"/>
      <c r="BV2711" s="467"/>
      <c r="BW2711" s="467"/>
      <c r="BX2711" s="769"/>
      <c r="BY2711" s="769"/>
      <c r="BZ2711" s="769"/>
      <c r="CA2711" s="769"/>
      <c r="CB2711" s="769"/>
      <c r="CC2711" s="769"/>
      <c r="CD2711" s="769"/>
      <c r="CE2711" s="769"/>
      <c r="CF2711" s="769"/>
      <c r="CG2711" s="73"/>
      <c r="CH2711" s="438"/>
      <c r="CI2711" s="416"/>
      <c r="CJ2711" s="73"/>
      <c r="CK2711" s="650"/>
      <c r="CL2711" s="499"/>
      <c r="CM2711" s="650"/>
      <c r="CR2711" s="416"/>
      <c r="CS2711" s="650"/>
      <c r="CU2711" s="73"/>
      <c r="CV2711" s="73"/>
      <c r="CW2711" s="73"/>
      <c r="CX2711" s="73"/>
      <c r="DA2711" s="650"/>
    </row>
    <row r="2712" spans="1:105" s="45" customFormat="1" x14ac:dyDescent="0.2">
      <c r="A2712" s="650"/>
      <c r="B2712" s="438"/>
      <c r="D2712" s="73"/>
      <c r="E2712" s="650"/>
      <c r="F2712" s="650"/>
      <c r="G2712" s="73"/>
      <c r="I2712" s="111"/>
      <c r="J2712" s="81"/>
      <c r="K2712" s="81"/>
      <c r="L2712" s="499"/>
      <c r="M2712" s="73"/>
      <c r="N2712" s="499"/>
      <c r="O2712" s="73"/>
      <c r="P2712" s="73"/>
      <c r="Q2712" s="73"/>
      <c r="R2712" s="176"/>
      <c r="S2712" s="176"/>
      <c r="T2712" s="176"/>
      <c r="U2712" s="400"/>
      <c r="V2712" s="400"/>
      <c r="W2712" s="732"/>
      <c r="X2712" s="167"/>
      <c r="Y2712" s="509"/>
      <c r="Z2712" s="466"/>
      <c r="AA2712" s="466"/>
      <c r="AB2712" s="466"/>
      <c r="AC2712" s="466"/>
      <c r="AD2712" s="466"/>
      <c r="AE2712" s="466"/>
      <c r="AF2712" s="466"/>
      <c r="AG2712" s="466"/>
      <c r="AH2712" s="466"/>
      <c r="AI2712" s="466"/>
      <c r="AJ2712" s="466"/>
      <c r="AK2712" s="466"/>
      <c r="AL2712" s="466"/>
      <c r="AM2712" s="466"/>
      <c r="AN2712" s="466"/>
      <c r="AO2712" s="466"/>
      <c r="AP2712" s="466"/>
      <c r="AQ2712" s="466"/>
      <c r="AR2712" s="466"/>
      <c r="AS2712" s="466"/>
      <c r="AT2712" s="466"/>
      <c r="AU2712" s="466"/>
      <c r="AV2712" s="466"/>
      <c r="AW2712" s="466"/>
      <c r="AX2712" s="466"/>
      <c r="AY2712" s="466"/>
      <c r="AZ2712" s="466"/>
      <c r="BA2712" s="466"/>
      <c r="BB2712" s="466"/>
      <c r="BC2712" s="466"/>
      <c r="BD2712" s="466"/>
      <c r="BE2712" s="467"/>
      <c r="BF2712" s="467"/>
      <c r="BG2712" s="466"/>
      <c r="BH2712" s="466"/>
      <c r="BI2712" s="467"/>
      <c r="BJ2712" s="467"/>
      <c r="BK2712" s="467"/>
      <c r="BL2712" s="467"/>
      <c r="BM2712" s="467"/>
      <c r="BN2712" s="467"/>
      <c r="BO2712" s="467"/>
      <c r="BP2712" s="467"/>
      <c r="BQ2712" s="467"/>
      <c r="BR2712" s="467"/>
      <c r="BS2712" s="467"/>
      <c r="BT2712" s="467"/>
      <c r="BU2712" s="467"/>
      <c r="BV2712" s="467"/>
      <c r="BW2712" s="467"/>
      <c r="BX2712" s="769"/>
      <c r="BY2712" s="769"/>
      <c r="BZ2712" s="769"/>
      <c r="CA2712" s="769"/>
      <c r="CB2712" s="769"/>
      <c r="CC2712" s="769"/>
      <c r="CD2712" s="769"/>
      <c r="CE2712" s="769"/>
      <c r="CF2712" s="769"/>
      <c r="CG2712" s="73"/>
      <c r="CH2712" s="438"/>
      <c r="CI2712" s="416"/>
      <c r="CJ2712" s="73"/>
      <c r="CK2712" s="650"/>
      <c r="CL2712" s="499"/>
      <c r="CM2712" s="650"/>
      <c r="CR2712" s="416"/>
      <c r="CS2712" s="650"/>
      <c r="CU2712" s="73"/>
      <c r="CV2712" s="73"/>
      <c r="CW2712" s="73"/>
      <c r="CX2712" s="73"/>
      <c r="DA2712" s="650"/>
    </row>
    <row r="2713" spans="1:105" s="45" customFormat="1" x14ac:dyDescent="0.2">
      <c r="A2713" s="650"/>
      <c r="B2713" s="438"/>
      <c r="D2713" s="73"/>
      <c r="E2713" s="650"/>
      <c r="F2713" s="650"/>
      <c r="G2713" s="73"/>
      <c r="I2713" s="111"/>
      <c r="J2713" s="81"/>
      <c r="K2713" s="81"/>
      <c r="L2713" s="499"/>
      <c r="M2713" s="73"/>
      <c r="N2713" s="499"/>
      <c r="O2713" s="73"/>
      <c r="P2713" s="73"/>
      <c r="Q2713" s="73"/>
      <c r="R2713" s="176"/>
      <c r="S2713" s="176"/>
      <c r="T2713" s="176"/>
      <c r="U2713" s="400"/>
      <c r="V2713" s="400"/>
      <c r="W2713" s="732"/>
      <c r="X2713" s="167"/>
      <c r="Y2713" s="509"/>
      <c r="Z2713" s="466"/>
      <c r="AA2713" s="466"/>
      <c r="AB2713" s="466"/>
      <c r="AC2713" s="466"/>
      <c r="AD2713" s="466"/>
      <c r="AE2713" s="466"/>
      <c r="AF2713" s="466"/>
      <c r="AG2713" s="466"/>
      <c r="AH2713" s="466"/>
      <c r="AI2713" s="466"/>
      <c r="AJ2713" s="466"/>
      <c r="AK2713" s="466"/>
      <c r="AL2713" s="466"/>
      <c r="AM2713" s="466"/>
      <c r="AN2713" s="466"/>
      <c r="AO2713" s="466"/>
      <c r="AP2713" s="466"/>
      <c r="AQ2713" s="466"/>
      <c r="AR2713" s="466"/>
      <c r="AS2713" s="466"/>
      <c r="AT2713" s="466"/>
      <c r="AU2713" s="466"/>
      <c r="AV2713" s="466"/>
      <c r="AW2713" s="466"/>
      <c r="AX2713" s="466"/>
      <c r="AY2713" s="466"/>
      <c r="AZ2713" s="466"/>
      <c r="BA2713" s="466"/>
      <c r="BB2713" s="466"/>
      <c r="BC2713" s="466"/>
      <c r="BD2713" s="466"/>
      <c r="BE2713" s="467"/>
      <c r="BF2713" s="467"/>
      <c r="BG2713" s="466"/>
      <c r="BH2713" s="466"/>
      <c r="BI2713" s="467"/>
      <c r="BJ2713" s="467"/>
      <c r="BK2713" s="467"/>
      <c r="BL2713" s="467"/>
      <c r="BM2713" s="467"/>
      <c r="BN2713" s="467"/>
      <c r="BO2713" s="467"/>
      <c r="BP2713" s="467"/>
      <c r="BQ2713" s="467"/>
      <c r="BR2713" s="467"/>
      <c r="BS2713" s="467"/>
      <c r="BT2713" s="467"/>
      <c r="BU2713" s="467"/>
      <c r="BV2713" s="467"/>
      <c r="BW2713" s="467"/>
      <c r="BX2713" s="769"/>
      <c r="BY2713" s="769"/>
      <c r="BZ2713" s="769"/>
      <c r="CA2713" s="769"/>
      <c r="CB2713" s="769"/>
      <c r="CC2713" s="769"/>
      <c r="CD2713" s="769"/>
      <c r="CE2713" s="769"/>
      <c r="CF2713" s="769"/>
      <c r="CG2713" s="73"/>
      <c r="CH2713" s="438"/>
      <c r="CI2713" s="416"/>
      <c r="CJ2713" s="73"/>
      <c r="CK2713" s="650"/>
      <c r="CL2713" s="499"/>
      <c r="CM2713" s="650"/>
      <c r="CR2713" s="416"/>
      <c r="CS2713" s="650"/>
      <c r="CU2713" s="73"/>
      <c r="CV2713" s="73"/>
      <c r="CW2713" s="73"/>
      <c r="CX2713" s="73"/>
      <c r="DA2713" s="650"/>
    </row>
    <row r="2714" spans="1:105" s="45" customFormat="1" x14ac:dyDescent="0.2">
      <c r="A2714" s="650"/>
      <c r="B2714" s="438"/>
      <c r="D2714" s="73"/>
      <c r="E2714" s="650"/>
      <c r="F2714" s="650"/>
      <c r="G2714" s="73"/>
      <c r="I2714" s="111"/>
      <c r="J2714" s="81"/>
      <c r="K2714" s="81"/>
      <c r="L2714" s="499"/>
      <c r="M2714" s="73"/>
      <c r="N2714" s="499"/>
      <c r="O2714" s="73"/>
      <c r="P2714" s="73"/>
      <c r="Q2714" s="73"/>
      <c r="R2714" s="176"/>
      <c r="S2714" s="176"/>
      <c r="T2714" s="176"/>
      <c r="U2714" s="400"/>
      <c r="V2714" s="400"/>
      <c r="W2714" s="732"/>
      <c r="X2714" s="167"/>
      <c r="Y2714" s="509"/>
      <c r="Z2714" s="466"/>
      <c r="AA2714" s="466"/>
      <c r="AB2714" s="466"/>
      <c r="AC2714" s="466"/>
      <c r="AD2714" s="466"/>
      <c r="AE2714" s="466"/>
      <c r="AF2714" s="466"/>
      <c r="AG2714" s="466"/>
      <c r="AH2714" s="466"/>
      <c r="AI2714" s="466"/>
      <c r="AJ2714" s="466"/>
      <c r="AK2714" s="466"/>
      <c r="AL2714" s="466"/>
      <c r="AM2714" s="466"/>
      <c r="AN2714" s="466"/>
      <c r="AO2714" s="466"/>
      <c r="AP2714" s="466"/>
      <c r="AQ2714" s="466"/>
      <c r="AR2714" s="466"/>
      <c r="AS2714" s="466"/>
      <c r="AT2714" s="466"/>
      <c r="AU2714" s="466"/>
      <c r="AV2714" s="466"/>
      <c r="AW2714" s="466"/>
      <c r="AX2714" s="466"/>
      <c r="AY2714" s="466"/>
      <c r="AZ2714" s="466"/>
      <c r="BA2714" s="466"/>
      <c r="BB2714" s="466"/>
      <c r="BC2714" s="466"/>
      <c r="BD2714" s="466"/>
      <c r="BE2714" s="467"/>
      <c r="BF2714" s="467"/>
      <c r="BG2714" s="466"/>
      <c r="BH2714" s="466"/>
      <c r="BI2714" s="467"/>
      <c r="BJ2714" s="467"/>
      <c r="BK2714" s="467"/>
      <c r="BL2714" s="467"/>
      <c r="BM2714" s="467"/>
      <c r="BN2714" s="467"/>
      <c r="BO2714" s="467"/>
      <c r="BP2714" s="467"/>
      <c r="BQ2714" s="467"/>
      <c r="BR2714" s="467"/>
      <c r="BS2714" s="467"/>
      <c r="BT2714" s="467"/>
      <c r="BU2714" s="467"/>
      <c r="BV2714" s="467"/>
      <c r="BW2714" s="467"/>
      <c r="BX2714" s="769"/>
      <c r="BY2714" s="769"/>
      <c r="BZ2714" s="769"/>
      <c r="CA2714" s="769"/>
      <c r="CB2714" s="769"/>
      <c r="CC2714" s="769"/>
      <c r="CD2714" s="769"/>
      <c r="CE2714" s="769"/>
      <c r="CF2714" s="769"/>
      <c r="CG2714" s="73"/>
      <c r="CH2714" s="438"/>
      <c r="CI2714" s="416"/>
      <c r="CJ2714" s="73"/>
      <c r="CK2714" s="650"/>
      <c r="CL2714" s="499"/>
      <c r="CM2714" s="650"/>
      <c r="CR2714" s="416"/>
      <c r="CS2714" s="650"/>
      <c r="CU2714" s="73"/>
      <c r="CV2714" s="73"/>
      <c r="CW2714" s="73"/>
      <c r="CX2714" s="73"/>
      <c r="DA2714" s="650"/>
    </row>
    <row r="2715" spans="1:105" s="45" customFormat="1" x14ac:dyDescent="0.2">
      <c r="A2715" s="650"/>
      <c r="B2715" s="438"/>
      <c r="D2715" s="73"/>
      <c r="E2715" s="650"/>
      <c r="F2715" s="650"/>
      <c r="G2715" s="73"/>
      <c r="I2715" s="111"/>
      <c r="J2715" s="81"/>
      <c r="K2715" s="81"/>
      <c r="L2715" s="499"/>
      <c r="M2715" s="73"/>
      <c r="N2715" s="499"/>
      <c r="O2715" s="73"/>
      <c r="P2715" s="73"/>
      <c r="Q2715" s="73"/>
      <c r="R2715" s="176"/>
      <c r="S2715" s="176"/>
      <c r="T2715" s="176"/>
      <c r="U2715" s="400"/>
      <c r="V2715" s="400"/>
      <c r="W2715" s="732"/>
      <c r="X2715" s="167"/>
      <c r="Y2715" s="509"/>
      <c r="Z2715" s="466"/>
      <c r="AA2715" s="466"/>
      <c r="AB2715" s="466"/>
      <c r="AC2715" s="466"/>
      <c r="AD2715" s="466"/>
      <c r="AE2715" s="466"/>
      <c r="AF2715" s="466"/>
      <c r="AG2715" s="466"/>
      <c r="AH2715" s="466"/>
      <c r="AI2715" s="466"/>
      <c r="AJ2715" s="466"/>
      <c r="AK2715" s="466"/>
      <c r="AL2715" s="466"/>
      <c r="AM2715" s="466"/>
      <c r="AN2715" s="466"/>
      <c r="AO2715" s="466"/>
      <c r="AP2715" s="466"/>
      <c r="AQ2715" s="466"/>
      <c r="AR2715" s="466"/>
      <c r="AS2715" s="466"/>
      <c r="AT2715" s="466"/>
      <c r="AU2715" s="466"/>
      <c r="AV2715" s="466"/>
      <c r="AW2715" s="466"/>
      <c r="AX2715" s="466"/>
      <c r="AY2715" s="466"/>
      <c r="AZ2715" s="466"/>
      <c r="BA2715" s="466"/>
      <c r="BB2715" s="466"/>
      <c r="BC2715" s="466"/>
      <c r="BD2715" s="466"/>
      <c r="BE2715" s="467"/>
      <c r="BF2715" s="467"/>
      <c r="BG2715" s="466"/>
      <c r="BH2715" s="466"/>
      <c r="BI2715" s="467"/>
      <c r="BJ2715" s="467"/>
      <c r="BK2715" s="467"/>
      <c r="BL2715" s="467"/>
      <c r="BM2715" s="467"/>
      <c r="BN2715" s="467"/>
      <c r="BO2715" s="467"/>
      <c r="BP2715" s="467"/>
      <c r="BQ2715" s="467"/>
      <c r="BR2715" s="467"/>
      <c r="BS2715" s="467"/>
      <c r="BT2715" s="467"/>
      <c r="BU2715" s="467"/>
      <c r="BV2715" s="467"/>
      <c r="BW2715" s="467"/>
      <c r="BX2715" s="769"/>
      <c r="BY2715" s="769"/>
      <c r="BZ2715" s="769"/>
      <c r="CA2715" s="769"/>
      <c r="CB2715" s="769"/>
      <c r="CC2715" s="769"/>
      <c r="CD2715" s="769"/>
      <c r="CE2715" s="769"/>
      <c r="CF2715" s="769"/>
      <c r="CG2715" s="73"/>
      <c r="CH2715" s="438"/>
      <c r="CI2715" s="416"/>
      <c r="CJ2715" s="73"/>
      <c r="CK2715" s="650"/>
      <c r="CL2715" s="499"/>
      <c r="CM2715" s="650"/>
      <c r="CR2715" s="416"/>
      <c r="CS2715" s="650"/>
      <c r="CU2715" s="73"/>
      <c r="CV2715" s="73"/>
      <c r="CW2715" s="73"/>
      <c r="CX2715" s="73"/>
      <c r="DA2715" s="650"/>
    </row>
    <row r="2716" spans="1:105" s="45" customFormat="1" x14ac:dyDescent="0.2">
      <c r="A2716" s="650"/>
      <c r="B2716" s="438"/>
      <c r="D2716" s="73"/>
      <c r="E2716" s="650"/>
      <c r="F2716" s="650"/>
      <c r="G2716" s="73"/>
      <c r="I2716" s="111"/>
      <c r="J2716" s="81"/>
      <c r="K2716" s="81"/>
      <c r="L2716" s="499"/>
      <c r="M2716" s="73"/>
      <c r="N2716" s="499"/>
      <c r="O2716" s="73"/>
      <c r="P2716" s="73"/>
      <c r="Q2716" s="73"/>
      <c r="R2716" s="176"/>
      <c r="S2716" s="176"/>
      <c r="T2716" s="176"/>
      <c r="U2716" s="400"/>
      <c r="V2716" s="400"/>
      <c r="W2716" s="732"/>
      <c r="X2716" s="167"/>
      <c r="Y2716" s="509"/>
      <c r="Z2716" s="466"/>
      <c r="AA2716" s="466"/>
      <c r="AB2716" s="466"/>
      <c r="AC2716" s="466"/>
      <c r="AD2716" s="466"/>
      <c r="AE2716" s="466"/>
      <c r="AF2716" s="466"/>
      <c r="AG2716" s="466"/>
      <c r="AH2716" s="466"/>
      <c r="AI2716" s="466"/>
      <c r="AJ2716" s="466"/>
      <c r="AK2716" s="466"/>
      <c r="AL2716" s="466"/>
      <c r="AM2716" s="466"/>
      <c r="AN2716" s="466"/>
      <c r="AO2716" s="466"/>
      <c r="AP2716" s="466"/>
      <c r="AQ2716" s="466"/>
      <c r="AR2716" s="466"/>
      <c r="AS2716" s="466"/>
      <c r="AT2716" s="466"/>
      <c r="AU2716" s="466"/>
      <c r="AV2716" s="466"/>
      <c r="AW2716" s="466"/>
      <c r="AX2716" s="466"/>
      <c r="AY2716" s="466"/>
      <c r="AZ2716" s="466"/>
      <c r="BA2716" s="466"/>
      <c r="BB2716" s="466"/>
      <c r="BC2716" s="466"/>
      <c r="BD2716" s="466"/>
      <c r="BE2716" s="467"/>
      <c r="BF2716" s="467"/>
      <c r="BG2716" s="466"/>
      <c r="BH2716" s="466"/>
      <c r="BI2716" s="467"/>
      <c r="BJ2716" s="467"/>
      <c r="BK2716" s="467"/>
      <c r="BL2716" s="467"/>
      <c r="BM2716" s="467"/>
      <c r="BN2716" s="467"/>
      <c r="BO2716" s="467"/>
      <c r="BP2716" s="467"/>
      <c r="BQ2716" s="467"/>
      <c r="BR2716" s="467"/>
      <c r="BS2716" s="467"/>
      <c r="BT2716" s="467"/>
      <c r="BU2716" s="467"/>
      <c r="BV2716" s="467"/>
      <c r="BW2716" s="467"/>
      <c r="BX2716" s="769"/>
      <c r="BY2716" s="769"/>
      <c r="BZ2716" s="769"/>
      <c r="CA2716" s="769"/>
      <c r="CB2716" s="769"/>
      <c r="CC2716" s="769"/>
      <c r="CD2716" s="769"/>
      <c r="CE2716" s="769"/>
      <c r="CF2716" s="769"/>
      <c r="CG2716" s="73"/>
      <c r="CH2716" s="438"/>
      <c r="CI2716" s="416"/>
      <c r="CJ2716" s="73"/>
      <c r="CK2716" s="650"/>
      <c r="CL2716" s="499"/>
      <c r="CM2716" s="650"/>
      <c r="CR2716" s="416"/>
      <c r="CS2716" s="650"/>
      <c r="CU2716" s="73"/>
      <c r="CV2716" s="73"/>
      <c r="CW2716" s="73"/>
      <c r="CX2716" s="73"/>
      <c r="DA2716" s="650"/>
    </row>
    <row r="2717" spans="1:105" s="45" customFormat="1" x14ac:dyDescent="0.2">
      <c r="A2717" s="650"/>
      <c r="B2717" s="438"/>
      <c r="D2717" s="73"/>
      <c r="E2717" s="650"/>
      <c r="F2717" s="650"/>
      <c r="G2717" s="73"/>
      <c r="I2717" s="111"/>
      <c r="J2717" s="81"/>
      <c r="K2717" s="81"/>
      <c r="L2717" s="499"/>
      <c r="M2717" s="73"/>
      <c r="N2717" s="499"/>
      <c r="O2717" s="73"/>
      <c r="P2717" s="73"/>
      <c r="Q2717" s="73"/>
      <c r="R2717" s="176"/>
      <c r="S2717" s="176"/>
      <c r="T2717" s="176"/>
      <c r="U2717" s="400"/>
      <c r="V2717" s="400"/>
      <c r="W2717" s="732"/>
      <c r="X2717" s="167"/>
      <c r="Y2717" s="509"/>
      <c r="Z2717" s="466"/>
      <c r="AA2717" s="466"/>
      <c r="AB2717" s="466"/>
      <c r="AC2717" s="466"/>
      <c r="AD2717" s="466"/>
      <c r="AE2717" s="466"/>
      <c r="AF2717" s="466"/>
      <c r="AG2717" s="466"/>
      <c r="AH2717" s="466"/>
      <c r="AI2717" s="466"/>
      <c r="AJ2717" s="466"/>
      <c r="AK2717" s="466"/>
      <c r="AL2717" s="466"/>
      <c r="AM2717" s="466"/>
      <c r="AN2717" s="466"/>
      <c r="AO2717" s="466"/>
      <c r="AP2717" s="466"/>
      <c r="AQ2717" s="466"/>
      <c r="AR2717" s="466"/>
      <c r="AS2717" s="466"/>
      <c r="AT2717" s="466"/>
      <c r="AU2717" s="466"/>
      <c r="AV2717" s="466"/>
      <c r="AW2717" s="466"/>
      <c r="AX2717" s="466"/>
      <c r="AY2717" s="466"/>
      <c r="AZ2717" s="466"/>
      <c r="BA2717" s="466"/>
      <c r="BB2717" s="466"/>
      <c r="BC2717" s="466"/>
      <c r="BD2717" s="466"/>
      <c r="BE2717" s="467"/>
      <c r="BF2717" s="467"/>
      <c r="BG2717" s="466"/>
      <c r="BH2717" s="466"/>
      <c r="BI2717" s="467"/>
      <c r="BJ2717" s="467"/>
      <c r="BK2717" s="467"/>
      <c r="BL2717" s="467"/>
      <c r="BM2717" s="467"/>
      <c r="BN2717" s="467"/>
      <c r="BO2717" s="467"/>
      <c r="BP2717" s="467"/>
      <c r="BQ2717" s="467"/>
      <c r="BR2717" s="467"/>
      <c r="BS2717" s="467"/>
      <c r="BT2717" s="467"/>
      <c r="BU2717" s="467"/>
      <c r="BV2717" s="467"/>
      <c r="BW2717" s="467"/>
      <c r="BX2717" s="769"/>
      <c r="BY2717" s="769"/>
      <c r="BZ2717" s="769"/>
      <c r="CA2717" s="769"/>
      <c r="CB2717" s="769"/>
      <c r="CC2717" s="769"/>
      <c r="CD2717" s="769"/>
      <c r="CE2717" s="769"/>
      <c r="CF2717" s="769"/>
      <c r="CG2717" s="73"/>
      <c r="CH2717" s="438"/>
      <c r="CI2717" s="416"/>
      <c r="CJ2717" s="73"/>
      <c r="CK2717" s="650"/>
      <c r="CL2717" s="499"/>
      <c r="CM2717" s="650"/>
      <c r="CR2717" s="416"/>
      <c r="CS2717" s="650"/>
      <c r="CU2717" s="73"/>
      <c r="CV2717" s="73"/>
      <c r="CW2717" s="73"/>
      <c r="CX2717" s="73"/>
      <c r="DA2717" s="650"/>
    </row>
    <row r="2718" spans="1:105" s="45" customFormat="1" x14ac:dyDescent="0.2">
      <c r="A2718" s="650"/>
      <c r="B2718" s="438"/>
      <c r="D2718" s="73"/>
      <c r="E2718" s="650"/>
      <c r="F2718" s="650"/>
      <c r="G2718" s="73"/>
      <c r="I2718" s="111"/>
      <c r="J2718" s="81"/>
      <c r="K2718" s="81"/>
      <c r="L2718" s="499"/>
      <c r="M2718" s="73"/>
      <c r="N2718" s="499"/>
      <c r="O2718" s="73"/>
      <c r="P2718" s="73"/>
      <c r="Q2718" s="73"/>
      <c r="R2718" s="176"/>
      <c r="S2718" s="176"/>
      <c r="T2718" s="176"/>
      <c r="U2718" s="400"/>
      <c r="V2718" s="400"/>
      <c r="W2718" s="732"/>
      <c r="X2718" s="167"/>
      <c r="Y2718" s="509"/>
      <c r="Z2718" s="466"/>
      <c r="AA2718" s="466"/>
      <c r="AB2718" s="466"/>
      <c r="AC2718" s="466"/>
      <c r="AD2718" s="466"/>
      <c r="AE2718" s="466"/>
      <c r="AF2718" s="466"/>
      <c r="AG2718" s="466"/>
      <c r="AH2718" s="466"/>
      <c r="AI2718" s="466"/>
      <c r="AJ2718" s="466"/>
      <c r="AK2718" s="466"/>
      <c r="AL2718" s="466"/>
      <c r="AM2718" s="466"/>
      <c r="AN2718" s="466"/>
      <c r="AO2718" s="466"/>
      <c r="AP2718" s="466"/>
      <c r="AQ2718" s="466"/>
      <c r="AR2718" s="466"/>
      <c r="AS2718" s="466"/>
      <c r="AT2718" s="466"/>
      <c r="AU2718" s="466"/>
      <c r="AV2718" s="466"/>
      <c r="AW2718" s="466"/>
      <c r="AX2718" s="466"/>
      <c r="AY2718" s="466"/>
      <c r="AZ2718" s="466"/>
      <c r="BA2718" s="466"/>
      <c r="BB2718" s="466"/>
      <c r="BC2718" s="466"/>
      <c r="BD2718" s="466"/>
      <c r="BE2718" s="467"/>
      <c r="BF2718" s="467"/>
      <c r="BG2718" s="466"/>
      <c r="BH2718" s="466"/>
      <c r="BI2718" s="467"/>
      <c r="BJ2718" s="467"/>
      <c r="BK2718" s="467"/>
      <c r="BL2718" s="467"/>
      <c r="BM2718" s="467"/>
      <c r="BN2718" s="467"/>
      <c r="BO2718" s="467"/>
      <c r="BP2718" s="467"/>
      <c r="BQ2718" s="467"/>
      <c r="BR2718" s="467"/>
      <c r="BS2718" s="467"/>
      <c r="BT2718" s="467"/>
      <c r="BU2718" s="467"/>
      <c r="BV2718" s="467"/>
      <c r="BW2718" s="467"/>
      <c r="BX2718" s="769"/>
      <c r="BY2718" s="769"/>
      <c r="BZ2718" s="769"/>
      <c r="CA2718" s="769"/>
      <c r="CB2718" s="769"/>
      <c r="CC2718" s="769"/>
      <c r="CD2718" s="769"/>
      <c r="CE2718" s="769"/>
      <c r="CF2718" s="769"/>
      <c r="CG2718" s="73"/>
      <c r="CH2718" s="438"/>
      <c r="CI2718" s="416"/>
      <c r="CJ2718" s="73"/>
      <c r="CK2718" s="650"/>
      <c r="CL2718" s="499"/>
      <c r="CM2718" s="650"/>
      <c r="CR2718" s="416"/>
      <c r="CS2718" s="650"/>
      <c r="CU2718" s="73"/>
      <c r="CV2718" s="73"/>
      <c r="CW2718" s="73"/>
      <c r="CX2718" s="73"/>
      <c r="DA2718" s="650"/>
    </row>
    <row r="2719" spans="1:105" s="45" customFormat="1" x14ac:dyDescent="0.2">
      <c r="A2719" s="650"/>
      <c r="B2719" s="438"/>
      <c r="D2719" s="73"/>
      <c r="E2719" s="650"/>
      <c r="F2719" s="650"/>
      <c r="G2719" s="73"/>
      <c r="I2719" s="111"/>
      <c r="J2719" s="81"/>
      <c r="K2719" s="81"/>
      <c r="L2719" s="499"/>
      <c r="M2719" s="73"/>
      <c r="N2719" s="499"/>
      <c r="O2719" s="73"/>
      <c r="P2719" s="73"/>
      <c r="Q2719" s="73"/>
      <c r="R2719" s="176"/>
      <c r="S2719" s="176"/>
      <c r="T2719" s="176"/>
      <c r="U2719" s="400"/>
      <c r="V2719" s="400"/>
      <c r="W2719" s="732"/>
      <c r="X2719" s="167"/>
      <c r="Y2719" s="509"/>
      <c r="Z2719" s="466"/>
      <c r="AA2719" s="466"/>
      <c r="AB2719" s="466"/>
      <c r="AC2719" s="466"/>
      <c r="AD2719" s="466"/>
      <c r="AE2719" s="466"/>
      <c r="AF2719" s="466"/>
      <c r="AG2719" s="466"/>
      <c r="AH2719" s="466"/>
      <c r="AI2719" s="466"/>
      <c r="AJ2719" s="466"/>
      <c r="AK2719" s="466"/>
      <c r="AL2719" s="466"/>
      <c r="AM2719" s="466"/>
      <c r="AN2719" s="466"/>
      <c r="AO2719" s="466"/>
      <c r="AP2719" s="466"/>
      <c r="AQ2719" s="466"/>
      <c r="AR2719" s="466"/>
      <c r="AS2719" s="466"/>
      <c r="AT2719" s="466"/>
      <c r="AU2719" s="466"/>
      <c r="AV2719" s="466"/>
      <c r="AW2719" s="466"/>
      <c r="AX2719" s="466"/>
      <c r="AY2719" s="466"/>
      <c r="AZ2719" s="466"/>
      <c r="BA2719" s="466"/>
      <c r="BB2719" s="466"/>
      <c r="BC2719" s="466"/>
      <c r="BD2719" s="466"/>
      <c r="BE2719" s="467"/>
      <c r="BF2719" s="467"/>
      <c r="BG2719" s="466"/>
      <c r="BH2719" s="466"/>
      <c r="BI2719" s="467"/>
      <c r="BJ2719" s="467"/>
      <c r="BK2719" s="467"/>
      <c r="BL2719" s="467"/>
      <c r="BM2719" s="467"/>
      <c r="BN2719" s="467"/>
      <c r="BO2719" s="467"/>
      <c r="BP2719" s="467"/>
      <c r="BQ2719" s="467"/>
      <c r="BR2719" s="467"/>
      <c r="BS2719" s="467"/>
      <c r="BT2719" s="467"/>
      <c r="BU2719" s="467"/>
      <c r="BV2719" s="467"/>
      <c r="BW2719" s="467"/>
      <c r="BX2719" s="769"/>
      <c r="BY2719" s="769"/>
      <c r="BZ2719" s="769"/>
      <c r="CA2719" s="769"/>
      <c r="CB2719" s="769"/>
      <c r="CC2719" s="769"/>
      <c r="CD2719" s="769"/>
      <c r="CE2719" s="769"/>
      <c r="CF2719" s="769"/>
      <c r="CG2719" s="73"/>
      <c r="CH2719" s="438"/>
      <c r="CI2719" s="416"/>
      <c r="CJ2719" s="73"/>
      <c r="CK2719" s="650"/>
      <c r="CL2719" s="499"/>
      <c r="CM2719" s="650"/>
      <c r="CR2719" s="416"/>
      <c r="CS2719" s="650"/>
      <c r="CU2719" s="73"/>
      <c r="CV2719" s="73"/>
      <c r="CW2719" s="73"/>
      <c r="CX2719" s="73"/>
      <c r="DA2719" s="650"/>
    </row>
    <row r="2720" spans="1:105" s="45" customFormat="1" x14ac:dyDescent="0.2">
      <c r="A2720" s="650"/>
      <c r="B2720" s="438"/>
      <c r="D2720" s="73"/>
      <c r="E2720" s="650"/>
      <c r="F2720" s="650"/>
      <c r="G2720" s="73"/>
      <c r="I2720" s="111"/>
      <c r="J2720" s="81"/>
      <c r="K2720" s="81"/>
      <c r="L2720" s="499"/>
      <c r="M2720" s="73"/>
      <c r="N2720" s="499"/>
      <c r="O2720" s="73"/>
      <c r="P2720" s="73"/>
      <c r="Q2720" s="73"/>
      <c r="R2720" s="176"/>
      <c r="S2720" s="176"/>
      <c r="T2720" s="176"/>
      <c r="U2720" s="400"/>
      <c r="V2720" s="400"/>
      <c r="W2720" s="732"/>
      <c r="X2720" s="167"/>
      <c r="Y2720" s="509"/>
      <c r="Z2720" s="466"/>
      <c r="AA2720" s="466"/>
      <c r="AB2720" s="466"/>
      <c r="AC2720" s="466"/>
      <c r="AD2720" s="466"/>
      <c r="AE2720" s="466"/>
      <c r="AF2720" s="466"/>
      <c r="AG2720" s="466"/>
      <c r="AH2720" s="466"/>
      <c r="AI2720" s="466"/>
      <c r="AJ2720" s="466"/>
      <c r="AK2720" s="466"/>
      <c r="AL2720" s="466"/>
      <c r="AM2720" s="466"/>
      <c r="AN2720" s="466"/>
      <c r="AO2720" s="466"/>
      <c r="AP2720" s="466"/>
      <c r="AQ2720" s="466"/>
      <c r="AR2720" s="466"/>
      <c r="AS2720" s="466"/>
      <c r="AT2720" s="466"/>
      <c r="AU2720" s="466"/>
      <c r="AV2720" s="466"/>
      <c r="AW2720" s="466"/>
      <c r="AX2720" s="466"/>
      <c r="AY2720" s="466"/>
      <c r="AZ2720" s="466"/>
      <c r="BA2720" s="466"/>
      <c r="BB2720" s="466"/>
      <c r="BC2720" s="466"/>
      <c r="BD2720" s="466"/>
      <c r="BE2720" s="467"/>
      <c r="BF2720" s="467"/>
      <c r="BG2720" s="466"/>
      <c r="BH2720" s="466"/>
      <c r="BI2720" s="467"/>
      <c r="BJ2720" s="467"/>
      <c r="BK2720" s="467"/>
      <c r="BL2720" s="467"/>
      <c r="BM2720" s="467"/>
      <c r="BN2720" s="467"/>
      <c r="BO2720" s="467"/>
      <c r="BP2720" s="467"/>
      <c r="BQ2720" s="467"/>
      <c r="BR2720" s="467"/>
      <c r="BS2720" s="467"/>
      <c r="BT2720" s="467"/>
      <c r="BU2720" s="467"/>
      <c r="BV2720" s="467"/>
      <c r="BW2720" s="467"/>
      <c r="BX2720" s="769"/>
      <c r="BY2720" s="769"/>
      <c r="BZ2720" s="769"/>
      <c r="CA2720" s="769"/>
      <c r="CB2720" s="769"/>
      <c r="CC2720" s="769"/>
      <c r="CD2720" s="769"/>
      <c r="CE2720" s="769"/>
      <c r="CF2720" s="769"/>
      <c r="CG2720" s="73"/>
      <c r="CH2720" s="438"/>
      <c r="CI2720" s="416"/>
      <c r="CJ2720" s="73"/>
      <c r="CK2720" s="650"/>
      <c r="CL2720" s="499"/>
      <c r="CM2720" s="650"/>
      <c r="CR2720" s="416"/>
      <c r="CS2720" s="650"/>
      <c r="CU2720" s="73"/>
      <c r="CV2720" s="73"/>
      <c r="CW2720" s="73"/>
      <c r="CX2720" s="73"/>
      <c r="DA2720" s="650"/>
    </row>
    <row r="2721" spans="1:105" s="45" customFormat="1" x14ac:dyDescent="0.2">
      <c r="A2721" s="650"/>
      <c r="B2721" s="438"/>
      <c r="D2721" s="73"/>
      <c r="E2721" s="650"/>
      <c r="F2721" s="650"/>
      <c r="G2721" s="73"/>
      <c r="I2721" s="111"/>
      <c r="J2721" s="81"/>
      <c r="K2721" s="81"/>
      <c r="L2721" s="499"/>
      <c r="M2721" s="73"/>
      <c r="N2721" s="499"/>
      <c r="O2721" s="73"/>
      <c r="P2721" s="73"/>
      <c r="Q2721" s="73"/>
      <c r="R2721" s="176"/>
      <c r="S2721" s="176"/>
      <c r="T2721" s="176"/>
      <c r="U2721" s="400"/>
      <c r="V2721" s="400"/>
      <c r="W2721" s="732"/>
      <c r="X2721" s="167"/>
      <c r="Y2721" s="509"/>
      <c r="Z2721" s="466"/>
      <c r="AA2721" s="466"/>
      <c r="AB2721" s="466"/>
      <c r="AC2721" s="466"/>
      <c r="AD2721" s="466"/>
      <c r="AE2721" s="466"/>
      <c r="AF2721" s="466"/>
      <c r="AG2721" s="466"/>
      <c r="AH2721" s="466"/>
      <c r="AI2721" s="466"/>
      <c r="AJ2721" s="466"/>
      <c r="AK2721" s="466"/>
      <c r="AL2721" s="466"/>
      <c r="AM2721" s="466"/>
      <c r="AN2721" s="466"/>
      <c r="AO2721" s="466"/>
      <c r="AP2721" s="466"/>
      <c r="AQ2721" s="466"/>
      <c r="AR2721" s="466"/>
      <c r="AS2721" s="466"/>
      <c r="AT2721" s="466"/>
      <c r="AU2721" s="466"/>
      <c r="AV2721" s="466"/>
      <c r="AW2721" s="466"/>
      <c r="AX2721" s="466"/>
      <c r="AY2721" s="466"/>
      <c r="AZ2721" s="466"/>
      <c r="BA2721" s="466"/>
      <c r="BB2721" s="466"/>
      <c r="BC2721" s="466"/>
      <c r="BD2721" s="466"/>
      <c r="BE2721" s="467"/>
      <c r="BF2721" s="467"/>
      <c r="BG2721" s="466"/>
      <c r="BH2721" s="466"/>
      <c r="BI2721" s="467"/>
      <c r="BJ2721" s="467"/>
      <c r="BK2721" s="467"/>
      <c r="BL2721" s="467"/>
      <c r="BM2721" s="467"/>
      <c r="BN2721" s="467"/>
      <c r="BO2721" s="467"/>
      <c r="BP2721" s="467"/>
      <c r="BQ2721" s="467"/>
      <c r="BR2721" s="467"/>
      <c r="BS2721" s="467"/>
      <c r="BT2721" s="467"/>
      <c r="BU2721" s="467"/>
      <c r="BV2721" s="467"/>
      <c r="BW2721" s="467"/>
      <c r="BX2721" s="769"/>
      <c r="BY2721" s="769"/>
      <c r="BZ2721" s="769"/>
      <c r="CA2721" s="769"/>
      <c r="CB2721" s="769"/>
      <c r="CC2721" s="769"/>
      <c r="CD2721" s="769"/>
      <c r="CE2721" s="769"/>
      <c r="CF2721" s="769"/>
      <c r="CG2721" s="73"/>
      <c r="CH2721" s="438"/>
      <c r="CI2721" s="416"/>
      <c r="CJ2721" s="73"/>
      <c r="CK2721" s="650"/>
      <c r="CL2721" s="499"/>
      <c r="CM2721" s="650"/>
      <c r="CR2721" s="416"/>
      <c r="CS2721" s="650"/>
      <c r="CU2721" s="73"/>
      <c r="CV2721" s="73"/>
      <c r="CW2721" s="73"/>
      <c r="CX2721" s="73"/>
      <c r="DA2721" s="650"/>
    </row>
    <row r="2722" spans="1:105" s="45" customFormat="1" x14ac:dyDescent="0.2">
      <c r="A2722" s="650"/>
      <c r="B2722" s="438"/>
      <c r="D2722" s="73"/>
      <c r="E2722" s="650"/>
      <c r="F2722" s="650"/>
      <c r="G2722" s="73"/>
      <c r="I2722" s="111"/>
      <c r="J2722" s="81"/>
      <c r="K2722" s="81"/>
      <c r="L2722" s="499"/>
      <c r="M2722" s="73"/>
      <c r="N2722" s="499"/>
      <c r="O2722" s="73"/>
      <c r="P2722" s="73"/>
      <c r="Q2722" s="73"/>
      <c r="R2722" s="176"/>
      <c r="S2722" s="176"/>
      <c r="T2722" s="176"/>
      <c r="U2722" s="400"/>
      <c r="V2722" s="400"/>
      <c r="W2722" s="732"/>
      <c r="X2722" s="167"/>
      <c r="Y2722" s="509"/>
      <c r="Z2722" s="466"/>
      <c r="AA2722" s="466"/>
      <c r="AB2722" s="466"/>
      <c r="AC2722" s="466"/>
      <c r="AD2722" s="466"/>
      <c r="AE2722" s="466"/>
      <c r="AF2722" s="466"/>
      <c r="AG2722" s="466"/>
      <c r="AH2722" s="466"/>
      <c r="AI2722" s="466"/>
      <c r="AJ2722" s="466"/>
      <c r="AK2722" s="466"/>
      <c r="AL2722" s="466"/>
      <c r="AM2722" s="466"/>
      <c r="AN2722" s="466"/>
      <c r="AO2722" s="466"/>
      <c r="AP2722" s="466"/>
      <c r="AQ2722" s="466"/>
      <c r="AR2722" s="466"/>
      <c r="AS2722" s="466"/>
      <c r="AT2722" s="466"/>
      <c r="AU2722" s="466"/>
      <c r="AV2722" s="466"/>
      <c r="AW2722" s="466"/>
      <c r="AX2722" s="466"/>
      <c r="AY2722" s="466"/>
      <c r="AZ2722" s="466"/>
      <c r="BA2722" s="466"/>
      <c r="BB2722" s="466"/>
      <c r="BC2722" s="466"/>
      <c r="BD2722" s="466"/>
      <c r="BE2722" s="467"/>
      <c r="BF2722" s="467"/>
      <c r="BG2722" s="466"/>
      <c r="BH2722" s="466"/>
      <c r="BI2722" s="467"/>
      <c r="BJ2722" s="467"/>
      <c r="BK2722" s="467"/>
      <c r="BL2722" s="467"/>
      <c r="BM2722" s="467"/>
      <c r="BN2722" s="467"/>
      <c r="BO2722" s="467"/>
      <c r="BP2722" s="467"/>
      <c r="BQ2722" s="467"/>
      <c r="BR2722" s="467"/>
      <c r="BS2722" s="467"/>
      <c r="BT2722" s="467"/>
      <c r="BU2722" s="467"/>
      <c r="BV2722" s="467"/>
      <c r="BW2722" s="467"/>
      <c r="BX2722" s="769"/>
      <c r="BY2722" s="769"/>
      <c r="BZ2722" s="769"/>
      <c r="CA2722" s="769"/>
      <c r="CB2722" s="769"/>
      <c r="CC2722" s="769"/>
      <c r="CD2722" s="769"/>
      <c r="CE2722" s="769"/>
      <c r="CF2722" s="769"/>
      <c r="CG2722" s="73"/>
      <c r="CH2722" s="438"/>
      <c r="CI2722" s="416"/>
      <c r="CJ2722" s="73"/>
      <c r="CK2722" s="650"/>
      <c r="CL2722" s="499"/>
      <c r="CM2722" s="650"/>
      <c r="CR2722" s="416"/>
      <c r="CS2722" s="650"/>
      <c r="CU2722" s="73"/>
      <c r="CV2722" s="73"/>
      <c r="CW2722" s="73"/>
      <c r="CX2722" s="73"/>
      <c r="DA2722" s="650"/>
    </row>
    <row r="2723" spans="1:105" s="45" customFormat="1" x14ac:dyDescent="0.2">
      <c r="A2723" s="650"/>
      <c r="B2723" s="438"/>
      <c r="D2723" s="73"/>
      <c r="E2723" s="650"/>
      <c r="F2723" s="650"/>
      <c r="G2723" s="73"/>
      <c r="I2723" s="111"/>
      <c r="J2723" s="81"/>
      <c r="K2723" s="81"/>
      <c r="L2723" s="499"/>
      <c r="M2723" s="73"/>
      <c r="N2723" s="499"/>
      <c r="O2723" s="73"/>
      <c r="P2723" s="73"/>
      <c r="Q2723" s="73"/>
      <c r="R2723" s="176"/>
      <c r="S2723" s="176"/>
      <c r="T2723" s="176"/>
      <c r="U2723" s="400"/>
      <c r="V2723" s="400"/>
      <c r="W2723" s="732"/>
      <c r="X2723" s="167"/>
      <c r="Y2723" s="509"/>
      <c r="Z2723" s="466"/>
      <c r="AA2723" s="466"/>
      <c r="AB2723" s="466"/>
      <c r="AC2723" s="466"/>
      <c r="AD2723" s="466"/>
      <c r="AE2723" s="466"/>
      <c r="AF2723" s="466"/>
      <c r="AG2723" s="466"/>
      <c r="AH2723" s="466"/>
      <c r="AI2723" s="466"/>
      <c r="AJ2723" s="466"/>
      <c r="AK2723" s="466"/>
      <c r="AL2723" s="466"/>
      <c r="AM2723" s="466"/>
      <c r="AN2723" s="466"/>
      <c r="AO2723" s="466"/>
      <c r="AP2723" s="466"/>
      <c r="AQ2723" s="466"/>
      <c r="AR2723" s="466"/>
      <c r="AS2723" s="466"/>
      <c r="AT2723" s="466"/>
      <c r="AU2723" s="466"/>
      <c r="AV2723" s="466"/>
      <c r="AW2723" s="466"/>
      <c r="AX2723" s="466"/>
      <c r="AY2723" s="466"/>
      <c r="AZ2723" s="466"/>
      <c r="BA2723" s="466"/>
      <c r="BB2723" s="466"/>
      <c r="BC2723" s="466"/>
      <c r="BD2723" s="466"/>
      <c r="BE2723" s="467"/>
      <c r="BF2723" s="467"/>
      <c r="BG2723" s="466"/>
      <c r="BH2723" s="466"/>
      <c r="BI2723" s="467"/>
      <c r="BJ2723" s="467"/>
      <c r="BK2723" s="467"/>
      <c r="BL2723" s="467"/>
      <c r="BM2723" s="467"/>
      <c r="BN2723" s="467"/>
      <c r="BO2723" s="467"/>
      <c r="BP2723" s="467"/>
      <c r="BQ2723" s="467"/>
      <c r="BR2723" s="467"/>
      <c r="BS2723" s="467"/>
      <c r="BT2723" s="467"/>
      <c r="BU2723" s="467"/>
      <c r="BV2723" s="467"/>
      <c r="BW2723" s="467"/>
      <c r="BX2723" s="769"/>
      <c r="BY2723" s="769"/>
      <c r="BZ2723" s="769"/>
      <c r="CA2723" s="769"/>
      <c r="CB2723" s="769"/>
      <c r="CC2723" s="769"/>
      <c r="CD2723" s="769"/>
      <c r="CE2723" s="769"/>
      <c r="CF2723" s="769"/>
      <c r="CG2723" s="73"/>
      <c r="CH2723" s="438"/>
      <c r="CI2723" s="416"/>
      <c r="CJ2723" s="73"/>
      <c r="CK2723" s="650"/>
      <c r="CL2723" s="499"/>
      <c r="CM2723" s="650"/>
      <c r="CR2723" s="416"/>
      <c r="CS2723" s="650"/>
      <c r="CU2723" s="73"/>
      <c r="CV2723" s="73"/>
      <c r="CW2723" s="73"/>
      <c r="CX2723" s="73"/>
      <c r="DA2723" s="650"/>
    </row>
    <row r="2724" spans="1:105" s="45" customFormat="1" x14ac:dyDescent="0.2">
      <c r="A2724" s="650"/>
      <c r="B2724" s="438"/>
      <c r="D2724" s="73"/>
      <c r="E2724" s="650"/>
      <c r="F2724" s="650"/>
      <c r="G2724" s="73"/>
      <c r="I2724" s="111"/>
      <c r="J2724" s="81"/>
      <c r="K2724" s="81"/>
      <c r="L2724" s="499"/>
      <c r="M2724" s="73"/>
      <c r="N2724" s="499"/>
      <c r="O2724" s="73"/>
      <c r="P2724" s="73"/>
      <c r="Q2724" s="73"/>
      <c r="R2724" s="176"/>
      <c r="S2724" s="176"/>
      <c r="T2724" s="176"/>
      <c r="U2724" s="400"/>
      <c r="V2724" s="400"/>
      <c r="W2724" s="732"/>
      <c r="X2724" s="167"/>
      <c r="Y2724" s="509"/>
      <c r="Z2724" s="466"/>
      <c r="AA2724" s="466"/>
      <c r="AB2724" s="466"/>
      <c r="AC2724" s="466"/>
      <c r="AD2724" s="466"/>
      <c r="AE2724" s="466"/>
      <c r="AF2724" s="466"/>
      <c r="AG2724" s="466"/>
      <c r="AH2724" s="466"/>
      <c r="AI2724" s="466"/>
      <c r="AJ2724" s="466"/>
      <c r="AK2724" s="466"/>
      <c r="AL2724" s="466"/>
      <c r="AM2724" s="466"/>
      <c r="AN2724" s="466"/>
      <c r="AO2724" s="466"/>
      <c r="AP2724" s="466"/>
      <c r="AQ2724" s="466"/>
      <c r="AR2724" s="466"/>
      <c r="AS2724" s="466"/>
      <c r="AT2724" s="466"/>
      <c r="AU2724" s="466"/>
      <c r="AV2724" s="466"/>
      <c r="AW2724" s="466"/>
      <c r="AX2724" s="466"/>
      <c r="AY2724" s="466"/>
      <c r="AZ2724" s="466"/>
      <c r="BA2724" s="466"/>
      <c r="BB2724" s="466"/>
      <c r="BC2724" s="466"/>
      <c r="BD2724" s="466"/>
      <c r="BE2724" s="467"/>
      <c r="BF2724" s="467"/>
      <c r="BG2724" s="466"/>
      <c r="BH2724" s="466"/>
      <c r="BI2724" s="467"/>
      <c r="BJ2724" s="467"/>
      <c r="BK2724" s="467"/>
      <c r="BL2724" s="467"/>
      <c r="BM2724" s="467"/>
      <c r="BN2724" s="467"/>
      <c r="BO2724" s="467"/>
      <c r="BP2724" s="467"/>
      <c r="BQ2724" s="467"/>
      <c r="BR2724" s="467"/>
      <c r="BS2724" s="467"/>
      <c r="BT2724" s="467"/>
      <c r="BU2724" s="467"/>
      <c r="BV2724" s="467"/>
      <c r="BW2724" s="467"/>
      <c r="BX2724" s="769"/>
      <c r="BY2724" s="769"/>
      <c r="BZ2724" s="769"/>
      <c r="CA2724" s="769"/>
      <c r="CB2724" s="769"/>
      <c r="CC2724" s="769"/>
      <c r="CD2724" s="769"/>
      <c r="CE2724" s="769"/>
      <c r="CF2724" s="769"/>
      <c r="CG2724" s="73"/>
      <c r="CH2724" s="438"/>
      <c r="CI2724" s="416"/>
      <c r="CJ2724" s="73"/>
      <c r="CK2724" s="650"/>
      <c r="CL2724" s="499"/>
      <c r="CM2724" s="650"/>
      <c r="CR2724" s="416"/>
      <c r="CS2724" s="650"/>
      <c r="CU2724" s="73"/>
      <c r="CV2724" s="73"/>
      <c r="CW2724" s="73"/>
      <c r="CX2724" s="73"/>
      <c r="DA2724" s="650"/>
    </row>
    <row r="2725" spans="1:105" s="45" customFormat="1" x14ac:dyDescent="0.2">
      <c r="A2725" s="650"/>
      <c r="B2725" s="438"/>
      <c r="D2725" s="73"/>
      <c r="E2725" s="650"/>
      <c r="F2725" s="650"/>
      <c r="G2725" s="73"/>
      <c r="I2725" s="111"/>
      <c r="J2725" s="81"/>
      <c r="K2725" s="81"/>
      <c r="L2725" s="499"/>
      <c r="M2725" s="73"/>
      <c r="N2725" s="499"/>
      <c r="O2725" s="73"/>
      <c r="P2725" s="73"/>
      <c r="Q2725" s="73"/>
      <c r="R2725" s="176"/>
      <c r="S2725" s="176"/>
      <c r="T2725" s="176"/>
      <c r="U2725" s="400"/>
      <c r="V2725" s="400"/>
      <c r="W2725" s="732"/>
      <c r="X2725" s="167"/>
      <c r="Y2725" s="509"/>
      <c r="Z2725" s="466"/>
      <c r="AA2725" s="466"/>
      <c r="AB2725" s="466"/>
      <c r="AC2725" s="466"/>
      <c r="AD2725" s="466"/>
      <c r="AE2725" s="466"/>
      <c r="AF2725" s="466"/>
      <c r="AG2725" s="466"/>
      <c r="AH2725" s="466"/>
      <c r="AI2725" s="466"/>
      <c r="AJ2725" s="466"/>
      <c r="AK2725" s="466"/>
      <c r="AL2725" s="466"/>
      <c r="AM2725" s="466"/>
      <c r="AN2725" s="466"/>
      <c r="AO2725" s="466"/>
      <c r="AP2725" s="466"/>
      <c r="AQ2725" s="466"/>
      <c r="AR2725" s="466"/>
      <c r="AS2725" s="466"/>
      <c r="AT2725" s="466"/>
      <c r="AU2725" s="466"/>
      <c r="AV2725" s="466"/>
      <c r="AW2725" s="466"/>
      <c r="AX2725" s="466"/>
      <c r="AY2725" s="466"/>
      <c r="AZ2725" s="466"/>
      <c r="BA2725" s="466"/>
      <c r="BB2725" s="466"/>
      <c r="BC2725" s="466"/>
      <c r="BD2725" s="466"/>
      <c r="BE2725" s="467"/>
      <c r="BF2725" s="467"/>
      <c r="BG2725" s="466"/>
      <c r="BH2725" s="466"/>
      <c r="BI2725" s="467"/>
      <c r="BJ2725" s="467"/>
      <c r="BK2725" s="467"/>
      <c r="BL2725" s="467"/>
      <c r="BM2725" s="467"/>
      <c r="BN2725" s="467"/>
      <c r="BO2725" s="467"/>
      <c r="BP2725" s="467"/>
      <c r="BQ2725" s="467"/>
      <c r="BR2725" s="467"/>
      <c r="BS2725" s="467"/>
      <c r="BT2725" s="467"/>
      <c r="BU2725" s="467"/>
      <c r="BV2725" s="467"/>
      <c r="BW2725" s="467"/>
      <c r="BX2725" s="769"/>
      <c r="BY2725" s="769"/>
      <c r="BZ2725" s="769"/>
      <c r="CA2725" s="769"/>
      <c r="CB2725" s="769"/>
      <c r="CC2725" s="769"/>
      <c r="CD2725" s="769"/>
      <c r="CE2725" s="769"/>
      <c r="CF2725" s="769"/>
      <c r="CG2725" s="73"/>
      <c r="CH2725" s="438"/>
      <c r="CI2725" s="416"/>
      <c r="CJ2725" s="73"/>
      <c r="CK2725" s="650"/>
      <c r="CL2725" s="499"/>
      <c r="CM2725" s="650"/>
      <c r="CR2725" s="416"/>
      <c r="CS2725" s="650"/>
      <c r="CU2725" s="73"/>
      <c r="CV2725" s="73"/>
      <c r="CW2725" s="73"/>
      <c r="CX2725" s="73"/>
      <c r="DA2725" s="650"/>
    </row>
    <row r="2726" spans="1:105" s="45" customFormat="1" x14ac:dyDescent="0.2">
      <c r="A2726" s="650"/>
      <c r="B2726" s="438"/>
      <c r="D2726" s="73"/>
      <c r="E2726" s="650"/>
      <c r="F2726" s="650"/>
      <c r="G2726" s="73"/>
      <c r="I2726" s="111"/>
      <c r="J2726" s="81"/>
      <c r="K2726" s="81"/>
      <c r="L2726" s="499"/>
      <c r="M2726" s="73"/>
      <c r="N2726" s="499"/>
      <c r="O2726" s="73"/>
      <c r="P2726" s="73"/>
      <c r="Q2726" s="73"/>
      <c r="R2726" s="176"/>
      <c r="S2726" s="176"/>
      <c r="T2726" s="176"/>
      <c r="U2726" s="400"/>
      <c r="V2726" s="400"/>
      <c r="W2726" s="732"/>
      <c r="X2726" s="167"/>
      <c r="Y2726" s="509"/>
      <c r="Z2726" s="466"/>
      <c r="AA2726" s="466"/>
      <c r="AB2726" s="466"/>
      <c r="AC2726" s="466"/>
      <c r="AD2726" s="466"/>
      <c r="AE2726" s="466"/>
      <c r="AF2726" s="466"/>
      <c r="AG2726" s="466"/>
      <c r="AH2726" s="466"/>
      <c r="AI2726" s="466"/>
      <c r="AJ2726" s="466"/>
      <c r="AK2726" s="466"/>
      <c r="AL2726" s="466"/>
      <c r="AM2726" s="466"/>
      <c r="AN2726" s="466"/>
      <c r="AO2726" s="466"/>
      <c r="AP2726" s="466"/>
      <c r="AQ2726" s="466"/>
      <c r="AR2726" s="466"/>
      <c r="AS2726" s="466"/>
      <c r="AT2726" s="466"/>
      <c r="AU2726" s="466"/>
      <c r="AV2726" s="466"/>
      <c r="AW2726" s="466"/>
      <c r="AX2726" s="466"/>
      <c r="AY2726" s="466"/>
      <c r="AZ2726" s="466"/>
      <c r="BA2726" s="466"/>
      <c r="BB2726" s="466"/>
      <c r="BC2726" s="466"/>
      <c r="BD2726" s="466"/>
      <c r="BE2726" s="467"/>
      <c r="BF2726" s="467"/>
      <c r="BG2726" s="466"/>
      <c r="BH2726" s="466"/>
      <c r="BI2726" s="467"/>
      <c r="BJ2726" s="467"/>
      <c r="BK2726" s="467"/>
      <c r="BL2726" s="467"/>
      <c r="BM2726" s="467"/>
      <c r="BN2726" s="467"/>
      <c r="BO2726" s="467"/>
      <c r="BP2726" s="467"/>
      <c r="BQ2726" s="467"/>
      <c r="BR2726" s="467"/>
      <c r="BS2726" s="467"/>
      <c r="BT2726" s="467"/>
      <c r="BU2726" s="467"/>
      <c r="BV2726" s="467"/>
      <c r="BW2726" s="467"/>
      <c r="BX2726" s="769"/>
      <c r="BY2726" s="769"/>
      <c r="BZ2726" s="769"/>
      <c r="CA2726" s="769"/>
      <c r="CB2726" s="769"/>
      <c r="CC2726" s="769"/>
      <c r="CD2726" s="769"/>
      <c r="CE2726" s="769"/>
      <c r="CF2726" s="769"/>
      <c r="CG2726" s="73"/>
      <c r="CH2726" s="438"/>
      <c r="CI2726" s="416"/>
      <c r="CJ2726" s="73"/>
      <c r="CK2726" s="650"/>
      <c r="CL2726" s="499"/>
      <c r="CM2726" s="650"/>
      <c r="CR2726" s="416"/>
      <c r="CS2726" s="650"/>
      <c r="CU2726" s="73"/>
      <c r="CV2726" s="73"/>
      <c r="CW2726" s="73"/>
      <c r="CX2726" s="73"/>
      <c r="DA2726" s="650"/>
    </row>
    <row r="2727" spans="1:105" s="45" customFormat="1" x14ac:dyDescent="0.2">
      <c r="A2727" s="650"/>
      <c r="B2727" s="438"/>
      <c r="D2727" s="73"/>
      <c r="E2727" s="650"/>
      <c r="F2727" s="650"/>
      <c r="G2727" s="73"/>
      <c r="I2727" s="111"/>
      <c r="J2727" s="81"/>
      <c r="K2727" s="81"/>
      <c r="L2727" s="499"/>
      <c r="M2727" s="73"/>
      <c r="N2727" s="499"/>
      <c r="O2727" s="73"/>
      <c r="P2727" s="73"/>
      <c r="Q2727" s="73"/>
      <c r="R2727" s="176"/>
      <c r="S2727" s="176"/>
      <c r="T2727" s="176"/>
      <c r="U2727" s="400"/>
      <c r="V2727" s="400"/>
      <c r="W2727" s="732"/>
      <c r="X2727" s="167"/>
      <c r="Y2727" s="509"/>
      <c r="Z2727" s="466"/>
      <c r="AA2727" s="466"/>
      <c r="AB2727" s="466"/>
      <c r="AC2727" s="466"/>
      <c r="AD2727" s="466"/>
      <c r="AE2727" s="466"/>
      <c r="AF2727" s="466"/>
      <c r="AG2727" s="466"/>
      <c r="AH2727" s="466"/>
      <c r="AI2727" s="466"/>
      <c r="AJ2727" s="466"/>
      <c r="AK2727" s="466"/>
      <c r="AL2727" s="466"/>
      <c r="AM2727" s="466"/>
      <c r="AN2727" s="466"/>
      <c r="AO2727" s="466"/>
      <c r="AP2727" s="466"/>
      <c r="AQ2727" s="466"/>
      <c r="AR2727" s="466"/>
      <c r="AS2727" s="466"/>
      <c r="AT2727" s="466"/>
      <c r="AU2727" s="466"/>
      <c r="AV2727" s="466"/>
      <c r="AW2727" s="466"/>
      <c r="AX2727" s="466"/>
      <c r="AY2727" s="466"/>
      <c r="AZ2727" s="466"/>
      <c r="BA2727" s="466"/>
      <c r="BB2727" s="466"/>
      <c r="BC2727" s="466"/>
      <c r="BD2727" s="466"/>
      <c r="BE2727" s="467"/>
      <c r="BF2727" s="467"/>
      <c r="BG2727" s="466"/>
      <c r="BH2727" s="466"/>
      <c r="BI2727" s="467"/>
      <c r="BJ2727" s="467"/>
      <c r="BK2727" s="467"/>
      <c r="BL2727" s="467"/>
      <c r="BM2727" s="467"/>
      <c r="BN2727" s="467"/>
      <c r="BO2727" s="467"/>
      <c r="BP2727" s="467"/>
      <c r="BQ2727" s="467"/>
      <c r="BR2727" s="467"/>
      <c r="BS2727" s="467"/>
      <c r="BT2727" s="467"/>
      <c r="BU2727" s="467"/>
      <c r="BV2727" s="467"/>
      <c r="BW2727" s="467"/>
      <c r="BX2727" s="769"/>
      <c r="BY2727" s="769"/>
      <c r="BZ2727" s="769"/>
      <c r="CA2727" s="769"/>
      <c r="CB2727" s="769"/>
      <c r="CC2727" s="769"/>
      <c r="CD2727" s="769"/>
      <c r="CE2727" s="769"/>
      <c r="CF2727" s="769"/>
      <c r="CG2727" s="73"/>
      <c r="CH2727" s="438"/>
      <c r="CI2727" s="416"/>
      <c r="CJ2727" s="73"/>
      <c r="CK2727" s="650"/>
      <c r="CL2727" s="499"/>
      <c r="CM2727" s="650"/>
      <c r="CR2727" s="416"/>
      <c r="CS2727" s="650"/>
      <c r="CU2727" s="73"/>
      <c r="CV2727" s="73"/>
      <c r="CW2727" s="73"/>
      <c r="CX2727" s="73"/>
      <c r="DA2727" s="650"/>
    </row>
    <row r="2728" spans="1:105" s="45" customFormat="1" x14ac:dyDescent="0.2">
      <c r="A2728" s="650"/>
      <c r="B2728" s="438"/>
      <c r="D2728" s="73"/>
      <c r="E2728" s="650"/>
      <c r="F2728" s="650"/>
      <c r="G2728" s="73"/>
      <c r="I2728" s="111"/>
      <c r="J2728" s="81"/>
      <c r="K2728" s="81"/>
      <c r="L2728" s="499"/>
      <c r="M2728" s="73"/>
      <c r="N2728" s="499"/>
      <c r="O2728" s="73"/>
      <c r="P2728" s="73"/>
      <c r="Q2728" s="73"/>
      <c r="R2728" s="176"/>
      <c r="S2728" s="176"/>
      <c r="T2728" s="176"/>
      <c r="U2728" s="400"/>
      <c r="V2728" s="400"/>
      <c r="W2728" s="732"/>
      <c r="X2728" s="167"/>
      <c r="Y2728" s="509"/>
      <c r="Z2728" s="466"/>
      <c r="AA2728" s="466"/>
      <c r="AB2728" s="466"/>
      <c r="AC2728" s="466"/>
      <c r="AD2728" s="466"/>
      <c r="AE2728" s="466"/>
      <c r="AF2728" s="466"/>
      <c r="AG2728" s="466"/>
      <c r="AH2728" s="466"/>
      <c r="AI2728" s="466"/>
      <c r="AJ2728" s="466"/>
      <c r="AK2728" s="466"/>
      <c r="AL2728" s="466"/>
      <c r="AM2728" s="466"/>
      <c r="AN2728" s="466"/>
      <c r="AO2728" s="466"/>
      <c r="AP2728" s="466"/>
      <c r="AQ2728" s="466"/>
      <c r="AR2728" s="466"/>
      <c r="AS2728" s="466"/>
      <c r="AT2728" s="466"/>
      <c r="AU2728" s="466"/>
      <c r="AV2728" s="466"/>
      <c r="AW2728" s="466"/>
      <c r="AX2728" s="466"/>
      <c r="AY2728" s="466"/>
      <c r="AZ2728" s="466"/>
      <c r="BA2728" s="466"/>
      <c r="BB2728" s="466"/>
      <c r="BC2728" s="466"/>
      <c r="BD2728" s="466"/>
      <c r="BE2728" s="467"/>
      <c r="BF2728" s="467"/>
      <c r="BG2728" s="466"/>
      <c r="BH2728" s="466"/>
      <c r="BI2728" s="467"/>
      <c r="BJ2728" s="467"/>
      <c r="BK2728" s="467"/>
      <c r="BL2728" s="467"/>
      <c r="BM2728" s="467"/>
      <c r="BN2728" s="467"/>
      <c r="BO2728" s="467"/>
      <c r="BP2728" s="467"/>
      <c r="BQ2728" s="467"/>
      <c r="BR2728" s="467"/>
      <c r="BS2728" s="467"/>
      <c r="BT2728" s="467"/>
      <c r="BU2728" s="467"/>
      <c r="BV2728" s="467"/>
      <c r="BW2728" s="467"/>
      <c r="BX2728" s="769"/>
      <c r="BY2728" s="769"/>
      <c r="BZ2728" s="769"/>
      <c r="CA2728" s="769"/>
      <c r="CB2728" s="769"/>
      <c r="CC2728" s="769"/>
      <c r="CD2728" s="769"/>
      <c r="CE2728" s="769"/>
      <c r="CF2728" s="769"/>
      <c r="CG2728" s="73"/>
      <c r="CH2728" s="438"/>
      <c r="CI2728" s="416"/>
      <c r="CJ2728" s="73"/>
      <c r="CK2728" s="650"/>
      <c r="CL2728" s="499"/>
      <c r="CM2728" s="650"/>
      <c r="CR2728" s="416"/>
      <c r="CS2728" s="650"/>
      <c r="CU2728" s="73"/>
      <c r="CV2728" s="73"/>
      <c r="CW2728" s="73"/>
      <c r="CX2728" s="73"/>
      <c r="DA2728" s="650"/>
    </row>
    <row r="2729" spans="1:105" s="45" customFormat="1" x14ac:dyDescent="0.2">
      <c r="A2729" s="650"/>
      <c r="B2729" s="438"/>
      <c r="D2729" s="73"/>
      <c r="E2729" s="650"/>
      <c r="F2729" s="650"/>
      <c r="G2729" s="73"/>
      <c r="I2729" s="111"/>
      <c r="J2729" s="81"/>
      <c r="K2729" s="81"/>
      <c r="L2729" s="499"/>
      <c r="M2729" s="73"/>
      <c r="N2729" s="499"/>
      <c r="O2729" s="73"/>
      <c r="P2729" s="73"/>
      <c r="Q2729" s="73"/>
      <c r="R2729" s="176"/>
      <c r="S2729" s="176"/>
      <c r="T2729" s="176"/>
      <c r="U2729" s="400"/>
      <c r="V2729" s="400"/>
      <c r="W2729" s="732"/>
      <c r="X2729" s="167"/>
      <c r="Y2729" s="509"/>
      <c r="Z2729" s="466"/>
      <c r="AA2729" s="466"/>
      <c r="AB2729" s="466"/>
      <c r="AC2729" s="466"/>
      <c r="AD2729" s="466"/>
      <c r="AE2729" s="466"/>
      <c r="AF2729" s="466"/>
      <c r="AG2729" s="466"/>
      <c r="AH2729" s="466"/>
      <c r="AI2729" s="466"/>
      <c r="AJ2729" s="466"/>
      <c r="AK2729" s="466"/>
      <c r="AL2729" s="466"/>
      <c r="AM2729" s="466"/>
      <c r="AN2729" s="466"/>
      <c r="AO2729" s="466"/>
      <c r="AP2729" s="466"/>
      <c r="AQ2729" s="466"/>
      <c r="AR2729" s="466"/>
      <c r="AS2729" s="466"/>
      <c r="AT2729" s="466"/>
      <c r="AU2729" s="466"/>
      <c r="AV2729" s="466"/>
      <c r="AW2729" s="466"/>
      <c r="AX2729" s="466"/>
      <c r="AY2729" s="466"/>
      <c r="AZ2729" s="466"/>
      <c r="BA2729" s="466"/>
      <c r="BB2729" s="466"/>
      <c r="BC2729" s="466"/>
      <c r="BD2729" s="466"/>
      <c r="BE2729" s="467"/>
      <c r="BF2729" s="467"/>
      <c r="BG2729" s="466"/>
      <c r="BH2729" s="466"/>
      <c r="BI2729" s="467"/>
      <c r="BJ2729" s="467"/>
      <c r="BK2729" s="467"/>
      <c r="BL2729" s="467"/>
      <c r="BM2729" s="467"/>
      <c r="BN2729" s="467"/>
      <c r="BO2729" s="467"/>
      <c r="BP2729" s="467"/>
      <c r="BQ2729" s="467"/>
      <c r="BR2729" s="467"/>
      <c r="BS2729" s="467"/>
      <c r="BT2729" s="467"/>
      <c r="BU2729" s="467"/>
      <c r="BV2729" s="467"/>
      <c r="BW2729" s="467"/>
      <c r="BX2729" s="769"/>
      <c r="BY2729" s="769"/>
      <c r="BZ2729" s="769"/>
      <c r="CA2729" s="769"/>
      <c r="CB2729" s="769"/>
      <c r="CC2729" s="769"/>
      <c r="CD2729" s="769"/>
      <c r="CE2729" s="769"/>
      <c r="CF2729" s="769"/>
      <c r="CG2729" s="73"/>
      <c r="CH2729" s="438"/>
      <c r="CI2729" s="416"/>
      <c r="CJ2729" s="73"/>
      <c r="CK2729" s="650"/>
      <c r="CL2729" s="499"/>
      <c r="CM2729" s="650"/>
      <c r="CR2729" s="416"/>
      <c r="CS2729" s="650"/>
      <c r="CU2729" s="73"/>
      <c r="CV2729" s="73"/>
      <c r="CW2729" s="73"/>
      <c r="CX2729" s="73"/>
      <c r="DA2729" s="650"/>
    </row>
    <row r="2730" spans="1:105" s="45" customFormat="1" x14ac:dyDescent="0.2">
      <c r="A2730" s="650"/>
      <c r="B2730" s="438"/>
      <c r="D2730" s="73"/>
      <c r="E2730" s="650"/>
      <c r="F2730" s="650"/>
      <c r="G2730" s="73"/>
      <c r="I2730" s="111"/>
      <c r="J2730" s="81"/>
      <c r="K2730" s="81"/>
      <c r="L2730" s="499"/>
      <c r="M2730" s="73"/>
      <c r="N2730" s="499"/>
      <c r="O2730" s="73"/>
      <c r="P2730" s="73"/>
      <c r="Q2730" s="73"/>
      <c r="R2730" s="176"/>
      <c r="S2730" s="176"/>
      <c r="T2730" s="176"/>
      <c r="U2730" s="400"/>
      <c r="V2730" s="400"/>
      <c r="W2730" s="732"/>
      <c r="X2730" s="167"/>
      <c r="Y2730" s="509"/>
      <c r="Z2730" s="466"/>
      <c r="AA2730" s="466"/>
      <c r="AB2730" s="466"/>
      <c r="AC2730" s="466"/>
      <c r="AD2730" s="466"/>
      <c r="AE2730" s="466"/>
      <c r="AF2730" s="466"/>
      <c r="AG2730" s="466"/>
      <c r="AH2730" s="466"/>
      <c r="AI2730" s="466"/>
      <c r="AJ2730" s="466"/>
      <c r="AK2730" s="466"/>
      <c r="AL2730" s="466"/>
      <c r="AM2730" s="466"/>
      <c r="AN2730" s="466"/>
      <c r="AO2730" s="466"/>
      <c r="AP2730" s="466"/>
      <c r="AQ2730" s="466"/>
      <c r="AR2730" s="466"/>
      <c r="AS2730" s="466"/>
      <c r="AT2730" s="466"/>
      <c r="AU2730" s="466"/>
      <c r="AV2730" s="466"/>
      <c r="AW2730" s="466"/>
      <c r="AX2730" s="466"/>
      <c r="AY2730" s="466"/>
      <c r="AZ2730" s="466"/>
      <c r="BA2730" s="466"/>
      <c r="BB2730" s="466"/>
      <c r="BC2730" s="466"/>
      <c r="BD2730" s="466"/>
      <c r="BE2730" s="467"/>
      <c r="BF2730" s="467"/>
      <c r="BG2730" s="466"/>
      <c r="BH2730" s="466"/>
      <c r="BI2730" s="467"/>
      <c r="BJ2730" s="467"/>
      <c r="BK2730" s="467"/>
      <c r="BL2730" s="467"/>
      <c r="BM2730" s="467"/>
      <c r="BN2730" s="467"/>
      <c r="BO2730" s="467"/>
      <c r="BP2730" s="467"/>
      <c r="BQ2730" s="467"/>
      <c r="BR2730" s="467"/>
      <c r="BS2730" s="467"/>
      <c r="BT2730" s="467"/>
      <c r="BU2730" s="467"/>
      <c r="BV2730" s="467"/>
      <c r="BW2730" s="467"/>
      <c r="BX2730" s="769"/>
      <c r="BY2730" s="769"/>
      <c r="BZ2730" s="769"/>
      <c r="CA2730" s="769"/>
      <c r="CB2730" s="769"/>
      <c r="CC2730" s="769"/>
      <c r="CD2730" s="769"/>
      <c r="CE2730" s="769"/>
      <c r="CF2730" s="769"/>
      <c r="CG2730" s="73"/>
      <c r="CH2730" s="438"/>
      <c r="CI2730" s="416"/>
      <c r="CJ2730" s="73"/>
      <c r="CK2730" s="650"/>
      <c r="CL2730" s="499"/>
      <c r="CM2730" s="650"/>
      <c r="CR2730" s="416"/>
      <c r="CS2730" s="650"/>
      <c r="CU2730" s="73"/>
      <c r="CV2730" s="73"/>
      <c r="CW2730" s="73"/>
      <c r="CX2730" s="73"/>
      <c r="DA2730" s="650"/>
    </row>
    <row r="2731" spans="1:105" s="45" customFormat="1" x14ac:dyDescent="0.2">
      <c r="A2731" s="650"/>
      <c r="B2731" s="438"/>
      <c r="D2731" s="73"/>
      <c r="E2731" s="650"/>
      <c r="F2731" s="650"/>
      <c r="G2731" s="73"/>
      <c r="I2731" s="111"/>
      <c r="J2731" s="81"/>
      <c r="K2731" s="81"/>
      <c r="L2731" s="499"/>
      <c r="M2731" s="73"/>
      <c r="N2731" s="499"/>
      <c r="O2731" s="73"/>
      <c r="P2731" s="73"/>
      <c r="Q2731" s="73"/>
      <c r="R2731" s="176"/>
      <c r="S2731" s="176"/>
      <c r="T2731" s="176"/>
      <c r="U2731" s="400"/>
      <c r="V2731" s="400"/>
      <c r="W2731" s="732"/>
      <c r="X2731" s="167"/>
      <c r="Y2731" s="509"/>
      <c r="Z2731" s="466"/>
      <c r="AA2731" s="466"/>
      <c r="AB2731" s="466"/>
      <c r="AC2731" s="466"/>
      <c r="AD2731" s="466"/>
      <c r="AE2731" s="466"/>
      <c r="AF2731" s="466"/>
      <c r="AG2731" s="466"/>
      <c r="AH2731" s="466"/>
      <c r="AI2731" s="466"/>
      <c r="AJ2731" s="466"/>
      <c r="AK2731" s="466"/>
      <c r="AL2731" s="466"/>
      <c r="AM2731" s="466"/>
      <c r="AN2731" s="466"/>
      <c r="AO2731" s="466"/>
      <c r="AP2731" s="466"/>
      <c r="AQ2731" s="466"/>
      <c r="AR2731" s="466"/>
      <c r="AS2731" s="466"/>
      <c r="AT2731" s="466"/>
      <c r="AU2731" s="466"/>
      <c r="AV2731" s="466"/>
      <c r="AW2731" s="466"/>
      <c r="AX2731" s="466"/>
      <c r="AY2731" s="466"/>
      <c r="AZ2731" s="466"/>
      <c r="BA2731" s="466"/>
      <c r="BB2731" s="466"/>
      <c r="BC2731" s="466"/>
      <c r="BD2731" s="466"/>
      <c r="BE2731" s="467"/>
      <c r="BF2731" s="467"/>
      <c r="BG2731" s="466"/>
      <c r="BH2731" s="466"/>
      <c r="BI2731" s="467"/>
      <c r="BJ2731" s="467"/>
      <c r="BK2731" s="467"/>
      <c r="BL2731" s="467"/>
      <c r="BM2731" s="467"/>
      <c r="BN2731" s="467"/>
      <c r="BO2731" s="467"/>
      <c r="BP2731" s="467"/>
      <c r="BQ2731" s="467"/>
      <c r="BR2731" s="467"/>
      <c r="BS2731" s="467"/>
      <c r="BT2731" s="467"/>
      <c r="BU2731" s="467"/>
      <c r="BV2731" s="467"/>
      <c r="BW2731" s="467"/>
      <c r="BX2731" s="769"/>
      <c r="BY2731" s="769"/>
      <c r="BZ2731" s="769"/>
      <c r="CA2731" s="769"/>
      <c r="CB2731" s="769"/>
      <c r="CC2731" s="769"/>
      <c r="CD2731" s="769"/>
      <c r="CE2731" s="769"/>
      <c r="CF2731" s="769"/>
      <c r="CG2731" s="73"/>
      <c r="CH2731" s="438"/>
      <c r="CI2731" s="416"/>
      <c r="CJ2731" s="73"/>
      <c r="CK2731" s="650"/>
      <c r="CL2731" s="499"/>
      <c r="CM2731" s="650"/>
      <c r="CR2731" s="416"/>
      <c r="CS2731" s="650"/>
      <c r="CU2731" s="73"/>
      <c r="CV2731" s="73"/>
      <c r="CW2731" s="73"/>
      <c r="CX2731" s="73"/>
      <c r="DA2731" s="650"/>
    </row>
    <row r="2732" spans="1:105" s="45" customFormat="1" x14ac:dyDescent="0.2">
      <c r="A2732" s="650"/>
      <c r="B2732" s="438"/>
      <c r="D2732" s="73"/>
      <c r="E2732" s="650"/>
      <c r="F2732" s="650"/>
      <c r="G2732" s="73"/>
      <c r="I2732" s="111"/>
      <c r="J2732" s="81"/>
      <c r="K2732" s="81"/>
      <c r="L2732" s="499"/>
      <c r="M2732" s="73"/>
      <c r="N2732" s="499"/>
      <c r="O2732" s="73"/>
      <c r="P2732" s="73"/>
      <c r="Q2732" s="73"/>
      <c r="R2732" s="176"/>
      <c r="S2732" s="176"/>
      <c r="T2732" s="176"/>
      <c r="U2732" s="400"/>
      <c r="V2732" s="400"/>
      <c r="W2732" s="732"/>
      <c r="X2732" s="167"/>
      <c r="Y2732" s="509"/>
      <c r="Z2732" s="466"/>
      <c r="AA2732" s="466"/>
      <c r="AB2732" s="466"/>
      <c r="AC2732" s="466"/>
      <c r="AD2732" s="466"/>
      <c r="AE2732" s="466"/>
      <c r="AF2732" s="466"/>
      <c r="AG2732" s="466"/>
      <c r="AH2732" s="466"/>
      <c r="AI2732" s="466"/>
      <c r="AJ2732" s="466"/>
      <c r="AK2732" s="466"/>
      <c r="AL2732" s="466"/>
      <c r="AM2732" s="466"/>
      <c r="AN2732" s="466"/>
      <c r="AO2732" s="466"/>
      <c r="AP2732" s="466"/>
      <c r="AQ2732" s="466"/>
      <c r="AR2732" s="466"/>
      <c r="AS2732" s="466"/>
      <c r="AT2732" s="466"/>
      <c r="AU2732" s="466"/>
      <c r="AV2732" s="466"/>
      <c r="AW2732" s="466"/>
      <c r="AX2732" s="466"/>
      <c r="AY2732" s="466"/>
      <c r="AZ2732" s="466"/>
      <c r="BA2732" s="466"/>
      <c r="BB2732" s="466"/>
      <c r="BC2732" s="466"/>
      <c r="BD2732" s="466"/>
      <c r="BE2732" s="467"/>
      <c r="BF2732" s="467"/>
      <c r="BG2732" s="466"/>
      <c r="BH2732" s="466"/>
      <c r="BI2732" s="467"/>
      <c r="BJ2732" s="467"/>
      <c r="BK2732" s="467"/>
      <c r="BL2732" s="467"/>
      <c r="BM2732" s="467"/>
      <c r="BN2732" s="467"/>
      <c r="BO2732" s="467"/>
      <c r="BP2732" s="467"/>
      <c r="BQ2732" s="467"/>
      <c r="BR2732" s="467"/>
      <c r="BS2732" s="467"/>
      <c r="BT2732" s="467"/>
      <c r="BU2732" s="467"/>
      <c r="BV2732" s="467"/>
      <c r="BW2732" s="467"/>
      <c r="BX2732" s="769"/>
      <c r="BY2732" s="769"/>
      <c r="BZ2732" s="769"/>
      <c r="CA2732" s="769"/>
      <c r="CB2732" s="769"/>
      <c r="CC2732" s="769"/>
      <c r="CD2732" s="769"/>
      <c r="CE2732" s="769"/>
      <c r="CF2732" s="769"/>
      <c r="CG2732" s="73"/>
      <c r="CH2732" s="438"/>
      <c r="CI2732" s="416"/>
      <c r="CJ2732" s="73"/>
      <c r="CK2732" s="650"/>
      <c r="CL2732" s="499"/>
      <c r="CM2732" s="650"/>
      <c r="CR2732" s="416"/>
      <c r="CS2732" s="650"/>
      <c r="CU2732" s="73"/>
      <c r="CV2732" s="73"/>
      <c r="CW2732" s="73"/>
      <c r="CX2732" s="73"/>
      <c r="DA2732" s="650"/>
    </row>
    <row r="2733" spans="1:105" s="45" customFormat="1" x14ac:dyDescent="0.2">
      <c r="A2733" s="650"/>
      <c r="B2733" s="438"/>
      <c r="D2733" s="73"/>
      <c r="E2733" s="650"/>
      <c r="F2733" s="650"/>
      <c r="G2733" s="73"/>
      <c r="I2733" s="111"/>
      <c r="J2733" s="81"/>
      <c r="K2733" s="81"/>
      <c r="L2733" s="499"/>
      <c r="M2733" s="73"/>
      <c r="N2733" s="499"/>
      <c r="O2733" s="73"/>
      <c r="P2733" s="73"/>
      <c r="Q2733" s="73"/>
      <c r="R2733" s="176"/>
      <c r="S2733" s="176"/>
      <c r="T2733" s="176"/>
      <c r="U2733" s="400"/>
      <c r="V2733" s="400"/>
      <c r="W2733" s="732"/>
      <c r="X2733" s="167"/>
      <c r="Y2733" s="509"/>
      <c r="Z2733" s="466"/>
      <c r="AA2733" s="466"/>
      <c r="AB2733" s="466"/>
      <c r="AC2733" s="466"/>
      <c r="AD2733" s="466"/>
      <c r="AE2733" s="466"/>
      <c r="AF2733" s="466"/>
      <c r="AG2733" s="466"/>
      <c r="AH2733" s="466"/>
      <c r="AI2733" s="466"/>
      <c r="AJ2733" s="466"/>
      <c r="AK2733" s="466"/>
      <c r="AL2733" s="466"/>
      <c r="AM2733" s="466"/>
      <c r="AN2733" s="466"/>
      <c r="AO2733" s="466"/>
      <c r="AP2733" s="466"/>
      <c r="AQ2733" s="466"/>
      <c r="AR2733" s="466"/>
      <c r="AS2733" s="466"/>
      <c r="AT2733" s="466"/>
      <c r="AU2733" s="466"/>
      <c r="AV2733" s="466"/>
      <c r="AW2733" s="466"/>
      <c r="AX2733" s="466"/>
      <c r="AY2733" s="466"/>
      <c r="AZ2733" s="466"/>
      <c r="BA2733" s="466"/>
      <c r="BB2733" s="466"/>
      <c r="BC2733" s="466"/>
      <c r="BD2733" s="466"/>
      <c r="BE2733" s="467"/>
      <c r="BF2733" s="467"/>
      <c r="BG2733" s="466"/>
      <c r="BH2733" s="466"/>
      <c r="BI2733" s="467"/>
      <c r="BJ2733" s="467"/>
      <c r="BK2733" s="467"/>
      <c r="BL2733" s="467"/>
      <c r="BM2733" s="467"/>
      <c r="BN2733" s="467"/>
      <c r="BO2733" s="467"/>
      <c r="BP2733" s="467"/>
      <c r="BQ2733" s="467"/>
      <c r="BR2733" s="467"/>
      <c r="BS2733" s="467"/>
      <c r="BT2733" s="467"/>
      <c r="BU2733" s="467"/>
      <c r="BV2733" s="467"/>
      <c r="BW2733" s="467"/>
      <c r="BX2733" s="769"/>
      <c r="BY2733" s="769"/>
      <c r="BZ2733" s="769"/>
      <c r="CA2733" s="769"/>
      <c r="CB2733" s="769"/>
      <c r="CC2733" s="769"/>
      <c r="CD2733" s="769"/>
      <c r="CE2733" s="769"/>
      <c r="CF2733" s="769"/>
      <c r="CG2733" s="73"/>
      <c r="CH2733" s="438"/>
      <c r="CI2733" s="416"/>
      <c r="CJ2733" s="73"/>
      <c r="CK2733" s="650"/>
      <c r="CL2733" s="499"/>
      <c r="CM2733" s="650"/>
      <c r="CR2733" s="416"/>
      <c r="CS2733" s="650"/>
      <c r="CU2733" s="73"/>
      <c r="CV2733" s="73"/>
      <c r="CW2733" s="73"/>
      <c r="CX2733" s="73"/>
      <c r="DA2733" s="650"/>
    </row>
    <row r="2734" spans="1:105" s="45" customFormat="1" x14ac:dyDescent="0.2">
      <c r="A2734" s="650"/>
      <c r="B2734" s="438"/>
      <c r="D2734" s="73"/>
      <c r="E2734" s="650"/>
      <c r="F2734" s="650"/>
      <c r="G2734" s="73"/>
      <c r="I2734" s="111"/>
      <c r="J2734" s="81"/>
      <c r="K2734" s="81"/>
      <c r="L2734" s="499"/>
      <c r="M2734" s="73"/>
      <c r="N2734" s="499"/>
      <c r="O2734" s="73"/>
      <c r="P2734" s="73"/>
      <c r="Q2734" s="73"/>
      <c r="R2734" s="176"/>
      <c r="S2734" s="176"/>
      <c r="T2734" s="176"/>
      <c r="U2734" s="400"/>
      <c r="V2734" s="400"/>
      <c r="W2734" s="732"/>
      <c r="X2734" s="167"/>
      <c r="Y2734" s="509"/>
      <c r="Z2734" s="466"/>
      <c r="AA2734" s="466"/>
      <c r="AB2734" s="466"/>
      <c r="AC2734" s="466"/>
      <c r="AD2734" s="466"/>
      <c r="AE2734" s="466"/>
      <c r="AF2734" s="466"/>
      <c r="AG2734" s="466"/>
      <c r="AH2734" s="466"/>
      <c r="AI2734" s="466"/>
      <c r="AJ2734" s="466"/>
      <c r="AK2734" s="466"/>
      <c r="AL2734" s="466"/>
      <c r="AM2734" s="466"/>
      <c r="AN2734" s="466"/>
      <c r="AO2734" s="466"/>
      <c r="AP2734" s="466"/>
      <c r="AQ2734" s="466"/>
      <c r="AR2734" s="466"/>
      <c r="AS2734" s="466"/>
      <c r="AT2734" s="466"/>
      <c r="AU2734" s="466"/>
      <c r="AV2734" s="466"/>
      <c r="AW2734" s="466"/>
      <c r="AX2734" s="466"/>
      <c r="AY2734" s="466"/>
      <c r="AZ2734" s="466"/>
      <c r="BA2734" s="466"/>
      <c r="BB2734" s="466"/>
      <c r="BC2734" s="466"/>
      <c r="BD2734" s="466"/>
      <c r="BE2734" s="467"/>
      <c r="BF2734" s="467"/>
      <c r="BG2734" s="466"/>
      <c r="BH2734" s="466"/>
      <c r="BI2734" s="467"/>
      <c r="BJ2734" s="467"/>
      <c r="BK2734" s="467"/>
      <c r="BL2734" s="467"/>
      <c r="BM2734" s="467"/>
      <c r="BN2734" s="467"/>
      <c r="BO2734" s="467"/>
      <c r="BP2734" s="467"/>
      <c r="BQ2734" s="467"/>
      <c r="BR2734" s="467"/>
      <c r="BS2734" s="467"/>
      <c r="BT2734" s="467"/>
      <c r="BU2734" s="467"/>
      <c r="BV2734" s="467"/>
      <c r="BW2734" s="467"/>
      <c r="BX2734" s="769"/>
      <c r="BY2734" s="769"/>
      <c r="BZ2734" s="769"/>
      <c r="CA2734" s="769"/>
      <c r="CB2734" s="769"/>
      <c r="CC2734" s="769"/>
      <c r="CD2734" s="769"/>
      <c r="CE2734" s="769"/>
      <c r="CF2734" s="769"/>
      <c r="CG2734" s="73"/>
      <c r="CH2734" s="438"/>
      <c r="CI2734" s="416"/>
      <c r="CJ2734" s="73"/>
      <c r="CK2734" s="650"/>
      <c r="CL2734" s="499"/>
      <c r="CM2734" s="650"/>
      <c r="CR2734" s="416"/>
      <c r="CS2734" s="650"/>
      <c r="CU2734" s="73"/>
      <c r="CV2734" s="73"/>
      <c r="CW2734" s="73"/>
      <c r="CX2734" s="73"/>
      <c r="DA2734" s="650"/>
    </row>
    <row r="2735" spans="1:105" s="45" customFormat="1" x14ac:dyDescent="0.2">
      <c r="A2735" s="650"/>
      <c r="B2735" s="438"/>
      <c r="D2735" s="73"/>
      <c r="E2735" s="650"/>
      <c r="F2735" s="650"/>
      <c r="G2735" s="73"/>
      <c r="I2735" s="111"/>
      <c r="J2735" s="81"/>
      <c r="K2735" s="81"/>
      <c r="L2735" s="499"/>
      <c r="M2735" s="73"/>
      <c r="N2735" s="499"/>
      <c r="O2735" s="73"/>
      <c r="P2735" s="73"/>
      <c r="Q2735" s="73"/>
      <c r="R2735" s="176"/>
      <c r="S2735" s="176"/>
      <c r="T2735" s="176"/>
      <c r="U2735" s="400"/>
      <c r="V2735" s="400"/>
      <c r="W2735" s="732"/>
      <c r="X2735" s="167"/>
      <c r="Y2735" s="509"/>
      <c r="Z2735" s="466"/>
      <c r="AA2735" s="466"/>
      <c r="AB2735" s="466"/>
      <c r="AC2735" s="466"/>
      <c r="AD2735" s="466"/>
      <c r="AE2735" s="466"/>
      <c r="AF2735" s="466"/>
      <c r="AG2735" s="466"/>
      <c r="AH2735" s="466"/>
      <c r="AI2735" s="466"/>
      <c r="AJ2735" s="466"/>
      <c r="AK2735" s="466"/>
      <c r="AL2735" s="466"/>
      <c r="AM2735" s="466"/>
      <c r="AN2735" s="466"/>
      <c r="AO2735" s="466"/>
      <c r="AP2735" s="466"/>
      <c r="AQ2735" s="466"/>
      <c r="AR2735" s="466"/>
      <c r="AS2735" s="466"/>
      <c r="AT2735" s="466"/>
      <c r="AU2735" s="466"/>
      <c r="AV2735" s="466"/>
      <c r="AW2735" s="466"/>
      <c r="AX2735" s="466"/>
      <c r="AY2735" s="466"/>
      <c r="AZ2735" s="466"/>
      <c r="BA2735" s="466"/>
      <c r="BB2735" s="466"/>
      <c r="BC2735" s="466"/>
      <c r="BD2735" s="466"/>
      <c r="BE2735" s="467"/>
      <c r="BF2735" s="467"/>
      <c r="BG2735" s="466"/>
      <c r="BH2735" s="466"/>
      <c r="BI2735" s="467"/>
      <c r="BJ2735" s="467"/>
      <c r="BK2735" s="467"/>
      <c r="BL2735" s="467"/>
      <c r="BM2735" s="467"/>
      <c r="BN2735" s="467"/>
      <c r="BO2735" s="467"/>
      <c r="BP2735" s="467"/>
      <c r="BQ2735" s="467"/>
      <c r="BR2735" s="467"/>
      <c r="BS2735" s="467"/>
      <c r="BT2735" s="467"/>
      <c r="BU2735" s="467"/>
      <c r="BV2735" s="467"/>
      <c r="BW2735" s="467"/>
      <c r="BX2735" s="769"/>
      <c r="BY2735" s="769"/>
      <c r="BZ2735" s="769"/>
      <c r="CA2735" s="769"/>
      <c r="CB2735" s="769"/>
      <c r="CC2735" s="769"/>
      <c r="CD2735" s="769"/>
      <c r="CE2735" s="769"/>
      <c r="CF2735" s="769"/>
      <c r="CG2735" s="73"/>
      <c r="CH2735" s="438"/>
      <c r="CI2735" s="416"/>
      <c r="CJ2735" s="73"/>
      <c r="CK2735" s="650"/>
      <c r="CL2735" s="499"/>
      <c r="CM2735" s="650"/>
      <c r="CR2735" s="416"/>
      <c r="CS2735" s="650"/>
      <c r="CU2735" s="73"/>
      <c r="CV2735" s="73"/>
      <c r="CW2735" s="73"/>
      <c r="CX2735" s="73"/>
      <c r="DA2735" s="650"/>
    </row>
    <row r="2736" spans="1:105" s="45" customFormat="1" x14ac:dyDescent="0.2">
      <c r="A2736" s="650"/>
      <c r="B2736" s="438"/>
      <c r="D2736" s="73"/>
      <c r="E2736" s="650"/>
      <c r="F2736" s="650"/>
      <c r="G2736" s="73"/>
      <c r="I2736" s="111"/>
      <c r="J2736" s="81"/>
      <c r="K2736" s="81"/>
      <c r="L2736" s="499"/>
      <c r="M2736" s="73"/>
      <c r="N2736" s="499"/>
      <c r="O2736" s="73"/>
      <c r="P2736" s="73"/>
      <c r="Q2736" s="73"/>
      <c r="R2736" s="176"/>
      <c r="S2736" s="176"/>
      <c r="T2736" s="176"/>
      <c r="U2736" s="400"/>
      <c r="V2736" s="400"/>
      <c r="W2736" s="732"/>
      <c r="X2736" s="167"/>
      <c r="Y2736" s="509"/>
      <c r="Z2736" s="466"/>
      <c r="AA2736" s="466"/>
      <c r="AB2736" s="466"/>
      <c r="AC2736" s="466"/>
      <c r="AD2736" s="466"/>
      <c r="AE2736" s="466"/>
      <c r="AF2736" s="466"/>
      <c r="AG2736" s="466"/>
      <c r="AH2736" s="466"/>
      <c r="AI2736" s="466"/>
      <c r="AJ2736" s="466"/>
      <c r="AK2736" s="466"/>
      <c r="AL2736" s="466"/>
      <c r="AM2736" s="466"/>
      <c r="AN2736" s="466"/>
      <c r="AO2736" s="466"/>
      <c r="AP2736" s="466"/>
      <c r="AQ2736" s="466"/>
      <c r="AR2736" s="466"/>
      <c r="AS2736" s="466"/>
      <c r="AT2736" s="466"/>
      <c r="AU2736" s="466"/>
      <c r="AV2736" s="466"/>
      <c r="AW2736" s="466"/>
      <c r="AX2736" s="466"/>
      <c r="AY2736" s="466"/>
      <c r="AZ2736" s="466"/>
      <c r="BA2736" s="466"/>
      <c r="BB2736" s="466"/>
      <c r="BC2736" s="466"/>
      <c r="BD2736" s="466"/>
      <c r="BE2736" s="467"/>
      <c r="BF2736" s="467"/>
      <c r="BG2736" s="466"/>
      <c r="BH2736" s="466"/>
      <c r="BI2736" s="467"/>
      <c r="BJ2736" s="467"/>
      <c r="BK2736" s="467"/>
      <c r="BL2736" s="467"/>
      <c r="BM2736" s="467"/>
      <c r="BN2736" s="467"/>
      <c r="BO2736" s="467"/>
      <c r="BP2736" s="467"/>
      <c r="BQ2736" s="467"/>
      <c r="BR2736" s="467"/>
      <c r="BS2736" s="467"/>
      <c r="BT2736" s="467"/>
      <c r="BU2736" s="467"/>
      <c r="BV2736" s="467"/>
      <c r="BW2736" s="467"/>
      <c r="BX2736" s="769"/>
      <c r="BY2736" s="769"/>
      <c r="BZ2736" s="769"/>
      <c r="CA2736" s="769"/>
      <c r="CB2736" s="769"/>
      <c r="CC2736" s="769"/>
      <c r="CD2736" s="769"/>
      <c r="CE2736" s="769"/>
      <c r="CF2736" s="769"/>
      <c r="CG2736" s="73"/>
      <c r="CH2736" s="438"/>
      <c r="CI2736" s="416"/>
      <c r="CJ2736" s="73"/>
      <c r="CK2736" s="650"/>
      <c r="CL2736" s="499"/>
      <c r="CM2736" s="650"/>
      <c r="CR2736" s="416"/>
      <c r="CS2736" s="650"/>
      <c r="CU2736" s="73"/>
      <c r="CV2736" s="73"/>
      <c r="CW2736" s="73"/>
      <c r="CX2736" s="73"/>
      <c r="DA2736" s="650"/>
    </row>
    <row r="2737" spans="1:105" s="45" customFormat="1" x14ac:dyDescent="0.2">
      <c r="A2737" s="650"/>
      <c r="B2737" s="438"/>
      <c r="D2737" s="73"/>
      <c r="E2737" s="650"/>
      <c r="F2737" s="650"/>
      <c r="G2737" s="73"/>
      <c r="I2737" s="111"/>
      <c r="J2737" s="81"/>
      <c r="K2737" s="81"/>
      <c r="L2737" s="499"/>
      <c r="M2737" s="73"/>
      <c r="N2737" s="499"/>
      <c r="O2737" s="73"/>
      <c r="P2737" s="73"/>
      <c r="Q2737" s="73"/>
      <c r="R2737" s="176"/>
      <c r="S2737" s="176"/>
      <c r="T2737" s="176"/>
      <c r="U2737" s="400"/>
      <c r="V2737" s="400"/>
      <c r="W2737" s="732"/>
      <c r="X2737" s="167"/>
      <c r="Y2737" s="509"/>
      <c r="Z2737" s="466"/>
      <c r="AA2737" s="466"/>
      <c r="AB2737" s="466"/>
      <c r="AC2737" s="466"/>
      <c r="AD2737" s="466"/>
      <c r="AE2737" s="466"/>
      <c r="AF2737" s="466"/>
      <c r="AG2737" s="466"/>
      <c r="AH2737" s="466"/>
      <c r="AI2737" s="466"/>
      <c r="AJ2737" s="466"/>
      <c r="AK2737" s="466"/>
      <c r="AL2737" s="466"/>
      <c r="AM2737" s="466"/>
      <c r="AN2737" s="466"/>
      <c r="AO2737" s="466"/>
      <c r="AP2737" s="466"/>
      <c r="AQ2737" s="466"/>
      <c r="AR2737" s="466"/>
      <c r="AS2737" s="466"/>
      <c r="AT2737" s="466"/>
      <c r="AU2737" s="466"/>
      <c r="AV2737" s="466"/>
      <c r="AW2737" s="466"/>
      <c r="AX2737" s="466"/>
      <c r="AY2737" s="466"/>
      <c r="AZ2737" s="466"/>
      <c r="BA2737" s="466"/>
      <c r="BB2737" s="466"/>
      <c r="BC2737" s="466"/>
      <c r="BD2737" s="466"/>
      <c r="BE2737" s="467"/>
      <c r="BF2737" s="467"/>
      <c r="BG2737" s="466"/>
      <c r="BH2737" s="466"/>
      <c r="BI2737" s="467"/>
      <c r="BJ2737" s="467"/>
      <c r="BK2737" s="467"/>
      <c r="BL2737" s="467"/>
      <c r="BM2737" s="467"/>
      <c r="BN2737" s="467"/>
      <c r="BO2737" s="467"/>
      <c r="BP2737" s="467"/>
      <c r="BQ2737" s="467"/>
      <c r="BR2737" s="467"/>
      <c r="BS2737" s="467"/>
      <c r="BT2737" s="467"/>
      <c r="BU2737" s="467"/>
      <c r="BV2737" s="467"/>
      <c r="BW2737" s="467"/>
      <c r="BX2737" s="769"/>
      <c r="BY2737" s="769"/>
      <c r="BZ2737" s="769"/>
      <c r="CA2737" s="769"/>
      <c r="CB2737" s="769"/>
      <c r="CC2737" s="769"/>
      <c r="CD2737" s="769"/>
      <c r="CE2737" s="769"/>
      <c r="CF2737" s="769"/>
      <c r="CG2737" s="73"/>
      <c r="CH2737" s="438"/>
      <c r="CI2737" s="416"/>
      <c r="CJ2737" s="73"/>
      <c r="CK2737" s="650"/>
      <c r="CL2737" s="499"/>
      <c r="CM2737" s="650"/>
      <c r="CR2737" s="416"/>
      <c r="CS2737" s="650"/>
      <c r="CU2737" s="73"/>
      <c r="CV2737" s="73"/>
      <c r="CW2737" s="73"/>
      <c r="CX2737" s="73"/>
      <c r="DA2737" s="650"/>
    </row>
    <row r="2738" spans="1:105" s="45" customFormat="1" x14ac:dyDescent="0.2">
      <c r="A2738" s="650"/>
      <c r="B2738" s="438"/>
      <c r="D2738" s="73"/>
      <c r="E2738" s="650"/>
      <c r="F2738" s="650"/>
      <c r="G2738" s="73"/>
      <c r="I2738" s="111"/>
      <c r="J2738" s="81"/>
      <c r="K2738" s="81"/>
      <c r="L2738" s="499"/>
      <c r="M2738" s="73"/>
      <c r="N2738" s="499"/>
      <c r="O2738" s="73"/>
      <c r="P2738" s="73"/>
      <c r="Q2738" s="73"/>
      <c r="R2738" s="176"/>
      <c r="S2738" s="176"/>
      <c r="T2738" s="176"/>
      <c r="U2738" s="400"/>
      <c r="V2738" s="400"/>
      <c r="W2738" s="732"/>
      <c r="X2738" s="167"/>
      <c r="Y2738" s="509"/>
      <c r="Z2738" s="466"/>
      <c r="AA2738" s="466"/>
      <c r="AB2738" s="466"/>
      <c r="AC2738" s="466"/>
      <c r="AD2738" s="466"/>
      <c r="AE2738" s="466"/>
      <c r="AF2738" s="466"/>
      <c r="AG2738" s="466"/>
      <c r="AH2738" s="466"/>
      <c r="AI2738" s="466"/>
      <c r="AJ2738" s="466"/>
      <c r="AK2738" s="466"/>
      <c r="AL2738" s="466"/>
      <c r="AM2738" s="466"/>
      <c r="AN2738" s="466"/>
      <c r="AO2738" s="466"/>
      <c r="AP2738" s="466"/>
      <c r="AQ2738" s="466"/>
      <c r="AR2738" s="466"/>
      <c r="AS2738" s="466"/>
      <c r="AT2738" s="466"/>
      <c r="AU2738" s="466"/>
      <c r="AV2738" s="466"/>
      <c r="AW2738" s="466"/>
      <c r="AX2738" s="466"/>
      <c r="AY2738" s="466"/>
      <c r="AZ2738" s="466"/>
      <c r="BA2738" s="466"/>
      <c r="BB2738" s="466"/>
      <c r="BC2738" s="466"/>
      <c r="BD2738" s="466"/>
      <c r="BE2738" s="467"/>
      <c r="BF2738" s="467"/>
      <c r="BG2738" s="466"/>
      <c r="BH2738" s="466"/>
      <c r="BI2738" s="467"/>
      <c r="BJ2738" s="467"/>
      <c r="BK2738" s="467"/>
      <c r="BL2738" s="467"/>
      <c r="BM2738" s="467"/>
      <c r="BN2738" s="467"/>
      <c r="BO2738" s="467"/>
      <c r="BP2738" s="467"/>
      <c r="BQ2738" s="467"/>
      <c r="BR2738" s="467"/>
      <c r="BS2738" s="467"/>
      <c r="BT2738" s="467"/>
      <c r="BU2738" s="467"/>
      <c r="BV2738" s="467"/>
      <c r="BW2738" s="467"/>
      <c r="BX2738" s="769"/>
      <c r="BY2738" s="769"/>
      <c r="BZ2738" s="769"/>
      <c r="CA2738" s="769"/>
      <c r="CB2738" s="769"/>
      <c r="CC2738" s="769"/>
      <c r="CD2738" s="769"/>
      <c r="CE2738" s="769"/>
      <c r="CF2738" s="769"/>
      <c r="CG2738" s="73"/>
      <c r="CH2738" s="438"/>
      <c r="CI2738" s="416"/>
      <c r="CJ2738" s="73"/>
      <c r="CK2738" s="650"/>
      <c r="CL2738" s="499"/>
      <c r="CM2738" s="650"/>
      <c r="CR2738" s="416"/>
      <c r="CS2738" s="650"/>
      <c r="CU2738" s="73"/>
      <c r="CV2738" s="73"/>
      <c r="CW2738" s="73"/>
      <c r="CX2738" s="73"/>
      <c r="DA2738" s="650"/>
    </row>
    <row r="2739" spans="1:105" s="45" customFormat="1" x14ac:dyDescent="0.2">
      <c r="A2739" s="650"/>
      <c r="B2739" s="438"/>
      <c r="D2739" s="73"/>
      <c r="E2739" s="650"/>
      <c r="F2739" s="650"/>
      <c r="G2739" s="73"/>
      <c r="I2739" s="111"/>
      <c r="J2739" s="81"/>
      <c r="K2739" s="81"/>
      <c r="L2739" s="499"/>
      <c r="M2739" s="73"/>
      <c r="N2739" s="499"/>
      <c r="O2739" s="73"/>
      <c r="P2739" s="73"/>
      <c r="Q2739" s="73"/>
      <c r="R2739" s="176"/>
      <c r="S2739" s="176"/>
      <c r="T2739" s="176"/>
      <c r="U2739" s="400"/>
      <c r="V2739" s="400"/>
      <c r="W2739" s="732"/>
      <c r="X2739" s="167"/>
      <c r="Y2739" s="509"/>
      <c r="Z2739" s="466"/>
      <c r="AA2739" s="466"/>
      <c r="AB2739" s="466"/>
      <c r="AC2739" s="466"/>
      <c r="AD2739" s="466"/>
      <c r="AE2739" s="466"/>
      <c r="AF2739" s="466"/>
      <c r="AG2739" s="466"/>
      <c r="AH2739" s="466"/>
      <c r="AI2739" s="466"/>
      <c r="AJ2739" s="466"/>
      <c r="AK2739" s="466"/>
      <c r="AL2739" s="466"/>
      <c r="AM2739" s="466"/>
      <c r="AN2739" s="466"/>
      <c r="AO2739" s="466"/>
      <c r="AP2739" s="466"/>
      <c r="AQ2739" s="466"/>
      <c r="AR2739" s="466"/>
      <c r="AS2739" s="466"/>
      <c r="AT2739" s="466"/>
      <c r="AU2739" s="466"/>
      <c r="AV2739" s="466"/>
      <c r="AW2739" s="466"/>
      <c r="AX2739" s="466"/>
      <c r="AY2739" s="466"/>
      <c r="AZ2739" s="466"/>
      <c r="BA2739" s="466"/>
      <c r="BB2739" s="466"/>
      <c r="BC2739" s="466"/>
      <c r="BD2739" s="466"/>
      <c r="BE2739" s="467"/>
      <c r="BF2739" s="467"/>
      <c r="BG2739" s="466"/>
      <c r="BH2739" s="466"/>
      <c r="BI2739" s="467"/>
      <c r="BJ2739" s="467"/>
      <c r="BK2739" s="467"/>
      <c r="BL2739" s="467"/>
      <c r="BM2739" s="467"/>
      <c r="BN2739" s="467"/>
      <c r="BO2739" s="467"/>
      <c r="BP2739" s="467"/>
      <c r="BQ2739" s="467"/>
      <c r="BR2739" s="467"/>
      <c r="BS2739" s="467"/>
      <c r="BT2739" s="467"/>
      <c r="BU2739" s="467"/>
      <c r="BV2739" s="467"/>
      <c r="BW2739" s="467"/>
      <c r="BX2739" s="769"/>
      <c r="BY2739" s="769"/>
      <c r="BZ2739" s="769"/>
      <c r="CA2739" s="769"/>
      <c r="CB2739" s="769"/>
      <c r="CC2739" s="769"/>
      <c r="CD2739" s="769"/>
      <c r="CE2739" s="769"/>
      <c r="CF2739" s="769"/>
      <c r="CG2739" s="73"/>
      <c r="CH2739" s="438"/>
      <c r="CI2739" s="416"/>
      <c r="CJ2739" s="73"/>
      <c r="CK2739" s="650"/>
      <c r="CL2739" s="499"/>
      <c r="CM2739" s="650"/>
      <c r="CR2739" s="416"/>
      <c r="CS2739" s="650"/>
      <c r="CU2739" s="73"/>
      <c r="CV2739" s="73"/>
      <c r="CW2739" s="73"/>
      <c r="CX2739" s="73"/>
      <c r="DA2739" s="650"/>
    </row>
    <row r="2740" spans="1:105" s="45" customFormat="1" x14ac:dyDescent="0.2">
      <c r="A2740" s="650"/>
      <c r="B2740" s="438"/>
      <c r="D2740" s="73"/>
      <c r="E2740" s="650"/>
      <c r="F2740" s="650"/>
      <c r="G2740" s="73"/>
      <c r="I2740" s="111"/>
      <c r="J2740" s="81"/>
      <c r="K2740" s="81"/>
      <c r="L2740" s="499"/>
      <c r="M2740" s="73"/>
      <c r="N2740" s="499"/>
      <c r="O2740" s="73"/>
      <c r="P2740" s="73"/>
      <c r="Q2740" s="73"/>
      <c r="R2740" s="176"/>
      <c r="S2740" s="176"/>
      <c r="T2740" s="176"/>
      <c r="U2740" s="400"/>
      <c r="V2740" s="400"/>
      <c r="W2740" s="732"/>
      <c r="X2740" s="167"/>
      <c r="Y2740" s="509"/>
      <c r="Z2740" s="466"/>
      <c r="AA2740" s="466"/>
      <c r="AB2740" s="466"/>
      <c r="AC2740" s="466"/>
      <c r="AD2740" s="466"/>
      <c r="AE2740" s="466"/>
      <c r="AF2740" s="466"/>
      <c r="AG2740" s="466"/>
      <c r="AH2740" s="466"/>
      <c r="AI2740" s="466"/>
      <c r="AJ2740" s="466"/>
      <c r="AK2740" s="466"/>
      <c r="AL2740" s="466"/>
      <c r="AM2740" s="466"/>
      <c r="AN2740" s="466"/>
      <c r="AO2740" s="466"/>
      <c r="AP2740" s="466"/>
      <c r="AQ2740" s="466"/>
      <c r="AR2740" s="466"/>
      <c r="AS2740" s="466"/>
      <c r="AT2740" s="466"/>
      <c r="AU2740" s="466"/>
      <c r="AV2740" s="466"/>
      <c r="AW2740" s="466"/>
      <c r="AX2740" s="466"/>
      <c r="AY2740" s="466"/>
      <c r="AZ2740" s="466"/>
      <c r="BA2740" s="466"/>
      <c r="BB2740" s="466"/>
      <c r="BC2740" s="466"/>
      <c r="BD2740" s="466"/>
      <c r="BE2740" s="467"/>
      <c r="BF2740" s="467"/>
      <c r="BG2740" s="466"/>
      <c r="BH2740" s="466"/>
      <c r="BI2740" s="467"/>
      <c r="BJ2740" s="467"/>
      <c r="BK2740" s="467"/>
      <c r="BL2740" s="467"/>
      <c r="BM2740" s="467"/>
      <c r="BN2740" s="467"/>
      <c r="BO2740" s="467"/>
      <c r="BP2740" s="467"/>
      <c r="BQ2740" s="467"/>
      <c r="BR2740" s="467"/>
      <c r="BS2740" s="467"/>
      <c r="BT2740" s="467"/>
      <c r="BU2740" s="467"/>
      <c r="BV2740" s="467"/>
      <c r="BW2740" s="467"/>
      <c r="BX2740" s="769"/>
      <c r="BY2740" s="769"/>
      <c r="BZ2740" s="769"/>
      <c r="CA2740" s="769"/>
      <c r="CB2740" s="769"/>
      <c r="CC2740" s="769"/>
      <c r="CD2740" s="769"/>
      <c r="CE2740" s="769"/>
      <c r="CF2740" s="769"/>
      <c r="CG2740" s="73"/>
      <c r="CH2740" s="438"/>
      <c r="CI2740" s="416"/>
      <c r="CJ2740" s="73"/>
      <c r="CK2740" s="650"/>
      <c r="CL2740" s="499"/>
      <c r="CM2740" s="650"/>
      <c r="CR2740" s="416"/>
      <c r="CS2740" s="650"/>
      <c r="CU2740" s="73"/>
      <c r="CV2740" s="73"/>
      <c r="CW2740" s="73"/>
      <c r="CX2740" s="73"/>
      <c r="DA2740" s="650"/>
    </row>
    <row r="2741" spans="1:105" s="45" customFormat="1" x14ac:dyDescent="0.2">
      <c r="A2741" s="650"/>
      <c r="B2741" s="438"/>
      <c r="D2741" s="73"/>
      <c r="E2741" s="650"/>
      <c r="F2741" s="650"/>
      <c r="G2741" s="73"/>
      <c r="I2741" s="111"/>
      <c r="J2741" s="81"/>
      <c r="K2741" s="81"/>
      <c r="L2741" s="499"/>
      <c r="M2741" s="73"/>
      <c r="N2741" s="499"/>
      <c r="O2741" s="73"/>
      <c r="P2741" s="73"/>
      <c r="Q2741" s="73"/>
      <c r="R2741" s="176"/>
      <c r="S2741" s="176"/>
      <c r="T2741" s="176"/>
      <c r="U2741" s="400"/>
      <c r="V2741" s="400"/>
      <c r="W2741" s="732"/>
      <c r="X2741" s="167"/>
      <c r="Y2741" s="509"/>
      <c r="Z2741" s="466"/>
      <c r="AA2741" s="466"/>
      <c r="AB2741" s="466"/>
      <c r="AC2741" s="466"/>
      <c r="AD2741" s="466"/>
      <c r="AE2741" s="466"/>
      <c r="AF2741" s="466"/>
      <c r="AG2741" s="466"/>
      <c r="AH2741" s="466"/>
      <c r="AI2741" s="466"/>
      <c r="AJ2741" s="466"/>
      <c r="AK2741" s="466"/>
      <c r="AL2741" s="466"/>
      <c r="AM2741" s="466"/>
      <c r="AN2741" s="466"/>
      <c r="AO2741" s="466"/>
      <c r="AP2741" s="466"/>
      <c r="AQ2741" s="466"/>
      <c r="AR2741" s="466"/>
      <c r="AS2741" s="466"/>
      <c r="AT2741" s="466"/>
      <c r="AU2741" s="466"/>
      <c r="AV2741" s="466"/>
      <c r="AW2741" s="466"/>
      <c r="AX2741" s="466"/>
      <c r="AY2741" s="466"/>
      <c r="AZ2741" s="466"/>
      <c r="BA2741" s="466"/>
      <c r="BB2741" s="466"/>
      <c r="BC2741" s="466"/>
      <c r="BD2741" s="466"/>
      <c r="BE2741" s="467"/>
      <c r="BF2741" s="467"/>
      <c r="BG2741" s="466"/>
      <c r="BH2741" s="466"/>
      <c r="BI2741" s="467"/>
      <c r="BJ2741" s="467"/>
      <c r="BK2741" s="467"/>
      <c r="BL2741" s="467"/>
      <c r="BM2741" s="467"/>
      <c r="BN2741" s="467"/>
      <c r="BO2741" s="467"/>
      <c r="BP2741" s="467"/>
      <c r="BQ2741" s="467"/>
      <c r="BR2741" s="467"/>
      <c r="BS2741" s="467"/>
      <c r="BT2741" s="467"/>
      <c r="BU2741" s="467"/>
      <c r="BV2741" s="467"/>
      <c r="BW2741" s="467"/>
      <c r="BX2741" s="769"/>
      <c r="BY2741" s="769"/>
      <c r="BZ2741" s="769"/>
      <c r="CA2741" s="769"/>
      <c r="CB2741" s="769"/>
      <c r="CC2741" s="769"/>
      <c r="CD2741" s="769"/>
      <c r="CE2741" s="769"/>
      <c r="CF2741" s="769"/>
      <c r="CG2741" s="73"/>
      <c r="CH2741" s="438"/>
      <c r="CI2741" s="416"/>
      <c r="CJ2741" s="73"/>
      <c r="CK2741" s="650"/>
      <c r="CL2741" s="499"/>
      <c r="CM2741" s="650"/>
      <c r="CR2741" s="416"/>
      <c r="CS2741" s="650"/>
      <c r="CU2741" s="73"/>
      <c r="CV2741" s="73"/>
      <c r="CW2741" s="73"/>
      <c r="CX2741" s="73"/>
      <c r="DA2741" s="650"/>
    </row>
    <row r="2742" spans="1:105" s="45" customFormat="1" x14ac:dyDescent="0.2">
      <c r="A2742" s="650"/>
      <c r="B2742" s="438"/>
      <c r="D2742" s="73"/>
      <c r="E2742" s="650"/>
      <c r="F2742" s="650"/>
      <c r="G2742" s="73"/>
      <c r="I2742" s="111"/>
      <c r="J2742" s="81"/>
      <c r="K2742" s="81"/>
      <c r="L2742" s="499"/>
      <c r="M2742" s="73"/>
      <c r="N2742" s="499"/>
      <c r="O2742" s="73"/>
      <c r="P2742" s="73"/>
      <c r="Q2742" s="73"/>
      <c r="R2742" s="176"/>
      <c r="S2742" s="176"/>
      <c r="T2742" s="176"/>
      <c r="U2742" s="400"/>
      <c r="V2742" s="400"/>
      <c r="W2742" s="732"/>
      <c r="X2742" s="167"/>
      <c r="Y2742" s="509"/>
      <c r="Z2742" s="466"/>
      <c r="AA2742" s="466"/>
      <c r="AB2742" s="466"/>
      <c r="AC2742" s="466"/>
      <c r="AD2742" s="466"/>
      <c r="AE2742" s="466"/>
      <c r="AF2742" s="466"/>
      <c r="AG2742" s="466"/>
      <c r="AH2742" s="466"/>
      <c r="AI2742" s="466"/>
      <c r="AJ2742" s="466"/>
      <c r="AK2742" s="466"/>
      <c r="AL2742" s="466"/>
      <c r="AM2742" s="466"/>
      <c r="AN2742" s="466"/>
      <c r="AO2742" s="466"/>
      <c r="AP2742" s="466"/>
      <c r="AQ2742" s="466"/>
      <c r="AR2742" s="466"/>
      <c r="AS2742" s="466"/>
      <c r="AT2742" s="466"/>
      <c r="AU2742" s="466"/>
      <c r="AV2742" s="466"/>
      <c r="AW2742" s="466"/>
      <c r="AX2742" s="466"/>
      <c r="AY2742" s="466"/>
      <c r="AZ2742" s="466"/>
      <c r="BA2742" s="466"/>
      <c r="BB2742" s="466"/>
      <c r="BC2742" s="466"/>
      <c r="BD2742" s="466"/>
      <c r="BE2742" s="467"/>
      <c r="BF2742" s="467"/>
      <c r="BG2742" s="466"/>
      <c r="BH2742" s="466"/>
      <c r="BI2742" s="467"/>
      <c r="BJ2742" s="467"/>
      <c r="BK2742" s="467"/>
      <c r="BL2742" s="467"/>
      <c r="BM2742" s="467"/>
      <c r="BN2742" s="467"/>
      <c r="BO2742" s="467"/>
      <c r="BP2742" s="467"/>
      <c r="BQ2742" s="467"/>
      <c r="BR2742" s="467"/>
      <c r="BS2742" s="467"/>
      <c r="BT2742" s="467"/>
      <c r="BU2742" s="467"/>
      <c r="BV2742" s="467"/>
      <c r="BW2742" s="467"/>
      <c r="BX2742" s="769"/>
      <c r="BY2742" s="769"/>
      <c r="BZ2742" s="769"/>
      <c r="CA2742" s="769"/>
      <c r="CB2742" s="769"/>
      <c r="CC2742" s="769"/>
      <c r="CD2742" s="769"/>
      <c r="CE2742" s="769"/>
      <c r="CF2742" s="769"/>
      <c r="CG2742" s="73"/>
      <c r="CH2742" s="438"/>
      <c r="CI2742" s="416"/>
      <c r="CJ2742" s="73"/>
      <c r="CK2742" s="650"/>
      <c r="CL2742" s="499"/>
      <c r="CM2742" s="650"/>
      <c r="CR2742" s="416"/>
      <c r="CS2742" s="650"/>
      <c r="CU2742" s="73"/>
      <c r="CV2742" s="73"/>
      <c r="CW2742" s="73"/>
      <c r="CX2742" s="73"/>
      <c r="DA2742" s="650"/>
    </row>
    <row r="2743" spans="1:105" s="45" customFormat="1" x14ac:dyDescent="0.2">
      <c r="A2743" s="650"/>
      <c r="B2743" s="438"/>
      <c r="D2743" s="73"/>
      <c r="E2743" s="650"/>
      <c r="F2743" s="650"/>
      <c r="G2743" s="73"/>
      <c r="I2743" s="111"/>
      <c r="J2743" s="81"/>
      <c r="K2743" s="81"/>
      <c r="L2743" s="499"/>
      <c r="M2743" s="73"/>
      <c r="N2743" s="499"/>
      <c r="O2743" s="73"/>
      <c r="P2743" s="73"/>
      <c r="Q2743" s="73"/>
      <c r="R2743" s="176"/>
      <c r="S2743" s="176"/>
      <c r="T2743" s="176"/>
      <c r="U2743" s="400"/>
      <c r="V2743" s="400"/>
      <c r="W2743" s="732"/>
      <c r="X2743" s="167"/>
      <c r="Y2743" s="509"/>
      <c r="Z2743" s="466"/>
      <c r="AA2743" s="466"/>
      <c r="AB2743" s="466"/>
      <c r="AC2743" s="466"/>
      <c r="AD2743" s="466"/>
      <c r="AE2743" s="466"/>
      <c r="AF2743" s="466"/>
      <c r="AG2743" s="466"/>
      <c r="AH2743" s="466"/>
      <c r="AI2743" s="466"/>
      <c r="AJ2743" s="466"/>
      <c r="AK2743" s="466"/>
      <c r="AL2743" s="466"/>
      <c r="AM2743" s="466"/>
      <c r="AN2743" s="466"/>
      <c r="AO2743" s="466"/>
      <c r="AP2743" s="466"/>
      <c r="AQ2743" s="466"/>
      <c r="AR2743" s="466"/>
      <c r="AS2743" s="466"/>
      <c r="AT2743" s="466"/>
      <c r="AU2743" s="466"/>
      <c r="AV2743" s="466"/>
      <c r="AW2743" s="466"/>
      <c r="AX2743" s="466"/>
      <c r="AY2743" s="466"/>
      <c r="AZ2743" s="466"/>
      <c r="BA2743" s="466"/>
      <c r="BB2743" s="466"/>
      <c r="BC2743" s="466"/>
      <c r="BD2743" s="466"/>
      <c r="BE2743" s="467"/>
      <c r="BF2743" s="467"/>
      <c r="BG2743" s="466"/>
      <c r="BH2743" s="466"/>
      <c r="BI2743" s="467"/>
      <c r="BJ2743" s="467"/>
      <c r="BK2743" s="467"/>
      <c r="BL2743" s="467"/>
      <c r="BM2743" s="467"/>
      <c r="BN2743" s="467"/>
      <c r="BO2743" s="467"/>
      <c r="BP2743" s="467"/>
      <c r="BQ2743" s="467"/>
      <c r="BR2743" s="467"/>
      <c r="BS2743" s="467"/>
      <c r="BT2743" s="467"/>
      <c r="BU2743" s="467"/>
      <c r="BV2743" s="467"/>
      <c r="BW2743" s="467"/>
      <c r="BX2743" s="769"/>
      <c r="BY2743" s="769"/>
      <c r="BZ2743" s="769"/>
      <c r="CA2743" s="769"/>
      <c r="CB2743" s="769"/>
      <c r="CC2743" s="769"/>
      <c r="CD2743" s="769"/>
      <c r="CE2743" s="769"/>
      <c r="CF2743" s="769"/>
      <c r="CG2743" s="73"/>
      <c r="CH2743" s="438"/>
      <c r="CI2743" s="416"/>
      <c r="CJ2743" s="73"/>
      <c r="CK2743" s="650"/>
      <c r="CL2743" s="499"/>
      <c r="CM2743" s="650"/>
      <c r="CR2743" s="416"/>
      <c r="CS2743" s="650"/>
      <c r="CU2743" s="73"/>
      <c r="CV2743" s="73"/>
      <c r="CW2743" s="73"/>
      <c r="CX2743" s="73"/>
      <c r="DA2743" s="650"/>
    </row>
    <row r="2744" spans="1:105" s="45" customFormat="1" x14ac:dyDescent="0.2">
      <c r="A2744" s="650"/>
      <c r="B2744" s="438"/>
      <c r="D2744" s="73"/>
      <c r="E2744" s="650"/>
      <c r="F2744" s="650"/>
      <c r="G2744" s="73"/>
      <c r="I2744" s="111"/>
      <c r="J2744" s="81"/>
      <c r="K2744" s="81"/>
      <c r="L2744" s="499"/>
      <c r="M2744" s="73"/>
      <c r="N2744" s="499"/>
      <c r="O2744" s="73"/>
      <c r="P2744" s="73"/>
      <c r="Q2744" s="73"/>
      <c r="R2744" s="176"/>
      <c r="S2744" s="176"/>
      <c r="T2744" s="176"/>
      <c r="U2744" s="400"/>
      <c r="V2744" s="400"/>
      <c r="W2744" s="732"/>
      <c r="X2744" s="167"/>
      <c r="Y2744" s="509"/>
      <c r="Z2744" s="466"/>
      <c r="AA2744" s="466"/>
      <c r="AB2744" s="466"/>
      <c r="AC2744" s="466"/>
      <c r="AD2744" s="466"/>
      <c r="AE2744" s="466"/>
      <c r="AF2744" s="466"/>
      <c r="AG2744" s="466"/>
      <c r="AH2744" s="466"/>
      <c r="AI2744" s="466"/>
      <c r="AJ2744" s="466"/>
      <c r="AK2744" s="466"/>
      <c r="AL2744" s="466"/>
      <c r="AM2744" s="466"/>
      <c r="AN2744" s="466"/>
      <c r="AO2744" s="466"/>
      <c r="AP2744" s="466"/>
      <c r="AQ2744" s="466"/>
      <c r="AR2744" s="466"/>
      <c r="AS2744" s="466"/>
      <c r="AT2744" s="466"/>
      <c r="AU2744" s="466"/>
      <c r="AV2744" s="466"/>
      <c r="AW2744" s="466"/>
      <c r="AX2744" s="466"/>
      <c r="AY2744" s="466"/>
      <c r="AZ2744" s="466"/>
      <c r="BA2744" s="466"/>
      <c r="BB2744" s="466"/>
      <c r="BC2744" s="466"/>
      <c r="BD2744" s="466"/>
      <c r="BE2744" s="467"/>
      <c r="BF2744" s="467"/>
      <c r="BG2744" s="466"/>
      <c r="BH2744" s="466"/>
      <c r="BI2744" s="467"/>
      <c r="BJ2744" s="467"/>
      <c r="BK2744" s="467"/>
      <c r="BL2744" s="467"/>
      <c r="BM2744" s="467"/>
      <c r="BN2744" s="467"/>
      <c r="BO2744" s="467"/>
      <c r="BP2744" s="467"/>
      <c r="BQ2744" s="467"/>
      <c r="BR2744" s="467"/>
      <c r="BS2744" s="467"/>
      <c r="BT2744" s="467"/>
      <c r="BU2744" s="467"/>
      <c r="BV2744" s="467"/>
      <c r="BW2744" s="467"/>
      <c r="BX2744" s="769"/>
      <c r="BY2744" s="769"/>
      <c r="BZ2744" s="769"/>
      <c r="CA2744" s="769"/>
      <c r="CB2744" s="769"/>
      <c r="CC2744" s="769"/>
      <c r="CD2744" s="769"/>
      <c r="CE2744" s="769"/>
      <c r="CF2744" s="769"/>
      <c r="CG2744" s="73"/>
      <c r="CH2744" s="438"/>
      <c r="CI2744" s="416"/>
      <c r="CJ2744" s="73"/>
      <c r="CK2744" s="650"/>
      <c r="CL2744" s="499"/>
      <c r="CM2744" s="650"/>
      <c r="CR2744" s="416"/>
      <c r="CS2744" s="650"/>
      <c r="CU2744" s="73"/>
      <c r="CV2744" s="73"/>
      <c r="CW2744" s="73"/>
      <c r="CX2744" s="73"/>
      <c r="DA2744" s="650"/>
    </row>
    <row r="2745" spans="1:105" s="45" customFormat="1" x14ac:dyDescent="0.2">
      <c r="A2745" s="650"/>
      <c r="B2745" s="438"/>
      <c r="D2745" s="73"/>
      <c r="E2745" s="650"/>
      <c r="F2745" s="650"/>
      <c r="G2745" s="73"/>
      <c r="I2745" s="111"/>
      <c r="J2745" s="81"/>
      <c r="K2745" s="81"/>
      <c r="L2745" s="499"/>
      <c r="M2745" s="73"/>
      <c r="N2745" s="499"/>
      <c r="O2745" s="73"/>
      <c r="P2745" s="73"/>
      <c r="Q2745" s="73"/>
      <c r="R2745" s="176"/>
      <c r="S2745" s="176"/>
      <c r="T2745" s="176"/>
      <c r="U2745" s="400"/>
      <c r="V2745" s="400"/>
      <c r="W2745" s="732"/>
      <c r="X2745" s="167"/>
      <c r="Y2745" s="509"/>
      <c r="Z2745" s="466"/>
      <c r="AA2745" s="466"/>
      <c r="AB2745" s="466"/>
      <c r="AC2745" s="466"/>
      <c r="AD2745" s="466"/>
      <c r="AE2745" s="466"/>
      <c r="AF2745" s="466"/>
      <c r="AG2745" s="466"/>
      <c r="AH2745" s="466"/>
      <c r="AI2745" s="466"/>
      <c r="AJ2745" s="466"/>
      <c r="AK2745" s="466"/>
      <c r="AL2745" s="466"/>
      <c r="AM2745" s="466"/>
      <c r="AN2745" s="466"/>
      <c r="AO2745" s="466"/>
      <c r="AP2745" s="466"/>
      <c r="AQ2745" s="466"/>
      <c r="AR2745" s="466"/>
      <c r="AS2745" s="466"/>
      <c r="AT2745" s="466"/>
      <c r="AU2745" s="466"/>
      <c r="AV2745" s="466"/>
      <c r="AW2745" s="466"/>
      <c r="AX2745" s="466"/>
      <c r="AY2745" s="466"/>
      <c r="AZ2745" s="466"/>
      <c r="BA2745" s="466"/>
      <c r="BB2745" s="466"/>
      <c r="BC2745" s="466"/>
      <c r="BD2745" s="466"/>
      <c r="BE2745" s="467"/>
      <c r="BF2745" s="467"/>
      <c r="BG2745" s="466"/>
      <c r="BH2745" s="466"/>
      <c r="BI2745" s="467"/>
      <c r="BJ2745" s="467"/>
      <c r="BK2745" s="467"/>
      <c r="BL2745" s="467"/>
      <c r="BM2745" s="467"/>
      <c r="BN2745" s="467"/>
      <c r="BO2745" s="467"/>
      <c r="BP2745" s="467"/>
      <c r="BQ2745" s="467"/>
      <c r="BR2745" s="467"/>
      <c r="BS2745" s="467"/>
      <c r="BT2745" s="467"/>
      <c r="BU2745" s="467"/>
      <c r="BV2745" s="467"/>
      <c r="BW2745" s="467"/>
      <c r="BX2745" s="769"/>
      <c r="BY2745" s="769"/>
      <c r="BZ2745" s="769"/>
      <c r="CA2745" s="769"/>
      <c r="CB2745" s="769"/>
      <c r="CC2745" s="769"/>
      <c r="CD2745" s="769"/>
      <c r="CE2745" s="769"/>
      <c r="CF2745" s="769"/>
      <c r="CG2745" s="73"/>
      <c r="CH2745" s="438"/>
      <c r="CI2745" s="416"/>
      <c r="CJ2745" s="73"/>
      <c r="CK2745" s="650"/>
      <c r="CL2745" s="499"/>
      <c r="CM2745" s="650"/>
      <c r="CR2745" s="416"/>
      <c r="CS2745" s="650"/>
      <c r="CU2745" s="73"/>
      <c r="CV2745" s="73"/>
      <c r="CW2745" s="73"/>
      <c r="CX2745" s="73"/>
      <c r="DA2745" s="650"/>
    </row>
    <row r="2746" spans="1:105" s="45" customFormat="1" x14ac:dyDescent="0.2">
      <c r="A2746" s="650"/>
      <c r="B2746" s="438"/>
      <c r="D2746" s="73"/>
      <c r="E2746" s="650"/>
      <c r="F2746" s="650"/>
      <c r="G2746" s="73"/>
      <c r="I2746" s="111"/>
      <c r="J2746" s="81"/>
      <c r="K2746" s="81"/>
      <c r="L2746" s="499"/>
      <c r="M2746" s="73"/>
      <c r="N2746" s="499"/>
      <c r="O2746" s="73"/>
      <c r="P2746" s="73"/>
      <c r="Q2746" s="73"/>
      <c r="R2746" s="176"/>
      <c r="S2746" s="176"/>
      <c r="T2746" s="176"/>
      <c r="U2746" s="400"/>
      <c r="V2746" s="400"/>
      <c r="W2746" s="732"/>
      <c r="X2746" s="167"/>
      <c r="Y2746" s="509"/>
      <c r="Z2746" s="466"/>
      <c r="AA2746" s="466"/>
      <c r="AB2746" s="466"/>
      <c r="AC2746" s="466"/>
      <c r="AD2746" s="466"/>
      <c r="AE2746" s="466"/>
      <c r="AF2746" s="466"/>
      <c r="AG2746" s="466"/>
      <c r="AH2746" s="466"/>
      <c r="AI2746" s="466"/>
      <c r="AJ2746" s="466"/>
      <c r="AK2746" s="466"/>
      <c r="AL2746" s="466"/>
      <c r="AM2746" s="466"/>
      <c r="AN2746" s="466"/>
      <c r="AO2746" s="466"/>
      <c r="AP2746" s="466"/>
      <c r="AQ2746" s="466"/>
      <c r="AR2746" s="466"/>
      <c r="AS2746" s="466"/>
      <c r="AT2746" s="466"/>
      <c r="AU2746" s="466"/>
      <c r="AV2746" s="466"/>
      <c r="AW2746" s="466"/>
      <c r="AX2746" s="466"/>
      <c r="AY2746" s="466"/>
      <c r="AZ2746" s="466"/>
      <c r="BA2746" s="466"/>
      <c r="BB2746" s="466"/>
      <c r="BC2746" s="466"/>
      <c r="BD2746" s="466"/>
      <c r="BE2746" s="467"/>
      <c r="BF2746" s="467"/>
      <c r="BG2746" s="466"/>
      <c r="BH2746" s="466"/>
      <c r="BI2746" s="467"/>
      <c r="BJ2746" s="467"/>
      <c r="BK2746" s="467"/>
      <c r="BL2746" s="467"/>
      <c r="BM2746" s="467"/>
      <c r="BN2746" s="467"/>
      <c r="BO2746" s="467"/>
      <c r="BP2746" s="467"/>
      <c r="BQ2746" s="467"/>
      <c r="BR2746" s="467"/>
      <c r="BS2746" s="467"/>
      <c r="BT2746" s="467"/>
      <c r="BU2746" s="467"/>
      <c r="BV2746" s="467"/>
      <c r="BW2746" s="467"/>
      <c r="BX2746" s="769"/>
      <c r="BY2746" s="769"/>
      <c r="BZ2746" s="769"/>
      <c r="CA2746" s="769"/>
      <c r="CB2746" s="769"/>
      <c r="CC2746" s="769"/>
      <c r="CD2746" s="769"/>
      <c r="CE2746" s="769"/>
      <c r="CF2746" s="769"/>
      <c r="CG2746" s="73"/>
      <c r="CH2746" s="438"/>
      <c r="CI2746" s="416"/>
      <c r="CJ2746" s="73"/>
      <c r="CK2746" s="650"/>
      <c r="CL2746" s="499"/>
      <c r="CM2746" s="650"/>
      <c r="CR2746" s="416"/>
      <c r="CS2746" s="650"/>
      <c r="CU2746" s="73"/>
      <c r="CV2746" s="73"/>
      <c r="CW2746" s="73"/>
      <c r="CX2746" s="73"/>
      <c r="DA2746" s="650"/>
    </row>
    <row r="2747" spans="1:105" s="45" customFormat="1" x14ac:dyDescent="0.2">
      <c r="A2747" s="650"/>
      <c r="B2747" s="438"/>
      <c r="D2747" s="73"/>
      <c r="E2747" s="650"/>
      <c r="F2747" s="650"/>
      <c r="G2747" s="73"/>
      <c r="I2747" s="111"/>
      <c r="J2747" s="81"/>
      <c r="K2747" s="81"/>
      <c r="L2747" s="499"/>
      <c r="M2747" s="73"/>
      <c r="N2747" s="499"/>
      <c r="O2747" s="73"/>
      <c r="P2747" s="73"/>
      <c r="Q2747" s="73"/>
      <c r="R2747" s="176"/>
      <c r="S2747" s="176"/>
      <c r="T2747" s="176"/>
      <c r="U2747" s="400"/>
      <c r="V2747" s="400"/>
      <c r="W2747" s="732"/>
      <c r="X2747" s="167"/>
      <c r="Y2747" s="509"/>
      <c r="Z2747" s="466"/>
      <c r="AA2747" s="466"/>
      <c r="AB2747" s="466"/>
      <c r="AC2747" s="466"/>
      <c r="AD2747" s="466"/>
      <c r="AE2747" s="466"/>
      <c r="AF2747" s="466"/>
      <c r="AG2747" s="466"/>
      <c r="AH2747" s="466"/>
      <c r="AI2747" s="466"/>
      <c r="AJ2747" s="466"/>
      <c r="AK2747" s="466"/>
      <c r="AL2747" s="466"/>
      <c r="AM2747" s="466"/>
      <c r="AN2747" s="466"/>
      <c r="AO2747" s="466"/>
      <c r="AP2747" s="466"/>
      <c r="AQ2747" s="466"/>
      <c r="AR2747" s="466"/>
      <c r="AS2747" s="466"/>
      <c r="AT2747" s="466"/>
      <c r="AU2747" s="466"/>
      <c r="AV2747" s="466"/>
      <c r="AW2747" s="466"/>
      <c r="AX2747" s="466"/>
      <c r="AY2747" s="466"/>
      <c r="AZ2747" s="466"/>
      <c r="BA2747" s="466"/>
      <c r="BB2747" s="466"/>
      <c r="BC2747" s="466"/>
      <c r="BD2747" s="466"/>
      <c r="BE2747" s="467"/>
      <c r="BF2747" s="467"/>
      <c r="BG2747" s="466"/>
      <c r="BH2747" s="466"/>
      <c r="BI2747" s="467"/>
      <c r="BJ2747" s="467"/>
      <c r="BK2747" s="467"/>
      <c r="BL2747" s="467"/>
      <c r="BM2747" s="467"/>
      <c r="BN2747" s="467"/>
      <c r="BO2747" s="467"/>
      <c r="BP2747" s="467"/>
      <c r="BQ2747" s="467"/>
      <c r="BR2747" s="467"/>
      <c r="BS2747" s="467"/>
      <c r="BT2747" s="467"/>
      <c r="BU2747" s="467"/>
      <c r="BV2747" s="467"/>
      <c r="BW2747" s="467"/>
      <c r="BX2747" s="769"/>
      <c r="BY2747" s="769"/>
      <c r="BZ2747" s="769"/>
      <c r="CA2747" s="769"/>
      <c r="CB2747" s="769"/>
      <c r="CC2747" s="769"/>
      <c r="CD2747" s="769"/>
      <c r="CE2747" s="769"/>
      <c r="CF2747" s="769"/>
      <c r="CG2747" s="73"/>
      <c r="CH2747" s="438"/>
      <c r="CI2747" s="416"/>
      <c r="CJ2747" s="73"/>
      <c r="CK2747" s="650"/>
      <c r="CL2747" s="499"/>
      <c r="CM2747" s="650"/>
      <c r="CR2747" s="416"/>
      <c r="CS2747" s="650"/>
      <c r="CU2747" s="73"/>
      <c r="CV2747" s="73"/>
      <c r="CW2747" s="73"/>
      <c r="CX2747" s="73"/>
      <c r="DA2747" s="650"/>
    </row>
    <row r="2748" spans="1:105" s="45" customFormat="1" x14ac:dyDescent="0.2">
      <c r="A2748" s="650"/>
      <c r="B2748" s="438"/>
      <c r="D2748" s="73"/>
      <c r="E2748" s="650"/>
      <c r="F2748" s="650"/>
      <c r="G2748" s="73"/>
      <c r="I2748" s="111"/>
      <c r="J2748" s="81"/>
      <c r="K2748" s="81"/>
      <c r="L2748" s="499"/>
      <c r="M2748" s="73"/>
      <c r="N2748" s="499"/>
      <c r="O2748" s="73"/>
      <c r="P2748" s="73"/>
      <c r="Q2748" s="73"/>
      <c r="R2748" s="176"/>
      <c r="S2748" s="176"/>
      <c r="T2748" s="176"/>
      <c r="U2748" s="400"/>
      <c r="V2748" s="400"/>
      <c r="W2748" s="732"/>
      <c r="X2748" s="167"/>
      <c r="Y2748" s="509"/>
      <c r="Z2748" s="466"/>
      <c r="AA2748" s="466"/>
      <c r="AB2748" s="466"/>
      <c r="AC2748" s="466"/>
      <c r="AD2748" s="466"/>
      <c r="AE2748" s="466"/>
      <c r="AF2748" s="466"/>
      <c r="AG2748" s="466"/>
      <c r="AH2748" s="466"/>
      <c r="AI2748" s="466"/>
      <c r="AJ2748" s="466"/>
      <c r="AK2748" s="466"/>
      <c r="AL2748" s="466"/>
      <c r="AM2748" s="466"/>
      <c r="AN2748" s="466"/>
      <c r="AO2748" s="466"/>
      <c r="AP2748" s="466"/>
      <c r="AQ2748" s="466"/>
      <c r="AR2748" s="466"/>
      <c r="AS2748" s="466"/>
      <c r="AT2748" s="466"/>
      <c r="AU2748" s="466"/>
      <c r="AV2748" s="466"/>
      <c r="AW2748" s="466"/>
      <c r="AX2748" s="466"/>
      <c r="AY2748" s="466"/>
      <c r="AZ2748" s="466"/>
      <c r="BA2748" s="466"/>
      <c r="BB2748" s="466"/>
      <c r="BC2748" s="466"/>
      <c r="BD2748" s="466"/>
      <c r="BE2748" s="467"/>
      <c r="BF2748" s="467"/>
      <c r="BG2748" s="466"/>
      <c r="BH2748" s="466"/>
      <c r="BI2748" s="467"/>
      <c r="BJ2748" s="467"/>
      <c r="BK2748" s="467"/>
      <c r="BL2748" s="467"/>
      <c r="BM2748" s="467"/>
      <c r="BN2748" s="467"/>
      <c r="BO2748" s="467"/>
      <c r="BP2748" s="467"/>
      <c r="BQ2748" s="467"/>
      <c r="BR2748" s="467"/>
      <c r="BS2748" s="467"/>
      <c r="BT2748" s="467"/>
      <c r="BU2748" s="467"/>
      <c r="BV2748" s="467"/>
      <c r="BW2748" s="467"/>
      <c r="BX2748" s="769"/>
      <c r="BY2748" s="769"/>
      <c r="BZ2748" s="769"/>
      <c r="CA2748" s="769"/>
      <c r="CB2748" s="769"/>
      <c r="CC2748" s="769"/>
      <c r="CD2748" s="769"/>
      <c r="CE2748" s="769"/>
      <c r="CF2748" s="769"/>
      <c r="CG2748" s="73"/>
      <c r="CH2748" s="438"/>
      <c r="CI2748" s="416"/>
      <c r="CJ2748" s="73"/>
      <c r="CK2748" s="650"/>
      <c r="CL2748" s="499"/>
      <c r="CM2748" s="650"/>
      <c r="CR2748" s="416"/>
      <c r="CS2748" s="650"/>
      <c r="CU2748" s="73"/>
      <c r="CV2748" s="73"/>
      <c r="CW2748" s="73"/>
      <c r="CX2748" s="73"/>
      <c r="DA2748" s="650"/>
    </row>
    <row r="2749" spans="1:105" s="45" customFormat="1" x14ac:dyDescent="0.2">
      <c r="A2749" s="650"/>
      <c r="B2749" s="438"/>
      <c r="D2749" s="73"/>
      <c r="E2749" s="650"/>
      <c r="F2749" s="650"/>
      <c r="G2749" s="73"/>
      <c r="I2749" s="111"/>
      <c r="J2749" s="81"/>
      <c r="K2749" s="81"/>
      <c r="L2749" s="499"/>
      <c r="M2749" s="73"/>
      <c r="N2749" s="499"/>
      <c r="O2749" s="73"/>
      <c r="P2749" s="73"/>
      <c r="Q2749" s="73"/>
      <c r="R2749" s="176"/>
      <c r="S2749" s="176"/>
      <c r="T2749" s="176"/>
      <c r="U2749" s="400"/>
      <c r="V2749" s="400"/>
      <c r="W2749" s="732"/>
      <c r="X2749" s="167"/>
      <c r="Y2749" s="509"/>
      <c r="Z2749" s="466"/>
      <c r="AA2749" s="466"/>
      <c r="AB2749" s="466"/>
      <c r="AC2749" s="466"/>
      <c r="AD2749" s="466"/>
      <c r="AE2749" s="466"/>
      <c r="AF2749" s="466"/>
      <c r="AG2749" s="466"/>
      <c r="AH2749" s="466"/>
      <c r="AI2749" s="466"/>
      <c r="AJ2749" s="466"/>
      <c r="AK2749" s="466"/>
      <c r="AL2749" s="466"/>
      <c r="AM2749" s="466"/>
      <c r="AN2749" s="466"/>
      <c r="AO2749" s="466"/>
      <c r="AP2749" s="466"/>
      <c r="AQ2749" s="466"/>
      <c r="AR2749" s="466"/>
      <c r="AS2749" s="466"/>
      <c r="AT2749" s="466"/>
      <c r="AU2749" s="466"/>
      <c r="AV2749" s="466"/>
      <c r="AW2749" s="466"/>
      <c r="AX2749" s="466"/>
      <c r="AY2749" s="466"/>
      <c r="AZ2749" s="466"/>
      <c r="BA2749" s="466"/>
      <c r="BB2749" s="466"/>
      <c r="BC2749" s="466"/>
      <c r="BD2749" s="466"/>
      <c r="BE2749" s="467"/>
      <c r="BF2749" s="467"/>
      <c r="BG2749" s="466"/>
      <c r="BH2749" s="466"/>
      <c r="BI2749" s="467"/>
      <c r="BJ2749" s="467"/>
      <c r="BK2749" s="467"/>
      <c r="BL2749" s="467"/>
      <c r="BM2749" s="467"/>
      <c r="BN2749" s="467"/>
      <c r="BO2749" s="467"/>
      <c r="BP2749" s="467"/>
      <c r="BQ2749" s="467"/>
      <c r="BR2749" s="467"/>
      <c r="BS2749" s="467"/>
      <c r="BT2749" s="467"/>
      <c r="BU2749" s="467"/>
      <c r="BV2749" s="467"/>
      <c r="BW2749" s="467"/>
      <c r="BX2749" s="769"/>
      <c r="BY2749" s="769"/>
      <c r="BZ2749" s="769"/>
      <c r="CA2749" s="769"/>
      <c r="CB2749" s="769"/>
      <c r="CC2749" s="769"/>
      <c r="CD2749" s="769"/>
      <c r="CE2749" s="769"/>
      <c r="CF2749" s="769"/>
      <c r="CG2749" s="73"/>
      <c r="CH2749" s="438"/>
      <c r="CI2749" s="416"/>
      <c r="CJ2749" s="73"/>
      <c r="CK2749" s="650"/>
      <c r="CL2749" s="499"/>
      <c r="CM2749" s="650"/>
      <c r="CR2749" s="416"/>
      <c r="CS2749" s="650"/>
      <c r="CU2749" s="73"/>
      <c r="CV2749" s="73"/>
      <c r="CW2749" s="73"/>
      <c r="CX2749" s="73"/>
      <c r="DA2749" s="650"/>
    </row>
    <row r="2750" spans="1:105" s="45" customFormat="1" x14ac:dyDescent="0.2">
      <c r="A2750" s="650"/>
      <c r="B2750" s="438"/>
      <c r="D2750" s="73"/>
      <c r="E2750" s="650"/>
      <c r="F2750" s="650"/>
      <c r="G2750" s="73"/>
      <c r="I2750" s="111"/>
      <c r="J2750" s="81"/>
      <c r="K2750" s="81"/>
      <c r="L2750" s="499"/>
      <c r="M2750" s="73"/>
      <c r="N2750" s="499"/>
      <c r="O2750" s="73"/>
      <c r="P2750" s="73"/>
      <c r="Q2750" s="73"/>
      <c r="R2750" s="176"/>
      <c r="S2750" s="176"/>
      <c r="T2750" s="176"/>
      <c r="U2750" s="400"/>
      <c r="V2750" s="400"/>
      <c r="W2750" s="732"/>
      <c r="X2750" s="167"/>
      <c r="Y2750" s="509"/>
      <c r="Z2750" s="466"/>
      <c r="AA2750" s="466"/>
      <c r="AB2750" s="466"/>
      <c r="AC2750" s="466"/>
      <c r="AD2750" s="466"/>
      <c r="AE2750" s="466"/>
      <c r="AF2750" s="466"/>
      <c r="AG2750" s="466"/>
      <c r="AH2750" s="466"/>
      <c r="AI2750" s="466"/>
      <c r="AJ2750" s="466"/>
      <c r="AK2750" s="466"/>
      <c r="AL2750" s="466"/>
      <c r="AM2750" s="466"/>
      <c r="AN2750" s="466"/>
      <c r="AO2750" s="466"/>
      <c r="AP2750" s="466"/>
      <c r="AQ2750" s="466"/>
      <c r="AR2750" s="466"/>
      <c r="AS2750" s="466"/>
      <c r="AT2750" s="466"/>
      <c r="AU2750" s="466"/>
      <c r="AV2750" s="466"/>
      <c r="AW2750" s="466"/>
      <c r="AX2750" s="466"/>
      <c r="AY2750" s="466"/>
      <c r="AZ2750" s="466"/>
      <c r="BA2750" s="466"/>
      <c r="BB2750" s="466"/>
      <c r="BC2750" s="466"/>
      <c r="BD2750" s="466"/>
      <c r="BE2750" s="467"/>
      <c r="BF2750" s="467"/>
      <c r="BG2750" s="466"/>
      <c r="BH2750" s="466"/>
      <c r="BI2750" s="467"/>
      <c r="BJ2750" s="467"/>
      <c r="BK2750" s="467"/>
      <c r="BL2750" s="467"/>
      <c r="BM2750" s="467"/>
      <c r="BN2750" s="467"/>
      <c r="BO2750" s="467"/>
      <c r="BP2750" s="467"/>
      <c r="BQ2750" s="467"/>
      <c r="BR2750" s="467"/>
      <c r="BS2750" s="467"/>
      <c r="BT2750" s="467"/>
      <c r="BU2750" s="467"/>
      <c r="BV2750" s="467"/>
      <c r="BW2750" s="467"/>
      <c r="BX2750" s="769"/>
      <c r="BY2750" s="769"/>
      <c r="BZ2750" s="769"/>
      <c r="CA2750" s="769"/>
      <c r="CB2750" s="769"/>
      <c r="CC2750" s="769"/>
      <c r="CD2750" s="769"/>
      <c r="CE2750" s="769"/>
      <c r="CF2750" s="769"/>
      <c r="CG2750" s="73"/>
      <c r="CH2750" s="438"/>
      <c r="CI2750" s="416"/>
      <c r="CJ2750" s="73"/>
      <c r="CK2750" s="650"/>
      <c r="CL2750" s="499"/>
      <c r="CM2750" s="650"/>
      <c r="CR2750" s="416"/>
      <c r="CS2750" s="650"/>
      <c r="CU2750" s="73"/>
      <c r="CV2750" s="73"/>
      <c r="CW2750" s="73"/>
      <c r="CX2750" s="73"/>
      <c r="DA2750" s="650"/>
    </row>
    <row r="2751" spans="1:105" s="45" customFormat="1" x14ac:dyDescent="0.2">
      <c r="A2751" s="650"/>
      <c r="B2751" s="438"/>
      <c r="D2751" s="73"/>
      <c r="E2751" s="650"/>
      <c r="F2751" s="650"/>
      <c r="G2751" s="73"/>
      <c r="I2751" s="111"/>
      <c r="J2751" s="81"/>
      <c r="K2751" s="81"/>
      <c r="L2751" s="499"/>
      <c r="M2751" s="73"/>
      <c r="N2751" s="499"/>
      <c r="O2751" s="73"/>
      <c r="P2751" s="73"/>
      <c r="Q2751" s="73"/>
      <c r="R2751" s="176"/>
      <c r="S2751" s="176"/>
      <c r="T2751" s="176"/>
      <c r="U2751" s="400"/>
      <c r="V2751" s="400"/>
      <c r="W2751" s="732"/>
      <c r="X2751" s="167"/>
      <c r="Y2751" s="509"/>
      <c r="Z2751" s="466"/>
      <c r="AA2751" s="466"/>
      <c r="AB2751" s="466"/>
      <c r="AC2751" s="466"/>
      <c r="AD2751" s="466"/>
      <c r="AE2751" s="466"/>
      <c r="AF2751" s="466"/>
      <c r="AG2751" s="466"/>
      <c r="AH2751" s="466"/>
      <c r="AI2751" s="466"/>
      <c r="AJ2751" s="466"/>
      <c r="AK2751" s="466"/>
      <c r="AL2751" s="466"/>
      <c r="AM2751" s="466"/>
      <c r="AN2751" s="466"/>
      <c r="AO2751" s="466"/>
      <c r="AP2751" s="466"/>
      <c r="AQ2751" s="466"/>
      <c r="AR2751" s="466"/>
      <c r="AS2751" s="466"/>
      <c r="AT2751" s="466"/>
      <c r="AU2751" s="466"/>
      <c r="AV2751" s="466"/>
      <c r="AW2751" s="466"/>
      <c r="AX2751" s="466"/>
      <c r="AY2751" s="466"/>
      <c r="AZ2751" s="466"/>
      <c r="BA2751" s="466"/>
      <c r="BB2751" s="466"/>
      <c r="BC2751" s="466"/>
      <c r="BD2751" s="466"/>
      <c r="BE2751" s="467"/>
      <c r="BF2751" s="467"/>
      <c r="BG2751" s="466"/>
      <c r="BH2751" s="466"/>
      <c r="BI2751" s="467"/>
      <c r="BJ2751" s="467"/>
      <c r="BK2751" s="467"/>
      <c r="BL2751" s="467"/>
      <c r="BM2751" s="467"/>
      <c r="BN2751" s="467"/>
      <c r="BO2751" s="467"/>
      <c r="BP2751" s="467"/>
      <c r="BQ2751" s="467"/>
      <c r="BR2751" s="467"/>
      <c r="BS2751" s="467"/>
      <c r="BT2751" s="467"/>
      <c r="BU2751" s="467"/>
      <c r="BV2751" s="467"/>
      <c r="BW2751" s="467"/>
      <c r="BX2751" s="769"/>
      <c r="BY2751" s="769"/>
      <c r="BZ2751" s="769"/>
      <c r="CA2751" s="769"/>
      <c r="CB2751" s="769"/>
      <c r="CC2751" s="769"/>
      <c r="CD2751" s="769"/>
      <c r="CE2751" s="769"/>
      <c r="CF2751" s="769"/>
      <c r="CG2751" s="73"/>
      <c r="CH2751" s="438"/>
      <c r="CI2751" s="416"/>
      <c r="CJ2751" s="73"/>
      <c r="CK2751" s="650"/>
      <c r="CL2751" s="499"/>
      <c r="CM2751" s="650"/>
      <c r="CR2751" s="416"/>
      <c r="CS2751" s="650"/>
      <c r="CU2751" s="73"/>
      <c r="CV2751" s="73"/>
      <c r="CW2751" s="73"/>
      <c r="CX2751" s="73"/>
      <c r="DA2751" s="650"/>
    </row>
    <row r="2752" spans="1:105" s="45" customFormat="1" x14ac:dyDescent="0.2">
      <c r="A2752" s="650"/>
      <c r="B2752" s="438"/>
      <c r="D2752" s="73"/>
      <c r="E2752" s="650"/>
      <c r="F2752" s="650"/>
      <c r="G2752" s="73"/>
      <c r="I2752" s="111"/>
      <c r="J2752" s="81"/>
      <c r="K2752" s="81"/>
      <c r="L2752" s="499"/>
      <c r="M2752" s="73"/>
      <c r="N2752" s="499"/>
      <c r="O2752" s="73"/>
      <c r="P2752" s="73"/>
      <c r="Q2752" s="73"/>
      <c r="R2752" s="176"/>
      <c r="S2752" s="176"/>
      <c r="T2752" s="176"/>
      <c r="U2752" s="400"/>
      <c r="V2752" s="400"/>
      <c r="W2752" s="732"/>
      <c r="X2752" s="167"/>
      <c r="Y2752" s="509"/>
      <c r="Z2752" s="466"/>
      <c r="AA2752" s="466"/>
      <c r="AB2752" s="466"/>
      <c r="AC2752" s="466"/>
      <c r="AD2752" s="466"/>
      <c r="AE2752" s="466"/>
      <c r="AF2752" s="466"/>
      <c r="AG2752" s="466"/>
      <c r="AH2752" s="466"/>
      <c r="AI2752" s="466"/>
      <c r="AJ2752" s="466"/>
      <c r="AK2752" s="466"/>
      <c r="AL2752" s="466"/>
      <c r="AM2752" s="466"/>
      <c r="AN2752" s="466"/>
      <c r="AO2752" s="466"/>
      <c r="AP2752" s="466"/>
      <c r="AQ2752" s="466"/>
      <c r="AR2752" s="466"/>
      <c r="AS2752" s="466"/>
      <c r="AT2752" s="466"/>
      <c r="AU2752" s="466"/>
      <c r="AV2752" s="466"/>
      <c r="AW2752" s="466"/>
      <c r="AX2752" s="466"/>
      <c r="AY2752" s="466"/>
      <c r="AZ2752" s="466"/>
      <c r="BA2752" s="466"/>
      <c r="BB2752" s="466"/>
      <c r="BC2752" s="466"/>
      <c r="BD2752" s="466"/>
      <c r="BE2752" s="467"/>
      <c r="BF2752" s="467"/>
      <c r="BG2752" s="466"/>
      <c r="BH2752" s="466"/>
      <c r="BI2752" s="467"/>
      <c r="BJ2752" s="467"/>
      <c r="BK2752" s="467"/>
      <c r="BL2752" s="467"/>
      <c r="BM2752" s="467"/>
      <c r="BN2752" s="467"/>
      <c r="BO2752" s="467"/>
      <c r="BP2752" s="467"/>
      <c r="BQ2752" s="467"/>
      <c r="BR2752" s="467"/>
      <c r="BS2752" s="467"/>
      <c r="BT2752" s="467"/>
      <c r="BU2752" s="467"/>
      <c r="BV2752" s="467"/>
      <c r="BW2752" s="467"/>
      <c r="BX2752" s="769"/>
      <c r="BY2752" s="769"/>
      <c r="BZ2752" s="769"/>
      <c r="CA2752" s="769"/>
      <c r="CB2752" s="769"/>
      <c r="CC2752" s="769"/>
      <c r="CD2752" s="769"/>
      <c r="CE2752" s="769"/>
      <c r="CF2752" s="769"/>
      <c r="CG2752" s="73"/>
      <c r="CH2752" s="438"/>
      <c r="CI2752" s="416"/>
      <c r="CJ2752" s="73"/>
      <c r="CK2752" s="650"/>
      <c r="CL2752" s="499"/>
      <c r="CM2752" s="650"/>
      <c r="CR2752" s="416"/>
      <c r="CS2752" s="650"/>
      <c r="CU2752" s="73"/>
      <c r="CV2752" s="73"/>
      <c r="CW2752" s="73"/>
      <c r="CX2752" s="73"/>
      <c r="DA2752" s="650"/>
    </row>
    <row r="2753" spans="1:105" s="45" customFormat="1" x14ac:dyDescent="0.2">
      <c r="A2753" s="650"/>
      <c r="B2753" s="438"/>
      <c r="D2753" s="73"/>
      <c r="E2753" s="650"/>
      <c r="F2753" s="650"/>
      <c r="G2753" s="73"/>
      <c r="I2753" s="111"/>
      <c r="J2753" s="81"/>
      <c r="K2753" s="81"/>
      <c r="L2753" s="499"/>
      <c r="M2753" s="73"/>
      <c r="N2753" s="499"/>
      <c r="O2753" s="73"/>
      <c r="P2753" s="73"/>
      <c r="Q2753" s="73"/>
      <c r="R2753" s="176"/>
      <c r="S2753" s="176"/>
      <c r="T2753" s="176"/>
      <c r="U2753" s="400"/>
      <c r="V2753" s="400"/>
      <c r="W2753" s="732"/>
      <c r="X2753" s="167"/>
      <c r="Y2753" s="509"/>
      <c r="Z2753" s="466"/>
      <c r="AA2753" s="466"/>
      <c r="AB2753" s="466"/>
      <c r="AC2753" s="466"/>
      <c r="AD2753" s="466"/>
      <c r="AE2753" s="466"/>
      <c r="AF2753" s="466"/>
      <c r="AG2753" s="466"/>
      <c r="AH2753" s="466"/>
      <c r="AI2753" s="466"/>
      <c r="AJ2753" s="466"/>
      <c r="AK2753" s="466"/>
      <c r="AL2753" s="466"/>
      <c r="AM2753" s="466"/>
      <c r="AN2753" s="466"/>
      <c r="AO2753" s="466"/>
      <c r="AP2753" s="466"/>
      <c r="AQ2753" s="466"/>
      <c r="AR2753" s="466"/>
      <c r="AS2753" s="466"/>
      <c r="AT2753" s="466"/>
      <c r="AU2753" s="466"/>
      <c r="AV2753" s="466"/>
      <c r="AW2753" s="466"/>
      <c r="AX2753" s="466"/>
      <c r="AY2753" s="466"/>
      <c r="AZ2753" s="466"/>
      <c r="BA2753" s="466"/>
      <c r="BB2753" s="466"/>
      <c r="BC2753" s="466"/>
      <c r="BD2753" s="466"/>
      <c r="BE2753" s="467"/>
      <c r="BF2753" s="467"/>
      <c r="BG2753" s="466"/>
      <c r="BH2753" s="466"/>
      <c r="BI2753" s="467"/>
      <c r="BJ2753" s="467"/>
      <c r="BK2753" s="467"/>
      <c r="BL2753" s="467"/>
      <c r="BM2753" s="467"/>
      <c r="BN2753" s="467"/>
      <c r="BO2753" s="467"/>
      <c r="BP2753" s="467"/>
      <c r="BQ2753" s="467"/>
      <c r="BR2753" s="467"/>
      <c r="BS2753" s="467"/>
      <c r="BT2753" s="467"/>
      <c r="BU2753" s="467"/>
      <c r="BV2753" s="467"/>
      <c r="BW2753" s="467"/>
      <c r="BX2753" s="769"/>
      <c r="BY2753" s="769"/>
      <c r="BZ2753" s="769"/>
      <c r="CA2753" s="769"/>
      <c r="CB2753" s="769"/>
      <c r="CC2753" s="769"/>
      <c r="CD2753" s="769"/>
      <c r="CE2753" s="769"/>
      <c r="CF2753" s="769"/>
      <c r="CG2753" s="73"/>
      <c r="CH2753" s="438"/>
      <c r="CI2753" s="416"/>
      <c r="CJ2753" s="73"/>
      <c r="CK2753" s="650"/>
      <c r="CL2753" s="499"/>
      <c r="CM2753" s="650"/>
      <c r="CR2753" s="416"/>
      <c r="CS2753" s="650"/>
      <c r="CU2753" s="73"/>
      <c r="CV2753" s="73"/>
      <c r="CW2753" s="73"/>
      <c r="CX2753" s="73"/>
      <c r="DA2753" s="650"/>
    </row>
    <row r="2754" spans="1:105" s="45" customFormat="1" x14ac:dyDescent="0.2">
      <c r="A2754" s="650"/>
      <c r="B2754" s="438"/>
      <c r="D2754" s="73"/>
      <c r="E2754" s="650"/>
      <c r="F2754" s="650"/>
      <c r="G2754" s="73"/>
      <c r="I2754" s="111"/>
      <c r="J2754" s="81"/>
      <c r="K2754" s="81"/>
      <c r="L2754" s="499"/>
      <c r="M2754" s="73"/>
      <c r="N2754" s="499"/>
      <c r="O2754" s="73"/>
      <c r="P2754" s="73"/>
      <c r="Q2754" s="73"/>
      <c r="R2754" s="176"/>
      <c r="S2754" s="176"/>
      <c r="T2754" s="176"/>
      <c r="U2754" s="400"/>
      <c r="V2754" s="400"/>
      <c r="W2754" s="732"/>
      <c r="X2754" s="167"/>
      <c r="Y2754" s="509"/>
      <c r="Z2754" s="466"/>
      <c r="AA2754" s="466"/>
      <c r="AB2754" s="466"/>
      <c r="AC2754" s="466"/>
      <c r="AD2754" s="466"/>
      <c r="AE2754" s="466"/>
      <c r="AF2754" s="466"/>
      <c r="AG2754" s="466"/>
      <c r="AH2754" s="466"/>
      <c r="AI2754" s="466"/>
      <c r="AJ2754" s="466"/>
      <c r="AK2754" s="466"/>
      <c r="AL2754" s="466"/>
      <c r="AM2754" s="466"/>
      <c r="AN2754" s="466"/>
      <c r="AO2754" s="466"/>
      <c r="AP2754" s="466"/>
      <c r="AQ2754" s="466"/>
      <c r="AR2754" s="466"/>
      <c r="AS2754" s="466"/>
      <c r="AT2754" s="466"/>
      <c r="AU2754" s="466"/>
      <c r="AV2754" s="466"/>
      <c r="AW2754" s="466"/>
      <c r="AX2754" s="466"/>
      <c r="AY2754" s="466"/>
      <c r="AZ2754" s="466"/>
      <c r="BA2754" s="466"/>
      <c r="BB2754" s="466"/>
      <c r="BC2754" s="466"/>
      <c r="BD2754" s="466"/>
      <c r="BE2754" s="467"/>
      <c r="BF2754" s="467"/>
      <c r="BG2754" s="466"/>
      <c r="BH2754" s="466"/>
      <c r="BI2754" s="467"/>
      <c r="BJ2754" s="467"/>
      <c r="BK2754" s="467"/>
      <c r="BL2754" s="467"/>
      <c r="BM2754" s="467"/>
      <c r="BN2754" s="467"/>
      <c r="BO2754" s="467"/>
      <c r="BP2754" s="467"/>
      <c r="BQ2754" s="467"/>
      <c r="BR2754" s="467"/>
      <c r="BS2754" s="467"/>
      <c r="BT2754" s="467"/>
      <c r="BU2754" s="467"/>
      <c r="BV2754" s="467"/>
      <c r="BW2754" s="467"/>
      <c r="BX2754" s="769"/>
      <c r="BY2754" s="769"/>
      <c r="BZ2754" s="769"/>
      <c r="CA2754" s="769"/>
      <c r="CB2754" s="769"/>
      <c r="CC2754" s="769"/>
      <c r="CD2754" s="769"/>
      <c r="CE2754" s="769"/>
      <c r="CF2754" s="769"/>
      <c r="CG2754" s="73"/>
      <c r="CH2754" s="438"/>
      <c r="CI2754" s="416"/>
      <c r="CJ2754" s="73"/>
      <c r="CK2754" s="650"/>
      <c r="CL2754" s="499"/>
      <c r="CM2754" s="650"/>
      <c r="CR2754" s="416"/>
      <c r="CS2754" s="650"/>
      <c r="CU2754" s="73"/>
      <c r="CV2754" s="73"/>
      <c r="CW2754" s="73"/>
      <c r="CX2754" s="73"/>
      <c r="DA2754" s="650"/>
    </row>
    <row r="2755" spans="1:105" s="45" customFormat="1" x14ac:dyDescent="0.2">
      <c r="A2755" s="650"/>
      <c r="B2755" s="438"/>
      <c r="D2755" s="73"/>
      <c r="E2755" s="650"/>
      <c r="F2755" s="650"/>
      <c r="G2755" s="73"/>
      <c r="I2755" s="111"/>
      <c r="J2755" s="81"/>
      <c r="K2755" s="81"/>
      <c r="L2755" s="499"/>
      <c r="M2755" s="73"/>
      <c r="N2755" s="499"/>
      <c r="O2755" s="73"/>
      <c r="P2755" s="73"/>
      <c r="Q2755" s="73"/>
      <c r="R2755" s="176"/>
      <c r="S2755" s="176"/>
      <c r="T2755" s="176"/>
      <c r="U2755" s="400"/>
      <c r="V2755" s="400"/>
      <c r="W2755" s="732"/>
      <c r="X2755" s="167"/>
      <c r="Y2755" s="509"/>
      <c r="Z2755" s="466"/>
      <c r="AA2755" s="466"/>
      <c r="AB2755" s="466"/>
      <c r="AC2755" s="466"/>
      <c r="AD2755" s="466"/>
      <c r="AE2755" s="466"/>
      <c r="AF2755" s="466"/>
      <c r="AG2755" s="466"/>
      <c r="AH2755" s="466"/>
      <c r="AI2755" s="466"/>
      <c r="AJ2755" s="466"/>
      <c r="AK2755" s="466"/>
      <c r="AL2755" s="466"/>
      <c r="AM2755" s="466"/>
      <c r="AN2755" s="466"/>
      <c r="AO2755" s="466"/>
      <c r="AP2755" s="466"/>
      <c r="AQ2755" s="466"/>
      <c r="AR2755" s="466"/>
      <c r="AS2755" s="466"/>
      <c r="AT2755" s="466"/>
      <c r="AU2755" s="466"/>
      <c r="AV2755" s="466"/>
      <c r="AW2755" s="466"/>
      <c r="AX2755" s="466"/>
      <c r="AY2755" s="466"/>
      <c r="AZ2755" s="466"/>
      <c r="BA2755" s="466"/>
      <c r="BB2755" s="466"/>
      <c r="BC2755" s="466"/>
      <c r="BD2755" s="466"/>
      <c r="BE2755" s="467"/>
      <c r="BF2755" s="467"/>
      <c r="BG2755" s="466"/>
      <c r="BH2755" s="466"/>
      <c r="BI2755" s="467"/>
      <c r="BJ2755" s="467"/>
      <c r="BK2755" s="467"/>
      <c r="BL2755" s="467"/>
      <c r="BM2755" s="467"/>
      <c r="BN2755" s="467"/>
      <c r="BO2755" s="467"/>
      <c r="BP2755" s="467"/>
      <c r="BQ2755" s="467"/>
      <c r="BR2755" s="467"/>
      <c r="BS2755" s="467"/>
      <c r="BT2755" s="467"/>
      <c r="BU2755" s="467"/>
      <c r="BV2755" s="467"/>
      <c r="BW2755" s="467"/>
      <c r="BX2755" s="769"/>
      <c r="BY2755" s="769"/>
      <c r="BZ2755" s="769"/>
      <c r="CA2755" s="769"/>
      <c r="CB2755" s="769"/>
      <c r="CC2755" s="769"/>
      <c r="CD2755" s="769"/>
      <c r="CE2755" s="769"/>
      <c r="CF2755" s="769"/>
      <c r="CG2755" s="73"/>
      <c r="CH2755" s="438"/>
      <c r="CI2755" s="416"/>
      <c r="CJ2755" s="73"/>
      <c r="CK2755" s="650"/>
      <c r="CL2755" s="499"/>
      <c r="CM2755" s="650"/>
      <c r="CR2755" s="416"/>
      <c r="CS2755" s="650"/>
      <c r="CU2755" s="73"/>
      <c r="CV2755" s="73"/>
      <c r="CW2755" s="73"/>
      <c r="CX2755" s="73"/>
      <c r="DA2755" s="650"/>
    </row>
    <row r="2756" spans="1:105" s="45" customFormat="1" x14ac:dyDescent="0.2">
      <c r="A2756" s="650"/>
      <c r="B2756" s="438"/>
      <c r="D2756" s="73"/>
      <c r="E2756" s="650"/>
      <c r="F2756" s="650"/>
      <c r="G2756" s="73"/>
      <c r="I2756" s="111"/>
      <c r="J2756" s="81"/>
      <c r="K2756" s="81"/>
      <c r="L2756" s="499"/>
      <c r="M2756" s="73"/>
      <c r="N2756" s="499"/>
      <c r="O2756" s="73"/>
      <c r="P2756" s="73"/>
      <c r="Q2756" s="73"/>
      <c r="R2756" s="176"/>
      <c r="S2756" s="176"/>
      <c r="T2756" s="176"/>
      <c r="U2756" s="400"/>
      <c r="V2756" s="400"/>
      <c r="W2756" s="732"/>
      <c r="X2756" s="167"/>
      <c r="Y2756" s="509"/>
      <c r="Z2756" s="466"/>
      <c r="AA2756" s="466"/>
      <c r="AB2756" s="466"/>
      <c r="AC2756" s="466"/>
      <c r="AD2756" s="466"/>
      <c r="AE2756" s="466"/>
      <c r="AF2756" s="466"/>
      <c r="AG2756" s="466"/>
      <c r="AH2756" s="466"/>
      <c r="AI2756" s="466"/>
      <c r="AJ2756" s="466"/>
      <c r="AK2756" s="466"/>
      <c r="AL2756" s="466"/>
      <c r="AM2756" s="466"/>
      <c r="AN2756" s="466"/>
      <c r="AO2756" s="466"/>
      <c r="AP2756" s="466"/>
      <c r="AQ2756" s="466"/>
      <c r="AR2756" s="466"/>
      <c r="AS2756" s="466"/>
      <c r="AT2756" s="466"/>
      <c r="AU2756" s="466"/>
      <c r="AV2756" s="466"/>
      <c r="AW2756" s="466"/>
      <c r="AX2756" s="466"/>
      <c r="AY2756" s="466"/>
      <c r="AZ2756" s="466"/>
      <c r="BA2756" s="466"/>
      <c r="BB2756" s="466"/>
      <c r="BC2756" s="466"/>
      <c r="BD2756" s="466"/>
      <c r="BE2756" s="467"/>
      <c r="BF2756" s="467"/>
      <c r="BG2756" s="466"/>
      <c r="BH2756" s="466"/>
      <c r="BI2756" s="467"/>
      <c r="BJ2756" s="467"/>
      <c r="BK2756" s="467"/>
      <c r="BL2756" s="467"/>
      <c r="BM2756" s="467"/>
      <c r="BN2756" s="467"/>
      <c r="BO2756" s="467"/>
      <c r="BP2756" s="467"/>
      <c r="BQ2756" s="467"/>
      <c r="BR2756" s="467"/>
      <c r="BS2756" s="467"/>
      <c r="BT2756" s="467"/>
      <c r="BU2756" s="467"/>
      <c r="BV2756" s="467"/>
      <c r="BW2756" s="467"/>
      <c r="BX2756" s="769"/>
      <c r="BY2756" s="769"/>
      <c r="BZ2756" s="769"/>
      <c r="CA2756" s="769"/>
      <c r="CB2756" s="769"/>
      <c r="CC2756" s="769"/>
      <c r="CD2756" s="769"/>
      <c r="CE2756" s="769"/>
      <c r="CF2756" s="769"/>
      <c r="CG2756" s="73"/>
      <c r="CH2756" s="438"/>
      <c r="CI2756" s="416"/>
      <c r="CJ2756" s="73"/>
      <c r="CK2756" s="650"/>
      <c r="CL2756" s="499"/>
      <c r="CM2756" s="650"/>
      <c r="CR2756" s="416"/>
      <c r="CS2756" s="650"/>
      <c r="CU2756" s="73"/>
      <c r="CV2756" s="73"/>
      <c r="CW2756" s="73"/>
      <c r="CX2756" s="73"/>
      <c r="DA2756" s="650"/>
    </row>
    <row r="2757" spans="1:105" s="45" customFormat="1" x14ac:dyDescent="0.2">
      <c r="A2757" s="650"/>
      <c r="B2757" s="438"/>
      <c r="D2757" s="73"/>
      <c r="E2757" s="650"/>
      <c r="F2757" s="650"/>
      <c r="G2757" s="73"/>
      <c r="I2757" s="111"/>
      <c r="J2757" s="81"/>
      <c r="K2757" s="81"/>
      <c r="L2757" s="499"/>
      <c r="M2757" s="73"/>
      <c r="N2757" s="499"/>
      <c r="O2757" s="73"/>
      <c r="P2757" s="73"/>
      <c r="Q2757" s="73"/>
      <c r="R2757" s="176"/>
      <c r="S2757" s="176"/>
      <c r="T2757" s="176"/>
      <c r="U2757" s="400"/>
      <c r="V2757" s="400"/>
      <c r="W2757" s="732"/>
      <c r="X2757" s="167"/>
      <c r="Y2757" s="509"/>
      <c r="Z2757" s="466"/>
      <c r="AA2757" s="466"/>
      <c r="AB2757" s="466"/>
      <c r="AC2757" s="466"/>
      <c r="AD2757" s="466"/>
      <c r="AE2757" s="466"/>
      <c r="AF2757" s="466"/>
      <c r="AG2757" s="466"/>
      <c r="AH2757" s="466"/>
      <c r="AI2757" s="466"/>
      <c r="AJ2757" s="466"/>
      <c r="AK2757" s="466"/>
      <c r="AL2757" s="466"/>
      <c r="AM2757" s="466"/>
      <c r="AN2757" s="466"/>
      <c r="AO2757" s="466"/>
      <c r="AP2757" s="466"/>
      <c r="AQ2757" s="466"/>
      <c r="AR2757" s="466"/>
      <c r="AS2757" s="466"/>
      <c r="AT2757" s="466"/>
      <c r="AU2757" s="466"/>
      <c r="AV2757" s="466"/>
      <c r="AW2757" s="466"/>
      <c r="AX2757" s="466"/>
      <c r="AY2757" s="466"/>
      <c r="AZ2757" s="466"/>
      <c r="BA2757" s="466"/>
      <c r="BB2757" s="466"/>
      <c r="BC2757" s="466"/>
      <c r="BD2757" s="466"/>
      <c r="BE2757" s="467"/>
      <c r="BF2757" s="467"/>
      <c r="BG2757" s="466"/>
      <c r="BH2757" s="466"/>
      <c r="BI2757" s="467"/>
      <c r="BJ2757" s="467"/>
      <c r="BK2757" s="467"/>
      <c r="BL2757" s="467"/>
      <c r="BM2757" s="467"/>
      <c r="BN2757" s="467"/>
      <c r="BO2757" s="467"/>
      <c r="BP2757" s="467"/>
      <c r="BQ2757" s="467"/>
      <c r="BR2757" s="467"/>
      <c r="BS2757" s="467"/>
      <c r="BT2757" s="467"/>
      <c r="BU2757" s="467"/>
      <c r="BV2757" s="467"/>
      <c r="BW2757" s="467"/>
      <c r="BX2757" s="769"/>
      <c r="BY2757" s="769"/>
      <c r="BZ2757" s="769"/>
      <c r="CA2757" s="769"/>
      <c r="CB2757" s="769"/>
      <c r="CC2757" s="769"/>
      <c r="CD2757" s="769"/>
      <c r="CE2757" s="769"/>
      <c r="CF2757" s="769"/>
      <c r="CG2757" s="73"/>
      <c r="CH2757" s="438"/>
      <c r="CI2757" s="416"/>
      <c r="CJ2757" s="73"/>
      <c r="CK2757" s="650"/>
      <c r="CL2757" s="499"/>
      <c r="CM2757" s="650"/>
      <c r="CR2757" s="416"/>
      <c r="CS2757" s="650"/>
      <c r="CU2757" s="73"/>
      <c r="CV2757" s="73"/>
      <c r="CW2757" s="73"/>
      <c r="CX2757" s="73"/>
      <c r="DA2757" s="650"/>
    </row>
    <row r="2758" spans="1:105" s="45" customFormat="1" x14ac:dyDescent="0.2">
      <c r="A2758" s="650"/>
      <c r="B2758" s="438"/>
      <c r="D2758" s="73"/>
      <c r="E2758" s="650"/>
      <c r="F2758" s="650"/>
      <c r="G2758" s="73"/>
      <c r="I2758" s="111"/>
      <c r="J2758" s="81"/>
      <c r="K2758" s="81"/>
      <c r="L2758" s="499"/>
      <c r="M2758" s="73"/>
      <c r="N2758" s="499"/>
      <c r="O2758" s="73"/>
      <c r="P2758" s="73"/>
      <c r="Q2758" s="73"/>
      <c r="R2758" s="176"/>
      <c r="S2758" s="176"/>
      <c r="T2758" s="176"/>
      <c r="U2758" s="400"/>
      <c r="V2758" s="400"/>
      <c r="W2758" s="732"/>
      <c r="X2758" s="167"/>
      <c r="Y2758" s="509"/>
      <c r="Z2758" s="466"/>
      <c r="AA2758" s="466"/>
      <c r="AB2758" s="466"/>
      <c r="AC2758" s="466"/>
      <c r="AD2758" s="466"/>
      <c r="AE2758" s="466"/>
      <c r="AF2758" s="466"/>
      <c r="AG2758" s="466"/>
      <c r="AH2758" s="466"/>
      <c r="AI2758" s="466"/>
      <c r="AJ2758" s="466"/>
      <c r="AK2758" s="466"/>
      <c r="AL2758" s="466"/>
      <c r="AM2758" s="466"/>
      <c r="AN2758" s="466"/>
      <c r="AO2758" s="466"/>
      <c r="AP2758" s="466"/>
      <c r="AQ2758" s="466"/>
      <c r="AR2758" s="466"/>
      <c r="AS2758" s="466"/>
      <c r="AT2758" s="466"/>
      <c r="AU2758" s="466"/>
      <c r="AV2758" s="466"/>
      <c r="AW2758" s="466"/>
      <c r="AX2758" s="466"/>
      <c r="AY2758" s="466"/>
      <c r="AZ2758" s="466"/>
      <c r="BA2758" s="466"/>
      <c r="BB2758" s="466"/>
      <c r="BC2758" s="466"/>
      <c r="BD2758" s="466"/>
      <c r="BE2758" s="467"/>
      <c r="BF2758" s="467"/>
      <c r="BG2758" s="466"/>
      <c r="BH2758" s="466"/>
      <c r="BI2758" s="467"/>
      <c r="BJ2758" s="467"/>
      <c r="BK2758" s="467"/>
      <c r="BL2758" s="467"/>
      <c r="BM2758" s="467"/>
      <c r="BN2758" s="467"/>
      <c r="BO2758" s="467"/>
      <c r="BP2758" s="467"/>
      <c r="BQ2758" s="467"/>
      <c r="BR2758" s="467"/>
      <c r="BS2758" s="467"/>
      <c r="BT2758" s="467"/>
      <c r="BU2758" s="467"/>
      <c r="BV2758" s="467"/>
      <c r="BW2758" s="467"/>
      <c r="BX2758" s="769"/>
      <c r="BY2758" s="769"/>
      <c r="BZ2758" s="769"/>
      <c r="CA2758" s="769"/>
      <c r="CB2758" s="769"/>
      <c r="CC2758" s="769"/>
      <c r="CD2758" s="769"/>
      <c r="CE2758" s="769"/>
      <c r="CF2758" s="769"/>
      <c r="CG2758" s="73"/>
      <c r="CH2758" s="438"/>
      <c r="CI2758" s="416"/>
      <c r="CJ2758" s="73"/>
      <c r="CK2758" s="650"/>
      <c r="CL2758" s="499"/>
      <c r="CM2758" s="650"/>
      <c r="CR2758" s="416"/>
      <c r="CS2758" s="650"/>
      <c r="CU2758" s="73"/>
      <c r="CV2758" s="73"/>
      <c r="CW2758" s="73"/>
      <c r="CX2758" s="73"/>
      <c r="DA2758" s="650"/>
    </row>
    <row r="2759" spans="1:105" s="45" customFormat="1" x14ac:dyDescent="0.2">
      <c r="A2759" s="650"/>
      <c r="B2759" s="438"/>
      <c r="D2759" s="73"/>
      <c r="E2759" s="650"/>
      <c r="F2759" s="650"/>
      <c r="G2759" s="73"/>
      <c r="I2759" s="111"/>
      <c r="J2759" s="81"/>
      <c r="K2759" s="81"/>
      <c r="L2759" s="499"/>
      <c r="M2759" s="73"/>
      <c r="N2759" s="499"/>
      <c r="O2759" s="73"/>
      <c r="P2759" s="73"/>
      <c r="Q2759" s="73"/>
      <c r="R2759" s="176"/>
      <c r="S2759" s="176"/>
      <c r="T2759" s="176"/>
      <c r="U2759" s="400"/>
      <c r="V2759" s="400"/>
      <c r="W2759" s="732"/>
      <c r="X2759" s="167"/>
      <c r="Y2759" s="509"/>
      <c r="Z2759" s="466"/>
      <c r="AA2759" s="466"/>
      <c r="AB2759" s="466"/>
      <c r="AC2759" s="466"/>
      <c r="AD2759" s="466"/>
      <c r="AE2759" s="466"/>
      <c r="AF2759" s="466"/>
      <c r="AG2759" s="466"/>
      <c r="AH2759" s="466"/>
      <c r="AI2759" s="466"/>
      <c r="AJ2759" s="466"/>
      <c r="AK2759" s="466"/>
      <c r="AL2759" s="466"/>
      <c r="AM2759" s="466"/>
      <c r="AN2759" s="466"/>
      <c r="AO2759" s="466"/>
      <c r="AP2759" s="466"/>
      <c r="AQ2759" s="466"/>
      <c r="AR2759" s="466"/>
      <c r="AS2759" s="466"/>
      <c r="AT2759" s="466"/>
      <c r="AU2759" s="466"/>
      <c r="AV2759" s="466"/>
      <c r="AW2759" s="466"/>
      <c r="AX2759" s="466"/>
      <c r="AY2759" s="466"/>
      <c r="AZ2759" s="466"/>
      <c r="BA2759" s="466"/>
      <c r="BB2759" s="466"/>
      <c r="BC2759" s="466"/>
      <c r="BD2759" s="466"/>
      <c r="BE2759" s="467"/>
      <c r="BF2759" s="467"/>
      <c r="BG2759" s="466"/>
      <c r="BH2759" s="466"/>
      <c r="BI2759" s="467"/>
      <c r="BJ2759" s="467"/>
      <c r="BK2759" s="467"/>
      <c r="BL2759" s="467"/>
      <c r="BM2759" s="467"/>
      <c r="BN2759" s="467"/>
      <c r="BO2759" s="467"/>
      <c r="BP2759" s="467"/>
      <c r="BQ2759" s="467"/>
      <c r="BR2759" s="467"/>
      <c r="BS2759" s="467"/>
      <c r="BT2759" s="467"/>
      <c r="BU2759" s="467"/>
      <c r="BV2759" s="467"/>
      <c r="BW2759" s="467"/>
      <c r="BX2759" s="769"/>
      <c r="BY2759" s="769"/>
      <c r="BZ2759" s="769"/>
      <c r="CA2759" s="769"/>
      <c r="CB2759" s="769"/>
      <c r="CC2759" s="769"/>
      <c r="CD2759" s="769"/>
      <c r="CE2759" s="769"/>
      <c r="CF2759" s="769"/>
      <c r="CG2759" s="73"/>
      <c r="CH2759" s="438"/>
      <c r="CI2759" s="416"/>
      <c r="CJ2759" s="73"/>
      <c r="CK2759" s="650"/>
      <c r="CL2759" s="499"/>
      <c r="CM2759" s="650"/>
      <c r="CR2759" s="416"/>
      <c r="CS2759" s="650"/>
      <c r="CU2759" s="73"/>
      <c r="CV2759" s="73"/>
      <c r="CW2759" s="73"/>
      <c r="CX2759" s="73"/>
      <c r="DA2759" s="650"/>
    </row>
    <row r="2760" spans="1:105" s="45" customFormat="1" x14ac:dyDescent="0.2">
      <c r="A2760" s="650"/>
      <c r="B2760" s="438"/>
      <c r="D2760" s="73"/>
      <c r="E2760" s="650"/>
      <c r="F2760" s="650"/>
      <c r="G2760" s="73"/>
      <c r="I2760" s="111"/>
      <c r="J2760" s="81"/>
      <c r="K2760" s="81"/>
      <c r="L2760" s="499"/>
      <c r="M2760" s="73"/>
      <c r="N2760" s="499"/>
      <c r="O2760" s="73"/>
      <c r="P2760" s="73"/>
      <c r="Q2760" s="73"/>
      <c r="R2760" s="176"/>
      <c r="S2760" s="176"/>
      <c r="T2760" s="176"/>
      <c r="U2760" s="400"/>
      <c r="V2760" s="400"/>
      <c r="W2760" s="732"/>
      <c r="X2760" s="167"/>
      <c r="Y2760" s="509"/>
      <c r="Z2760" s="466"/>
      <c r="AA2760" s="466"/>
      <c r="AB2760" s="466"/>
      <c r="AC2760" s="466"/>
      <c r="AD2760" s="466"/>
      <c r="AE2760" s="466"/>
      <c r="AF2760" s="466"/>
      <c r="AG2760" s="466"/>
      <c r="AH2760" s="466"/>
      <c r="AI2760" s="466"/>
      <c r="AJ2760" s="466"/>
      <c r="AK2760" s="466"/>
      <c r="AL2760" s="466"/>
      <c r="AM2760" s="466"/>
      <c r="AN2760" s="466"/>
      <c r="AO2760" s="466"/>
      <c r="AP2760" s="466"/>
      <c r="AQ2760" s="466"/>
      <c r="AR2760" s="466"/>
      <c r="AS2760" s="466"/>
      <c r="AT2760" s="466"/>
      <c r="AU2760" s="466"/>
      <c r="AV2760" s="466"/>
      <c r="AW2760" s="466"/>
      <c r="AX2760" s="466"/>
      <c r="AY2760" s="466"/>
      <c r="AZ2760" s="466"/>
      <c r="BA2760" s="466"/>
      <c r="BB2760" s="466"/>
      <c r="BC2760" s="466"/>
      <c r="BD2760" s="466"/>
      <c r="BE2760" s="467"/>
      <c r="BF2760" s="467"/>
      <c r="BG2760" s="466"/>
      <c r="BH2760" s="466"/>
      <c r="BI2760" s="467"/>
      <c r="BJ2760" s="467"/>
      <c r="BK2760" s="467"/>
      <c r="BL2760" s="467"/>
      <c r="BM2760" s="467"/>
      <c r="BN2760" s="467"/>
      <c r="BO2760" s="467"/>
      <c r="BP2760" s="467"/>
      <c r="BQ2760" s="467"/>
      <c r="BR2760" s="467"/>
      <c r="BS2760" s="467"/>
      <c r="BT2760" s="467"/>
      <c r="BU2760" s="467"/>
      <c r="BV2760" s="467"/>
      <c r="BW2760" s="467"/>
      <c r="BX2760" s="769"/>
      <c r="BY2760" s="769"/>
      <c r="BZ2760" s="769"/>
      <c r="CA2760" s="769"/>
      <c r="CB2760" s="769"/>
      <c r="CC2760" s="769"/>
      <c r="CD2760" s="769"/>
      <c r="CE2760" s="769"/>
      <c r="CF2760" s="769"/>
      <c r="CG2760" s="73"/>
      <c r="CH2760" s="438"/>
      <c r="CI2760" s="416"/>
      <c r="CJ2760" s="73"/>
      <c r="CK2760" s="650"/>
      <c r="CL2760" s="499"/>
      <c r="CM2760" s="650"/>
      <c r="CR2760" s="416"/>
      <c r="CS2760" s="650"/>
      <c r="CU2760" s="73"/>
      <c r="CV2760" s="73"/>
      <c r="CW2760" s="73"/>
      <c r="CX2760" s="73"/>
      <c r="DA2760" s="650"/>
    </row>
    <row r="2761" spans="1:105" s="45" customFormat="1" x14ac:dyDescent="0.2">
      <c r="A2761" s="650"/>
      <c r="B2761" s="438"/>
      <c r="D2761" s="73"/>
      <c r="E2761" s="650"/>
      <c r="F2761" s="650"/>
      <c r="G2761" s="73"/>
      <c r="I2761" s="111"/>
      <c r="J2761" s="81"/>
      <c r="K2761" s="81"/>
      <c r="L2761" s="499"/>
      <c r="M2761" s="73"/>
      <c r="N2761" s="499"/>
      <c r="O2761" s="73"/>
      <c r="P2761" s="73"/>
      <c r="Q2761" s="73"/>
      <c r="R2761" s="176"/>
      <c r="S2761" s="176"/>
      <c r="T2761" s="176"/>
      <c r="U2761" s="400"/>
      <c r="V2761" s="400"/>
      <c r="W2761" s="732"/>
      <c r="X2761" s="167"/>
      <c r="Y2761" s="509"/>
      <c r="Z2761" s="466"/>
      <c r="AA2761" s="466"/>
      <c r="AB2761" s="466"/>
      <c r="AC2761" s="466"/>
      <c r="AD2761" s="466"/>
      <c r="AE2761" s="466"/>
      <c r="AF2761" s="466"/>
      <c r="AG2761" s="466"/>
      <c r="AH2761" s="466"/>
      <c r="AI2761" s="466"/>
      <c r="AJ2761" s="466"/>
      <c r="AK2761" s="466"/>
      <c r="AL2761" s="466"/>
      <c r="AM2761" s="466"/>
      <c r="AN2761" s="466"/>
      <c r="AO2761" s="466"/>
      <c r="AP2761" s="466"/>
      <c r="AQ2761" s="466"/>
      <c r="AR2761" s="466"/>
      <c r="AS2761" s="466"/>
      <c r="AT2761" s="466"/>
      <c r="AU2761" s="466"/>
      <c r="AV2761" s="466"/>
      <c r="AW2761" s="466"/>
      <c r="AX2761" s="466"/>
      <c r="AY2761" s="466"/>
      <c r="AZ2761" s="466"/>
      <c r="BA2761" s="466"/>
      <c r="BB2761" s="466"/>
      <c r="BC2761" s="466"/>
      <c r="BD2761" s="466"/>
      <c r="BE2761" s="467"/>
      <c r="BF2761" s="467"/>
      <c r="BG2761" s="466"/>
      <c r="BH2761" s="466"/>
      <c r="BI2761" s="467"/>
      <c r="BJ2761" s="467"/>
      <c r="BK2761" s="467"/>
      <c r="BL2761" s="467"/>
      <c r="BM2761" s="467"/>
      <c r="BN2761" s="467"/>
      <c r="BO2761" s="467"/>
      <c r="BP2761" s="467"/>
      <c r="BQ2761" s="467"/>
      <c r="BR2761" s="467"/>
      <c r="BS2761" s="467"/>
      <c r="BT2761" s="467"/>
      <c r="BU2761" s="467"/>
      <c r="BV2761" s="467"/>
      <c r="BW2761" s="467"/>
      <c r="BX2761" s="769"/>
      <c r="BY2761" s="769"/>
      <c r="BZ2761" s="769"/>
      <c r="CA2761" s="769"/>
      <c r="CB2761" s="769"/>
      <c r="CC2761" s="769"/>
      <c r="CD2761" s="769"/>
      <c r="CE2761" s="769"/>
      <c r="CF2761" s="769"/>
      <c r="CG2761" s="73"/>
      <c r="CH2761" s="438"/>
      <c r="CI2761" s="416"/>
      <c r="CJ2761" s="73"/>
      <c r="CK2761" s="650"/>
      <c r="CL2761" s="499"/>
      <c r="CM2761" s="650"/>
      <c r="CR2761" s="416"/>
      <c r="CS2761" s="650"/>
      <c r="CU2761" s="73"/>
      <c r="CV2761" s="73"/>
      <c r="CW2761" s="73"/>
      <c r="CX2761" s="73"/>
      <c r="DA2761" s="650"/>
    </row>
    <row r="2762" spans="1:105" s="45" customFormat="1" x14ac:dyDescent="0.2">
      <c r="A2762" s="650"/>
      <c r="B2762" s="438"/>
      <c r="D2762" s="73"/>
      <c r="E2762" s="650"/>
      <c r="F2762" s="650"/>
      <c r="G2762" s="73"/>
      <c r="I2762" s="111"/>
      <c r="J2762" s="81"/>
      <c r="K2762" s="81"/>
      <c r="L2762" s="499"/>
      <c r="M2762" s="73"/>
      <c r="N2762" s="499"/>
      <c r="O2762" s="73"/>
      <c r="P2762" s="73"/>
      <c r="Q2762" s="73"/>
      <c r="R2762" s="176"/>
      <c r="S2762" s="176"/>
      <c r="T2762" s="176"/>
      <c r="U2762" s="400"/>
      <c r="V2762" s="400"/>
      <c r="W2762" s="732"/>
      <c r="X2762" s="167"/>
      <c r="Y2762" s="509"/>
      <c r="Z2762" s="466"/>
      <c r="AA2762" s="466"/>
      <c r="AB2762" s="466"/>
      <c r="AC2762" s="466"/>
      <c r="AD2762" s="466"/>
      <c r="AE2762" s="466"/>
      <c r="AF2762" s="466"/>
      <c r="AG2762" s="466"/>
      <c r="AH2762" s="466"/>
      <c r="AI2762" s="466"/>
      <c r="AJ2762" s="466"/>
      <c r="AK2762" s="466"/>
      <c r="AL2762" s="466"/>
      <c r="AM2762" s="466"/>
      <c r="AN2762" s="466"/>
      <c r="AO2762" s="466"/>
      <c r="AP2762" s="466"/>
      <c r="AQ2762" s="466"/>
      <c r="AR2762" s="466"/>
      <c r="AS2762" s="466"/>
      <c r="AT2762" s="466"/>
      <c r="AU2762" s="466"/>
      <c r="AV2762" s="466"/>
      <c r="AW2762" s="466"/>
      <c r="AX2762" s="466"/>
      <c r="AY2762" s="466"/>
      <c r="AZ2762" s="466"/>
      <c r="BA2762" s="466"/>
      <c r="BB2762" s="466"/>
      <c r="BC2762" s="466"/>
      <c r="BD2762" s="466"/>
      <c r="BE2762" s="467"/>
      <c r="BF2762" s="467"/>
      <c r="BG2762" s="466"/>
      <c r="BH2762" s="466"/>
      <c r="BI2762" s="467"/>
      <c r="BJ2762" s="467"/>
      <c r="BK2762" s="467"/>
      <c r="BL2762" s="467"/>
      <c r="BM2762" s="467"/>
      <c r="BN2762" s="467"/>
      <c r="BO2762" s="467"/>
      <c r="BP2762" s="467"/>
      <c r="BQ2762" s="467"/>
      <c r="BR2762" s="467"/>
      <c r="BS2762" s="467"/>
      <c r="BT2762" s="467"/>
      <c r="BU2762" s="467"/>
      <c r="BV2762" s="467"/>
      <c r="BW2762" s="467"/>
      <c r="BX2762" s="769"/>
      <c r="BY2762" s="769"/>
      <c r="BZ2762" s="769"/>
      <c r="CA2762" s="769"/>
      <c r="CB2762" s="769"/>
      <c r="CC2762" s="769"/>
      <c r="CD2762" s="769"/>
      <c r="CE2762" s="769"/>
      <c r="CF2762" s="769"/>
      <c r="CG2762" s="73"/>
      <c r="CH2762" s="438"/>
      <c r="CI2762" s="416"/>
      <c r="CJ2762" s="73"/>
      <c r="CK2762" s="650"/>
      <c r="CL2762" s="499"/>
      <c r="CM2762" s="650"/>
      <c r="CR2762" s="416"/>
      <c r="CS2762" s="650"/>
      <c r="CU2762" s="73"/>
      <c r="CV2762" s="73"/>
      <c r="CW2762" s="73"/>
      <c r="CX2762" s="73"/>
      <c r="DA2762" s="650"/>
    </row>
    <row r="2763" spans="1:105" s="45" customFormat="1" x14ac:dyDescent="0.2">
      <c r="A2763" s="650"/>
      <c r="B2763" s="438"/>
      <c r="D2763" s="73"/>
      <c r="E2763" s="650"/>
      <c r="F2763" s="650"/>
      <c r="G2763" s="73"/>
      <c r="I2763" s="111"/>
      <c r="J2763" s="81"/>
      <c r="K2763" s="81"/>
      <c r="L2763" s="499"/>
      <c r="M2763" s="73"/>
      <c r="N2763" s="499"/>
      <c r="O2763" s="73"/>
      <c r="P2763" s="73"/>
      <c r="Q2763" s="73"/>
      <c r="R2763" s="176"/>
      <c r="S2763" s="176"/>
      <c r="T2763" s="176"/>
      <c r="U2763" s="400"/>
      <c r="V2763" s="400"/>
      <c r="W2763" s="732"/>
      <c r="X2763" s="167"/>
      <c r="Y2763" s="509"/>
      <c r="Z2763" s="466"/>
      <c r="AA2763" s="466"/>
      <c r="AB2763" s="466"/>
      <c r="AC2763" s="466"/>
      <c r="AD2763" s="466"/>
      <c r="AE2763" s="466"/>
      <c r="AF2763" s="466"/>
      <c r="AG2763" s="466"/>
      <c r="AH2763" s="466"/>
      <c r="AI2763" s="466"/>
      <c r="AJ2763" s="466"/>
      <c r="AK2763" s="466"/>
      <c r="AL2763" s="466"/>
      <c r="AM2763" s="466"/>
      <c r="AN2763" s="466"/>
      <c r="AO2763" s="466"/>
      <c r="AP2763" s="466"/>
      <c r="AQ2763" s="466"/>
      <c r="AR2763" s="466"/>
      <c r="AS2763" s="466"/>
      <c r="AT2763" s="466"/>
      <c r="AU2763" s="466"/>
      <c r="AV2763" s="466"/>
      <c r="AW2763" s="466"/>
      <c r="AX2763" s="466"/>
      <c r="AY2763" s="466"/>
      <c r="AZ2763" s="466"/>
      <c r="BA2763" s="466"/>
      <c r="BB2763" s="466"/>
      <c r="BC2763" s="466"/>
      <c r="BD2763" s="466"/>
      <c r="BE2763" s="467"/>
      <c r="BF2763" s="467"/>
      <c r="BG2763" s="466"/>
      <c r="BH2763" s="466"/>
      <c r="BI2763" s="467"/>
      <c r="BJ2763" s="467"/>
      <c r="BK2763" s="467"/>
      <c r="BL2763" s="467"/>
      <c r="BM2763" s="467"/>
      <c r="BN2763" s="467"/>
      <c r="BO2763" s="467"/>
      <c r="BP2763" s="467"/>
      <c r="BQ2763" s="467"/>
      <c r="BR2763" s="467"/>
      <c r="BS2763" s="467"/>
      <c r="BT2763" s="467"/>
      <c r="BU2763" s="467"/>
      <c r="BV2763" s="467"/>
      <c r="BW2763" s="467"/>
      <c r="BX2763" s="769"/>
      <c r="BY2763" s="769"/>
      <c r="BZ2763" s="769"/>
      <c r="CA2763" s="769"/>
      <c r="CB2763" s="769"/>
      <c r="CC2763" s="769"/>
      <c r="CD2763" s="769"/>
      <c r="CE2763" s="769"/>
      <c r="CF2763" s="769"/>
      <c r="CG2763" s="73"/>
      <c r="CH2763" s="438"/>
      <c r="CI2763" s="416"/>
      <c r="CJ2763" s="73"/>
      <c r="CK2763" s="650"/>
      <c r="CL2763" s="499"/>
      <c r="CM2763" s="650"/>
      <c r="CR2763" s="416"/>
      <c r="CS2763" s="650"/>
      <c r="CU2763" s="73"/>
      <c r="CV2763" s="73"/>
      <c r="CW2763" s="73"/>
      <c r="CX2763" s="73"/>
      <c r="DA2763" s="650"/>
    </row>
    <row r="2764" spans="1:105" s="45" customFormat="1" x14ac:dyDescent="0.2">
      <c r="A2764" s="650"/>
      <c r="B2764" s="438"/>
      <c r="D2764" s="73"/>
      <c r="E2764" s="650"/>
      <c r="F2764" s="650"/>
      <c r="G2764" s="73"/>
      <c r="I2764" s="111"/>
      <c r="J2764" s="81"/>
      <c r="K2764" s="81"/>
      <c r="L2764" s="499"/>
      <c r="M2764" s="73"/>
      <c r="N2764" s="499"/>
      <c r="O2764" s="73"/>
      <c r="P2764" s="73"/>
      <c r="Q2764" s="73"/>
      <c r="R2764" s="176"/>
      <c r="S2764" s="176"/>
      <c r="T2764" s="176"/>
      <c r="U2764" s="400"/>
      <c r="V2764" s="400"/>
      <c r="W2764" s="732"/>
      <c r="X2764" s="167"/>
      <c r="Y2764" s="509"/>
      <c r="Z2764" s="466"/>
      <c r="AA2764" s="466"/>
      <c r="AB2764" s="466"/>
      <c r="AC2764" s="466"/>
      <c r="AD2764" s="466"/>
      <c r="AE2764" s="466"/>
      <c r="AF2764" s="466"/>
      <c r="AG2764" s="466"/>
      <c r="AH2764" s="466"/>
      <c r="AI2764" s="466"/>
      <c r="AJ2764" s="466"/>
      <c r="AK2764" s="466"/>
      <c r="AL2764" s="466"/>
      <c r="AM2764" s="466"/>
      <c r="AN2764" s="466"/>
      <c r="AO2764" s="466"/>
      <c r="AP2764" s="466"/>
      <c r="AQ2764" s="466"/>
      <c r="AR2764" s="466"/>
      <c r="AS2764" s="466"/>
      <c r="AT2764" s="466"/>
      <c r="AU2764" s="466"/>
      <c r="AV2764" s="466"/>
      <c r="AW2764" s="466"/>
      <c r="AX2764" s="466"/>
      <c r="AY2764" s="466"/>
      <c r="AZ2764" s="466"/>
      <c r="BA2764" s="466"/>
      <c r="BB2764" s="466"/>
      <c r="BC2764" s="466"/>
      <c r="BD2764" s="466"/>
      <c r="BE2764" s="467"/>
      <c r="BF2764" s="467"/>
      <c r="BG2764" s="466"/>
      <c r="BH2764" s="466"/>
      <c r="BI2764" s="467"/>
      <c r="BJ2764" s="467"/>
      <c r="BK2764" s="467"/>
      <c r="BL2764" s="467"/>
      <c r="BM2764" s="467"/>
      <c r="BN2764" s="467"/>
      <c r="BO2764" s="467"/>
      <c r="BP2764" s="467"/>
      <c r="BQ2764" s="467"/>
      <c r="BR2764" s="467"/>
      <c r="BS2764" s="467"/>
      <c r="BT2764" s="467"/>
      <c r="BU2764" s="467"/>
      <c r="BV2764" s="467"/>
      <c r="BW2764" s="467"/>
      <c r="BX2764" s="769"/>
      <c r="BY2764" s="769"/>
      <c r="BZ2764" s="769"/>
      <c r="CA2764" s="769"/>
      <c r="CB2764" s="769"/>
      <c r="CC2764" s="769"/>
      <c r="CD2764" s="769"/>
      <c r="CE2764" s="769"/>
      <c r="CF2764" s="769"/>
      <c r="CG2764" s="73"/>
      <c r="CH2764" s="438"/>
      <c r="CI2764" s="416"/>
      <c r="CJ2764" s="73"/>
      <c r="CK2764" s="650"/>
      <c r="CL2764" s="499"/>
      <c r="CM2764" s="650"/>
      <c r="CR2764" s="416"/>
      <c r="CS2764" s="650"/>
      <c r="CU2764" s="73"/>
      <c r="CV2764" s="73"/>
      <c r="CW2764" s="73"/>
      <c r="CX2764" s="73"/>
      <c r="DA2764" s="650"/>
    </row>
    <row r="2765" spans="1:105" s="45" customFormat="1" x14ac:dyDescent="0.2">
      <c r="A2765" s="650"/>
      <c r="B2765" s="438"/>
      <c r="D2765" s="73"/>
      <c r="E2765" s="650"/>
      <c r="F2765" s="650"/>
      <c r="G2765" s="73"/>
      <c r="I2765" s="111"/>
      <c r="J2765" s="81"/>
      <c r="K2765" s="81"/>
      <c r="L2765" s="499"/>
      <c r="M2765" s="73"/>
      <c r="N2765" s="499"/>
      <c r="O2765" s="73"/>
      <c r="P2765" s="73"/>
      <c r="Q2765" s="73"/>
      <c r="R2765" s="176"/>
      <c r="S2765" s="176"/>
      <c r="T2765" s="176"/>
      <c r="U2765" s="400"/>
      <c r="V2765" s="400"/>
      <c r="W2765" s="732"/>
      <c r="X2765" s="167"/>
      <c r="Y2765" s="509"/>
      <c r="Z2765" s="466"/>
      <c r="AA2765" s="466"/>
      <c r="AB2765" s="466"/>
      <c r="AC2765" s="466"/>
      <c r="AD2765" s="466"/>
      <c r="AE2765" s="466"/>
      <c r="AF2765" s="466"/>
      <c r="AG2765" s="466"/>
      <c r="AH2765" s="466"/>
      <c r="AI2765" s="466"/>
      <c r="AJ2765" s="466"/>
      <c r="AK2765" s="466"/>
      <c r="AL2765" s="466"/>
      <c r="AM2765" s="466"/>
      <c r="AN2765" s="466"/>
      <c r="AO2765" s="466"/>
      <c r="AP2765" s="466"/>
      <c r="AQ2765" s="466"/>
      <c r="AR2765" s="466"/>
      <c r="AS2765" s="466"/>
      <c r="AT2765" s="466"/>
      <c r="AU2765" s="466"/>
      <c r="AV2765" s="466"/>
      <c r="AW2765" s="466"/>
      <c r="AX2765" s="466"/>
      <c r="AY2765" s="466"/>
      <c r="AZ2765" s="466"/>
      <c r="BA2765" s="466"/>
      <c r="BB2765" s="466"/>
      <c r="BC2765" s="466"/>
      <c r="BD2765" s="466"/>
      <c r="BE2765" s="467"/>
      <c r="BF2765" s="467"/>
      <c r="BG2765" s="466"/>
      <c r="BH2765" s="466"/>
      <c r="BI2765" s="467"/>
      <c r="BJ2765" s="467"/>
      <c r="BK2765" s="467"/>
      <c r="BL2765" s="467"/>
      <c r="BM2765" s="467"/>
      <c r="BN2765" s="467"/>
      <c r="BO2765" s="467"/>
      <c r="BP2765" s="467"/>
      <c r="BQ2765" s="467"/>
      <c r="BR2765" s="467"/>
      <c r="BS2765" s="467"/>
      <c r="BT2765" s="467"/>
      <c r="BU2765" s="467"/>
      <c r="BV2765" s="467"/>
      <c r="BW2765" s="467"/>
      <c r="BX2765" s="769"/>
      <c r="BY2765" s="769"/>
      <c r="BZ2765" s="769"/>
      <c r="CA2765" s="769"/>
      <c r="CB2765" s="769"/>
      <c r="CC2765" s="769"/>
      <c r="CD2765" s="769"/>
      <c r="CE2765" s="769"/>
      <c r="CF2765" s="769"/>
      <c r="CG2765" s="73"/>
      <c r="CH2765" s="438"/>
      <c r="CI2765" s="416"/>
      <c r="CJ2765" s="73"/>
      <c r="CK2765" s="650"/>
      <c r="CL2765" s="499"/>
      <c r="CM2765" s="650"/>
      <c r="CR2765" s="416"/>
      <c r="CS2765" s="650"/>
      <c r="CU2765" s="73"/>
      <c r="CV2765" s="73"/>
      <c r="CW2765" s="73"/>
      <c r="CX2765" s="73"/>
      <c r="DA2765" s="650"/>
    </row>
    <row r="2766" spans="1:105" s="45" customFormat="1" x14ac:dyDescent="0.2">
      <c r="A2766" s="650"/>
      <c r="B2766" s="438"/>
      <c r="D2766" s="73"/>
      <c r="E2766" s="650"/>
      <c r="F2766" s="650"/>
      <c r="G2766" s="73"/>
      <c r="I2766" s="111"/>
      <c r="J2766" s="81"/>
      <c r="K2766" s="81"/>
      <c r="L2766" s="499"/>
      <c r="M2766" s="73"/>
      <c r="N2766" s="499"/>
      <c r="O2766" s="73"/>
      <c r="P2766" s="73"/>
      <c r="Q2766" s="73"/>
      <c r="R2766" s="176"/>
      <c r="S2766" s="176"/>
      <c r="T2766" s="176"/>
      <c r="U2766" s="400"/>
      <c r="V2766" s="400"/>
      <c r="W2766" s="732"/>
      <c r="X2766" s="167"/>
      <c r="Y2766" s="509"/>
      <c r="Z2766" s="466"/>
      <c r="AA2766" s="466"/>
      <c r="AB2766" s="466"/>
      <c r="AC2766" s="466"/>
      <c r="AD2766" s="466"/>
      <c r="AE2766" s="466"/>
      <c r="AF2766" s="466"/>
      <c r="AG2766" s="466"/>
      <c r="AH2766" s="466"/>
      <c r="AI2766" s="466"/>
      <c r="AJ2766" s="466"/>
      <c r="AK2766" s="466"/>
      <c r="AL2766" s="466"/>
      <c r="AM2766" s="466"/>
      <c r="AN2766" s="466"/>
      <c r="AO2766" s="466"/>
      <c r="AP2766" s="466"/>
      <c r="AQ2766" s="466"/>
      <c r="AR2766" s="466"/>
      <c r="AS2766" s="466"/>
      <c r="AT2766" s="466"/>
      <c r="AU2766" s="466"/>
      <c r="AV2766" s="466"/>
      <c r="AW2766" s="466"/>
      <c r="AX2766" s="466"/>
      <c r="AY2766" s="466"/>
      <c r="AZ2766" s="466"/>
      <c r="BA2766" s="466"/>
      <c r="BB2766" s="466"/>
      <c r="BC2766" s="466"/>
      <c r="BD2766" s="466"/>
      <c r="BE2766" s="467"/>
      <c r="BF2766" s="467"/>
      <c r="BG2766" s="466"/>
      <c r="BH2766" s="466"/>
      <c r="BI2766" s="467"/>
      <c r="BJ2766" s="467"/>
      <c r="BK2766" s="467"/>
      <c r="BL2766" s="467"/>
      <c r="BM2766" s="467"/>
      <c r="BN2766" s="467"/>
      <c r="BO2766" s="467"/>
      <c r="BP2766" s="467"/>
      <c r="BQ2766" s="467"/>
      <c r="BR2766" s="467"/>
      <c r="BS2766" s="467"/>
      <c r="BT2766" s="467"/>
      <c r="BU2766" s="467"/>
      <c r="BV2766" s="467"/>
      <c r="BW2766" s="467"/>
      <c r="BX2766" s="769"/>
      <c r="BY2766" s="769"/>
      <c r="BZ2766" s="769"/>
      <c r="CA2766" s="769"/>
      <c r="CB2766" s="769"/>
      <c r="CC2766" s="769"/>
      <c r="CD2766" s="769"/>
      <c r="CE2766" s="769"/>
      <c r="CF2766" s="769"/>
      <c r="CG2766" s="73"/>
      <c r="CH2766" s="438"/>
      <c r="CI2766" s="416"/>
      <c r="CJ2766" s="73"/>
      <c r="CK2766" s="650"/>
      <c r="CL2766" s="499"/>
      <c r="CM2766" s="650"/>
      <c r="CR2766" s="416"/>
      <c r="CS2766" s="650"/>
      <c r="CU2766" s="73"/>
      <c r="CV2766" s="73"/>
      <c r="CW2766" s="73"/>
      <c r="CX2766" s="73"/>
      <c r="DA2766" s="650"/>
    </row>
    <row r="2767" spans="1:105" s="45" customFormat="1" x14ac:dyDescent="0.2">
      <c r="A2767" s="650"/>
      <c r="B2767" s="438"/>
      <c r="D2767" s="73"/>
      <c r="E2767" s="650"/>
      <c r="F2767" s="650"/>
      <c r="G2767" s="73"/>
      <c r="I2767" s="111"/>
      <c r="J2767" s="81"/>
      <c r="K2767" s="81"/>
      <c r="L2767" s="499"/>
      <c r="M2767" s="73"/>
      <c r="N2767" s="499"/>
      <c r="O2767" s="73"/>
      <c r="P2767" s="73"/>
      <c r="Q2767" s="73"/>
      <c r="R2767" s="176"/>
      <c r="S2767" s="176"/>
      <c r="T2767" s="176"/>
      <c r="U2767" s="400"/>
      <c r="V2767" s="400"/>
      <c r="W2767" s="732"/>
      <c r="X2767" s="167"/>
      <c r="Y2767" s="509"/>
      <c r="Z2767" s="466"/>
      <c r="AA2767" s="466"/>
      <c r="AB2767" s="466"/>
      <c r="AC2767" s="466"/>
      <c r="AD2767" s="466"/>
      <c r="AE2767" s="466"/>
      <c r="AF2767" s="466"/>
      <c r="AG2767" s="466"/>
      <c r="AH2767" s="466"/>
      <c r="AI2767" s="466"/>
      <c r="AJ2767" s="466"/>
      <c r="AK2767" s="466"/>
      <c r="AL2767" s="466"/>
      <c r="AM2767" s="466"/>
      <c r="AN2767" s="466"/>
      <c r="AO2767" s="466"/>
      <c r="AP2767" s="466"/>
      <c r="AQ2767" s="466"/>
      <c r="AR2767" s="466"/>
      <c r="AS2767" s="466"/>
      <c r="AT2767" s="466"/>
      <c r="AU2767" s="466"/>
      <c r="AV2767" s="466"/>
      <c r="AW2767" s="466"/>
      <c r="AX2767" s="466"/>
      <c r="AY2767" s="466"/>
      <c r="AZ2767" s="466"/>
      <c r="BA2767" s="466"/>
      <c r="BB2767" s="466"/>
      <c r="BC2767" s="466"/>
      <c r="BD2767" s="466"/>
      <c r="BE2767" s="467"/>
      <c r="BF2767" s="467"/>
      <c r="BG2767" s="466"/>
      <c r="BH2767" s="466"/>
      <c r="BI2767" s="467"/>
      <c r="BJ2767" s="467"/>
      <c r="BK2767" s="467"/>
      <c r="BL2767" s="467"/>
      <c r="BM2767" s="467"/>
      <c r="BN2767" s="467"/>
      <c r="BO2767" s="467"/>
      <c r="BP2767" s="467"/>
      <c r="BQ2767" s="467"/>
      <c r="BR2767" s="467"/>
      <c r="BS2767" s="467"/>
      <c r="BT2767" s="467"/>
      <c r="BU2767" s="467"/>
      <c r="BV2767" s="467"/>
      <c r="BW2767" s="467"/>
      <c r="BX2767" s="769"/>
      <c r="BY2767" s="769"/>
      <c r="BZ2767" s="769"/>
      <c r="CA2767" s="769"/>
      <c r="CB2767" s="769"/>
      <c r="CC2767" s="769"/>
      <c r="CD2767" s="769"/>
      <c r="CE2767" s="769"/>
      <c r="CF2767" s="769"/>
      <c r="CG2767" s="73"/>
      <c r="CH2767" s="438"/>
      <c r="CI2767" s="416"/>
      <c r="CJ2767" s="73"/>
      <c r="CK2767" s="650"/>
      <c r="CL2767" s="499"/>
      <c r="CM2767" s="650"/>
      <c r="CR2767" s="416"/>
      <c r="CS2767" s="650"/>
      <c r="CU2767" s="73"/>
      <c r="CV2767" s="73"/>
      <c r="CW2767" s="73"/>
      <c r="CX2767" s="73"/>
      <c r="DA2767" s="650"/>
    </row>
    <row r="2768" spans="1:105" s="45" customFormat="1" x14ac:dyDescent="0.2">
      <c r="A2768" s="650"/>
      <c r="B2768" s="438"/>
      <c r="D2768" s="73"/>
      <c r="E2768" s="650"/>
      <c r="F2768" s="650"/>
      <c r="G2768" s="73"/>
      <c r="I2768" s="111"/>
      <c r="J2768" s="81"/>
      <c r="K2768" s="81"/>
      <c r="L2768" s="499"/>
      <c r="M2768" s="73"/>
      <c r="N2768" s="499"/>
      <c r="O2768" s="73"/>
      <c r="P2768" s="73"/>
      <c r="Q2768" s="73"/>
      <c r="R2768" s="176"/>
      <c r="S2768" s="176"/>
      <c r="T2768" s="176"/>
      <c r="U2768" s="400"/>
      <c r="V2768" s="400"/>
      <c r="W2768" s="732"/>
      <c r="X2768" s="167"/>
      <c r="Y2768" s="509"/>
      <c r="Z2768" s="466"/>
      <c r="AA2768" s="466"/>
      <c r="AB2768" s="466"/>
      <c r="AC2768" s="466"/>
      <c r="AD2768" s="466"/>
      <c r="AE2768" s="466"/>
      <c r="AF2768" s="466"/>
      <c r="AG2768" s="466"/>
      <c r="AH2768" s="466"/>
      <c r="AI2768" s="466"/>
      <c r="AJ2768" s="466"/>
      <c r="AK2768" s="466"/>
      <c r="AL2768" s="466"/>
      <c r="AM2768" s="466"/>
      <c r="AN2768" s="466"/>
      <c r="AO2768" s="466"/>
      <c r="AP2768" s="466"/>
      <c r="AQ2768" s="466"/>
      <c r="AR2768" s="466"/>
      <c r="AS2768" s="466"/>
      <c r="AT2768" s="466"/>
      <c r="AU2768" s="466"/>
      <c r="AV2768" s="466"/>
      <c r="AW2768" s="466"/>
      <c r="AX2768" s="466"/>
      <c r="AY2768" s="466"/>
      <c r="AZ2768" s="466"/>
      <c r="BA2768" s="466"/>
      <c r="BB2768" s="466"/>
      <c r="BC2768" s="466"/>
      <c r="BD2768" s="466"/>
      <c r="BE2768" s="467"/>
      <c r="BF2768" s="467"/>
      <c r="BG2768" s="466"/>
      <c r="BH2768" s="466"/>
      <c r="BI2768" s="467"/>
      <c r="BJ2768" s="467"/>
      <c r="BK2768" s="467"/>
      <c r="BL2768" s="467"/>
      <c r="BM2768" s="467"/>
      <c r="BN2768" s="467"/>
      <c r="BO2768" s="467"/>
      <c r="BP2768" s="467"/>
      <c r="BQ2768" s="467"/>
      <c r="BR2768" s="467"/>
      <c r="BS2768" s="467"/>
      <c r="BT2768" s="467"/>
      <c r="BU2768" s="467"/>
      <c r="BV2768" s="467"/>
      <c r="BW2768" s="467"/>
      <c r="BX2768" s="769"/>
      <c r="BY2768" s="769"/>
      <c r="BZ2768" s="769"/>
      <c r="CA2768" s="769"/>
      <c r="CB2768" s="769"/>
      <c r="CC2768" s="769"/>
      <c r="CD2768" s="769"/>
      <c r="CE2768" s="769"/>
      <c r="CF2768" s="769"/>
      <c r="CG2768" s="73"/>
      <c r="CH2768" s="438"/>
      <c r="CI2768" s="416"/>
      <c r="CJ2768" s="73"/>
      <c r="CK2768" s="650"/>
      <c r="CL2768" s="499"/>
      <c r="CM2768" s="650"/>
      <c r="CR2768" s="416"/>
      <c r="CS2768" s="650"/>
      <c r="CU2768" s="73"/>
      <c r="CV2768" s="73"/>
      <c r="CW2768" s="73"/>
      <c r="CX2768" s="73"/>
      <c r="DA2768" s="650"/>
    </row>
    <row r="2769" spans="1:105" s="45" customFormat="1" x14ac:dyDescent="0.2">
      <c r="A2769" s="650"/>
      <c r="B2769" s="438"/>
      <c r="D2769" s="73"/>
      <c r="E2769" s="650"/>
      <c r="F2769" s="650"/>
      <c r="G2769" s="73"/>
      <c r="I2769" s="111"/>
      <c r="J2769" s="81"/>
      <c r="K2769" s="81"/>
      <c r="L2769" s="499"/>
      <c r="M2769" s="73"/>
      <c r="N2769" s="499"/>
      <c r="O2769" s="73"/>
      <c r="P2769" s="73"/>
      <c r="Q2769" s="73"/>
      <c r="R2769" s="176"/>
      <c r="S2769" s="176"/>
      <c r="T2769" s="176"/>
      <c r="U2769" s="400"/>
      <c r="V2769" s="400"/>
      <c r="W2769" s="732"/>
      <c r="X2769" s="167"/>
      <c r="Y2769" s="509"/>
      <c r="Z2769" s="466"/>
      <c r="AA2769" s="466"/>
      <c r="AB2769" s="466"/>
      <c r="AC2769" s="466"/>
      <c r="AD2769" s="466"/>
      <c r="AE2769" s="466"/>
      <c r="AF2769" s="466"/>
      <c r="AG2769" s="466"/>
      <c r="AH2769" s="466"/>
      <c r="AI2769" s="466"/>
      <c r="AJ2769" s="466"/>
      <c r="AK2769" s="466"/>
      <c r="AL2769" s="466"/>
      <c r="AM2769" s="466"/>
      <c r="AN2769" s="466"/>
      <c r="AO2769" s="466"/>
      <c r="AP2769" s="466"/>
      <c r="AQ2769" s="466"/>
      <c r="AR2769" s="466"/>
      <c r="AS2769" s="466"/>
      <c r="AT2769" s="466"/>
      <c r="AU2769" s="466"/>
      <c r="AV2769" s="466"/>
      <c r="AW2769" s="466"/>
      <c r="AX2769" s="466"/>
      <c r="AY2769" s="466"/>
      <c r="AZ2769" s="466"/>
      <c r="BA2769" s="466"/>
      <c r="BB2769" s="466"/>
      <c r="BC2769" s="466"/>
      <c r="BD2769" s="466"/>
      <c r="BE2769" s="467"/>
      <c r="BF2769" s="467"/>
      <c r="BG2769" s="466"/>
      <c r="BH2769" s="466"/>
      <c r="BI2769" s="467"/>
      <c r="BJ2769" s="467"/>
      <c r="BK2769" s="467"/>
      <c r="BL2769" s="467"/>
      <c r="BM2769" s="467"/>
      <c r="BN2769" s="467"/>
      <c r="BO2769" s="467"/>
      <c r="BP2769" s="467"/>
      <c r="BQ2769" s="467"/>
      <c r="BR2769" s="467"/>
      <c r="BS2769" s="467"/>
      <c r="BT2769" s="467"/>
      <c r="BU2769" s="467"/>
      <c r="BV2769" s="467"/>
      <c r="BW2769" s="467"/>
      <c r="BX2769" s="769"/>
      <c r="BY2769" s="769"/>
      <c r="BZ2769" s="769"/>
      <c r="CA2769" s="769"/>
      <c r="CB2769" s="769"/>
      <c r="CC2769" s="769"/>
      <c r="CD2769" s="769"/>
      <c r="CE2769" s="769"/>
      <c r="CF2769" s="769"/>
      <c r="CG2769" s="73"/>
      <c r="CH2769" s="438"/>
      <c r="CI2769" s="416"/>
      <c r="CJ2769" s="73"/>
      <c r="CK2769" s="650"/>
      <c r="CL2769" s="499"/>
      <c r="CM2769" s="650"/>
      <c r="CR2769" s="416"/>
      <c r="CS2769" s="650"/>
      <c r="CU2769" s="73"/>
      <c r="CV2769" s="73"/>
      <c r="CW2769" s="73"/>
      <c r="CX2769" s="73"/>
      <c r="DA2769" s="650"/>
    </row>
    <row r="2770" spans="1:105" s="45" customFormat="1" x14ac:dyDescent="0.2">
      <c r="A2770" s="650"/>
      <c r="B2770" s="438"/>
      <c r="D2770" s="73"/>
      <c r="E2770" s="650"/>
      <c r="F2770" s="650"/>
      <c r="G2770" s="73"/>
      <c r="I2770" s="111"/>
      <c r="J2770" s="81"/>
      <c r="K2770" s="81"/>
      <c r="L2770" s="499"/>
      <c r="M2770" s="73"/>
      <c r="N2770" s="499"/>
      <c r="O2770" s="73"/>
      <c r="P2770" s="73"/>
      <c r="Q2770" s="73"/>
      <c r="R2770" s="176"/>
      <c r="S2770" s="176"/>
      <c r="T2770" s="176"/>
      <c r="U2770" s="400"/>
      <c r="V2770" s="400"/>
      <c r="W2770" s="732"/>
      <c r="X2770" s="167"/>
      <c r="Y2770" s="509"/>
      <c r="Z2770" s="466"/>
      <c r="AA2770" s="466"/>
      <c r="AB2770" s="466"/>
      <c r="AC2770" s="466"/>
      <c r="AD2770" s="466"/>
      <c r="AE2770" s="466"/>
      <c r="AF2770" s="466"/>
      <c r="AG2770" s="466"/>
      <c r="AH2770" s="466"/>
      <c r="AI2770" s="466"/>
      <c r="AJ2770" s="466"/>
      <c r="AK2770" s="466"/>
      <c r="AL2770" s="466"/>
      <c r="AM2770" s="466"/>
      <c r="AN2770" s="466"/>
      <c r="AO2770" s="466"/>
      <c r="AP2770" s="466"/>
      <c r="AQ2770" s="466"/>
      <c r="AR2770" s="466"/>
      <c r="AS2770" s="466"/>
      <c r="AT2770" s="466"/>
      <c r="AU2770" s="466"/>
      <c r="AV2770" s="466"/>
      <c r="AW2770" s="466"/>
      <c r="AX2770" s="466"/>
      <c r="AY2770" s="466"/>
      <c r="AZ2770" s="466"/>
      <c r="BA2770" s="466"/>
      <c r="BB2770" s="466"/>
      <c r="BC2770" s="466"/>
      <c r="BD2770" s="466"/>
      <c r="BE2770" s="467"/>
      <c r="BF2770" s="467"/>
      <c r="BG2770" s="466"/>
      <c r="BH2770" s="466"/>
      <c r="BI2770" s="467"/>
      <c r="BJ2770" s="467"/>
      <c r="BK2770" s="467"/>
      <c r="BL2770" s="467"/>
      <c r="BM2770" s="467"/>
      <c r="BN2770" s="467"/>
      <c r="BO2770" s="467"/>
      <c r="BP2770" s="467"/>
      <c r="BQ2770" s="467"/>
      <c r="BR2770" s="467"/>
      <c r="BS2770" s="467"/>
      <c r="BT2770" s="467"/>
      <c r="BU2770" s="467"/>
      <c r="BV2770" s="467"/>
      <c r="BW2770" s="467"/>
      <c r="BX2770" s="769"/>
      <c r="BY2770" s="769"/>
      <c r="BZ2770" s="769"/>
      <c r="CA2770" s="769"/>
      <c r="CB2770" s="769"/>
      <c r="CC2770" s="769"/>
      <c r="CD2770" s="769"/>
      <c r="CE2770" s="769"/>
      <c r="CF2770" s="769"/>
      <c r="CG2770" s="73"/>
      <c r="CH2770" s="438"/>
      <c r="CI2770" s="416"/>
      <c r="CJ2770" s="73"/>
      <c r="CK2770" s="650"/>
      <c r="CL2770" s="499"/>
      <c r="CM2770" s="650"/>
      <c r="CR2770" s="416"/>
      <c r="CS2770" s="650"/>
      <c r="CU2770" s="73"/>
      <c r="CV2770" s="73"/>
      <c r="CW2770" s="73"/>
      <c r="CX2770" s="73"/>
      <c r="DA2770" s="650"/>
    </row>
    <row r="2771" spans="1:105" s="45" customFormat="1" x14ac:dyDescent="0.2">
      <c r="A2771" s="650"/>
      <c r="B2771" s="438"/>
      <c r="D2771" s="73"/>
      <c r="E2771" s="650"/>
      <c r="F2771" s="650"/>
      <c r="G2771" s="73"/>
      <c r="I2771" s="111"/>
      <c r="J2771" s="81"/>
      <c r="K2771" s="81"/>
      <c r="L2771" s="499"/>
      <c r="M2771" s="73"/>
      <c r="N2771" s="499"/>
      <c r="O2771" s="73"/>
      <c r="P2771" s="73"/>
      <c r="Q2771" s="73"/>
      <c r="R2771" s="176"/>
      <c r="S2771" s="176"/>
      <c r="T2771" s="176"/>
      <c r="U2771" s="400"/>
      <c r="V2771" s="400"/>
      <c r="W2771" s="732"/>
      <c r="X2771" s="167"/>
      <c r="Y2771" s="509"/>
      <c r="Z2771" s="466"/>
      <c r="AA2771" s="466"/>
      <c r="AB2771" s="466"/>
      <c r="AC2771" s="466"/>
      <c r="AD2771" s="466"/>
      <c r="AE2771" s="466"/>
      <c r="AF2771" s="466"/>
      <c r="AG2771" s="466"/>
      <c r="AH2771" s="466"/>
      <c r="AI2771" s="466"/>
      <c r="AJ2771" s="466"/>
      <c r="AK2771" s="466"/>
      <c r="AL2771" s="466"/>
      <c r="AM2771" s="466"/>
      <c r="AN2771" s="466"/>
      <c r="AO2771" s="466"/>
      <c r="AP2771" s="466"/>
      <c r="AQ2771" s="466"/>
      <c r="AR2771" s="466"/>
      <c r="AS2771" s="466"/>
      <c r="AT2771" s="466"/>
      <c r="AU2771" s="466"/>
      <c r="AV2771" s="466"/>
      <c r="AW2771" s="466"/>
      <c r="AX2771" s="466"/>
      <c r="AY2771" s="466"/>
      <c r="AZ2771" s="466"/>
      <c r="BA2771" s="466"/>
      <c r="BB2771" s="466"/>
      <c r="BC2771" s="466"/>
      <c r="BD2771" s="466"/>
      <c r="BE2771" s="467"/>
      <c r="BF2771" s="467"/>
      <c r="BG2771" s="466"/>
      <c r="BH2771" s="466"/>
      <c r="BI2771" s="467"/>
      <c r="BJ2771" s="467"/>
      <c r="BK2771" s="467"/>
      <c r="BL2771" s="467"/>
      <c r="BM2771" s="467"/>
      <c r="BN2771" s="467"/>
      <c r="BO2771" s="467"/>
      <c r="BP2771" s="467"/>
      <c r="BQ2771" s="467"/>
      <c r="BR2771" s="467"/>
      <c r="BS2771" s="467"/>
      <c r="BT2771" s="467"/>
      <c r="BU2771" s="467"/>
      <c r="BV2771" s="467"/>
      <c r="BW2771" s="467"/>
      <c r="BX2771" s="769"/>
      <c r="BY2771" s="769"/>
      <c r="BZ2771" s="769"/>
      <c r="CA2771" s="769"/>
      <c r="CB2771" s="769"/>
      <c r="CC2771" s="769"/>
      <c r="CD2771" s="769"/>
      <c r="CE2771" s="769"/>
      <c r="CF2771" s="769"/>
      <c r="CG2771" s="73"/>
      <c r="CH2771" s="438"/>
      <c r="CI2771" s="416"/>
      <c r="CJ2771" s="73"/>
      <c r="CK2771" s="650"/>
      <c r="CL2771" s="499"/>
      <c r="CM2771" s="650"/>
      <c r="CR2771" s="416"/>
      <c r="CS2771" s="650"/>
      <c r="CU2771" s="73"/>
      <c r="CV2771" s="73"/>
      <c r="CW2771" s="73"/>
      <c r="CX2771" s="73"/>
      <c r="DA2771" s="650"/>
    </row>
    <row r="2772" spans="1:105" s="45" customFormat="1" x14ac:dyDescent="0.2">
      <c r="A2772" s="650"/>
      <c r="B2772" s="438"/>
      <c r="D2772" s="73"/>
      <c r="E2772" s="650"/>
      <c r="F2772" s="650"/>
      <c r="G2772" s="73"/>
      <c r="I2772" s="111"/>
      <c r="J2772" s="81"/>
      <c r="K2772" s="81"/>
      <c r="L2772" s="499"/>
      <c r="M2772" s="73"/>
      <c r="N2772" s="499"/>
      <c r="O2772" s="73"/>
      <c r="P2772" s="73"/>
      <c r="Q2772" s="73"/>
      <c r="R2772" s="176"/>
      <c r="S2772" s="176"/>
      <c r="T2772" s="176"/>
      <c r="U2772" s="400"/>
      <c r="V2772" s="400"/>
      <c r="W2772" s="732"/>
      <c r="X2772" s="167"/>
      <c r="Y2772" s="509"/>
      <c r="Z2772" s="466"/>
      <c r="AA2772" s="466"/>
      <c r="AB2772" s="466"/>
      <c r="AC2772" s="466"/>
      <c r="AD2772" s="466"/>
      <c r="AE2772" s="466"/>
      <c r="AF2772" s="466"/>
      <c r="AG2772" s="466"/>
      <c r="AH2772" s="466"/>
      <c r="AI2772" s="466"/>
      <c r="AJ2772" s="466"/>
      <c r="AK2772" s="466"/>
      <c r="AL2772" s="466"/>
      <c r="AM2772" s="466"/>
      <c r="AN2772" s="466"/>
      <c r="AO2772" s="466"/>
      <c r="AP2772" s="466"/>
      <c r="AQ2772" s="466"/>
      <c r="AR2772" s="466"/>
      <c r="AS2772" s="466"/>
      <c r="AT2772" s="466"/>
      <c r="AU2772" s="466"/>
      <c r="AV2772" s="466"/>
      <c r="AW2772" s="466"/>
      <c r="AX2772" s="466"/>
      <c r="AY2772" s="466"/>
      <c r="AZ2772" s="466"/>
      <c r="BA2772" s="466"/>
      <c r="BB2772" s="466"/>
      <c r="BC2772" s="466"/>
      <c r="BD2772" s="466"/>
      <c r="BE2772" s="467"/>
      <c r="BF2772" s="467"/>
      <c r="BG2772" s="466"/>
      <c r="BH2772" s="466"/>
      <c r="BI2772" s="467"/>
      <c r="BJ2772" s="467"/>
      <c r="BK2772" s="467"/>
      <c r="BL2772" s="467"/>
      <c r="BM2772" s="467"/>
      <c r="BN2772" s="467"/>
      <c r="BO2772" s="467"/>
      <c r="BP2772" s="467"/>
      <c r="BQ2772" s="467"/>
      <c r="BR2772" s="467"/>
      <c r="BS2772" s="467"/>
      <c r="BT2772" s="467"/>
      <c r="BU2772" s="467"/>
      <c r="BV2772" s="467"/>
      <c r="BW2772" s="467"/>
      <c r="BX2772" s="769"/>
      <c r="BY2772" s="769"/>
      <c r="BZ2772" s="769"/>
      <c r="CA2772" s="769"/>
      <c r="CB2772" s="769"/>
      <c r="CC2772" s="769"/>
      <c r="CD2772" s="769"/>
      <c r="CE2772" s="769"/>
      <c r="CF2772" s="769"/>
      <c r="CG2772" s="73"/>
      <c r="CH2772" s="438"/>
      <c r="CI2772" s="416"/>
      <c r="CJ2772" s="73"/>
      <c r="CK2772" s="650"/>
      <c r="CL2772" s="499"/>
      <c r="CM2772" s="650"/>
      <c r="CR2772" s="416"/>
      <c r="CS2772" s="650"/>
      <c r="CU2772" s="73"/>
      <c r="CV2772" s="73"/>
      <c r="CW2772" s="73"/>
      <c r="CX2772" s="73"/>
      <c r="DA2772" s="650"/>
    </row>
    <row r="2773" spans="1:105" s="45" customFormat="1" x14ac:dyDescent="0.2">
      <c r="A2773" s="650"/>
      <c r="B2773" s="438"/>
      <c r="D2773" s="73"/>
      <c r="E2773" s="650"/>
      <c r="F2773" s="650"/>
      <c r="G2773" s="73"/>
      <c r="I2773" s="111"/>
      <c r="J2773" s="81"/>
      <c r="K2773" s="81"/>
      <c r="L2773" s="499"/>
      <c r="M2773" s="73"/>
      <c r="N2773" s="499"/>
      <c r="O2773" s="73"/>
      <c r="P2773" s="73"/>
      <c r="Q2773" s="73"/>
      <c r="R2773" s="176"/>
      <c r="S2773" s="176"/>
      <c r="T2773" s="176"/>
      <c r="U2773" s="400"/>
      <c r="V2773" s="400"/>
      <c r="W2773" s="732"/>
      <c r="X2773" s="167"/>
      <c r="Y2773" s="509"/>
      <c r="Z2773" s="466"/>
      <c r="AA2773" s="466"/>
      <c r="AB2773" s="466"/>
      <c r="AC2773" s="466"/>
      <c r="AD2773" s="466"/>
      <c r="AE2773" s="466"/>
      <c r="AF2773" s="466"/>
      <c r="AG2773" s="466"/>
      <c r="AH2773" s="466"/>
      <c r="AI2773" s="466"/>
      <c r="AJ2773" s="466"/>
      <c r="AK2773" s="466"/>
      <c r="AL2773" s="466"/>
      <c r="AM2773" s="466"/>
      <c r="AN2773" s="466"/>
      <c r="AO2773" s="466"/>
      <c r="AP2773" s="466"/>
      <c r="AQ2773" s="466"/>
      <c r="AR2773" s="466"/>
      <c r="AS2773" s="466"/>
      <c r="AT2773" s="466"/>
      <c r="AU2773" s="466"/>
      <c r="AV2773" s="466"/>
      <c r="AW2773" s="466"/>
      <c r="AX2773" s="466"/>
      <c r="AY2773" s="466"/>
      <c r="AZ2773" s="466"/>
      <c r="BA2773" s="466"/>
      <c r="BB2773" s="466"/>
      <c r="BC2773" s="466"/>
      <c r="BD2773" s="466"/>
      <c r="BE2773" s="467"/>
      <c r="BF2773" s="467"/>
      <c r="BG2773" s="466"/>
      <c r="BH2773" s="466"/>
      <c r="BI2773" s="467"/>
      <c r="BJ2773" s="467"/>
      <c r="BK2773" s="467"/>
      <c r="BL2773" s="467"/>
      <c r="BM2773" s="467"/>
      <c r="BN2773" s="467"/>
      <c r="BO2773" s="467"/>
      <c r="BP2773" s="467"/>
      <c r="BQ2773" s="467"/>
      <c r="BR2773" s="467"/>
      <c r="BS2773" s="467"/>
      <c r="BT2773" s="467"/>
      <c r="BU2773" s="467"/>
      <c r="BV2773" s="467"/>
      <c r="BW2773" s="467"/>
      <c r="BX2773" s="769"/>
      <c r="BY2773" s="769"/>
      <c r="BZ2773" s="769"/>
      <c r="CA2773" s="769"/>
      <c r="CB2773" s="769"/>
      <c r="CC2773" s="769"/>
      <c r="CD2773" s="769"/>
      <c r="CE2773" s="769"/>
      <c r="CF2773" s="769"/>
      <c r="CG2773" s="73"/>
      <c r="CH2773" s="438"/>
      <c r="CI2773" s="416"/>
      <c r="CJ2773" s="73"/>
      <c r="CK2773" s="650"/>
      <c r="CL2773" s="499"/>
      <c r="CM2773" s="650"/>
      <c r="CR2773" s="416"/>
      <c r="CS2773" s="650"/>
      <c r="CU2773" s="73"/>
      <c r="CV2773" s="73"/>
      <c r="CW2773" s="73"/>
      <c r="CX2773" s="73"/>
      <c r="DA2773" s="650"/>
    </row>
    <row r="2774" spans="1:105" s="45" customFormat="1" x14ac:dyDescent="0.2">
      <c r="A2774" s="650"/>
      <c r="B2774" s="438"/>
      <c r="D2774" s="73"/>
      <c r="E2774" s="650"/>
      <c r="F2774" s="650"/>
      <c r="G2774" s="73"/>
      <c r="I2774" s="111"/>
      <c r="J2774" s="81"/>
      <c r="K2774" s="81"/>
      <c r="L2774" s="499"/>
      <c r="M2774" s="73"/>
      <c r="N2774" s="499"/>
      <c r="O2774" s="73"/>
      <c r="P2774" s="73"/>
      <c r="Q2774" s="73"/>
      <c r="R2774" s="176"/>
      <c r="S2774" s="176"/>
      <c r="T2774" s="176"/>
      <c r="U2774" s="400"/>
      <c r="V2774" s="400"/>
      <c r="W2774" s="732"/>
      <c r="X2774" s="167"/>
      <c r="Y2774" s="509"/>
      <c r="Z2774" s="466"/>
      <c r="AA2774" s="466"/>
      <c r="AB2774" s="466"/>
      <c r="AC2774" s="466"/>
      <c r="AD2774" s="466"/>
      <c r="AE2774" s="466"/>
      <c r="AF2774" s="466"/>
      <c r="AG2774" s="466"/>
      <c r="AH2774" s="466"/>
      <c r="AI2774" s="466"/>
      <c r="AJ2774" s="466"/>
      <c r="AK2774" s="466"/>
      <c r="AL2774" s="466"/>
      <c r="AM2774" s="466"/>
      <c r="AN2774" s="466"/>
      <c r="AO2774" s="466"/>
      <c r="AP2774" s="466"/>
      <c r="AQ2774" s="466"/>
      <c r="AR2774" s="466"/>
      <c r="AS2774" s="466"/>
      <c r="AT2774" s="466"/>
      <c r="AU2774" s="466"/>
      <c r="AV2774" s="466"/>
      <c r="AW2774" s="466"/>
      <c r="AX2774" s="466"/>
      <c r="AY2774" s="466"/>
      <c r="AZ2774" s="466"/>
      <c r="BA2774" s="466"/>
      <c r="BB2774" s="466"/>
      <c r="BC2774" s="466"/>
      <c r="BD2774" s="466"/>
      <c r="BE2774" s="467"/>
      <c r="BF2774" s="467"/>
      <c r="BG2774" s="466"/>
      <c r="BH2774" s="466"/>
      <c r="BI2774" s="467"/>
      <c r="BJ2774" s="467"/>
      <c r="BK2774" s="467"/>
      <c r="BL2774" s="467"/>
      <c r="BM2774" s="467"/>
      <c r="BN2774" s="467"/>
      <c r="BO2774" s="467"/>
      <c r="BP2774" s="467"/>
      <c r="BQ2774" s="467"/>
      <c r="BR2774" s="467"/>
      <c r="BS2774" s="467"/>
      <c r="BT2774" s="467"/>
      <c r="BU2774" s="467"/>
      <c r="BV2774" s="467"/>
      <c r="BW2774" s="467"/>
      <c r="BX2774" s="769"/>
      <c r="BY2774" s="769"/>
      <c r="BZ2774" s="769"/>
      <c r="CA2774" s="769"/>
      <c r="CB2774" s="769"/>
      <c r="CC2774" s="769"/>
      <c r="CD2774" s="769"/>
      <c r="CE2774" s="769"/>
      <c r="CF2774" s="769"/>
      <c r="CG2774" s="73"/>
      <c r="CH2774" s="438"/>
      <c r="CI2774" s="416"/>
      <c r="CJ2774" s="73"/>
      <c r="CK2774" s="650"/>
      <c r="CL2774" s="499"/>
      <c r="CM2774" s="650"/>
      <c r="CR2774" s="416"/>
      <c r="CS2774" s="650"/>
      <c r="CU2774" s="73"/>
      <c r="CV2774" s="73"/>
      <c r="CW2774" s="73"/>
      <c r="CX2774" s="73"/>
      <c r="DA2774" s="650"/>
    </row>
    <row r="2775" spans="1:105" s="45" customFormat="1" x14ac:dyDescent="0.2">
      <c r="A2775" s="650"/>
      <c r="B2775" s="438"/>
      <c r="D2775" s="73"/>
      <c r="E2775" s="650"/>
      <c r="F2775" s="650"/>
      <c r="G2775" s="73"/>
      <c r="I2775" s="111"/>
      <c r="J2775" s="81"/>
      <c r="K2775" s="81"/>
      <c r="L2775" s="499"/>
      <c r="M2775" s="73"/>
      <c r="N2775" s="499"/>
      <c r="O2775" s="73"/>
      <c r="P2775" s="73"/>
      <c r="Q2775" s="73"/>
      <c r="R2775" s="176"/>
      <c r="S2775" s="176"/>
      <c r="T2775" s="176"/>
      <c r="U2775" s="400"/>
      <c r="V2775" s="400"/>
      <c r="W2775" s="732"/>
      <c r="X2775" s="167"/>
      <c r="Y2775" s="509"/>
      <c r="Z2775" s="466"/>
      <c r="AA2775" s="466"/>
      <c r="AB2775" s="466"/>
      <c r="AC2775" s="466"/>
      <c r="AD2775" s="466"/>
      <c r="AE2775" s="466"/>
      <c r="AF2775" s="466"/>
      <c r="AG2775" s="466"/>
      <c r="AH2775" s="466"/>
      <c r="AI2775" s="466"/>
      <c r="AJ2775" s="466"/>
      <c r="AK2775" s="466"/>
      <c r="AL2775" s="466"/>
      <c r="AM2775" s="466"/>
      <c r="AN2775" s="466"/>
      <c r="AO2775" s="466"/>
      <c r="AP2775" s="466"/>
      <c r="AQ2775" s="466"/>
      <c r="AR2775" s="466"/>
      <c r="AS2775" s="466"/>
      <c r="AT2775" s="466"/>
      <c r="AU2775" s="466"/>
      <c r="AV2775" s="466"/>
      <c r="AW2775" s="466"/>
      <c r="AX2775" s="466"/>
      <c r="AY2775" s="466"/>
      <c r="AZ2775" s="466"/>
      <c r="BA2775" s="466"/>
      <c r="BB2775" s="466"/>
      <c r="BC2775" s="466"/>
      <c r="BD2775" s="466"/>
      <c r="BE2775" s="467"/>
      <c r="BF2775" s="467"/>
      <c r="BG2775" s="466"/>
      <c r="BH2775" s="466"/>
      <c r="BI2775" s="467"/>
      <c r="BJ2775" s="467"/>
      <c r="BK2775" s="467"/>
      <c r="BL2775" s="467"/>
      <c r="BM2775" s="467"/>
      <c r="BN2775" s="467"/>
      <c r="BO2775" s="467"/>
      <c r="BP2775" s="467"/>
      <c r="BQ2775" s="467"/>
      <c r="BR2775" s="467"/>
      <c r="BS2775" s="467"/>
      <c r="BT2775" s="467"/>
      <c r="BU2775" s="467"/>
      <c r="BV2775" s="467"/>
      <c r="BW2775" s="467"/>
      <c r="BX2775" s="769"/>
      <c r="BY2775" s="769"/>
      <c r="BZ2775" s="769"/>
      <c r="CA2775" s="769"/>
      <c r="CB2775" s="769"/>
      <c r="CC2775" s="769"/>
      <c r="CD2775" s="769"/>
      <c r="CE2775" s="769"/>
      <c r="CF2775" s="769"/>
      <c r="CG2775" s="73"/>
      <c r="CH2775" s="438"/>
      <c r="CI2775" s="416"/>
      <c r="CJ2775" s="73"/>
      <c r="CK2775" s="650"/>
      <c r="CL2775" s="499"/>
      <c r="CM2775" s="650"/>
      <c r="CR2775" s="416"/>
      <c r="CS2775" s="650"/>
      <c r="CU2775" s="73"/>
      <c r="CV2775" s="73"/>
      <c r="CW2775" s="73"/>
      <c r="CX2775" s="73"/>
      <c r="DA2775" s="650"/>
    </row>
    <row r="2776" spans="1:105" s="45" customFormat="1" x14ac:dyDescent="0.2">
      <c r="A2776" s="650"/>
      <c r="B2776" s="438"/>
      <c r="D2776" s="73"/>
      <c r="E2776" s="650"/>
      <c r="F2776" s="650"/>
      <c r="G2776" s="73"/>
      <c r="I2776" s="111"/>
      <c r="J2776" s="81"/>
      <c r="K2776" s="81"/>
      <c r="L2776" s="499"/>
      <c r="M2776" s="73"/>
      <c r="N2776" s="499"/>
      <c r="O2776" s="73"/>
      <c r="P2776" s="73"/>
      <c r="Q2776" s="73"/>
      <c r="R2776" s="176"/>
      <c r="S2776" s="176"/>
      <c r="T2776" s="176"/>
      <c r="U2776" s="400"/>
      <c r="V2776" s="400"/>
      <c r="W2776" s="732"/>
      <c r="X2776" s="167"/>
      <c r="Y2776" s="509"/>
      <c r="Z2776" s="466"/>
      <c r="AA2776" s="466"/>
      <c r="AB2776" s="466"/>
      <c r="AC2776" s="466"/>
      <c r="AD2776" s="466"/>
      <c r="AE2776" s="466"/>
      <c r="AF2776" s="466"/>
      <c r="AG2776" s="466"/>
      <c r="AH2776" s="466"/>
      <c r="AI2776" s="466"/>
      <c r="AJ2776" s="466"/>
      <c r="AK2776" s="466"/>
      <c r="AL2776" s="466"/>
      <c r="AM2776" s="466"/>
      <c r="AN2776" s="466"/>
      <c r="AO2776" s="466"/>
      <c r="AP2776" s="466"/>
      <c r="AQ2776" s="466"/>
      <c r="AR2776" s="466"/>
      <c r="AS2776" s="466"/>
      <c r="AT2776" s="466"/>
      <c r="AU2776" s="466"/>
      <c r="AV2776" s="466"/>
      <c r="AW2776" s="466"/>
      <c r="AX2776" s="466"/>
      <c r="AY2776" s="466"/>
      <c r="AZ2776" s="466"/>
      <c r="BA2776" s="466"/>
      <c r="BB2776" s="466"/>
      <c r="BC2776" s="466"/>
      <c r="BD2776" s="466"/>
      <c r="BE2776" s="467"/>
      <c r="BF2776" s="467"/>
      <c r="BG2776" s="466"/>
      <c r="BH2776" s="466"/>
      <c r="BI2776" s="467"/>
      <c r="BJ2776" s="467"/>
      <c r="BK2776" s="467"/>
      <c r="BL2776" s="467"/>
      <c r="BM2776" s="467"/>
      <c r="BN2776" s="467"/>
      <c r="BO2776" s="467"/>
      <c r="BP2776" s="467"/>
      <c r="BQ2776" s="467"/>
      <c r="BR2776" s="467"/>
      <c r="BS2776" s="467"/>
      <c r="BT2776" s="467"/>
      <c r="BU2776" s="467"/>
      <c r="BV2776" s="467"/>
      <c r="BW2776" s="467"/>
      <c r="BX2776" s="769"/>
      <c r="BY2776" s="769"/>
      <c r="BZ2776" s="769"/>
      <c r="CA2776" s="769"/>
      <c r="CB2776" s="769"/>
      <c r="CC2776" s="769"/>
      <c r="CD2776" s="769"/>
      <c r="CE2776" s="769"/>
      <c r="CF2776" s="769"/>
      <c r="CG2776" s="73"/>
      <c r="CH2776" s="438"/>
      <c r="CI2776" s="416"/>
      <c r="CJ2776" s="73"/>
      <c r="CK2776" s="650"/>
      <c r="CL2776" s="499"/>
      <c r="CM2776" s="650"/>
      <c r="CR2776" s="416"/>
      <c r="CS2776" s="650"/>
      <c r="CU2776" s="73"/>
      <c r="CV2776" s="73"/>
      <c r="CW2776" s="73"/>
      <c r="CX2776" s="73"/>
      <c r="DA2776" s="650"/>
    </row>
    <row r="2777" spans="1:105" s="45" customFormat="1" x14ac:dyDescent="0.2">
      <c r="A2777" s="650"/>
      <c r="B2777" s="438"/>
      <c r="D2777" s="73"/>
      <c r="E2777" s="650"/>
      <c r="F2777" s="650"/>
      <c r="G2777" s="73"/>
      <c r="I2777" s="111"/>
      <c r="J2777" s="81"/>
      <c r="K2777" s="81"/>
      <c r="L2777" s="499"/>
      <c r="M2777" s="73"/>
      <c r="N2777" s="499"/>
      <c r="O2777" s="73"/>
      <c r="P2777" s="73"/>
      <c r="Q2777" s="73"/>
      <c r="R2777" s="176"/>
      <c r="S2777" s="176"/>
      <c r="T2777" s="176"/>
      <c r="U2777" s="400"/>
      <c r="V2777" s="400"/>
      <c r="W2777" s="732"/>
      <c r="X2777" s="167"/>
      <c r="Y2777" s="509"/>
      <c r="Z2777" s="466"/>
      <c r="AA2777" s="466"/>
      <c r="AB2777" s="466"/>
      <c r="AC2777" s="466"/>
      <c r="AD2777" s="466"/>
      <c r="AE2777" s="466"/>
      <c r="AF2777" s="466"/>
      <c r="AG2777" s="466"/>
      <c r="AH2777" s="466"/>
      <c r="AI2777" s="466"/>
      <c r="AJ2777" s="466"/>
      <c r="AK2777" s="466"/>
      <c r="AL2777" s="466"/>
      <c r="AM2777" s="466"/>
      <c r="AN2777" s="466"/>
      <c r="AO2777" s="466"/>
      <c r="AP2777" s="466"/>
      <c r="AQ2777" s="466"/>
      <c r="AR2777" s="466"/>
      <c r="AS2777" s="466"/>
      <c r="AT2777" s="466"/>
      <c r="AU2777" s="466"/>
      <c r="AV2777" s="466"/>
      <c r="AW2777" s="466"/>
      <c r="AX2777" s="466"/>
      <c r="AY2777" s="466"/>
      <c r="AZ2777" s="466"/>
      <c r="BA2777" s="466"/>
      <c r="BB2777" s="466"/>
      <c r="BC2777" s="466"/>
      <c r="BD2777" s="466"/>
      <c r="BE2777" s="467"/>
      <c r="BF2777" s="467"/>
      <c r="BG2777" s="466"/>
      <c r="BH2777" s="466"/>
      <c r="BI2777" s="467"/>
      <c r="BJ2777" s="467"/>
      <c r="BK2777" s="467"/>
      <c r="BL2777" s="467"/>
      <c r="BM2777" s="467"/>
      <c r="BN2777" s="467"/>
      <c r="BO2777" s="467"/>
      <c r="BP2777" s="467"/>
      <c r="BQ2777" s="467"/>
      <c r="BR2777" s="467"/>
      <c r="BS2777" s="467"/>
      <c r="BT2777" s="467"/>
      <c r="BU2777" s="467"/>
      <c r="BV2777" s="467"/>
      <c r="BW2777" s="467"/>
      <c r="BX2777" s="769"/>
      <c r="BY2777" s="769"/>
      <c r="BZ2777" s="769"/>
      <c r="CA2777" s="769"/>
      <c r="CB2777" s="769"/>
      <c r="CC2777" s="769"/>
      <c r="CD2777" s="769"/>
      <c r="CE2777" s="769"/>
      <c r="CF2777" s="769"/>
      <c r="CG2777" s="73"/>
      <c r="CH2777" s="438"/>
      <c r="CI2777" s="416"/>
      <c r="CJ2777" s="73"/>
      <c r="CK2777" s="650"/>
      <c r="CL2777" s="499"/>
      <c r="CM2777" s="650"/>
      <c r="CR2777" s="416"/>
      <c r="CS2777" s="650"/>
      <c r="CU2777" s="73"/>
      <c r="CV2777" s="73"/>
      <c r="CW2777" s="73"/>
      <c r="CX2777" s="73"/>
      <c r="DA2777" s="650"/>
    </row>
    <row r="2778" spans="1:105" s="45" customFormat="1" x14ac:dyDescent="0.2">
      <c r="A2778" s="650"/>
      <c r="B2778" s="438"/>
      <c r="D2778" s="73"/>
      <c r="E2778" s="650"/>
      <c r="F2778" s="650"/>
      <c r="G2778" s="73"/>
      <c r="I2778" s="111"/>
      <c r="J2778" s="81"/>
      <c r="K2778" s="81"/>
      <c r="L2778" s="499"/>
      <c r="M2778" s="73"/>
      <c r="N2778" s="499"/>
      <c r="O2778" s="73"/>
      <c r="P2778" s="73"/>
      <c r="Q2778" s="73"/>
      <c r="R2778" s="176"/>
      <c r="S2778" s="176"/>
      <c r="T2778" s="176"/>
      <c r="U2778" s="400"/>
      <c r="V2778" s="400"/>
      <c r="W2778" s="732"/>
      <c r="X2778" s="167"/>
      <c r="Y2778" s="509"/>
      <c r="Z2778" s="466"/>
      <c r="AA2778" s="466"/>
      <c r="AB2778" s="466"/>
      <c r="AC2778" s="466"/>
      <c r="AD2778" s="466"/>
      <c r="AE2778" s="466"/>
      <c r="AF2778" s="466"/>
      <c r="AG2778" s="466"/>
      <c r="AH2778" s="466"/>
      <c r="AI2778" s="466"/>
      <c r="AJ2778" s="466"/>
      <c r="AK2778" s="466"/>
      <c r="AL2778" s="466"/>
      <c r="AM2778" s="466"/>
      <c r="AN2778" s="466"/>
      <c r="AO2778" s="466"/>
      <c r="AP2778" s="466"/>
      <c r="AQ2778" s="466"/>
      <c r="AR2778" s="466"/>
      <c r="AS2778" s="466"/>
      <c r="AT2778" s="466"/>
      <c r="AU2778" s="466"/>
      <c r="AV2778" s="466"/>
      <c r="AW2778" s="466"/>
      <c r="AX2778" s="466"/>
      <c r="AY2778" s="466"/>
      <c r="AZ2778" s="466"/>
      <c r="BA2778" s="466"/>
      <c r="BB2778" s="466"/>
      <c r="BC2778" s="466"/>
      <c r="BD2778" s="466"/>
      <c r="BE2778" s="467"/>
      <c r="BF2778" s="467"/>
      <c r="BG2778" s="466"/>
      <c r="BH2778" s="466"/>
      <c r="BI2778" s="467"/>
      <c r="BJ2778" s="467"/>
      <c r="BK2778" s="467"/>
      <c r="BL2778" s="467"/>
      <c r="BM2778" s="467"/>
      <c r="BN2778" s="467"/>
      <c r="BO2778" s="467"/>
      <c r="BP2778" s="467"/>
      <c r="BQ2778" s="467"/>
      <c r="BR2778" s="467"/>
      <c r="BS2778" s="467"/>
      <c r="BT2778" s="467"/>
      <c r="BU2778" s="467"/>
      <c r="BV2778" s="467"/>
      <c r="BW2778" s="467"/>
      <c r="BX2778" s="769"/>
      <c r="BY2778" s="769"/>
      <c r="BZ2778" s="769"/>
      <c r="CA2778" s="769"/>
      <c r="CB2778" s="769"/>
      <c r="CC2778" s="769"/>
      <c r="CD2778" s="769"/>
      <c r="CE2778" s="769"/>
      <c r="CF2778" s="769"/>
      <c r="CG2778" s="73"/>
      <c r="CH2778" s="438"/>
      <c r="CI2778" s="416"/>
      <c r="CJ2778" s="73"/>
      <c r="CK2778" s="650"/>
      <c r="CL2778" s="499"/>
      <c r="CM2778" s="650"/>
      <c r="CR2778" s="416"/>
      <c r="CS2778" s="650"/>
      <c r="CU2778" s="73"/>
      <c r="CV2778" s="73"/>
      <c r="CW2778" s="73"/>
      <c r="CX2778" s="73"/>
      <c r="DA2778" s="650"/>
    </row>
    <row r="2779" spans="1:105" s="45" customFormat="1" x14ac:dyDescent="0.2">
      <c r="A2779" s="650"/>
      <c r="B2779" s="438"/>
      <c r="D2779" s="73"/>
      <c r="E2779" s="650"/>
      <c r="F2779" s="650"/>
      <c r="G2779" s="73"/>
      <c r="I2779" s="111"/>
      <c r="J2779" s="81"/>
      <c r="K2779" s="81"/>
      <c r="L2779" s="499"/>
      <c r="M2779" s="73"/>
      <c r="N2779" s="499"/>
      <c r="O2779" s="73"/>
      <c r="P2779" s="73"/>
      <c r="Q2779" s="73"/>
      <c r="R2779" s="176"/>
      <c r="S2779" s="176"/>
      <c r="T2779" s="176"/>
      <c r="U2779" s="400"/>
      <c r="V2779" s="400"/>
      <c r="W2779" s="732"/>
      <c r="X2779" s="167"/>
      <c r="Y2779" s="509"/>
      <c r="Z2779" s="466"/>
      <c r="AA2779" s="466"/>
      <c r="AB2779" s="466"/>
      <c r="AC2779" s="466"/>
      <c r="AD2779" s="466"/>
      <c r="AE2779" s="466"/>
      <c r="AF2779" s="466"/>
      <c r="AG2779" s="466"/>
      <c r="AH2779" s="466"/>
      <c r="AI2779" s="466"/>
      <c r="AJ2779" s="466"/>
      <c r="AK2779" s="466"/>
      <c r="AL2779" s="466"/>
      <c r="AM2779" s="466"/>
      <c r="AN2779" s="466"/>
      <c r="AO2779" s="466"/>
      <c r="AP2779" s="466"/>
      <c r="AQ2779" s="466"/>
      <c r="AR2779" s="466"/>
      <c r="AS2779" s="466"/>
      <c r="AT2779" s="466"/>
      <c r="AU2779" s="466"/>
      <c r="AV2779" s="466"/>
      <c r="AW2779" s="466"/>
      <c r="AX2779" s="466"/>
      <c r="AY2779" s="466"/>
      <c r="AZ2779" s="466"/>
      <c r="BA2779" s="466"/>
      <c r="BB2779" s="466"/>
      <c r="BC2779" s="466"/>
      <c r="BD2779" s="466"/>
      <c r="BE2779" s="467"/>
      <c r="BF2779" s="467"/>
      <c r="BG2779" s="466"/>
      <c r="BH2779" s="466"/>
      <c r="BI2779" s="467"/>
      <c r="BJ2779" s="467"/>
      <c r="BK2779" s="467"/>
      <c r="BL2779" s="467"/>
      <c r="BM2779" s="467"/>
      <c r="BN2779" s="467"/>
      <c r="BO2779" s="467"/>
      <c r="BP2779" s="467"/>
      <c r="BQ2779" s="467"/>
      <c r="BR2779" s="467"/>
      <c r="BS2779" s="467"/>
      <c r="BT2779" s="467"/>
      <c r="BU2779" s="467"/>
      <c r="BV2779" s="467"/>
      <c r="BW2779" s="467"/>
      <c r="BX2779" s="769"/>
      <c r="BY2779" s="769"/>
      <c r="BZ2779" s="769"/>
      <c r="CA2779" s="769"/>
      <c r="CB2779" s="769"/>
      <c r="CC2779" s="769"/>
      <c r="CD2779" s="769"/>
      <c r="CE2779" s="769"/>
      <c r="CF2779" s="769"/>
      <c r="CG2779" s="73"/>
      <c r="CH2779" s="438"/>
      <c r="CI2779" s="416"/>
      <c r="CJ2779" s="73"/>
      <c r="CK2779" s="650"/>
      <c r="CL2779" s="499"/>
      <c r="CM2779" s="650"/>
      <c r="CR2779" s="416"/>
      <c r="CS2779" s="650"/>
      <c r="CU2779" s="73"/>
      <c r="CV2779" s="73"/>
      <c r="CW2779" s="73"/>
      <c r="CX2779" s="73"/>
      <c r="DA2779" s="650"/>
    </row>
    <row r="2780" spans="1:105" s="45" customFormat="1" x14ac:dyDescent="0.2">
      <c r="A2780" s="650"/>
      <c r="B2780" s="438"/>
      <c r="D2780" s="73"/>
      <c r="E2780" s="650"/>
      <c r="F2780" s="650"/>
      <c r="G2780" s="73"/>
      <c r="I2780" s="111"/>
      <c r="J2780" s="81"/>
      <c r="K2780" s="81"/>
      <c r="L2780" s="499"/>
      <c r="M2780" s="73"/>
      <c r="N2780" s="499"/>
      <c r="O2780" s="73"/>
      <c r="P2780" s="73"/>
      <c r="Q2780" s="73"/>
      <c r="R2780" s="176"/>
      <c r="S2780" s="176"/>
      <c r="T2780" s="176"/>
      <c r="U2780" s="400"/>
      <c r="V2780" s="400"/>
      <c r="W2780" s="732"/>
      <c r="X2780" s="167"/>
      <c r="Y2780" s="509"/>
      <c r="Z2780" s="466"/>
      <c r="AA2780" s="466"/>
      <c r="AB2780" s="466"/>
      <c r="AC2780" s="466"/>
      <c r="AD2780" s="466"/>
      <c r="AE2780" s="466"/>
      <c r="AF2780" s="466"/>
      <c r="AG2780" s="466"/>
      <c r="AH2780" s="466"/>
      <c r="AI2780" s="466"/>
      <c r="AJ2780" s="466"/>
      <c r="AK2780" s="466"/>
      <c r="AL2780" s="466"/>
      <c r="AM2780" s="466"/>
      <c r="AN2780" s="466"/>
      <c r="AO2780" s="466"/>
      <c r="AP2780" s="466"/>
      <c r="AQ2780" s="466"/>
      <c r="AR2780" s="466"/>
      <c r="AS2780" s="466"/>
      <c r="AT2780" s="466"/>
      <c r="AU2780" s="466"/>
      <c r="AV2780" s="466"/>
      <c r="AW2780" s="466"/>
      <c r="AX2780" s="466"/>
      <c r="AY2780" s="466"/>
      <c r="AZ2780" s="466"/>
      <c r="BA2780" s="466"/>
      <c r="BB2780" s="466"/>
      <c r="BC2780" s="466"/>
      <c r="BD2780" s="466"/>
      <c r="BE2780" s="467"/>
      <c r="BF2780" s="467"/>
      <c r="BG2780" s="466"/>
      <c r="BH2780" s="466"/>
      <c r="BI2780" s="467"/>
      <c r="BJ2780" s="467"/>
      <c r="BK2780" s="467"/>
      <c r="BL2780" s="467"/>
      <c r="BM2780" s="467"/>
      <c r="BN2780" s="467"/>
      <c r="BO2780" s="467"/>
      <c r="BP2780" s="467"/>
      <c r="BQ2780" s="467"/>
      <c r="BR2780" s="467"/>
      <c r="BS2780" s="467"/>
      <c r="BT2780" s="467"/>
      <c r="BU2780" s="467"/>
      <c r="BV2780" s="467"/>
      <c r="BW2780" s="467"/>
      <c r="BX2780" s="769"/>
      <c r="BY2780" s="769"/>
      <c r="BZ2780" s="769"/>
      <c r="CA2780" s="769"/>
      <c r="CB2780" s="769"/>
      <c r="CC2780" s="769"/>
      <c r="CD2780" s="769"/>
      <c r="CE2780" s="769"/>
      <c r="CF2780" s="769"/>
      <c r="CG2780" s="73"/>
      <c r="CH2780" s="438"/>
      <c r="CI2780" s="416"/>
      <c r="CJ2780" s="73"/>
      <c r="CK2780" s="650"/>
      <c r="CL2780" s="499"/>
      <c r="CM2780" s="650"/>
      <c r="CR2780" s="416"/>
      <c r="CS2780" s="650"/>
      <c r="CU2780" s="73"/>
      <c r="CV2780" s="73"/>
      <c r="CW2780" s="73"/>
      <c r="CX2780" s="73"/>
      <c r="DA2780" s="650"/>
    </row>
    <row r="2781" spans="1:105" s="45" customFormat="1" x14ac:dyDescent="0.2">
      <c r="A2781" s="650"/>
      <c r="B2781" s="438"/>
      <c r="D2781" s="73"/>
      <c r="E2781" s="650"/>
      <c r="F2781" s="650"/>
      <c r="G2781" s="73"/>
      <c r="I2781" s="111"/>
      <c r="J2781" s="81"/>
      <c r="K2781" s="81"/>
      <c r="L2781" s="499"/>
      <c r="M2781" s="73"/>
      <c r="N2781" s="499"/>
      <c r="O2781" s="73"/>
      <c r="P2781" s="73"/>
      <c r="Q2781" s="73"/>
      <c r="R2781" s="176"/>
      <c r="S2781" s="176"/>
      <c r="T2781" s="176"/>
      <c r="U2781" s="400"/>
      <c r="V2781" s="400"/>
      <c r="W2781" s="732"/>
      <c r="X2781" s="167"/>
      <c r="Y2781" s="509"/>
      <c r="Z2781" s="466"/>
      <c r="AA2781" s="466"/>
      <c r="AB2781" s="466"/>
      <c r="AC2781" s="466"/>
      <c r="AD2781" s="466"/>
      <c r="AE2781" s="466"/>
      <c r="AF2781" s="466"/>
      <c r="AG2781" s="466"/>
      <c r="AH2781" s="466"/>
      <c r="AI2781" s="466"/>
      <c r="AJ2781" s="466"/>
      <c r="AK2781" s="466"/>
      <c r="AL2781" s="466"/>
      <c r="AM2781" s="466"/>
      <c r="AN2781" s="466"/>
      <c r="AO2781" s="466"/>
      <c r="AP2781" s="466"/>
      <c r="AQ2781" s="466"/>
      <c r="AR2781" s="466"/>
      <c r="AS2781" s="466"/>
      <c r="AT2781" s="466"/>
      <c r="AU2781" s="466"/>
      <c r="AV2781" s="466"/>
      <c r="AW2781" s="466"/>
      <c r="AX2781" s="466"/>
      <c r="AY2781" s="466"/>
      <c r="AZ2781" s="466"/>
      <c r="BA2781" s="466"/>
      <c r="BB2781" s="466"/>
      <c r="BC2781" s="466"/>
      <c r="BD2781" s="466"/>
      <c r="BE2781" s="467"/>
      <c r="BF2781" s="467"/>
      <c r="BG2781" s="466"/>
      <c r="BH2781" s="466"/>
      <c r="BI2781" s="467"/>
      <c r="BJ2781" s="467"/>
      <c r="BK2781" s="467"/>
      <c r="BL2781" s="467"/>
      <c r="BM2781" s="467"/>
      <c r="BN2781" s="467"/>
      <c r="BO2781" s="467"/>
      <c r="BP2781" s="467"/>
      <c r="BQ2781" s="467"/>
      <c r="BR2781" s="467"/>
      <c r="BS2781" s="467"/>
      <c r="BT2781" s="467"/>
      <c r="BU2781" s="467"/>
      <c r="BV2781" s="467"/>
      <c r="BW2781" s="467"/>
      <c r="BX2781" s="769"/>
      <c r="BY2781" s="769"/>
      <c r="BZ2781" s="769"/>
      <c r="CA2781" s="769"/>
      <c r="CB2781" s="769"/>
      <c r="CC2781" s="769"/>
      <c r="CD2781" s="769"/>
      <c r="CE2781" s="769"/>
      <c r="CF2781" s="769"/>
      <c r="CG2781" s="73"/>
      <c r="CH2781" s="438"/>
      <c r="CI2781" s="416"/>
      <c r="CJ2781" s="73"/>
      <c r="CK2781" s="650"/>
      <c r="CL2781" s="499"/>
      <c r="CM2781" s="650"/>
      <c r="CR2781" s="416"/>
      <c r="CS2781" s="650"/>
      <c r="CU2781" s="73"/>
      <c r="CV2781" s="73"/>
      <c r="CW2781" s="73"/>
      <c r="CX2781" s="73"/>
      <c r="DA2781" s="650"/>
    </row>
    <row r="2782" spans="1:105" s="45" customFormat="1" x14ac:dyDescent="0.2">
      <c r="A2782" s="650"/>
      <c r="B2782" s="438"/>
      <c r="D2782" s="73"/>
      <c r="E2782" s="650"/>
      <c r="F2782" s="650"/>
      <c r="G2782" s="73"/>
      <c r="I2782" s="111"/>
      <c r="J2782" s="81"/>
      <c r="K2782" s="81"/>
      <c r="L2782" s="499"/>
      <c r="M2782" s="73"/>
      <c r="N2782" s="499"/>
      <c r="O2782" s="73"/>
      <c r="P2782" s="73"/>
      <c r="Q2782" s="73"/>
      <c r="R2782" s="176"/>
      <c r="S2782" s="176"/>
      <c r="T2782" s="176"/>
      <c r="U2782" s="400"/>
      <c r="V2782" s="400"/>
      <c r="W2782" s="732"/>
      <c r="X2782" s="167"/>
      <c r="Y2782" s="509"/>
      <c r="Z2782" s="466"/>
      <c r="AA2782" s="466"/>
      <c r="AB2782" s="466"/>
      <c r="AC2782" s="466"/>
      <c r="AD2782" s="466"/>
      <c r="AE2782" s="466"/>
      <c r="AF2782" s="466"/>
      <c r="AG2782" s="466"/>
      <c r="AH2782" s="466"/>
      <c r="AI2782" s="466"/>
      <c r="AJ2782" s="466"/>
      <c r="AK2782" s="466"/>
      <c r="AL2782" s="466"/>
      <c r="AM2782" s="466"/>
      <c r="AN2782" s="466"/>
      <c r="AO2782" s="466"/>
      <c r="AP2782" s="466"/>
      <c r="AQ2782" s="466"/>
      <c r="AR2782" s="466"/>
      <c r="AS2782" s="466"/>
      <c r="AT2782" s="466"/>
      <c r="AU2782" s="466"/>
      <c r="AV2782" s="466"/>
      <c r="AW2782" s="466"/>
      <c r="AX2782" s="466"/>
      <c r="AY2782" s="466"/>
      <c r="AZ2782" s="466"/>
      <c r="BA2782" s="466"/>
      <c r="BB2782" s="466"/>
      <c r="BC2782" s="466"/>
      <c r="BD2782" s="466"/>
      <c r="BE2782" s="467"/>
      <c r="BF2782" s="467"/>
      <c r="BG2782" s="466"/>
      <c r="BH2782" s="466"/>
      <c r="BI2782" s="467"/>
      <c r="BJ2782" s="467"/>
      <c r="BK2782" s="467"/>
      <c r="BL2782" s="467"/>
      <c r="BM2782" s="467"/>
      <c r="BN2782" s="467"/>
      <c r="BO2782" s="467"/>
      <c r="BP2782" s="467"/>
      <c r="BQ2782" s="467"/>
      <c r="BR2782" s="467"/>
      <c r="BS2782" s="467"/>
      <c r="BT2782" s="467"/>
      <c r="BU2782" s="467"/>
      <c r="BV2782" s="467"/>
      <c r="BW2782" s="467"/>
      <c r="BX2782" s="769"/>
      <c r="BY2782" s="769"/>
      <c r="BZ2782" s="769"/>
      <c r="CA2782" s="769"/>
      <c r="CB2782" s="769"/>
      <c r="CC2782" s="769"/>
      <c r="CD2782" s="769"/>
      <c r="CE2782" s="769"/>
      <c r="CF2782" s="769"/>
      <c r="CG2782" s="73"/>
      <c r="CH2782" s="438"/>
      <c r="CI2782" s="416"/>
      <c r="CJ2782" s="73"/>
      <c r="CK2782" s="650"/>
      <c r="CL2782" s="499"/>
      <c r="CM2782" s="650"/>
      <c r="CR2782" s="416"/>
      <c r="CS2782" s="650"/>
      <c r="CU2782" s="73"/>
      <c r="CV2782" s="73"/>
      <c r="CW2782" s="73"/>
      <c r="CX2782" s="73"/>
      <c r="DA2782" s="650"/>
    </row>
    <row r="2783" spans="1:105" s="45" customFormat="1" x14ac:dyDescent="0.2">
      <c r="A2783" s="650"/>
      <c r="B2783" s="438"/>
      <c r="D2783" s="73"/>
      <c r="E2783" s="650"/>
      <c r="F2783" s="650"/>
      <c r="G2783" s="73"/>
      <c r="I2783" s="111"/>
      <c r="J2783" s="81"/>
      <c r="K2783" s="81"/>
      <c r="L2783" s="499"/>
      <c r="M2783" s="73"/>
      <c r="N2783" s="499"/>
      <c r="O2783" s="73"/>
      <c r="P2783" s="73"/>
      <c r="Q2783" s="73"/>
      <c r="R2783" s="176"/>
      <c r="S2783" s="176"/>
      <c r="T2783" s="176"/>
      <c r="U2783" s="400"/>
      <c r="V2783" s="400"/>
      <c r="W2783" s="732"/>
      <c r="X2783" s="167"/>
      <c r="Y2783" s="509"/>
      <c r="Z2783" s="466"/>
      <c r="AA2783" s="466"/>
      <c r="AB2783" s="466"/>
      <c r="AC2783" s="466"/>
      <c r="AD2783" s="466"/>
      <c r="AE2783" s="466"/>
      <c r="AF2783" s="466"/>
      <c r="AG2783" s="466"/>
      <c r="AH2783" s="466"/>
      <c r="AI2783" s="466"/>
      <c r="AJ2783" s="466"/>
      <c r="AK2783" s="466"/>
      <c r="AL2783" s="466"/>
      <c r="AM2783" s="466"/>
      <c r="AN2783" s="466"/>
      <c r="AO2783" s="466"/>
      <c r="AP2783" s="466"/>
      <c r="AQ2783" s="466"/>
      <c r="AR2783" s="466"/>
      <c r="AS2783" s="466"/>
      <c r="AT2783" s="466"/>
      <c r="AU2783" s="466"/>
      <c r="AV2783" s="466"/>
      <c r="AW2783" s="466"/>
      <c r="AX2783" s="466"/>
      <c r="AY2783" s="466"/>
      <c r="AZ2783" s="466"/>
      <c r="BA2783" s="466"/>
      <c r="BB2783" s="466"/>
      <c r="BC2783" s="466"/>
      <c r="BD2783" s="466"/>
      <c r="BE2783" s="467"/>
      <c r="BF2783" s="467"/>
      <c r="BG2783" s="466"/>
      <c r="BH2783" s="466"/>
      <c r="BI2783" s="467"/>
      <c r="BJ2783" s="467"/>
      <c r="BK2783" s="467"/>
      <c r="BL2783" s="467"/>
      <c r="BM2783" s="467"/>
      <c r="BN2783" s="467"/>
      <c r="BO2783" s="467"/>
      <c r="BP2783" s="467"/>
      <c r="BQ2783" s="467"/>
      <c r="BR2783" s="467"/>
      <c r="BS2783" s="467"/>
      <c r="BT2783" s="467"/>
      <c r="BU2783" s="467"/>
      <c r="BV2783" s="467"/>
      <c r="BW2783" s="467"/>
      <c r="BX2783" s="769"/>
      <c r="BY2783" s="769"/>
      <c r="BZ2783" s="769"/>
      <c r="CA2783" s="769"/>
      <c r="CB2783" s="769"/>
      <c r="CC2783" s="769"/>
      <c r="CD2783" s="769"/>
      <c r="CE2783" s="769"/>
      <c r="CF2783" s="769"/>
      <c r="CG2783" s="73"/>
      <c r="CH2783" s="438"/>
      <c r="CI2783" s="416"/>
      <c r="CJ2783" s="73"/>
      <c r="CK2783" s="650"/>
      <c r="CL2783" s="499"/>
      <c r="CM2783" s="650"/>
      <c r="CR2783" s="416"/>
      <c r="CS2783" s="650"/>
      <c r="CU2783" s="73"/>
      <c r="CV2783" s="73"/>
      <c r="CW2783" s="73"/>
      <c r="CX2783" s="73"/>
      <c r="DA2783" s="650"/>
    </row>
    <row r="2784" spans="1:105" s="45" customFormat="1" x14ac:dyDescent="0.2">
      <c r="A2784" s="650"/>
      <c r="B2784" s="438"/>
      <c r="D2784" s="73"/>
      <c r="E2784" s="650"/>
      <c r="F2784" s="650"/>
      <c r="G2784" s="73"/>
      <c r="I2784" s="111"/>
      <c r="J2784" s="81"/>
      <c r="K2784" s="81"/>
      <c r="L2784" s="499"/>
      <c r="M2784" s="73"/>
      <c r="N2784" s="499"/>
      <c r="O2784" s="73"/>
      <c r="P2784" s="73"/>
      <c r="Q2784" s="73"/>
      <c r="R2784" s="176"/>
      <c r="S2784" s="176"/>
      <c r="T2784" s="176"/>
      <c r="U2784" s="400"/>
      <c r="V2784" s="400"/>
      <c r="W2784" s="732"/>
      <c r="X2784" s="167"/>
      <c r="Y2784" s="509"/>
      <c r="Z2784" s="466"/>
      <c r="AA2784" s="466"/>
      <c r="AB2784" s="466"/>
      <c r="AC2784" s="466"/>
      <c r="AD2784" s="466"/>
      <c r="AE2784" s="466"/>
      <c r="AF2784" s="466"/>
      <c r="AG2784" s="466"/>
      <c r="AH2784" s="466"/>
      <c r="AI2784" s="466"/>
      <c r="AJ2784" s="466"/>
      <c r="AK2784" s="466"/>
      <c r="AL2784" s="466"/>
      <c r="AM2784" s="466"/>
      <c r="AN2784" s="466"/>
      <c r="AO2784" s="466"/>
      <c r="AP2784" s="466"/>
      <c r="AQ2784" s="466"/>
      <c r="AR2784" s="466"/>
      <c r="AS2784" s="466"/>
      <c r="AT2784" s="466"/>
      <c r="AU2784" s="466"/>
      <c r="AV2784" s="466"/>
      <c r="AW2784" s="466"/>
      <c r="AX2784" s="466"/>
      <c r="AY2784" s="466"/>
      <c r="AZ2784" s="466"/>
      <c r="BA2784" s="466"/>
      <c r="BB2784" s="466"/>
      <c r="BC2784" s="466"/>
      <c r="BD2784" s="466"/>
      <c r="BE2784" s="467"/>
      <c r="BF2784" s="467"/>
      <c r="BG2784" s="466"/>
      <c r="BH2784" s="466"/>
      <c r="BI2784" s="467"/>
      <c r="BJ2784" s="467"/>
      <c r="BK2784" s="467"/>
      <c r="BL2784" s="467"/>
      <c r="BM2784" s="467"/>
      <c r="BN2784" s="467"/>
      <c r="BO2784" s="467"/>
      <c r="BP2784" s="467"/>
      <c r="BQ2784" s="467"/>
      <c r="BR2784" s="467"/>
      <c r="BS2784" s="467"/>
      <c r="BT2784" s="467"/>
      <c r="BU2784" s="467"/>
      <c r="BV2784" s="467"/>
      <c r="BW2784" s="467"/>
      <c r="BX2784" s="769"/>
      <c r="BY2784" s="769"/>
      <c r="BZ2784" s="769"/>
      <c r="CA2784" s="769"/>
      <c r="CB2784" s="769"/>
      <c r="CC2784" s="769"/>
      <c r="CD2784" s="769"/>
      <c r="CE2784" s="769"/>
      <c r="CF2784" s="769"/>
      <c r="CG2784" s="73"/>
      <c r="CH2784" s="438"/>
      <c r="CI2784" s="416"/>
      <c r="CJ2784" s="73"/>
      <c r="CK2784" s="650"/>
      <c r="CL2784" s="499"/>
      <c r="CM2784" s="650"/>
      <c r="CR2784" s="416"/>
      <c r="CS2784" s="650"/>
      <c r="CU2784" s="73"/>
      <c r="CV2784" s="73"/>
      <c r="CW2784" s="73"/>
      <c r="CX2784" s="73"/>
      <c r="DA2784" s="650"/>
    </row>
    <row r="2785" spans="1:105" s="45" customFormat="1" x14ac:dyDescent="0.2">
      <c r="A2785" s="650"/>
      <c r="B2785" s="438"/>
      <c r="D2785" s="73"/>
      <c r="E2785" s="650"/>
      <c r="F2785" s="650"/>
      <c r="G2785" s="73"/>
      <c r="I2785" s="111"/>
      <c r="J2785" s="81"/>
      <c r="K2785" s="81"/>
      <c r="L2785" s="499"/>
      <c r="M2785" s="73"/>
      <c r="N2785" s="499"/>
      <c r="O2785" s="73"/>
      <c r="P2785" s="73"/>
      <c r="Q2785" s="73"/>
      <c r="R2785" s="176"/>
      <c r="S2785" s="176"/>
      <c r="T2785" s="176"/>
      <c r="U2785" s="400"/>
      <c r="V2785" s="400"/>
      <c r="W2785" s="732"/>
      <c r="X2785" s="167"/>
      <c r="Y2785" s="509"/>
      <c r="Z2785" s="466"/>
      <c r="AA2785" s="466"/>
      <c r="AB2785" s="466"/>
      <c r="AC2785" s="466"/>
      <c r="AD2785" s="466"/>
      <c r="AE2785" s="466"/>
      <c r="AF2785" s="466"/>
      <c r="AG2785" s="466"/>
      <c r="AH2785" s="466"/>
      <c r="AI2785" s="466"/>
      <c r="AJ2785" s="466"/>
      <c r="AK2785" s="466"/>
      <c r="AL2785" s="466"/>
      <c r="AM2785" s="466"/>
      <c r="AN2785" s="466"/>
      <c r="AO2785" s="466"/>
      <c r="AP2785" s="466"/>
      <c r="AQ2785" s="466"/>
      <c r="AR2785" s="466"/>
      <c r="AS2785" s="466"/>
      <c r="AT2785" s="466"/>
      <c r="AU2785" s="466"/>
      <c r="AV2785" s="466"/>
      <c r="AW2785" s="466"/>
      <c r="AX2785" s="466"/>
      <c r="AY2785" s="466"/>
      <c r="AZ2785" s="466"/>
      <c r="BA2785" s="466"/>
      <c r="BB2785" s="466"/>
      <c r="BC2785" s="466"/>
      <c r="BD2785" s="466"/>
      <c r="BE2785" s="467"/>
      <c r="BF2785" s="467"/>
      <c r="BG2785" s="466"/>
      <c r="BH2785" s="466"/>
      <c r="BI2785" s="467"/>
      <c r="BJ2785" s="467"/>
      <c r="BK2785" s="467"/>
      <c r="BL2785" s="467"/>
      <c r="BM2785" s="467"/>
      <c r="BN2785" s="467"/>
      <c r="BO2785" s="467"/>
      <c r="BP2785" s="467"/>
      <c r="BQ2785" s="467"/>
      <c r="BR2785" s="467"/>
      <c r="BS2785" s="467"/>
      <c r="BT2785" s="467"/>
      <c r="BU2785" s="467"/>
      <c r="BV2785" s="467"/>
      <c r="BW2785" s="467"/>
      <c r="BX2785" s="769"/>
      <c r="BY2785" s="769"/>
      <c r="BZ2785" s="769"/>
      <c r="CA2785" s="769"/>
      <c r="CB2785" s="769"/>
      <c r="CC2785" s="769"/>
      <c r="CD2785" s="769"/>
      <c r="CE2785" s="769"/>
      <c r="CF2785" s="769"/>
      <c r="CG2785" s="73"/>
      <c r="CH2785" s="438"/>
      <c r="CI2785" s="416"/>
      <c r="CJ2785" s="73"/>
      <c r="CK2785" s="650"/>
      <c r="CL2785" s="499"/>
      <c r="CM2785" s="650"/>
      <c r="CR2785" s="416"/>
      <c r="CS2785" s="650"/>
      <c r="CU2785" s="73"/>
      <c r="CV2785" s="73"/>
      <c r="CW2785" s="73"/>
      <c r="CX2785" s="73"/>
      <c r="DA2785" s="650"/>
    </row>
    <row r="2786" spans="1:105" s="45" customFormat="1" x14ac:dyDescent="0.2">
      <c r="A2786" s="650"/>
      <c r="B2786" s="438"/>
      <c r="D2786" s="73"/>
      <c r="E2786" s="650"/>
      <c r="F2786" s="650"/>
      <c r="G2786" s="73"/>
      <c r="I2786" s="111"/>
      <c r="J2786" s="81"/>
      <c r="K2786" s="81"/>
      <c r="L2786" s="499"/>
      <c r="M2786" s="73"/>
      <c r="N2786" s="499"/>
      <c r="O2786" s="73"/>
      <c r="P2786" s="73"/>
      <c r="Q2786" s="73"/>
      <c r="R2786" s="176"/>
      <c r="S2786" s="176"/>
      <c r="T2786" s="176"/>
      <c r="U2786" s="400"/>
      <c r="V2786" s="400"/>
      <c r="W2786" s="732"/>
      <c r="X2786" s="167"/>
      <c r="Y2786" s="509"/>
      <c r="Z2786" s="466"/>
      <c r="AA2786" s="466"/>
      <c r="AB2786" s="466"/>
      <c r="AC2786" s="466"/>
      <c r="AD2786" s="466"/>
      <c r="AE2786" s="466"/>
      <c r="AF2786" s="466"/>
      <c r="AG2786" s="466"/>
      <c r="AH2786" s="466"/>
      <c r="AI2786" s="466"/>
      <c r="AJ2786" s="466"/>
      <c r="AK2786" s="466"/>
      <c r="AL2786" s="466"/>
      <c r="AM2786" s="466"/>
      <c r="AN2786" s="466"/>
      <c r="AO2786" s="466"/>
      <c r="AP2786" s="466"/>
      <c r="AQ2786" s="466"/>
      <c r="AR2786" s="466"/>
      <c r="AS2786" s="466"/>
      <c r="AT2786" s="466"/>
      <c r="AU2786" s="466"/>
      <c r="AV2786" s="466"/>
      <c r="AW2786" s="466"/>
      <c r="AX2786" s="466"/>
      <c r="AY2786" s="466"/>
      <c r="AZ2786" s="466"/>
      <c r="BA2786" s="466"/>
      <c r="BB2786" s="466"/>
      <c r="BC2786" s="466"/>
      <c r="BD2786" s="466"/>
      <c r="BE2786" s="467"/>
      <c r="BF2786" s="467"/>
      <c r="BG2786" s="466"/>
      <c r="BH2786" s="466"/>
      <c r="BI2786" s="467"/>
      <c r="BJ2786" s="467"/>
      <c r="BK2786" s="467"/>
      <c r="BL2786" s="467"/>
      <c r="BM2786" s="467"/>
      <c r="BN2786" s="467"/>
      <c r="BO2786" s="467"/>
      <c r="BP2786" s="467"/>
      <c r="BQ2786" s="467"/>
      <c r="BR2786" s="467"/>
      <c r="BS2786" s="467"/>
      <c r="BT2786" s="467"/>
      <c r="BU2786" s="467"/>
      <c r="BV2786" s="467"/>
      <c r="BW2786" s="467"/>
      <c r="BX2786" s="769"/>
      <c r="BY2786" s="769"/>
      <c r="BZ2786" s="769"/>
      <c r="CA2786" s="769"/>
      <c r="CB2786" s="769"/>
      <c r="CC2786" s="769"/>
      <c r="CD2786" s="769"/>
      <c r="CE2786" s="769"/>
      <c r="CF2786" s="769"/>
      <c r="CG2786" s="73"/>
      <c r="CH2786" s="438"/>
      <c r="CI2786" s="416"/>
      <c r="CJ2786" s="73"/>
      <c r="CK2786" s="650"/>
      <c r="CL2786" s="499"/>
      <c r="CM2786" s="650"/>
      <c r="CR2786" s="416"/>
      <c r="CS2786" s="650"/>
      <c r="CU2786" s="73"/>
      <c r="CV2786" s="73"/>
      <c r="CW2786" s="73"/>
      <c r="CX2786" s="73"/>
      <c r="DA2786" s="650"/>
    </row>
    <row r="2787" spans="1:105" s="45" customFormat="1" x14ac:dyDescent="0.2">
      <c r="A2787" s="650"/>
      <c r="B2787" s="438"/>
      <c r="D2787" s="73"/>
      <c r="E2787" s="650"/>
      <c r="F2787" s="650"/>
      <c r="G2787" s="73"/>
      <c r="I2787" s="111"/>
      <c r="J2787" s="81"/>
      <c r="K2787" s="81"/>
      <c r="L2787" s="499"/>
      <c r="M2787" s="73"/>
      <c r="N2787" s="499"/>
      <c r="O2787" s="73"/>
      <c r="P2787" s="73"/>
      <c r="Q2787" s="73"/>
      <c r="R2787" s="176"/>
      <c r="S2787" s="176"/>
      <c r="T2787" s="176"/>
      <c r="U2787" s="400"/>
      <c r="V2787" s="400"/>
      <c r="W2787" s="732"/>
      <c r="X2787" s="167"/>
      <c r="Y2787" s="509"/>
      <c r="Z2787" s="466"/>
      <c r="AA2787" s="466"/>
      <c r="AB2787" s="466"/>
      <c r="AC2787" s="466"/>
      <c r="AD2787" s="466"/>
      <c r="AE2787" s="466"/>
      <c r="AF2787" s="466"/>
      <c r="AG2787" s="466"/>
      <c r="AH2787" s="466"/>
      <c r="AI2787" s="466"/>
      <c r="AJ2787" s="466"/>
      <c r="AK2787" s="466"/>
      <c r="AL2787" s="466"/>
      <c r="AM2787" s="466"/>
      <c r="AN2787" s="466"/>
      <c r="AO2787" s="466"/>
      <c r="AP2787" s="466"/>
      <c r="AQ2787" s="466"/>
      <c r="AR2787" s="466"/>
      <c r="AS2787" s="466"/>
      <c r="AT2787" s="466"/>
      <c r="AU2787" s="466"/>
      <c r="AV2787" s="466"/>
      <c r="AW2787" s="466"/>
      <c r="AX2787" s="466"/>
      <c r="AY2787" s="466"/>
      <c r="AZ2787" s="466"/>
      <c r="BA2787" s="466"/>
      <c r="BB2787" s="466"/>
      <c r="BC2787" s="466"/>
      <c r="BD2787" s="466"/>
      <c r="BE2787" s="467"/>
      <c r="BF2787" s="467"/>
      <c r="BG2787" s="466"/>
      <c r="BH2787" s="466"/>
      <c r="BI2787" s="467"/>
      <c r="BJ2787" s="467"/>
      <c r="BK2787" s="467"/>
      <c r="BL2787" s="467"/>
      <c r="BM2787" s="467"/>
      <c r="BN2787" s="467"/>
      <c r="BO2787" s="467"/>
      <c r="BP2787" s="467"/>
      <c r="BQ2787" s="467"/>
      <c r="BR2787" s="467"/>
      <c r="BS2787" s="467"/>
      <c r="BT2787" s="467"/>
      <c r="BU2787" s="467"/>
      <c r="BV2787" s="467"/>
      <c r="BW2787" s="467"/>
      <c r="BX2787" s="769"/>
      <c r="BY2787" s="769"/>
      <c r="BZ2787" s="769"/>
      <c r="CA2787" s="769"/>
      <c r="CB2787" s="769"/>
      <c r="CC2787" s="769"/>
      <c r="CD2787" s="769"/>
      <c r="CE2787" s="769"/>
      <c r="CF2787" s="769"/>
      <c r="CG2787" s="73"/>
      <c r="CH2787" s="438"/>
      <c r="CI2787" s="416"/>
      <c r="CJ2787" s="73"/>
      <c r="CK2787" s="650"/>
      <c r="CL2787" s="499"/>
      <c r="CM2787" s="650"/>
      <c r="CR2787" s="416"/>
      <c r="CS2787" s="650"/>
      <c r="CU2787" s="73"/>
      <c r="CV2787" s="73"/>
      <c r="CW2787" s="73"/>
      <c r="CX2787" s="73"/>
      <c r="DA2787" s="650"/>
    </row>
    <row r="2788" spans="1:105" s="45" customFormat="1" x14ac:dyDescent="0.2">
      <c r="A2788" s="650"/>
      <c r="B2788" s="438"/>
      <c r="D2788" s="73"/>
      <c r="E2788" s="650"/>
      <c r="F2788" s="650"/>
      <c r="G2788" s="73"/>
      <c r="I2788" s="111"/>
      <c r="J2788" s="81"/>
      <c r="K2788" s="81"/>
      <c r="L2788" s="499"/>
      <c r="M2788" s="73"/>
      <c r="N2788" s="499"/>
      <c r="O2788" s="73"/>
      <c r="P2788" s="73"/>
      <c r="Q2788" s="73"/>
      <c r="R2788" s="176"/>
      <c r="S2788" s="176"/>
      <c r="T2788" s="176"/>
      <c r="U2788" s="400"/>
      <c r="V2788" s="400"/>
      <c r="W2788" s="732"/>
      <c r="X2788" s="167"/>
      <c r="Y2788" s="509"/>
      <c r="Z2788" s="466"/>
      <c r="AA2788" s="466"/>
      <c r="AB2788" s="466"/>
      <c r="AC2788" s="466"/>
      <c r="AD2788" s="466"/>
      <c r="AE2788" s="466"/>
      <c r="AF2788" s="466"/>
      <c r="AG2788" s="466"/>
      <c r="AH2788" s="466"/>
      <c r="AI2788" s="466"/>
      <c r="AJ2788" s="466"/>
      <c r="AK2788" s="466"/>
      <c r="AL2788" s="466"/>
      <c r="AM2788" s="466"/>
      <c r="AN2788" s="466"/>
      <c r="AO2788" s="466"/>
      <c r="AP2788" s="466"/>
      <c r="AQ2788" s="466"/>
      <c r="AR2788" s="466"/>
      <c r="AS2788" s="466"/>
      <c r="AT2788" s="466"/>
      <c r="AU2788" s="466"/>
      <c r="AV2788" s="466"/>
      <c r="AW2788" s="466"/>
      <c r="AX2788" s="466"/>
      <c r="AY2788" s="466"/>
      <c r="AZ2788" s="466"/>
      <c r="BA2788" s="466"/>
      <c r="BB2788" s="466"/>
      <c r="BC2788" s="466"/>
      <c r="BD2788" s="466"/>
      <c r="BE2788" s="467"/>
      <c r="BF2788" s="467"/>
      <c r="BG2788" s="466"/>
      <c r="BH2788" s="466"/>
      <c r="BI2788" s="467"/>
      <c r="BJ2788" s="467"/>
      <c r="BK2788" s="467"/>
      <c r="BL2788" s="467"/>
      <c r="BM2788" s="467"/>
      <c r="BN2788" s="467"/>
      <c r="BO2788" s="467"/>
      <c r="BP2788" s="467"/>
      <c r="BQ2788" s="467"/>
      <c r="BR2788" s="467"/>
      <c r="BS2788" s="467"/>
      <c r="BT2788" s="467"/>
      <c r="BU2788" s="467"/>
      <c r="BV2788" s="467"/>
      <c r="BW2788" s="467"/>
      <c r="BX2788" s="769"/>
      <c r="BY2788" s="769"/>
      <c r="BZ2788" s="769"/>
      <c r="CA2788" s="769"/>
      <c r="CB2788" s="769"/>
      <c r="CC2788" s="769"/>
      <c r="CD2788" s="769"/>
      <c r="CE2788" s="769"/>
      <c r="CF2788" s="769"/>
      <c r="CG2788" s="73"/>
      <c r="CH2788" s="438"/>
      <c r="CI2788" s="416"/>
      <c r="CJ2788" s="73"/>
      <c r="CK2788" s="650"/>
      <c r="CL2788" s="499"/>
      <c r="CM2788" s="650"/>
      <c r="CR2788" s="416"/>
      <c r="CS2788" s="650"/>
      <c r="CU2788" s="73"/>
      <c r="CV2788" s="73"/>
      <c r="CW2788" s="73"/>
      <c r="CX2788" s="73"/>
      <c r="DA2788" s="650"/>
    </row>
    <row r="2789" spans="1:105" s="45" customFormat="1" x14ac:dyDescent="0.2">
      <c r="A2789" s="650"/>
      <c r="B2789" s="438"/>
      <c r="D2789" s="73"/>
      <c r="E2789" s="650"/>
      <c r="F2789" s="650"/>
      <c r="G2789" s="73"/>
      <c r="I2789" s="111"/>
      <c r="J2789" s="81"/>
      <c r="K2789" s="81"/>
      <c r="L2789" s="499"/>
      <c r="M2789" s="73"/>
      <c r="N2789" s="499"/>
      <c r="O2789" s="73"/>
      <c r="P2789" s="73"/>
      <c r="Q2789" s="73"/>
      <c r="R2789" s="176"/>
      <c r="S2789" s="176"/>
      <c r="T2789" s="176"/>
      <c r="U2789" s="400"/>
      <c r="V2789" s="400"/>
      <c r="W2789" s="732"/>
      <c r="X2789" s="167"/>
      <c r="Y2789" s="509"/>
      <c r="Z2789" s="466"/>
      <c r="AA2789" s="466"/>
      <c r="AB2789" s="466"/>
      <c r="AC2789" s="466"/>
      <c r="AD2789" s="466"/>
      <c r="AE2789" s="466"/>
      <c r="AF2789" s="466"/>
      <c r="AG2789" s="466"/>
      <c r="AH2789" s="466"/>
      <c r="AI2789" s="466"/>
      <c r="AJ2789" s="466"/>
      <c r="AK2789" s="466"/>
      <c r="AL2789" s="466"/>
      <c r="AM2789" s="466"/>
      <c r="AN2789" s="466"/>
      <c r="AO2789" s="466"/>
      <c r="AP2789" s="466"/>
      <c r="AQ2789" s="466"/>
      <c r="AR2789" s="466"/>
      <c r="AS2789" s="466"/>
      <c r="AT2789" s="466"/>
      <c r="AU2789" s="466"/>
      <c r="AV2789" s="466"/>
      <c r="AW2789" s="466"/>
      <c r="AX2789" s="466"/>
      <c r="AY2789" s="466"/>
      <c r="AZ2789" s="466"/>
      <c r="BA2789" s="466"/>
      <c r="BB2789" s="466"/>
      <c r="BC2789" s="466"/>
      <c r="BD2789" s="466"/>
      <c r="BE2789" s="467"/>
      <c r="BF2789" s="467"/>
      <c r="BG2789" s="466"/>
      <c r="BH2789" s="466"/>
      <c r="BI2789" s="467"/>
      <c r="BJ2789" s="467"/>
      <c r="BK2789" s="467"/>
      <c r="BL2789" s="467"/>
      <c r="BM2789" s="467"/>
      <c r="BN2789" s="467"/>
      <c r="BO2789" s="467"/>
      <c r="BP2789" s="467"/>
      <c r="BQ2789" s="467"/>
      <c r="BR2789" s="467"/>
      <c r="BS2789" s="467"/>
      <c r="BT2789" s="467"/>
      <c r="BU2789" s="467"/>
      <c r="BV2789" s="467"/>
      <c r="BW2789" s="467"/>
      <c r="BX2789" s="769"/>
      <c r="BY2789" s="769"/>
      <c r="BZ2789" s="769"/>
      <c r="CA2789" s="769"/>
      <c r="CB2789" s="769"/>
      <c r="CC2789" s="769"/>
      <c r="CD2789" s="769"/>
      <c r="CE2789" s="769"/>
      <c r="CF2789" s="769"/>
      <c r="CG2789" s="73"/>
      <c r="CH2789" s="438"/>
      <c r="CI2789" s="416"/>
      <c r="CJ2789" s="73"/>
      <c r="CK2789" s="650"/>
      <c r="CL2789" s="499"/>
      <c r="CM2789" s="650"/>
      <c r="CR2789" s="416"/>
      <c r="CS2789" s="650"/>
      <c r="CU2789" s="73"/>
      <c r="CV2789" s="73"/>
      <c r="CW2789" s="73"/>
      <c r="CX2789" s="73"/>
      <c r="DA2789" s="650"/>
    </row>
    <row r="2790" spans="1:105" s="45" customFormat="1" x14ac:dyDescent="0.2">
      <c r="A2790" s="650"/>
      <c r="B2790" s="438"/>
      <c r="D2790" s="73"/>
      <c r="E2790" s="650"/>
      <c r="F2790" s="650"/>
      <c r="G2790" s="73"/>
      <c r="I2790" s="111"/>
      <c r="J2790" s="81"/>
      <c r="K2790" s="81"/>
      <c r="L2790" s="499"/>
      <c r="M2790" s="73"/>
      <c r="N2790" s="499"/>
      <c r="O2790" s="73"/>
      <c r="P2790" s="73"/>
      <c r="Q2790" s="73"/>
      <c r="R2790" s="176"/>
      <c r="S2790" s="176"/>
      <c r="T2790" s="176"/>
      <c r="U2790" s="400"/>
      <c r="V2790" s="400"/>
      <c r="W2790" s="732"/>
      <c r="X2790" s="167"/>
      <c r="Y2790" s="509"/>
      <c r="Z2790" s="466"/>
      <c r="AA2790" s="466"/>
      <c r="AB2790" s="466"/>
      <c r="AC2790" s="466"/>
      <c r="AD2790" s="466"/>
      <c r="AE2790" s="466"/>
      <c r="AF2790" s="466"/>
      <c r="AG2790" s="466"/>
      <c r="AH2790" s="466"/>
      <c r="AI2790" s="466"/>
      <c r="AJ2790" s="466"/>
      <c r="AK2790" s="466"/>
      <c r="AL2790" s="466"/>
      <c r="AM2790" s="466"/>
      <c r="AN2790" s="466"/>
      <c r="AO2790" s="466"/>
      <c r="AP2790" s="466"/>
      <c r="AQ2790" s="466"/>
      <c r="AR2790" s="466"/>
      <c r="AS2790" s="466"/>
      <c r="AT2790" s="466"/>
      <c r="AU2790" s="466"/>
      <c r="AV2790" s="466"/>
      <c r="AW2790" s="466"/>
      <c r="AX2790" s="466"/>
      <c r="AY2790" s="466"/>
      <c r="AZ2790" s="466"/>
      <c r="BA2790" s="466"/>
      <c r="BB2790" s="466"/>
      <c r="BC2790" s="466"/>
      <c r="BD2790" s="466"/>
      <c r="BE2790" s="467"/>
      <c r="BF2790" s="467"/>
      <c r="BG2790" s="466"/>
      <c r="BH2790" s="466"/>
      <c r="BI2790" s="467"/>
      <c r="BJ2790" s="467"/>
      <c r="BK2790" s="467"/>
      <c r="BL2790" s="467"/>
      <c r="BM2790" s="467"/>
      <c r="BN2790" s="467"/>
      <c r="BO2790" s="467"/>
      <c r="BP2790" s="467"/>
      <c r="BQ2790" s="467"/>
      <c r="BR2790" s="467"/>
      <c r="BS2790" s="467"/>
      <c r="BT2790" s="467"/>
      <c r="BU2790" s="467"/>
      <c r="BV2790" s="467"/>
      <c r="BW2790" s="467"/>
      <c r="BX2790" s="769"/>
      <c r="BY2790" s="769"/>
      <c r="BZ2790" s="769"/>
      <c r="CA2790" s="769"/>
      <c r="CB2790" s="769"/>
      <c r="CC2790" s="769"/>
      <c r="CD2790" s="769"/>
      <c r="CE2790" s="769"/>
      <c r="CF2790" s="769"/>
      <c r="CG2790" s="73"/>
      <c r="CH2790" s="438"/>
      <c r="CI2790" s="416"/>
      <c r="CJ2790" s="73"/>
      <c r="CK2790" s="650"/>
      <c r="CL2790" s="499"/>
      <c r="CM2790" s="650"/>
      <c r="CR2790" s="416"/>
      <c r="CS2790" s="650"/>
      <c r="CU2790" s="73"/>
      <c r="CV2790" s="73"/>
      <c r="CW2790" s="73"/>
      <c r="CX2790" s="73"/>
      <c r="DA2790" s="650"/>
    </row>
    <row r="2791" spans="1:105" s="45" customFormat="1" x14ac:dyDescent="0.2">
      <c r="A2791" s="650"/>
      <c r="B2791" s="438"/>
      <c r="D2791" s="73"/>
      <c r="E2791" s="650"/>
      <c r="F2791" s="650"/>
      <c r="G2791" s="73"/>
      <c r="I2791" s="111"/>
      <c r="J2791" s="81"/>
      <c r="K2791" s="81"/>
      <c r="L2791" s="499"/>
      <c r="M2791" s="73"/>
      <c r="N2791" s="499"/>
      <c r="O2791" s="73"/>
      <c r="P2791" s="73"/>
      <c r="Q2791" s="73"/>
      <c r="R2791" s="176"/>
      <c r="S2791" s="176"/>
      <c r="T2791" s="176"/>
      <c r="U2791" s="400"/>
      <c r="V2791" s="400"/>
      <c r="W2791" s="732"/>
      <c r="X2791" s="167"/>
      <c r="Y2791" s="509"/>
      <c r="Z2791" s="466"/>
      <c r="AA2791" s="466"/>
      <c r="AB2791" s="466"/>
      <c r="AC2791" s="466"/>
      <c r="AD2791" s="466"/>
      <c r="AE2791" s="466"/>
      <c r="AF2791" s="466"/>
      <c r="AG2791" s="466"/>
      <c r="AH2791" s="466"/>
      <c r="AI2791" s="466"/>
      <c r="AJ2791" s="466"/>
      <c r="AK2791" s="466"/>
      <c r="AL2791" s="466"/>
      <c r="AM2791" s="466"/>
      <c r="AN2791" s="466"/>
      <c r="AO2791" s="466"/>
      <c r="AP2791" s="466"/>
      <c r="AQ2791" s="466"/>
      <c r="AR2791" s="466"/>
      <c r="AS2791" s="466"/>
      <c r="AT2791" s="466"/>
      <c r="AU2791" s="466"/>
      <c r="AV2791" s="466"/>
      <c r="AW2791" s="466"/>
      <c r="AX2791" s="466"/>
      <c r="AY2791" s="466"/>
      <c r="AZ2791" s="466"/>
      <c r="BA2791" s="466"/>
      <c r="BB2791" s="466"/>
      <c r="BC2791" s="466"/>
      <c r="BD2791" s="466"/>
      <c r="BE2791" s="467"/>
      <c r="BF2791" s="467"/>
      <c r="BG2791" s="466"/>
      <c r="BH2791" s="466"/>
      <c r="BI2791" s="467"/>
      <c r="BJ2791" s="467"/>
      <c r="BK2791" s="467"/>
      <c r="BL2791" s="467"/>
      <c r="BM2791" s="467"/>
      <c r="BN2791" s="467"/>
      <c r="BO2791" s="467"/>
      <c r="BP2791" s="467"/>
      <c r="BQ2791" s="467"/>
      <c r="BR2791" s="467"/>
      <c r="BS2791" s="467"/>
      <c r="BT2791" s="467"/>
      <c r="BU2791" s="467"/>
      <c r="BV2791" s="467"/>
      <c r="BW2791" s="467"/>
      <c r="BX2791" s="769"/>
      <c r="BY2791" s="769"/>
      <c r="BZ2791" s="769"/>
      <c r="CA2791" s="769"/>
      <c r="CB2791" s="769"/>
      <c r="CC2791" s="769"/>
      <c r="CD2791" s="769"/>
      <c r="CE2791" s="769"/>
      <c r="CF2791" s="769"/>
      <c r="CG2791" s="73"/>
      <c r="CH2791" s="438"/>
      <c r="CI2791" s="416"/>
      <c r="CJ2791" s="73"/>
      <c r="CK2791" s="650"/>
      <c r="CL2791" s="499"/>
      <c r="CM2791" s="650"/>
      <c r="CR2791" s="416"/>
      <c r="CS2791" s="650"/>
      <c r="CU2791" s="73"/>
      <c r="CV2791" s="73"/>
      <c r="CW2791" s="73"/>
      <c r="CX2791" s="73"/>
      <c r="DA2791" s="650"/>
    </row>
    <row r="2792" spans="1:105" s="45" customFormat="1" x14ac:dyDescent="0.2">
      <c r="A2792" s="650"/>
      <c r="B2792" s="438"/>
      <c r="D2792" s="73"/>
      <c r="E2792" s="650"/>
      <c r="F2792" s="650"/>
      <c r="G2792" s="73"/>
      <c r="I2792" s="111"/>
      <c r="J2792" s="81"/>
      <c r="K2792" s="81"/>
      <c r="L2792" s="499"/>
      <c r="M2792" s="73"/>
      <c r="N2792" s="499"/>
      <c r="O2792" s="73"/>
      <c r="P2792" s="73"/>
      <c r="Q2792" s="73"/>
      <c r="R2792" s="176"/>
      <c r="S2792" s="176"/>
      <c r="T2792" s="176"/>
      <c r="U2792" s="400"/>
      <c r="V2792" s="400"/>
      <c r="W2792" s="732"/>
      <c r="X2792" s="167"/>
      <c r="Y2792" s="509"/>
      <c r="Z2792" s="466"/>
      <c r="AA2792" s="466"/>
      <c r="AB2792" s="466"/>
      <c r="AC2792" s="466"/>
      <c r="AD2792" s="466"/>
      <c r="AE2792" s="466"/>
      <c r="AF2792" s="466"/>
      <c r="AG2792" s="466"/>
      <c r="AH2792" s="466"/>
      <c r="AI2792" s="466"/>
      <c r="AJ2792" s="466"/>
      <c r="AK2792" s="466"/>
      <c r="AL2792" s="466"/>
      <c r="AM2792" s="466"/>
      <c r="AN2792" s="466"/>
      <c r="AO2792" s="466"/>
      <c r="AP2792" s="466"/>
      <c r="AQ2792" s="466"/>
      <c r="AR2792" s="466"/>
      <c r="AS2792" s="466"/>
      <c r="AT2792" s="466"/>
      <c r="AU2792" s="466"/>
      <c r="AV2792" s="466"/>
      <c r="AW2792" s="466"/>
      <c r="AX2792" s="466"/>
      <c r="AY2792" s="466"/>
      <c r="AZ2792" s="466"/>
      <c r="BA2792" s="466"/>
      <c r="BB2792" s="466"/>
      <c r="BC2792" s="466"/>
      <c r="BD2792" s="466"/>
      <c r="BE2792" s="467"/>
      <c r="BF2792" s="467"/>
      <c r="BG2792" s="466"/>
      <c r="BH2792" s="466"/>
      <c r="BI2792" s="467"/>
      <c r="BJ2792" s="467"/>
      <c r="BK2792" s="467"/>
      <c r="BL2792" s="467"/>
      <c r="BM2792" s="467"/>
      <c r="BN2792" s="467"/>
      <c r="BO2792" s="467"/>
      <c r="BP2792" s="467"/>
      <c r="BQ2792" s="467"/>
      <c r="BR2792" s="467"/>
      <c r="BS2792" s="467"/>
      <c r="BT2792" s="467"/>
      <c r="BU2792" s="467"/>
      <c r="BV2792" s="467"/>
      <c r="BW2792" s="467"/>
      <c r="BX2792" s="769"/>
      <c r="BY2792" s="769"/>
      <c r="BZ2792" s="769"/>
      <c r="CA2792" s="769"/>
      <c r="CB2792" s="769"/>
      <c r="CC2792" s="769"/>
      <c r="CD2792" s="769"/>
      <c r="CE2792" s="769"/>
      <c r="CF2792" s="769"/>
      <c r="CG2792" s="73"/>
      <c r="CH2792" s="438"/>
      <c r="CI2792" s="416"/>
      <c r="CJ2792" s="73"/>
      <c r="CK2792" s="650"/>
      <c r="CL2792" s="499"/>
      <c r="CM2792" s="650"/>
      <c r="CR2792" s="416"/>
      <c r="CS2792" s="650"/>
      <c r="CU2792" s="73"/>
      <c r="CV2792" s="73"/>
      <c r="CW2792" s="73"/>
      <c r="CX2792" s="73"/>
      <c r="DA2792" s="650"/>
    </row>
    <row r="2793" spans="1:105" s="45" customFormat="1" x14ac:dyDescent="0.2">
      <c r="A2793" s="650"/>
      <c r="B2793" s="438"/>
      <c r="D2793" s="73"/>
      <c r="E2793" s="650"/>
      <c r="F2793" s="650"/>
      <c r="G2793" s="73"/>
      <c r="I2793" s="111"/>
      <c r="J2793" s="81"/>
      <c r="K2793" s="81"/>
      <c r="L2793" s="499"/>
      <c r="M2793" s="73"/>
      <c r="N2793" s="499"/>
      <c r="O2793" s="73"/>
      <c r="P2793" s="73"/>
      <c r="Q2793" s="73"/>
      <c r="R2793" s="176"/>
      <c r="S2793" s="176"/>
      <c r="T2793" s="176"/>
      <c r="U2793" s="400"/>
      <c r="V2793" s="400"/>
      <c r="W2793" s="732"/>
      <c r="X2793" s="167"/>
      <c r="Y2793" s="509"/>
      <c r="Z2793" s="466"/>
      <c r="AA2793" s="466"/>
      <c r="AB2793" s="466"/>
      <c r="AC2793" s="466"/>
      <c r="AD2793" s="466"/>
      <c r="AE2793" s="466"/>
      <c r="AF2793" s="466"/>
      <c r="AG2793" s="466"/>
      <c r="AH2793" s="466"/>
      <c r="AI2793" s="466"/>
      <c r="AJ2793" s="466"/>
      <c r="AK2793" s="466"/>
      <c r="AL2793" s="466"/>
      <c r="AM2793" s="466"/>
      <c r="AN2793" s="466"/>
      <c r="AO2793" s="466"/>
      <c r="AP2793" s="466"/>
      <c r="AQ2793" s="466"/>
      <c r="AR2793" s="466"/>
      <c r="AS2793" s="466"/>
      <c r="AT2793" s="466"/>
      <c r="AU2793" s="466"/>
      <c r="AV2793" s="466"/>
      <c r="AW2793" s="466"/>
      <c r="AX2793" s="466"/>
      <c r="AY2793" s="466"/>
      <c r="AZ2793" s="466"/>
      <c r="BA2793" s="466"/>
      <c r="BB2793" s="466"/>
      <c r="BC2793" s="466"/>
      <c r="BD2793" s="466"/>
      <c r="BE2793" s="467"/>
      <c r="BF2793" s="467"/>
      <c r="BG2793" s="466"/>
      <c r="BH2793" s="466"/>
      <c r="BI2793" s="467"/>
      <c r="BJ2793" s="467"/>
      <c r="BK2793" s="467"/>
      <c r="BL2793" s="467"/>
      <c r="BM2793" s="467"/>
      <c r="BN2793" s="467"/>
      <c r="BO2793" s="467"/>
      <c r="BP2793" s="467"/>
      <c r="BQ2793" s="467"/>
      <c r="BR2793" s="467"/>
      <c r="BS2793" s="467"/>
      <c r="BT2793" s="467"/>
      <c r="BU2793" s="467"/>
      <c r="BV2793" s="467"/>
      <c r="BW2793" s="467"/>
      <c r="BX2793" s="769"/>
      <c r="BY2793" s="769"/>
      <c r="BZ2793" s="769"/>
      <c r="CA2793" s="769"/>
      <c r="CB2793" s="769"/>
      <c r="CC2793" s="769"/>
      <c r="CD2793" s="769"/>
      <c r="CE2793" s="769"/>
      <c r="CF2793" s="769"/>
      <c r="CG2793" s="73"/>
      <c r="CH2793" s="438"/>
      <c r="CI2793" s="416"/>
      <c r="CJ2793" s="73"/>
      <c r="CK2793" s="650"/>
      <c r="CL2793" s="499"/>
      <c r="CM2793" s="650"/>
      <c r="CR2793" s="416"/>
      <c r="CS2793" s="650"/>
      <c r="CU2793" s="73"/>
      <c r="CV2793" s="73"/>
      <c r="CW2793" s="73"/>
      <c r="CX2793" s="73"/>
      <c r="DA2793" s="650"/>
    </row>
    <row r="2794" spans="1:105" s="45" customFormat="1" x14ac:dyDescent="0.2">
      <c r="A2794" s="650"/>
      <c r="B2794" s="438"/>
      <c r="D2794" s="73"/>
      <c r="E2794" s="650"/>
      <c r="F2794" s="650"/>
      <c r="G2794" s="73"/>
      <c r="I2794" s="111"/>
      <c r="J2794" s="81"/>
      <c r="K2794" s="81"/>
      <c r="L2794" s="499"/>
      <c r="M2794" s="73"/>
      <c r="N2794" s="499"/>
      <c r="O2794" s="73"/>
      <c r="P2794" s="73"/>
      <c r="Q2794" s="73"/>
      <c r="R2794" s="176"/>
      <c r="S2794" s="176"/>
      <c r="T2794" s="176"/>
      <c r="U2794" s="400"/>
      <c r="V2794" s="400"/>
      <c r="W2794" s="732"/>
      <c r="X2794" s="167"/>
      <c r="Y2794" s="509"/>
      <c r="Z2794" s="466"/>
      <c r="AA2794" s="466"/>
      <c r="AB2794" s="466"/>
      <c r="AC2794" s="466"/>
      <c r="AD2794" s="466"/>
      <c r="AE2794" s="466"/>
      <c r="AF2794" s="466"/>
      <c r="AG2794" s="466"/>
      <c r="AH2794" s="466"/>
      <c r="AI2794" s="466"/>
      <c r="AJ2794" s="466"/>
      <c r="AK2794" s="466"/>
      <c r="AL2794" s="466"/>
      <c r="AM2794" s="466"/>
      <c r="AN2794" s="466"/>
      <c r="AO2794" s="466"/>
      <c r="AP2794" s="466"/>
      <c r="AQ2794" s="466"/>
      <c r="AR2794" s="466"/>
      <c r="AS2794" s="466"/>
      <c r="AT2794" s="466"/>
      <c r="AU2794" s="466"/>
      <c r="AV2794" s="466"/>
      <c r="AW2794" s="466"/>
      <c r="AX2794" s="466"/>
      <c r="AY2794" s="466"/>
      <c r="AZ2794" s="466"/>
      <c r="BA2794" s="466"/>
      <c r="BB2794" s="466"/>
      <c r="BC2794" s="466"/>
      <c r="BD2794" s="466"/>
      <c r="BE2794" s="467"/>
      <c r="BF2794" s="467"/>
      <c r="BG2794" s="466"/>
      <c r="BH2794" s="466"/>
      <c r="BI2794" s="467"/>
      <c r="BJ2794" s="467"/>
      <c r="BK2794" s="467"/>
      <c r="BL2794" s="467"/>
      <c r="BM2794" s="467"/>
      <c r="BN2794" s="467"/>
      <c r="BO2794" s="467"/>
      <c r="BP2794" s="467"/>
      <c r="BQ2794" s="467"/>
      <c r="BR2794" s="467"/>
      <c r="BS2794" s="467"/>
      <c r="BT2794" s="467"/>
      <c r="BU2794" s="467"/>
      <c r="BV2794" s="467"/>
      <c r="BW2794" s="467"/>
      <c r="BX2794" s="769"/>
      <c r="BY2794" s="769"/>
      <c r="BZ2794" s="769"/>
      <c r="CA2794" s="769"/>
      <c r="CB2794" s="769"/>
      <c r="CC2794" s="769"/>
      <c r="CD2794" s="769"/>
      <c r="CE2794" s="769"/>
      <c r="CF2794" s="769"/>
      <c r="CG2794" s="73"/>
      <c r="CH2794" s="438"/>
      <c r="CI2794" s="416"/>
      <c r="CJ2794" s="73"/>
      <c r="CK2794" s="650"/>
      <c r="CL2794" s="499"/>
      <c r="CM2794" s="650"/>
      <c r="CR2794" s="416"/>
      <c r="CS2794" s="650"/>
      <c r="CU2794" s="73"/>
      <c r="CV2794" s="73"/>
      <c r="CW2794" s="73"/>
      <c r="CX2794" s="73"/>
      <c r="DA2794" s="650"/>
    </row>
    <row r="2795" spans="1:105" s="45" customFormat="1" x14ac:dyDescent="0.2">
      <c r="A2795" s="650"/>
      <c r="B2795" s="438"/>
      <c r="D2795" s="73"/>
      <c r="E2795" s="650"/>
      <c r="F2795" s="650"/>
      <c r="G2795" s="73"/>
      <c r="I2795" s="111"/>
      <c r="J2795" s="81"/>
      <c r="K2795" s="81"/>
      <c r="L2795" s="499"/>
      <c r="M2795" s="73"/>
      <c r="N2795" s="499"/>
      <c r="O2795" s="73"/>
      <c r="P2795" s="73"/>
      <c r="Q2795" s="73"/>
      <c r="R2795" s="176"/>
      <c r="S2795" s="176"/>
      <c r="T2795" s="176"/>
      <c r="U2795" s="400"/>
      <c r="V2795" s="400"/>
      <c r="W2795" s="732"/>
      <c r="X2795" s="167"/>
      <c r="Y2795" s="509"/>
      <c r="Z2795" s="466"/>
      <c r="AA2795" s="466"/>
      <c r="AB2795" s="466"/>
      <c r="AC2795" s="466"/>
      <c r="AD2795" s="466"/>
      <c r="AE2795" s="466"/>
      <c r="AF2795" s="466"/>
      <c r="AG2795" s="466"/>
      <c r="AH2795" s="466"/>
      <c r="AI2795" s="466"/>
      <c r="AJ2795" s="466"/>
      <c r="AK2795" s="466"/>
      <c r="AL2795" s="466"/>
      <c r="AM2795" s="466"/>
      <c r="AN2795" s="466"/>
      <c r="AO2795" s="466"/>
      <c r="AP2795" s="466"/>
      <c r="AQ2795" s="466"/>
      <c r="AR2795" s="466"/>
      <c r="AS2795" s="466"/>
      <c r="AT2795" s="466"/>
      <c r="AU2795" s="466"/>
      <c r="AV2795" s="466"/>
      <c r="AW2795" s="466"/>
      <c r="AX2795" s="466"/>
      <c r="AY2795" s="466"/>
      <c r="AZ2795" s="466"/>
      <c r="BA2795" s="466"/>
      <c r="BB2795" s="466"/>
      <c r="BC2795" s="466"/>
      <c r="BD2795" s="466"/>
      <c r="BE2795" s="467"/>
      <c r="BF2795" s="467"/>
      <c r="BG2795" s="466"/>
      <c r="BH2795" s="466"/>
      <c r="BI2795" s="467"/>
      <c r="BJ2795" s="467"/>
      <c r="BK2795" s="467"/>
      <c r="BL2795" s="467"/>
      <c r="BM2795" s="467"/>
      <c r="BN2795" s="467"/>
      <c r="BO2795" s="467"/>
      <c r="BP2795" s="467"/>
      <c r="BQ2795" s="467"/>
      <c r="BR2795" s="467"/>
      <c r="BS2795" s="467"/>
      <c r="BT2795" s="467"/>
      <c r="BU2795" s="467"/>
      <c r="BV2795" s="467"/>
      <c r="BW2795" s="467"/>
      <c r="BX2795" s="769"/>
      <c r="BY2795" s="769"/>
      <c r="BZ2795" s="769"/>
      <c r="CA2795" s="769"/>
      <c r="CB2795" s="769"/>
      <c r="CC2795" s="769"/>
      <c r="CD2795" s="769"/>
      <c r="CE2795" s="769"/>
      <c r="CF2795" s="769"/>
      <c r="CG2795" s="73"/>
      <c r="CH2795" s="438"/>
      <c r="CI2795" s="416"/>
      <c r="CJ2795" s="73"/>
      <c r="CK2795" s="650"/>
      <c r="CL2795" s="499"/>
      <c r="CM2795" s="650"/>
      <c r="CR2795" s="416"/>
      <c r="CS2795" s="650"/>
      <c r="CU2795" s="73"/>
      <c r="CV2795" s="73"/>
      <c r="CW2795" s="73"/>
      <c r="CX2795" s="73"/>
      <c r="DA2795" s="650"/>
    </row>
    <row r="2796" spans="1:105" s="45" customFormat="1" x14ac:dyDescent="0.2">
      <c r="A2796" s="650"/>
      <c r="B2796" s="438"/>
      <c r="D2796" s="73"/>
      <c r="E2796" s="650"/>
      <c r="F2796" s="650"/>
      <c r="G2796" s="73"/>
      <c r="I2796" s="111"/>
      <c r="J2796" s="81"/>
      <c r="K2796" s="81"/>
      <c r="L2796" s="499"/>
      <c r="M2796" s="73"/>
      <c r="N2796" s="499"/>
      <c r="O2796" s="73"/>
      <c r="P2796" s="73"/>
      <c r="Q2796" s="73"/>
      <c r="R2796" s="176"/>
      <c r="S2796" s="176"/>
      <c r="T2796" s="176"/>
      <c r="U2796" s="400"/>
      <c r="V2796" s="400"/>
      <c r="W2796" s="732"/>
      <c r="X2796" s="167"/>
      <c r="Y2796" s="509"/>
      <c r="Z2796" s="466"/>
      <c r="AA2796" s="466"/>
      <c r="AB2796" s="466"/>
      <c r="AC2796" s="466"/>
      <c r="AD2796" s="466"/>
      <c r="AE2796" s="466"/>
      <c r="AF2796" s="466"/>
      <c r="AG2796" s="466"/>
      <c r="AH2796" s="466"/>
      <c r="AI2796" s="466"/>
      <c r="AJ2796" s="466"/>
      <c r="AK2796" s="466"/>
      <c r="AL2796" s="466"/>
      <c r="AM2796" s="466"/>
      <c r="AN2796" s="466"/>
      <c r="AO2796" s="466"/>
      <c r="AP2796" s="466"/>
      <c r="AQ2796" s="466"/>
      <c r="AR2796" s="466"/>
      <c r="AS2796" s="466"/>
      <c r="AT2796" s="466"/>
      <c r="AU2796" s="466"/>
      <c r="AV2796" s="466"/>
      <c r="AW2796" s="466"/>
      <c r="AX2796" s="466"/>
      <c r="AY2796" s="466"/>
      <c r="AZ2796" s="466"/>
      <c r="BA2796" s="466"/>
      <c r="BB2796" s="466"/>
      <c r="BC2796" s="466"/>
      <c r="BD2796" s="466"/>
      <c r="BE2796" s="467"/>
      <c r="BF2796" s="467"/>
      <c r="BG2796" s="466"/>
      <c r="BH2796" s="466"/>
      <c r="BI2796" s="467"/>
      <c r="BJ2796" s="467"/>
      <c r="BK2796" s="467"/>
      <c r="BL2796" s="467"/>
      <c r="BM2796" s="467"/>
      <c r="BN2796" s="467"/>
      <c r="BO2796" s="467"/>
      <c r="BP2796" s="467"/>
      <c r="BQ2796" s="467"/>
      <c r="BR2796" s="467"/>
      <c r="BS2796" s="467"/>
      <c r="BT2796" s="467"/>
      <c r="BU2796" s="467"/>
      <c r="BV2796" s="467"/>
      <c r="BW2796" s="467"/>
      <c r="BX2796" s="769"/>
      <c r="BY2796" s="769"/>
      <c r="BZ2796" s="769"/>
      <c r="CA2796" s="769"/>
      <c r="CB2796" s="769"/>
      <c r="CC2796" s="769"/>
      <c r="CD2796" s="769"/>
      <c r="CE2796" s="769"/>
      <c r="CF2796" s="769"/>
      <c r="CG2796" s="73"/>
      <c r="CH2796" s="438"/>
      <c r="CI2796" s="416"/>
      <c r="CJ2796" s="73"/>
      <c r="CK2796" s="650"/>
      <c r="CL2796" s="499"/>
      <c r="CM2796" s="650"/>
      <c r="CR2796" s="416"/>
      <c r="CS2796" s="650"/>
      <c r="CU2796" s="73"/>
      <c r="CV2796" s="73"/>
      <c r="CW2796" s="73"/>
      <c r="CX2796" s="73"/>
      <c r="DA2796" s="650"/>
    </row>
    <row r="2797" spans="1:105" s="45" customFormat="1" x14ac:dyDescent="0.2">
      <c r="A2797" s="650"/>
      <c r="B2797" s="438"/>
      <c r="D2797" s="73"/>
      <c r="E2797" s="650"/>
      <c r="F2797" s="650"/>
      <c r="G2797" s="73"/>
      <c r="I2797" s="111"/>
      <c r="J2797" s="81"/>
      <c r="K2797" s="81"/>
      <c r="L2797" s="499"/>
      <c r="M2797" s="73"/>
      <c r="N2797" s="499"/>
      <c r="O2797" s="73"/>
      <c r="P2797" s="73"/>
      <c r="Q2797" s="73"/>
      <c r="R2797" s="176"/>
      <c r="S2797" s="176"/>
      <c r="T2797" s="176"/>
      <c r="U2797" s="400"/>
      <c r="V2797" s="400"/>
      <c r="W2797" s="732"/>
      <c r="X2797" s="167"/>
      <c r="Y2797" s="509"/>
      <c r="Z2797" s="466"/>
      <c r="AA2797" s="466"/>
      <c r="AB2797" s="466"/>
      <c r="AC2797" s="466"/>
      <c r="AD2797" s="466"/>
      <c r="AE2797" s="466"/>
      <c r="AF2797" s="466"/>
      <c r="AG2797" s="466"/>
      <c r="AH2797" s="466"/>
      <c r="AI2797" s="466"/>
      <c r="AJ2797" s="466"/>
      <c r="AK2797" s="466"/>
      <c r="AL2797" s="466"/>
      <c r="AM2797" s="466"/>
      <c r="AN2797" s="466"/>
      <c r="AO2797" s="466"/>
      <c r="AP2797" s="466"/>
      <c r="AQ2797" s="466"/>
      <c r="AR2797" s="466"/>
      <c r="AS2797" s="466"/>
      <c r="AT2797" s="466"/>
      <c r="AU2797" s="466"/>
      <c r="AV2797" s="466"/>
      <c r="AW2797" s="466"/>
      <c r="AX2797" s="466"/>
      <c r="AY2797" s="466"/>
      <c r="AZ2797" s="466"/>
      <c r="BA2797" s="466"/>
      <c r="BB2797" s="466"/>
      <c r="BC2797" s="466"/>
      <c r="BD2797" s="466"/>
      <c r="BE2797" s="467"/>
      <c r="BF2797" s="467"/>
      <c r="BG2797" s="466"/>
      <c r="BH2797" s="466"/>
      <c r="BI2797" s="467"/>
      <c r="BJ2797" s="467"/>
      <c r="BK2797" s="467"/>
      <c r="BL2797" s="467"/>
      <c r="BM2797" s="467"/>
      <c r="BN2797" s="467"/>
      <c r="BO2797" s="467"/>
      <c r="BP2797" s="467"/>
      <c r="BQ2797" s="467"/>
      <c r="BR2797" s="467"/>
      <c r="BS2797" s="467"/>
      <c r="BT2797" s="467"/>
      <c r="BU2797" s="467"/>
      <c r="BV2797" s="467"/>
      <c r="BW2797" s="467"/>
      <c r="BX2797" s="769"/>
      <c r="BY2797" s="769"/>
      <c r="BZ2797" s="769"/>
      <c r="CA2797" s="769"/>
      <c r="CB2797" s="769"/>
      <c r="CC2797" s="769"/>
      <c r="CD2797" s="769"/>
      <c r="CE2797" s="769"/>
      <c r="CF2797" s="769"/>
      <c r="CG2797" s="73"/>
      <c r="CH2797" s="438"/>
      <c r="CI2797" s="416"/>
      <c r="CJ2797" s="73"/>
      <c r="CK2797" s="650"/>
      <c r="CL2797" s="499"/>
      <c r="CM2797" s="650"/>
      <c r="CR2797" s="416"/>
      <c r="CS2797" s="650"/>
      <c r="CU2797" s="73"/>
      <c r="CV2797" s="73"/>
      <c r="CW2797" s="73"/>
      <c r="CX2797" s="73"/>
      <c r="DA2797" s="650"/>
    </row>
    <row r="2798" spans="1:105" s="45" customFormat="1" x14ac:dyDescent="0.2">
      <c r="A2798" s="650"/>
      <c r="B2798" s="438"/>
      <c r="D2798" s="73"/>
      <c r="E2798" s="650"/>
      <c r="F2798" s="650"/>
      <c r="G2798" s="73"/>
      <c r="I2798" s="111"/>
      <c r="J2798" s="81"/>
      <c r="K2798" s="81"/>
      <c r="L2798" s="499"/>
      <c r="M2798" s="73"/>
      <c r="N2798" s="499"/>
      <c r="O2798" s="73"/>
      <c r="P2798" s="73"/>
      <c r="Q2798" s="73"/>
      <c r="R2798" s="176"/>
      <c r="S2798" s="176"/>
      <c r="T2798" s="176"/>
      <c r="U2798" s="400"/>
      <c r="V2798" s="400"/>
      <c r="W2798" s="732"/>
      <c r="X2798" s="167"/>
      <c r="Y2798" s="509"/>
      <c r="Z2798" s="466"/>
      <c r="AA2798" s="466"/>
      <c r="AB2798" s="466"/>
      <c r="AC2798" s="466"/>
      <c r="AD2798" s="466"/>
      <c r="AE2798" s="466"/>
      <c r="AF2798" s="466"/>
      <c r="AG2798" s="466"/>
      <c r="AH2798" s="466"/>
      <c r="AI2798" s="466"/>
      <c r="AJ2798" s="466"/>
      <c r="AK2798" s="466"/>
      <c r="AL2798" s="466"/>
      <c r="AM2798" s="466"/>
      <c r="AN2798" s="466"/>
      <c r="AO2798" s="466"/>
      <c r="AP2798" s="466"/>
      <c r="AQ2798" s="466"/>
      <c r="AR2798" s="466"/>
      <c r="AS2798" s="466"/>
      <c r="AT2798" s="466"/>
      <c r="AU2798" s="466"/>
      <c r="AV2798" s="466"/>
      <c r="AW2798" s="466"/>
      <c r="AX2798" s="466"/>
      <c r="AY2798" s="466"/>
      <c r="AZ2798" s="466"/>
      <c r="BA2798" s="466"/>
      <c r="BB2798" s="466"/>
      <c r="BC2798" s="466"/>
      <c r="BD2798" s="466"/>
      <c r="BE2798" s="467"/>
      <c r="BF2798" s="467"/>
      <c r="BG2798" s="466"/>
      <c r="BH2798" s="466"/>
      <c r="BI2798" s="467"/>
      <c r="BJ2798" s="467"/>
      <c r="BK2798" s="467"/>
      <c r="BL2798" s="467"/>
      <c r="BM2798" s="467"/>
      <c r="BN2798" s="467"/>
      <c r="BO2798" s="467"/>
      <c r="BP2798" s="467"/>
      <c r="BQ2798" s="467"/>
      <c r="BR2798" s="467"/>
      <c r="BS2798" s="467"/>
      <c r="BT2798" s="467"/>
      <c r="BU2798" s="467"/>
      <c r="BV2798" s="467"/>
      <c r="BW2798" s="467"/>
      <c r="BX2798" s="769"/>
      <c r="BY2798" s="769"/>
      <c r="BZ2798" s="769"/>
      <c r="CA2798" s="769"/>
      <c r="CB2798" s="769"/>
      <c r="CC2798" s="769"/>
      <c r="CD2798" s="769"/>
      <c r="CE2798" s="769"/>
      <c r="CF2798" s="769"/>
      <c r="CG2798" s="73"/>
      <c r="CH2798" s="438"/>
      <c r="CI2798" s="416"/>
      <c r="CJ2798" s="73"/>
      <c r="CK2798" s="650"/>
      <c r="CL2798" s="499"/>
      <c r="CM2798" s="650"/>
      <c r="CR2798" s="416"/>
      <c r="CS2798" s="650"/>
      <c r="CU2798" s="73"/>
      <c r="CV2798" s="73"/>
      <c r="CW2798" s="73"/>
      <c r="CX2798" s="73"/>
      <c r="DA2798" s="650"/>
    </row>
    <row r="2799" spans="1:105" s="45" customFormat="1" x14ac:dyDescent="0.2">
      <c r="A2799" s="650"/>
      <c r="B2799" s="438"/>
      <c r="D2799" s="73"/>
      <c r="E2799" s="650"/>
      <c r="F2799" s="650"/>
      <c r="G2799" s="73"/>
      <c r="I2799" s="111"/>
      <c r="J2799" s="81"/>
      <c r="K2799" s="81"/>
      <c r="L2799" s="499"/>
      <c r="M2799" s="73"/>
      <c r="N2799" s="499"/>
      <c r="O2799" s="73"/>
      <c r="P2799" s="73"/>
      <c r="Q2799" s="73"/>
      <c r="R2799" s="176"/>
      <c r="S2799" s="176"/>
      <c r="T2799" s="176"/>
      <c r="U2799" s="400"/>
      <c r="V2799" s="400"/>
      <c r="W2799" s="732"/>
      <c r="X2799" s="167"/>
      <c r="Y2799" s="509"/>
      <c r="Z2799" s="466"/>
      <c r="AA2799" s="466"/>
      <c r="AB2799" s="466"/>
      <c r="AC2799" s="466"/>
      <c r="AD2799" s="466"/>
      <c r="AE2799" s="466"/>
      <c r="AF2799" s="466"/>
      <c r="AG2799" s="466"/>
      <c r="AH2799" s="466"/>
      <c r="AI2799" s="466"/>
      <c r="AJ2799" s="466"/>
      <c r="AK2799" s="466"/>
      <c r="AL2799" s="466"/>
      <c r="AM2799" s="466"/>
      <c r="AN2799" s="466"/>
      <c r="AO2799" s="466"/>
      <c r="AP2799" s="466"/>
      <c r="AQ2799" s="466"/>
      <c r="AR2799" s="466"/>
      <c r="AS2799" s="466"/>
      <c r="AT2799" s="466"/>
      <c r="AU2799" s="466"/>
      <c r="AV2799" s="466"/>
      <c r="AW2799" s="466"/>
      <c r="AX2799" s="466"/>
      <c r="AY2799" s="466"/>
      <c r="AZ2799" s="466"/>
      <c r="BA2799" s="466"/>
      <c r="BB2799" s="466"/>
      <c r="BC2799" s="466"/>
      <c r="BD2799" s="466"/>
      <c r="BE2799" s="467"/>
      <c r="BF2799" s="467"/>
      <c r="BG2799" s="466"/>
      <c r="BH2799" s="466"/>
      <c r="BI2799" s="467"/>
      <c r="BJ2799" s="467"/>
      <c r="BK2799" s="467"/>
      <c r="BL2799" s="467"/>
      <c r="BM2799" s="467"/>
      <c r="BN2799" s="467"/>
      <c r="BO2799" s="467"/>
      <c r="BP2799" s="467"/>
      <c r="BQ2799" s="467"/>
      <c r="BR2799" s="467"/>
      <c r="BS2799" s="467"/>
      <c r="BT2799" s="467"/>
      <c r="BU2799" s="467"/>
      <c r="BV2799" s="467"/>
      <c r="BW2799" s="467"/>
      <c r="BX2799" s="769"/>
      <c r="BY2799" s="769"/>
      <c r="BZ2799" s="769"/>
      <c r="CA2799" s="769"/>
      <c r="CB2799" s="769"/>
      <c r="CC2799" s="769"/>
      <c r="CD2799" s="769"/>
      <c r="CE2799" s="769"/>
      <c r="CF2799" s="769"/>
      <c r="CG2799" s="73"/>
      <c r="CH2799" s="438"/>
      <c r="CI2799" s="416"/>
      <c r="CJ2799" s="73"/>
      <c r="CK2799" s="650"/>
      <c r="CL2799" s="499"/>
      <c r="CM2799" s="650"/>
      <c r="CR2799" s="416"/>
      <c r="CS2799" s="650"/>
      <c r="CU2799" s="73"/>
      <c r="CV2799" s="73"/>
      <c r="CW2799" s="73"/>
      <c r="CX2799" s="73"/>
      <c r="DA2799" s="650"/>
    </row>
    <row r="2800" spans="1:105" s="45" customFormat="1" x14ac:dyDescent="0.2">
      <c r="A2800" s="650"/>
      <c r="B2800" s="438"/>
      <c r="D2800" s="73"/>
      <c r="E2800" s="650"/>
      <c r="F2800" s="650"/>
      <c r="G2800" s="73"/>
      <c r="I2800" s="111"/>
      <c r="J2800" s="81"/>
      <c r="K2800" s="81"/>
      <c r="L2800" s="499"/>
      <c r="M2800" s="73"/>
      <c r="N2800" s="499"/>
      <c r="O2800" s="73"/>
      <c r="P2800" s="73"/>
      <c r="Q2800" s="73"/>
      <c r="R2800" s="176"/>
      <c r="S2800" s="176"/>
      <c r="T2800" s="176"/>
      <c r="U2800" s="400"/>
      <c r="V2800" s="400"/>
      <c r="W2800" s="732"/>
      <c r="X2800" s="167"/>
      <c r="Y2800" s="509"/>
      <c r="Z2800" s="466"/>
      <c r="AA2800" s="466"/>
      <c r="AB2800" s="466"/>
      <c r="AC2800" s="466"/>
      <c r="AD2800" s="466"/>
      <c r="AE2800" s="466"/>
      <c r="AF2800" s="466"/>
      <c r="AG2800" s="466"/>
      <c r="AH2800" s="466"/>
      <c r="AI2800" s="466"/>
      <c r="AJ2800" s="466"/>
      <c r="AK2800" s="466"/>
      <c r="AL2800" s="466"/>
      <c r="AM2800" s="466"/>
      <c r="AN2800" s="466"/>
      <c r="AO2800" s="466"/>
      <c r="AP2800" s="466"/>
      <c r="AQ2800" s="466"/>
      <c r="AR2800" s="466"/>
      <c r="AS2800" s="466"/>
      <c r="AT2800" s="466"/>
      <c r="AU2800" s="466"/>
      <c r="AV2800" s="466"/>
      <c r="AW2800" s="466"/>
      <c r="AX2800" s="466"/>
      <c r="AY2800" s="466"/>
      <c r="AZ2800" s="466"/>
      <c r="BA2800" s="466"/>
      <c r="BB2800" s="466"/>
      <c r="BC2800" s="466"/>
      <c r="BD2800" s="466"/>
      <c r="BE2800" s="467"/>
      <c r="BF2800" s="467"/>
      <c r="BG2800" s="466"/>
      <c r="BH2800" s="466"/>
      <c r="BI2800" s="467"/>
      <c r="BJ2800" s="467"/>
      <c r="BK2800" s="467"/>
      <c r="BL2800" s="467"/>
      <c r="BM2800" s="467"/>
      <c r="BN2800" s="467"/>
      <c r="BO2800" s="467"/>
      <c r="BP2800" s="467"/>
      <c r="BQ2800" s="467"/>
      <c r="BR2800" s="467"/>
      <c r="BS2800" s="467"/>
      <c r="BT2800" s="467"/>
      <c r="BU2800" s="467"/>
      <c r="BV2800" s="467"/>
      <c r="BW2800" s="467"/>
      <c r="BX2800" s="769"/>
      <c r="BY2800" s="769"/>
      <c r="BZ2800" s="769"/>
      <c r="CA2800" s="769"/>
      <c r="CB2800" s="769"/>
      <c r="CC2800" s="769"/>
      <c r="CD2800" s="769"/>
      <c r="CE2800" s="769"/>
      <c r="CF2800" s="769"/>
      <c r="CG2800" s="73"/>
      <c r="CH2800" s="438"/>
      <c r="CI2800" s="416"/>
      <c r="CJ2800" s="73"/>
      <c r="CK2800" s="650"/>
      <c r="CL2800" s="499"/>
      <c r="CM2800" s="650"/>
      <c r="CR2800" s="416"/>
      <c r="CS2800" s="650"/>
      <c r="CU2800" s="73"/>
      <c r="CV2800" s="73"/>
      <c r="CW2800" s="73"/>
      <c r="CX2800" s="73"/>
      <c r="DA2800" s="650"/>
    </row>
    <row r="2801" spans="1:105" s="45" customFormat="1" x14ac:dyDescent="0.2">
      <c r="A2801" s="650"/>
      <c r="B2801" s="438"/>
      <c r="D2801" s="73"/>
      <c r="E2801" s="650"/>
      <c r="F2801" s="650"/>
      <c r="G2801" s="73"/>
      <c r="I2801" s="111"/>
      <c r="J2801" s="81"/>
      <c r="K2801" s="81"/>
      <c r="L2801" s="499"/>
      <c r="M2801" s="73"/>
      <c r="N2801" s="499"/>
      <c r="O2801" s="73"/>
      <c r="P2801" s="73"/>
      <c r="Q2801" s="73"/>
      <c r="R2801" s="176"/>
      <c r="S2801" s="176"/>
      <c r="T2801" s="176"/>
      <c r="U2801" s="400"/>
      <c r="V2801" s="400"/>
      <c r="W2801" s="732"/>
      <c r="X2801" s="167"/>
      <c r="Y2801" s="509"/>
      <c r="Z2801" s="466"/>
      <c r="AA2801" s="466"/>
      <c r="AB2801" s="466"/>
      <c r="AC2801" s="466"/>
      <c r="AD2801" s="466"/>
      <c r="AE2801" s="466"/>
      <c r="AF2801" s="466"/>
      <c r="AG2801" s="466"/>
      <c r="AH2801" s="466"/>
      <c r="AI2801" s="466"/>
      <c r="AJ2801" s="466"/>
      <c r="AK2801" s="466"/>
      <c r="AL2801" s="466"/>
      <c r="AM2801" s="466"/>
      <c r="AN2801" s="466"/>
      <c r="AO2801" s="466"/>
      <c r="AP2801" s="466"/>
      <c r="AQ2801" s="466"/>
      <c r="AR2801" s="466"/>
      <c r="AS2801" s="466"/>
      <c r="AT2801" s="466"/>
      <c r="AU2801" s="466"/>
      <c r="AV2801" s="466"/>
      <c r="AW2801" s="466"/>
      <c r="AX2801" s="466"/>
      <c r="AY2801" s="466"/>
      <c r="AZ2801" s="466"/>
      <c r="BA2801" s="466"/>
      <c r="BB2801" s="466"/>
      <c r="BC2801" s="466"/>
      <c r="BD2801" s="466"/>
      <c r="BE2801" s="467"/>
      <c r="BF2801" s="467"/>
      <c r="BG2801" s="466"/>
      <c r="BH2801" s="466"/>
      <c r="BI2801" s="467"/>
      <c r="BJ2801" s="467"/>
      <c r="BK2801" s="467"/>
      <c r="BL2801" s="467"/>
      <c r="BM2801" s="467"/>
      <c r="BN2801" s="467"/>
      <c r="BO2801" s="467"/>
      <c r="BP2801" s="467"/>
      <c r="BQ2801" s="467"/>
      <c r="BR2801" s="467"/>
      <c r="BS2801" s="467"/>
      <c r="BT2801" s="467"/>
      <c r="BU2801" s="467"/>
      <c r="BV2801" s="467"/>
      <c r="BW2801" s="467"/>
      <c r="BX2801" s="769"/>
      <c r="BY2801" s="769"/>
      <c r="BZ2801" s="769"/>
      <c r="CA2801" s="769"/>
      <c r="CB2801" s="769"/>
      <c r="CC2801" s="769"/>
      <c r="CD2801" s="769"/>
      <c r="CE2801" s="769"/>
      <c r="CF2801" s="769"/>
      <c r="CG2801" s="73"/>
      <c r="CH2801" s="438"/>
      <c r="CI2801" s="416"/>
      <c r="CJ2801" s="73"/>
      <c r="CK2801" s="650"/>
      <c r="CL2801" s="499"/>
      <c r="CM2801" s="650"/>
      <c r="CR2801" s="416"/>
      <c r="CS2801" s="650"/>
      <c r="CU2801" s="73"/>
      <c r="CV2801" s="73"/>
      <c r="CW2801" s="73"/>
      <c r="CX2801" s="73"/>
      <c r="DA2801" s="650"/>
    </row>
    <row r="2802" spans="1:105" s="45" customFormat="1" x14ac:dyDescent="0.2">
      <c r="A2802" s="650"/>
      <c r="B2802" s="438"/>
      <c r="D2802" s="73"/>
      <c r="E2802" s="650"/>
      <c r="F2802" s="650"/>
      <c r="G2802" s="73"/>
      <c r="I2802" s="111"/>
      <c r="J2802" s="81"/>
      <c r="K2802" s="81"/>
      <c r="L2802" s="499"/>
      <c r="M2802" s="73"/>
      <c r="N2802" s="499"/>
      <c r="O2802" s="73"/>
      <c r="P2802" s="73"/>
      <c r="Q2802" s="73"/>
      <c r="R2802" s="176"/>
      <c r="S2802" s="176"/>
      <c r="T2802" s="176"/>
      <c r="U2802" s="400"/>
      <c r="V2802" s="400"/>
      <c r="W2802" s="732"/>
      <c r="X2802" s="167"/>
      <c r="Y2802" s="509"/>
      <c r="Z2802" s="466"/>
      <c r="AA2802" s="466"/>
      <c r="AB2802" s="466"/>
      <c r="AC2802" s="466"/>
      <c r="AD2802" s="466"/>
      <c r="AE2802" s="466"/>
      <c r="AF2802" s="466"/>
      <c r="AG2802" s="466"/>
      <c r="AH2802" s="466"/>
      <c r="AI2802" s="466"/>
      <c r="AJ2802" s="466"/>
      <c r="AK2802" s="466"/>
      <c r="AL2802" s="466"/>
      <c r="AM2802" s="466"/>
      <c r="AN2802" s="466"/>
      <c r="AO2802" s="466"/>
      <c r="AP2802" s="466"/>
      <c r="AQ2802" s="466"/>
      <c r="AR2802" s="466"/>
      <c r="AS2802" s="466"/>
      <c r="AT2802" s="466"/>
      <c r="AU2802" s="466"/>
      <c r="AV2802" s="466"/>
      <c r="AW2802" s="466"/>
      <c r="AX2802" s="466"/>
      <c r="AY2802" s="466"/>
      <c r="AZ2802" s="466"/>
      <c r="BA2802" s="466"/>
      <c r="BB2802" s="466"/>
      <c r="BC2802" s="466"/>
      <c r="BD2802" s="466"/>
      <c r="BE2802" s="467"/>
      <c r="BF2802" s="467"/>
      <c r="BG2802" s="466"/>
      <c r="BH2802" s="466"/>
      <c r="BI2802" s="467"/>
      <c r="BJ2802" s="467"/>
      <c r="BK2802" s="467"/>
      <c r="BL2802" s="467"/>
      <c r="BM2802" s="467"/>
      <c r="BN2802" s="467"/>
      <c r="BO2802" s="467"/>
      <c r="BP2802" s="467"/>
      <c r="BQ2802" s="467"/>
      <c r="BR2802" s="467"/>
      <c r="BS2802" s="467"/>
      <c r="BT2802" s="467"/>
      <c r="BU2802" s="467"/>
      <c r="BV2802" s="467"/>
      <c r="BW2802" s="467"/>
      <c r="BX2802" s="769"/>
      <c r="BY2802" s="769"/>
      <c r="BZ2802" s="769"/>
      <c r="CA2802" s="769"/>
      <c r="CB2802" s="769"/>
      <c r="CC2802" s="769"/>
      <c r="CD2802" s="769"/>
      <c r="CE2802" s="769"/>
      <c r="CF2802" s="769"/>
      <c r="CG2802" s="73"/>
      <c r="CH2802" s="438"/>
      <c r="CI2802" s="416"/>
      <c r="CJ2802" s="73"/>
      <c r="CK2802" s="650"/>
      <c r="CL2802" s="499"/>
      <c r="CM2802" s="650"/>
      <c r="CR2802" s="416"/>
      <c r="CS2802" s="650"/>
      <c r="CU2802" s="73"/>
      <c r="CV2802" s="73"/>
      <c r="CW2802" s="73"/>
      <c r="CX2802" s="73"/>
      <c r="DA2802" s="650"/>
    </row>
    <row r="2803" spans="1:105" s="45" customFormat="1" x14ac:dyDescent="0.2">
      <c r="A2803" s="650"/>
      <c r="B2803" s="438"/>
      <c r="D2803" s="73"/>
      <c r="E2803" s="650"/>
      <c r="F2803" s="650"/>
      <c r="G2803" s="73"/>
      <c r="I2803" s="111"/>
      <c r="J2803" s="81"/>
      <c r="K2803" s="81"/>
      <c r="L2803" s="499"/>
      <c r="M2803" s="73"/>
      <c r="N2803" s="499"/>
      <c r="O2803" s="73"/>
      <c r="P2803" s="73"/>
      <c r="Q2803" s="73"/>
      <c r="R2803" s="176"/>
      <c r="S2803" s="176"/>
      <c r="T2803" s="176"/>
      <c r="U2803" s="400"/>
      <c r="V2803" s="400"/>
      <c r="W2803" s="732"/>
      <c r="X2803" s="167"/>
      <c r="Y2803" s="509"/>
      <c r="Z2803" s="466"/>
      <c r="AA2803" s="466"/>
      <c r="AB2803" s="466"/>
      <c r="AC2803" s="466"/>
      <c r="AD2803" s="466"/>
      <c r="AE2803" s="466"/>
      <c r="AF2803" s="466"/>
      <c r="AG2803" s="466"/>
      <c r="AH2803" s="466"/>
      <c r="AI2803" s="466"/>
      <c r="AJ2803" s="466"/>
      <c r="AK2803" s="466"/>
      <c r="AL2803" s="466"/>
      <c r="AM2803" s="466"/>
      <c r="AN2803" s="466"/>
      <c r="AO2803" s="466"/>
      <c r="AP2803" s="466"/>
      <c r="AQ2803" s="466"/>
      <c r="AR2803" s="466"/>
      <c r="AS2803" s="466"/>
      <c r="AT2803" s="466"/>
      <c r="AU2803" s="466"/>
      <c r="AV2803" s="466"/>
      <c r="AW2803" s="466"/>
      <c r="AX2803" s="466"/>
      <c r="AY2803" s="466"/>
      <c r="AZ2803" s="466"/>
      <c r="BA2803" s="466"/>
      <c r="BB2803" s="466"/>
      <c r="BC2803" s="466"/>
      <c r="BD2803" s="466"/>
      <c r="BE2803" s="467"/>
      <c r="BF2803" s="467"/>
      <c r="BG2803" s="466"/>
      <c r="BH2803" s="466"/>
      <c r="BI2803" s="467"/>
      <c r="BJ2803" s="467"/>
      <c r="BK2803" s="467"/>
      <c r="BL2803" s="467"/>
      <c r="BM2803" s="467"/>
      <c r="BN2803" s="467"/>
      <c r="BO2803" s="467"/>
      <c r="BP2803" s="467"/>
      <c r="BQ2803" s="467"/>
      <c r="BR2803" s="467"/>
      <c r="BS2803" s="467"/>
      <c r="BT2803" s="467"/>
      <c r="BU2803" s="467"/>
      <c r="BV2803" s="467"/>
      <c r="BW2803" s="467"/>
      <c r="BX2803" s="769"/>
      <c r="BY2803" s="769"/>
      <c r="BZ2803" s="769"/>
      <c r="CA2803" s="769"/>
      <c r="CB2803" s="769"/>
      <c r="CC2803" s="769"/>
      <c r="CD2803" s="769"/>
      <c r="CE2803" s="769"/>
      <c r="CF2803" s="769"/>
      <c r="CG2803" s="73"/>
      <c r="CH2803" s="438"/>
      <c r="CI2803" s="416"/>
      <c r="CJ2803" s="73"/>
      <c r="CK2803" s="650"/>
      <c r="CL2803" s="499"/>
      <c r="CM2803" s="650"/>
      <c r="CR2803" s="416"/>
      <c r="CS2803" s="650"/>
      <c r="CU2803" s="73"/>
      <c r="CV2803" s="73"/>
      <c r="CW2803" s="73"/>
      <c r="CX2803" s="73"/>
      <c r="DA2803" s="650"/>
    </row>
    <row r="2804" spans="1:105" s="45" customFormat="1" x14ac:dyDescent="0.2">
      <c r="A2804" s="650"/>
      <c r="B2804" s="438"/>
      <c r="D2804" s="73"/>
      <c r="E2804" s="650"/>
      <c r="F2804" s="650"/>
      <c r="G2804" s="73"/>
      <c r="I2804" s="111"/>
      <c r="J2804" s="81"/>
      <c r="K2804" s="81"/>
      <c r="L2804" s="499"/>
      <c r="M2804" s="73"/>
      <c r="N2804" s="499"/>
      <c r="O2804" s="73"/>
      <c r="P2804" s="73"/>
      <c r="Q2804" s="73"/>
      <c r="R2804" s="176"/>
      <c r="S2804" s="176"/>
      <c r="T2804" s="176"/>
      <c r="U2804" s="400"/>
      <c r="V2804" s="400"/>
      <c r="W2804" s="732"/>
      <c r="X2804" s="167"/>
      <c r="Y2804" s="509"/>
      <c r="Z2804" s="466"/>
      <c r="AA2804" s="466"/>
      <c r="AB2804" s="466"/>
      <c r="AC2804" s="466"/>
      <c r="AD2804" s="466"/>
      <c r="AE2804" s="466"/>
      <c r="AF2804" s="466"/>
      <c r="AG2804" s="466"/>
      <c r="AH2804" s="466"/>
      <c r="AI2804" s="466"/>
      <c r="AJ2804" s="466"/>
      <c r="AK2804" s="466"/>
      <c r="AL2804" s="466"/>
      <c r="AM2804" s="466"/>
      <c r="AN2804" s="466"/>
      <c r="AO2804" s="466"/>
      <c r="AP2804" s="466"/>
      <c r="AQ2804" s="466"/>
      <c r="AR2804" s="466"/>
      <c r="AS2804" s="466"/>
      <c r="AT2804" s="466"/>
      <c r="AU2804" s="466"/>
      <c r="AV2804" s="466"/>
      <c r="AW2804" s="466"/>
      <c r="AX2804" s="466"/>
      <c r="AY2804" s="466"/>
      <c r="AZ2804" s="466"/>
      <c r="BA2804" s="466"/>
      <c r="BB2804" s="466"/>
      <c r="BC2804" s="466"/>
      <c r="BD2804" s="466"/>
      <c r="BE2804" s="467"/>
      <c r="BF2804" s="467"/>
      <c r="BG2804" s="466"/>
      <c r="BH2804" s="466"/>
      <c r="BI2804" s="467"/>
      <c r="BJ2804" s="467"/>
      <c r="BK2804" s="467"/>
      <c r="BL2804" s="467"/>
      <c r="BM2804" s="467"/>
      <c r="BN2804" s="467"/>
      <c r="BO2804" s="467"/>
      <c r="BP2804" s="467"/>
      <c r="BQ2804" s="467"/>
      <c r="BR2804" s="467"/>
      <c r="BS2804" s="467"/>
      <c r="BT2804" s="467"/>
      <c r="BU2804" s="467"/>
      <c r="BV2804" s="467"/>
      <c r="BW2804" s="467"/>
      <c r="BX2804" s="769"/>
      <c r="BY2804" s="769"/>
      <c r="BZ2804" s="769"/>
      <c r="CA2804" s="769"/>
      <c r="CB2804" s="769"/>
      <c r="CC2804" s="769"/>
      <c r="CD2804" s="769"/>
      <c r="CE2804" s="769"/>
      <c r="CF2804" s="769"/>
      <c r="CG2804" s="73"/>
      <c r="CH2804" s="438"/>
      <c r="CI2804" s="416"/>
      <c r="CJ2804" s="73"/>
      <c r="CK2804" s="650"/>
      <c r="CL2804" s="499"/>
      <c r="CM2804" s="650"/>
      <c r="CR2804" s="416"/>
      <c r="CS2804" s="650"/>
      <c r="CU2804" s="73"/>
      <c r="CV2804" s="73"/>
      <c r="CW2804" s="73"/>
      <c r="CX2804" s="73"/>
      <c r="DA2804" s="650"/>
    </row>
    <row r="2805" spans="1:105" s="45" customFormat="1" x14ac:dyDescent="0.2">
      <c r="A2805" s="650"/>
      <c r="B2805" s="438"/>
      <c r="D2805" s="73"/>
      <c r="E2805" s="650"/>
      <c r="F2805" s="650"/>
      <c r="G2805" s="73"/>
      <c r="I2805" s="111"/>
      <c r="J2805" s="81"/>
      <c r="K2805" s="81"/>
      <c r="L2805" s="499"/>
      <c r="M2805" s="73"/>
      <c r="N2805" s="499"/>
      <c r="O2805" s="73"/>
      <c r="P2805" s="73"/>
      <c r="Q2805" s="73"/>
      <c r="R2805" s="176"/>
      <c r="S2805" s="176"/>
      <c r="T2805" s="176"/>
      <c r="U2805" s="400"/>
      <c r="V2805" s="400"/>
      <c r="W2805" s="732"/>
      <c r="X2805" s="167"/>
      <c r="Y2805" s="509"/>
      <c r="Z2805" s="466"/>
      <c r="AA2805" s="466"/>
      <c r="AB2805" s="466"/>
      <c r="AC2805" s="466"/>
      <c r="AD2805" s="466"/>
      <c r="AE2805" s="466"/>
      <c r="AF2805" s="466"/>
      <c r="AG2805" s="466"/>
      <c r="AH2805" s="466"/>
      <c r="AI2805" s="466"/>
      <c r="AJ2805" s="466"/>
      <c r="AK2805" s="466"/>
      <c r="AL2805" s="466"/>
      <c r="AM2805" s="466"/>
      <c r="AN2805" s="466"/>
      <c r="AO2805" s="466"/>
      <c r="AP2805" s="466"/>
      <c r="AQ2805" s="466"/>
      <c r="AR2805" s="466"/>
      <c r="AS2805" s="466"/>
      <c r="AT2805" s="466"/>
      <c r="AU2805" s="466"/>
      <c r="AV2805" s="466"/>
      <c r="AW2805" s="466"/>
      <c r="AX2805" s="466"/>
      <c r="AY2805" s="466"/>
      <c r="AZ2805" s="466"/>
      <c r="BA2805" s="466"/>
      <c r="BB2805" s="466"/>
      <c r="BC2805" s="466"/>
      <c r="BD2805" s="466"/>
      <c r="BE2805" s="467"/>
      <c r="BF2805" s="467"/>
      <c r="BG2805" s="466"/>
      <c r="BH2805" s="466"/>
      <c r="BI2805" s="467"/>
      <c r="BJ2805" s="467"/>
      <c r="BK2805" s="467"/>
      <c r="BL2805" s="467"/>
      <c r="BM2805" s="467"/>
      <c r="BN2805" s="467"/>
      <c r="BO2805" s="467"/>
      <c r="BP2805" s="467"/>
      <c r="BQ2805" s="467"/>
      <c r="BR2805" s="467"/>
      <c r="BS2805" s="467"/>
      <c r="BT2805" s="467"/>
      <c r="BU2805" s="467"/>
      <c r="BV2805" s="467"/>
      <c r="BW2805" s="467"/>
      <c r="BX2805" s="769"/>
      <c r="BY2805" s="769"/>
      <c r="BZ2805" s="769"/>
      <c r="CA2805" s="769"/>
      <c r="CB2805" s="769"/>
      <c r="CC2805" s="769"/>
      <c r="CD2805" s="769"/>
      <c r="CE2805" s="769"/>
      <c r="CF2805" s="769"/>
      <c r="CG2805" s="73"/>
      <c r="CH2805" s="438"/>
      <c r="CI2805" s="416"/>
      <c r="CJ2805" s="73"/>
      <c r="CK2805" s="650"/>
      <c r="CL2805" s="499"/>
      <c r="CM2805" s="650"/>
      <c r="CR2805" s="416"/>
      <c r="CS2805" s="650"/>
      <c r="CU2805" s="73"/>
      <c r="CV2805" s="73"/>
      <c r="CW2805" s="73"/>
      <c r="CX2805" s="73"/>
      <c r="DA2805" s="650"/>
    </row>
    <row r="2806" spans="1:105" s="45" customFormat="1" x14ac:dyDescent="0.2">
      <c r="A2806" s="650"/>
      <c r="B2806" s="438"/>
      <c r="D2806" s="73"/>
      <c r="E2806" s="650"/>
      <c r="F2806" s="650"/>
      <c r="G2806" s="73"/>
      <c r="I2806" s="111"/>
      <c r="J2806" s="81"/>
      <c r="K2806" s="81"/>
      <c r="L2806" s="499"/>
      <c r="M2806" s="73"/>
      <c r="N2806" s="499"/>
      <c r="O2806" s="73"/>
      <c r="P2806" s="73"/>
      <c r="Q2806" s="73"/>
      <c r="R2806" s="176"/>
      <c r="S2806" s="176"/>
      <c r="T2806" s="176"/>
      <c r="U2806" s="400"/>
      <c r="V2806" s="400"/>
      <c r="W2806" s="732"/>
      <c r="X2806" s="167"/>
      <c r="Y2806" s="509"/>
      <c r="Z2806" s="466"/>
      <c r="AA2806" s="466"/>
      <c r="AB2806" s="466"/>
      <c r="AC2806" s="466"/>
      <c r="AD2806" s="466"/>
      <c r="AE2806" s="466"/>
      <c r="AF2806" s="466"/>
      <c r="AG2806" s="466"/>
      <c r="AH2806" s="466"/>
      <c r="AI2806" s="466"/>
      <c r="AJ2806" s="466"/>
      <c r="AK2806" s="466"/>
      <c r="AL2806" s="466"/>
      <c r="AM2806" s="466"/>
      <c r="AN2806" s="466"/>
      <c r="AO2806" s="466"/>
      <c r="AP2806" s="466"/>
      <c r="AQ2806" s="466"/>
      <c r="AR2806" s="466"/>
      <c r="AS2806" s="466"/>
      <c r="AT2806" s="466"/>
      <c r="AU2806" s="466"/>
      <c r="AV2806" s="466"/>
      <c r="AW2806" s="466"/>
      <c r="AX2806" s="466"/>
      <c r="AY2806" s="466"/>
      <c r="AZ2806" s="466"/>
      <c r="BA2806" s="466"/>
      <c r="BB2806" s="466"/>
      <c r="BC2806" s="466"/>
      <c r="BD2806" s="466"/>
      <c r="BE2806" s="467"/>
      <c r="BF2806" s="467"/>
      <c r="BG2806" s="466"/>
      <c r="BH2806" s="466"/>
      <c r="BI2806" s="467"/>
      <c r="BJ2806" s="467"/>
      <c r="BK2806" s="467"/>
      <c r="BL2806" s="467"/>
      <c r="BM2806" s="467"/>
      <c r="BN2806" s="467"/>
      <c r="BO2806" s="467"/>
      <c r="BP2806" s="467"/>
      <c r="BQ2806" s="467"/>
      <c r="BR2806" s="467"/>
      <c r="BS2806" s="467"/>
      <c r="BT2806" s="467"/>
      <c r="BU2806" s="467"/>
      <c r="BV2806" s="467"/>
      <c r="BW2806" s="467"/>
      <c r="BX2806" s="769"/>
      <c r="BY2806" s="769"/>
      <c r="BZ2806" s="769"/>
      <c r="CA2806" s="769"/>
      <c r="CB2806" s="769"/>
      <c r="CC2806" s="769"/>
      <c r="CD2806" s="769"/>
      <c r="CE2806" s="769"/>
      <c r="CF2806" s="769"/>
      <c r="CG2806" s="73"/>
      <c r="CH2806" s="438"/>
      <c r="CI2806" s="416"/>
      <c r="CJ2806" s="73"/>
      <c r="CK2806" s="650"/>
      <c r="CL2806" s="499"/>
      <c r="CM2806" s="650"/>
      <c r="CR2806" s="416"/>
      <c r="CS2806" s="650"/>
      <c r="CU2806" s="73"/>
      <c r="CV2806" s="73"/>
      <c r="CW2806" s="73"/>
      <c r="CX2806" s="73"/>
      <c r="DA2806" s="650"/>
    </row>
    <row r="2807" spans="1:105" s="45" customFormat="1" x14ac:dyDescent="0.2">
      <c r="A2807" s="650"/>
      <c r="B2807" s="438"/>
      <c r="D2807" s="73"/>
      <c r="E2807" s="650"/>
      <c r="F2807" s="650"/>
      <c r="G2807" s="73"/>
      <c r="I2807" s="111"/>
      <c r="J2807" s="81"/>
      <c r="K2807" s="81"/>
      <c r="L2807" s="499"/>
      <c r="M2807" s="73"/>
      <c r="N2807" s="499"/>
      <c r="O2807" s="73"/>
      <c r="P2807" s="73"/>
      <c r="Q2807" s="73"/>
      <c r="R2807" s="176"/>
      <c r="S2807" s="176"/>
      <c r="T2807" s="176"/>
      <c r="U2807" s="400"/>
      <c r="V2807" s="400"/>
      <c r="W2807" s="732"/>
      <c r="X2807" s="167"/>
      <c r="Y2807" s="509"/>
      <c r="Z2807" s="466"/>
      <c r="AA2807" s="466"/>
      <c r="AB2807" s="466"/>
      <c r="AC2807" s="466"/>
      <c r="AD2807" s="466"/>
      <c r="AE2807" s="466"/>
      <c r="AF2807" s="466"/>
      <c r="AG2807" s="466"/>
      <c r="AH2807" s="466"/>
      <c r="AI2807" s="466"/>
      <c r="AJ2807" s="466"/>
      <c r="AK2807" s="466"/>
      <c r="AL2807" s="466"/>
      <c r="AM2807" s="466"/>
      <c r="AN2807" s="466"/>
      <c r="AO2807" s="466"/>
      <c r="AP2807" s="466"/>
      <c r="AQ2807" s="466"/>
      <c r="AR2807" s="466"/>
      <c r="AS2807" s="466"/>
      <c r="AT2807" s="466"/>
      <c r="AU2807" s="466"/>
      <c r="AV2807" s="466"/>
      <c r="AW2807" s="466"/>
      <c r="AX2807" s="466"/>
      <c r="AY2807" s="466"/>
      <c r="AZ2807" s="466"/>
      <c r="BA2807" s="466"/>
      <c r="BB2807" s="466"/>
      <c r="BC2807" s="466"/>
      <c r="BD2807" s="466"/>
      <c r="BE2807" s="467"/>
      <c r="BF2807" s="467"/>
      <c r="BG2807" s="466"/>
      <c r="BH2807" s="466"/>
      <c r="BI2807" s="467"/>
      <c r="BJ2807" s="467"/>
      <c r="BK2807" s="467"/>
      <c r="BL2807" s="467"/>
      <c r="BM2807" s="467"/>
      <c r="BN2807" s="467"/>
      <c r="BO2807" s="467"/>
      <c r="BP2807" s="467"/>
      <c r="BQ2807" s="467"/>
      <c r="BR2807" s="467"/>
      <c r="BS2807" s="467"/>
      <c r="BT2807" s="467"/>
      <c r="BU2807" s="467"/>
      <c r="BV2807" s="467"/>
      <c r="BW2807" s="467"/>
      <c r="BX2807" s="769"/>
      <c r="BY2807" s="769"/>
      <c r="BZ2807" s="769"/>
      <c r="CA2807" s="769"/>
      <c r="CB2807" s="769"/>
      <c r="CC2807" s="769"/>
      <c r="CD2807" s="769"/>
      <c r="CE2807" s="769"/>
      <c r="CF2807" s="769"/>
      <c r="CG2807" s="73"/>
      <c r="CH2807" s="438"/>
      <c r="CI2807" s="416"/>
      <c r="CJ2807" s="73"/>
      <c r="CK2807" s="650"/>
      <c r="CL2807" s="499"/>
      <c r="CM2807" s="650"/>
      <c r="CR2807" s="416"/>
      <c r="CS2807" s="650"/>
      <c r="CU2807" s="73"/>
      <c r="CV2807" s="73"/>
      <c r="CW2807" s="73"/>
      <c r="CX2807" s="73"/>
      <c r="DA2807" s="650"/>
    </row>
    <row r="2808" spans="1:105" s="45" customFormat="1" x14ac:dyDescent="0.2">
      <c r="A2808" s="650"/>
      <c r="B2808" s="438"/>
      <c r="D2808" s="73"/>
      <c r="E2808" s="650"/>
      <c r="F2808" s="650"/>
      <c r="G2808" s="73"/>
      <c r="I2808" s="111"/>
      <c r="J2808" s="81"/>
      <c r="K2808" s="81"/>
      <c r="L2808" s="499"/>
      <c r="M2808" s="73"/>
      <c r="N2808" s="499"/>
      <c r="O2808" s="73"/>
      <c r="P2808" s="73"/>
      <c r="Q2808" s="73"/>
      <c r="R2808" s="176"/>
      <c r="S2808" s="176"/>
      <c r="T2808" s="176"/>
      <c r="U2808" s="400"/>
      <c r="V2808" s="400"/>
      <c r="W2808" s="732"/>
      <c r="X2808" s="167"/>
      <c r="Y2808" s="509"/>
      <c r="Z2808" s="466"/>
      <c r="AA2808" s="466"/>
      <c r="AB2808" s="466"/>
      <c r="AC2808" s="466"/>
      <c r="AD2808" s="466"/>
      <c r="AE2808" s="466"/>
      <c r="AF2808" s="466"/>
      <c r="AG2808" s="466"/>
      <c r="AH2808" s="466"/>
      <c r="AI2808" s="466"/>
      <c r="AJ2808" s="466"/>
      <c r="AK2808" s="466"/>
      <c r="AL2808" s="466"/>
      <c r="AM2808" s="466"/>
      <c r="AN2808" s="466"/>
      <c r="AO2808" s="466"/>
      <c r="AP2808" s="466"/>
      <c r="AQ2808" s="466"/>
      <c r="AR2808" s="466"/>
      <c r="AS2808" s="466"/>
      <c r="AT2808" s="466"/>
      <c r="AU2808" s="466"/>
      <c r="AV2808" s="466"/>
      <c r="AW2808" s="466"/>
      <c r="AX2808" s="466"/>
      <c r="AY2808" s="466"/>
      <c r="AZ2808" s="466"/>
      <c r="BA2808" s="466"/>
      <c r="BB2808" s="466"/>
      <c r="BC2808" s="466"/>
      <c r="BD2808" s="466"/>
      <c r="BE2808" s="467"/>
      <c r="BF2808" s="467"/>
      <c r="BG2808" s="466"/>
      <c r="BH2808" s="466"/>
      <c r="BI2808" s="467"/>
      <c r="BJ2808" s="467"/>
      <c r="BK2808" s="467"/>
      <c r="BL2808" s="467"/>
      <c r="BM2808" s="467"/>
      <c r="BN2808" s="467"/>
      <c r="BO2808" s="467"/>
      <c r="BP2808" s="467"/>
      <c r="BQ2808" s="467"/>
      <c r="BR2808" s="467"/>
      <c r="BS2808" s="467"/>
      <c r="BT2808" s="467"/>
      <c r="BU2808" s="467"/>
      <c r="BV2808" s="467"/>
      <c r="BW2808" s="467"/>
      <c r="BX2808" s="769"/>
      <c r="BY2808" s="769"/>
      <c r="BZ2808" s="769"/>
      <c r="CA2808" s="769"/>
      <c r="CB2808" s="769"/>
      <c r="CC2808" s="769"/>
      <c r="CD2808" s="769"/>
      <c r="CE2808" s="769"/>
      <c r="CF2808" s="769"/>
      <c r="CG2808" s="73"/>
      <c r="CH2808" s="438"/>
      <c r="CI2808" s="416"/>
      <c r="CJ2808" s="73"/>
      <c r="CK2808" s="650"/>
      <c r="CL2808" s="499"/>
      <c r="CM2808" s="650"/>
      <c r="CR2808" s="416"/>
      <c r="CS2808" s="650"/>
      <c r="CU2808" s="73"/>
      <c r="CV2808" s="73"/>
      <c r="CW2808" s="73"/>
      <c r="CX2808" s="73"/>
      <c r="DA2808" s="650"/>
    </row>
    <row r="2809" spans="1:105" s="45" customFormat="1" x14ac:dyDescent="0.2">
      <c r="A2809" s="650"/>
      <c r="B2809" s="438"/>
      <c r="D2809" s="73"/>
      <c r="E2809" s="650"/>
      <c r="F2809" s="650"/>
      <c r="G2809" s="73"/>
      <c r="I2809" s="111"/>
      <c r="J2809" s="81"/>
      <c r="K2809" s="81"/>
      <c r="L2809" s="499"/>
      <c r="M2809" s="73"/>
      <c r="N2809" s="499"/>
      <c r="O2809" s="73"/>
      <c r="P2809" s="73"/>
      <c r="Q2809" s="73"/>
      <c r="R2809" s="176"/>
      <c r="S2809" s="176"/>
      <c r="T2809" s="176"/>
      <c r="U2809" s="400"/>
      <c r="V2809" s="400"/>
      <c r="W2809" s="732"/>
      <c r="X2809" s="167"/>
      <c r="Y2809" s="509"/>
      <c r="Z2809" s="466"/>
      <c r="AA2809" s="466"/>
      <c r="AB2809" s="466"/>
      <c r="AC2809" s="466"/>
      <c r="AD2809" s="466"/>
      <c r="AE2809" s="466"/>
      <c r="AF2809" s="466"/>
      <c r="AG2809" s="466"/>
      <c r="AH2809" s="466"/>
      <c r="AI2809" s="466"/>
      <c r="AJ2809" s="466"/>
      <c r="AK2809" s="466"/>
      <c r="AL2809" s="466"/>
      <c r="AM2809" s="466"/>
      <c r="AN2809" s="466"/>
      <c r="AO2809" s="466"/>
      <c r="AP2809" s="466"/>
      <c r="AQ2809" s="466"/>
      <c r="AR2809" s="466"/>
      <c r="AS2809" s="466"/>
      <c r="AT2809" s="466"/>
      <c r="AU2809" s="466"/>
      <c r="AV2809" s="466"/>
      <c r="AW2809" s="466"/>
      <c r="AX2809" s="466"/>
      <c r="AY2809" s="466"/>
      <c r="AZ2809" s="466"/>
      <c r="BA2809" s="466"/>
      <c r="BB2809" s="466"/>
      <c r="BC2809" s="466"/>
      <c r="BD2809" s="466"/>
      <c r="BE2809" s="467"/>
      <c r="BF2809" s="467"/>
      <c r="BG2809" s="466"/>
      <c r="BH2809" s="466"/>
      <c r="BI2809" s="467"/>
      <c r="BJ2809" s="467"/>
      <c r="BK2809" s="467"/>
      <c r="BL2809" s="467"/>
      <c r="BM2809" s="467"/>
      <c r="BN2809" s="467"/>
      <c r="BO2809" s="467"/>
      <c r="BP2809" s="467"/>
      <c r="BQ2809" s="467"/>
      <c r="BR2809" s="467"/>
      <c r="BS2809" s="467"/>
      <c r="BT2809" s="467"/>
      <c r="BU2809" s="467"/>
      <c r="BV2809" s="467"/>
      <c r="BW2809" s="467"/>
      <c r="BX2809" s="769"/>
      <c r="BY2809" s="769"/>
      <c r="BZ2809" s="769"/>
      <c r="CA2809" s="769"/>
      <c r="CB2809" s="769"/>
      <c r="CC2809" s="769"/>
      <c r="CD2809" s="769"/>
      <c r="CE2809" s="769"/>
      <c r="CF2809" s="769"/>
      <c r="CG2809" s="73"/>
      <c r="CH2809" s="438"/>
      <c r="CI2809" s="416"/>
      <c r="CJ2809" s="73"/>
      <c r="CK2809" s="650"/>
      <c r="CL2809" s="499"/>
      <c r="CM2809" s="650"/>
      <c r="CR2809" s="416"/>
      <c r="CS2809" s="650"/>
      <c r="CU2809" s="73"/>
      <c r="CV2809" s="73"/>
      <c r="CW2809" s="73"/>
      <c r="CX2809" s="73"/>
      <c r="DA2809" s="650"/>
    </row>
    <row r="2810" spans="1:105" s="45" customFormat="1" x14ac:dyDescent="0.2">
      <c r="A2810" s="650"/>
      <c r="B2810" s="438"/>
      <c r="D2810" s="73"/>
      <c r="E2810" s="650"/>
      <c r="F2810" s="650"/>
      <c r="G2810" s="73"/>
      <c r="I2810" s="111"/>
      <c r="J2810" s="81"/>
      <c r="K2810" s="81"/>
      <c r="L2810" s="499"/>
      <c r="M2810" s="73"/>
      <c r="N2810" s="499"/>
      <c r="O2810" s="73"/>
      <c r="P2810" s="73"/>
      <c r="Q2810" s="73"/>
      <c r="R2810" s="176"/>
      <c r="S2810" s="176"/>
      <c r="T2810" s="176"/>
      <c r="U2810" s="400"/>
      <c r="V2810" s="400"/>
      <c r="W2810" s="732"/>
      <c r="X2810" s="167"/>
      <c r="Y2810" s="509"/>
      <c r="Z2810" s="466"/>
      <c r="AA2810" s="466"/>
      <c r="AB2810" s="466"/>
      <c r="AC2810" s="466"/>
      <c r="AD2810" s="466"/>
      <c r="AE2810" s="466"/>
      <c r="AF2810" s="466"/>
      <c r="AG2810" s="466"/>
      <c r="AH2810" s="466"/>
      <c r="AI2810" s="466"/>
      <c r="AJ2810" s="466"/>
      <c r="AK2810" s="466"/>
      <c r="AL2810" s="466"/>
      <c r="AM2810" s="466"/>
      <c r="AN2810" s="466"/>
      <c r="AO2810" s="466"/>
      <c r="AP2810" s="466"/>
      <c r="AQ2810" s="466"/>
      <c r="AR2810" s="466"/>
      <c r="AS2810" s="466"/>
      <c r="AT2810" s="466"/>
      <c r="AU2810" s="466"/>
      <c r="AV2810" s="466"/>
      <c r="AW2810" s="466"/>
      <c r="AX2810" s="466"/>
      <c r="AY2810" s="466"/>
      <c r="AZ2810" s="466"/>
      <c r="BA2810" s="466"/>
      <c r="BB2810" s="466"/>
      <c r="BC2810" s="466"/>
      <c r="BD2810" s="466"/>
      <c r="BE2810" s="467"/>
      <c r="BF2810" s="467"/>
      <c r="BG2810" s="466"/>
      <c r="BH2810" s="466"/>
      <c r="BI2810" s="467"/>
      <c r="BJ2810" s="467"/>
      <c r="BK2810" s="467"/>
      <c r="BL2810" s="467"/>
      <c r="BM2810" s="467"/>
      <c r="BN2810" s="467"/>
      <c r="BO2810" s="467"/>
      <c r="BP2810" s="467"/>
      <c r="BQ2810" s="467"/>
      <c r="BR2810" s="467"/>
      <c r="BS2810" s="467"/>
      <c r="BT2810" s="467"/>
      <c r="BU2810" s="467"/>
      <c r="BV2810" s="467"/>
      <c r="BW2810" s="467"/>
      <c r="BX2810" s="769"/>
      <c r="BY2810" s="769"/>
      <c r="BZ2810" s="769"/>
      <c r="CA2810" s="769"/>
      <c r="CB2810" s="769"/>
      <c r="CC2810" s="769"/>
      <c r="CD2810" s="769"/>
      <c r="CE2810" s="769"/>
      <c r="CF2810" s="769"/>
      <c r="CG2810" s="73"/>
      <c r="CH2810" s="438"/>
      <c r="CI2810" s="416"/>
      <c r="CJ2810" s="73"/>
      <c r="CK2810" s="650"/>
      <c r="CL2810" s="499"/>
      <c r="CM2810" s="650"/>
      <c r="CR2810" s="416"/>
      <c r="CS2810" s="650"/>
      <c r="CU2810" s="73"/>
      <c r="CV2810" s="73"/>
      <c r="CW2810" s="73"/>
      <c r="CX2810" s="73"/>
      <c r="DA2810" s="650"/>
    </row>
    <row r="2811" spans="1:105" s="45" customFormat="1" x14ac:dyDescent="0.2">
      <c r="A2811" s="650"/>
      <c r="B2811" s="438"/>
      <c r="D2811" s="73"/>
      <c r="E2811" s="650"/>
      <c r="F2811" s="650"/>
      <c r="G2811" s="73"/>
      <c r="I2811" s="111"/>
      <c r="J2811" s="81"/>
      <c r="K2811" s="81"/>
      <c r="L2811" s="499"/>
      <c r="M2811" s="73"/>
      <c r="N2811" s="499"/>
      <c r="O2811" s="73"/>
      <c r="P2811" s="73"/>
      <c r="Q2811" s="73"/>
      <c r="R2811" s="176"/>
      <c r="S2811" s="176"/>
      <c r="T2811" s="176"/>
      <c r="U2811" s="400"/>
      <c r="V2811" s="400"/>
      <c r="W2811" s="732"/>
      <c r="X2811" s="167"/>
      <c r="Y2811" s="509"/>
      <c r="Z2811" s="466"/>
      <c r="AA2811" s="466"/>
      <c r="AB2811" s="466"/>
      <c r="AC2811" s="466"/>
      <c r="AD2811" s="466"/>
      <c r="AE2811" s="466"/>
      <c r="AF2811" s="466"/>
      <c r="AG2811" s="466"/>
      <c r="AH2811" s="466"/>
      <c r="AI2811" s="466"/>
      <c r="AJ2811" s="466"/>
      <c r="AK2811" s="466"/>
      <c r="AL2811" s="466"/>
      <c r="AM2811" s="466"/>
      <c r="AN2811" s="466"/>
      <c r="AO2811" s="466"/>
      <c r="AP2811" s="466"/>
      <c r="AQ2811" s="466"/>
      <c r="AR2811" s="466"/>
      <c r="AS2811" s="466"/>
      <c r="AT2811" s="466"/>
      <c r="AU2811" s="466"/>
      <c r="AV2811" s="466"/>
      <c r="AW2811" s="466"/>
      <c r="AX2811" s="466"/>
      <c r="AY2811" s="466"/>
      <c r="AZ2811" s="466"/>
      <c r="BA2811" s="466"/>
      <c r="BB2811" s="466"/>
      <c r="BC2811" s="466"/>
      <c r="BD2811" s="466"/>
      <c r="BE2811" s="467"/>
      <c r="BF2811" s="467"/>
      <c r="BG2811" s="466"/>
      <c r="BH2811" s="466"/>
      <c r="BI2811" s="467"/>
      <c r="BJ2811" s="467"/>
      <c r="BK2811" s="467"/>
      <c r="BL2811" s="467"/>
      <c r="BM2811" s="467"/>
      <c r="BN2811" s="467"/>
      <c r="BO2811" s="467"/>
      <c r="BP2811" s="467"/>
      <c r="BQ2811" s="467"/>
      <c r="BR2811" s="467"/>
      <c r="BS2811" s="467"/>
      <c r="BT2811" s="467"/>
      <c r="BU2811" s="467"/>
      <c r="BV2811" s="467"/>
      <c r="BW2811" s="467"/>
      <c r="BX2811" s="769"/>
      <c r="BY2811" s="769"/>
      <c r="BZ2811" s="769"/>
      <c r="CA2811" s="769"/>
      <c r="CB2811" s="769"/>
      <c r="CC2811" s="769"/>
      <c r="CD2811" s="769"/>
      <c r="CE2811" s="769"/>
      <c r="CF2811" s="769"/>
      <c r="CG2811" s="73"/>
      <c r="CH2811" s="438"/>
      <c r="CI2811" s="416"/>
      <c r="CJ2811" s="73"/>
      <c r="CK2811" s="650"/>
      <c r="CL2811" s="499"/>
      <c r="CM2811" s="650"/>
      <c r="CR2811" s="416"/>
      <c r="CS2811" s="650"/>
      <c r="CU2811" s="73"/>
      <c r="CV2811" s="73"/>
      <c r="CW2811" s="73"/>
      <c r="CX2811" s="73"/>
      <c r="DA2811" s="650"/>
    </row>
    <row r="2812" spans="1:105" s="45" customFormat="1" x14ac:dyDescent="0.2">
      <c r="A2812" s="650"/>
      <c r="B2812" s="438"/>
      <c r="D2812" s="73"/>
      <c r="E2812" s="650"/>
      <c r="F2812" s="650"/>
      <c r="G2812" s="73"/>
      <c r="I2812" s="111"/>
      <c r="J2812" s="81"/>
      <c r="K2812" s="81"/>
      <c r="L2812" s="499"/>
      <c r="M2812" s="73"/>
      <c r="N2812" s="499"/>
      <c r="O2812" s="73"/>
      <c r="P2812" s="73"/>
      <c r="Q2812" s="73"/>
      <c r="R2812" s="176"/>
      <c r="S2812" s="176"/>
      <c r="T2812" s="176"/>
      <c r="U2812" s="400"/>
      <c r="V2812" s="400"/>
      <c r="W2812" s="732"/>
      <c r="X2812" s="167"/>
      <c r="Y2812" s="509"/>
      <c r="Z2812" s="466"/>
      <c r="AA2812" s="466"/>
      <c r="AB2812" s="466"/>
      <c r="AC2812" s="466"/>
      <c r="AD2812" s="466"/>
      <c r="AE2812" s="466"/>
      <c r="AF2812" s="466"/>
      <c r="AG2812" s="466"/>
      <c r="AH2812" s="466"/>
      <c r="AI2812" s="466"/>
      <c r="AJ2812" s="466"/>
      <c r="AK2812" s="466"/>
      <c r="AL2812" s="466"/>
      <c r="AM2812" s="466"/>
      <c r="AN2812" s="466"/>
      <c r="AO2812" s="466"/>
      <c r="AP2812" s="466"/>
      <c r="AQ2812" s="466"/>
      <c r="AR2812" s="466"/>
      <c r="AS2812" s="466"/>
      <c r="AT2812" s="466"/>
      <c r="AU2812" s="466"/>
      <c r="AV2812" s="466"/>
      <c r="AW2812" s="466"/>
      <c r="AX2812" s="466"/>
      <c r="AY2812" s="466"/>
      <c r="AZ2812" s="466"/>
      <c r="BA2812" s="466"/>
      <c r="BB2812" s="466"/>
      <c r="BC2812" s="466"/>
      <c r="BD2812" s="466"/>
      <c r="BE2812" s="467"/>
      <c r="BF2812" s="467"/>
      <c r="BG2812" s="466"/>
      <c r="BH2812" s="466"/>
      <c r="BI2812" s="467"/>
      <c r="BJ2812" s="467"/>
      <c r="BK2812" s="467"/>
      <c r="BL2812" s="467"/>
      <c r="BM2812" s="467"/>
      <c r="BN2812" s="467"/>
      <c r="BO2812" s="467"/>
      <c r="BP2812" s="467"/>
      <c r="BQ2812" s="467"/>
      <c r="BR2812" s="467"/>
      <c r="BS2812" s="467"/>
      <c r="BT2812" s="467"/>
      <c r="BU2812" s="467"/>
      <c r="BV2812" s="467"/>
      <c r="BW2812" s="467"/>
      <c r="BX2812" s="769"/>
      <c r="BY2812" s="769"/>
      <c r="BZ2812" s="769"/>
      <c r="CA2812" s="769"/>
      <c r="CB2812" s="769"/>
      <c r="CC2812" s="769"/>
      <c r="CD2812" s="769"/>
      <c r="CE2812" s="769"/>
      <c r="CF2812" s="769"/>
      <c r="CG2812" s="73"/>
      <c r="CH2812" s="438"/>
      <c r="CI2812" s="416"/>
      <c r="CJ2812" s="73"/>
      <c r="CK2812" s="650"/>
      <c r="CL2812" s="499"/>
      <c r="CM2812" s="650"/>
      <c r="CR2812" s="416"/>
      <c r="CS2812" s="650"/>
      <c r="CU2812" s="73"/>
      <c r="CV2812" s="73"/>
      <c r="CW2812" s="73"/>
      <c r="CX2812" s="73"/>
      <c r="DA2812" s="650"/>
    </row>
    <row r="2813" spans="1:105" s="45" customFormat="1" x14ac:dyDescent="0.2">
      <c r="A2813" s="650"/>
      <c r="B2813" s="438"/>
      <c r="D2813" s="73"/>
      <c r="E2813" s="650"/>
      <c r="F2813" s="650"/>
      <c r="G2813" s="73"/>
      <c r="I2813" s="111"/>
      <c r="J2813" s="81"/>
      <c r="K2813" s="81"/>
      <c r="L2813" s="499"/>
      <c r="M2813" s="73"/>
      <c r="N2813" s="499"/>
      <c r="O2813" s="73"/>
      <c r="P2813" s="73"/>
      <c r="Q2813" s="73"/>
      <c r="R2813" s="176"/>
      <c r="S2813" s="176"/>
      <c r="T2813" s="176"/>
      <c r="U2813" s="400"/>
      <c r="V2813" s="400"/>
      <c r="W2813" s="732"/>
      <c r="X2813" s="167"/>
      <c r="Y2813" s="509"/>
      <c r="Z2813" s="466"/>
      <c r="AA2813" s="466"/>
      <c r="AB2813" s="466"/>
      <c r="AC2813" s="466"/>
      <c r="AD2813" s="466"/>
      <c r="AE2813" s="466"/>
      <c r="AF2813" s="466"/>
      <c r="AG2813" s="466"/>
      <c r="AH2813" s="466"/>
      <c r="AI2813" s="466"/>
      <c r="AJ2813" s="466"/>
      <c r="AK2813" s="466"/>
      <c r="AL2813" s="466"/>
      <c r="AM2813" s="466"/>
      <c r="AN2813" s="466"/>
      <c r="AO2813" s="466"/>
      <c r="AP2813" s="466"/>
      <c r="AQ2813" s="466"/>
      <c r="AR2813" s="466"/>
      <c r="AS2813" s="466"/>
      <c r="AT2813" s="466"/>
      <c r="AU2813" s="466"/>
      <c r="AV2813" s="466"/>
      <c r="AW2813" s="466"/>
      <c r="AX2813" s="466"/>
      <c r="AY2813" s="466"/>
      <c r="AZ2813" s="466"/>
      <c r="BA2813" s="466"/>
      <c r="BB2813" s="466"/>
      <c r="BC2813" s="466"/>
      <c r="BD2813" s="466"/>
      <c r="BE2813" s="467"/>
      <c r="BF2813" s="467"/>
      <c r="BG2813" s="466"/>
      <c r="BH2813" s="466"/>
      <c r="BI2813" s="467"/>
      <c r="BJ2813" s="467"/>
      <c r="BK2813" s="467"/>
      <c r="BL2813" s="467"/>
      <c r="BM2813" s="467"/>
      <c r="BN2813" s="467"/>
      <c r="BO2813" s="467"/>
      <c r="BP2813" s="467"/>
      <c r="BQ2813" s="467"/>
      <c r="BR2813" s="467"/>
      <c r="BS2813" s="467"/>
      <c r="BT2813" s="467"/>
      <c r="BU2813" s="467"/>
      <c r="BV2813" s="467"/>
      <c r="BW2813" s="467"/>
      <c r="BX2813" s="769"/>
      <c r="BY2813" s="769"/>
      <c r="BZ2813" s="769"/>
      <c r="CA2813" s="769"/>
      <c r="CB2813" s="769"/>
      <c r="CC2813" s="769"/>
      <c r="CD2813" s="769"/>
      <c r="CE2813" s="769"/>
      <c r="CF2813" s="769"/>
      <c r="CG2813" s="73"/>
      <c r="CH2813" s="438"/>
      <c r="CI2813" s="416"/>
      <c r="CJ2813" s="73"/>
      <c r="CK2813" s="650"/>
      <c r="CL2813" s="499"/>
      <c r="CM2813" s="650"/>
      <c r="CR2813" s="416"/>
      <c r="CS2813" s="650"/>
      <c r="CU2813" s="73"/>
      <c r="CV2813" s="73"/>
      <c r="CW2813" s="73"/>
      <c r="CX2813" s="73"/>
      <c r="DA2813" s="650"/>
    </row>
    <row r="2814" spans="1:105" s="45" customFormat="1" x14ac:dyDescent="0.2">
      <c r="A2814" s="650"/>
      <c r="B2814" s="438"/>
      <c r="D2814" s="73"/>
      <c r="E2814" s="650"/>
      <c r="F2814" s="650"/>
      <c r="G2814" s="73"/>
      <c r="I2814" s="111"/>
      <c r="J2814" s="81"/>
      <c r="K2814" s="81"/>
      <c r="L2814" s="499"/>
      <c r="M2814" s="73"/>
      <c r="N2814" s="499"/>
      <c r="O2814" s="73"/>
      <c r="P2814" s="73"/>
      <c r="Q2814" s="73"/>
      <c r="R2814" s="176"/>
      <c r="S2814" s="176"/>
      <c r="T2814" s="176"/>
      <c r="U2814" s="400"/>
      <c r="V2814" s="400"/>
      <c r="W2814" s="732"/>
      <c r="X2814" s="167"/>
      <c r="Y2814" s="509"/>
      <c r="Z2814" s="466"/>
      <c r="AA2814" s="466"/>
      <c r="AB2814" s="466"/>
      <c r="AC2814" s="466"/>
      <c r="AD2814" s="466"/>
      <c r="AE2814" s="466"/>
      <c r="AF2814" s="466"/>
      <c r="AG2814" s="466"/>
      <c r="AH2814" s="466"/>
      <c r="AI2814" s="466"/>
      <c r="AJ2814" s="466"/>
      <c r="AK2814" s="466"/>
      <c r="AL2814" s="466"/>
      <c r="AM2814" s="466"/>
      <c r="AN2814" s="466"/>
      <c r="AO2814" s="466"/>
      <c r="AP2814" s="466"/>
      <c r="AQ2814" s="466"/>
      <c r="AR2814" s="466"/>
      <c r="AS2814" s="466"/>
      <c r="AT2814" s="466"/>
      <c r="AU2814" s="466"/>
      <c r="AV2814" s="466"/>
      <c r="AW2814" s="466"/>
      <c r="AX2814" s="466"/>
      <c r="AY2814" s="466"/>
      <c r="AZ2814" s="466"/>
      <c r="BA2814" s="466"/>
      <c r="BB2814" s="466"/>
      <c r="BC2814" s="466"/>
      <c r="BD2814" s="466"/>
      <c r="BE2814" s="467"/>
      <c r="BF2814" s="467"/>
      <c r="BG2814" s="466"/>
      <c r="BH2814" s="466"/>
      <c r="BI2814" s="467"/>
      <c r="BJ2814" s="467"/>
      <c r="BK2814" s="467"/>
      <c r="BL2814" s="467"/>
      <c r="BM2814" s="467"/>
      <c r="BN2814" s="467"/>
      <c r="BO2814" s="467"/>
      <c r="BP2814" s="467"/>
      <c r="BQ2814" s="467"/>
      <c r="BR2814" s="467"/>
      <c r="BS2814" s="467"/>
      <c r="BT2814" s="467"/>
      <c r="BU2814" s="467"/>
      <c r="BV2814" s="467"/>
      <c r="BW2814" s="467"/>
      <c r="BX2814" s="769"/>
      <c r="BY2814" s="769"/>
      <c r="BZ2814" s="769"/>
      <c r="CA2814" s="769"/>
      <c r="CB2814" s="769"/>
      <c r="CC2814" s="769"/>
      <c r="CD2814" s="769"/>
      <c r="CE2814" s="769"/>
      <c r="CF2814" s="769"/>
      <c r="CG2814" s="73"/>
      <c r="CH2814" s="438"/>
      <c r="CI2814" s="416"/>
      <c r="CJ2814" s="73"/>
      <c r="CK2814" s="650"/>
      <c r="CL2814" s="499"/>
      <c r="CM2814" s="650"/>
      <c r="CR2814" s="416"/>
      <c r="CS2814" s="650"/>
      <c r="CU2814" s="73"/>
      <c r="CV2814" s="73"/>
      <c r="CW2814" s="73"/>
      <c r="CX2814" s="73"/>
      <c r="DA2814" s="650"/>
    </row>
    <row r="2815" spans="1:105" s="45" customFormat="1" x14ac:dyDescent="0.2">
      <c r="A2815" s="650"/>
      <c r="B2815" s="438"/>
      <c r="D2815" s="73"/>
      <c r="E2815" s="650"/>
      <c r="F2815" s="650"/>
      <c r="G2815" s="73"/>
      <c r="I2815" s="111"/>
      <c r="J2815" s="81"/>
      <c r="K2815" s="81"/>
      <c r="L2815" s="499"/>
      <c r="M2815" s="73"/>
      <c r="N2815" s="499"/>
      <c r="O2815" s="73"/>
      <c r="P2815" s="73"/>
      <c r="Q2815" s="73"/>
      <c r="R2815" s="176"/>
      <c r="S2815" s="176"/>
      <c r="T2815" s="176"/>
      <c r="U2815" s="400"/>
      <c r="V2815" s="400"/>
      <c r="W2815" s="732"/>
      <c r="X2815" s="167"/>
      <c r="Y2815" s="509"/>
      <c r="Z2815" s="466"/>
      <c r="AA2815" s="466"/>
      <c r="AB2815" s="466"/>
      <c r="AC2815" s="466"/>
      <c r="AD2815" s="466"/>
      <c r="AE2815" s="466"/>
      <c r="AF2815" s="466"/>
      <c r="AG2815" s="466"/>
      <c r="AH2815" s="466"/>
      <c r="AI2815" s="466"/>
      <c r="AJ2815" s="466"/>
      <c r="AK2815" s="466"/>
      <c r="AL2815" s="466"/>
      <c r="AM2815" s="466"/>
      <c r="AN2815" s="466"/>
      <c r="AO2815" s="466"/>
      <c r="AP2815" s="466"/>
      <c r="AQ2815" s="466"/>
      <c r="AR2815" s="466"/>
      <c r="AS2815" s="466"/>
      <c r="AT2815" s="466"/>
      <c r="AU2815" s="466"/>
      <c r="AV2815" s="466"/>
      <c r="AW2815" s="466"/>
      <c r="AX2815" s="466"/>
      <c r="AY2815" s="466"/>
      <c r="AZ2815" s="466"/>
      <c r="BA2815" s="466"/>
      <c r="BB2815" s="466"/>
      <c r="BC2815" s="466"/>
      <c r="BD2815" s="466"/>
      <c r="BE2815" s="467"/>
      <c r="BF2815" s="467"/>
      <c r="BG2815" s="466"/>
      <c r="BH2815" s="466"/>
      <c r="BI2815" s="467"/>
      <c r="BJ2815" s="467"/>
      <c r="BK2815" s="467"/>
      <c r="BL2815" s="467"/>
      <c r="BM2815" s="467"/>
      <c r="BN2815" s="467"/>
      <c r="BO2815" s="467"/>
      <c r="BP2815" s="467"/>
      <c r="BQ2815" s="467"/>
      <c r="BR2815" s="467"/>
      <c r="BS2815" s="467"/>
      <c r="BT2815" s="467"/>
      <c r="BU2815" s="467"/>
      <c r="BV2815" s="467"/>
      <c r="BW2815" s="467"/>
      <c r="BX2815" s="769"/>
      <c r="BY2815" s="769"/>
      <c r="BZ2815" s="769"/>
      <c r="CA2815" s="769"/>
      <c r="CB2815" s="769"/>
      <c r="CC2815" s="769"/>
      <c r="CD2815" s="769"/>
      <c r="CE2815" s="769"/>
      <c r="CF2815" s="769"/>
      <c r="CG2815" s="73"/>
      <c r="CH2815" s="438"/>
      <c r="CI2815" s="416"/>
      <c r="CJ2815" s="73"/>
      <c r="CK2815" s="650"/>
      <c r="CL2815" s="499"/>
      <c r="CM2815" s="650"/>
      <c r="CR2815" s="416"/>
      <c r="CS2815" s="650"/>
      <c r="CU2815" s="73"/>
      <c r="CV2815" s="73"/>
      <c r="CW2815" s="73"/>
      <c r="CX2815" s="73"/>
      <c r="DA2815" s="650"/>
    </row>
    <row r="2816" spans="1:105" s="45" customFormat="1" x14ac:dyDescent="0.2">
      <c r="A2816" s="650"/>
      <c r="B2816" s="438"/>
      <c r="D2816" s="73"/>
      <c r="E2816" s="650"/>
      <c r="F2816" s="650"/>
      <c r="G2816" s="73"/>
      <c r="I2816" s="111"/>
      <c r="J2816" s="81"/>
      <c r="K2816" s="81"/>
      <c r="L2816" s="499"/>
      <c r="M2816" s="73"/>
      <c r="N2816" s="499"/>
      <c r="O2816" s="73"/>
      <c r="P2816" s="73"/>
      <c r="Q2816" s="73"/>
      <c r="R2816" s="176"/>
      <c r="S2816" s="176"/>
      <c r="T2816" s="176"/>
      <c r="U2816" s="400"/>
      <c r="V2816" s="400"/>
      <c r="W2816" s="732"/>
      <c r="X2816" s="167"/>
      <c r="Y2816" s="509"/>
      <c r="Z2816" s="466"/>
      <c r="AA2816" s="466"/>
      <c r="AB2816" s="466"/>
      <c r="AC2816" s="466"/>
      <c r="AD2816" s="466"/>
      <c r="AE2816" s="466"/>
      <c r="AF2816" s="466"/>
      <c r="AG2816" s="466"/>
      <c r="AH2816" s="466"/>
      <c r="AI2816" s="466"/>
      <c r="AJ2816" s="466"/>
      <c r="AK2816" s="466"/>
      <c r="AL2816" s="466"/>
      <c r="AM2816" s="466"/>
      <c r="AN2816" s="466"/>
      <c r="AO2816" s="466"/>
      <c r="AP2816" s="466"/>
      <c r="AQ2816" s="466"/>
      <c r="AR2816" s="466"/>
      <c r="AS2816" s="466"/>
      <c r="AT2816" s="466"/>
      <c r="AU2816" s="466"/>
      <c r="AV2816" s="466"/>
      <c r="AW2816" s="466"/>
      <c r="AX2816" s="466"/>
      <c r="AY2816" s="466"/>
      <c r="AZ2816" s="466"/>
      <c r="BA2816" s="466"/>
      <c r="BB2816" s="466"/>
      <c r="BC2816" s="466"/>
      <c r="BD2816" s="466"/>
      <c r="BE2816" s="467"/>
      <c r="BF2816" s="467"/>
      <c r="BG2816" s="466"/>
      <c r="BH2816" s="466"/>
      <c r="BI2816" s="467"/>
      <c r="BJ2816" s="467"/>
      <c r="BK2816" s="467"/>
      <c r="BL2816" s="467"/>
      <c r="BM2816" s="467"/>
      <c r="BN2816" s="467"/>
      <c r="BO2816" s="467"/>
      <c r="BP2816" s="467"/>
      <c r="BQ2816" s="467"/>
      <c r="BR2816" s="467"/>
      <c r="BS2816" s="467"/>
      <c r="BT2816" s="467"/>
      <c r="BU2816" s="467"/>
      <c r="BV2816" s="467"/>
      <c r="BW2816" s="467"/>
      <c r="BX2816" s="769"/>
      <c r="BY2816" s="769"/>
      <c r="BZ2816" s="769"/>
      <c r="CA2816" s="769"/>
      <c r="CB2816" s="769"/>
      <c r="CC2816" s="769"/>
      <c r="CD2816" s="769"/>
      <c r="CE2816" s="769"/>
      <c r="CF2816" s="769"/>
      <c r="CG2816" s="73"/>
      <c r="CH2816" s="438"/>
      <c r="CI2816" s="416"/>
      <c r="CJ2816" s="73"/>
      <c r="CK2816" s="650"/>
      <c r="CL2816" s="499"/>
      <c r="CM2816" s="650"/>
      <c r="CR2816" s="416"/>
      <c r="CS2816" s="650"/>
      <c r="CU2816" s="73"/>
      <c r="CV2816" s="73"/>
      <c r="CW2816" s="73"/>
      <c r="CX2816" s="73"/>
      <c r="DA2816" s="650"/>
    </row>
    <row r="2817" spans="1:105" s="45" customFormat="1" x14ac:dyDescent="0.2">
      <c r="A2817" s="650"/>
      <c r="B2817" s="438"/>
      <c r="D2817" s="73"/>
      <c r="E2817" s="650"/>
      <c r="F2817" s="650"/>
      <c r="G2817" s="73"/>
      <c r="I2817" s="111"/>
      <c r="J2817" s="81"/>
      <c r="K2817" s="81"/>
      <c r="L2817" s="499"/>
      <c r="M2817" s="73"/>
      <c r="N2817" s="499"/>
      <c r="O2817" s="73"/>
      <c r="P2817" s="73"/>
      <c r="Q2817" s="73"/>
      <c r="R2817" s="176"/>
      <c r="S2817" s="176"/>
      <c r="T2817" s="176"/>
      <c r="U2817" s="400"/>
      <c r="V2817" s="400"/>
      <c r="W2817" s="732"/>
      <c r="X2817" s="167"/>
      <c r="Y2817" s="509"/>
      <c r="Z2817" s="466"/>
      <c r="AA2817" s="466"/>
      <c r="AB2817" s="466"/>
      <c r="AC2817" s="466"/>
      <c r="AD2817" s="466"/>
      <c r="AE2817" s="466"/>
      <c r="AF2817" s="466"/>
      <c r="AG2817" s="466"/>
      <c r="AH2817" s="466"/>
      <c r="AI2817" s="466"/>
      <c r="AJ2817" s="466"/>
      <c r="AK2817" s="466"/>
      <c r="AL2817" s="466"/>
      <c r="AM2817" s="466"/>
      <c r="AN2817" s="466"/>
      <c r="AO2817" s="466"/>
      <c r="AP2817" s="466"/>
      <c r="AQ2817" s="466"/>
      <c r="AR2817" s="466"/>
      <c r="AS2817" s="466"/>
      <c r="AT2817" s="466"/>
      <c r="AU2817" s="466"/>
      <c r="AV2817" s="466"/>
      <c r="AW2817" s="466"/>
      <c r="AX2817" s="466"/>
      <c r="AY2817" s="466"/>
      <c r="AZ2817" s="466"/>
      <c r="BA2817" s="466"/>
      <c r="BB2817" s="466"/>
      <c r="BC2817" s="466"/>
      <c r="BD2817" s="466"/>
      <c r="BE2817" s="467"/>
      <c r="BF2817" s="467"/>
      <c r="BG2817" s="466"/>
      <c r="BH2817" s="466"/>
      <c r="BI2817" s="467"/>
      <c r="BJ2817" s="467"/>
      <c r="BK2817" s="467"/>
      <c r="BL2817" s="467"/>
      <c r="BM2817" s="467"/>
      <c r="BN2817" s="467"/>
      <c r="BO2817" s="467"/>
      <c r="BP2817" s="467"/>
      <c r="BQ2817" s="467"/>
      <c r="BR2817" s="467"/>
      <c r="BS2817" s="467"/>
      <c r="BT2817" s="467"/>
      <c r="BU2817" s="467"/>
      <c r="BV2817" s="467"/>
      <c r="BW2817" s="467"/>
      <c r="BX2817" s="769"/>
      <c r="BY2817" s="769"/>
      <c r="BZ2817" s="769"/>
      <c r="CA2817" s="769"/>
      <c r="CB2817" s="769"/>
      <c r="CC2817" s="769"/>
      <c r="CD2817" s="769"/>
      <c r="CE2817" s="769"/>
      <c r="CF2817" s="769"/>
      <c r="CG2817" s="73"/>
      <c r="CH2817" s="438"/>
      <c r="CI2817" s="416"/>
      <c r="CJ2817" s="73"/>
      <c r="CK2817" s="650"/>
      <c r="CL2817" s="499"/>
      <c r="CM2817" s="650"/>
      <c r="CR2817" s="416"/>
      <c r="CS2817" s="650"/>
      <c r="CU2817" s="73"/>
      <c r="CV2817" s="73"/>
      <c r="CW2817" s="73"/>
      <c r="CX2817" s="73"/>
      <c r="DA2817" s="650"/>
    </row>
    <row r="2818" spans="1:105" s="45" customFormat="1" x14ac:dyDescent="0.2">
      <c r="A2818" s="650"/>
      <c r="B2818" s="438"/>
      <c r="D2818" s="73"/>
      <c r="E2818" s="650"/>
      <c r="F2818" s="650"/>
      <c r="G2818" s="73"/>
      <c r="I2818" s="111"/>
      <c r="J2818" s="81"/>
      <c r="K2818" s="81"/>
      <c r="L2818" s="499"/>
      <c r="M2818" s="73"/>
      <c r="N2818" s="499"/>
      <c r="O2818" s="73"/>
      <c r="P2818" s="73"/>
      <c r="Q2818" s="73"/>
      <c r="R2818" s="176"/>
      <c r="S2818" s="176"/>
      <c r="T2818" s="176"/>
      <c r="U2818" s="400"/>
      <c r="V2818" s="400"/>
      <c r="W2818" s="732"/>
      <c r="X2818" s="167"/>
      <c r="Y2818" s="509"/>
      <c r="Z2818" s="466"/>
      <c r="AA2818" s="466"/>
      <c r="AB2818" s="466"/>
      <c r="AC2818" s="466"/>
      <c r="AD2818" s="466"/>
      <c r="AE2818" s="466"/>
      <c r="AF2818" s="466"/>
      <c r="AG2818" s="466"/>
      <c r="AH2818" s="466"/>
      <c r="AI2818" s="466"/>
      <c r="AJ2818" s="466"/>
      <c r="AK2818" s="466"/>
      <c r="AL2818" s="466"/>
      <c r="AM2818" s="466"/>
      <c r="AN2818" s="466"/>
      <c r="AO2818" s="466"/>
      <c r="AP2818" s="466"/>
      <c r="AQ2818" s="466"/>
      <c r="AR2818" s="466"/>
      <c r="AS2818" s="466"/>
      <c r="AT2818" s="466"/>
      <c r="AU2818" s="466"/>
      <c r="AV2818" s="466"/>
      <c r="AW2818" s="466"/>
      <c r="AX2818" s="466"/>
      <c r="AY2818" s="466"/>
      <c r="AZ2818" s="466"/>
      <c r="BA2818" s="466"/>
      <c r="BB2818" s="466"/>
      <c r="BC2818" s="466"/>
      <c r="BD2818" s="466"/>
      <c r="BE2818" s="467"/>
      <c r="BF2818" s="467"/>
      <c r="BG2818" s="466"/>
      <c r="BH2818" s="466"/>
      <c r="BI2818" s="467"/>
      <c r="BJ2818" s="467"/>
      <c r="BK2818" s="467"/>
      <c r="BL2818" s="467"/>
      <c r="BM2818" s="467"/>
      <c r="BN2818" s="467"/>
      <c r="BO2818" s="467"/>
      <c r="BP2818" s="467"/>
      <c r="BQ2818" s="467"/>
      <c r="BR2818" s="467"/>
      <c r="BS2818" s="467"/>
      <c r="BT2818" s="467"/>
      <c r="BU2818" s="467"/>
      <c r="BV2818" s="467"/>
      <c r="BW2818" s="467"/>
      <c r="BX2818" s="769"/>
      <c r="BY2818" s="769"/>
      <c r="BZ2818" s="769"/>
      <c r="CA2818" s="769"/>
      <c r="CB2818" s="769"/>
      <c r="CC2818" s="769"/>
      <c r="CD2818" s="769"/>
      <c r="CE2818" s="769"/>
      <c r="CF2818" s="769"/>
      <c r="CG2818" s="73"/>
      <c r="CH2818" s="438"/>
      <c r="CI2818" s="416"/>
      <c r="CJ2818" s="73"/>
      <c r="CK2818" s="650"/>
      <c r="CL2818" s="499"/>
      <c r="CM2818" s="650"/>
      <c r="CR2818" s="416"/>
      <c r="CS2818" s="650"/>
      <c r="CU2818" s="73"/>
      <c r="CV2818" s="73"/>
      <c r="CW2818" s="73"/>
      <c r="CX2818" s="73"/>
      <c r="DA2818" s="650"/>
    </row>
    <row r="2819" spans="1:105" s="45" customFormat="1" x14ac:dyDescent="0.2">
      <c r="A2819" s="650"/>
      <c r="B2819" s="438"/>
      <c r="D2819" s="73"/>
      <c r="E2819" s="650"/>
      <c r="F2819" s="650"/>
      <c r="G2819" s="73"/>
      <c r="I2819" s="111"/>
      <c r="J2819" s="81"/>
      <c r="K2819" s="81"/>
      <c r="L2819" s="499"/>
      <c r="M2819" s="73"/>
      <c r="N2819" s="499"/>
      <c r="O2819" s="73"/>
      <c r="P2819" s="73"/>
      <c r="Q2819" s="73"/>
      <c r="R2819" s="176"/>
      <c r="S2819" s="176"/>
      <c r="T2819" s="176"/>
      <c r="U2819" s="400"/>
      <c r="V2819" s="400"/>
      <c r="W2819" s="732"/>
      <c r="X2819" s="167"/>
      <c r="Y2819" s="509"/>
      <c r="Z2819" s="466"/>
      <c r="AA2819" s="466"/>
      <c r="AB2819" s="466"/>
      <c r="AC2819" s="466"/>
      <c r="AD2819" s="466"/>
      <c r="AE2819" s="466"/>
      <c r="AF2819" s="466"/>
      <c r="AG2819" s="466"/>
      <c r="AH2819" s="466"/>
      <c r="AI2819" s="466"/>
      <c r="AJ2819" s="466"/>
      <c r="AK2819" s="466"/>
      <c r="AL2819" s="466"/>
      <c r="AM2819" s="466"/>
      <c r="AN2819" s="466"/>
      <c r="AO2819" s="466"/>
      <c r="AP2819" s="466"/>
      <c r="AQ2819" s="466"/>
      <c r="AR2819" s="466"/>
      <c r="AS2819" s="466"/>
      <c r="AT2819" s="466"/>
      <c r="AU2819" s="466"/>
      <c r="AV2819" s="466"/>
      <c r="AW2819" s="466"/>
      <c r="AX2819" s="466"/>
      <c r="AY2819" s="466"/>
      <c r="AZ2819" s="466"/>
      <c r="BA2819" s="466"/>
      <c r="BB2819" s="466"/>
      <c r="BC2819" s="466"/>
      <c r="BD2819" s="466"/>
      <c r="BE2819" s="467"/>
      <c r="BF2819" s="467"/>
      <c r="BG2819" s="466"/>
      <c r="BH2819" s="466"/>
      <c r="BI2819" s="467"/>
      <c r="BJ2819" s="467"/>
      <c r="BK2819" s="467"/>
      <c r="BL2819" s="467"/>
      <c r="BM2819" s="467"/>
      <c r="BN2819" s="467"/>
      <c r="BO2819" s="467"/>
      <c r="BP2819" s="467"/>
      <c r="BQ2819" s="467"/>
      <c r="BR2819" s="467"/>
      <c r="BS2819" s="467"/>
      <c r="BT2819" s="467"/>
      <c r="BU2819" s="467"/>
      <c r="BV2819" s="467"/>
      <c r="BW2819" s="467"/>
      <c r="BX2819" s="769"/>
      <c r="BY2819" s="769"/>
      <c r="BZ2819" s="769"/>
      <c r="CA2819" s="769"/>
      <c r="CB2819" s="769"/>
      <c r="CC2819" s="769"/>
      <c r="CD2819" s="769"/>
      <c r="CE2819" s="769"/>
      <c r="CF2819" s="769"/>
      <c r="CG2819" s="73"/>
      <c r="CH2819" s="438"/>
      <c r="CI2819" s="416"/>
      <c r="CJ2819" s="73"/>
      <c r="CK2819" s="650"/>
      <c r="CL2819" s="499"/>
      <c r="CM2819" s="650"/>
      <c r="CR2819" s="416"/>
      <c r="CS2819" s="650"/>
      <c r="CU2819" s="73"/>
      <c r="CV2819" s="73"/>
      <c r="CW2819" s="73"/>
      <c r="CX2819" s="73"/>
      <c r="DA2819" s="650"/>
    </row>
    <row r="2820" spans="1:105" s="45" customFormat="1" x14ac:dyDescent="0.2">
      <c r="A2820" s="650"/>
      <c r="B2820" s="438"/>
      <c r="D2820" s="73"/>
      <c r="E2820" s="650"/>
      <c r="F2820" s="650"/>
      <c r="G2820" s="73"/>
      <c r="I2820" s="111"/>
      <c r="J2820" s="81"/>
      <c r="K2820" s="81"/>
      <c r="L2820" s="499"/>
      <c r="M2820" s="73"/>
      <c r="N2820" s="499"/>
      <c r="O2820" s="73"/>
      <c r="P2820" s="73"/>
      <c r="Q2820" s="73"/>
      <c r="R2820" s="176"/>
      <c r="S2820" s="176"/>
      <c r="T2820" s="176"/>
      <c r="U2820" s="400"/>
      <c r="V2820" s="400"/>
      <c r="W2820" s="732"/>
      <c r="X2820" s="167"/>
      <c r="Y2820" s="509"/>
      <c r="Z2820" s="466"/>
      <c r="AA2820" s="466"/>
      <c r="AB2820" s="466"/>
      <c r="AC2820" s="466"/>
      <c r="AD2820" s="466"/>
      <c r="AE2820" s="466"/>
      <c r="AF2820" s="466"/>
      <c r="AG2820" s="466"/>
      <c r="AH2820" s="466"/>
      <c r="AI2820" s="466"/>
      <c r="AJ2820" s="466"/>
      <c r="AK2820" s="466"/>
      <c r="AL2820" s="466"/>
      <c r="AM2820" s="466"/>
      <c r="AN2820" s="466"/>
      <c r="AO2820" s="466"/>
      <c r="AP2820" s="466"/>
      <c r="AQ2820" s="466"/>
      <c r="AR2820" s="466"/>
      <c r="AS2820" s="466"/>
      <c r="AT2820" s="466"/>
      <c r="AU2820" s="466"/>
      <c r="AV2820" s="466"/>
      <c r="AW2820" s="466"/>
      <c r="AX2820" s="466"/>
      <c r="AY2820" s="466"/>
      <c r="AZ2820" s="466"/>
      <c r="BA2820" s="466"/>
      <c r="BB2820" s="466"/>
      <c r="BC2820" s="466"/>
      <c r="BD2820" s="466"/>
      <c r="BE2820" s="467"/>
      <c r="BF2820" s="467"/>
      <c r="BG2820" s="466"/>
      <c r="BH2820" s="466"/>
      <c r="BI2820" s="467"/>
      <c r="BJ2820" s="467"/>
      <c r="BK2820" s="467"/>
      <c r="BL2820" s="467"/>
      <c r="BM2820" s="467"/>
      <c r="BN2820" s="467"/>
      <c r="BO2820" s="467"/>
      <c r="BP2820" s="467"/>
      <c r="BQ2820" s="467"/>
      <c r="BR2820" s="467"/>
      <c r="BS2820" s="467"/>
      <c r="BT2820" s="467"/>
      <c r="BU2820" s="467"/>
      <c r="BV2820" s="467"/>
      <c r="BW2820" s="467"/>
      <c r="BX2820" s="769"/>
      <c r="BY2820" s="769"/>
      <c r="BZ2820" s="769"/>
      <c r="CA2820" s="769"/>
      <c r="CB2820" s="769"/>
      <c r="CC2820" s="769"/>
      <c r="CD2820" s="769"/>
      <c r="CE2820" s="769"/>
      <c r="CF2820" s="769"/>
      <c r="CG2820" s="73"/>
      <c r="CH2820" s="438"/>
      <c r="CI2820" s="416"/>
      <c r="CJ2820" s="73"/>
      <c r="CK2820" s="650"/>
      <c r="CL2820" s="499"/>
      <c r="CM2820" s="650"/>
      <c r="CR2820" s="416"/>
      <c r="CS2820" s="650"/>
      <c r="CU2820" s="73"/>
      <c r="CV2820" s="73"/>
      <c r="CW2820" s="73"/>
      <c r="CX2820" s="73"/>
      <c r="DA2820" s="650"/>
    </row>
    <row r="2821" spans="1:105" s="45" customFormat="1" x14ac:dyDescent="0.2">
      <c r="A2821" s="650"/>
      <c r="B2821" s="438"/>
      <c r="D2821" s="73"/>
      <c r="E2821" s="650"/>
      <c r="F2821" s="650"/>
      <c r="G2821" s="73"/>
      <c r="I2821" s="111"/>
      <c r="J2821" s="81"/>
      <c r="K2821" s="81"/>
      <c r="L2821" s="499"/>
      <c r="M2821" s="73"/>
      <c r="N2821" s="499"/>
      <c r="O2821" s="73"/>
      <c r="P2821" s="73"/>
      <c r="Q2821" s="73"/>
      <c r="R2821" s="176"/>
      <c r="S2821" s="176"/>
      <c r="T2821" s="176"/>
      <c r="U2821" s="400"/>
      <c r="V2821" s="400"/>
      <c r="W2821" s="732"/>
      <c r="X2821" s="167"/>
      <c r="Y2821" s="509"/>
      <c r="Z2821" s="466"/>
      <c r="AA2821" s="466"/>
      <c r="AB2821" s="466"/>
      <c r="AC2821" s="466"/>
      <c r="AD2821" s="466"/>
      <c r="AE2821" s="466"/>
      <c r="AF2821" s="466"/>
      <c r="AG2821" s="466"/>
      <c r="AH2821" s="466"/>
      <c r="AI2821" s="466"/>
      <c r="AJ2821" s="466"/>
      <c r="AK2821" s="466"/>
      <c r="AL2821" s="466"/>
      <c r="AM2821" s="466"/>
      <c r="AN2821" s="466"/>
      <c r="AO2821" s="466"/>
      <c r="AP2821" s="466"/>
      <c r="AQ2821" s="466"/>
      <c r="AR2821" s="466"/>
      <c r="AS2821" s="466"/>
      <c r="AT2821" s="466"/>
      <c r="AU2821" s="466"/>
      <c r="AV2821" s="466"/>
      <c r="AW2821" s="466"/>
      <c r="AX2821" s="466"/>
      <c r="AY2821" s="466"/>
      <c r="AZ2821" s="466"/>
      <c r="BA2821" s="466"/>
      <c r="BB2821" s="466"/>
      <c r="BC2821" s="466"/>
      <c r="BD2821" s="466"/>
      <c r="BE2821" s="467"/>
      <c r="BF2821" s="467"/>
      <c r="BG2821" s="466"/>
      <c r="BH2821" s="466"/>
      <c r="BI2821" s="467"/>
      <c r="BJ2821" s="467"/>
      <c r="BK2821" s="467"/>
      <c r="BL2821" s="467"/>
      <c r="BM2821" s="467"/>
      <c r="BN2821" s="467"/>
      <c r="BO2821" s="467"/>
      <c r="BP2821" s="467"/>
      <c r="BQ2821" s="467"/>
      <c r="BR2821" s="467"/>
      <c r="BS2821" s="467"/>
      <c r="BT2821" s="467"/>
      <c r="BU2821" s="467"/>
      <c r="BV2821" s="467"/>
      <c r="BW2821" s="467"/>
      <c r="BX2821" s="769"/>
      <c r="BY2821" s="769"/>
      <c r="BZ2821" s="769"/>
      <c r="CA2821" s="769"/>
      <c r="CB2821" s="769"/>
      <c r="CC2821" s="769"/>
      <c r="CD2821" s="769"/>
      <c r="CE2821" s="769"/>
      <c r="CF2821" s="769"/>
      <c r="CG2821" s="73"/>
      <c r="CH2821" s="438"/>
      <c r="CI2821" s="416"/>
      <c r="CJ2821" s="73"/>
      <c r="CK2821" s="650"/>
      <c r="CL2821" s="499"/>
      <c r="CM2821" s="650"/>
      <c r="CR2821" s="416"/>
      <c r="CS2821" s="650"/>
      <c r="CU2821" s="73"/>
      <c r="CV2821" s="73"/>
      <c r="CW2821" s="73"/>
      <c r="CX2821" s="73"/>
      <c r="DA2821" s="650"/>
    </row>
    <row r="2822" spans="1:105" s="45" customFormat="1" x14ac:dyDescent="0.2">
      <c r="A2822" s="650"/>
      <c r="B2822" s="438"/>
      <c r="D2822" s="73"/>
      <c r="E2822" s="650"/>
      <c r="F2822" s="650"/>
      <c r="G2822" s="73"/>
      <c r="I2822" s="111"/>
      <c r="J2822" s="81"/>
      <c r="K2822" s="81"/>
      <c r="L2822" s="499"/>
      <c r="M2822" s="73"/>
      <c r="N2822" s="499"/>
      <c r="O2822" s="73"/>
      <c r="P2822" s="73"/>
      <c r="Q2822" s="73"/>
      <c r="R2822" s="176"/>
      <c r="S2822" s="176"/>
      <c r="T2822" s="176"/>
      <c r="U2822" s="400"/>
      <c r="V2822" s="400"/>
      <c r="W2822" s="732"/>
      <c r="X2822" s="167"/>
      <c r="Y2822" s="509"/>
      <c r="Z2822" s="466"/>
      <c r="AA2822" s="466"/>
      <c r="AB2822" s="466"/>
      <c r="AC2822" s="466"/>
      <c r="AD2822" s="466"/>
      <c r="AE2822" s="466"/>
      <c r="AF2822" s="466"/>
      <c r="AG2822" s="466"/>
      <c r="AH2822" s="466"/>
      <c r="AI2822" s="466"/>
      <c r="AJ2822" s="466"/>
      <c r="AK2822" s="466"/>
      <c r="AL2822" s="466"/>
      <c r="AM2822" s="466"/>
      <c r="AN2822" s="466"/>
      <c r="AO2822" s="466"/>
      <c r="AP2822" s="466"/>
      <c r="AQ2822" s="466"/>
      <c r="AR2822" s="466"/>
      <c r="AS2822" s="466"/>
      <c r="AT2822" s="466"/>
      <c r="AU2822" s="466"/>
      <c r="AV2822" s="466"/>
      <c r="AW2822" s="466"/>
      <c r="AX2822" s="466"/>
      <c r="AY2822" s="466"/>
      <c r="AZ2822" s="466"/>
      <c r="BA2822" s="466"/>
      <c r="BB2822" s="466"/>
      <c r="BC2822" s="466"/>
      <c r="BD2822" s="466"/>
      <c r="BE2822" s="467"/>
      <c r="BF2822" s="467"/>
      <c r="BG2822" s="466"/>
      <c r="BH2822" s="466"/>
      <c r="BI2822" s="467"/>
      <c r="BJ2822" s="467"/>
      <c r="BK2822" s="467"/>
      <c r="BL2822" s="467"/>
      <c r="BM2822" s="467"/>
      <c r="BN2822" s="467"/>
      <c r="BO2822" s="467"/>
      <c r="BP2822" s="467"/>
      <c r="BQ2822" s="467"/>
      <c r="BR2822" s="467"/>
      <c r="BS2822" s="467"/>
      <c r="BT2822" s="467"/>
      <c r="BU2822" s="467"/>
      <c r="BV2822" s="467"/>
      <c r="BW2822" s="467"/>
      <c r="BX2822" s="769"/>
      <c r="BY2822" s="769"/>
      <c r="BZ2822" s="769"/>
      <c r="CA2822" s="769"/>
      <c r="CB2822" s="769"/>
      <c r="CC2822" s="769"/>
      <c r="CD2822" s="769"/>
      <c r="CE2822" s="769"/>
      <c r="CF2822" s="769"/>
      <c r="CG2822" s="73"/>
      <c r="CH2822" s="438"/>
      <c r="CI2822" s="416"/>
      <c r="CJ2822" s="73"/>
      <c r="CK2822" s="650"/>
      <c r="CL2822" s="499"/>
      <c r="CM2822" s="650"/>
      <c r="CR2822" s="416"/>
      <c r="CS2822" s="650"/>
      <c r="CU2822" s="73"/>
      <c r="CV2822" s="73"/>
      <c r="CW2822" s="73"/>
      <c r="CX2822" s="73"/>
      <c r="DA2822" s="650"/>
    </row>
    <row r="2823" spans="1:105" s="45" customFormat="1" x14ac:dyDescent="0.2">
      <c r="A2823" s="650"/>
      <c r="B2823" s="438"/>
      <c r="D2823" s="73"/>
      <c r="E2823" s="650"/>
      <c r="F2823" s="650"/>
      <c r="G2823" s="73"/>
      <c r="I2823" s="111"/>
      <c r="J2823" s="81"/>
      <c r="K2823" s="81"/>
      <c r="L2823" s="499"/>
      <c r="M2823" s="73"/>
      <c r="N2823" s="499"/>
      <c r="O2823" s="73"/>
      <c r="P2823" s="73"/>
      <c r="Q2823" s="73"/>
      <c r="R2823" s="176"/>
      <c r="S2823" s="176"/>
      <c r="T2823" s="176"/>
      <c r="U2823" s="400"/>
      <c r="V2823" s="400"/>
      <c r="W2823" s="732"/>
      <c r="X2823" s="167"/>
      <c r="Y2823" s="509"/>
      <c r="Z2823" s="466"/>
      <c r="AA2823" s="466"/>
      <c r="AB2823" s="466"/>
      <c r="AC2823" s="466"/>
      <c r="AD2823" s="466"/>
      <c r="AE2823" s="466"/>
      <c r="AF2823" s="466"/>
      <c r="AG2823" s="466"/>
      <c r="AH2823" s="466"/>
      <c r="AI2823" s="466"/>
      <c r="AJ2823" s="466"/>
      <c r="AK2823" s="466"/>
      <c r="AL2823" s="466"/>
      <c r="AM2823" s="466"/>
      <c r="AN2823" s="466"/>
      <c r="AO2823" s="466"/>
      <c r="AP2823" s="466"/>
      <c r="AQ2823" s="466"/>
      <c r="AR2823" s="466"/>
      <c r="AS2823" s="466"/>
      <c r="AT2823" s="466"/>
      <c r="AU2823" s="466"/>
      <c r="AV2823" s="466"/>
      <c r="AW2823" s="466"/>
      <c r="AX2823" s="466"/>
      <c r="AY2823" s="466"/>
      <c r="AZ2823" s="466"/>
      <c r="BA2823" s="466"/>
      <c r="BB2823" s="466"/>
      <c r="BC2823" s="466"/>
      <c r="BD2823" s="466"/>
      <c r="BE2823" s="467"/>
      <c r="BF2823" s="467"/>
      <c r="BG2823" s="466"/>
      <c r="BH2823" s="466"/>
      <c r="BI2823" s="467"/>
      <c r="BJ2823" s="467"/>
      <c r="BK2823" s="467"/>
      <c r="BL2823" s="467"/>
      <c r="BM2823" s="467"/>
      <c r="BN2823" s="467"/>
      <c r="BO2823" s="467"/>
      <c r="BP2823" s="467"/>
      <c r="BQ2823" s="467"/>
      <c r="BR2823" s="467"/>
      <c r="BS2823" s="467"/>
      <c r="BT2823" s="467"/>
      <c r="BU2823" s="467"/>
      <c r="BV2823" s="467"/>
      <c r="BW2823" s="467"/>
      <c r="BX2823" s="769"/>
      <c r="BY2823" s="769"/>
      <c r="BZ2823" s="769"/>
      <c r="CA2823" s="769"/>
      <c r="CB2823" s="769"/>
      <c r="CC2823" s="769"/>
      <c r="CD2823" s="769"/>
      <c r="CE2823" s="769"/>
      <c r="CF2823" s="769"/>
      <c r="CG2823" s="73"/>
      <c r="CH2823" s="438"/>
      <c r="CI2823" s="416"/>
      <c r="CJ2823" s="73"/>
      <c r="CK2823" s="650"/>
      <c r="CL2823" s="499"/>
      <c r="CM2823" s="650"/>
      <c r="CR2823" s="416"/>
      <c r="CS2823" s="650"/>
      <c r="CU2823" s="73"/>
      <c r="CV2823" s="73"/>
      <c r="CW2823" s="73"/>
      <c r="CX2823" s="73"/>
      <c r="DA2823" s="650"/>
    </row>
    <row r="2824" spans="1:105" s="45" customFormat="1" x14ac:dyDescent="0.2">
      <c r="A2824" s="650"/>
      <c r="B2824" s="438"/>
      <c r="D2824" s="73"/>
      <c r="E2824" s="650"/>
      <c r="F2824" s="650"/>
      <c r="G2824" s="73"/>
      <c r="I2824" s="111"/>
      <c r="J2824" s="81"/>
      <c r="K2824" s="81"/>
      <c r="L2824" s="499"/>
      <c r="M2824" s="73"/>
      <c r="N2824" s="499"/>
      <c r="O2824" s="73"/>
      <c r="P2824" s="73"/>
      <c r="Q2824" s="73"/>
      <c r="R2824" s="176"/>
      <c r="S2824" s="176"/>
      <c r="T2824" s="176"/>
      <c r="U2824" s="400"/>
      <c r="V2824" s="400"/>
      <c r="W2824" s="732"/>
      <c r="X2824" s="167"/>
      <c r="Y2824" s="509"/>
      <c r="Z2824" s="466"/>
      <c r="AA2824" s="466"/>
      <c r="AB2824" s="466"/>
      <c r="AC2824" s="466"/>
      <c r="AD2824" s="466"/>
      <c r="AE2824" s="466"/>
      <c r="AF2824" s="466"/>
      <c r="AG2824" s="466"/>
      <c r="AH2824" s="466"/>
      <c r="AI2824" s="466"/>
      <c r="AJ2824" s="466"/>
      <c r="AK2824" s="466"/>
      <c r="AL2824" s="466"/>
      <c r="AM2824" s="466"/>
      <c r="AN2824" s="466"/>
      <c r="AO2824" s="466"/>
      <c r="AP2824" s="466"/>
      <c r="AQ2824" s="466"/>
      <c r="AR2824" s="466"/>
      <c r="AS2824" s="466"/>
      <c r="AT2824" s="466"/>
      <c r="AU2824" s="466"/>
      <c r="AV2824" s="466"/>
      <c r="AW2824" s="466"/>
      <c r="AX2824" s="466"/>
      <c r="AY2824" s="466"/>
      <c r="AZ2824" s="466"/>
      <c r="BA2824" s="466"/>
      <c r="BB2824" s="466"/>
      <c r="BC2824" s="466"/>
      <c r="BD2824" s="466"/>
      <c r="BE2824" s="467"/>
      <c r="BF2824" s="467"/>
      <c r="BG2824" s="466"/>
      <c r="BH2824" s="466"/>
      <c r="BI2824" s="467"/>
      <c r="BJ2824" s="467"/>
      <c r="BK2824" s="467"/>
      <c r="BL2824" s="467"/>
      <c r="BM2824" s="467"/>
      <c r="BN2824" s="467"/>
      <c r="BO2824" s="467"/>
      <c r="BP2824" s="467"/>
      <c r="BQ2824" s="467"/>
      <c r="BR2824" s="467"/>
      <c r="BS2824" s="467"/>
      <c r="BT2824" s="467"/>
      <c r="BU2824" s="467"/>
      <c r="BV2824" s="467"/>
      <c r="BW2824" s="467"/>
      <c r="BX2824" s="769"/>
      <c r="BY2824" s="769"/>
      <c r="BZ2824" s="769"/>
      <c r="CA2824" s="769"/>
      <c r="CB2824" s="769"/>
      <c r="CC2824" s="769"/>
      <c r="CD2824" s="769"/>
      <c r="CE2824" s="769"/>
      <c r="CF2824" s="769"/>
      <c r="CG2824" s="73"/>
      <c r="CH2824" s="438"/>
      <c r="CI2824" s="416"/>
      <c r="CJ2824" s="73"/>
      <c r="CK2824" s="650"/>
      <c r="CL2824" s="499"/>
      <c r="CM2824" s="650"/>
      <c r="CR2824" s="416"/>
      <c r="CS2824" s="650"/>
      <c r="CU2824" s="73"/>
      <c r="CV2824" s="73"/>
      <c r="CW2824" s="73"/>
      <c r="CX2824" s="73"/>
      <c r="DA2824" s="650"/>
    </row>
    <row r="2825" spans="1:105" s="45" customFormat="1" x14ac:dyDescent="0.2">
      <c r="A2825" s="650"/>
      <c r="B2825" s="438"/>
      <c r="D2825" s="73"/>
      <c r="E2825" s="650"/>
      <c r="F2825" s="650"/>
      <c r="G2825" s="73"/>
      <c r="I2825" s="111"/>
      <c r="J2825" s="81"/>
      <c r="K2825" s="81"/>
      <c r="L2825" s="499"/>
      <c r="M2825" s="73"/>
      <c r="N2825" s="499"/>
      <c r="O2825" s="73"/>
      <c r="P2825" s="73"/>
      <c r="Q2825" s="73"/>
      <c r="R2825" s="176"/>
      <c r="S2825" s="176"/>
      <c r="T2825" s="176"/>
      <c r="U2825" s="400"/>
      <c r="V2825" s="400"/>
      <c r="W2825" s="732"/>
      <c r="X2825" s="167"/>
      <c r="Y2825" s="509"/>
      <c r="Z2825" s="466"/>
      <c r="AA2825" s="466"/>
      <c r="AB2825" s="466"/>
      <c r="AC2825" s="466"/>
      <c r="AD2825" s="466"/>
      <c r="AE2825" s="466"/>
      <c r="AF2825" s="466"/>
      <c r="AG2825" s="466"/>
      <c r="AH2825" s="466"/>
      <c r="AI2825" s="466"/>
      <c r="AJ2825" s="466"/>
      <c r="AK2825" s="466"/>
      <c r="AL2825" s="466"/>
      <c r="AM2825" s="466"/>
      <c r="AN2825" s="466"/>
      <c r="AO2825" s="466"/>
      <c r="AP2825" s="466"/>
      <c r="AQ2825" s="466"/>
      <c r="AR2825" s="466"/>
      <c r="AS2825" s="466"/>
      <c r="AT2825" s="466"/>
      <c r="AU2825" s="466"/>
      <c r="AV2825" s="466"/>
      <c r="AW2825" s="466"/>
      <c r="AX2825" s="466"/>
      <c r="AY2825" s="466"/>
      <c r="AZ2825" s="466"/>
      <c r="BA2825" s="466"/>
      <c r="BB2825" s="466"/>
      <c r="BC2825" s="466"/>
      <c r="BD2825" s="466"/>
      <c r="BE2825" s="467"/>
      <c r="BF2825" s="467"/>
      <c r="BG2825" s="466"/>
      <c r="BH2825" s="466"/>
      <c r="BI2825" s="467"/>
      <c r="BJ2825" s="467"/>
      <c r="BK2825" s="467"/>
      <c r="BL2825" s="467"/>
      <c r="BM2825" s="467"/>
      <c r="BN2825" s="467"/>
      <c r="BO2825" s="467"/>
      <c r="BP2825" s="467"/>
      <c r="BQ2825" s="467"/>
      <c r="BR2825" s="467"/>
      <c r="BS2825" s="467"/>
      <c r="BT2825" s="467"/>
      <c r="BU2825" s="467"/>
      <c r="BV2825" s="467"/>
      <c r="BW2825" s="467"/>
      <c r="BX2825" s="769"/>
      <c r="BY2825" s="769"/>
      <c r="BZ2825" s="769"/>
      <c r="CA2825" s="769"/>
      <c r="CB2825" s="769"/>
      <c r="CC2825" s="769"/>
      <c r="CD2825" s="769"/>
      <c r="CE2825" s="769"/>
      <c r="CF2825" s="769"/>
      <c r="CG2825" s="73"/>
      <c r="CH2825" s="438"/>
      <c r="CI2825" s="416"/>
      <c r="CJ2825" s="73"/>
      <c r="CK2825" s="650"/>
      <c r="CL2825" s="499"/>
      <c r="CM2825" s="650"/>
      <c r="CR2825" s="416"/>
      <c r="CS2825" s="650"/>
      <c r="CU2825" s="73"/>
      <c r="CV2825" s="73"/>
      <c r="CW2825" s="73"/>
      <c r="CX2825" s="73"/>
      <c r="DA2825" s="650"/>
    </row>
    <row r="2826" spans="1:105" s="45" customFormat="1" x14ac:dyDescent="0.2">
      <c r="A2826" s="650"/>
      <c r="B2826" s="438"/>
      <c r="D2826" s="73"/>
      <c r="E2826" s="650"/>
      <c r="F2826" s="650"/>
      <c r="G2826" s="73"/>
      <c r="I2826" s="111"/>
      <c r="J2826" s="81"/>
      <c r="K2826" s="81"/>
      <c r="L2826" s="499"/>
      <c r="M2826" s="73"/>
      <c r="N2826" s="499"/>
      <c r="O2826" s="73"/>
      <c r="P2826" s="73"/>
      <c r="Q2826" s="73"/>
      <c r="R2826" s="176"/>
      <c r="S2826" s="176"/>
      <c r="T2826" s="176"/>
      <c r="U2826" s="400"/>
      <c r="V2826" s="400"/>
      <c r="W2826" s="732"/>
      <c r="X2826" s="167"/>
      <c r="Y2826" s="509"/>
      <c r="Z2826" s="466"/>
      <c r="AA2826" s="466"/>
      <c r="AB2826" s="466"/>
      <c r="AC2826" s="466"/>
      <c r="AD2826" s="466"/>
      <c r="AE2826" s="466"/>
      <c r="AF2826" s="466"/>
      <c r="AG2826" s="466"/>
      <c r="AH2826" s="466"/>
      <c r="AI2826" s="466"/>
      <c r="AJ2826" s="466"/>
      <c r="AK2826" s="466"/>
      <c r="AL2826" s="466"/>
      <c r="AM2826" s="466"/>
      <c r="AN2826" s="466"/>
      <c r="AO2826" s="466"/>
      <c r="AP2826" s="466"/>
      <c r="AQ2826" s="466"/>
      <c r="AR2826" s="466"/>
      <c r="AS2826" s="466"/>
      <c r="AT2826" s="466"/>
      <c r="AU2826" s="466"/>
      <c r="AV2826" s="466"/>
      <c r="AW2826" s="466"/>
      <c r="AX2826" s="466"/>
      <c r="AY2826" s="466"/>
      <c r="AZ2826" s="466"/>
      <c r="BA2826" s="466"/>
      <c r="BB2826" s="466"/>
      <c r="BC2826" s="466"/>
      <c r="BD2826" s="466"/>
      <c r="BE2826" s="467"/>
      <c r="BF2826" s="467"/>
      <c r="BG2826" s="466"/>
      <c r="BH2826" s="466"/>
      <c r="BI2826" s="467"/>
      <c r="BJ2826" s="467"/>
      <c r="BK2826" s="467"/>
      <c r="BL2826" s="467"/>
      <c r="BM2826" s="467"/>
      <c r="BN2826" s="467"/>
      <c r="BO2826" s="467"/>
      <c r="BP2826" s="467"/>
      <c r="BQ2826" s="467"/>
      <c r="BR2826" s="467"/>
      <c r="BS2826" s="467"/>
      <c r="BT2826" s="467"/>
      <c r="BU2826" s="467"/>
      <c r="BV2826" s="467"/>
      <c r="BW2826" s="467"/>
      <c r="BX2826" s="769"/>
      <c r="BY2826" s="769"/>
      <c r="BZ2826" s="769"/>
      <c r="CA2826" s="769"/>
      <c r="CB2826" s="769"/>
      <c r="CC2826" s="769"/>
      <c r="CD2826" s="769"/>
      <c r="CE2826" s="769"/>
      <c r="CF2826" s="769"/>
      <c r="CG2826" s="73"/>
      <c r="CH2826" s="438"/>
      <c r="CI2826" s="416"/>
      <c r="CJ2826" s="73"/>
      <c r="CK2826" s="650"/>
      <c r="CL2826" s="499"/>
      <c r="CM2826" s="650"/>
      <c r="CR2826" s="416"/>
      <c r="CS2826" s="650"/>
      <c r="CU2826" s="73"/>
      <c r="CV2826" s="73"/>
      <c r="CW2826" s="73"/>
      <c r="CX2826" s="73"/>
      <c r="DA2826" s="650"/>
    </row>
    <row r="2827" spans="1:105" s="45" customFormat="1" x14ac:dyDescent="0.2">
      <c r="A2827" s="650"/>
      <c r="B2827" s="438"/>
      <c r="D2827" s="73"/>
      <c r="E2827" s="650"/>
      <c r="F2827" s="650"/>
      <c r="G2827" s="73"/>
      <c r="I2827" s="111"/>
      <c r="J2827" s="81"/>
      <c r="K2827" s="81"/>
      <c r="L2827" s="499"/>
      <c r="M2827" s="73"/>
      <c r="N2827" s="499"/>
      <c r="O2827" s="73"/>
      <c r="P2827" s="73"/>
      <c r="Q2827" s="73"/>
      <c r="R2827" s="176"/>
      <c r="S2827" s="176"/>
      <c r="T2827" s="176"/>
      <c r="U2827" s="400"/>
      <c r="V2827" s="400"/>
      <c r="W2827" s="732"/>
      <c r="X2827" s="167"/>
      <c r="Y2827" s="509"/>
      <c r="Z2827" s="466"/>
      <c r="AA2827" s="466"/>
      <c r="AB2827" s="466"/>
      <c r="AC2827" s="466"/>
      <c r="AD2827" s="466"/>
      <c r="AE2827" s="466"/>
      <c r="AF2827" s="466"/>
      <c r="AG2827" s="466"/>
      <c r="AH2827" s="466"/>
      <c r="AI2827" s="466"/>
      <c r="AJ2827" s="466"/>
      <c r="AK2827" s="466"/>
      <c r="AL2827" s="466"/>
      <c r="AM2827" s="466"/>
      <c r="AN2827" s="466"/>
      <c r="AO2827" s="466"/>
      <c r="AP2827" s="466"/>
      <c r="AQ2827" s="466"/>
      <c r="AR2827" s="466"/>
      <c r="AS2827" s="466"/>
      <c r="AT2827" s="466"/>
      <c r="AU2827" s="466"/>
      <c r="AV2827" s="466"/>
      <c r="AW2827" s="466"/>
      <c r="AX2827" s="466"/>
      <c r="AY2827" s="466"/>
      <c r="AZ2827" s="466"/>
      <c r="BA2827" s="466"/>
      <c r="BB2827" s="466"/>
      <c r="BC2827" s="466"/>
      <c r="BD2827" s="466"/>
      <c r="BE2827" s="467"/>
      <c r="BF2827" s="467"/>
      <c r="BG2827" s="466"/>
      <c r="BH2827" s="466"/>
      <c r="BI2827" s="467"/>
      <c r="BJ2827" s="467"/>
      <c r="BK2827" s="467"/>
      <c r="BL2827" s="467"/>
      <c r="BM2827" s="467"/>
      <c r="BN2827" s="467"/>
      <c r="BO2827" s="467"/>
      <c r="BP2827" s="467"/>
      <c r="BQ2827" s="467"/>
      <c r="BR2827" s="467"/>
      <c r="BS2827" s="467"/>
      <c r="BT2827" s="467"/>
      <c r="BU2827" s="467"/>
      <c r="BV2827" s="467"/>
      <c r="BW2827" s="467"/>
      <c r="BX2827" s="769"/>
      <c r="BY2827" s="769"/>
      <c r="BZ2827" s="769"/>
      <c r="CA2827" s="769"/>
      <c r="CB2827" s="769"/>
      <c r="CC2827" s="769"/>
      <c r="CD2827" s="769"/>
      <c r="CE2827" s="769"/>
      <c r="CF2827" s="769"/>
      <c r="CG2827" s="73"/>
      <c r="CH2827" s="438"/>
      <c r="CI2827" s="416"/>
      <c r="CJ2827" s="73"/>
      <c r="CK2827" s="650"/>
      <c r="CL2827" s="499"/>
      <c r="CM2827" s="650"/>
      <c r="CR2827" s="416"/>
      <c r="CS2827" s="650"/>
      <c r="CU2827" s="73"/>
      <c r="CV2827" s="73"/>
      <c r="CW2827" s="73"/>
      <c r="CX2827" s="73"/>
      <c r="DA2827" s="650"/>
    </row>
    <row r="2828" spans="1:105" s="45" customFormat="1" x14ac:dyDescent="0.2">
      <c r="A2828" s="650"/>
      <c r="B2828" s="438"/>
      <c r="D2828" s="73"/>
      <c r="E2828" s="650"/>
      <c r="F2828" s="650"/>
      <c r="G2828" s="73"/>
      <c r="I2828" s="111"/>
      <c r="J2828" s="81"/>
      <c r="K2828" s="81"/>
      <c r="L2828" s="499"/>
      <c r="M2828" s="73"/>
      <c r="N2828" s="499"/>
      <c r="O2828" s="73"/>
      <c r="P2828" s="73"/>
      <c r="Q2828" s="73"/>
      <c r="R2828" s="176"/>
      <c r="S2828" s="176"/>
      <c r="T2828" s="176"/>
      <c r="U2828" s="400"/>
      <c r="V2828" s="400"/>
      <c r="W2828" s="732"/>
      <c r="X2828" s="167"/>
      <c r="Y2828" s="509"/>
      <c r="Z2828" s="466"/>
      <c r="AA2828" s="466"/>
      <c r="AB2828" s="466"/>
      <c r="AC2828" s="466"/>
      <c r="AD2828" s="466"/>
      <c r="AE2828" s="466"/>
      <c r="AF2828" s="466"/>
      <c r="AG2828" s="466"/>
      <c r="AH2828" s="466"/>
      <c r="AI2828" s="466"/>
      <c r="AJ2828" s="466"/>
      <c r="AK2828" s="466"/>
      <c r="AL2828" s="466"/>
      <c r="AM2828" s="466"/>
      <c r="AN2828" s="466"/>
      <c r="AO2828" s="466"/>
      <c r="AP2828" s="466"/>
      <c r="AQ2828" s="466"/>
      <c r="AR2828" s="466"/>
      <c r="AS2828" s="466"/>
      <c r="AT2828" s="466"/>
      <c r="AU2828" s="466"/>
      <c r="AV2828" s="466"/>
      <c r="AW2828" s="466"/>
      <c r="AX2828" s="466"/>
      <c r="AY2828" s="466"/>
      <c r="AZ2828" s="466"/>
      <c r="BA2828" s="466"/>
      <c r="BB2828" s="466"/>
      <c r="BC2828" s="466"/>
      <c r="BD2828" s="466"/>
      <c r="BE2828" s="467"/>
      <c r="BF2828" s="467"/>
      <c r="BG2828" s="466"/>
      <c r="BH2828" s="466"/>
      <c r="BI2828" s="467"/>
      <c r="BJ2828" s="467"/>
      <c r="BK2828" s="467"/>
      <c r="BL2828" s="467"/>
      <c r="BM2828" s="467"/>
      <c r="BN2828" s="467"/>
      <c r="BO2828" s="467"/>
      <c r="BP2828" s="467"/>
      <c r="BQ2828" s="467"/>
      <c r="BR2828" s="467"/>
      <c r="BS2828" s="467"/>
      <c r="BT2828" s="467"/>
      <c r="BU2828" s="467"/>
      <c r="BV2828" s="467"/>
      <c r="BW2828" s="467"/>
      <c r="BX2828" s="769"/>
      <c r="BY2828" s="769"/>
      <c r="BZ2828" s="769"/>
      <c r="CA2828" s="769"/>
      <c r="CB2828" s="769"/>
      <c r="CC2828" s="769"/>
      <c r="CD2828" s="769"/>
      <c r="CE2828" s="769"/>
      <c r="CF2828" s="769"/>
      <c r="CG2828" s="73"/>
      <c r="CH2828" s="438"/>
      <c r="CI2828" s="416"/>
      <c r="CJ2828" s="73"/>
      <c r="CK2828" s="650"/>
      <c r="CL2828" s="499"/>
      <c r="CM2828" s="650"/>
      <c r="CR2828" s="416"/>
      <c r="CS2828" s="650"/>
      <c r="CU2828" s="73"/>
      <c r="CV2828" s="73"/>
      <c r="CW2828" s="73"/>
      <c r="CX2828" s="73"/>
      <c r="DA2828" s="650"/>
    </row>
    <row r="2829" spans="1:105" s="45" customFormat="1" x14ac:dyDescent="0.2">
      <c r="A2829" s="650"/>
      <c r="B2829" s="438"/>
      <c r="D2829" s="73"/>
      <c r="E2829" s="650"/>
      <c r="F2829" s="650"/>
      <c r="G2829" s="73"/>
      <c r="I2829" s="111"/>
      <c r="J2829" s="81"/>
      <c r="K2829" s="81"/>
      <c r="L2829" s="499"/>
      <c r="M2829" s="73"/>
      <c r="N2829" s="499"/>
      <c r="O2829" s="73"/>
      <c r="P2829" s="73"/>
      <c r="Q2829" s="73"/>
      <c r="R2829" s="176"/>
      <c r="S2829" s="176"/>
      <c r="T2829" s="176"/>
      <c r="U2829" s="400"/>
      <c r="V2829" s="400"/>
      <c r="W2829" s="732"/>
      <c r="X2829" s="167"/>
      <c r="Y2829" s="509"/>
      <c r="Z2829" s="466"/>
      <c r="AA2829" s="466"/>
      <c r="AB2829" s="466"/>
      <c r="AC2829" s="466"/>
      <c r="AD2829" s="466"/>
      <c r="AE2829" s="466"/>
      <c r="AF2829" s="466"/>
      <c r="AG2829" s="466"/>
      <c r="AH2829" s="466"/>
      <c r="AI2829" s="466"/>
      <c r="AJ2829" s="466"/>
      <c r="AK2829" s="466"/>
      <c r="AL2829" s="466"/>
      <c r="AM2829" s="466"/>
      <c r="AN2829" s="466"/>
      <c r="AO2829" s="466"/>
      <c r="AP2829" s="466"/>
      <c r="AQ2829" s="466"/>
      <c r="AR2829" s="466"/>
      <c r="AS2829" s="466"/>
      <c r="AT2829" s="466"/>
      <c r="AU2829" s="466"/>
      <c r="AV2829" s="466"/>
      <c r="AW2829" s="466"/>
      <c r="AX2829" s="466"/>
      <c r="AY2829" s="466"/>
      <c r="AZ2829" s="466"/>
      <c r="BA2829" s="466"/>
      <c r="BB2829" s="466"/>
      <c r="BC2829" s="466"/>
      <c r="BD2829" s="466"/>
      <c r="BE2829" s="467"/>
      <c r="BF2829" s="467"/>
      <c r="BG2829" s="466"/>
      <c r="BH2829" s="466"/>
      <c r="BI2829" s="467"/>
      <c r="BJ2829" s="467"/>
      <c r="BK2829" s="467"/>
      <c r="BL2829" s="467"/>
      <c r="BM2829" s="467"/>
      <c r="BN2829" s="467"/>
      <c r="BO2829" s="467"/>
      <c r="BP2829" s="467"/>
      <c r="BQ2829" s="467"/>
      <c r="BR2829" s="467"/>
      <c r="BS2829" s="467"/>
      <c r="BT2829" s="467"/>
      <c r="BU2829" s="467"/>
      <c r="BV2829" s="467"/>
      <c r="BW2829" s="467"/>
      <c r="BX2829" s="769"/>
      <c r="BY2829" s="769"/>
      <c r="BZ2829" s="769"/>
      <c r="CA2829" s="769"/>
      <c r="CB2829" s="769"/>
      <c r="CC2829" s="769"/>
      <c r="CD2829" s="769"/>
      <c r="CE2829" s="769"/>
      <c r="CF2829" s="769"/>
      <c r="CG2829" s="73"/>
      <c r="CH2829" s="438"/>
      <c r="CI2829" s="416"/>
      <c r="CJ2829" s="73"/>
      <c r="CK2829" s="650"/>
      <c r="CL2829" s="499"/>
      <c r="CM2829" s="650"/>
      <c r="CR2829" s="416"/>
      <c r="CS2829" s="650"/>
      <c r="CU2829" s="73"/>
      <c r="CV2829" s="73"/>
      <c r="CW2829" s="73"/>
      <c r="CX2829" s="73"/>
      <c r="DA2829" s="650"/>
    </row>
    <row r="2830" spans="1:105" s="45" customFormat="1" x14ac:dyDescent="0.2">
      <c r="A2830" s="650"/>
      <c r="B2830" s="438"/>
      <c r="D2830" s="73"/>
      <c r="E2830" s="650"/>
      <c r="F2830" s="650"/>
      <c r="G2830" s="73"/>
      <c r="I2830" s="111"/>
      <c r="J2830" s="81"/>
      <c r="K2830" s="81"/>
      <c r="L2830" s="499"/>
      <c r="M2830" s="73"/>
      <c r="N2830" s="499"/>
      <c r="O2830" s="73"/>
      <c r="P2830" s="73"/>
      <c r="Q2830" s="73"/>
      <c r="R2830" s="176"/>
      <c r="S2830" s="176"/>
      <c r="T2830" s="176"/>
      <c r="U2830" s="400"/>
      <c r="V2830" s="400"/>
      <c r="W2830" s="732"/>
      <c r="X2830" s="167"/>
      <c r="Y2830" s="509"/>
      <c r="Z2830" s="466"/>
      <c r="AA2830" s="466"/>
      <c r="AB2830" s="466"/>
      <c r="AC2830" s="466"/>
      <c r="AD2830" s="466"/>
      <c r="AE2830" s="466"/>
      <c r="AF2830" s="466"/>
      <c r="AG2830" s="466"/>
      <c r="AH2830" s="466"/>
      <c r="AI2830" s="466"/>
      <c r="AJ2830" s="466"/>
      <c r="AK2830" s="466"/>
      <c r="AL2830" s="466"/>
      <c r="AM2830" s="466"/>
      <c r="AN2830" s="466"/>
      <c r="AO2830" s="466"/>
      <c r="AP2830" s="466"/>
      <c r="AQ2830" s="466"/>
      <c r="AR2830" s="466"/>
      <c r="AS2830" s="466"/>
      <c r="AT2830" s="466"/>
      <c r="AU2830" s="466"/>
      <c r="AV2830" s="466"/>
      <c r="AW2830" s="466"/>
      <c r="AX2830" s="466"/>
      <c r="AY2830" s="466"/>
      <c r="AZ2830" s="466"/>
      <c r="BA2830" s="466"/>
      <c r="BB2830" s="466"/>
      <c r="BC2830" s="466"/>
      <c r="BD2830" s="466"/>
      <c r="BE2830" s="467"/>
      <c r="BF2830" s="467"/>
      <c r="BG2830" s="466"/>
      <c r="BH2830" s="466"/>
      <c r="BI2830" s="467"/>
      <c r="BJ2830" s="467"/>
      <c r="BK2830" s="467"/>
      <c r="BL2830" s="467"/>
      <c r="BM2830" s="467"/>
      <c r="BN2830" s="467"/>
      <c r="BO2830" s="467"/>
      <c r="BP2830" s="467"/>
      <c r="BQ2830" s="467"/>
      <c r="BR2830" s="467"/>
      <c r="BS2830" s="467"/>
      <c r="BT2830" s="467"/>
      <c r="BU2830" s="467"/>
      <c r="BV2830" s="467"/>
      <c r="BW2830" s="467"/>
      <c r="BX2830" s="769"/>
      <c r="BY2830" s="769"/>
      <c r="BZ2830" s="769"/>
      <c r="CA2830" s="769"/>
      <c r="CB2830" s="769"/>
      <c r="CC2830" s="769"/>
      <c r="CD2830" s="769"/>
      <c r="CE2830" s="769"/>
      <c r="CF2830" s="769"/>
      <c r="CG2830" s="73"/>
      <c r="CH2830" s="438"/>
      <c r="CI2830" s="416"/>
      <c r="CJ2830" s="73"/>
      <c r="CK2830" s="650"/>
      <c r="CL2830" s="499"/>
      <c r="CM2830" s="650"/>
      <c r="CR2830" s="416"/>
      <c r="CS2830" s="650"/>
      <c r="CU2830" s="73"/>
      <c r="CV2830" s="73"/>
      <c r="CW2830" s="73"/>
      <c r="CX2830" s="73"/>
      <c r="DA2830" s="650"/>
    </row>
    <row r="2831" spans="1:105" s="45" customFormat="1" x14ac:dyDescent="0.2">
      <c r="A2831" s="650"/>
      <c r="B2831" s="438"/>
      <c r="D2831" s="73"/>
      <c r="E2831" s="650"/>
      <c r="F2831" s="650"/>
      <c r="G2831" s="73"/>
      <c r="I2831" s="111"/>
      <c r="J2831" s="81"/>
      <c r="K2831" s="81"/>
      <c r="L2831" s="499"/>
      <c r="M2831" s="73"/>
      <c r="N2831" s="499"/>
      <c r="O2831" s="73"/>
      <c r="P2831" s="73"/>
      <c r="Q2831" s="73"/>
      <c r="R2831" s="176"/>
      <c r="S2831" s="176"/>
      <c r="T2831" s="176"/>
      <c r="U2831" s="400"/>
      <c r="V2831" s="400"/>
      <c r="W2831" s="732"/>
      <c r="X2831" s="167"/>
      <c r="Y2831" s="509"/>
      <c r="Z2831" s="466"/>
      <c r="AA2831" s="466"/>
      <c r="AB2831" s="466"/>
      <c r="AC2831" s="466"/>
      <c r="AD2831" s="466"/>
      <c r="AE2831" s="466"/>
      <c r="AF2831" s="466"/>
      <c r="AG2831" s="466"/>
      <c r="AH2831" s="466"/>
      <c r="AI2831" s="466"/>
      <c r="AJ2831" s="466"/>
      <c r="AK2831" s="466"/>
      <c r="AL2831" s="466"/>
      <c r="AM2831" s="466"/>
      <c r="AN2831" s="466"/>
      <c r="AO2831" s="466"/>
      <c r="AP2831" s="466"/>
      <c r="AQ2831" s="466"/>
      <c r="AR2831" s="466"/>
      <c r="AS2831" s="466"/>
      <c r="AT2831" s="466"/>
      <c r="AU2831" s="466"/>
      <c r="AV2831" s="466"/>
      <c r="AW2831" s="466"/>
      <c r="AX2831" s="466"/>
      <c r="AY2831" s="466"/>
      <c r="AZ2831" s="466"/>
      <c r="BA2831" s="466"/>
      <c r="BB2831" s="466"/>
      <c r="BC2831" s="466"/>
      <c r="BD2831" s="466"/>
      <c r="BE2831" s="467"/>
      <c r="BF2831" s="467"/>
      <c r="BG2831" s="466"/>
      <c r="BH2831" s="466"/>
      <c r="BI2831" s="467"/>
      <c r="BJ2831" s="467"/>
      <c r="BK2831" s="467"/>
      <c r="BL2831" s="467"/>
      <c r="BM2831" s="467"/>
      <c r="BN2831" s="467"/>
      <c r="BO2831" s="467"/>
      <c r="BP2831" s="467"/>
      <c r="BQ2831" s="467"/>
      <c r="BR2831" s="467"/>
      <c r="BS2831" s="467"/>
      <c r="BT2831" s="467"/>
      <c r="BU2831" s="467"/>
      <c r="BV2831" s="467"/>
      <c r="BW2831" s="467"/>
      <c r="BX2831" s="769"/>
      <c r="BY2831" s="769"/>
      <c r="BZ2831" s="769"/>
      <c r="CA2831" s="769"/>
      <c r="CB2831" s="769"/>
      <c r="CC2831" s="769"/>
      <c r="CD2831" s="769"/>
      <c r="CE2831" s="769"/>
      <c r="CF2831" s="769"/>
      <c r="CG2831" s="73"/>
      <c r="CH2831" s="438"/>
      <c r="CI2831" s="416"/>
      <c r="CJ2831" s="73"/>
      <c r="CK2831" s="650"/>
      <c r="CL2831" s="499"/>
      <c r="CM2831" s="650"/>
      <c r="CR2831" s="416"/>
      <c r="CS2831" s="650"/>
      <c r="CU2831" s="73"/>
      <c r="CV2831" s="73"/>
      <c r="CW2831" s="73"/>
      <c r="CX2831" s="73"/>
      <c r="DA2831" s="650"/>
    </row>
    <row r="2832" spans="1:105" s="45" customFormat="1" x14ac:dyDescent="0.2">
      <c r="A2832" s="650"/>
      <c r="B2832" s="438"/>
      <c r="D2832" s="73"/>
      <c r="E2832" s="650"/>
      <c r="F2832" s="650"/>
      <c r="G2832" s="73"/>
      <c r="I2832" s="111"/>
      <c r="J2832" s="81"/>
      <c r="K2832" s="81"/>
      <c r="L2832" s="499"/>
      <c r="M2832" s="73"/>
      <c r="N2832" s="499"/>
      <c r="O2832" s="73"/>
      <c r="P2832" s="73"/>
      <c r="Q2832" s="73"/>
      <c r="R2832" s="176"/>
      <c r="S2832" s="176"/>
      <c r="T2832" s="176"/>
      <c r="U2832" s="400"/>
      <c r="V2832" s="400"/>
      <c r="W2832" s="732"/>
      <c r="X2832" s="167"/>
      <c r="Y2832" s="509"/>
      <c r="Z2832" s="466"/>
      <c r="AA2832" s="466"/>
      <c r="AB2832" s="466"/>
      <c r="AC2832" s="466"/>
      <c r="AD2832" s="466"/>
      <c r="AE2832" s="466"/>
      <c r="AF2832" s="466"/>
      <c r="AG2832" s="466"/>
      <c r="AH2832" s="466"/>
      <c r="AI2832" s="466"/>
      <c r="AJ2832" s="466"/>
      <c r="AK2832" s="466"/>
      <c r="AL2832" s="466"/>
      <c r="AM2832" s="466"/>
      <c r="AN2832" s="466"/>
      <c r="AO2832" s="466"/>
      <c r="AP2832" s="466"/>
      <c r="AQ2832" s="466"/>
      <c r="AR2832" s="466"/>
      <c r="AS2832" s="466"/>
      <c r="AT2832" s="466"/>
      <c r="AU2832" s="466"/>
      <c r="AV2832" s="466"/>
      <c r="AW2832" s="466"/>
      <c r="AX2832" s="466"/>
      <c r="AY2832" s="466"/>
      <c r="AZ2832" s="466"/>
      <c r="BA2832" s="466"/>
      <c r="BB2832" s="466"/>
      <c r="BC2832" s="466"/>
      <c r="BD2832" s="466"/>
      <c r="BE2832" s="467"/>
      <c r="BF2832" s="467"/>
      <c r="BG2832" s="466"/>
      <c r="BH2832" s="466"/>
      <c r="BI2832" s="467"/>
      <c r="BJ2832" s="467"/>
      <c r="BK2832" s="467"/>
      <c r="BL2832" s="467"/>
      <c r="BM2832" s="467"/>
      <c r="BN2832" s="467"/>
      <c r="BO2832" s="467"/>
      <c r="BP2832" s="467"/>
      <c r="BQ2832" s="467"/>
      <c r="BR2832" s="467"/>
      <c r="BS2832" s="467"/>
      <c r="BT2832" s="467"/>
      <c r="BU2832" s="467"/>
      <c r="BV2832" s="467"/>
      <c r="BW2832" s="467"/>
      <c r="BX2832" s="769"/>
      <c r="BY2832" s="769"/>
      <c r="BZ2832" s="769"/>
      <c r="CA2832" s="769"/>
      <c r="CB2832" s="769"/>
      <c r="CC2832" s="769"/>
      <c r="CD2832" s="769"/>
      <c r="CE2832" s="769"/>
      <c r="CF2832" s="769"/>
      <c r="CG2832" s="73"/>
      <c r="CH2832" s="438"/>
      <c r="CI2832" s="416"/>
      <c r="CJ2832" s="73"/>
      <c r="CK2832" s="650"/>
      <c r="CL2832" s="499"/>
      <c r="CM2832" s="650"/>
      <c r="CR2832" s="416"/>
      <c r="CS2832" s="650"/>
      <c r="CU2832" s="73"/>
      <c r="CV2832" s="73"/>
      <c r="CW2832" s="73"/>
      <c r="CX2832" s="73"/>
      <c r="DA2832" s="650"/>
    </row>
    <row r="2833" spans="1:105" s="45" customFormat="1" x14ac:dyDescent="0.2">
      <c r="A2833" s="650"/>
      <c r="B2833" s="438"/>
      <c r="D2833" s="73"/>
      <c r="E2833" s="650"/>
      <c r="F2833" s="650"/>
      <c r="G2833" s="73"/>
      <c r="I2833" s="111"/>
      <c r="J2833" s="81"/>
      <c r="K2833" s="81"/>
      <c r="L2833" s="499"/>
      <c r="M2833" s="73"/>
      <c r="N2833" s="499"/>
      <c r="O2833" s="73"/>
      <c r="P2833" s="73"/>
      <c r="Q2833" s="73"/>
      <c r="R2833" s="176"/>
      <c r="S2833" s="176"/>
      <c r="T2833" s="176"/>
      <c r="U2833" s="400"/>
      <c r="V2833" s="400"/>
      <c r="W2833" s="732"/>
      <c r="X2833" s="167"/>
      <c r="Y2833" s="509"/>
      <c r="Z2833" s="466"/>
      <c r="AA2833" s="466"/>
      <c r="AB2833" s="466"/>
      <c r="AC2833" s="466"/>
      <c r="AD2833" s="466"/>
      <c r="AE2833" s="466"/>
      <c r="AF2833" s="466"/>
      <c r="AG2833" s="466"/>
      <c r="AH2833" s="466"/>
      <c r="AI2833" s="466"/>
      <c r="AJ2833" s="466"/>
      <c r="AK2833" s="466"/>
      <c r="AL2833" s="466"/>
      <c r="AM2833" s="466"/>
      <c r="AN2833" s="466"/>
      <c r="AO2833" s="466"/>
      <c r="AP2833" s="466"/>
      <c r="AQ2833" s="466"/>
      <c r="AR2833" s="466"/>
      <c r="AS2833" s="466"/>
      <c r="AT2833" s="466"/>
      <c r="AU2833" s="466"/>
      <c r="AV2833" s="466"/>
      <c r="AW2833" s="466"/>
      <c r="AX2833" s="466"/>
      <c r="AY2833" s="466"/>
      <c r="AZ2833" s="466"/>
      <c r="BA2833" s="466"/>
      <c r="BB2833" s="466"/>
      <c r="BC2833" s="466"/>
      <c r="BD2833" s="466"/>
      <c r="BE2833" s="467"/>
      <c r="BF2833" s="467"/>
      <c r="BG2833" s="466"/>
      <c r="BH2833" s="466"/>
      <c r="BI2833" s="467"/>
      <c r="BJ2833" s="467"/>
      <c r="BK2833" s="467"/>
      <c r="BL2833" s="467"/>
      <c r="BM2833" s="467"/>
      <c r="BN2833" s="467"/>
      <c r="BO2833" s="467"/>
      <c r="BP2833" s="467"/>
      <c r="BQ2833" s="467"/>
      <c r="BR2833" s="467"/>
      <c r="BS2833" s="467"/>
      <c r="BT2833" s="467"/>
      <c r="BU2833" s="467"/>
      <c r="BV2833" s="467"/>
      <c r="BW2833" s="467"/>
      <c r="BX2833" s="769"/>
      <c r="BY2833" s="769"/>
      <c r="BZ2833" s="769"/>
      <c r="CA2833" s="769"/>
      <c r="CB2833" s="769"/>
      <c r="CC2833" s="769"/>
      <c r="CD2833" s="769"/>
      <c r="CE2833" s="769"/>
      <c r="CF2833" s="769"/>
      <c r="CG2833" s="73"/>
      <c r="CH2833" s="438"/>
      <c r="CI2833" s="416"/>
      <c r="CJ2833" s="73"/>
      <c r="CK2833" s="650"/>
      <c r="CL2833" s="499"/>
      <c r="CM2833" s="650"/>
      <c r="CR2833" s="416"/>
      <c r="CS2833" s="650"/>
      <c r="CU2833" s="73"/>
      <c r="CV2833" s="73"/>
      <c r="CW2833" s="73"/>
      <c r="CX2833" s="73"/>
      <c r="DA2833" s="650"/>
    </row>
    <row r="2834" spans="1:105" s="45" customFormat="1" x14ac:dyDescent="0.2">
      <c r="A2834" s="650"/>
      <c r="B2834" s="438"/>
      <c r="D2834" s="73"/>
      <c r="E2834" s="650"/>
      <c r="F2834" s="650"/>
      <c r="G2834" s="73"/>
      <c r="I2834" s="111"/>
      <c r="J2834" s="81"/>
      <c r="K2834" s="81"/>
      <c r="L2834" s="499"/>
      <c r="M2834" s="73"/>
      <c r="N2834" s="499"/>
      <c r="O2834" s="73"/>
      <c r="P2834" s="73"/>
      <c r="Q2834" s="73"/>
      <c r="R2834" s="176"/>
      <c r="S2834" s="176"/>
      <c r="T2834" s="176"/>
      <c r="U2834" s="400"/>
      <c r="V2834" s="400"/>
      <c r="W2834" s="732"/>
      <c r="X2834" s="167"/>
      <c r="Y2834" s="509"/>
      <c r="Z2834" s="466"/>
      <c r="AA2834" s="466"/>
      <c r="AB2834" s="466"/>
      <c r="AC2834" s="466"/>
      <c r="AD2834" s="466"/>
      <c r="AE2834" s="466"/>
      <c r="AF2834" s="466"/>
      <c r="AG2834" s="466"/>
      <c r="AH2834" s="466"/>
      <c r="AI2834" s="466"/>
      <c r="AJ2834" s="466"/>
      <c r="AK2834" s="466"/>
      <c r="AL2834" s="466"/>
      <c r="AM2834" s="466"/>
      <c r="AN2834" s="466"/>
      <c r="AO2834" s="466"/>
      <c r="AP2834" s="466"/>
      <c r="AQ2834" s="466"/>
      <c r="AR2834" s="466"/>
      <c r="AS2834" s="466"/>
      <c r="AT2834" s="466"/>
      <c r="AU2834" s="466"/>
      <c r="AV2834" s="466"/>
      <c r="AW2834" s="466"/>
      <c r="AX2834" s="466"/>
      <c r="AY2834" s="466"/>
      <c r="AZ2834" s="466"/>
      <c r="BA2834" s="466"/>
      <c r="BB2834" s="466"/>
      <c r="BC2834" s="466"/>
      <c r="BD2834" s="466"/>
      <c r="BE2834" s="467"/>
      <c r="BF2834" s="467"/>
      <c r="BG2834" s="466"/>
      <c r="BH2834" s="466"/>
      <c r="BI2834" s="467"/>
      <c r="BJ2834" s="467"/>
      <c r="BK2834" s="467"/>
      <c r="BL2834" s="467"/>
      <c r="BM2834" s="467"/>
      <c r="BN2834" s="467"/>
      <c r="BO2834" s="467"/>
      <c r="BP2834" s="467"/>
      <c r="BQ2834" s="467"/>
      <c r="BR2834" s="467"/>
      <c r="BS2834" s="467"/>
      <c r="BT2834" s="467"/>
      <c r="BU2834" s="467"/>
      <c r="BV2834" s="467"/>
      <c r="BW2834" s="467"/>
      <c r="BX2834" s="769"/>
      <c r="BY2834" s="769"/>
      <c r="BZ2834" s="769"/>
      <c r="CA2834" s="769"/>
      <c r="CB2834" s="769"/>
      <c r="CC2834" s="769"/>
      <c r="CD2834" s="769"/>
      <c r="CE2834" s="769"/>
      <c r="CF2834" s="769"/>
      <c r="CG2834" s="73"/>
      <c r="CH2834" s="438"/>
      <c r="CI2834" s="416"/>
      <c r="CJ2834" s="73"/>
      <c r="CK2834" s="650"/>
      <c r="CL2834" s="499"/>
      <c r="CM2834" s="650"/>
      <c r="CR2834" s="416"/>
      <c r="CS2834" s="650"/>
      <c r="CU2834" s="73"/>
      <c r="CV2834" s="73"/>
      <c r="CW2834" s="73"/>
      <c r="CX2834" s="73"/>
      <c r="DA2834" s="650"/>
    </row>
    <row r="2835" spans="1:105" s="45" customFormat="1" x14ac:dyDescent="0.2">
      <c r="A2835" s="650"/>
      <c r="B2835" s="438"/>
      <c r="D2835" s="73"/>
      <c r="E2835" s="650"/>
      <c r="F2835" s="650"/>
      <c r="G2835" s="73"/>
      <c r="I2835" s="111"/>
      <c r="J2835" s="81"/>
      <c r="K2835" s="81"/>
      <c r="L2835" s="499"/>
      <c r="M2835" s="73"/>
      <c r="N2835" s="499"/>
      <c r="O2835" s="73"/>
      <c r="P2835" s="73"/>
      <c r="Q2835" s="73"/>
      <c r="R2835" s="176"/>
      <c r="S2835" s="176"/>
      <c r="T2835" s="176"/>
      <c r="U2835" s="400"/>
      <c r="V2835" s="400"/>
      <c r="W2835" s="732"/>
      <c r="X2835" s="167"/>
      <c r="Y2835" s="509"/>
      <c r="Z2835" s="466"/>
      <c r="AA2835" s="466"/>
      <c r="AB2835" s="466"/>
      <c r="AC2835" s="466"/>
      <c r="AD2835" s="466"/>
      <c r="AE2835" s="466"/>
      <c r="AF2835" s="466"/>
      <c r="AG2835" s="466"/>
      <c r="AH2835" s="466"/>
      <c r="AI2835" s="466"/>
      <c r="AJ2835" s="466"/>
      <c r="AK2835" s="466"/>
      <c r="AL2835" s="466"/>
      <c r="AM2835" s="466"/>
      <c r="AN2835" s="466"/>
      <c r="AO2835" s="466"/>
      <c r="AP2835" s="466"/>
      <c r="AQ2835" s="466"/>
      <c r="AR2835" s="466"/>
      <c r="AS2835" s="466"/>
      <c r="AT2835" s="466"/>
      <c r="AU2835" s="466"/>
      <c r="AV2835" s="466"/>
      <c r="AW2835" s="466"/>
      <c r="AX2835" s="466"/>
      <c r="AY2835" s="466"/>
      <c r="AZ2835" s="466"/>
      <c r="BA2835" s="466"/>
      <c r="BB2835" s="466"/>
      <c r="BC2835" s="466"/>
      <c r="BD2835" s="466"/>
      <c r="BE2835" s="467"/>
      <c r="BF2835" s="467"/>
      <c r="BG2835" s="466"/>
      <c r="BH2835" s="466"/>
      <c r="BI2835" s="467"/>
      <c r="BJ2835" s="467"/>
      <c r="BK2835" s="467"/>
      <c r="BL2835" s="467"/>
      <c r="BM2835" s="467"/>
      <c r="BN2835" s="467"/>
      <c r="BO2835" s="467"/>
      <c r="BP2835" s="467"/>
      <c r="BQ2835" s="467"/>
      <c r="BR2835" s="467"/>
      <c r="BS2835" s="467"/>
      <c r="BT2835" s="467"/>
      <c r="BU2835" s="467"/>
      <c r="BV2835" s="467"/>
      <c r="BW2835" s="467"/>
      <c r="BX2835" s="769"/>
      <c r="BY2835" s="769"/>
      <c r="BZ2835" s="769"/>
      <c r="CA2835" s="769"/>
      <c r="CB2835" s="769"/>
      <c r="CC2835" s="769"/>
      <c r="CD2835" s="769"/>
      <c r="CE2835" s="769"/>
      <c r="CF2835" s="769"/>
      <c r="CG2835" s="73"/>
      <c r="CH2835" s="438"/>
      <c r="CI2835" s="416"/>
      <c r="CJ2835" s="73"/>
      <c r="CK2835" s="650"/>
      <c r="CL2835" s="499"/>
      <c r="CM2835" s="650"/>
      <c r="CR2835" s="416"/>
      <c r="CS2835" s="650"/>
      <c r="CU2835" s="73"/>
      <c r="CV2835" s="73"/>
      <c r="CW2835" s="73"/>
      <c r="CX2835" s="73"/>
      <c r="DA2835" s="650"/>
    </row>
    <row r="2836" spans="1:105" s="45" customFormat="1" x14ac:dyDescent="0.2">
      <c r="A2836" s="650"/>
      <c r="B2836" s="438"/>
      <c r="D2836" s="73"/>
      <c r="E2836" s="650"/>
      <c r="F2836" s="650"/>
      <c r="G2836" s="73"/>
      <c r="I2836" s="111"/>
      <c r="J2836" s="81"/>
      <c r="K2836" s="81"/>
      <c r="L2836" s="499"/>
      <c r="M2836" s="73"/>
      <c r="N2836" s="499"/>
      <c r="O2836" s="73"/>
      <c r="P2836" s="73"/>
      <c r="Q2836" s="73"/>
      <c r="R2836" s="176"/>
      <c r="S2836" s="176"/>
      <c r="T2836" s="176"/>
      <c r="U2836" s="400"/>
      <c r="V2836" s="400"/>
      <c r="W2836" s="732"/>
      <c r="X2836" s="167"/>
      <c r="Y2836" s="509"/>
      <c r="Z2836" s="466"/>
      <c r="AA2836" s="466"/>
      <c r="AB2836" s="466"/>
      <c r="AC2836" s="466"/>
      <c r="AD2836" s="466"/>
      <c r="AE2836" s="466"/>
      <c r="AF2836" s="466"/>
      <c r="AG2836" s="466"/>
      <c r="AH2836" s="466"/>
      <c r="AI2836" s="466"/>
      <c r="AJ2836" s="466"/>
      <c r="AK2836" s="466"/>
      <c r="AL2836" s="466"/>
      <c r="AM2836" s="466"/>
      <c r="AN2836" s="466"/>
      <c r="AO2836" s="466"/>
      <c r="AP2836" s="466"/>
      <c r="AQ2836" s="466"/>
      <c r="AR2836" s="466"/>
      <c r="AS2836" s="466"/>
      <c r="AT2836" s="466"/>
      <c r="AU2836" s="466"/>
      <c r="AV2836" s="466"/>
      <c r="AW2836" s="466"/>
      <c r="AX2836" s="466"/>
      <c r="AY2836" s="466"/>
      <c r="AZ2836" s="466"/>
      <c r="BA2836" s="466"/>
      <c r="BB2836" s="466"/>
      <c r="BC2836" s="466"/>
      <c r="BD2836" s="466"/>
      <c r="BE2836" s="467"/>
      <c r="BF2836" s="467"/>
      <c r="BG2836" s="466"/>
      <c r="BH2836" s="466"/>
      <c r="BI2836" s="467"/>
      <c r="BJ2836" s="467"/>
      <c r="BK2836" s="467"/>
      <c r="BL2836" s="467"/>
      <c r="BM2836" s="467"/>
      <c r="BN2836" s="467"/>
      <c r="BO2836" s="467"/>
      <c r="BP2836" s="467"/>
      <c r="BQ2836" s="467"/>
      <c r="BR2836" s="467"/>
      <c r="BS2836" s="467"/>
      <c r="BT2836" s="467"/>
      <c r="BU2836" s="467"/>
      <c r="BV2836" s="467"/>
      <c r="BW2836" s="467"/>
      <c r="BX2836" s="769"/>
      <c r="BY2836" s="769"/>
      <c r="BZ2836" s="769"/>
      <c r="CA2836" s="769"/>
      <c r="CB2836" s="769"/>
      <c r="CC2836" s="769"/>
      <c r="CD2836" s="769"/>
      <c r="CE2836" s="769"/>
      <c r="CF2836" s="769"/>
      <c r="CG2836" s="73"/>
      <c r="CH2836" s="438"/>
      <c r="CI2836" s="416"/>
      <c r="CJ2836" s="73"/>
      <c r="CK2836" s="650"/>
      <c r="CL2836" s="499"/>
      <c r="CM2836" s="650"/>
      <c r="CR2836" s="416"/>
      <c r="CS2836" s="650"/>
      <c r="CU2836" s="73"/>
      <c r="CV2836" s="73"/>
      <c r="CW2836" s="73"/>
      <c r="CX2836" s="73"/>
      <c r="DA2836" s="650"/>
    </row>
    <row r="2837" spans="1:105" s="45" customFormat="1" x14ac:dyDescent="0.2">
      <c r="A2837" s="650"/>
      <c r="B2837" s="438"/>
      <c r="D2837" s="73"/>
      <c r="E2837" s="650"/>
      <c r="F2837" s="650"/>
      <c r="G2837" s="73"/>
      <c r="I2837" s="111"/>
      <c r="J2837" s="81"/>
      <c r="K2837" s="81"/>
      <c r="L2837" s="499"/>
      <c r="M2837" s="73"/>
      <c r="N2837" s="499"/>
      <c r="O2837" s="73"/>
      <c r="P2837" s="73"/>
      <c r="Q2837" s="73"/>
      <c r="R2837" s="176"/>
      <c r="S2837" s="176"/>
      <c r="T2837" s="176"/>
      <c r="U2837" s="400"/>
      <c r="V2837" s="400"/>
      <c r="W2837" s="732"/>
      <c r="X2837" s="167"/>
      <c r="Y2837" s="509"/>
      <c r="Z2837" s="466"/>
      <c r="AA2837" s="466"/>
      <c r="AB2837" s="466"/>
      <c r="AC2837" s="466"/>
      <c r="AD2837" s="466"/>
      <c r="AE2837" s="466"/>
      <c r="AF2837" s="466"/>
      <c r="AG2837" s="466"/>
      <c r="AH2837" s="466"/>
      <c r="AI2837" s="466"/>
      <c r="AJ2837" s="466"/>
      <c r="AK2837" s="466"/>
      <c r="AL2837" s="466"/>
      <c r="AM2837" s="466"/>
      <c r="AN2837" s="466"/>
      <c r="AO2837" s="466"/>
      <c r="AP2837" s="466"/>
      <c r="AQ2837" s="466"/>
      <c r="AR2837" s="466"/>
      <c r="AS2837" s="466"/>
      <c r="AT2837" s="466"/>
      <c r="AU2837" s="466"/>
      <c r="AV2837" s="466"/>
      <c r="AW2837" s="466"/>
      <c r="AX2837" s="466"/>
      <c r="AY2837" s="466"/>
      <c r="AZ2837" s="466"/>
      <c r="BA2837" s="466"/>
      <c r="BB2837" s="466"/>
      <c r="BC2837" s="466"/>
      <c r="BD2837" s="466"/>
      <c r="BE2837" s="467"/>
      <c r="BF2837" s="467"/>
      <c r="BG2837" s="466"/>
      <c r="BH2837" s="466"/>
      <c r="BI2837" s="467"/>
      <c r="BJ2837" s="467"/>
      <c r="BK2837" s="467"/>
      <c r="BL2837" s="467"/>
      <c r="BM2837" s="467"/>
      <c r="BN2837" s="467"/>
      <c r="BO2837" s="467"/>
      <c r="BP2837" s="467"/>
      <c r="BQ2837" s="467"/>
      <c r="BR2837" s="467"/>
      <c r="BS2837" s="467"/>
      <c r="BT2837" s="467"/>
      <c r="BU2837" s="467"/>
      <c r="BV2837" s="467"/>
      <c r="BW2837" s="467"/>
      <c r="BX2837" s="769"/>
      <c r="BY2837" s="769"/>
      <c r="BZ2837" s="769"/>
      <c r="CA2837" s="769"/>
      <c r="CB2837" s="769"/>
      <c r="CC2837" s="769"/>
      <c r="CD2837" s="769"/>
      <c r="CE2837" s="769"/>
      <c r="CF2837" s="769"/>
      <c r="CG2837" s="73"/>
      <c r="CH2837" s="438"/>
      <c r="CI2837" s="416"/>
      <c r="CJ2837" s="73"/>
      <c r="CK2837" s="650"/>
      <c r="CL2837" s="499"/>
      <c r="CM2837" s="650"/>
      <c r="CR2837" s="416"/>
      <c r="CS2837" s="650"/>
      <c r="CU2837" s="73"/>
      <c r="CV2837" s="73"/>
      <c r="CW2837" s="73"/>
      <c r="CX2837" s="73"/>
      <c r="DA2837" s="650"/>
    </row>
    <row r="2838" spans="1:105" s="45" customFormat="1" x14ac:dyDescent="0.2">
      <c r="A2838" s="650"/>
      <c r="B2838" s="438"/>
      <c r="D2838" s="73"/>
      <c r="E2838" s="650"/>
      <c r="F2838" s="650"/>
      <c r="G2838" s="73"/>
      <c r="I2838" s="111"/>
      <c r="J2838" s="81"/>
      <c r="K2838" s="81"/>
      <c r="L2838" s="499"/>
      <c r="M2838" s="73"/>
      <c r="N2838" s="499"/>
      <c r="O2838" s="73"/>
      <c r="P2838" s="73"/>
      <c r="Q2838" s="73"/>
      <c r="R2838" s="176"/>
      <c r="S2838" s="176"/>
      <c r="T2838" s="176"/>
      <c r="U2838" s="400"/>
      <c r="V2838" s="400"/>
      <c r="W2838" s="732"/>
      <c r="X2838" s="167"/>
      <c r="Y2838" s="509"/>
      <c r="Z2838" s="466"/>
      <c r="AA2838" s="466"/>
      <c r="AB2838" s="466"/>
      <c r="AC2838" s="466"/>
      <c r="AD2838" s="466"/>
      <c r="AE2838" s="466"/>
      <c r="AF2838" s="466"/>
      <c r="AG2838" s="466"/>
      <c r="AH2838" s="466"/>
      <c r="AI2838" s="466"/>
      <c r="AJ2838" s="466"/>
      <c r="AK2838" s="466"/>
      <c r="AL2838" s="466"/>
      <c r="AM2838" s="466"/>
      <c r="AN2838" s="466"/>
      <c r="AO2838" s="466"/>
      <c r="AP2838" s="466"/>
      <c r="AQ2838" s="466"/>
      <c r="AR2838" s="466"/>
      <c r="AS2838" s="466"/>
      <c r="AT2838" s="466"/>
      <c r="AU2838" s="466"/>
      <c r="AV2838" s="466"/>
      <c r="AW2838" s="466"/>
      <c r="AX2838" s="466"/>
      <c r="AY2838" s="466"/>
      <c r="AZ2838" s="466"/>
      <c r="BA2838" s="466"/>
      <c r="BB2838" s="466"/>
      <c r="BC2838" s="466"/>
      <c r="BD2838" s="466"/>
      <c r="BE2838" s="467"/>
      <c r="BF2838" s="467"/>
      <c r="BG2838" s="466"/>
      <c r="BH2838" s="466"/>
      <c r="BI2838" s="467"/>
      <c r="BJ2838" s="467"/>
      <c r="BK2838" s="467"/>
      <c r="BL2838" s="467"/>
      <c r="BM2838" s="467"/>
      <c r="BN2838" s="467"/>
      <c r="BO2838" s="467"/>
      <c r="BP2838" s="467"/>
      <c r="BQ2838" s="467"/>
      <c r="BR2838" s="467"/>
      <c r="BS2838" s="467"/>
      <c r="BT2838" s="467"/>
      <c r="BU2838" s="467"/>
      <c r="BV2838" s="467"/>
      <c r="BW2838" s="467"/>
      <c r="BX2838" s="769"/>
      <c r="BY2838" s="769"/>
      <c r="BZ2838" s="769"/>
      <c r="CA2838" s="769"/>
      <c r="CB2838" s="769"/>
      <c r="CC2838" s="769"/>
      <c r="CD2838" s="769"/>
      <c r="CE2838" s="769"/>
      <c r="CF2838" s="769"/>
      <c r="CG2838" s="73"/>
      <c r="CH2838" s="438"/>
      <c r="CI2838" s="416"/>
      <c r="CJ2838" s="73"/>
      <c r="CK2838" s="650"/>
      <c r="CL2838" s="499"/>
      <c r="CM2838" s="650"/>
      <c r="CR2838" s="416"/>
      <c r="CS2838" s="650"/>
      <c r="CU2838" s="73"/>
      <c r="CV2838" s="73"/>
      <c r="CW2838" s="73"/>
      <c r="CX2838" s="73"/>
      <c r="DA2838" s="650"/>
    </row>
    <row r="2839" spans="1:105" s="45" customFormat="1" x14ac:dyDescent="0.2">
      <c r="A2839" s="650"/>
      <c r="B2839" s="438"/>
      <c r="D2839" s="73"/>
      <c r="E2839" s="650"/>
      <c r="F2839" s="650"/>
      <c r="G2839" s="73"/>
      <c r="I2839" s="111"/>
      <c r="J2839" s="81"/>
      <c r="K2839" s="81"/>
      <c r="L2839" s="499"/>
      <c r="M2839" s="73"/>
      <c r="N2839" s="499"/>
      <c r="O2839" s="73"/>
      <c r="P2839" s="73"/>
      <c r="Q2839" s="73"/>
      <c r="R2839" s="176"/>
      <c r="S2839" s="176"/>
      <c r="T2839" s="176"/>
      <c r="U2839" s="400"/>
      <c r="V2839" s="400"/>
      <c r="W2839" s="732"/>
      <c r="X2839" s="167"/>
      <c r="Y2839" s="509"/>
      <c r="Z2839" s="466"/>
      <c r="AA2839" s="466"/>
      <c r="AB2839" s="466"/>
      <c r="AC2839" s="466"/>
      <c r="AD2839" s="466"/>
      <c r="AE2839" s="466"/>
      <c r="AF2839" s="466"/>
      <c r="AG2839" s="466"/>
      <c r="AH2839" s="466"/>
      <c r="AI2839" s="466"/>
      <c r="AJ2839" s="466"/>
      <c r="AK2839" s="466"/>
      <c r="AL2839" s="466"/>
      <c r="AM2839" s="466"/>
      <c r="AN2839" s="466"/>
      <c r="AO2839" s="466"/>
      <c r="AP2839" s="466"/>
      <c r="AQ2839" s="466"/>
      <c r="AR2839" s="466"/>
      <c r="AS2839" s="466"/>
      <c r="AT2839" s="466"/>
      <c r="AU2839" s="466"/>
      <c r="AV2839" s="466"/>
      <c r="AW2839" s="466"/>
      <c r="AX2839" s="466"/>
      <c r="AY2839" s="466"/>
      <c r="AZ2839" s="466"/>
      <c r="BA2839" s="466"/>
      <c r="BB2839" s="466"/>
      <c r="BC2839" s="466"/>
      <c r="BD2839" s="466"/>
      <c r="BE2839" s="467"/>
      <c r="BF2839" s="467"/>
      <c r="BG2839" s="466"/>
      <c r="BH2839" s="466"/>
      <c r="BI2839" s="467"/>
      <c r="BJ2839" s="467"/>
      <c r="BK2839" s="467"/>
      <c r="BL2839" s="467"/>
      <c r="BM2839" s="467"/>
      <c r="BN2839" s="467"/>
      <c r="BO2839" s="467"/>
      <c r="BP2839" s="467"/>
      <c r="BQ2839" s="467"/>
      <c r="BR2839" s="467"/>
      <c r="BS2839" s="467"/>
      <c r="BT2839" s="467"/>
      <c r="BU2839" s="467"/>
      <c r="BV2839" s="467"/>
      <c r="BW2839" s="467"/>
      <c r="BX2839" s="769"/>
      <c r="BY2839" s="769"/>
      <c r="BZ2839" s="769"/>
      <c r="CA2839" s="769"/>
      <c r="CB2839" s="769"/>
      <c r="CC2839" s="769"/>
      <c r="CD2839" s="769"/>
      <c r="CE2839" s="769"/>
      <c r="CF2839" s="769"/>
      <c r="CG2839" s="73"/>
      <c r="CH2839" s="438"/>
      <c r="CI2839" s="416"/>
      <c r="CJ2839" s="73"/>
      <c r="CK2839" s="650"/>
      <c r="CL2839" s="499"/>
      <c r="CM2839" s="650"/>
      <c r="CR2839" s="416"/>
      <c r="CS2839" s="650"/>
      <c r="CU2839" s="73"/>
      <c r="CV2839" s="73"/>
      <c r="CW2839" s="73"/>
      <c r="CX2839" s="73"/>
      <c r="DA2839" s="650"/>
    </row>
    <row r="2840" spans="1:105" s="45" customFormat="1" x14ac:dyDescent="0.2">
      <c r="A2840" s="650"/>
      <c r="B2840" s="438"/>
      <c r="D2840" s="73"/>
      <c r="E2840" s="650"/>
      <c r="F2840" s="650"/>
      <c r="G2840" s="73"/>
      <c r="I2840" s="111"/>
      <c r="J2840" s="81"/>
      <c r="K2840" s="81"/>
      <c r="L2840" s="499"/>
      <c r="M2840" s="73"/>
      <c r="N2840" s="499"/>
      <c r="O2840" s="73"/>
      <c r="P2840" s="73"/>
      <c r="Q2840" s="73"/>
      <c r="R2840" s="176"/>
      <c r="S2840" s="176"/>
      <c r="T2840" s="176"/>
      <c r="U2840" s="400"/>
      <c r="V2840" s="400"/>
      <c r="W2840" s="732"/>
      <c r="X2840" s="167"/>
      <c r="Y2840" s="509"/>
      <c r="Z2840" s="466"/>
      <c r="AA2840" s="466"/>
      <c r="AB2840" s="466"/>
      <c r="AC2840" s="466"/>
      <c r="AD2840" s="466"/>
      <c r="AE2840" s="466"/>
      <c r="AF2840" s="466"/>
      <c r="AG2840" s="466"/>
      <c r="AH2840" s="466"/>
      <c r="AI2840" s="466"/>
      <c r="AJ2840" s="466"/>
      <c r="AK2840" s="466"/>
      <c r="AL2840" s="466"/>
      <c r="AM2840" s="466"/>
      <c r="AN2840" s="466"/>
      <c r="AO2840" s="466"/>
      <c r="AP2840" s="466"/>
      <c r="AQ2840" s="466"/>
      <c r="AR2840" s="466"/>
      <c r="AS2840" s="466"/>
      <c r="AT2840" s="466"/>
      <c r="AU2840" s="466"/>
      <c r="AV2840" s="466"/>
      <c r="AW2840" s="466"/>
      <c r="AX2840" s="466"/>
      <c r="AY2840" s="466"/>
      <c r="AZ2840" s="466"/>
      <c r="BA2840" s="466"/>
      <c r="BB2840" s="466"/>
      <c r="BC2840" s="466"/>
      <c r="BD2840" s="466"/>
      <c r="BE2840" s="467"/>
      <c r="BF2840" s="467"/>
      <c r="BG2840" s="466"/>
      <c r="BH2840" s="466"/>
      <c r="BI2840" s="467"/>
      <c r="BJ2840" s="467"/>
      <c r="BK2840" s="467"/>
      <c r="BL2840" s="467"/>
      <c r="BM2840" s="467"/>
      <c r="BN2840" s="467"/>
      <c r="BO2840" s="467"/>
      <c r="BP2840" s="467"/>
      <c r="BQ2840" s="467"/>
      <c r="BR2840" s="467"/>
      <c r="BS2840" s="467"/>
      <c r="BT2840" s="467"/>
      <c r="BU2840" s="467"/>
      <c r="BV2840" s="467"/>
      <c r="BW2840" s="467"/>
      <c r="BX2840" s="769"/>
      <c r="BY2840" s="769"/>
      <c r="BZ2840" s="769"/>
      <c r="CA2840" s="769"/>
      <c r="CB2840" s="769"/>
      <c r="CC2840" s="769"/>
      <c r="CD2840" s="769"/>
      <c r="CE2840" s="769"/>
      <c r="CF2840" s="769"/>
      <c r="CG2840" s="73"/>
      <c r="CH2840" s="438"/>
      <c r="CI2840" s="416"/>
      <c r="CJ2840" s="73"/>
      <c r="CK2840" s="650"/>
      <c r="CL2840" s="499"/>
      <c r="CM2840" s="650"/>
      <c r="CR2840" s="416"/>
      <c r="CS2840" s="650"/>
      <c r="CU2840" s="73"/>
      <c r="CV2840" s="73"/>
      <c r="CW2840" s="73"/>
      <c r="CX2840" s="73"/>
      <c r="DA2840" s="650"/>
    </row>
    <row r="2841" spans="1:105" s="45" customFormat="1" x14ac:dyDescent="0.2">
      <c r="A2841" s="650"/>
      <c r="B2841" s="438"/>
      <c r="D2841" s="73"/>
      <c r="E2841" s="650"/>
      <c r="F2841" s="650"/>
      <c r="G2841" s="73"/>
      <c r="I2841" s="111"/>
      <c r="J2841" s="81"/>
      <c r="K2841" s="81"/>
      <c r="L2841" s="499"/>
      <c r="M2841" s="73"/>
      <c r="N2841" s="499"/>
      <c r="O2841" s="73"/>
      <c r="P2841" s="73"/>
      <c r="Q2841" s="73"/>
      <c r="R2841" s="176"/>
      <c r="S2841" s="176"/>
      <c r="T2841" s="176"/>
      <c r="U2841" s="400"/>
      <c r="V2841" s="400"/>
      <c r="W2841" s="732"/>
      <c r="X2841" s="167"/>
      <c r="Y2841" s="509"/>
      <c r="Z2841" s="466"/>
      <c r="AA2841" s="466"/>
      <c r="AB2841" s="466"/>
      <c r="AC2841" s="466"/>
      <c r="AD2841" s="466"/>
      <c r="AE2841" s="466"/>
      <c r="AF2841" s="466"/>
      <c r="AG2841" s="466"/>
      <c r="AH2841" s="466"/>
      <c r="AI2841" s="466"/>
      <c r="AJ2841" s="466"/>
      <c r="AK2841" s="466"/>
      <c r="AL2841" s="466"/>
      <c r="AM2841" s="466"/>
      <c r="AN2841" s="466"/>
      <c r="AO2841" s="466"/>
      <c r="AP2841" s="466"/>
      <c r="AQ2841" s="466"/>
      <c r="AR2841" s="466"/>
      <c r="AS2841" s="466"/>
      <c r="AT2841" s="466"/>
      <c r="AU2841" s="466"/>
      <c r="AV2841" s="466"/>
      <c r="AW2841" s="466"/>
      <c r="AX2841" s="466"/>
      <c r="AY2841" s="466"/>
      <c r="AZ2841" s="466"/>
      <c r="BA2841" s="466"/>
      <c r="BB2841" s="466"/>
      <c r="BC2841" s="466"/>
      <c r="BD2841" s="466"/>
      <c r="BE2841" s="467"/>
      <c r="BF2841" s="467"/>
      <c r="BG2841" s="466"/>
      <c r="BH2841" s="466"/>
      <c r="BI2841" s="467"/>
      <c r="BJ2841" s="467"/>
      <c r="BK2841" s="467"/>
      <c r="BL2841" s="467"/>
      <c r="BM2841" s="467"/>
      <c r="BN2841" s="467"/>
      <c r="BO2841" s="467"/>
      <c r="BP2841" s="467"/>
      <c r="BQ2841" s="467"/>
      <c r="BR2841" s="467"/>
      <c r="BS2841" s="467"/>
      <c r="BT2841" s="467"/>
      <c r="BU2841" s="467"/>
      <c r="BV2841" s="467"/>
      <c r="BW2841" s="467"/>
      <c r="BX2841" s="769"/>
      <c r="BY2841" s="769"/>
      <c r="BZ2841" s="769"/>
      <c r="CA2841" s="769"/>
      <c r="CB2841" s="769"/>
      <c r="CC2841" s="769"/>
      <c r="CD2841" s="769"/>
      <c r="CE2841" s="769"/>
      <c r="CF2841" s="769"/>
      <c r="CG2841" s="73"/>
      <c r="CH2841" s="438"/>
      <c r="CI2841" s="416"/>
      <c r="CJ2841" s="73"/>
      <c r="CK2841" s="650"/>
      <c r="CL2841" s="499"/>
      <c r="CM2841" s="650"/>
      <c r="CR2841" s="416"/>
      <c r="CS2841" s="650"/>
      <c r="CU2841" s="73"/>
      <c r="CV2841" s="73"/>
      <c r="CW2841" s="73"/>
      <c r="CX2841" s="73"/>
      <c r="DA2841" s="650"/>
    </row>
    <row r="2842" spans="1:105" s="45" customFormat="1" x14ac:dyDescent="0.2">
      <c r="A2842" s="650"/>
      <c r="B2842" s="438"/>
      <c r="D2842" s="73"/>
      <c r="E2842" s="650"/>
      <c r="F2842" s="650"/>
      <c r="G2842" s="73"/>
      <c r="I2842" s="111"/>
      <c r="J2842" s="81"/>
      <c r="K2842" s="81"/>
      <c r="L2842" s="499"/>
      <c r="M2842" s="73"/>
      <c r="N2842" s="499"/>
      <c r="O2842" s="73"/>
      <c r="P2842" s="73"/>
      <c r="Q2842" s="73"/>
      <c r="R2842" s="176"/>
      <c r="S2842" s="176"/>
      <c r="T2842" s="176"/>
      <c r="U2842" s="400"/>
      <c r="V2842" s="400"/>
      <c r="W2842" s="732"/>
      <c r="X2842" s="167"/>
      <c r="Y2842" s="509"/>
      <c r="Z2842" s="466"/>
      <c r="AA2842" s="466"/>
      <c r="AB2842" s="466"/>
      <c r="AC2842" s="466"/>
      <c r="AD2842" s="466"/>
      <c r="AE2842" s="466"/>
      <c r="AF2842" s="466"/>
      <c r="AG2842" s="466"/>
      <c r="AH2842" s="466"/>
      <c r="AI2842" s="466"/>
      <c r="AJ2842" s="466"/>
      <c r="AK2842" s="466"/>
      <c r="AL2842" s="466"/>
      <c r="AM2842" s="466"/>
      <c r="AN2842" s="466"/>
      <c r="AO2842" s="466"/>
      <c r="AP2842" s="466"/>
      <c r="AQ2842" s="466"/>
      <c r="AR2842" s="466"/>
      <c r="AS2842" s="466"/>
      <c r="AT2842" s="466"/>
      <c r="AU2842" s="466"/>
      <c r="AV2842" s="466"/>
      <c r="AW2842" s="466"/>
      <c r="AX2842" s="466"/>
      <c r="AY2842" s="466"/>
      <c r="AZ2842" s="466"/>
      <c r="BA2842" s="466"/>
      <c r="BB2842" s="466"/>
      <c r="BC2842" s="466"/>
      <c r="BD2842" s="466"/>
      <c r="BE2842" s="467"/>
      <c r="BF2842" s="467"/>
      <c r="BG2842" s="466"/>
      <c r="BH2842" s="466"/>
      <c r="BI2842" s="467"/>
      <c r="BJ2842" s="467"/>
      <c r="BK2842" s="467"/>
      <c r="BL2842" s="467"/>
      <c r="BM2842" s="467"/>
      <c r="BN2842" s="467"/>
      <c r="BO2842" s="467"/>
      <c r="BP2842" s="467"/>
      <c r="BQ2842" s="467"/>
      <c r="BR2842" s="467"/>
      <c r="BS2842" s="467"/>
      <c r="BT2842" s="467"/>
      <c r="BU2842" s="467"/>
      <c r="BV2842" s="467"/>
      <c r="BW2842" s="467"/>
      <c r="BX2842" s="769"/>
      <c r="BY2842" s="769"/>
      <c r="BZ2842" s="769"/>
      <c r="CA2842" s="769"/>
      <c r="CB2842" s="769"/>
      <c r="CC2842" s="769"/>
      <c r="CD2842" s="769"/>
      <c r="CE2842" s="769"/>
      <c r="CF2842" s="769"/>
      <c r="CG2842" s="73"/>
      <c r="CH2842" s="438"/>
      <c r="CI2842" s="416"/>
      <c r="CJ2842" s="73"/>
      <c r="CK2842" s="650"/>
      <c r="CL2842" s="499"/>
      <c r="CM2842" s="650"/>
      <c r="CR2842" s="416"/>
      <c r="CS2842" s="650"/>
      <c r="CU2842" s="73"/>
      <c r="CV2842" s="73"/>
      <c r="CW2842" s="73"/>
      <c r="CX2842" s="73"/>
      <c r="DA2842" s="650"/>
    </row>
    <row r="2843" spans="1:105" s="45" customFormat="1" x14ac:dyDescent="0.2">
      <c r="A2843" s="650"/>
      <c r="B2843" s="438"/>
      <c r="D2843" s="73"/>
      <c r="E2843" s="650"/>
      <c r="F2843" s="650"/>
      <c r="G2843" s="73"/>
      <c r="I2843" s="111"/>
      <c r="J2843" s="81"/>
      <c r="K2843" s="81"/>
      <c r="L2843" s="499"/>
      <c r="M2843" s="73"/>
      <c r="N2843" s="499"/>
      <c r="O2843" s="73"/>
      <c r="P2843" s="73"/>
      <c r="Q2843" s="73"/>
      <c r="R2843" s="176"/>
      <c r="S2843" s="176"/>
      <c r="T2843" s="176"/>
      <c r="U2843" s="400"/>
      <c r="V2843" s="400"/>
      <c r="W2843" s="732"/>
      <c r="X2843" s="167"/>
      <c r="Y2843" s="509"/>
      <c r="Z2843" s="466"/>
      <c r="AA2843" s="466"/>
      <c r="AB2843" s="466"/>
      <c r="AC2843" s="466"/>
      <c r="AD2843" s="466"/>
      <c r="AE2843" s="466"/>
      <c r="AF2843" s="466"/>
      <c r="AG2843" s="466"/>
      <c r="AH2843" s="466"/>
      <c r="AI2843" s="466"/>
      <c r="AJ2843" s="466"/>
      <c r="AK2843" s="466"/>
      <c r="AL2843" s="466"/>
      <c r="AM2843" s="466"/>
      <c r="AN2843" s="466"/>
      <c r="AO2843" s="466"/>
      <c r="AP2843" s="466"/>
      <c r="AQ2843" s="466"/>
      <c r="AR2843" s="466"/>
      <c r="AS2843" s="466"/>
      <c r="AT2843" s="466"/>
      <c r="AU2843" s="466"/>
      <c r="AV2843" s="466"/>
      <c r="AW2843" s="466"/>
      <c r="AX2843" s="466"/>
      <c r="AY2843" s="466"/>
      <c r="AZ2843" s="466"/>
      <c r="BA2843" s="466"/>
      <c r="BB2843" s="466"/>
      <c r="BC2843" s="466"/>
      <c r="BD2843" s="466"/>
      <c r="BE2843" s="467"/>
      <c r="BF2843" s="467"/>
      <c r="BG2843" s="466"/>
      <c r="BH2843" s="466"/>
      <c r="BI2843" s="467"/>
      <c r="BJ2843" s="467"/>
      <c r="BK2843" s="467"/>
      <c r="BL2843" s="467"/>
      <c r="BM2843" s="467"/>
      <c r="BN2843" s="467"/>
      <c r="BO2843" s="467"/>
      <c r="BP2843" s="467"/>
      <c r="BQ2843" s="467"/>
      <c r="BR2843" s="467"/>
      <c r="BS2843" s="467"/>
      <c r="BT2843" s="467"/>
      <c r="BU2843" s="467"/>
      <c r="BV2843" s="467"/>
      <c r="BW2843" s="467"/>
      <c r="BX2843" s="769"/>
      <c r="BY2843" s="769"/>
      <c r="BZ2843" s="769"/>
      <c r="CA2843" s="769"/>
      <c r="CB2843" s="769"/>
      <c r="CC2843" s="769"/>
      <c r="CD2843" s="769"/>
      <c r="CE2843" s="769"/>
      <c r="CF2843" s="769"/>
      <c r="CG2843" s="73"/>
      <c r="CH2843" s="438"/>
      <c r="CI2843" s="416"/>
      <c r="CJ2843" s="73"/>
      <c r="CK2843" s="650"/>
      <c r="CL2843" s="499"/>
      <c r="CM2843" s="650"/>
      <c r="CR2843" s="416"/>
      <c r="CS2843" s="650"/>
      <c r="CU2843" s="73"/>
      <c r="CV2843" s="73"/>
      <c r="CW2843" s="73"/>
      <c r="CX2843" s="73"/>
      <c r="DA2843" s="650"/>
    </row>
    <row r="2844" spans="1:105" s="45" customFormat="1" x14ac:dyDescent="0.2">
      <c r="A2844" s="650"/>
      <c r="B2844" s="438"/>
      <c r="D2844" s="73"/>
      <c r="E2844" s="650"/>
      <c r="F2844" s="650"/>
      <c r="G2844" s="73"/>
      <c r="I2844" s="111"/>
      <c r="J2844" s="81"/>
      <c r="K2844" s="81"/>
      <c r="L2844" s="499"/>
      <c r="M2844" s="73"/>
      <c r="N2844" s="499"/>
      <c r="O2844" s="73"/>
      <c r="P2844" s="73"/>
      <c r="Q2844" s="73"/>
      <c r="R2844" s="176"/>
      <c r="S2844" s="176"/>
      <c r="T2844" s="176"/>
      <c r="U2844" s="400"/>
      <c r="V2844" s="400"/>
      <c r="W2844" s="732"/>
      <c r="X2844" s="167"/>
      <c r="Y2844" s="509"/>
      <c r="Z2844" s="466"/>
      <c r="AA2844" s="466"/>
      <c r="AB2844" s="466"/>
      <c r="AC2844" s="466"/>
      <c r="AD2844" s="466"/>
      <c r="AE2844" s="466"/>
      <c r="AF2844" s="466"/>
      <c r="AG2844" s="466"/>
      <c r="AH2844" s="466"/>
      <c r="AI2844" s="466"/>
      <c r="AJ2844" s="466"/>
      <c r="AK2844" s="466"/>
      <c r="AL2844" s="466"/>
      <c r="AM2844" s="466"/>
      <c r="AN2844" s="466"/>
      <c r="AO2844" s="466"/>
      <c r="AP2844" s="466"/>
      <c r="AQ2844" s="466"/>
      <c r="AR2844" s="466"/>
      <c r="AS2844" s="466"/>
      <c r="AT2844" s="466"/>
      <c r="AU2844" s="466"/>
      <c r="AV2844" s="466"/>
      <c r="AW2844" s="466"/>
      <c r="AX2844" s="466"/>
      <c r="AY2844" s="466"/>
      <c r="AZ2844" s="466"/>
      <c r="BA2844" s="466"/>
      <c r="BB2844" s="466"/>
      <c r="BC2844" s="466"/>
      <c r="BD2844" s="466"/>
      <c r="BE2844" s="467"/>
      <c r="BF2844" s="467"/>
      <c r="BG2844" s="466"/>
      <c r="BH2844" s="466"/>
      <c r="BI2844" s="467"/>
      <c r="BJ2844" s="467"/>
      <c r="BK2844" s="467"/>
      <c r="BL2844" s="467"/>
      <c r="BM2844" s="467"/>
      <c r="BN2844" s="467"/>
      <c r="BO2844" s="467"/>
      <c r="BP2844" s="467"/>
      <c r="BQ2844" s="467"/>
      <c r="BR2844" s="467"/>
      <c r="BS2844" s="467"/>
      <c r="BT2844" s="467"/>
      <c r="BU2844" s="467"/>
      <c r="BV2844" s="467"/>
      <c r="BW2844" s="467"/>
      <c r="BX2844" s="769"/>
      <c r="BY2844" s="769"/>
      <c r="BZ2844" s="769"/>
      <c r="CA2844" s="769"/>
      <c r="CB2844" s="769"/>
      <c r="CC2844" s="769"/>
      <c r="CD2844" s="769"/>
      <c r="CE2844" s="769"/>
      <c r="CF2844" s="769"/>
      <c r="CG2844" s="73"/>
      <c r="CH2844" s="438"/>
      <c r="CI2844" s="416"/>
      <c r="CJ2844" s="73"/>
      <c r="CK2844" s="650"/>
      <c r="CL2844" s="499"/>
      <c r="CM2844" s="650"/>
      <c r="CR2844" s="416"/>
      <c r="CS2844" s="650"/>
      <c r="CU2844" s="73"/>
      <c r="CV2844" s="73"/>
      <c r="CW2844" s="73"/>
      <c r="CX2844" s="73"/>
      <c r="DA2844" s="650"/>
    </row>
    <row r="2845" spans="1:105" s="45" customFormat="1" x14ac:dyDescent="0.2">
      <c r="A2845" s="650"/>
      <c r="B2845" s="438"/>
      <c r="D2845" s="73"/>
      <c r="E2845" s="650"/>
      <c r="F2845" s="650"/>
      <c r="G2845" s="73"/>
      <c r="I2845" s="111"/>
      <c r="J2845" s="81"/>
      <c r="K2845" s="81"/>
      <c r="L2845" s="499"/>
      <c r="M2845" s="73"/>
      <c r="N2845" s="499"/>
      <c r="O2845" s="73"/>
      <c r="P2845" s="73"/>
      <c r="Q2845" s="73"/>
      <c r="R2845" s="176"/>
      <c r="S2845" s="176"/>
      <c r="T2845" s="176"/>
      <c r="U2845" s="400"/>
      <c r="V2845" s="400"/>
      <c r="W2845" s="732"/>
      <c r="X2845" s="167"/>
      <c r="Y2845" s="509"/>
      <c r="Z2845" s="466"/>
      <c r="AA2845" s="466"/>
      <c r="AB2845" s="466"/>
      <c r="AC2845" s="466"/>
      <c r="AD2845" s="466"/>
      <c r="AE2845" s="466"/>
      <c r="AF2845" s="466"/>
      <c r="AG2845" s="466"/>
      <c r="AH2845" s="466"/>
      <c r="AI2845" s="466"/>
      <c r="AJ2845" s="466"/>
      <c r="AK2845" s="466"/>
      <c r="AL2845" s="466"/>
      <c r="AM2845" s="466"/>
      <c r="AN2845" s="466"/>
      <c r="AO2845" s="466"/>
      <c r="AP2845" s="466"/>
      <c r="AQ2845" s="466"/>
      <c r="AR2845" s="466"/>
      <c r="AS2845" s="466"/>
      <c r="AT2845" s="466"/>
      <c r="AU2845" s="466"/>
      <c r="AV2845" s="466"/>
      <c r="AW2845" s="466"/>
      <c r="AX2845" s="466"/>
      <c r="AY2845" s="466"/>
      <c r="AZ2845" s="466"/>
      <c r="BA2845" s="466"/>
      <c r="BB2845" s="466"/>
      <c r="BC2845" s="466"/>
      <c r="BD2845" s="466"/>
      <c r="BE2845" s="467"/>
      <c r="BF2845" s="467"/>
      <c r="BG2845" s="466"/>
      <c r="BH2845" s="466"/>
      <c r="BI2845" s="467"/>
      <c r="BJ2845" s="467"/>
      <c r="BK2845" s="467"/>
      <c r="BL2845" s="467"/>
      <c r="BM2845" s="467"/>
      <c r="BN2845" s="467"/>
      <c r="BO2845" s="467"/>
      <c r="BP2845" s="467"/>
      <c r="BQ2845" s="467"/>
      <c r="BR2845" s="467"/>
      <c r="BS2845" s="467"/>
      <c r="BT2845" s="467"/>
      <c r="BU2845" s="467"/>
      <c r="BV2845" s="467"/>
      <c r="BW2845" s="467"/>
      <c r="BX2845" s="769"/>
      <c r="BY2845" s="769"/>
      <c r="BZ2845" s="769"/>
      <c r="CA2845" s="769"/>
      <c r="CB2845" s="769"/>
      <c r="CC2845" s="769"/>
      <c r="CD2845" s="769"/>
      <c r="CE2845" s="769"/>
      <c r="CF2845" s="769"/>
      <c r="CG2845" s="73"/>
      <c r="CH2845" s="438"/>
      <c r="CI2845" s="416"/>
      <c r="CJ2845" s="73"/>
      <c r="CK2845" s="650"/>
      <c r="CL2845" s="499"/>
      <c r="CM2845" s="650"/>
      <c r="CR2845" s="416"/>
      <c r="CS2845" s="650"/>
      <c r="CU2845" s="73"/>
      <c r="CV2845" s="73"/>
      <c r="CW2845" s="73"/>
      <c r="CX2845" s="73"/>
      <c r="DA2845" s="650"/>
    </row>
    <row r="2846" spans="1:105" s="45" customFormat="1" x14ac:dyDescent="0.2">
      <c r="A2846" s="650"/>
      <c r="B2846" s="438"/>
      <c r="D2846" s="73"/>
      <c r="E2846" s="650"/>
      <c r="F2846" s="650"/>
      <c r="G2846" s="73"/>
      <c r="I2846" s="111"/>
      <c r="J2846" s="81"/>
      <c r="K2846" s="81"/>
      <c r="L2846" s="499"/>
      <c r="M2846" s="73"/>
      <c r="N2846" s="499"/>
      <c r="O2846" s="73"/>
      <c r="P2846" s="73"/>
      <c r="Q2846" s="73"/>
      <c r="R2846" s="176"/>
      <c r="S2846" s="176"/>
      <c r="T2846" s="176"/>
      <c r="U2846" s="400"/>
      <c r="V2846" s="400"/>
      <c r="W2846" s="732"/>
      <c r="X2846" s="167"/>
      <c r="Y2846" s="509"/>
      <c r="Z2846" s="466"/>
      <c r="AA2846" s="466"/>
      <c r="AB2846" s="466"/>
      <c r="AC2846" s="466"/>
      <c r="AD2846" s="466"/>
      <c r="AE2846" s="466"/>
      <c r="AF2846" s="466"/>
      <c r="AG2846" s="466"/>
      <c r="AH2846" s="466"/>
      <c r="AI2846" s="466"/>
      <c r="AJ2846" s="466"/>
      <c r="AK2846" s="466"/>
      <c r="AL2846" s="466"/>
      <c r="AM2846" s="466"/>
      <c r="AN2846" s="466"/>
      <c r="AO2846" s="466"/>
      <c r="AP2846" s="466"/>
      <c r="AQ2846" s="466"/>
      <c r="AR2846" s="466"/>
      <c r="AS2846" s="466"/>
      <c r="AT2846" s="466"/>
      <c r="AU2846" s="466"/>
      <c r="AV2846" s="466"/>
      <c r="AW2846" s="466"/>
      <c r="AX2846" s="466"/>
      <c r="AY2846" s="466"/>
      <c r="AZ2846" s="466"/>
      <c r="BA2846" s="466"/>
      <c r="BB2846" s="466"/>
      <c r="BC2846" s="466"/>
      <c r="BD2846" s="466"/>
      <c r="BE2846" s="467"/>
      <c r="BF2846" s="467"/>
      <c r="BG2846" s="466"/>
      <c r="BH2846" s="466"/>
      <c r="BI2846" s="467"/>
      <c r="BJ2846" s="467"/>
      <c r="BK2846" s="467"/>
      <c r="BL2846" s="467"/>
      <c r="BM2846" s="467"/>
      <c r="BN2846" s="467"/>
      <c r="BO2846" s="467"/>
      <c r="BP2846" s="467"/>
      <c r="BQ2846" s="467"/>
      <c r="BR2846" s="467"/>
      <c r="BS2846" s="467"/>
      <c r="BT2846" s="467"/>
      <c r="BU2846" s="467"/>
      <c r="BV2846" s="467"/>
      <c r="BW2846" s="467"/>
      <c r="BX2846" s="769"/>
      <c r="BY2846" s="769"/>
      <c r="BZ2846" s="769"/>
      <c r="CA2846" s="769"/>
      <c r="CB2846" s="769"/>
      <c r="CC2846" s="769"/>
      <c r="CD2846" s="769"/>
      <c r="CE2846" s="769"/>
      <c r="CF2846" s="769"/>
      <c r="CG2846" s="73"/>
      <c r="CH2846" s="438"/>
      <c r="CI2846" s="416"/>
      <c r="CJ2846" s="73"/>
      <c r="CK2846" s="650"/>
      <c r="CL2846" s="499"/>
      <c r="CM2846" s="650"/>
      <c r="CR2846" s="416"/>
      <c r="CS2846" s="650"/>
      <c r="CU2846" s="73"/>
      <c r="CV2846" s="73"/>
      <c r="CW2846" s="73"/>
      <c r="CX2846" s="73"/>
      <c r="DA2846" s="650"/>
    </row>
    <row r="2847" spans="1:105" s="45" customFormat="1" x14ac:dyDescent="0.2">
      <c r="A2847" s="650"/>
      <c r="B2847" s="438"/>
      <c r="D2847" s="73"/>
      <c r="E2847" s="650"/>
      <c r="F2847" s="650"/>
      <c r="G2847" s="73"/>
      <c r="I2847" s="111"/>
      <c r="J2847" s="81"/>
      <c r="K2847" s="81"/>
      <c r="L2847" s="499"/>
      <c r="M2847" s="73"/>
      <c r="N2847" s="499"/>
      <c r="O2847" s="73"/>
      <c r="P2847" s="73"/>
      <c r="Q2847" s="73"/>
      <c r="R2847" s="176"/>
      <c r="S2847" s="176"/>
      <c r="T2847" s="176"/>
      <c r="U2847" s="400"/>
      <c r="V2847" s="400"/>
      <c r="W2847" s="732"/>
      <c r="X2847" s="167"/>
      <c r="Y2847" s="509"/>
      <c r="Z2847" s="466"/>
      <c r="AA2847" s="466"/>
      <c r="AB2847" s="466"/>
      <c r="AC2847" s="466"/>
      <c r="AD2847" s="466"/>
      <c r="AE2847" s="466"/>
      <c r="AF2847" s="466"/>
      <c r="AG2847" s="466"/>
      <c r="AH2847" s="466"/>
      <c r="AI2847" s="466"/>
      <c r="AJ2847" s="466"/>
      <c r="AK2847" s="466"/>
      <c r="AL2847" s="466"/>
      <c r="AM2847" s="466"/>
      <c r="AN2847" s="466"/>
      <c r="AO2847" s="466"/>
      <c r="AP2847" s="466"/>
      <c r="AQ2847" s="466"/>
      <c r="AR2847" s="466"/>
      <c r="AS2847" s="466"/>
      <c r="AT2847" s="466"/>
      <c r="AU2847" s="466"/>
      <c r="AV2847" s="466"/>
      <c r="AW2847" s="466"/>
      <c r="AX2847" s="466"/>
      <c r="AY2847" s="466"/>
      <c r="AZ2847" s="466"/>
      <c r="BA2847" s="466"/>
      <c r="BB2847" s="466"/>
      <c r="BC2847" s="466"/>
      <c r="BD2847" s="466"/>
      <c r="BE2847" s="467"/>
      <c r="BF2847" s="467"/>
      <c r="BG2847" s="466"/>
      <c r="BH2847" s="466"/>
      <c r="BI2847" s="467"/>
      <c r="BJ2847" s="467"/>
      <c r="BK2847" s="467"/>
      <c r="BL2847" s="467"/>
      <c r="BM2847" s="467"/>
      <c r="BN2847" s="467"/>
      <c r="BO2847" s="467"/>
      <c r="BP2847" s="467"/>
      <c r="BQ2847" s="467"/>
      <c r="BR2847" s="467"/>
      <c r="BS2847" s="467"/>
      <c r="BT2847" s="467"/>
      <c r="BU2847" s="467"/>
      <c r="BV2847" s="467"/>
      <c r="BW2847" s="467"/>
      <c r="BX2847" s="769"/>
      <c r="BY2847" s="769"/>
      <c r="BZ2847" s="769"/>
      <c r="CA2847" s="769"/>
      <c r="CB2847" s="769"/>
      <c r="CC2847" s="769"/>
      <c r="CD2847" s="769"/>
      <c r="CE2847" s="769"/>
      <c r="CF2847" s="769"/>
      <c r="CG2847" s="73"/>
      <c r="CH2847" s="438"/>
      <c r="CI2847" s="416"/>
      <c r="CJ2847" s="73"/>
      <c r="CK2847" s="650"/>
      <c r="CL2847" s="499"/>
      <c r="CM2847" s="650"/>
      <c r="CR2847" s="416"/>
      <c r="CS2847" s="650"/>
      <c r="CU2847" s="73"/>
      <c r="CV2847" s="73"/>
      <c r="CW2847" s="73"/>
      <c r="CX2847" s="73"/>
      <c r="DA2847" s="650"/>
    </row>
    <row r="2848" spans="1:105" s="45" customFormat="1" x14ac:dyDescent="0.2">
      <c r="A2848" s="650"/>
      <c r="B2848" s="438"/>
      <c r="D2848" s="73"/>
      <c r="E2848" s="650"/>
      <c r="F2848" s="650"/>
      <c r="G2848" s="73"/>
      <c r="I2848" s="111"/>
      <c r="J2848" s="81"/>
      <c r="K2848" s="81"/>
      <c r="L2848" s="499"/>
      <c r="M2848" s="73"/>
      <c r="N2848" s="499"/>
      <c r="O2848" s="73"/>
      <c r="P2848" s="73"/>
      <c r="Q2848" s="73"/>
      <c r="R2848" s="176"/>
      <c r="S2848" s="176"/>
      <c r="T2848" s="176"/>
      <c r="U2848" s="400"/>
      <c r="V2848" s="400"/>
      <c r="W2848" s="732"/>
      <c r="X2848" s="167"/>
      <c r="Y2848" s="509"/>
      <c r="Z2848" s="466"/>
      <c r="AA2848" s="466"/>
      <c r="AB2848" s="466"/>
      <c r="AC2848" s="466"/>
      <c r="AD2848" s="466"/>
      <c r="AE2848" s="466"/>
      <c r="AF2848" s="466"/>
      <c r="AG2848" s="466"/>
      <c r="AH2848" s="466"/>
      <c r="AI2848" s="466"/>
      <c r="AJ2848" s="466"/>
      <c r="AK2848" s="466"/>
      <c r="AL2848" s="466"/>
      <c r="AM2848" s="466"/>
      <c r="AN2848" s="466"/>
      <c r="AO2848" s="466"/>
      <c r="AP2848" s="466"/>
      <c r="AQ2848" s="466"/>
      <c r="AR2848" s="466"/>
      <c r="AS2848" s="466"/>
      <c r="AT2848" s="466"/>
      <c r="AU2848" s="466"/>
      <c r="AV2848" s="466"/>
      <c r="AW2848" s="466"/>
      <c r="AX2848" s="466"/>
      <c r="AY2848" s="466"/>
      <c r="AZ2848" s="466"/>
      <c r="BA2848" s="466"/>
      <c r="BB2848" s="466"/>
      <c r="BC2848" s="466"/>
      <c r="BD2848" s="466"/>
      <c r="BE2848" s="467"/>
      <c r="BF2848" s="467"/>
      <c r="BG2848" s="466"/>
      <c r="BH2848" s="466"/>
      <c r="BI2848" s="467"/>
      <c r="BJ2848" s="467"/>
      <c r="BK2848" s="467"/>
      <c r="BL2848" s="467"/>
      <c r="BM2848" s="467"/>
      <c r="BN2848" s="467"/>
      <c r="BO2848" s="467"/>
      <c r="BP2848" s="467"/>
      <c r="BQ2848" s="467"/>
      <c r="BR2848" s="467"/>
      <c r="BS2848" s="467"/>
      <c r="BT2848" s="467"/>
      <c r="BU2848" s="467"/>
      <c r="BV2848" s="467"/>
      <c r="BW2848" s="467"/>
      <c r="BX2848" s="769"/>
      <c r="BY2848" s="769"/>
      <c r="BZ2848" s="769"/>
      <c r="CA2848" s="769"/>
      <c r="CB2848" s="769"/>
      <c r="CC2848" s="769"/>
      <c r="CD2848" s="769"/>
      <c r="CE2848" s="769"/>
      <c r="CF2848" s="769"/>
      <c r="CG2848" s="73"/>
      <c r="CH2848" s="438"/>
      <c r="CI2848" s="416"/>
      <c r="CJ2848" s="73"/>
      <c r="CK2848" s="650"/>
      <c r="CL2848" s="499"/>
      <c r="CM2848" s="650"/>
      <c r="CR2848" s="416"/>
      <c r="CS2848" s="650"/>
      <c r="CU2848" s="73"/>
      <c r="CV2848" s="73"/>
      <c r="CW2848" s="73"/>
      <c r="CX2848" s="73"/>
      <c r="DA2848" s="650"/>
    </row>
    <row r="2849" spans="1:105" s="45" customFormat="1" x14ac:dyDescent="0.2">
      <c r="A2849" s="650"/>
      <c r="B2849" s="438"/>
      <c r="D2849" s="73"/>
      <c r="E2849" s="650"/>
      <c r="F2849" s="650"/>
      <c r="G2849" s="73"/>
      <c r="I2849" s="111"/>
      <c r="J2849" s="81"/>
      <c r="K2849" s="81"/>
      <c r="L2849" s="499"/>
      <c r="M2849" s="73"/>
      <c r="N2849" s="499"/>
      <c r="O2849" s="73"/>
      <c r="P2849" s="73"/>
      <c r="Q2849" s="73"/>
      <c r="R2849" s="176"/>
      <c r="S2849" s="176"/>
      <c r="T2849" s="176"/>
      <c r="U2849" s="400"/>
      <c r="V2849" s="400"/>
      <c r="W2849" s="732"/>
      <c r="X2849" s="167"/>
      <c r="Y2849" s="509"/>
      <c r="Z2849" s="466"/>
      <c r="AA2849" s="466"/>
      <c r="AB2849" s="466"/>
      <c r="AC2849" s="466"/>
      <c r="AD2849" s="466"/>
      <c r="AE2849" s="466"/>
      <c r="AF2849" s="466"/>
      <c r="AG2849" s="466"/>
      <c r="AH2849" s="466"/>
      <c r="AI2849" s="466"/>
      <c r="AJ2849" s="466"/>
      <c r="AK2849" s="466"/>
      <c r="AL2849" s="466"/>
      <c r="AM2849" s="466"/>
      <c r="AN2849" s="466"/>
      <c r="AO2849" s="466"/>
      <c r="AP2849" s="466"/>
      <c r="AQ2849" s="466"/>
      <c r="AR2849" s="466"/>
      <c r="AS2849" s="466"/>
      <c r="AT2849" s="466"/>
      <c r="AU2849" s="466"/>
      <c r="AV2849" s="466"/>
      <c r="AW2849" s="466"/>
      <c r="AX2849" s="466"/>
      <c r="AY2849" s="466"/>
      <c r="AZ2849" s="466"/>
      <c r="BA2849" s="466"/>
      <c r="BB2849" s="466"/>
      <c r="BC2849" s="466"/>
      <c r="BD2849" s="466"/>
      <c r="BE2849" s="467"/>
      <c r="BF2849" s="467"/>
      <c r="BG2849" s="466"/>
      <c r="BH2849" s="466"/>
      <c r="BI2849" s="467"/>
      <c r="BJ2849" s="467"/>
      <c r="BK2849" s="467"/>
      <c r="BL2849" s="467"/>
      <c r="BM2849" s="467"/>
      <c r="BN2849" s="467"/>
      <c r="BO2849" s="467"/>
      <c r="BP2849" s="467"/>
      <c r="BQ2849" s="467"/>
      <c r="BR2849" s="467"/>
      <c r="BS2849" s="467"/>
      <c r="BT2849" s="467"/>
      <c r="BU2849" s="467"/>
      <c r="BV2849" s="467"/>
      <c r="BW2849" s="467"/>
      <c r="BX2849" s="769"/>
      <c r="BY2849" s="769"/>
      <c r="BZ2849" s="769"/>
      <c r="CA2849" s="769"/>
      <c r="CB2849" s="769"/>
      <c r="CC2849" s="769"/>
      <c r="CD2849" s="769"/>
      <c r="CE2849" s="769"/>
      <c r="CF2849" s="769"/>
      <c r="CG2849" s="73"/>
      <c r="CH2849" s="438"/>
      <c r="CI2849" s="416"/>
      <c r="CJ2849" s="73"/>
      <c r="CK2849" s="650"/>
      <c r="CL2849" s="499"/>
      <c r="CM2849" s="650"/>
      <c r="CR2849" s="416"/>
      <c r="CS2849" s="650"/>
      <c r="CU2849" s="73"/>
      <c r="CV2849" s="73"/>
      <c r="CW2849" s="73"/>
      <c r="CX2849" s="73"/>
      <c r="DA2849" s="650"/>
    </row>
    <row r="2850" spans="1:105" s="45" customFormat="1" x14ac:dyDescent="0.2">
      <c r="A2850" s="650"/>
      <c r="B2850" s="438"/>
      <c r="D2850" s="73"/>
      <c r="E2850" s="650"/>
      <c r="F2850" s="650"/>
      <c r="G2850" s="73"/>
      <c r="I2850" s="111"/>
      <c r="J2850" s="81"/>
      <c r="K2850" s="81"/>
      <c r="L2850" s="499"/>
      <c r="M2850" s="73"/>
      <c r="N2850" s="499"/>
      <c r="O2850" s="73"/>
      <c r="P2850" s="73"/>
      <c r="Q2850" s="73"/>
      <c r="R2850" s="176"/>
      <c r="S2850" s="176"/>
      <c r="T2850" s="176"/>
      <c r="U2850" s="400"/>
      <c r="V2850" s="400"/>
      <c r="W2850" s="732"/>
      <c r="X2850" s="167"/>
      <c r="Y2850" s="509"/>
      <c r="Z2850" s="466"/>
      <c r="AA2850" s="466"/>
      <c r="AB2850" s="466"/>
      <c r="AC2850" s="466"/>
      <c r="AD2850" s="466"/>
      <c r="AE2850" s="466"/>
      <c r="AF2850" s="466"/>
      <c r="AG2850" s="466"/>
      <c r="AH2850" s="466"/>
      <c r="AI2850" s="466"/>
      <c r="AJ2850" s="466"/>
      <c r="AK2850" s="466"/>
      <c r="AL2850" s="466"/>
      <c r="AM2850" s="466"/>
      <c r="AN2850" s="466"/>
      <c r="AO2850" s="466"/>
      <c r="AP2850" s="466"/>
      <c r="AQ2850" s="466"/>
      <c r="AR2850" s="466"/>
      <c r="AS2850" s="466"/>
      <c r="AT2850" s="466"/>
      <c r="AU2850" s="466"/>
      <c r="AV2850" s="466"/>
      <c r="AW2850" s="466"/>
      <c r="AX2850" s="466"/>
      <c r="AY2850" s="466"/>
      <c r="AZ2850" s="466"/>
      <c r="BA2850" s="466"/>
      <c r="BB2850" s="466"/>
      <c r="BC2850" s="466"/>
      <c r="BD2850" s="466"/>
      <c r="BE2850" s="467"/>
      <c r="BF2850" s="467"/>
      <c r="BG2850" s="466"/>
      <c r="BH2850" s="466"/>
      <c r="BI2850" s="467"/>
      <c r="BJ2850" s="467"/>
      <c r="BK2850" s="467"/>
      <c r="BL2850" s="467"/>
      <c r="BM2850" s="467"/>
      <c r="BN2850" s="467"/>
      <c r="BO2850" s="467"/>
      <c r="BP2850" s="467"/>
      <c r="BQ2850" s="467"/>
      <c r="BR2850" s="467"/>
      <c r="BS2850" s="467"/>
      <c r="BT2850" s="467"/>
      <c r="BU2850" s="467"/>
      <c r="BV2850" s="467"/>
      <c r="BW2850" s="467"/>
      <c r="BX2850" s="769"/>
      <c r="BY2850" s="769"/>
      <c r="BZ2850" s="769"/>
      <c r="CA2850" s="769"/>
      <c r="CB2850" s="769"/>
      <c r="CC2850" s="769"/>
      <c r="CD2850" s="769"/>
      <c r="CE2850" s="769"/>
      <c r="CF2850" s="769"/>
      <c r="CG2850" s="73"/>
      <c r="CH2850" s="438"/>
      <c r="CI2850" s="416"/>
      <c r="CJ2850" s="73"/>
      <c r="CK2850" s="650"/>
      <c r="CL2850" s="499"/>
      <c r="CM2850" s="650"/>
      <c r="CR2850" s="416"/>
      <c r="CS2850" s="650"/>
      <c r="CU2850" s="73"/>
      <c r="CV2850" s="73"/>
      <c r="CW2850" s="73"/>
      <c r="CX2850" s="73"/>
      <c r="DA2850" s="650"/>
    </row>
    <row r="2851" spans="1:105" s="45" customFormat="1" x14ac:dyDescent="0.2">
      <c r="A2851" s="650"/>
      <c r="B2851" s="438"/>
      <c r="D2851" s="73"/>
      <c r="E2851" s="650"/>
      <c r="F2851" s="650"/>
      <c r="G2851" s="73"/>
      <c r="I2851" s="111"/>
      <c r="J2851" s="81"/>
      <c r="K2851" s="81"/>
      <c r="L2851" s="499"/>
      <c r="M2851" s="73"/>
      <c r="N2851" s="499"/>
      <c r="O2851" s="73"/>
      <c r="P2851" s="73"/>
      <c r="Q2851" s="73"/>
      <c r="R2851" s="176"/>
      <c r="S2851" s="176"/>
      <c r="T2851" s="176"/>
      <c r="U2851" s="400"/>
      <c r="V2851" s="400"/>
      <c r="W2851" s="732"/>
      <c r="X2851" s="167"/>
      <c r="Y2851" s="509"/>
      <c r="Z2851" s="466"/>
      <c r="AA2851" s="466"/>
      <c r="AB2851" s="466"/>
      <c r="AC2851" s="466"/>
      <c r="AD2851" s="466"/>
      <c r="AE2851" s="466"/>
      <c r="AF2851" s="466"/>
      <c r="AG2851" s="466"/>
      <c r="AH2851" s="466"/>
      <c r="AI2851" s="466"/>
      <c r="AJ2851" s="466"/>
      <c r="AK2851" s="466"/>
      <c r="AL2851" s="466"/>
      <c r="AM2851" s="466"/>
      <c r="AN2851" s="466"/>
      <c r="AO2851" s="466"/>
      <c r="AP2851" s="466"/>
      <c r="AQ2851" s="466"/>
      <c r="AR2851" s="466"/>
      <c r="AS2851" s="466"/>
      <c r="AT2851" s="466"/>
      <c r="AU2851" s="466"/>
      <c r="AV2851" s="466"/>
      <c r="AW2851" s="466"/>
      <c r="AX2851" s="466"/>
      <c r="AY2851" s="466"/>
      <c r="AZ2851" s="466"/>
      <c r="BA2851" s="466"/>
      <c r="BB2851" s="466"/>
      <c r="BC2851" s="466"/>
      <c r="BD2851" s="466"/>
      <c r="BE2851" s="467"/>
      <c r="BF2851" s="467"/>
      <c r="BG2851" s="466"/>
      <c r="BH2851" s="466"/>
      <c r="BI2851" s="467"/>
      <c r="BJ2851" s="467"/>
      <c r="BK2851" s="467"/>
      <c r="BL2851" s="467"/>
      <c r="BM2851" s="467"/>
      <c r="BN2851" s="467"/>
      <c r="BO2851" s="467"/>
      <c r="BP2851" s="467"/>
      <c r="BQ2851" s="467"/>
      <c r="BR2851" s="467"/>
      <c r="BS2851" s="467"/>
      <c r="BT2851" s="467"/>
      <c r="BU2851" s="467"/>
      <c r="BV2851" s="467"/>
      <c r="BW2851" s="467"/>
      <c r="BX2851" s="769"/>
      <c r="BY2851" s="769"/>
      <c r="BZ2851" s="769"/>
      <c r="CA2851" s="769"/>
      <c r="CB2851" s="769"/>
      <c r="CC2851" s="769"/>
      <c r="CD2851" s="769"/>
      <c r="CE2851" s="769"/>
      <c r="CF2851" s="769"/>
      <c r="CG2851" s="73"/>
      <c r="CH2851" s="438"/>
      <c r="CI2851" s="416"/>
      <c r="CJ2851" s="73"/>
      <c r="CK2851" s="650"/>
      <c r="CL2851" s="499"/>
      <c r="CM2851" s="650"/>
      <c r="CR2851" s="416"/>
      <c r="CS2851" s="650"/>
      <c r="CU2851" s="73"/>
      <c r="CV2851" s="73"/>
      <c r="CW2851" s="73"/>
      <c r="CX2851" s="73"/>
      <c r="DA2851" s="650"/>
    </row>
    <row r="2852" spans="1:105" s="45" customFormat="1" x14ac:dyDescent="0.2">
      <c r="A2852" s="650"/>
      <c r="B2852" s="438"/>
      <c r="D2852" s="73"/>
      <c r="E2852" s="650"/>
      <c r="F2852" s="650"/>
      <c r="G2852" s="73"/>
      <c r="I2852" s="111"/>
      <c r="J2852" s="81"/>
      <c r="K2852" s="81"/>
      <c r="L2852" s="499"/>
      <c r="M2852" s="73"/>
      <c r="N2852" s="499"/>
      <c r="O2852" s="73"/>
      <c r="P2852" s="73"/>
      <c r="Q2852" s="73"/>
      <c r="R2852" s="176"/>
      <c r="S2852" s="176"/>
      <c r="T2852" s="176"/>
      <c r="U2852" s="400"/>
      <c r="V2852" s="400"/>
      <c r="W2852" s="732"/>
      <c r="X2852" s="167"/>
      <c r="Y2852" s="509"/>
      <c r="Z2852" s="466"/>
      <c r="AA2852" s="466"/>
      <c r="AB2852" s="466"/>
      <c r="AC2852" s="466"/>
      <c r="AD2852" s="466"/>
      <c r="AE2852" s="466"/>
      <c r="AF2852" s="466"/>
      <c r="AG2852" s="466"/>
      <c r="AH2852" s="466"/>
      <c r="AI2852" s="466"/>
      <c r="AJ2852" s="466"/>
      <c r="AK2852" s="466"/>
      <c r="AL2852" s="466"/>
      <c r="AM2852" s="466"/>
      <c r="AN2852" s="466"/>
      <c r="AO2852" s="466"/>
      <c r="AP2852" s="466"/>
      <c r="AQ2852" s="466"/>
      <c r="AR2852" s="466"/>
      <c r="AS2852" s="466"/>
      <c r="AT2852" s="466"/>
      <c r="AU2852" s="466"/>
      <c r="AV2852" s="466"/>
      <c r="AW2852" s="466"/>
      <c r="AX2852" s="466"/>
      <c r="AY2852" s="466"/>
      <c r="AZ2852" s="466"/>
      <c r="BA2852" s="466"/>
      <c r="BB2852" s="466"/>
      <c r="BC2852" s="466"/>
      <c r="BD2852" s="466"/>
      <c r="BE2852" s="467"/>
      <c r="BF2852" s="467"/>
      <c r="BG2852" s="466"/>
      <c r="BH2852" s="466"/>
      <c r="BI2852" s="467"/>
      <c r="BJ2852" s="467"/>
      <c r="BK2852" s="467"/>
      <c r="BL2852" s="467"/>
      <c r="BM2852" s="467"/>
      <c r="BN2852" s="467"/>
      <c r="BO2852" s="467"/>
      <c r="BP2852" s="467"/>
      <c r="BQ2852" s="467"/>
      <c r="BR2852" s="467"/>
      <c r="BS2852" s="467"/>
      <c r="BT2852" s="467"/>
      <c r="BU2852" s="467"/>
      <c r="BV2852" s="467"/>
      <c r="BW2852" s="467"/>
      <c r="BX2852" s="769"/>
      <c r="BY2852" s="769"/>
      <c r="BZ2852" s="769"/>
      <c r="CA2852" s="769"/>
      <c r="CB2852" s="769"/>
      <c r="CC2852" s="769"/>
      <c r="CD2852" s="769"/>
      <c r="CE2852" s="769"/>
      <c r="CF2852" s="769"/>
      <c r="CG2852" s="73"/>
      <c r="CH2852" s="438"/>
      <c r="CI2852" s="416"/>
      <c r="CJ2852" s="73"/>
      <c r="CK2852" s="650"/>
      <c r="CL2852" s="499"/>
      <c r="CM2852" s="650"/>
      <c r="CR2852" s="416"/>
      <c r="CS2852" s="650"/>
      <c r="CU2852" s="73"/>
      <c r="CV2852" s="73"/>
      <c r="CW2852" s="73"/>
      <c r="CX2852" s="73"/>
      <c r="DA2852" s="650"/>
    </row>
    <row r="2853" spans="1:105" s="45" customFormat="1" x14ac:dyDescent="0.2">
      <c r="A2853" s="650"/>
      <c r="B2853" s="438"/>
      <c r="D2853" s="73"/>
      <c r="E2853" s="650"/>
      <c r="F2853" s="650"/>
      <c r="G2853" s="73"/>
      <c r="I2853" s="111"/>
      <c r="J2853" s="81"/>
      <c r="K2853" s="81"/>
      <c r="L2853" s="499"/>
      <c r="M2853" s="73"/>
      <c r="N2853" s="499"/>
      <c r="O2853" s="73"/>
      <c r="P2853" s="73"/>
      <c r="Q2853" s="73"/>
      <c r="R2853" s="176"/>
      <c r="S2853" s="176"/>
      <c r="T2853" s="176"/>
      <c r="U2853" s="400"/>
      <c r="V2853" s="400"/>
      <c r="W2853" s="732"/>
      <c r="X2853" s="167"/>
      <c r="Y2853" s="509"/>
      <c r="Z2853" s="466"/>
      <c r="AA2853" s="466"/>
      <c r="AB2853" s="466"/>
      <c r="AC2853" s="466"/>
      <c r="AD2853" s="466"/>
      <c r="AE2853" s="466"/>
      <c r="AF2853" s="466"/>
      <c r="AG2853" s="466"/>
      <c r="AH2853" s="466"/>
      <c r="AI2853" s="466"/>
      <c r="AJ2853" s="466"/>
      <c r="AK2853" s="466"/>
      <c r="AL2853" s="466"/>
      <c r="AM2853" s="466"/>
      <c r="AN2853" s="466"/>
      <c r="AO2853" s="466"/>
      <c r="AP2853" s="466"/>
      <c r="AQ2853" s="466"/>
      <c r="AR2853" s="466"/>
      <c r="AS2853" s="466"/>
      <c r="AT2853" s="466"/>
      <c r="AU2853" s="466"/>
      <c r="AV2853" s="466"/>
      <c r="AW2853" s="466"/>
      <c r="AX2853" s="466"/>
      <c r="AY2853" s="466"/>
      <c r="AZ2853" s="466"/>
      <c r="BA2853" s="466"/>
      <c r="BB2853" s="466"/>
      <c r="BC2853" s="466"/>
      <c r="BD2853" s="466"/>
      <c r="BE2853" s="467"/>
      <c r="BF2853" s="467"/>
      <c r="BG2853" s="466"/>
      <c r="BH2853" s="466"/>
      <c r="BI2853" s="467"/>
      <c r="BJ2853" s="467"/>
      <c r="BK2853" s="467"/>
      <c r="BL2853" s="467"/>
      <c r="BM2853" s="467"/>
      <c r="BN2853" s="467"/>
      <c r="BO2853" s="467"/>
      <c r="BP2853" s="467"/>
      <c r="BQ2853" s="467"/>
      <c r="BR2853" s="467"/>
      <c r="BS2853" s="467"/>
      <c r="BT2853" s="467"/>
      <c r="BU2853" s="467"/>
      <c r="BV2853" s="467"/>
      <c r="BW2853" s="467"/>
      <c r="BX2853" s="769"/>
      <c r="BY2853" s="769"/>
      <c r="BZ2853" s="769"/>
      <c r="CA2853" s="769"/>
      <c r="CB2853" s="769"/>
      <c r="CC2853" s="769"/>
      <c r="CD2853" s="769"/>
      <c r="CE2853" s="769"/>
      <c r="CF2853" s="769"/>
      <c r="CG2853" s="73"/>
      <c r="CH2853" s="438"/>
      <c r="CI2853" s="416"/>
      <c r="CJ2853" s="73"/>
      <c r="CK2853" s="650"/>
      <c r="CL2853" s="499"/>
      <c r="CM2853" s="650"/>
      <c r="CR2853" s="416"/>
      <c r="CS2853" s="650"/>
      <c r="CU2853" s="73"/>
      <c r="CV2853" s="73"/>
      <c r="CW2853" s="73"/>
      <c r="CX2853" s="73"/>
      <c r="DA2853" s="650"/>
    </row>
    <row r="2854" spans="1:105" s="45" customFormat="1" x14ac:dyDescent="0.2">
      <c r="A2854" s="650"/>
      <c r="B2854" s="438"/>
      <c r="D2854" s="73"/>
      <c r="E2854" s="650"/>
      <c r="F2854" s="650"/>
      <c r="G2854" s="73"/>
      <c r="I2854" s="111"/>
      <c r="J2854" s="81"/>
      <c r="K2854" s="81"/>
      <c r="L2854" s="499"/>
      <c r="M2854" s="73"/>
      <c r="N2854" s="499"/>
      <c r="O2854" s="73"/>
      <c r="P2854" s="73"/>
      <c r="Q2854" s="73"/>
      <c r="R2854" s="176"/>
      <c r="S2854" s="176"/>
      <c r="T2854" s="176"/>
      <c r="U2854" s="400"/>
      <c r="V2854" s="400"/>
      <c r="W2854" s="732"/>
      <c r="X2854" s="167"/>
      <c r="Y2854" s="509"/>
      <c r="Z2854" s="466"/>
      <c r="AA2854" s="466"/>
      <c r="AB2854" s="466"/>
      <c r="AC2854" s="466"/>
      <c r="AD2854" s="466"/>
      <c r="AE2854" s="466"/>
      <c r="AF2854" s="466"/>
      <c r="AG2854" s="466"/>
      <c r="AH2854" s="466"/>
      <c r="AI2854" s="466"/>
      <c r="AJ2854" s="466"/>
      <c r="AK2854" s="466"/>
      <c r="AL2854" s="466"/>
      <c r="AM2854" s="466"/>
      <c r="AN2854" s="466"/>
      <c r="AO2854" s="466"/>
      <c r="AP2854" s="466"/>
      <c r="AQ2854" s="466"/>
      <c r="AR2854" s="466"/>
      <c r="AS2854" s="466"/>
      <c r="AT2854" s="466"/>
      <c r="AU2854" s="466"/>
      <c r="AV2854" s="466"/>
      <c r="AW2854" s="466"/>
      <c r="AX2854" s="466"/>
      <c r="AY2854" s="466"/>
      <c r="AZ2854" s="466"/>
      <c r="BA2854" s="466"/>
      <c r="BB2854" s="466"/>
      <c r="BC2854" s="466"/>
      <c r="BD2854" s="466"/>
      <c r="BE2854" s="467"/>
      <c r="BF2854" s="467"/>
      <c r="BG2854" s="466"/>
      <c r="BH2854" s="466"/>
      <c r="BI2854" s="467"/>
      <c r="BJ2854" s="467"/>
      <c r="BK2854" s="467"/>
      <c r="BL2854" s="467"/>
      <c r="BM2854" s="467"/>
      <c r="BN2854" s="467"/>
      <c r="BO2854" s="467"/>
      <c r="BP2854" s="467"/>
      <c r="BQ2854" s="467"/>
      <c r="BR2854" s="467"/>
      <c r="BS2854" s="467"/>
      <c r="BT2854" s="467"/>
      <c r="BU2854" s="467"/>
      <c r="BV2854" s="467"/>
      <c r="BW2854" s="467"/>
      <c r="BX2854" s="769"/>
      <c r="BY2854" s="769"/>
      <c r="BZ2854" s="769"/>
      <c r="CA2854" s="769"/>
      <c r="CB2854" s="769"/>
      <c r="CC2854" s="769"/>
      <c r="CD2854" s="769"/>
      <c r="CE2854" s="769"/>
      <c r="CF2854" s="769"/>
      <c r="CG2854" s="73"/>
      <c r="CH2854" s="438"/>
      <c r="CI2854" s="416"/>
      <c r="CJ2854" s="73"/>
      <c r="CK2854" s="650"/>
      <c r="CL2854" s="499"/>
      <c r="CM2854" s="650"/>
      <c r="CR2854" s="416"/>
      <c r="CS2854" s="650"/>
      <c r="CU2854" s="73"/>
      <c r="CV2854" s="73"/>
      <c r="CW2854" s="73"/>
      <c r="CX2854" s="73"/>
      <c r="DA2854" s="650"/>
    </row>
    <row r="2855" spans="1:105" s="45" customFormat="1" x14ac:dyDescent="0.2">
      <c r="A2855" s="650"/>
      <c r="B2855" s="438"/>
      <c r="D2855" s="73"/>
      <c r="E2855" s="650"/>
      <c r="F2855" s="650"/>
      <c r="G2855" s="73"/>
      <c r="I2855" s="111"/>
      <c r="J2855" s="81"/>
      <c r="K2855" s="81"/>
      <c r="L2855" s="499"/>
      <c r="M2855" s="73"/>
      <c r="N2855" s="499"/>
      <c r="O2855" s="73"/>
      <c r="P2855" s="73"/>
      <c r="Q2855" s="73"/>
      <c r="R2855" s="176"/>
      <c r="S2855" s="176"/>
      <c r="T2855" s="176"/>
      <c r="U2855" s="400"/>
      <c r="V2855" s="400"/>
      <c r="W2855" s="732"/>
      <c r="X2855" s="167"/>
      <c r="Y2855" s="509"/>
      <c r="Z2855" s="466"/>
      <c r="AA2855" s="466"/>
      <c r="AB2855" s="466"/>
      <c r="AC2855" s="466"/>
      <c r="AD2855" s="466"/>
      <c r="AE2855" s="466"/>
      <c r="AF2855" s="466"/>
      <c r="AG2855" s="466"/>
      <c r="AH2855" s="466"/>
      <c r="AI2855" s="466"/>
      <c r="AJ2855" s="466"/>
      <c r="AK2855" s="466"/>
      <c r="AL2855" s="466"/>
      <c r="AM2855" s="466"/>
      <c r="AN2855" s="466"/>
      <c r="AO2855" s="466"/>
      <c r="AP2855" s="466"/>
      <c r="AQ2855" s="466"/>
      <c r="AR2855" s="466"/>
      <c r="AS2855" s="466"/>
      <c r="AT2855" s="466"/>
      <c r="AU2855" s="466"/>
      <c r="AV2855" s="466"/>
      <c r="AW2855" s="466"/>
      <c r="AX2855" s="466"/>
      <c r="AY2855" s="466"/>
      <c r="AZ2855" s="466"/>
      <c r="BA2855" s="466"/>
      <c r="BB2855" s="466"/>
      <c r="BC2855" s="466"/>
      <c r="BD2855" s="466"/>
      <c r="BE2855" s="467"/>
      <c r="BF2855" s="467"/>
      <c r="BG2855" s="466"/>
      <c r="BH2855" s="466"/>
      <c r="BI2855" s="467"/>
      <c r="BJ2855" s="467"/>
      <c r="BK2855" s="467"/>
      <c r="BL2855" s="467"/>
      <c r="BM2855" s="467"/>
      <c r="BN2855" s="467"/>
      <c r="BO2855" s="467"/>
      <c r="BP2855" s="467"/>
      <c r="BQ2855" s="467"/>
      <c r="BR2855" s="467"/>
      <c r="BS2855" s="467"/>
      <c r="BT2855" s="467"/>
      <c r="BU2855" s="467"/>
      <c r="BV2855" s="467"/>
      <c r="BW2855" s="467"/>
      <c r="BX2855" s="769"/>
      <c r="BY2855" s="769"/>
      <c r="BZ2855" s="769"/>
      <c r="CA2855" s="769"/>
      <c r="CB2855" s="769"/>
      <c r="CC2855" s="769"/>
      <c r="CD2855" s="769"/>
      <c r="CE2855" s="769"/>
      <c r="CF2855" s="769"/>
      <c r="CG2855" s="73"/>
      <c r="CH2855" s="438"/>
      <c r="CI2855" s="416"/>
      <c r="CJ2855" s="73"/>
      <c r="CK2855" s="650"/>
      <c r="CL2855" s="499"/>
      <c r="CM2855" s="650"/>
      <c r="CR2855" s="416"/>
      <c r="CS2855" s="650"/>
      <c r="CU2855" s="73"/>
      <c r="CV2855" s="73"/>
      <c r="CW2855" s="73"/>
      <c r="CX2855" s="73"/>
      <c r="DA2855" s="650"/>
    </row>
    <row r="2856" spans="1:105" s="45" customFormat="1" x14ac:dyDescent="0.2">
      <c r="A2856" s="650"/>
      <c r="B2856" s="438"/>
      <c r="D2856" s="73"/>
      <c r="E2856" s="650"/>
      <c r="F2856" s="650"/>
      <c r="G2856" s="73"/>
      <c r="I2856" s="111"/>
      <c r="J2856" s="81"/>
      <c r="K2856" s="81"/>
      <c r="L2856" s="499"/>
      <c r="M2856" s="73"/>
      <c r="N2856" s="499"/>
      <c r="O2856" s="73"/>
      <c r="P2856" s="73"/>
      <c r="Q2856" s="73"/>
      <c r="R2856" s="176"/>
      <c r="S2856" s="176"/>
      <c r="T2856" s="176"/>
      <c r="U2856" s="400"/>
      <c r="V2856" s="400"/>
      <c r="W2856" s="732"/>
      <c r="X2856" s="167"/>
      <c r="Y2856" s="509"/>
      <c r="Z2856" s="466"/>
      <c r="AA2856" s="466"/>
      <c r="AB2856" s="466"/>
      <c r="AC2856" s="466"/>
      <c r="AD2856" s="466"/>
      <c r="AE2856" s="466"/>
      <c r="AF2856" s="466"/>
      <c r="AG2856" s="466"/>
      <c r="AH2856" s="466"/>
      <c r="AI2856" s="466"/>
      <c r="AJ2856" s="466"/>
      <c r="AK2856" s="466"/>
      <c r="AL2856" s="466"/>
      <c r="AM2856" s="466"/>
      <c r="AN2856" s="466"/>
      <c r="AO2856" s="466"/>
      <c r="AP2856" s="466"/>
      <c r="AQ2856" s="466"/>
      <c r="AR2856" s="466"/>
      <c r="AS2856" s="466"/>
      <c r="AT2856" s="466"/>
      <c r="AU2856" s="466"/>
      <c r="AV2856" s="466"/>
      <c r="AW2856" s="466"/>
      <c r="AX2856" s="466"/>
      <c r="AY2856" s="466"/>
      <c r="AZ2856" s="466"/>
      <c r="BA2856" s="466"/>
      <c r="BB2856" s="466"/>
      <c r="BC2856" s="466"/>
      <c r="BD2856" s="466"/>
      <c r="BE2856" s="467"/>
      <c r="BF2856" s="467"/>
      <c r="BG2856" s="466"/>
      <c r="BH2856" s="466"/>
      <c r="BI2856" s="467"/>
      <c r="BJ2856" s="467"/>
      <c r="BK2856" s="467"/>
      <c r="BL2856" s="467"/>
      <c r="BM2856" s="467"/>
      <c r="BN2856" s="467"/>
      <c r="BO2856" s="467"/>
      <c r="BP2856" s="467"/>
      <c r="BQ2856" s="467"/>
      <c r="BR2856" s="467"/>
      <c r="BS2856" s="467"/>
      <c r="BT2856" s="467"/>
      <c r="BU2856" s="467"/>
      <c r="BV2856" s="467"/>
      <c r="BW2856" s="467"/>
      <c r="BX2856" s="769"/>
      <c r="BY2856" s="769"/>
      <c r="BZ2856" s="769"/>
      <c r="CA2856" s="769"/>
      <c r="CB2856" s="769"/>
      <c r="CC2856" s="769"/>
      <c r="CD2856" s="769"/>
      <c r="CE2856" s="769"/>
      <c r="CF2856" s="769"/>
      <c r="CG2856" s="73"/>
      <c r="CH2856" s="438"/>
      <c r="CI2856" s="416"/>
      <c r="CJ2856" s="73"/>
      <c r="CK2856" s="650"/>
      <c r="CL2856" s="499"/>
      <c r="CM2856" s="650"/>
      <c r="CR2856" s="416"/>
      <c r="CS2856" s="650"/>
      <c r="CU2856" s="73"/>
      <c r="CV2856" s="73"/>
      <c r="CW2856" s="73"/>
      <c r="CX2856" s="73"/>
      <c r="DA2856" s="650"/>
    </row>
    <row r="2857" spans="1:105" s="45" customFormat="1" x14ac:dyDescent="0.2">
      <c r="A2857" s="650"/>
      <c r="B2857" s="438"/>
      <c r="D2857" s="73"/>
      <c r="E2857" s="650"/>
      <c r="F2857" s="650"/>
      <c r="G2857" s="73"/>
      <c r="I2857" s="111"/>
      <c r="J2857" s="81"/>
      <c r="K2857" s="81"/>
      <c r="L2857" s="499"/>
      <c r="M2857" s="73"/>
      <c r="N2857" s="499"/>
      <c r="O2857" s="73"/>
      <c r="P2857" s="73"/>
      <c r="Q2857" s="73"/>
      <c r="R2857" s="176"/>
      <c r="S2857" s="176"/>
      <c r="T2857" s="176"/>
      <c r="U2857" s="400"/>
      <c r="V2857" s="400"/>
      <c r="W2857" s="732"/>
      <c r="X2857" s="167"/>
      <c r="Y2857" s="509"/>
      <c r="Z2857" s="466"/>
      <c r="AA2857" s="466"/>
      <c r="AB2857" s="466"/>
      <c r="AC2857" s="466"/>
      <c r="AD2857" s="466"/>
      <c r="AE2857" s="466"/>
      <c r="AF2857" s="466"/>
      <c r="AG2857" s="466"/>
      <c r="AH2857" s="466"/>
      <c r="AI2857" s="466"/>
      <c r="AJ2857" s="466"/>
      <c r="AK2857" s="466"/>
      <c r="AL2857" s="466"/>
      <c r="AM2857" s="466"/>
      <c r="AN2857" s="466"/>
      <c r="AO2857" s="466"/>
      <c r="AP2857" s="466"/>
      <c r="AQ2857" s="466"/>
      <c r="AR2857" s="466"/>
      <c r="AS2857" s="466"/>
      <c r="AT2857" s="466"/>
      <c r="AU2857" s="466"/>
      <c r="AV2857" s="466"/>
      <c r="AW2857" s="466"/>
      <c r="AX2857" s="466"/>
      <c r="AY2857" s="466"/>
      <c r="AZ2857" s="466"/>
      <c r="BA2857" s="466"/>
      <c r="BB2857" s="466"/>
      <c r="BC2857" s="466"/>
      <c r="BD2857" s="466"/>
      <c r="BE2857" s="467"/>
      <c r="BF2857" s="467"/>
      <c r="BG2857" s="466"/>
      <c r="BH2857" s="466"/>
      <c r="BI2857" s="467"/>
      <c r="BJ2857" s="467"/>
      <c r="BK2857" s="467"/>
      <c r="BL2857" s="467"/>
      <c r="BM2857" s="467"/>
      <c r="BN2857" s="467"/>
      <c r="BO2857" s="467"/>
      <c r="BP2857" s="467"/>
      <c r="BQ2857" s="467"/>
      <c r="BR2857" s="467"/>
      <c r="BS2857" s="467"/>
      <c r="BT2857" s="467"/>
      <c r="BU2857" s="467"/>
      <c r="BV2857" s="467"/>
      <c r="BW2857" s="467"/>
      <c r="BX2857" s="769"/>
      <c r="BY2857" s="769"/>
      <c r="BZ2857" s="769"/>
      <c r="CA2857" s="769"/>
      <c r="CB2857" s="769"/>
      <c r="CC2857" s="769"/>
      <c r="CD2857" s="769"/>
      <c r="CE2857" s="769"/>
      <c r="CF2857" s="769"/>
      <c r="CG2857" s="73"/>
      <c r="CH2857" s="438"/>
      <c r="CI2857" s="416"/>
      <c r="CJ2857" s="73"/>
      <c r="CK2857" s="650"/>
      <c r="CL2857" s="499"/>
      <c r="CM2857" s="650"/>
      <c r="CR2857" s="416"/>
      <c r="CS2857" s="650"/>
      <c r="CU2857" s="73"/>
      <c r="CV2857" s="73"/>
      <c r="CW2857" s="73"/>
      <c r="CX2857" s="73"/>
      <c r="DA2857" s="650"/>
    </row>
    <row r="2858" spans="1:105" s="45" customFormat="1" x14ac:dyDescent="0.2">
      <c r="A2858" s="650"/>
      <c r="B2858" s="438"/>
      <c r="D2858" s="73"/>
      <c r="E2858" s="650"/>
      <c r="F2858" s="650"/>
      <c r="G2858" s="73"/>
      <c r="I2858" s="111"/>
      <c r="J2858" s="81"/>
      <c r="K2858" s="81"/>
      <c r="L2858" s="499"/>
      <c r="M2858" s="73"/>
      <c r="N2858" s="499"/>
      <c r="O2858" s="73"/>
      <c r="P2858" s="73"/>
      <c r="Q2858" s="73"/>
      <c r="R2858" s="176"/>
      <c r="S2858" s="176"/>
      <c r="T2858" s="176"/>
      <c r="U2858" s="400"/>
      <c r="V2858" s="400"/>
      <c r="W2858" s="732"/>
      <c r="X2858" s="167"/>
      <c r="Y2858" s="509"/>
      <c r="Z2858" s="466"/>
      <c r="AA2858" s="466"/>
      <c r="AB2858" s="466"/>
      <c r="AC2858" s="466"/>
      <c r="AD2858" s="466"/>
      <c r="AE2858" s="466"/>
      <c r="AF2858" s="466"/>
      <c r="AG2858" s="466"/>
      <c r="AH2858" s="466"/>
      <c r="AI2858" s="466"/>
      <c r="AJ2858" s="466"/>
      <c r="AK2858" s="466"/>
      <c r="AL2858" s="466"/>
      <c r="AM2858" s="466"/>
      <c r="AN2858" s="466"/>
      <c r="AO2858" s="466"/>
      <c r="AP2858" s="466"/>
      <c r="AQ2858" s="466"/>
      <c r="AR2858" s="466"/>
      <c r="AS2858" s="466"/>
      <c r="AT2858" s="466"/>
      <c r="AU2858" s="466"/>
      <c r="AV2858" s="466"/>
      <c r="AW2858" s="466"/>
      <c r="AX2858" s="466"/>
      <c r="AY2858" s="466"/>
      <c r="AZ2858" s="466"/>
      <c r="BA2858" s="466"/>
      <c r="BB2858" s="466"/>
      <c r="BC2858" s="466"/>
      <c r="BD2858" s="466"/>
      <c r="BE2858" s="467"/>
      <c r="BF2858" s="467"/>
      <c r="BG2858" s="466"/>
      <c r="BH2858" s="466"/>
      <c r="BI2858" s="467"/>
      <c r="BJ2858" s="467"/>
      <c r="BK2858" s="467"/>
      <c r="BL2858" s="467"/>
      <c r="BM2858" s="467"/>
      <c r="BN2858" s="467"/>
      <c r="BO2858" s="467"/>
      <c r="BP2858" s="467"/>
      <c r="BQ2858" s="467"/>
      <c r="BR2858" s="467"/>
      <c r="BS2858" s="467"/>
      <c r="BT2858" s="467"/>
      <c r="BU2858" s="467"/>
      <c r="BV2858" s="467"/>
      <c r="BW2858" s="467"/>
      <c r="BX2858" s="769"/>
      <c r="BY2858" s="769"/>
      <c r="BZ2858" s="769"/>
      <c r="CA2858" s="769"/>
      <c r="CB2858" s="769"/>
      <c r="CC2858" s="769"/>
      <c r="CD2858" s="769"/>
      <c r="CE2858" s="769"/>
      <c r="CF2858" s="769"/>
      <c r="CG2858" s="73"/>
      <c r="CH2858" s="438"/>
      <c r="CI2858" s="416"/>
      <c r="CJ2858" s="73"/>
      <c r="CK2858" s="650"/>
      <c r="CL2858" s="499"/>
      <c r="CM2858" s="650"/>
      <c r="CR2858" s="416"/>
      <c r="CS2858" s="650"/>
      <c r="CU2858" s="73"/>
      <c r="CV2858" s="73"/>
      <c r="CW2858" s="73"/>
      <c r="CX2858" s="73"/>
      <c r="DA2858" s="650"/>
    </row>
    <row r="2859" spans="1:105" s="45" customFormat="1" x14ac:dyDescent="0.2">
      <c r="A2859" s="650"/>
      <c r="B2859" s="438"/>
      <c r="D2859" s="73"/>
      <c r="E2859" s="650"/>
      <c r="F2859" s="650"/>
      <c r="G2859" s="73"/>
      <c r="I2859" s="111"/>
      <c r="J2859" s="81"/>
      <c r="K2859" s="81"/>
      <c r="L2859" s="499"/>
      <c r="M2859" s="73"/>
      <c r="N2859" s="499"/>
      <c r="O2859" s="73"/>
      <c r="P2859" s="73"/>
      <c r="Q2859" s="73"/>
      <c r="R2859" s="176"/>
      <c r="S2859" s="176"/>
      <c r="T2859" s="176"/>
      <c r="U2859" s="400"/>
      <c r="V2859" s="400"/>
      <c r="W2859" s="732"/>
      <c r="X2859" s="167"/>
      <c r="Y2859" s="509"/>
      <c r="Z2859" s="466"/>
      <c r="AA2859" s="466"/>
      <c r="AB2859" s="466"/>
      <c r="AC2859" s="466"/>
      <c r="AD2859" s="466"/>
      <c r="AE2859" s="466"/>
      <c r="AF2859" s="466"/>
      <c r="AG2859" s="466"/>
      <c r="AH2859" s="466"/>
      <c r="AI2859" s="466"/>
      <c r="AJ2859" s="466"/>
      <c r="AK2859" s="466"/>
      <c r="AL2859" s="466"/>
      <c r="AM2859" s="466"/>
      <c r="AN2859" s="466"/>
      <c r="AO2859" s="466"/>
      <c r="AP2859" s="466"/>
      <c r="AQ2859" s="466"/>
      <c r="AR2859" s="466"/>
      <c r="AS2859" s="466"/>
      <c r="AT2859" s="466"/>
      <c r="AU2859" s="466"/>
      <c r="AV2859" s="466"/>
      <c r="AW2859" s="466"/>
      <c r="AX2859" s="466"/>
      <c r="AY2859" s="466"/>
      <c r="AZ2859" s="466"/>
      <c r="BA2859" s="466"/>
      <c r="BB2859" s="466"/>
      <c r="BC2859" s="466"/>
      <c r="BD2859" s="466"/>
      <c r="BE2859" s="467"/>
      <c r="BF2859" s="467"/>
      <c r="BG2859" s="466"/>
      <c r="BH2859" s="466"/>
      <c r="BI2859" s="467"/>
      <c r="BJ2859" s="467"/>
      <c r="BK2859" s="467"/>
      <c r="BL2859" s="467"/>
      <c r="BM2859" s="467"/>
      <c r="BN2859" s="467"/>
      <c r="BO2859" s="467"/>
      <c r="BP2859" s="467"/>
      <c r="BQ2859" s="467"/>
      <c r="BR2859" s="467"/>
      <c r="BS2859" s="467"/>
      <c r="BT2859" s="467"/>
      <c r="BU2859" s="467"/>
      <c r="BV2859" s="467"/>
      <c r="BW2859" s="467"/>
      <c r="BX2859" s="769"/>
      <c r="BY2859" s="769"/>
      <c r="BZ2859" s="769"/>
      <c r="CA2859" s="769"/>
      <c r="CB2859" s="769"/>
      <c r="CC2859" s="769"/>
      <c r="CD2859" s="769"/>
      <c r="CE2859" s="769"/>
      <c r="CF2859" s="769"/>
      <c r="CG2859" s="73"/>
      <c r="CH2859" s="438"/>
      <c r="CI2859" s="416"/>
      <c r="CJ2859" s="73"/>
      <c r="CK2859" s="650"/>
      <c r="CL2859" s="499"/>
      <c r="CM2859" s="650"/>
      <c r="CR2859" s="416"/>
      <c r="CS2859" s="650"/>
      <c r="CU2859" s="73"/>
      <c r="CV2859" s="73"/>
      <c r="CW2859" s="73"/>
      <c r="CX2859" s="73"/>
      <c r="DA2859" s="650"/>
    </row>
    <row r="2860" spans="1:105" s="45" customFormat="1" x14ac:dyDescent="0.2">
      <c r="A2860" s="650"/>
      <c r="B2860" s="438"/>
      <c r="D2860" s="73"/>
      <c r="E2860" s="650"/>
      <c r="F2860" s="650"/>
      <c r="G2860" s="73"/>
      <c r="I2860" s="111"/>
      <c r="J2860" s="81"/>
      <c r="K2860" s="81"/>
      <c r="L2860" s="499"/>
      <c r="M2860" s="73"/>
      <c r="N2860" s="499"/>
      <c r="O2860" s="73"/>
      <c r="P2860" s="73"/>
      <c r="Q2860" s="73"/>
      <c r="R2860" s="176"/>
      <c r="S2860" s="176"/>
      <c r="T2860" s="176"/>
      <c r="U2860" s="400"/>
      <c r="V2860" s="400"/>
      <c r="W2860" s="732"/>
      <c r="X2860" s="167"/>
      <c r="Y2860" s="509"/>
      <c r="Z2860" s="466"/>
      <c r="AA2860" s="466"/>
      <c r="AB2860" s="466"/>
      <c r="AC2860" s="466"/>
      <c r="AD2860" s="466"/>
      <c r="AE2860" s="466"/>
      <c r="AF2860" s="466"/>
      <c r="AG2860" s="466"/>
      <c r="AH2860" s="466"/>
      <c r="AI2860" s="466"/>
      <c r="AJ2860" s="466"/>
      <c r="AK2860" s="466"/>
      <c r="AL2860" s="466"/>
      <c r="AM2860" s="466"/>
      <c r="AN2860" s="466"/>
      <c r="AO2860" s="466"/>
      <c r="AP2860" s="466"/>
      <c r="AQ2860" s="466"/>
      <c r="AR2860" s="466"/>
      <c r="AS2860" s="466"/>
      <c r="AT2860" s="466"/>
      <c r="AU2860" s="466"/>
      <c r="AV2860" s="466"/>
      <c r="AW2860" s="466"/>
      <c r="AX2860" s="466"/>
      <c r="AY2860" s="466"/>
      <c r="AZ2860" s="466"/>
      <c r="BA2860" s="466"/>
      <c r="BB2860" s="466"/>
      <c r="BC2860" s="466"/>
      <c r="BD2860" s="466"/>
      <c r="BE2860" s="467"/>
      <c r="BF2860" s="467"/>
      <c r="BG2860" s="466"/>
      <c r="BH2860" s="466"/>
      <c r="BI2860" s="467"/>
      <c r="BJ2860" s="467"/>
      <c r="BK2860" s="467"/>
      <c r="BL2860" s="467"/>
      <c r="BM2860" s="467"/>
      <c r="BN2860" s="467"/>
      <c r="BO2860" s="467"/>
      <c r="BP2860" s="467"/>
      <c r="BQ2860" s="467"/>
      <c r="BR2860" s="467"/>
      <c r="BS2860" s="467"/>
      <c r="BT2860" s="467"/>
      <c r="BU2860" s="467"/>
      <c r="BV2860" s="467"/>
      <c r="BW2860" s="467"/>
      <c r="BX2860" s="769"/>
      <c r="BY2860" s="769"/>
      <c r="BZ2860" s="769"/>
      <c r="CA2860" s="769"/>
      <c r="CB2860" s="769"/>
      <c r="CC2860" s="769"/>
      <c r="CD2860" s="769"/>
      <c r="CE2860" s="769"/>
      <c r="CF2860" s="769"/>
      <c r="CG2860" s="73"/>
      <c r="CH2860" s="438"/>
      <c r="CI2860" s="416"/>
      <c r="CJ2860" s="73"/>
      <c r="CK2860" s="650"/>
      <c r="CL2860" s="499"/>
      <c r="CM2860" s="650"/>
      <c r="CR2860" s="416"/>
      <c r="CS2860" s="650"/>
      <c r="CU2860" s="73"/>
      <c r="CV2860" s="73"/>
      <c r="CW2860" s="73"/>
      <c r="CX2860" s="73"/>
      <c r="DA2860" s="650"/>
    </row>
    <row r="2861" spans="1:105" s="45" customFormat="1" x14ac:dyDescent="0.2">
      <c r="A2861" s="650"/>
      <c r="B2861" s="438"/>
      <c r="D2861" s="73"/>
      <c r="E2861" s="650"/>
      <c r="F2861" s="650"/>
      <c r="G2861" s="73"/>
      <c r="I2861" s="111"/>
      <c r="J2861" s="81"/>
      <c r="K2861" s="81"/>
      <c r="L2861" s="499"/>
      <c r="M2861" s="73"/>
      <c r="N2861" s="499"/>
      <c r="O2861" s="73"/>
      <c r="P2861" s="73"/>
      <c r="Q2861" s="73"/>
      <c r="R2861" s="176"/>
      <c r="S2861" s="176"/>
      <c r="T2861" s="176"/>
      <c r="U2861" s="400"/>
      <c r="V2861" s="400"/>
      <c r="W2861" s="732"/>
      <c r="X2861" s="167"/>
      <c r="Y2861" s="509"/>
      <c r="Z2861" s="466"/>
      <c r="AA2861" s="466"/>
      <c r="AB2861" s="466"/>
      <c r="AC2861" s="466"/>
      <c r="AD2861" s="466"/>
      <c r="AE2861" s="466"/>
      <c r="AF2861" s="466"/>
      <c r="AG2861" s="466"/>
      <c r="AH2861" s="466"/>
      <c r="AI2861" s="466"/>
      <c r="AJ2861" s="466"/>
      <c r="AK2861" s="466"/>
      <c r="AL2861" s="466"/>
      <c r="AM2861" s="466"/>
      <c r="AN2861" s="466"/>
      <c r="AO2861" s="466"/>
      <c r="AP2861" s="466"/>
      <c r="AQ2861" s="466"/>
      <c r="AR2861" s="466"/>
      <c r="AS2861" s="466"/>
      <c r="AT2861" s="466"/>
      <c r="AU2861" s="466"/>
      <c r="AV2861" s="466"/>
      <c r="AW2861" s="466"/>
      <c r="AX2861" s="466"/>
      <c r="AY2861" s="466"/>
      <c r="AZ2861" s="466"/>
      <c r="BA2861" s="466"/>
      <c r="BB2861" s="466"/>
      <c r="BC2861" s="466"/>
      <c r="BD2861" s="466"/>
      <c r="BE2861" s="467"/>
      <c r="BF2861" s="467"/>
      <c r="BG2861" s="466"/>
      <c r="BH2861" s="466"/>
      <c r="BI2861" s="467"/>
      <c r="BJ2861" s="467"/>
      <c r="BK2861" s="467"/>
      <c r="BL2861" s="467"/>
      <c r="BM2861" s="467"/>
      <c r="BN2861" s="467"/>
      <c r="BO2861" s="467"/>
      <c r="BP2861" s="467"/>
      <c r="BQ2861" s="467"/>
      <c r="BR2861" s="467"/>
      <c r="BS2861" s="467"/>
      <c r="BT2861" s="467"/>
      <c r="BU2861" s="467"/>
      <c r="BV2861" s="467"/>
      <c r="BW2861" s="467"/>
      <c r="BX2861" s="769"/>
      <c r="BY2861" s="769"/>
      <c r="BZ2861" s="769"/>
      <c r="CA2861" s="769"/>
      <c r="CB2861" s="769"/>
      <c r="CC2861" s="769"/>
      <c r="CD2861" s="769"/>
      <c r="CE2861" s="769"/>
      <c r="CF2861" s="769"/>
      <c r="CG2861" s="73"/>
      <c r="CH2861" s="438"/>
      <c r="CI2861" s="416"/>
      <c r="CJ2861" s="73"/>
      <c r="CK2861" s="650"/>
      <c r="CL2861" s="499"/>
      <c r="CM2861" s="650"/>
      <c r="CR2861" s="416"/>
      <c r="CS2861" s="650"/>
      <c r="CU2861" s="73"/>
      <c r="CV2861" s="73"/>
      <c r="CW2861" s="73"/>
      <c r="CX2861" s="73"/>
      <c r="DA2861" s="650"/>
    </row>
    <row r="2862" spans="1:105" s="45" customFormat="1" x14ac:dyDescent="0.2">
      <c r="A2862" s="650"/>
      <c r="B2862" s="438"/>
      <c r="D2862" s="73"/>
      <c r="E2862" s="650"/>
      <c r="F2862" s="650"/>
      <c r="G2862" s="73"/>
      <c r="I2862" s="111"/>
      <c r="J2862" s="81"/>
      <c r="K2862" s="81"/>
      <c r="L2862" s="499"/>
      <c r="M2862" s="73"/>
      <c r="N2862" s="499"/>
      <c r="O2862" s="73"/>
      <c r="P2862" s="73"/>
      <c r="Q2862" s="73"/>
      <c r="R2862" s="176"/>
      <c r="S2862" s="176"/>
      <c r="T2862" s="176"/>
      <c r="U2862" s="400"/>
      <c r="V2862" s="400"/>
      <c r="W2862" s="732"/>
      <c r="X2862" s="167"/>
      <c r="Y2862" s="509"/>
      <c r="Z2862" s="466"/>
      <c r="AA2862" s="466"/>
      <c r="AB2862" s="466"/>
      <c r="AC2862" s="466"/>
      <c r="AD2862" s="466"/>
      <c r="AE2862" s="466"/>
      <c r="AF2862" s="466"/>
      <c r="AG2862" s="466"/>
      <c r="AH2862" s="466"/>
      <c r="AI2862" s="466"/>
      <c r="AJ2862" s="466"/>
      <c r="AK2862" s="466"/>
      <c r="AL2862" s="466"/>
      <c r="AM2862" s="466"/>
      <c r="AN2862" s="466"/>
      <c r="AO2862" s="466"/>
      <c r="AP2862" s="466"/>
      <c r="AQ2862" s="466"/>
      <c r="AR2862" s="466"/>
      <c r="AS2862" s="466"/>
      <c r="AT2862" s="466"/>
      <c r="AU2862" s="466"/>
      <c r="AV2862" s="466"/>
      <c r="AW2862" s="466"/>
      <c r="AX2862" s="466"/>
      <c r="AY2862" s="466"/>
      <c r="AZ2862" s="466"/>
      <c r="BA2862" s="466"/>
      <c r="BB2862" s="466"/>
      <c r="BC2862" s="466"/>
      <c r="BD2862" s="466"/>
      <c r="BE2862" s="467"/>
      <c r="BF2862" s="467"/>
      <c r="BG2862" s="466"/>
      <c r="BH2862" s="466"/>
      <c r="BI2862" s="467"/>
      <c r="BJ2862" s="467"/>
      <c r="BK2862" s="467"/>
      <c r="BL2862" s="467"/>
      <c r="BM2862" s="467"/>
      <c r="BN2862" s="467"/>
      <c r="BO2862" s="467"/>
      <c r="BP2862" s="467"/>
      <c r="BQ2862" s="467"/>
      <c r="BR2862" s="467"/>
      <c r="BS2862" s="467"/>
      <c r="BT2862" s="467"/>
      <c r="BU2862" s="467"/>
      <c r="BV2862" s="467"/>
      <c r="BW2862" s="467"/>
      <c r="BX2862" s="769"/>
      <c r="BY2862" s="769"/>
      <c r="BZ2862" s="769"/>
      <c r="CA2862" s="769"/>
      <c r="CB2862" s="769"/>
      <c r="CC2862" s="769"/>
      <c r="CD2862" s="769"/>
      <c r="CE2862" s="769"/>
      <c r="CF2862" s="769"/>
      <c r="CG2862" s="73"/>
      <c r="CH2862" s="438"/>
      <c r="CI2862" s="416"/>
      <c r="CJ2862" s="73"/>
      <c r="CK2862" s="650"/>
      <c r="CL2862" s="499"/>
      <c r="CM2862" s="650"/>
      <c r="CR2862" s="416"/>
      <c r="CS2862" s="650"/>
      <c r="CU2862" s="73"/>
      <c r="CV2862" s="73"/>
      <c r="CW2862" s="73"/>
      <c r="CX2862" s="73"/>
      <c r="DA2862" s="650"/>
    </row>
    <row r="2863" spans="1:105" s="45" customFormat="1" x14ac:dyDescent="0.2">
      <c r="A2863" s="650"/>
      <c r="B2863" s="438"/>
      <c r="D2863" s="73"/>
      <c r="E2863" s="650"/>
      <c r="F2863" s="650"/>
      <c r="G2863" s="73"/>
      <c r="I2863" s="111"/>
      <c r="J2863" s="81"/>
      <c r="K2863" s="81"/>
      <c r="L2863" s="499"/>
      <c r="M2863" s="73"/>
      <c r="N2863" s="499"/>
      <c r="O2863" s="73"/>
      <c r="P2863" s="73"/>
      <c r="Q2863" s="73"/>
      <c r="R2863" s="176"/>
      <c r="S2863" s="176"/>
      <c r="T2863" s="176"/>
      <c r="U2863" s="400"/>
      <c r="V2863" s="400"/>
      <c r="W2863" s="732"/>
      <c r="X2863" s="167"/>
      <c r="Y2863" s="509"/>
      <c r="Z2863" s="466"/>
      <c r="AA2863" s="466"/>
      <c r="AB2863" s="466"/>
      <c r="AC2863" s="466"/>
      <c r="AD2863" s="466"/>
      <c r="AE2863" s="466"/>
      <c r="AF2863" s="466"/>
      <c r="AG2863" s="466"/>
      <c r="AH2863" s="466"/>
      <c r="AI2863" s="466"/>
      <c r="AJ2863" s="466"/>
      <c r="AK2863" s="466"/>
      <c r="AL2863" s="466"/>
      <c r="AM2863" s="466"/>
      <c r="AN2863" s="466"/>
      <c r="AO2863" s="466"/>
      <c r="AP2863" s="466"/>
      <c r="AQ2863" s="466"/>
      <c r="AR2863" s="466"/>
      <c r="AS2863" s="466"/>
      <c r="AT2863" s="466"/>
      <c r="AU2863" s="466"/>
      <c r="AV2863" s="466"/>
      <c r="AW2863" s="466"/>
      <c r="AX2863" s="466"/>
      <c r="AY2863" s="466"/>
      <c r="AZ2863" s="466"/>
      <c r="BA2863" s="466"/>
      <c r="BB2863" s="466"/>
      <c r="BC2863" s="466"/>
      <c r="BD2863" s="466"/>
      <c r="BE2863" s="467"/>
      <c r="BF2863" s="467"/>
      <c r="BG2863" s="466"/>
      <c r="BH2863" s="466"/>
      <c r="BI2863" s="467"/>
      <c r="BJ2863" s="467"/>
      <c r="BK2863" s="467"/>
      <c r="BL2863" s="467"/>
      <c r="BM2863" s="467"/>
      <c r="BN2863" s="467"/>
      <c r="BO2863" s="467"/>
      <c r="BP2863" s="467"/>
      <c r="BQ2863" s="467"/>
      <c r="BR2863" s="467"/>
      <c r="BS2863" s="467"/>
      <c r="BT2863" s="467"/>
      <c r="BU2863" s="467"/>
      <c r="BV2863" s="467"/>
      <c r="BW2863" s="467"/>
      <c r="BX2863" s="769"/>
      <c r="BY2863" s="769"/>
      <c r="BZ2863" s="769"/>
      <c r="CA2863" s="769"/>
      <c r="CB2863" s="769"/>
      <c r="CC2863" s="769"/>
      <c r="CD2863" s="769"/>
      <c r="CE2863" s="769"/>
      <c r="CF2863" s="769"/>
      <c r="CG2863" s="73"/>
      <c r="CH2863" s="438"/>
      <c r="CI2863" s="416"/>
      <c r="CJ2863" s="73"/>
      <c r="CK2863" s="650"/>
      <c r="CL2863" s="499"/>
      <c r="CM2863" s="650"/>
      <c r="CR2863" s="416"/>
      <c r="CS2863" s="650"/>
      <c r="CU2863" s="73"/>
      <c r="CV2863" s="73"/>
      <c r="CW2863" s="73"/>
      <c r="CX2863" s="73"/>
      <c r="DA2863" s="650"/>
    </row>
    <row r="2864" spans="1:105" s="45" customFormat="1" x14ac:dyDescent="0.2">
      <c r="A2864" s="650"/>
      <c r="B2864" s="438"/>
      <c r="D2864" s="73"/>
      <c r="E2864" s="650"/>
      <c r="F2864" s="650"/>
      <c r="G2864" s="73"/>
      <c r="I2864" s="111"/>
      <c r="J2864" s="81"/>
      <c r="K2864" s="81"/>
      <c r="L2864" s="499"/>
      <c r="M2864" s="73"/>
      <c r="N2864" s="499"/>
      <c r="O2864" s="73"/>
      <c r="P2864" s="73"/>
      <c r="Q2864" s="73"/>
      <c r="R2864" s="176"/>
      <c r="S2864" s="176"/>
      <c r="T2864" s="176"/>
      <c r="U2864" s="400"/>
      <c r="V2864" s="400"/>
      <c r="W2864" s="732"/>
      <c r="X2864" s="167"/>
      <c r="Y2864" s="509"/>
      <c r="Z2864" s="466"/>
      <c r="AA2864" s="466"/>
      <c r="AB2864" s="466"/>
      <c r="AC2864" s="466"/>
      <c r="AD2864" s="466"/>
      <c r="AE2864" s="466"/>
      <c r="AF2864" s="466"/>
      <c r="AG2864" s="466"/>
      <c r="AH2864" s="466"/>
      <c r="AI2864" s="466"/>
      <c r="AJ2864" s="466"/>
      <c r="AK2864" s="466"/>
      <c r="AL2864" s="466"/>
      <c r="AM2864" s="466"/>
      <c r="AN2864" s="466"/>
      <c r="AO2864" s="466"/>
      <c r="AP2864" s="466"/>
      <c r="AQ2864" s="466"/>
      <c r="AR2864" s="466"/>
      <c r="AS2864" s="466"/>
      <c r="AT2864" s="466"/>
      <c r="AU2864" s="466"/>
      <c r="AV2864" s="466"/>
      <c r="AW2864" s="466"/>
      <c r="AX2864" s="466"/>
      <c r="AY2864" s="466"/>
      <c r="AZ2864" s="466"/>
      <c r="BA2864" s="466"/>
      <c r="BB2864" s="466"/>
      <c r="BC2864" s="466"/>
      <c r="BD2864" s="466"/>
      <c r="BE2864" s="467"/>
      <c r="BF2864" s="467"/>
      <c r="BG2864" s="466"/>
      <c r="BH2864" s="466"/>
      <c r="BI2864" s="467"/>
      <c r="BJ2864" s="467"/>
      <c r="BK2864" s="467"/>
      <c r="BL2864" s="467"/>
      <c r="BM2864" s="467"/>
      <c r="BN2864" s="467"/>
      <c r="BO2864" s="467"/>
      <c r="BP2864" s="467"/>
      <c r="BQ2864" s="467"/>
      <c r="BR2864" s="467"/>
      <c r="BS2864" s="467"/>
      <c r="BT2864" s="467"/>
      <c r="BU2864" s="467"/>
      <c r="BV2864" s="467"/>
      <c r="BW2864" s="467"/>
      <c r="BX2864" s="769"/>
      <c r="BY2864" s="769"/>
      <c r="BZ2864" s="769"/>
      <c r="CA2864" s="769"/>
      <c r="CB2864" s="769"/>
      <c r="CC2864" s="769"/>
      <c r="CD2864" s="769"/>
      <c r="CE2864" s="769"/>
      <c r="CF2864" s="769"/>
      <c r="CG2864" s="73"/>
      <c r="CH2864" s="438"/>
      <c r="CI2864" s="416"/>
      <c r="CJ2864" s="73"/>
      <c r="CK2864" s="650"/>
      <c r="CL2864" s="499"/>
      <c r="CM2864" s="650"/>
      <c r="CR2864" s="416"/>
      <c r="CS2864" s="650"/>
      <c r="CU2864" s="73"/>
      <c r="CV2864" s="73"/>
      <c r="CW2864" s="73"/>
      <c r="CX2864" s="73"/>
      <c r="DA2864" s="650"/>
    </row>
    <row r="2865" spans="1:105" s="45" customFormat="1" x14ac:dyDescent="0.2">
      <c r="A2865" s="650"/>
      <c r="B2865" s="438"/>
      <c r="D2865" s="73"/>
      <c r="E2865" s="650"/>
      <c r="F2865" s="650"/>
      <c r="G2865" s="73"/>
      <c r="I2865" s="111"/>
      <c r="J2865" s="81"/>
      <c r="K2865" s="81"/>
      <c r="L2865" s="499"/>
      <c r="M2865" s="73"/>
      <c r="N2865" s="499"/>
      <c r="O2865" s="73"/>
      <c r="P2865" s="73"/>
      <c r="Q2865" s="73"/>
      <c r="R2865" s="176"/>
      <c r="S2865" s="176"/>
      <c r="T2865" s="176"/>
      <c r="U2865" s="400"/>
      <c r="V2865" s="400"/>
      <c r="W2865" s="732"/>
      <c r="X2865" s="167"/>
      <c r="Y2865" s="509"/>
      <c r="Z2865" s="466"/>
      <c r="AA2865" s="466"/>
      <c r="AB2865" s="466"/>
      <c r="AC2865" s="466"/>
      <c r="AD2865" s="466"/>
      <c r="AE2865" s="466"/>
      <c r="AF2865" s="466"/>
      <c r="AG2865" s="466"/>
      <c r="AH2865" s="466"/>
      <c r="AI2865" s="466"/>
      <c r="AJ2865" s="466"/>
      <c r="AK2865" s="466"/>
      <c r="AL2865" s="466"/>
      <c r="AM2865" s="466"/>
      <c r="AN2865" s="466"/>
      <c r="AO2865" s="466"/>
      <c r="AP2865" s="466"/>
      <c r="AQ2865" s="466"/>
      <c r="AR2865" s="466"/>
      <c r="AS2865" s="466"/>
      <c r="AT2865" s="466"/>
      <c r="AU2865" s="466"/>
      <c r="AV2865" s="466"/>
      <c r="AW2865" s="466"/>
      <c r="AX2865" s="466"/>
      <c r="AY2865" s="466"/>
      <c r="AZ2865" s="466"/>
      <c r="BA2865" s="466"/>
      <c r="BB2865" s="466"/>
      <c r="BC2865" s="466"/>
      <c r="BD2865" s="466"/>
      <c r="BE2865" s="467"/>
      <c r="BF2865" s="467"/>
      <c r="BG2865" s="466"/>
      <c r="BH2865" s="466"/>
      <c r="BI2865" s="467"/>
      <c r="BJ2865" s="467"/>
      <c r="BK2865" s="467"/>
      <c r="BL2865" s="467"/>
      <c r="BM2865" s="467"/>
      <c r="BN2865" s="467"/>
      <c r="BO2865" s="467"/>
      <c r="BP2865" s="467"/>
      <c r="BQ2865" s="467"/>
      <c r="BR2865" s="467"/>
      <c r="BS2865" s="467"/>
      <c r="BT2865" s="467"/>
      <c r="BU2865" s="467"/>
      <c r="BV2865" s="467"/>
      <c r="BW2865" s="467"/>
      <c r="BX2865" s="769"/>
      <c r="BY2865" s="769"/>
      <c r="BZ2865" s="769"/>
      <c r="CA2865" s="769"/>
      <c r="CB2865" s="769"/>
      <c r="CC2865" s="769"/>
      <c r="CD2865" s="769"/>
      <c r="CE2865" s="769"/>
      <c r="CF2865" s="769"/>
      <c r="CG2865" s="73"/>
      <c r="CH2865" s="438"/>
      <c r="CI2865" s="416"/>
      <c r="CJ2865" s="73"/>
      <c r="CK2865" s="650"/>
      <c r="CL2865" s="499"/>
      <c r="CM2865" s="650"/>
      <c r="CR2865" s="416"/>
      <c r="CS2865" s="650"/>
      <c r="CU2865" s="73"/>
      <c r="CV2865" s="73"/>
      <c r="CW2865" s="73"/>
      <c r="CX2865" s="73"/>
      <c r="DA2865" s="650"/>
    </row>
    <row r="2866" spans="1:105" s="45" customFormat="1" x14ac:dyDescent="0.2">
      <c r="A2866" s="650"/>
      <c r="B2866" s="438"/>
      <c r="D2866" s="73"/>
      <c r="E2866" s="650"/>
      <c r="F2866" s="650"/>
      <c r="G2866" s="73"/>
      <c r="I2866" s="111"/>
      <c r="J2866" s="81"/>
      <c r="K2866" s="81"/>
      <c r="L2866" s="499"/>
      <c r="M2866" s="73"/>
      <c r="N2866" s="499"/>
      <c r="O2866" s="73"/>
      <c r="P2866" s="73"/>
      <c r="Q2866" s="73"/>
      <c r="R2866" s="176"/>
      <c r="S2866" s="176"/>
      <c r="T2866" s="176"/>
      <c r="U2866" s="400"/>
      <c r="V2866" s="400"/>
      <c r="W2866" s="732"/>
      <c r="X2866" s="167"/>
      <c r="Y2866" s="509"/>
      <c r="Z2866" s="466"/>
      <c r="AA2866" s="466"/>
      <c r="AB2866" s="466"/>
      <c r="AC2866" s="466"/>
      <c r="AD2866" s="466"/>
      <c r="AE2866" s="466"/>
      <c r="AF2866" s="466"/>
      <c r="AG2866" s="466"/>
      <c r="AH2866" s="466"/>
      <c r="AI2866" s="466"/>
      <c r="AJ2866" s="466"/>
      <c r="AK2866" s="466"/>
      <c r="AL2866" s="466"/>
      <c r="AM2866" s="466"/>
      <c r="AN2866" s="466"/>
      <c r="AO2866" s="466"/>
      <c r="AP2866" s="466"/>
      <c r="AQ2866" s="466"/>
      <c r="AR2866" s="466"/>
      <c r="AS2866" s="466"/>
      <c r="AT2866" s="466"/>
      <c r="AU2866" s="466"/>
      <c r="AV2866" s="466"/>
      <c r="AW2866" s="466"/>
      <c r="AX2866" s="466"/>
      <c r="AY2866" s="466"/>
      <c r="AZ2866" s="466"/>
      <c r="BA2866" s="466"/>
      <c r="BB2866" s="466"/>
      <c r="BC2866" s="466"/>
      <c r="BD2866" s="466"/>
      <c r="BE2866" s="467"/>
      <c r="BF2866" s="467"/>
      <c r="BG2866" s="466"/>
      <c r="BH2866" s="466"/>
      <c r="BI2866" s="467"/>
      <c r="BJ2866" s="467"/>
      <c r="BK2866" s="467"/>
      <c r="BL2866" s="467"/>
      <c r="BM2866" s="467"/>
      <c r="BN2866" s="467"/>
      <c r="BO2866" s="467"/>
      <c r="BP2866" s="467"/>
      <c r="BQ2866" s="467"/>
      <c r="BR2866" s="467"/>
      <c r="BS2866" s="467"/>
      <c r="BT2866" s="467"/>
      <c r="BU2866" s="467"/>
      <c r="BV2866" s="467"/>
      <c r="BW2866" s="467"/>
      <c r="BX2866" s="769"/>
      <c r="BY2866" s="769"/>
      <c r="BZ2866" s="769"/>
      <c r="CA2866" s="769"/>
      <c r="CB2866" s="769"/>
      <c r="CC2866" s="769"/>
      <c r="CD2866" s="769"/>
      <c r="CE2866" s="769"/>
      <c r="CF2866" s="769"/>
      <c r="CG2866" s="73"/>
      <c r="CH2866" s="438"/>
      <c r="CI2866" s="416"/>
      <c r="CJ2866" s="73"/>
      <c r="CK2866" s="650"/>
      <c r="CL2866" s="499"/>
      <c r="CM2866" s="650"/>
      <c r="CR2866" s="416"/>
      <c r="CS2866" s="650"/>
      <c r="CU2866" s="73"/>
      <c r="CV2866" s="73"/>
      <c r="CW2866" s="73"/>
      <c r="CX2866" s="73"/>
      <c r="DA2866" s="650"/>
    </row>
    <row r="2867" spans="1:105" s="45" customFormat="1" x14ac:dyDescent="0.2">
      <c r="A2867" s="650"/>
      <c r="B2867" s="438"/>
      <c r="D2867" s="73"/>
      <c r="E2867" s="650"/>
      <c r="F2867" s="650"/>
      <c r="G2867" s="73"/>
      <c r="I2867" s="111"/>
      <c r="J2867" s="81"/>
      <c r="K2867" s="81"/>
      <c r="L2867" s="499"/>
      <c r="M2867" s="73"/>
      <c r="N2867" s="499"/>
      <c r="O2867" s="73"/>
      <c r="P2867" s="73"/>
      <c r="Q2867" s="73"/>
      <c r="R2867" s="176"/>
      <c r="S2867" s="176"/>
      <c r="T2867" s="176"/>
      <c r="U2867" s="400"/>
      <c r="V2867" s="400"/>
      <c r="W2867" s="732"/>
      <c r="X2867" s="167"/>
      <c r="Y2867" s="509"/>
      <c r="Z2867" s="466"/>
      <c r="AA2867" s="466"/>
      <c r="AB2867" s="466"/>
      <c r="AC2867" s="466"/>
      <c r="AD2867" s="466"/>
      <c r="AE2867" s="466"/>
      <c r="AF2867" s="466"/>
      <c r="AG2867" s="466"/>
      <c r="AH2867" s="466"/>
      <c r="AI2867" s="466"/>
      <c r="AJ2867" s="466"/>
      <c r="AK2867" s="466"/>
      <c r="AL2867" s="466"/>
      <c r="AM2867" s="466"/>
      <c r="AN2867" s="466"/>
      <c r="AO2867" s="466"/>
      <c r="AP2867" s="466"/>
      <c r="AQ2867" s="466"/>
      <c r="AR2867" s="466"/>
      <c r="AS2867" s="466"/>
      <c r="AT2867" s="466"/>
      <c r="AU2867" s="466"/>
      <c r="AV2867" s="466"/>
      <c r="AW2867" s="466"/>
      <c r="AX2867" s="466"/>
      <c r="AY2867" s="466"/>
      <c r="AZ2867" s="466"/>
      <c r="BA2867" s="466"/>
      <c r="BB2867" s="466"/>
      <c r="BC2867" s="466"/>
      <c r="BD2867" s="466"/>
      <c r="BE2867" s="467"/>
      <c r="BF2867" s="467"/>
      <c r="BG2867" s="466"/>
      <c r="BH2867" s="466"/>
      <c r="BI2867" s="467"/>
      <c r="BJ2867" s="467"/>
      <c r="BK2867" s="467"/>
      <c r="BL2867" s="467"/>
      <c r="BM2867" s="467"/>
      <c r="BN2867" s="467"/>
      <c r="BO2867" s="467"/>
      <c r="BP2867" s="467"/>
      <c r="BQ2867" s="467"/>
      <c r="BR2867" s="467"/>
      <c r="BS2867" s="467"/>
      <c r="BT2867" s="467"/>
      <c r="BU2867" s="467"/>
      <c r="BV2867" s="467"/>
      <c r="BW2867" s="467"/>
      <c r="BX2867" s="769"/>
      <c r="BY2867" s="769"/>
      <c r="BZ2867" s="769"/>
      <c r="CA2867" s="769"/>
      <c r="CB2867" s="769"/>
      <c r="CC2867" s="769"/>
      <c r="CD2867" s="769"/>
      <c r="CE2867" s="769"/>
      <c r="CF2867" s="769"/>
      <c r="CG2867" s="73"/>
      <c r="CH2867" s="438"/>
      <c r="CI2867" s="416"/>
      <c r="CJ2867" s="73"/>
      <c r="CK2867" s="650"/>
      <c r="CL2867" s="499"/>
      <c r="CM2867" s="650"/>
      <c r="CR2867" s="416"/>
      <c r="CS2867" s="650"/>
      <c r="CU2867" s="73"/>
      <c r="CV2867" s="73"/>
      <c r="CW2867" s="73"/>
      <c r="CX2867" s="73"/>
      <c r="DA2867" s="650"/>
    </row>
    <row r="2868" spans="1:105" s="45" customFormat="1" x14ac:dyDescent="0.2">
      <c r="A2868" s="650"/>
      <c r="B2868" s="438"/>
      <c r="D2868" s="73"/>
      <c r="E2868" s="650"/>
      <c r="F2868" s="650"/>
      <c r="G2868" s="73"/>
      <c r="I2868" s="111"/>
      <c r="J2868" s="81"/>
      <c r="K2868" s="81"/>
      <c r="L2868" s="499"/>
      <c r="M2868" s="73"/>
      <c r="N2868" s="499"/>
      <c r="O2868" s="73"/>
      <c r="P2868" s="73"/>
      <c r="Q2868" s="73"/>
      <c r="R2868" s="176"/>
      <c r="S2868" s="176"/>
      <c r="T2868" s="176"/>
      <c r="U2868" s="400"/>
      <c r="V2868" s="400"/>
      <c r="W2868" s="732"/>
      <c r="X2868" s="167"/>
      <c r="Y2868" s="509"/>
      <c r="Z2868" s="466"/>
      <c r="AA2868" s="466"/>
      <c r="AB2868" s="466"/>
      <c r="AC2868" s="466"/>
      <c r="AD2868" s="466"/>
      <c r="AE2868" s="466"/>
      <c r="AF2868" s="466"/>
      <c r="AG2868" s="466"/>
      <c r="AH2868" s="466"/>
      <c r="AI2868" s="466"/>
      <c r="AJ2868" s="466"/>
      <c r="AK2868" s="466"/>
      <c r="AL2868" s="466"/>
      <c r="AM2868" s="466"/>
      <c r="AN2868" s="466"/>
      <c r="AO2868" s="466"/>
      <c r="AP2868" s="466"/>
      <c r="AQ2868" s="466"/>
      <c r="AR2868" s="466"/>
      <c r="AS2868" s="466"/>
      <c r="AT2868" s="466"/>
      <c r="AU2868" s="466"/>
      <c r="AV2868" s="466"/>
      <c r="AW2868" s="466"/>
      <c r="AX2868" s="466"/>
      <c r="AY2868" s="466"/>
      <c r="AZ2868" s="466"/>
      <c r="BA2868" s="466"/>
      <c r="BB2868" s="466"/>
      <c r="BC2868" s="466"/>
      <c r="BD2868" s="466"/>
      <c r="BE2868" s="467"/>
      <c r="BF2868" s="467"/>
      <c r="BG2868" s="466"/>
      <c r="BH2868" s="466"/>
      <c r="BI2868" s="467"/>
      <c r="BJ2868" s="467"/>
      <c r="BK2868" s="467"/>
      <c r="BL2868" s="467"/>
      <c r="BM2868" s="467"/>
      <c r="BN2868" s="467"/>
      <c r="BO2868" s="467"/>
      <c r="BP2868" s="467"/>
      <c r="BQ2868" s="467"/>
      <c r="BR2868" s="467"/>
      <c r="BS2868" s="467"/>
      <c r="BT2868" s="467"/>
      <c r="BU2868" s="467"/>
      <c r="BV2868" s="467"/>
      <c r="BW2868" s="467"/>
      <c r="BX2868" s="769"/>
      <c r="BY2868" s="769"/>
      <c r="BZ2868" s="769"/>
      <c r="CA2868" s="769"/>
      <c r="CB2868" s="769"/>
      <c r="CC2868" s="769"/>
      <c r="CD2868" s="769"/>
      <c r="CE2868" s="769"/>
      <c r="CF2868" s="769"/>
      <c r="CG2868" s="73"/>
      <c r="CH2868" s="438"/>
      <c r="CI2868" s="416"/>
      <c r="CJ2868" s="73"/>
      <c r="CK2868" s="650"/>
      <c r="CL2868" s="499"/>
      <c r="CM2868" s="650"/>
      <c r="CR2868" s="416"/>
      <c r="CS2868" s="650"/>
      <c r="CU2868" s="73"/>
      <c r="CV2868" s="73"/>
      <c r="CW2868" s="73"/>
      <c r="CX2868" s="73"/>
      <c r="DA2868" s="650"/>
    </row>
    <row r="2869" spans="1:105" s="45" customFormat="1" x14ac:dyDescent="0.2">
      <c r="A2869" s="650"/>
      <c r="B2869" s="438"/>
      <c r="D2869" s="73"/>
      <c r="E2869" s="650"/>
      <c r="F2869" s="650"/>
      <c r="G2869" s="73"/>
      <c r="I2869" s="111"/>
      <c r="J2869" s="81"/>
      <c r="K2869" s="81"/>
      <c r="L2869" s="499"/>
      <c r="M2869" s="73"/>
      <c r="N2869" s="499"/>
      <c r="O2869" s="73"/>
      <c r="P2869" s="73"/>
      <c r="Q2869" s="73"/>
      <c r="R2869" s="176"/>
      <c r="S2869" s="176"/>
      <c r="T2869" s="176"/>
      <c r="U2869" s="400"/>
      <c r="V2869" s="400"/>
      <c r="W2869" s="732"/>
      <c r="X2869" s="167"/>
      <c r="Y2869" s="509"/>
      <c r="Z2869" s="466"/>
      <c r="AA2869" s="466"/>
      <c r="AB2869" s="466"/>
      <c r="AC2869" s="466"/>
      <c r="AD2869" s="466"/>
      <c r="AE2869" s="466"/>
      <c r="AF2869" s="466"/>
      <c r="AG2869" s="466"/>
      <c r="AH2869" s="466"/>
      <c r="AI2869" s="466"/>
      <c r="AJ2869" s="466"/>
      <c r="AK2869" s="466"/>
      <c r="AL2869" s="466"/>
      <c r="AM2869" s="466"/>
      <c r="AN2869" s="466"/>
      <c r="AO2869" s="466"/>
      <c r="AP2869" s="466"/>
      <c r="AQ2869" s="466"/>
      <c r="AR2869" s="466"/>
      <c r="AS2869" s="466"/>
      <c r="AT2869" s="466"/>
      <c r="AU2869" s="466"/>
      <c r="AV2869" s="466"/>
      <c r="AW2869" s="466"/>
      <c r="AX2869" s="466"/>
      <c r="AY2869" s="466"/>
      <c r="AZ2869" s="466"/>
      <c r="BA2869" s="466"/>
      <c r="BB2869" s="466"/>
      <c r="BC2869" s="466"/>
      <c r="BD2869" s="466"/>
      <c r="BE2869" s="467"/>
      <c r="BF2869" s="467"/>
      <c r="BG2869" s="466"/>
      <c r="BH2869" s="466"/>
      <c r="BI2869" s="467"/>
      <c r="BJ2869" s="467"/>
      <c r="BK2869" s="467"/>
      <c r="BL2869" s="467"/>
      <c r="BM2869" s="467"/>
      <c r="BN2869" s="467"/>
      <c r="BO2869" s="467"/>
      <c r="BP2869" s="467"/>
      <c r="BQ2869" s="467"/>
      <c r="BR2869" s="467"/>
      <c r="BS2869" s="467"/>
      <c r="BT2869" s="467"/>
      <c r="BU2869" s="467"/>
      <c r="BV2869" s="467"/>
      <c r="BW2869" s="467"/>
      <c r="BX2869" s="769"/>
      <c r="BY2869" s="769"/>
      <c r="BZ2869" s="769"/>
      <c r="CA2869" s="769"/>
      <c r="CB2869" s="769"/>
      <c r="CC2869" s="769"/>
      <c r="CD2869" s="769"/>
      <c r="CE2869" s="769"/>
      <c r="CF2869" s="769"/>
      <c r="CG2869" s="73"/>
      <c r="CH2869" s="438"/>
      <c r="CI2869" s="416"/>
      <c r="CJ2869" s="73"/>
      <c r="CK2869" s="650"/>
      <c r="CL2869" s="499"/>
      <c r="CM2869" s="650"/>
      <c r="CR2869" s="416"/>
      <c r="CS2869" s="650"/>
      <c r="CU2869" s="73"/>
      <c r="CV2869" s="73"/>
      <c r="CW2869" s="73"/>
      <c r="CX2869" s="73"/>
      <c r="DA2869" s="650"/>
    </row>
    <row r="2870" spans="1:105" s="45" customFormat="1" x14ac:dyDescent="0.2">
      <c r="A2870" s="650"/>
      <c r="B2870" s="438"/>
      <c r="D2870" s="73"/>
      <c r="E2870" s="650"/>
      <c r="F2870" s="650"/>
      <c r="G2870" s="73"/>
      <c r="I2870" s="111"/>
      <c r="J2870" s="81"/>
      <c r="K2870" s="81"/>
      <c r="L2870" s="499"/>
      <c r="M2870" s="73"/>
      <c r="N2870" s="499"/>
      <c r="O2870" s="73"/>
      <c r="P2870" s="73"/>
      <c r="Q2870" s="73"/>
      <c r="R2870" s="176"/>
      <c r="S2870" s="176"/>
      <c r="T2870" s="176"/>
      <c r="U2870" s="400"/>
      <c r="V2870" s="400"/>
      <c r="W2870" s="732"/>
      <c r="X2870" s="167"/>
      <c r="Y2870" s="509"/>
      <c r="Z2870" s="466"/>
      <c r="AA2870" s="466"/>
      <c r="AB2870" s="466"/>
      <c r="AC2870" s="466"/>
      <c r="AD2870" s="466"/>
      <c r="AE2870" s="466"/>
      <c r="AF2870" s="466"/>
      <c r="AG2870" s="466"/>
      <c r="AH2870" s="466"/>
      <c r="AI2870" s="466"/>
      <c r="AJ2870" s="466"/>
      <c r="AK2870" s="466"/>
      <c r="AL2870" s="466"/>
      <c r="AM2870" s="466"/>
      <c r="AN2870" s="466"/>
      <c r="AO2870" s="466"/>
      <c r="AP2870" s="466"/>
      <c r="AQ2870" s="466"/>
      <c r="AR2870" s="466"/>
      <c r="AS2870" s="466"/>
      <c r="AT2870" s="466"/>
      <c r="AU2870" s="466"/>
      <c r="AV2870" s="466"/>
      <c r="AW2870" s="466"/>
      <c r="AX2870" s="466"/>
      <c r="AY2870" s="466"/>
      <c r="AZ2870" s="466"/>
      <c r="BA2870" s="466"/>
      <c r="BB2870" s="466"/>
      <c r="BC2870" s="466"/>
      <c r="BD2870" s="466"/>
      <c r="BE2870" s="467"/>
      <c r="BF2870" s="467"/>
      <c r="BG2870" s="466"/>
      <c r="BH2870" s="466"/>
      <c r="BI2870" s="467"/>
      <c r="BJ2870" s="467"/>
      <c r="BK2870" s="467"/>
      <c r="BL2870" s="467"/>
      <c r="BM2870" s="467"/>
      <c r="BN2870" s="467"/>
      <c r="BO2870" s="467"/>
      <c r="BP2870" s="467"/>
      <c r="BQ2870" s="467"/>
      <c r="BR2870" s="467"/>
      <c r="BS2870" s="467"/>
      <c r="BT2870" s="467"/>
      <c r="BU2870" s="467"/>
      <c r="BV2870" s="467"/>
      <c r="BW2870" s="467"/>
      <c r="BX2870" s="769"/>
      <c r="BY2870" s="769"/>
      <c r="BZ2870" s="769"/>
      <c r="CA2870" s="769"/>
      <c r="CB2870" s="769"/>
      <c r="CC2870" s="769"/>
      <c r="CD2870" s="769"/>
      <c r="CE2870" s="769"/>
      <c r="CF2870" s="769"/>
      <c r="CG2870" s="73"/>
      <c r="CH2870" s="438"/>
      <c r="CI2870" s="416"/>
      <c r="CJ2870" s="73"/>
      <c r="CK2870" s="650"/>
      <c r="CL2870" s="499"/>
      <c r="CM2870" s="650"/>
      <c r="CR2870" s="416"/>
      <c r="CS2870" s="650"/>
      <c r="CU2870" s="73"/>
      <c r="CV2870" s="73"/>
      <c r="CW2870" s="73"/>
      <c r="CX2870" s="73"/>
      <c r="DA2870" s="650"/>
    </row>
    <row r="2871" spans="1:105" s="45" customFormat="1" x14ac:dyDescent="0.2">
      <c r="A2871" s="650"/>
      <c r="B2871" s="438"/>
      <c r="D2871" s="73"/>
      <c r="E2871" s="650"/>
      <c r="F2871" s="650"/>
      <c r="G2871" s="73"/>
      <c r="I2871" s="111"/>
      <c r="J2871" s="81"/>
      <c r="K2871" s="81"/>
      <c r="L2871" s="499"/>
      <c r="M2871" s="73"/>
      <c r="N2871" s="499"/>
      <c r="O2871" s="73"/>
      <c r="P2871" s="73"/>
      <c r="Q2871" s="73"/>
      <c r="R2871" s="176"/>
      <c r="S2871" s="176"/>
      <c r="T2871" s="176"/>
      <c r="U2871" s="400"/>
      <c r="V2871" s="400"/>
      <c r="W2871" s="732"/>
      <c r="X2871" s="167"/>
      <c r="Y2871" s="509"/>
      <c r="Z2871" s="466"/>
      <c r="AA2871" s="466"/>
      <c r="AB2871" s="466"/>
      <c r="AC2871" s="466"/>
      <c r="AD2871" s="466"/>
      <c r="AE2871" s="466"/>
      <c r="AF2871" s="466"/>
      <c r="AG2871" s="466"/>
      <c r="AH2871" s="466"/>
      <c r="AI2871" s="466"/>
      <c r="AJ2871" s="466"/>
      <c r="AK2871" s="466"/>
      <c r="AL2871" s="466"/>
      <c r="AM2871" s="466"/>
      <c r="AN2871" s="466"/>
      <c r="AO2871" s="466"/>
      <c r="AP2871" s="466"/>
      <c r="AQ2871" s="466"/>
      <c r="AR2871" s="466"/>
      <c r="AS2871" s="466"/>
      <c r="AT2871" s="466"/>
      <c r="AU2871" s="466"/>
      <c r="AV2871" s="466"/>
      <c r="AW2871" s="466"/>
      <c r="AX2871" s="466"/>
      <c r="AY2871" s="466"/>
      <c r="AZ2871" s="466"/>
      <c r="BA2871" s="466"/>
      <c r="BB2871" s="466"/>
      <c r="BC2871" s="466"/>
      <c r="BD2871" s="466"/>
      <c r="BE2871" s="467"/>
      <c r="BF2871" s="467"/>
      <c r="BG2871" s="466"/>
      <c r="BH2871" s="466"/>
      <c r="BI2871" s="467"/>
      <c r="BJ2871" s="467"/>
      <c r="BK2871" s="467"/>
      <c r="BL2871" s="467"/>
      <c r="BM2871" s="467"/>
      <c r="BN2871" s="467"/>
      <c r="BO2871" s="467"/>
      <c r="BP2871" s="467"/>
      <c r="BQ2871" s="467"/>
      <c r="BR2871" s="467"/>
      <c r="BS2871" s="467"/>
      <c r="BT2871" s="467"/>
      <c r="BU2871" s="467"/>
      <c r="BV2871" s="467"/>
      <c r="BW2871" s="467"/>
      <c r="BX2871" s="769"/>
      <c r="BY2871" s="769"/>
      <c r="BZ2871" s="769"/>
      <c r="CA2871" s="769"/>
      <c r="CB2871" s="769"/>
      <c r="CC2871" s="769"/>
      <c r="CD2871" s="769"/>
      <c r="CE2871" s="769"/>
      <c r="CF2871" s="769"/>
      <c r="CG2871" s="73"/>
      <c r="CH2871" s="438"/>
      <c r="CI2871" s="416"/>
      <c r="CJ2871" s="73"/>
      <c r="CK2871" s="650"/>
      <c r="CL2871" s="499"/>
      <c r="CM2871" s="650"/>
      <c r="CR2871" s="416"/>
      <c r="CS2871" s="650"/>
      <c r="CU2871" s="73"/>
      <c r="CV2871" s="73"/>
      <c r="CW2871" s="73"/>
      <c r="CX2871" s="73"/>
      <c r="DA2871" s="650"/>
    </row>
    <row r="2872" spans="1:105" s="45" customFormat="1" x14ac:dyDescent="0.2">
      <c r="A2872" s="650"/>
      <c r="B2872" s="438"/>
      <c r="D2872" s="73"/>
      <c r="E2872" s="650"/>
      <c r="F2872" s="650"/>
      <c r="G2872" s="73"/>
      <c r="I2872" s="111"/>
      <c r="J2872" s="81"/>
      <c r="K2872" s="81"/>
      <c r="L2872" s="499"/>
      <c r="M2872" s="73"/>
      <c r="N2872" s="499"/>
      <c r="O2872" s="73"/>
      <c r="P2872" s="73"/>
      <c r="Q2872" s="73"/>
      <c r="R2872" s="176"/>
      <c r="S2872" s="176"/>
      <c r="T2872" s="176"/>
      <c r="U2872" s="400"/>
      <c r="V2872" s="400"/>
      <c r="W2872" s="732"/>
      <c r="X2872" s="167"/>
      <c r="Y2872" s="509"/>
      <c r="Z2872" s="466"/>
      <c r="AA2872" s="466"/>
      <c r="AB2872" s="466"/>
      <c r="AC2872" s="466"/>
      <c r="AD2872" s="466"/>
      <c r="AE2872" s="466"/>
      <c r="AF2872" s="466"/>
      <c r="AG2872" s="466"/>
      <c r="AH2872" s="466"/>
      <c r="AI2872" s="466"/>
      <c r="AJ2872" s="466"/>
      <c r="AK2872" s="466"/>
      <c r="AL2872" s="466"/>
      <c r="AM2872" s="466"/>
      <c r="AN2872" s="466"/>
      <c r="AO2872" s="466"/>
      <c r="AP2872" s="466"/>
      <c r="AQ2872" s="466"/>
      <c r="AR2872" s="466"/>
      <c r="AS2872" s="466"/>
      <c r="AT2872" s="466"/>
      <c r="AU2872" s="466"/>
      <c r="AV2872" s="466"/>
      <c r="AW2872" s="466"/>
      <c r="AX2872" s="466"/>
      <c r="AY2872" s="466"/>
      <c r="AZ2872" s="466"/>
      <c r="BA2872" s="466"/>
      <c r="BB2872" s="466"/>
      <c r="BC2872" s="466"/>
      <c r="BD2872" s="466"/>
      <c r="BE2872" s="467"/>
      <c r="BF2872" s="467"/>
      <c r="BG2872" s="466"/>
      <c r="BH2872" s="466"/>
      <c r="BI2872" s="467"/>
      <c r="BJ2872" s="467"/>
      <c r="BK2872" s="467"/>
      <c r="BL2872" s="467"/>
      <c r="BM2872" s="467"/>
      <c r="BN2872" s="467"/>
      <c r="BO2872" s="467"/>
      <c r="BP2872" s="467"/>
      <c r="BQ2872" s="467"/>
      <c r="BR2872" s="467"/>
      <c r="BS2872" s="467"/>
      <c r="BT2872" s="467"/>
      <c r="BU2872" s="467"/>
      <c r="BV2872" s="467"/>
      <c r="BW2872" s="467"/>
      <c r="BX2872" s="769"/>
      <c r="BY2872" s="769"/>
      <c r="BZ2872" s="769"/>
      <c r="CA2872" s="769"/>
      <c r="CB2872" s="769"/>
      <c r="CC2872" s="769"/>
      <c r="CD2872" s="769"/>
      <c r="CE2872" s="769"/>
      <c r="CF2872" s="769"/>
      <c r="CG2872" s="73"/>
      <c r="CH2872" s="438"/>
      <c r="CI2872" s="416"/>
      <c r="CJ2872" s="73"/>
      <c r="CK2872" s="650"/>
      <c r="CL2872" s="499"/>
      <c r="CM2872" s="650"/>
      <c r="CR2872" s="416"/>
      <c r="CS2872" s="650"/>
      <c r="CU2872" s="73"/>
      <c r="CV2872" s="73"/>
      <c r="CW2872" s="73"/>
      <c r="CX2872" s="73"/>
      <c r="DA2872" s="650"/>
    </row>
    <row r="2873" spans="1:105" s="45" customFormat="1" x14ac:dyDescent="0.2">
      <c r="A2873" s="650"/>
      <c r="B2873" s="438"/>
      <c r="D2873" s="73"/>
      <c r="E2873" s="650"/>
      <c r="F2873" s="650"/>
      <c r="G2873" s="73"/>
      <c r="I2873" s="111"/>
      <c r="J2873" s="81"/>
      <c r="K2873" s="81"/>
      <c r="L2873" s="499"/>
      <c r="M2873" s="73"/>
      <c r="N2873" s="499"/>
      <c r="O2873" s="73"/>
      <c r="P2873" s="73"/>
      <c r="Q2873" s="73"/>
      <c r="R2873" s="176"/>
      <c r="S2873" s="176"/>
      <c r="T2873" s="176"/>
      <c r="U2873" s="400"/>
      <c r="V2873" s="400"/>
      <c r="W2873" s="732"/>
      <c r="X2873" s="167"/>
      <c r="Y2873" s="509"/>
      <c r="Z2873" s="466"/>
      <c r="AA2873" s="466"/>
      <c r="AB2873" s="466"/>
      <c r="AC2873" s="466"/>
      <c r="AD2873" s="466"/>
      <c r="AE2873" s="466"/>
      <c r="AF2873" s="466"/>
      <c r="AG2873" s="466"/>
      <c r="AH2873" s="466"/>
      <c r="AI2873" s="466"/>
      <c r="AJ2873" s="466"/>
      <c r="AK2873" s="466"/>
      <c r="AL2873" s="466"/>
      <c r="AM2873" s="466"/>
      <c r="AN2873" s="466"/>
      <c r="AO2873" s="466"/>
      <c r="AP2873" s="466"/>
      <c r="AQ2873" s="466"/>
      <c r="AR2873" s="466"/>
      <c r="AS2873" s="466"/>
      <c r="AT2873" s="466"/>
      <c r="AU2873" s="466"/>
      <c r="AV2873" s="466"/>
      <c r="AW2873" s="466"/>
      <c r="AX2873" s="466"/>
      <c r="AY2873" s="466"/>
      <c r="AZ2873" s="466"/>
      <c r="BA2873" s="466"/>
      <c r="BB2873" s="466"/>
      <c r="BC2873" s="466"/>
      <c r="BD2873" s="466"/>
      <c r="BE2873" s="467"/>
      <c r="BF2873" s="467"/>
      <c r="BG2873" s="466"/>
      <c r="BH2873" s="466"/>
      <c r="BI2873" s="467"/>
      <c r="BJ2873" s="467"/>
      <c r="BK2873" s="467"/>
      <c r="BL2873" s="467"/>
      <c r="BM2873" s="467"/>
      <c r="BN2873" s="467"/>
      <c r="BO2873" s="467"/>
      <c r="BP2873" s="467"/>
      <c r="BQ2873" s="467"/>
      <c r="BR2873" s="467"/>
      <c r="BS2873" s="467"/>
      <c r="BT2873" s="467"/>
      <c r="BU2873" s="467"/>
      <c r="BV2873" s="467"/>
      <c r="BW2873" s="467"/>
      <c r="BX2873" s="769"/>
      <c r="BY2873" s="769"/>
      <c r="BZ2873" s="769"/>
      <c r="CA2873" s="769"/>
      <c r="CB2873" s="769"/>
      <c r="CC2873" s="769"/>
      <c r="CD2873" s="769"/>
      <c r="CE2873" s="769"/>
      <c r="CF2873" s="769"/>
      <c r="CG2873" s="73"/>
      <c r="CH2873" s="438"/>
      <c r="CI2873" s="416"/>
      <c r="CJ2873" s="73"/>
      <c r="CK2873" s="650"/>
      <c r="CL2873" s="499"/>
      <c r="CM2873" s="650"/>
      <c r="CR2873" s="416"/>
      <c r="CS2873" s="650"/>
      <c r="CU2873" s="73"/>
      <c r="CV2873" s="73"/>
      <c r="CW2873" s="73"/>
      <c r="CX2873" s="73"/>
      <c r="DA2873" s="650"/>
    </row>
    <row r="2874" spans="1:105" s="45" customFormat="1" x14ac:dyDescent="0.2">
      <c r="A2874" s="650"/>
      <c r="B2874" s="438"/>
      <c r="D2874" s="73"/>
      <c r="E2874" s="650"/>
      <c r="F2874" s="650"/>
      <c r="G2874" s="73"/>
      <c r="I2874" s="111"/>
      <c r="J2874" s="81"/>
      <c r="K2874" s="81"/>
      <c r="L2874" s="499"/>
      <c r="M2874" s="73"/>
      <c r="N2874" s="499"/>
      <c r="O2874" s="73"/>
      <c r="P2874" s="73"/>
      <c r="Q2874" s="73"/>
      <c r="R2874" s="176"/>
      <c r="S2874" s="176"/>
      <c r="T2874" s="176"/>
      <c r="U2874" s="400"/>
      <c r="V2874" s="400"/>
      <c r="W2874" s="732"/>
      <c r="X2874" s="167"/>
      <c r="Y2874" s="509"/>
      <c r="Z2874" s="466"/>
      <c r="AA2874" s="466"/>
      <c r="AB2874" s="466"/>
      <c r="AC2874" s="466"/>
      <c r="AD2874" s="466"/>
      <c r="AE2874" s="466"/>
      <c r="AF2874" s="466"/>
      <c r="AG2874" s="466"/>
      <c r="AH2874" s="466"/>
      <c r="AI2874" s="466"/>
      <c r="AJ2874" s="466"/>
      <c r="AK2874" s="466"/>
      <c r="AL2874" s="466"/>
      <c r="AM2874" s="466"/>
      <c r="AN2874" s="466"/>
      <c r="AO2874" s="466"/>
      <c r="AP2874" s="466"/>
      <c r="AQ2874" s="466"/>
      <c r="AR2874" s="466"/>
      <c r="AS2874" s="466"/>
      <c r="AT2874" s="466"/>
      <c r="AU2874" s="466"/>
      <c r="AV2874" s="466"/>
      <c r="AW2874" s="466"/>
      <c r="AX2874" s="466"/>
      <c r="AY2874" s="466"/>
      <c r="AZ2874" s="466"/>
      <c r="BA2874" s="466"/>
      <c r="BB2874" s="466"/>
      <c r="BC2874" s="466"/>
      <c r="BD2874" s="466"/>
      <c r="BE2874" s="467"/>
      <c r="BF2874" s="467"/>
      <c r="BG2874" s="466"/>
      <c r="BH2874" s="466"/>
      <c r="BI2874" s="467"/>
      <c r="BJ2874" s="467"/>
      <c r="BK2874" s="467"/>
      <c r="BL2874" s="467"/>
      <c r="BM2874" s="467"/>
      <c r="BN2874" s="467"/>
      <c r="BO2874" s="467"/>
      <c r="BP2874" s="467"/>
      <c r="BQ2874" s="467"/>
      <c r="BR2874" s="467"/>
      <c r="BS2874" s="467"/>
      <c r="BT2874" s="467"/>
      <c r="BU2874" s="467"/>
      <c r="BV2874" s="467"/>
      <c r="BW2874" s="467"/>
      <c r="BX2874" s="769"/>
      <c r="BY2874" s="769"/>
      <c r="BZ2874" s="769"/>
      <c r="CA2874" s="769"/>
      <c r="CB2874" s="769"/>
      <c r="CC2874" s="769"/>
      <c r="CD2874" s="769"/>
      <c r="CE2874" s="769"/>
      <c r="CF2874" s="769"/>
      <c r="CG2874" s="73"/>
      <c r="CH2874" s="438"/>
      <c r="CI2874" s="416"/>
      <c r="CJ2874" s="73"/>
      <c r="CK2874" s="650"/>
      <c r="CL2874" s="499"/>
      <c r="CM2874" s="650"/>
      <c r="CR2874" s="416"/>
      <c r="CS2874" s="650"/>
      <c r="CU2874" s="73"/>
      <c r="CV2874" s="73"/>
      <c r="CW2874" s="73"/>
      <c r="CX2874" s="73"/>
      <c r="DA2874" s="650"/>
    </row>
    <row r="2875" spans="1:105" s="45" customFormat="1" x14ac:dyDescent="0.2">
      <c r="A2875" s="650"/>
      <c r="B2875" s="438"/>
      <c r="D2875" s="73"/>
      <c r="E2875" s="650"/>
      <c r="F2875" s="650"/>
      <c r="G2875" s="73"/>
      <c r="I2875" s="111"/>
      <c r="J2875" s="81"/>
      <c r="K2875" s="81"/>
      <c r="L2875" s="499"/>
      <c r="M2875" s="73"/>
      <c r="N2875" s="499"/>
      <c r="O2875" s="73"/>
      <c r="P2875" s="73"/>
      <c r="Q2875" s="73"/>
      <c r="R2875" s="176"/>
      <c r="S2875" s="176"/>
      <c r="T2875" s="176"/>
      <c r="U2875" s="400"/>
      <c r="V2875" s="400"/>
      <c r="W2875" s="732"/>
      <c r="X2875" s="167"/>
      <c r="Y2875" s="509"/>
      <c r="Z2875" s="466"/>
      <c r="AA2875" s="466"/>
      <c r="AB2875" s="466"/>
      <c r="AC2875" s="466"/>
      <c r="AD2875" s="466"/>
      <c r="AE2875" s="466"/>
      <c r="AF2875" s="466"/>
      <c r="AG2875" s="466"/>
      <c r="AH2875" s="466"/>
      <c r="AI2875" s="466"/>
      <c r="AJ2875" s="466"/>
      <c r="AK2875" s="466"/>
      <c r="AL2875" s="466"/>
      <c r="AM2875" s="466"/>
      <c r="AN2875" s="466"/>
      <c r="AO2875" s="466"/>
      <c r="AP2875" s="466"/>
      <c r="AQ2875" s="466"/>
      <c r="AR2875" s="466"/>
      <c r="AS2875" s="466"/>
      <c r="AT2875" s="466"/>
      <c r="AU2875" s="466"/>
      <c r="AV2875" s="466"/>
      <c r="AW2875" s="466"/>
      <c r="AX2875" s="466"/>
      <c r="AY2875" s="466"/>
      <c r="AZ2875" s="466"/>
      <c r="BA2875" s="466"/>
      <c r="BB2875" s="466"/>
      <c r="BC2875" s="466"/>
      <c r="BD2875" s="466"/>
      <c r="BE2875" s="467"/>
      <c r="BF2875" s="467"/>
      <c r="BG2875" s="466"/>
      <c r="BH2875" s="466"/>
      <c r="BI2875" s="467"/>
      <c r="BJ2875" s="467"/>
      <c r="BK2875" s="467"/>
      <c r="BL2875" s="467"/>
      <c r="BM2875" s="467"/>
      <c r="BN2875" s="467"/>
      <c r="BO2875" s="467"/>
      <c r="BP2875" s="467"/>
      <c r="BQ2875" s="467"/>
      <c r="BR2875" s="467"/>
      <c r="BS2875" s="467"/>
      <c r="BT2875" s="467"/>
      <c r="BU2875" s="467"/>
      <c r="BV2875" s="467"/>
      <c r="BW2875" s="467"/>
      <c r="BX2875" s="769"/>
      <c r="BY2875" s="769"/>
      <c r="BZ2875" s="769"/>
      <c r="CA2875" s="769"/>
      <c r="CB2875" s="769"/>
      <c r="CC2875" s="769"/>
      <c r="CD2875" s="769"/>
      <c r="CE2875" s="769"/>
      <c r="CF2875" s="769"/>
      <c r="CG2875" s="73"/>
      <c r="CH2875" s="438"/>
      <c r="CI2875" s="416"/>
      <c r="CJ2875" s="73"/>
      <c r="CK2875" s="650"/>
      <c r="CL2875" s="499"/>
      <c r="CM2875" s="650"/>
      <c r="CR2875" s="416"/>
      <c r="CS2875" s="650"/>
      <c r="CU2875" s="73"/>
      <c r="CV2875" s="73"/>
      <c r="CW2875" s="73"/>
      <c r="CX2875" s="73"/>
      <c r="DA2875" s="650"/>
    </row>
    <row r="2876" spans="1:105" s="45" customFormat="1" x14ac:dyDescent="0.2">
      <c r="A2876" s="650"/>
      <c r="B2876" s="438"/>
      <c r="D2876" s="73"/>
      <c r="E2876" s="650"/>
      <c r="F2876" s="650"/>
      <c r="G2876" s="73"/>
      <c r="I2876" s="111"/>
      <c r="J2876" s="81"/>
      <c r="K2876" s="81"/>
      <c r="L2876" s="499"/>
      <c r="M2876" s="73"/>
      <c r="N2876" s="499"/>
      <c r="O2876" s="73"/>
      <c r="P2876" s="73"/>
      <c r="Q2876" s="73"/>
      <c r="R2876" s="176"/>
      <c r="S2876" s="176"/>
      <c r="T2876" s="176"/>
      <c r="U2876" s="400"/>
      <c r="V2876" s="400"/>
      <c r="W2876" s="732"/>
      <c r="X2876" s="167"/>
      <c r="Y2876" s="509"/>
      <c r="Z2876" s="466"/>
      <c r="AA2876" s="466"/>
      <c r="AB2876" s="466"/>
      <c r="AC2876" s="466"/>
      <c r="AD2876" s="466"/>
      <c r="AE2876" s="466"/>
      <c r="AF2876" s="466"/>
      <c r="AG2876" s="466"/>
      <c r="AH2876" s="466"/>
      <c r="AI2876" s="466"/>
      <c r="AJ2876" s="466"/>
      <c r="AK2876" s="466"/>
      <c r="AL2876" s="466"/>
      <c r="AM2876" s="466"/>
      <c r="AN2876" s="466"/>
      <c r="AO2876" s="466"/>
      <c r="AP2876" s="466"/>
      <c r="AQ2876" s="466"/>
      <c r="AR2876" s="466"/>
      <c r="AS2876" s="466"/>
      <c r="AT2876" s="466"/>
      <c r="AU2876" s="466"/>
      <c r="AV2876" s="466"/>
      <c r="AW2876" s="466"/>
      <c r="AX2876" s="466"/>
      <c r="AY2876" s="466"/>
      <c r="AZ2876" s="466"/>
      <c r="BA2876" s="466"/>
      <c r="BB2876" s="466"/>
      <c r="BC2876" s="466"/>
      <c r="BD2876" s="466"/>
      <c r="BE2876" s="467"/>
      <c r="BF2876" s="467"/>
      <c r="BG2876" s="466"/>
      <c r="BH2876" s="466"/>
      <c r="BI2876" s="467"/>
      <c r="BJ2876" s="467"/>
      <c r="BK2876" s="467"/>
      <c r="BL2876" s="467"/>
      <c r="BM2876" s="467"/>
      <c r="BN2876" s="467"/>
      <c r="BO2876" s="467"/>
      <c r="BP2876" s="467"/>
      <c r="BQ2876" s="467"/>
      <c r="BR2876" s="467"/>
      <c r="BS2876" s="467"/>
      <c r="BT2876" s="467"/>
      <c r="BU2876" s="467"/>
      <c r="BV2876" s="467"/>
      <c r="BW2876" s="467"/>
      <c r="BX2876" s="769"/>
      <c r="BY2876" s="769"/>
      <c r="BZ2876" s="769"/>
      <c r="CA2876" s="769"/>
      <c r="CB2876" s="769"/>
      <c r="CC2876" s="769"/>
      <c r="CD2876" s="769"/>
      <c r="CE2876" s="769"/>
      <c r="CF2876" s="769"/>
      <c r="CG2876" s="73"/>
      <c r="CH2876" s="438"/>
      <c r="CI2876" s="416"/>
      <c r="CJ2876" s="73"/>
      <c r="CK2876" s="650"/>
      <c r="CL2876" s="499"/>
      <c r="CM2876" s="650"/>
      <c r="CR2876" s="416"/>
      <c r="CS2876" s="650"/>
      <c r="CU2876" s="73"/>
      <c r="CV2876" s="73"/>
      <c r="CW2876" s="73"/>
      <c r="CX2876" s="73"/>
      <c r="DA2876" s="650"/>
    </row>
    <row r="2877" spans="1:105" s="45" customFormat="1" x14ac:dyDescent="0.2">
      <c r="A2877" s="650"/>
      <c r="B2877" s="438"/>
      <c r="D2877" s="73"/>
      <c r="E2877" s="650"/>
      <c r="F2877" s="650"/>
      <c r="G2877" s="73"/>
      <c r="I2877" s="111"/>
      <c r="J2877" s="81"/>
      <c r="K2877" s="81"/>
      <c r="L2877" s="499"/>
      <c r="M2877" s="73"/>
      <c r="N2877" s="499"/>
      <c r="O2877" s="73"/>
      <c r="P2877" s="73"/>
      <c r="Q2877" s="73"/>
      <c r="R2877" s="176"/>
      <c r="S2877" s="176"/>
      <c r="T2877" s="176"/>
      <c r="U2877" s="400"/>
      <c r="V2877" s="400"/>
      <c r="W2877" s="732"/>
      <c r="X2877" s="167"/>
      <c r="Y2877" s="509"/>
      <c r="Z2877" s="466"/>
      <c r="AA2877" s="466"/>
      <c r="AB2877" s="466"/>
      <c r="AC2877" s="466"/>
      <c r="AD2877" s="466"/>
      <c r="AE2877" s="466"/>
      <c r="AF2877" s="466"/>
      <c r="AG2877" s="466"/>
      <c r="AH2877" s="466"/>
      <c r="AI2877" s="466"/>
      <c r="AJ2877" s="466"/>
      <c r="AK2877" s="466"/>
      <c r="AL2877" s="466"/>
      <c r="AM2877" s="466"/>
      <c r="AN2877" s="466"/>
      <c r="AO2877" s="466"/>
      <c r="AP2877" s="466"/>
      <c r="AQ2877" s="466"/>
      <c r="AR2877" s="466"/>
      <c r="AS2877" s="466"/>
      <c r="AT2877" s="466"/>
      <c r="AU2877" s="466"/>
      <c r="AV2877" s="466"/>
      <c r="AW2877" s="466"/>
      <c r="AX2877" s="466"/>
      <c r="AY2877" s="466"/>
      <c r="AZ2877" s="466"/>
      <c r="BA2877" s="466"/>
      <c r="BB2877" s="466"/>
      <c r="BC2877" s="466"/>
      <c r="BD2877" s="466"/>
      <c r="BE2877" s="467"/>
      <c r="BF2877" s="467"/>
      <c r="BG2877" s="466"/>
      <c r="BH2877" s="466"/>
      <c r="BI2877" s="467"/>
      <c r="BJ2877" s="467"/>
      <c r="BK2877" s="467"/>
      <c r="BL2877" s="467"/>
      <c r="BM2877" s="467"/>
      <c r="BN2877" s="467"/>
      <c r="BO2877" s="467"/>
      <c r="BP2877" s="467"/>
      <c r="BQ2877" s="467"/>
      <c r="BR2877" s="467"/>
      <c r="BS2877" s="467"/>
      <c r="BT2877" s="467"/>
      <c r="BU2877" s="467"/>
      <c r="BV2877" s="467"/>
      <c r="BW2877" s="467"/>
      <c r="BX2877" s="769"/>
      <c r="BY2877" s="769"/>
      <c r="BZ2877" s="769"/>
      <c r="CA2877" s="769"/>
      <c r="CB2877" s="769"/>
      <c r="CC2877" s="769"/>
      <c r="CD2877" s="769"/>
      <c r="CE2877" s="769"/>
      <c r="CF2877" s="769"/>
      <c r="CG2877" s="73"/>
      <c r="CH2877" s="438"/>
      <c r="CI2877" s="416"/>
      <c r="CJ2877" s="73"/>
      <c r="CK2877" s="650"/>
      <c r="CL2877" s="499"/>
      <c r="CM2877" s="650"/>
      <c r="CR2877" s="416"/>
      <c r="CS2877" s="650"/>
      <c r="CU2877" s="73"/>
      <c r="CV2877" s="73"/>
      <c r="CW2877" s="73"/>
      <c r="CX2877" s="73"/>
      <c r="DA2877" s="650"/>
    </row>
    <row r="2878" spans="1:105" s="45" customFormat="1" x14ac:dyDescent="0.2">
      <c r="A2878" s="650"/>
      <c r="B2878" s="438"/>
      <c r="D2878" s="73"/>
      <c r="E2878" s="650"/>
      <c r="F2878" s="650"/>
      <c r="G2878" s="73"/>
      <c r="I2878" s="111"/>
      <c r="J2878" s="81"/>
      <c r="K2878" s="81"/>
      <c r="L2878" s="499"/>
      <c r="M2878" s="73"/>
      <c r="N2878" s="499"/>
      <c r="O2878" s="73"/>
      <c r="P2878" s="73"/>
      <c r="Q2878" s="73"/>
      <c r="R2878" s="176"/>
      <c r="S2878" s="176"/>
      <c r="T2878" s="176"/>
      <c r="U2878" s="400"/>
      <c r="V2878" s="400"/>
      <c r="W2878" s="732"/>
      <c r="X2878" s="167"/>
      <c r="Y2878" s="509"/>
      <c r="Z2878" s="466"/>
      <c r="AA2878" s="466"/>
      <c r="AB2878" s="466"/>
      <c r="AC2878" s="466"/>
      <c r="AD2878" s="466"/>
      <c r="AE2878" s="466"/>
      <c r="AF2878" s="466"/>
      <c r="AG2878" s="466"/>
      <c r="AH2878" s="466"/>
      <c r="AI2878" s="466"/>
      <c r="AJ2878" s="466"/>
      <c r="AK2878" s="466"/>
      <c r="AL2878" s="466"/>
      <c r="AM2878" s="466"/>
      <c r="AN2878" s="466"/>
      <c r="AO2878" s="466"/>
      <c r="AP2878" s="466"/>
      <c r="AQ2878" s="466"/>
      <c r="AR2878" s="466"/>
      <c r="AS2878" s="466"/>
      <c r="AT2878" s="466"/>
      <c r="AU2878" s="466"/>
      <c r="AV2878" s="466"/>
      <c r="AW2878" s="466"/>
      <c r="AX2878" s="466"/>
      <c r="AY2878" s="466"/>
      <c r="AZ2878" s="466"/>
      <c r="BA2878" s="466"/>
      <c r="BB2878" s="466"/>
      <c r="BC2878" s="466"/>
      <c r="BD2878" s="466"/>
      <c r="BE2878" s="467"/>
      <c r="BF2878" s="467"/>
      <c r="BG2878" s="466"/>
      <c r="BH2878" s="466"/>
      <c r="BI2878" s="467"/>
      <c r="BJ2878" s="467"/>
      <c r="BK2878" s="467"/>
      <c r="BL2878" s="467"/>
      <c r="BM2878" s="467"/>
      <c r="BN2878" s="467"/>
      <c r="BO2878" s="467"/>
      <c r="BP2878" s="467"/>
      <c r="BQ2878" s="467"/>
      <c r="BR2878" s="467"/>
      <c r="BS2878" s="467"/>
      <c r="BT2878" s="467"/>
      <c r="BU2878" s="467"/>
      <c r="BV2878" s="467"/>
      <c r="BW2878" s="467"/>
      <c r="BX2878" s="769"/>
      <c r="BY2878" s="769"/>
      <c r="BZ2878" s="769"/>
      <c r="CA2878" s="769"/>
      <c r="CB2878" s="769"/>
      <c r="CC2878" s="769"/>
      <c r="CD2878" s="769"/>
      <c r="CE2878" s="769"/>
      <c r="CF2878" s="769"/>
      <c r="CG2878" s="73"/>
      <c r="CH2878" s="438"/>
      <c r="CI2878" s="416"/>
      <c r="CJ2878" s="73"/>
      <c r="CK2878" s="650"/>
      <c r="CL2878" s="499"/>
      <c r="CM2878" s="650"/>
      <c r="CR2878" s="416"/>
      <c r="CS2878" s="650"/>
      <c r="CU2878" s="73"/>
      <c r="CV2878" s="73"/>
      <c r="CW2878" s="73"/>
      <c r="CX2878" s="73"/>
      <c r="DA2878" s="650"/>
    </row>
    <row r="2879" spans="1:105" s="45" customFormat="1" x14ac:dyDescent="0.2">
      <c r="A2879" s="650"/>
      <c r="B2879" s="438"/>
      <c r="D2879" s="73"/>
      <c r="E2879" s="650"/>
      <c r="F2879" s="650"/>
      <c r="G2879" s="73"/>
      <c r="I2879" s="111"/>
      <c r="J2879" s="81"/>
      <c r="K2879" s="81"/>
      <c r="L2879" s="499"/>
      <c r="M2879" s="73"/>
      <c r="N2879" s="499"/>
      <c r="O2879" s="73"/>
      <c r="P2879" s="73"/>
      <c r="Q2879" s="73"/>
      <c r="R2879" s="176"/>
      <c r="S2879" s="176"/>
      <c r="T2879" s="176"/>
      <c r="U2879" s="400"/>
      <c r="V2879" s="400"/>
      <c r="W2879" s="732"/>
      <c r="X2879" s="167"/>
      <c r="Y2879" s="509"/>
      <c r="Z2879" s="466"/>
      <c r="AA2879" s="466"/>
      <c r="AB2879" s="466"/>
      <c r="AC2879" s="466"/>
      <c r="AD2879" s="466"/>
      <c r="AE2879" s="466"/>
      <c r="AF2879" s="466"/>
      <c r="AG2879" s="466"/>
      <c r="AH2879" s="466"/>
      <c r="AI2879" s="466"/>
      <c r="AJ2879" s="466"/>
      <c r="AK2879" s="466"/>
      <c r="AL2879" s="466"/>
      <c r="AM2879" s="466"/>
      <c r="AN2879" s="466"/>
      <c r="AO2879" s="466"/>
      <c r="AP2879" s="466"/>
      <c r="AQ2879" s="466"/>
      <c r="AR2879" s="466"/>
      <c r="AS2879" s="466"/>
      <c r="AT2879" s="466"/>
      <c r="AU2879" s="466"/>
      <c r="AV2879" s="466"/>
      <c r="AW2879" s="466"/>
      <c r="AX2879" s="466"/>
      <c r="AY2879" s="466"/>
      <c r="AZ2879" s="466"/>
      <c r="BA2879" s="466"/>
      <c r="BB2879" s="466"/>
      <c r="BC2879" s="466"/>
      <c r="BD2879" s="466"/>
      <c r="BE2879" s="467"/>
      <c r="BF2879" s="467"/>
      <c r="BG2879" s="466"/>
      <c r="BH2879" s="466"/>
      <c r="BI2879" s="467"/>
      <c r="BJ2879" s="467"/>
      <c r="BK2879" s="467"/>
      <c r="BL2879" s="467"/>
      <c r="BM2879" s="467"/>
      <c r="BN2879" s="467"/>
      <c r="BO2879" s="467"/>
      <c r="BP2879" s="467"/>
      <c r="BQ2879" s="467"/>
      <c r="BR2879" s="467"/>
      <c r="BS2879" s="467"/>
      <c r="BT2879" s="467"/>
      <c r="BU2879" s="467"/>
      <c r="BV2879" s="467"/>
      <c r="BW2879" s="467"/>
      <c r="BX2879" s="769"/>
      <c r="BY2879" s="769"/>
      <c r="BZ2879" s="769"/>
      <c r="CA2879" s="769"/>
      <c r="CB2879" s="769"/>
      <c r="CC2879" s="769"/>
      <c r="CD2879" s="769"/>
      <c r="CE2879" s="769"/>
      <c r="CF2879" s="769"/>
      <c r="CG2879" s="73"/>
      <c r="CH2879" s="438"/>
      <c r="CI2879" s="416"/>
      <c r="CJ2879" s="73"/>
      <c r="CK2879" s="650"/>
      <c r="CL2879" s="499"/>
      <c r="CM2879" s="650"/>
      <c r="CR2879" s="416"/>
      <c r="CS2879" s="650"/>
      <c r="CU2879" s="73"/>
      <c r="CV2879" s="73"/>
      <c r="CW2879" s="73"/>
      <c r="CX2879" s="73"/>
      <c r="DA2879" s="650"/>
    </row>
    <row r="2880" spans="1:105" s="45" customFormat="1" x14ac:dyDescent="0.2">
      <c r="A2880" s="650"/>
      <c r="B2880" s="438"/>
      <c r="D2880" s="73"/>
      <c r="E2880" s="650"/>
      <c r="F2880" s="650"/>
      <c r="G2880" s="73"/>
      <c r="I2880" s="111"/>
      <c r="J2880" s="81"/>
      <c r="K2880" s="81"/>
      <c r="L2880" s="499"/>
      <c r="M2880" s="73"/>
      <c r="N2880" s="499"/>
      <c r="O2880" s="73"/>
      <c r="P2880" s="73"/>
      <c r="Q2880" s="73"/>
      <c r="R2880" s="176"/>
      <c r="S2880" s="176"/>
      <c r="T2880" s="176"/>
      <c r="U2880" s="400"/>
      <c r="V2880" s="400"/>
      <c r="W2880" s="732"/>
      <c r="X2880" s="167"/>
      <c r="Y2880" s="509"/>
      <c r="Z2880" s="466"/>
      <c r="AA2880" s="466"/>
      <c r="AB2880" s="466"/>
      <c r="AC2880" s="466"/>
      <c r="AD2880" s="466"/>
      <c r="AE2880" s="466"/>
      <c r="AF2880" s="466"/>
      <c r="AG2880" s="466"/>
      <c r="AH2880" s="466"/>
      <c r="AI2880" s="466"/>
      <c r="AJ2880" s="466"/>
      <c r="AK2880" s="466"/>
      <c r="AL2880" s="466"/>
      <c r="AM2880" s="466"/>
      <c r="AN2880" s="466"/>
      <c r="AO2880" s="466"/>
      <c r="AP2880" s="466"/>
      <c r="AQ2880" s="466"/>
      <c r="AR2880" s="466"/>
      <c r="AS2880" s="466"/>
      <c r="AT2880" s="466"/>
      <c r="AU2880" s="466"/>
      <c r="AV2880" s="466"/>
      <c r="AW2880" s="466"/>
      <c r="AX2880" s="466"/>
      <c r="AY2880" s="466"/>
      <c r="AZ2880" s="466"/>
      <c r="BA2880" s="466"/>
      <c r="BB2880" s="466"/>
      <c r="BC2880" s="466"/>
      <c r="BD2880" s="466"/>
      <c r="BE2880" s="467"/>
      <c r="BF2880" s="467"/>
      <c r="BG2880" s="466"/>
      <c r="BH2880" s="466"/>
      <c r="BI2880" s="467"/>
      <c r="BJ2880" s="467"/>
      <c r="BK2880" s="467"/>
      <c r="BL2880" s="467"/>
      <c r="BM2880" s="467"/>
      <c r="BN2880" s="467"/>
      <c r="BO2880" s="467"/>
      <c r="BP2880" s="467"/>
      <c r="BQ2880" s="467"/>
      <c r="BR2880" s="467"/>
      <c r="BS2880" s="467"/>
      <c r="BT2880" s="467"/>
      <c r="BU2880" s="467"/>
      <c r="BV2880" s="467"/>
      <c r="BW2880" s="467"/>
      <c r="BX2880" s="769"/>
      <c r="BY2880" s="769"/>
      <c r="BZ2880" s="769"/>
      <c r="CA2880" s="769"/>
      <c r="CB2880" s="769"/>
      <c r="CC2880" s="769"/>
      <c r="CD2880" s="769"/>
      <c r="CE2880" s="769"/>
      <c r="CF2880" s="769"/>
      <c r="CG2880" s="73"/>
      <c r="CH2880" s="438"/>
      <c r="CI2880" s="416"/>
      <c r="CJ2880" s="73"/>
      <c r="CK2880" s="650"/>
      <c r="CL2880" s="499"/>
      <c r="CM2880" s="650"/>
      <c r="CR2880" s="416"/>
      <c r="CS2880" s="650"/>
      <c r="CU2880" s="73"/>
      <c r="CV2880" s="73"/>
      <c r="CW2880" s="73"/>
      <c r="CX2880" s="73"/>
      <c r="DA2880" s="650"/>
    </row>
    <row r="2881" spans="1:105" s="45" customFormat="1" x14ac:dyDescent="0.2">
      <c r="A2881" s="650"/>
      <c r="B2881" s="438"/>
      <c r="D2881" s="73"/>
      <c r="E2881" s="650"/>
      <c r="F2881" s="650"/>
      <c r="G2881" s="73"/>
      <c r="I2881" s="111"/>
      <c r="J2881" s="81"/>
      <c r="K2881" s="81"/>
      <c r="L2881" s="499"/>
      <c r="M2881" s="73"/>
      <c r="N2881" s="499"/>
      <c r="O2881" s="73"/>
      <c r="P2881" s="73"/>
      <c r="Q2881" s="73"/>
      <c r="R2881" s="176"/>
      <c r="S2881" s="176"/>
      <c r="T2881" s="176"/>
      <c r="U2881" s="400"/>
      <c r="V2881" s="400"/>
      <c r="W2881" s="732"/>
      <c r="X2881" s="167"/>
      <c r="Y2881" s="509"/>
      <c r="Z2881" s="466"/>
      <c r="AA2881" s="466"/>
      <c r="AB2881" s="466"/>
      <c r="AC2881" s="466"/>
      <c r="AD2881" s="466"/>
      <c r="AE2881" s="466"/>
      <c r="AF2881" s="466"/>
      <c r="AG2881" s="466"/>
      <c r="AH2881" s="466"/>
      <c r="AI2881" s="466"/>
      <c r="AJ2881" s="466"/>
      <c r="AK2881" s="466"/>
      <c r="AL2881" s="466"/>
      <c r="AM2881" s="466"/>
      <c r="AN2881" s="466"/>
      <c r="AO2881" s="466"/>
      <c r="AP2881" s="466"/>
      <c r="AQ2881" s="466"/>
      <c r="AR2881" s="466"/>
      <c r="AS2881" s="466"/>
      <c r="AT2881" s="466"/>
      <c r="AU2881" s="466"/>
      <c r="AV2881" s="466"/>
      <c r="AW2881" s="466"/>
      <c r="AX2881" s="466"/>
      <c r="AY2881" s="466"/>
      <c r="AZ2881" s="466"/>
      <c r="BA2881" s="466"/>
      <c r="BB2881" s="466"/>
      <c r="BC2881" s="466"/>
      <c r="BD2881" s="466"/>
      <c r="BE2881" s="467"/>
      <c r="BF2881" s="467"/>
      <c r="BG2881" s="466"/>
      <c r="BH2881" s="466"/>
      <c r="BI2881" s="467"/>
      <c r="BJ2881" s="467"/>
      <c r="BK2881" s="467"/>
      <c r="BL2881" s="467"/>
      <c r="BM2881" s="467"/>
      <c r="BN2881" s="467"/>
      <c r="BO2881" s="467"/>
      <c r="BP2881" s="467"/>
      <c r="BQ2881" s="467"/>
      <c r="BR2881" s="467"/>
      <c r="BS2881" s="467"/>
      <c r="BT2881" s="467"/>
      <c r="BU2881" s="467"/>
      <c r="BV2881" s="467"/>
      <c r="BW2881" s="467"/>
      <c r="BX2881" s="769"/>
      <c r="BY2881" s="769"/>
      <c r="BZ2881" s="769"/>
      <c r="CA2881" s="769"/>
      <c r="CB2881" s="769"/>
      <c r="CC2881" s="769"/>
      <c r="CD2881" s="769"/>
      <c r="CE2881" s="769"/>
      <c r="CF2881" s="769"/>
      <c r="CG2881" s="73"/>
      <c r="CH2881" s="438"/>
      <c r="CI2881" s="416"/>
      <c r="CJ2881" s="73"/>
      <c r="CK2881" s="650"/>
      <c r="CL2881" s="499"/>
      <c r="CM2881" s="650"/>
      <c r="CR2881" s="416"/>
      <c r="CS2881" s="650"/>
      <c r="CU2881" s="73"/>
      <c r="CV2881" s="73"/>
      <c r="CW2881" s="73"/>
      <c r="CX2881" s="73"/>
      <c r="DA2881" s="650"/>
    </row>
    <row r="2882" spans="1:105" s="45" customFormat="1" x14ac:dyDescent="0.2">
      <c r="A2882" s="650"/>
      <c r="B2882" s="438"/>
      <c r="D2882" s="73"/>
      <c r="E2882" s="650"/>
      <c r="F2882" s="650"/>
      <c r="G2882" s="73"/>
      <c r="I2882" s="111"/>
      <c r="J2882" s="81"/>
      <c r="K2882" s="81"/>
      <c r="L2882" s="499"/>
      <c r="M2882" s="73"/>
      <c r="N2882" s="499"/>
      <c r="O2882" s="73"/>
      <c r="P2882" s="73"/>
      <c r="Q2882" s="73"/>
      <c r="R2882" s="176"/>
      <c r="S2882" s="176"/>
      <c r="T2882" s="176"/>
      <c r="U2882" s="400"/>
      <c r="V2882" s="400"/>
      <c r="W2882" s="732"/>
      <c r="X2882" s="167"/>
      <c r="Y2882" s="509"/>
      <c r="Z2882" s="466"/>
      <c r="AA2882" s="466"/>
      <c r="AB2882" s="466"/>
      <c r="AC2882" s="466"/>
      <c r="AD2882" s="466"/>
      <c r="AE2882" s="466"/>
      <c r="AF2882" s="466"/>
      <c r="AG2882" s="466"/>
      <c r="AH2882" s="466"/>
      <c r="AI2882" s="466"/>
      <c r="AJ2882" s="466"/>
      <c r="AK2882" s="466"/>
      <c r="AL2882" s="466"/>
      <c r="AM2882" s="466"/>
      <c r="AN2882" s="466"/>
      <c r="AO2882" s="466"/>
      <c r="AP2882" s="466"/>
      <c r="AQ2882" s="466"/>
      <c r="AR2882" s="466"/>
      <c r="AS2882" s="466"/>
      <c r="AT2882" s="466"/>
      <c r="AU2882" s="466"/>
      <c r="AV2882" s="466"/>
      <c r="AW2882" s="466"/>
      <c r="AX2882" s="466"/>
      <c r="AY2882" s="466"/>
      <c r="AZ2882" s="466"/>
      <c r="BA2882" s="466"/>
      <c r="BB2882" s="466"/>
      <c r="BC2882" s="466"/>
      <c r="BD2882" s="466"/>
      <c r="BE2882" s="467"/>
      <c r="BF2882" s="467"/>
      <c r="BG2882" s="466"/>
      <c r="BH2882" s="466"/>
      <c r="BI2882" s="467"/>
      <c r="BJ2882" s="467"/>
      <c r="BK2882" s="467"/>
      <c r="BL2882" s="467"/>
      <c r="BM2882" s="467"/>
      <c r="BN2882" s="467"/>
      <c r="BO2882" s="467"/>
      <c r="BP2882" s="467"/>
      <c r="BQ2882" s="467"/>
      <c r="BR2882" s="467"/>
      <c r="BS2882" s="467"/>
      <c r="BT2882" s="467"/>
      <c r="BU2882" s="467"/>
      <c r="BV2882" s="467"/>
      <c r="BW2882" s="467"/>
      <c r="BX2882" s="769"/>
      <c r="BY2882" s="769"/>
      <c r="BZ2882" s="769"/>
      <c r="CA2882" s="769"/>
      <c r="CB2882" s="769"/>
      <c r="CC2882" s="769"/>
      <c r="CD2882" s="769"/>
      <c r="CE2882" s="769"/>
      <c r="CF2882" s="769"/>
      <c r="CG2882" s="73"/>
      <c r="CH2882" s="438"/>
      <c r="CI2882" s="416"/>
      <c r="CJ2882" s="73"/>
      <c r="CK2882" s="650"/>
      <c r="CL2882" s="499"/>
      <c r="CM2882" s="650"/>
      <c r="CR2882" s="416"/>
      <c r="CS2882" s="650"/>
      <c r="CU2882" s="73"/>
      <c r="CV2882" s="73"/>
      <c r="CW2882" s="73"/>
      <c r="CX2882" s="73"/>
      <c r="DA2882" s="650"/>
    </row>
    <row r="2883" spans="1:105" s="45" customFormat="1" x14ac:dyDescent="0.2">
      <c r="A2883" s="650"/>
      <c r="B2883" s="438"/>
      <c r="D2883" s="73"/>
      <c r="E2883" s="650"/>
      <c r="F2883" s="650"/>
      <c r="G2883" s="73"/>
      <c r="I2883" s="111"/>
      <c r="J2883" s="81"/>
      <c r="K2883" s="81"/>
      <c r="L2883" s="499"/>
      <c r="M2883" s="73"/>
      <c r="N2883" s="499"/>
      <c r="O2883" s="73"/>
      <c r="P2883" s="73"/>
      <c r="Q2883" s="73"/>
      <c r="R2883" s="176"/>
      <c r="S2883" s="176"/>
      <c r="T2883" s="176"/>
      <c r="U2883" s="400"/>
      <c r="V2883" s="400"/>
      <c r="W2883" s="732"/>
      <c r="X2883" s="167"/>
      <c r="Y2883" s="509"/>
      <c r="Z2883" s="466"/>
      <c r="AA2883" s="466"/>
      <c r="AB2883" s="466"/>
      <c r="AC2883" s="466"/>
      <c r="AD2883" s="466"/>
      <c r="AE2883" s="466"/>
      <c r="AF2883" s="466"/>
      <c r="AG2883" s="466"/>
      <c r="AH2883" s="466"/>
      <c r="AI2883" s="466"/>
      <c r="AJ2883" s="466"/>
      <c r="AK2883" s="466"/>
      <c r="AL2883" s="466"/>
      <c r="AM2883" s="466"/>
      <c r="AN2883" s="466"/>
      <c r="AO2883" s="466"/>
      <c r="AP2883" s="466"/>
      <c r="AQ2883" s="466"/>
      <c r="AR2883" s="466"/>
      <c r="AS2883" s="466"/>
      <c r="AT2883" s="466"/>
      <c r="AU2883" s="466"/>
      <c r="AV2883" s="466"/>
      <c r="AW2883" s="466"/>
      <c r="AX2883" s="466"/>
      <c r="AY2883" s="466"/>
      <c r="AZ2883" s="466"/>
      <c r="BA2883" s="466"/>
      <c r="BB2883" s="466"/>
      <c r="BC2883" s="466"/>
      <c r="BD2883" s="466"/>
      <c r="BE2883" s="467"/>
      <c r="BF2883" s="467"/>
      <c r="BG2883" s="466"/>
      <c r="BH2883" s="466"/>
      <c r="BI2883" s="467"/>
      <c r="BJ2883" s="467"/>
      <c r="BK2883" s="467"/>
      <c r="BL2883" s="467"/>
      <c r="BM2883" s="467"/>
      <c r="BN2883" s="467"/>
      <c r="BO2883" s="467"/>
      <c r="BP2883" s="467"/>
      <c r="BQ2883" s="467"/>
      <c r="BR2883" s="467"/>
      <c r="BS2883" s="467"/>
      <c r="BT2883" s="467"/>
      <c r="BU2883" s="467"/>
      <c r="BV2883" s="467"/>
      <c r="BW2883" s="467"/>
      <c r="BX2883" s="769"/>
      <c r="BY2883" s="769"/>
      <c r="BZ2883" s="769"/>
      <c r="CA2883" s="769"/>
      <c r="CB2883" s="769"/>
      <c r="CC2883" s="769"/>
      <c r="CD2883" s="769"/>
      <c r="CE2883" s="769"/>
      <c r="CF2883" s="769"/>
      <c r="CG2883" s="73"/>
      <c r="CH2883" s="438"/>
      <c r="CI2883" s="416"/>
      <c r="CJ2883" s="73"/>
      <c r="CK2883" s="650"/>
      <c r="CL2883" s="499"/>
      <c r="CM2883" s="650"/>
      <c r="CR2883" s="416"/>
      <c r="CS2883" s="650"/>
      <c r="CU2883" s="73"/>
      <c r="CV2883" s="73"/>
      <c r="CW2883" s="73"/>
      <c r="CX2883" s="73"/>
      <c r="DA2883" s="650"/>
    </row>
    <row r="2884" spans="1:105" s="45" customFormat="1" x14ac:dyDescent="0.2">
      <c r="A2884" s="650"/>
      <c r="B2884" s="438"/>
      <c r="D2884" s="73"/>
      <c r="E2884" s="650"/>
      <c r="F2884" s="650"/>
      <c r="G2884" s="73"/>
      <c r="I2884" s="111"/>
      <c r="J2884" s="81"/>
      <c r="K2884" s="81"/>
      <c r="L2884" s="499"/>
      <c r="M2884" s="73"/>
      <c r="N2884" s="499"/>
      <c r="O2884" s="73"/>
      <c r="P2884" s="73"/>
      <c r="Q2884" s="73"/>
      <c r="R2884" s="176"/>
      <c r="S2884" s="176"/>
      <c r="T2884" s="176"/>
      <c r="U2884" s="400"/>
      <c r="V2884" s="400"/>
      <c r="W2884" s="732"/>
      <c r="X2884" s="167"/>
      <c r="Y2884" s="509"/>
      <c r="Z2884" s="466"/>
      <c r="AA2884" s="466"/>
      <c r="AB2884" s="466"/>
      <c r="AC2884" s="466"/>
      <c r="AD2884" s="466"/>
      <c r="AE2884" s="466"/>
      <c r="AF2884" s="466"/>
      <c r="AG2884" s="466"/>
      <c r="AH2884" s="466"/>
      <c r="AI2884" s="466"/>
      <c r="AJ2884" s="466"/>
      <c r="AK2884" s="466"/>
      <c r="AL2884" s="466"/>
      <c r="AM2884" s="466"/>
      <c r="AN2884" s="466"/>
      <c r="AO2884" s="466"/>
      <c r="AP2884" s="466"/>
      <c r="AQ2884" s="466"/>
      <c r="AR2884" s="466"/>
      <c r="AS2884" s="466"/>
      <c r="AT2884" s="466"/>
      <c r="AU2884" s="466"/>
      <c r="AV2884" s="466"/>
      <c r="AW2884" s="466"/>
      <c r="AX2884" s="466"/>
      <c r="AY2884" s="466"/>
      <c r="AZ2884" s="466"/>
      <c r="BA2884" s="466"/>
      <c r="BB2884" s="466"/>
      <c r="BC2884" s="466"/>
      <c r="BD2884" s="466"/>
      <c r="BE2884" s="467"/>
      <c r="BF2884" s="467"/>
      <c r="BG2884" s="466"/>
      <c r="BH2884" s="466"/>
      <c r="BI2884" s="467"/>
      <c r="BJ2884" s="467"/>
      <c r="BK2884" s="467"/>
      <c r="BL2884" s="467"/>
      <c r="BM2884" s="467"/>
      <c r="BN2884" s="467"/>
      <c r="BO2884" s="467"/>
      <c r="BP2884" s="467"/>
      <c r="BQ2884" s="467"/>
      <c r="BR2884" s="467"/>
      <c r="BS2884" s="467"/>
      <c r="BT2884" s="467"/>
      <c r="BU2884" s="467"/>
      <c r="BV2884" s="467"/>
      <c r="BW2884" s="467"/>
      <c r="BX2884" s="769"/>
      <c r="BY2884" s="769"/>
      <c r="BZ2884" s="769"/>
      <c r="CA2884" s="769"/>
      <c r="CB2884" s="769"/>
      <c r="CC2884" s="769"/>
      <c r="CD2884" s="769"/>
      <c r="CE2884" s="769"/>
      <c r="CF2884" s="769"/>
      <c r="CG2884" s="73"/>
      <c r="CH2884" s="438"/>
      <c r="CI2884" s="416"/>
      <c r="CJ2884" s="73"/>
      <c r="CK2884" s="650"/>
      <c r="CL2884" s="499"/>
      <c r="CM2884" s="650"/>
      <c r="CR2884" s="416"/>
      <c r="CS2884" s="650"/>
      <c r="CU2884" s="73"/>
      <c r="CV2884" s="73"/>
      <c r="CW2884" s="73"/>
      <c r="CX2884" s="73"/>
      <c r="DA2884" s="650"/>
    </row>
    <row r="2885" spans="1:105" s="45" customFormat="1" x14ac:dyDescent="0.2">
      <c r="A2885" s="650"/>
      <c r="B2885" s="438"/>
      <c r="D2885" s="73"/>
      <c r="E2885" s="650"/>
      <c r="F2885" s="650"/>
      <c r="G2885" s="73"/>
      <c r="I2885" s="111"/>
      <c r="J2885" s="81"/>
      <c r="K2885" s="81"/>
      <c r="L2885" s="499"/>
      <c r="M2885" s="73"/>
      <c r="N2885" s="499"/>
      <c r="O2885" s="73"/>
      <c r="P2885" s="73"/>
      <c r="Q2885" s="73"/>
      <c r="R2885" s="176"/>
      <c r="S2885" s="176"/>
      <c r="T2885" s="176"/>
      <c r="U2885" s="400"/>
      <c r="V2885" s="400"/>
      <c r="W2885" s="732"/>
      <c r="X2885" s="167"/>
      <c r="Y2885" s="509"/>
      <c r="Z2885" s="466"/>
      <c r="AA2885" s="466"/>
      <c r="AB2885" s="466"/>
      <c r="AC2885" s="466"/>
      <c r="AD2885" s="466"/>
      <c r="AE2885" s="466"/>
      <c r="AF2885" s="466"/>
      <c r="AG2885" s="466"/>
      <c r="AH2885" s="466"/>
      <c r="AI2885" s="466"/>
      <c r="AJ2885" s="466"/>
      <c r="AK2885" s="466"/>
      <c r="AL2885" s="466"/>
      <c r="AM2885" s="466"/>
      <c r="AN2885" s="466"/>
      <c r="AO2885" s="466"/>
      <c r="AP2885" s="466"/>
      <c r="AQ2885" s="466"/>
      <c r="AR2885" s="466"/>
      <c r="AS2885" s="466"/>
      <c r="AT2885" s="466"/>
      <c r="AU2885" s="466"/>
      <c r="AV2885" s="466"/>
      <c r="AW2885" s="466"/>
      <c r="AX2885" s="466"/>
      <c r="AY2885" s="466"/>
      <c r="AZ2885" s="466"/>
      <c r="BA2885" s="466"/>
      <c r="BB2885" s="466"/>
      <c r="BC2885" s="466"/>
      <c r="BD2885" s="466"/>
      <c r="BE2885" s="467"/>
      <c r="BF2885" s="467"/>
      <c r="BG2885" s="466"/>
      <c r="BH2885" s="466"/>
      <c r="BI2885" s="467"/>
      <c r="BJ2885" s="467"/>
      <c r="BK2885" s="467"/>
      <c r="BL2885" s="467"/>
      <c r="BM2885" s="467"/>
      <c r="BN2885" s="467"/>
      <c r="BO2885" s="467"/>
      <c r="BP2885" s="467"/>
      <c r="BQ2885" s="467"/>
      <c r="BR2885" s="467"/>
      <c r="BS2885" s="467"/>
      <c r="BT2885" s="467"/>
      <c r="BU2885" s="467"/>
      <c r="BV2885" s="467"/>
      <c r="BW2885" s="467"/>
      <c r="BX2885" s="769"/>
      <c r="BY2885" s="769"/>
      <c r="BZ2885" s="769"/>
      <c r="CA2885" s="769"/>
      <c r="CB2885" s="769"/>
      <c r="CC2885" s="769"/>
      <c r="CD2885" s="769"/>
      <c r="CE2885" s="769"/>
      <c r="CF2885" s="769"/>
      <c r="CG2885" s="73"/>
      <c r="CH2885" s="438"/>
      <c r="CI2885" s="416"/>
      <c r="CJ2885" s="73"/>
      <c r="CK2885" s="650"/>
      <c r="CL2885" s="499"/>
      <c r="CM2885" s="650"/>
      <c r="CR2885" s="416"/>
      <c r="CS2885" s="650"/>
      <c r="CU2885" s="73"/>
      <c r="CV2885" s="73"/>
      <c r="CW2885" s="73"/>
      <c r="CX2885" s="73"/>
      <c r="DA2885" s="650"/>
    </row>
    <row r="2886" spans="1:105" s="45" customFormat="1" x14ac:dyDescent="0.2">
      <c r="A2886" s="650"/>
      <c r="B2886" s="438"/>
      <c r="D2886" s="73"/>
      <c r="E2886" s="650"/>
      <c r="F2886" s="650"/>
      <c r="G2886" s="73"/>
      <c r="I2886" s="111"/>
      <c r="J2886" s="81"/>
      <c r="K2886" s="81"/>
      <c r="L2886" s="499"/>
      <c r="M2886" s="73"/>
      <c r="N2886" s="499"/>
      <c r="O2886" s="73"/>
      <c r="P2886" s="73"/>
      <c r="Q2886" s="73"/>
      <c r="R2886" s="176"/>
      <c r="S2886" s="176"/>
      <c r="T2886" s="176"/>
      <c r="U2886" s="400"/>
      <c r="V2886" s="400"/>
      <c r="W2886" s="732"/>
      <c r="X2886" s="167"/>
      <c r="Y2886" s="509"/>
      <c r="Z2886" s="466"/>
      <c r="AA2886" s="466"/>
      <c r="AB2886" s="466"/>
      <c r="AC2886" s="466"/>
      <c r="AD2886" s="466"/>
      <c r="AE2886" s="466"/>
      <c r="AF2886" s="466"/>
      <c r="AG2886" s="466"/>
      <c r="AH2886" s="466"/>
      <c r="AI2886" s="466"/>
      <c r="AJ2886" s="466"/>
      <c r="AK2886" s="466"/>
      <c r="AL2886" s="466"/>
      <c r="AM2886" s="466"/>
      <c r="AN2886" s="466"/>
      <c r="AO2886" s="466"/>
      <c r="AP2886" s="466"/>
      <c r="AQ2886" s="466"/>
      <c r="AR2886" s="466"/>
      <c r="AS2886" s="466"/>
      <c r="AT2886" s="466"/>
      <c r="AU2886" s="466"/>
      <c r="AV2886" s="466"/>
      <c r="AW2886" s="466"/>
      <c r="AX2886" s="466"/>
      <c r="AY2886" s="466"/>
      <c r="AZ2886" s="466"/>
      <c r="BA2886" s="466"/>
      <c r="BB2886" s="466"/>
      <c r="BC2886" s="466"/>
      <c r="BD2886" s="466"/>
      <c r="BE2886" s="467"/>
      <c r="BF2886" s="467"/>
      <c r="BG2886" s="466"/>
      <c r="BH2886" s="466"/>
      <c r="BI2886" s="467"/>
      <c r="BJ2886" s="467"/>
      <c r="BK2886" s="467"/>
      <c r="BL2886" s="467"/>
      <c r="BM2886" s="467"/>
      <c r="BN2886" s="467"/>
      <c r="BO2886" s="467"/>
      <c r="BP2886" s="467"/>
      <c r="BQ2886" s="467"/>
      <c r="BR2886" s="467"/>
      <c r="BS2886" s="467"/>
      <c r="BT2886" s="467"/>
      <c r="BU2886" s="467"/>
      <c r="BV2886" s="467"/>
      <c r="BW2886" s="467"/>
      <c r="BX2886" s="769"/>
      <c r="BY2886" s="769"/>
      <c r="BZ2886" s="769"/>
      <c r="CA2886" s="769"/>
      <c r="CB2886" s="769"/>
      <c r="CC2886" s="769"/>
      <c r="CD2886" s="769"/>
      <c r="CE2886" s="769"/>
      <c r="CF2886" s="769"/>
      <c r="CG2886" s="73"/>
      <c r="CH2886" s="438"/>
      <c r="CI2886" s="416"/>
      <c r="CJ2886" s="73"/>
      <c r="CK2886" s="650"/>
      <c r="CL2886" s="499"/>
      <c r="CM2886" s="650"/>
      <c r="CR2886" s="416"/>
      <c r="CS2886" s="650"/>
      <c r="CU2886" s="73"/>
      <c r="CV2886" s="73"/>
      <c r="CW2886" s="73"/>
      <c r="CX2886" s="73"/>
      <c r="DA2886" s="650"/>
    </row>
    <row r="2887" spans="1:105" s="45" customFormat="1" x14ac:dyDescent="0.2">
      <c r="A2887" s="650"/>
      <c r="B2887" s="438"/>
      <c r="D2887" s="73"/>
      <c r="E2887" s="650"/>
      <c r="F2887" s="650"/>
      <c r="G2887" s="73"/>
      <c r="I2887" s="111"/>
      <c r="J2887" s="81"/>
      <c r="K2887" s="81"/>
      <c r="L2887" s="499"/>
      <c r="M2887" s="73"/>
      <c r="N2887" s="499"/>
      <c r="O2887" s="73"/>
      <c r="P2887" s="73"/>
      <c r="Q2887" s="73"/>
      <c r="R2887" s="176"/>
      <c r="S2887" s="176"/>
      <c r="T2887" s="176"/>
      <c r="U2887" s="400"/>
      <c r="V2887" s="400"/>
      <c r="W2887" s="732"/>
      <c r="X2887" s="167"/>
      <c r="Y2887" s="509"/>
      <c r="Z2887" s="466"/>
      <c r="AA2887" s="466"/>
      <c r="AB2887" s="466"/>
      <c r="AC2887" s="466"/>
      <c r="AD2887" s="466"/>
      <c r="AE2887" s="466"/>
      <c r="AF2887" s="466"/>
      <c r="AG2887" s="466"/>
      <c r="AH2887" s="466"/>
      <c r="AI2887" s="466"/>
      <c r="AJ2887" s="466"/>
      <c r="AK2887" s="466"/>
      <c r="AL2887" s="466"/>
      <c r="AM2887" s="466"/>
      <c r="AN2887" s="466"/>
      <c r="AO2887" s="466"/>
      <c r="AP2887" s="466"/>
      <c r="AQ2887" s="466"/>
      <c r="AR2887" s="466"/>
      <c r="AS2887" s="466"/>
      <c r="AT2887" s="466"/>
      <c r="AU2887" s="466"/>
      <c r="AV2887" s="466"/>
      <c r="AW2887" s="466"/>
      <c r="AX2887" s="466"/>
      <c r="AY2887" s="466"/>
      <c r="AZ2887" s="466"/>
      <c r="BA2887" s="466"/>
      <c r="BB2887" s="466"/>
      <c r="BC2887" s="466"/>
      <c r="BD2887" s="466"/>
      <c r="BE2887" s="467"/>
      <c r="BF2887" s="467"/>
      <c r="BG2887" s="466"/>
      <c r="BH2887" s="466"/>
      <c r="BI2887" s="467"/>
      <c r="BJ2887" s="467"/>
      <c r="BK2887" s="467"/>
      <c r="BL2887" s="467"/>
      <c r="BM2887" s="467"/>
      <c r="BN2887" s="467"/>
      <c r="BO2887" s="467"/>
      <c r="BP2887" s="467"/>
      <c r="BQ2887" s="467"/>
      <c r="BR2887" s="467"/>
      <c r="BS2887" s="467"/>
      <c r="BT2887" s="467"/>
      <c r="BU2887" s="467"/>
      <c r="BV2887" s="467"/>
      <c r="BW2887" s="467"/>
      <c r="BX2887" s="769"/>
      <c r="BY2887" s="769"/>
      <c r="BZ2887" s="769"/>
      <c r="CA2887" s="769"/>
      <c r="CB2887" s="769"/>
      <c r="CC2887" s="769"/>
      <c r="CD2887" s="769"/>
      <c r="CE2887" s="769"/>
      <c r="CF2887" s="769"/>
      <c r="CG2887" s="73"/>
      <c r="CH2887" s="438"/>
      <c r="CI2887" s="416"/>
      <c r="CJ2887" s="73"/>
      <c r="CK2887" s="650"/>
      <c r="CL2887" s="499"/>
      <c r="CM2887" s="650"/>
      <c r="CR2887" s="416"/>
      <c r="CS2887" s="650"/>
      <c r="CU2887" s="73"/>
      <c r="CV2887" s="73"/>
      <c r="CW2887" s="73"/>
      <c r="CX2887" s="73"/>
      <c r="DA2887" s="650"/>
    </row>
    <row r="2888" spans="1:105" s="45" customFormat="1" x14ac:dyDescent="0.2">
      <c r="A2888" s="650"/>
      <c r="B2888" s="438"/>
      <c r="D2888" s="73"/>
      <c r="E2888" s="650"/>
      <c r="F2888" s="650"/>
      <c r="G2888" s="73"/>
      <c r="I2888" s="111"/>
      <c r="J2888" s="81"/>
      <c r="K2888" s="81"/>
      <c r="L2888" s="499"/>
      <c r="M2888" s="73"/>
      <c r="N2888" s="499"/>
      <c r="O2888" s="73"/>
      <c r="P2888" s="73"/>
      <c r="Q2888" s="73"/>
      <c r="R2888" s="176"/>
      <c r="S2888" s="176"/>
      <c r="T2888" s="176"/>
      <c r="U2888" s="400"/>
      <c r="V2888" s="400"/>
      <c r="W2888" s="732"/>
      <c r="X2888" s="167"/>
      <c r="Y2888" s="509"/>
      <c r="Z2888" s="466"/>
      <c r="AA2888" s="466"/>
      <c r="AB2888" s="466"/>
      <c r="AC2888" s="466"/>
      <c r="AD2888" s="466"/>
      <c r="AE2888" s="466"/>
      <c r="AF2888" s="466"/>
      <c r="AG2888" s="466"/>
      <c r="AH2888" s="466"/>
      <c r="AI2888" s="466"/>
      <c r="AJ2888" s="466"/>
      <c r="AK2888" s="466"/>
      <c r="AL2888" s="466"/>
      <c r="AM2888" s="466"/>
      <c r="AN2888" s="466"/>
      <c r="AO2888" s="466"/>
      <c r="AP2888" s="466"/>
      <c r="AQ2888" s="466"/>
      <c r="AR2888" s="466"/>
      <c r="AS2888" s="466"/>
      <c r="AT2888" s="466"/>
      <c r="AU2888" s="466"/>
      <c r="AV2888" s="466"/>
      <c r="AW2888" s="466"/>
      <c r="AX2888" s="466"/>
      <c r="AY2888" s="466"/>
      <c r="AZ2888" s="466"/>
      <c r="BA2888" s="466"/>
      <c r="BB2888" s="466"/>
      <c r="BC2888" s="466"/>
      <c r="BD2888" s="466"/>
      <c r="BE2888" s="467"/>
      <c r="BF2888" s="467"/>
      <c r="BG2888" s="466"/>
      <c r="BH2888" s="466"/>
      <c r="BI2888" s="467"/>
      <c r="BJ2888" s="467"/>
      <c r="BK2888" s="467"/>
      <c r="BL2888" s="467"/>
      <c r="BM2888" s="467"/>
      <c r="BN2888" s="467"/>
      <c r="BO2888" s="467"/>
      <c r="BP2888" s="467"/>
      <c r="BQ2888" s="467"/>
      <c r="BR2888" s="467"/>
      <c r="BS2888" s="467"/>
      <c r="BT2888" s="467"/>
      <c r="BU2888" s="467"/>
      <c r="BV2888" s="467"/>
      <c r="BW2888" s="467"/>
      <c r="BX2888" s="769"/>
      <c r="BY2888" s="769"/>
      <c r="BZ2888" s="769"/>
      <c r="CA2888" s="769"/>
      <c r="CB2888" s="769"/>
      <c r="CC2888" s="769"/>
      <c r="CD2888" s="769"/>
      <c r="CE2888" s="769"/>
      <c r="CF2888" s="769"/>
      <c r="CG2888" s="73"/>
      <c r="CH2888" s="438"/>
      <c r="CI2888" s="416"/>
      <c r="CJ2888" s="73"/>
      <c r="CK2888" s="650"/>
      <c r="CL2888" s="499"/>
      <c r="CM2888" s="650"/>
      <c r="CR2888" s="416"/>
      <c r="CS2888" s="650"/>
      <c r="CU2888" s="73"/>
      <c r="CV2888" s="73"/>
      <c r="CW2888" s="73"/>
      <c r="CX2888" s="73"/>
      <c r="DA2888" s="650"/>
    </row>
    <row r="2889" spans="1:105" s="45" customFormat="1" x14ac:dyDescent="0.2">
      <c r="A2889" s="650"/>
      <c r="B2889" s="438"/>
      <c r="D2889" s="73"/>
      <c r="E2889" s="650"/>
      <c r="F2889" s="650"/>
      <c r="G2889" s="73"/>
      <c r="I2889" s="111"/>
      <c r="J2889" s="81"/>
      <c r="K2889" s="81"/>
      <c r="L2889" s="499"/>
      <c r="M2889" s="73"/>
      <c r="N2889" s="499"/>
      <c r="O2889" s="73"/>
      <c r="P2889" s="73"/>
      <c r="Q2889" s="73"/>
      <c r="R2889" s="176"/>
      <c r="S2889" s="176"/>
      <c r="T2889" s="176"/>
      <c r="U2889" s="400"/>
      <c r="V2889" s="400"/>
      <c r="W2889" s="732"/>
      <c r="X2889" s="167"/>
      <c r="Y2889" s="509"/>
      <c r="Z2889" s="466"/>
      <c r="AA2889" s="466"/>
      <c r="AB2889" s="466"/>
      <c r="AC2889" s="466"/>
      <c r="AD2889" s="466"/>
      <c r="AE2889" s="466"/>
      <c r="AF2889" s="466"/>
      <c r="AG2889" s="466"/>
      <c r="AH2889" s="466"/>
      <c r="AI2889" s="466"/>
      <c r="AJ2889" s="466"/>
      <c r="AK2889" s="466"/>
      <c r="AL2889" s="466"/>
      <c r="AM2889" s="466"/>
      <c r="AN2889" s="466"/>
      <c r="AO2889" s="466"/>
      <c r="AP2889" s="466"/>
      <c r="AQ2889" s="466"/>
      <c r="AR2889" s="466"/>
      <c r="AS2889" s="466"/>
      <c r="AT2889" s="466"/>
      <c r="AU2889" s="466"/>
      <c r="AV2889" s="466"/>
      <c r="AW2889" s="466"/>
      <c r="AX2889" s="466"/>
      <c r="AY2889" s="466"/>
      <c r="AZ2889" s="466"/>
      <c r="BA2889" s="466"/>
      <c r="BB2889" s="466"/>
      <c r="BC2889" s="466"/>
      <c r="BD2889" s="466"/>
      <c r="BE2889" s="467"/>
      <c r="BF2889" s="467"/>
      <c r="BG2889" s="466"/>
      <c r="BH2889" s="466"/>
      <c r="BI2889" s="467"/>
      <c r="BJ2889" s="467"/>
      <c r="BK2889" s="467"/>
      <c r="BL2889" s="467"/>
      <c r="BM2889" s="467"/>
      <c r="BN2889" s="467"/>
      <c r="BO2889" s="467"/>
      <c r="BP2889" s="467"/>
      <c r="BQ2889" s="467"/>
      <c r="BR2889" s="467"/>
      <c r="BS2889" s="467"/>
      <c r="BT2889" s="467"/>
      <c r="BU2889" s="467"/>
      <c r="BV2889" s="467"/>
      <c r="BW2889" s="467"/>
      <c r="BX2889" s="769"/>
      <c r="BY2889" s="769"/>
      <c r="BZ2889" s="769"/>
      <c r="CA2889" s="769"/>
      <c r="CB2889" s="769"/>
      <c r="CC2889" s="769"/>
      <c r="CD2889" s="769"/>
      <c r="CE2889" s="769"/>
      <c r="CF2889" s="769"/>
      <c r="CG2889" s="73"/>
      <c r="CH2889" s="438"/>
      <c r="CI2889" s="416"/>
      <c r="CJ2889" s="73"/>
      <c r="CK2889" s="650"/>
      <c r="CL2889" s="499"/>
      <c r="CM2889" s="650"/>
      <c r="CR2889" s="416"/>
      <c r="CS2889" s="650"/>
      <c r="CU2889" s="73"/>
      <c r="CV2889" s="73"/>
      <c r="CW2889" s="73"/>
      <c r="CX2889" s="73"/>
      <c r="DA2889" s="650"/>
    </row>
    <row r="2890" spans="1:105" s="45" customFormat="1" x14ac:dyDescent="0.2">
      <c r="A2890" s="650"/>
      <c r="B2890" s="438"/>
      <c r="D2890" s="73"/>
      <c r="E2890" s="650"/>
      <c r="F2890" s="650"/>
      <c r="G2890" s="73"/>
      <c r="I2890" s="111"/>
      <c r="J2890" s="81"/>
      <c r="K2890" s="81"/>
      <c r="L2890" s="499"/>
      <c r="M2890" s="73"/>
      <c r="N2890" s="499"/>
      <c r="O2890" s="73"/>
      <c r="P2890" s="73"/>
      <c r="Q2890" s="73"/>
      <c r="R2890" s="176"/>
      <c r="S2890" s="176"/>
      <c r="T2890" s="176"/>
      <c r="U2890" s="400"/>
      <c r="V2890" s="400"/>
      <c r="W2890" s="732"/>
      <c r="X2890" s="167"/>
      <c r="Y2890" s="509"/>
      <c r="Z2890" s="466"/>
      <c r="AA2890" s="466"/>
      <c r="AB2890" s="466"/>
      <c r="AC2890" s="466"/>
      <c r="AD2890" s="466"/>
      <c r="AE2890" s="466"/>
      <c r="AF2890" s="466"/>
      <c r="AG2890" s="466"/>
      <c r="AH2890" s="466"/>
      <c r="AI2890" s="466"/>
      <c r="AJ2890" s="466"/>
      <c r="AK2890" s="466"/>
      <c r="AL2890" s="466"/>
      <c r="AM2890" s="466"/>
      <c r="AN2890" s="466"/>
      <c r="AO2890" s="466"/>
      <c r="AP2890" s="466"/>
      <c r="AQ2890" s="466"/>
      <c r="AR2890" s="466"/>
      <c r="AS2890" s="466"/>
      <c r="AT2890" s="466"/>
      <c r="AU2890" s="466"/>
      <c r="AV2890" s="466"/>
      <c r="AW2890" s="466"/>
      <c r="AX2890" s="466"/>
      <c r="AY2890" s="466"/>
      <c r="AZ2890" s="466"/>
      <c r="BA2890" s="466"/>
      <c r="BB2890" s="466"/>
      <c r="BC2890" s="466"/>
      <c r="BD2890" s="466"/>
      <c r="BE2890" s="467"/>
      <c r="BF2890" s="467"/>
      <c r="BG2890" s="466"/>
      <c r="BH2890" s="466"/>
      <c r="BI2890" s="467"/>
      <c r="BJ2890" s="467"/>
      <c r="BK2890" s="467"/>
      <c r="BL2890" s="467"/>
      <c r="BM2890" s="467"/>
      <c r="BN2890" s="467"/>
      <c r="BO2890" s="467"/>
      <c r="BP2890" s="467"/>
      <c r="BQ2890" s="467"/>
      <c r="BR2890" s="467"/>
      <c r="BS2890" s="467"/>
      <c r="BT2890" s="467"/>
      <c r="BU2890" s="467"/>
      <c r="BV2890" s="467"/>
      <c r="BW2890" s="467"/>
      <c r="BX2890" s="769"/>
      <c r="BY2890" s="769"/>
      <c r="BZ2890" s="769"/>
      <c r="CA2890" s="769"/>
      <c r="CB2890" s="769"/>
      <c r="CC2890" s="769"/>
      <c r="CD2890" s="769"/>
      <c r="CE2890" s="769"/>
      <c r="CF2890" s="769"/>
      <c r="CG2890" s="73"/>
      <c r="CH2890" s="438"/>
      <c r="CI2890" s="416"/>
      <c r="CJ2890" s="73"/>
      <c r="CK2890" s="650"/>
      <c r="CL2890" s="499"/>
      <c r="CM2890" s="650"/>
      <c r="CR2890" s="416"/>
      <c r="CS2890" s="650"/>
      <c r="CU2890" s="73"/>
      <c r="CV2890" s="73"/>
      <c r="CW2890" s="73"/>
      <c r="CX2890" s="73"/>
      <c r="DA2890" s="650"/>
    </row>
    <row r="2891" spans="1:105" s="45" customFormat="1" x14ac:dyDescent="0.2">
      <c r="A2891" s="650"/>
      <c r="B2891" s="438"/>
      <c r="D2891" s="73"/>
      <c r="E2891" s="650"/>
      <c r="F2891" s="650"/>
      <c r="G2891" s="73"/>
      <c r="I2891" s="111"/>
      <c r="J2891" s="81"/>
      <c r="K2891" s="81"/>
      <c r="L2891" s="499"/>
      <c r="M2891" s="73"/>
      <c r="N2891" s="499"/>
      <c r="O2891" s="73"/>
      <c r="P2891" s="73"/>
      <c r="Q2891" s="73"/>
      <c r="R2891" s="176"/>
      <c r="S2891" s="176"/>
      <c r="T2891" s="176"/>
      <c r="U2891" s="400"/>
      <c r="V2891" s="400"/>
      <c r="W2891" s="732"/>
      <c r="X2891" s="167"/>
      <c r="Y2891" s="509"/>
      <c r="Z2891" s="466"/>
      <c r="AA2891" s="466"/>
      <c r="AB2891" s="466"/>
      <c r="AC2891" s="466"/>
      <c r="AD2891" s="466"/>
      <c r="AE2891" s="466"/>
      <c r="AF2891" s="466"/>
      <c r="AG2891" s="466"/>
      <c r="AH2891" s="466"/>
      <c r="AI2891" s="466"/>
      <c r="AJ2891" s="466"/>
      <c r="AK2891" s="466"/>
      <c r="AL2891" s="466"/>
      <c r="AM2891" s="466"/>
      <c r="AN2891" s="466"/>
      <c r="AO2891" s="466"/>
      <c r="AP2891" s="466"/>
      <c r="AQ2891" s="466"/>
      <c r="AR2891" s="466"/>
      <c r="AS2891" s="466"/>
      <c r="AT2891" s="466"/>
      <c r="AU2891" s="466"/>
      <c r="AV2891" s="466"/>
      <c r="AW2891" s="466"/>
      <c r="AX2891" s="466"/>
      <c r="AY2891" s="466"/>
      <c r="AZ2891" s="466"/>
      <c r="BA2891" s="466"/>
      <c r="BB2891" s="466"/>
      <c r="BC2891" s="466"/>
      <c r="BD2891" s="466"/>
      <c r="BE2891" s="467"/>
      <c r="BF2891" s="467"/>
      <c r="BG2891" s="466"/>
      <c r="BH2891" s="466"/>
      <c r="BI2891" s="467"/>
      <c r="BJ2891" s="467"/>
      <c r="BK2891" s="467"/>
      <c r="BL2891" s="467"/>
      <c r="BM2891" s="467"/>
      <c r="BN2891" s="467"/>
      <c r="BO2891" s="467"/>
      <c r="BP2891" s="467"/>
      <c r="BQ2891" s="467"/>
      <c r="BR2891" s="467"/>
      <c r="BS2891" s="467"/>
      <c r="BT2891" s="467"/>
      <c r="BU2891" s="467"/>
      <c r="BV2891" s="467"/>
      <c r="BW2891" s="467"/>
      <c r="BX2891" s="769"/>
      <c r="BY2891" s="769"/>
      <c r="BZ2891" s="769"/>
      <c r="CA2891" s="769"/>
      <c r="CB2891" s="769"/>
      <c r="CC2891" s="769"/>
      <c r="CD2891" s="769"/>
      <c r="CE2891" s="769"/>
      <c r="CF2891" s="769"/>
      <c r="CG2891" s="73"/>
      <c r="CH2891" s="438"/>
      <c r="CI2891" s="416"/>
      <c r="CJ2891" s="73"/>
      <c r="CK2891" s="650"/>
      <c r="CL2891" s="499"/>
      <c r="CM2891" s="650"/>
      <c r="CR2891" s="416"/>
      <c r="CS2891" s="650"/>
      <c r="CU2891" s="73"/>
      <c r="CV2891" s="73"/>
      <c r="CW2891" s="73"/>
      <c r="CX2891" s="73"/>
      <c r="DA2891" s="650"/>
    </row>
    <row r="2892" spans="1:105" s="45" customFormat="1" x14ac:dyDescent="0.2">
      <c r="A2892" s="650"/>
      <c r="B2892" s="438"/>
      <c r="D2892" s="73"/>
      <c r="E2892" s="650"/>
      <c r="F2892" s="650"/>
      <c r="G2892" s="73"/>
      <c r="I2892" s="111"/>
      <c r="J2892" s="81"/>
      <c r="K2892" s="81"/>
      <c r="L2892" s="499"/>
      <c r="M2892" s="73"/>
      <c r="N2892" s="499"/>
      <c r="O2892" s="73"/>
      <c r="P2892" s="73"/>
      <c r="Q2892" s="73"/>
      <c r="R2892" s="176"/>
      <c r="S2892" s="176"/>
      <c r="T2892" s="176"/>
      <c r="U2892" s="400"/>
      <c r="V2892" s="400"/>
      <c r="W2892" s="732"/>
      <c r="X2892" s="167"/>
      <c r="Y2892" s="509"/>
      <c r="Z2892" s="466"/>
      <c r="AA2892" s="466"/>
      <c r="AB2892" s="466"/>
      <c r="AC2892" s="466"/>
      <c r="AD2892" s="466"/>
      <c r="AE2892" s="466"/>
      <c r="AF2892" s="466"/>
      <c r="AG2892" s="466"/>
      <c r="AH2892" s="466"/>
      <c r="AI2892" s="466"/>
      <c r="AJ2892" s="466"/>
      <c r="AK2892" s="466"/>
      <c r="AL2892" s="466"/>
      <c r="AM2892" s="466"/>
      <c r="AN2892" s="466"/>
      <c r="AO2892" s="466"/>
      <c r="AP2892" s="466"/>
      <c r="AQ2892" s="466"/>
      <c r="AR2892" s="466"/>
      <c r="AS2892" s="466"/>
      <c r="AT2892" s="466"/>
      <c r="AU2892" s="466"/>
      <c r="AV2892" s="466"/>
      <c r="AW2892" s="466"/>
      <c r="AX2892" s="466"/>
      <c r="AY2892" s="466"/>
      <c r="AZ2892" s="466"/>
      <c r="BA2892" s="466"/>
      <c r="BB2892" s="466"/>
      <c r="BC2892" s="466"/>
      <c r="BD2892" s="466"/>
      <c r="BE2892" s="467"/>
      <c r="BF2892" s="467"/>
      <c r="BG2892" s="466"/>
      <c r="BH2892" s="466"/>
      <c r="BI2892" s="467"/>
      <c r="BJ2892" s="467"/>
      <c r="BK2892" s="467"/>
      <c r="BL2892" s="467"/>
      <c r="BM2892" s="467"/>
      <c r="BN2892" s="467"/>
      <c r="BO2892" s="467"/>
      <c r="BP2892" s="467"/>
      <c r="BQ2892" s="467"/>
      <c r="BR2892" s="467"/>
      <c r="BS2892" s="467"/>
      <c r="BT2892" s="467"/>
      <c r="BU2892" s="467"/>
      <c r="BV2892" s="467"/>
      <c r="BW2892" s="467"/>
      <c r="BX2892" s="769"/>
      <c r="BY2892" s="769"/>
      <c r="BZ2892" s="769"/>
      <c r="CA2892" s="769"/>
      <c r="CB2892" s="769"/>
      <c r="CC2892" s="769"/>
      <c r="CD2892" s="769"/>
      <c r="CE2892" s="769"/>
      <c r="CF2892" s="769"/>
      <c r="CG2892" s="73"/>
      <c r="CH2892" s="438"/>
      <c r="CI2892" s="416"/>
      <c r="CJ2892" s="73"/>
      <c r="CK2892" s="650"/>
      <c r="CL2892" s="499"/>
      <c r="CM2892" s="650"/>
      <c r="CR2892" s="416"/>
      <c r="CS2892" s="650"/>
      <c r="CU2892" s="73"/>
      <c r="CV2892" s="73"/>
      <c r="CW2892" s="73"/>
      <c r="CX2892" s="73"/>
      <c r="DA2892" s="650"/>
    </row>
    <row r="2893" spans="1:105" s="45" customFormat="1" x14ac:dyDescent="0.2">
      <c r="A2893" s="650"/>
      <c r="B2893" s="438"/>
      <c r="D2893" s="73"/>
      <c r="E2893" s="650"/>
      <c r="F2893" s="650"/>
      <c r="G2893" s="73"/>
      <c r="I2893" s="111"/>
      <c r="J2893" s="81"/>
      <c r="K2893" s="81"/>
      <c r="L2893" s="499"/>
      <c r="M2893" s="73"/>
      <c r="N2893" s="499"/>
      <c r="O2893" s="73"/>
      <c r="P2893" s="73"/>
      <c r="Q2893" s="73"/>
      <c r="R2893" s="176"/>
      <c r="S2893" s="176"/>
      <c r="T2893" s="176"/>
      <c r="U2893" s="400"/>
      <c r="V2893" s="400"/>
      <c r="W2893" s="732"/>
      <c r="X2893" s="167"/>
      <c r="Y2893" s="509"/>
      <c r="Z2893" s="466"/>
      <c r="AA2893" s="466"/>
      <c r="AB2893" s="466"/>
      <c r="AC2893" s="466"/>
      <c r="AD2893" s="466"/>
      <c r="AE2893" s="466"/>
      <c r="AF2893" s="466"/>
      <c r="AG2893" s="466"/>
      <c r="AH2893" s="466"/>
      <c r="AI2893" s="466"/>
      <c r="AJ2893" s="466"/>
      <c r="AK2893" s="466"/>
      <c r="AL2893" s="466"/>
      <c r="AM2893" s="466"/>
      <c r="AN2893" s="466"/>
      <c r="AO2893" s="466"/>
      <c r="AP2893" s="466"/>
      <c r="AQ2893" s="466"/>
      <c r="AR2893" s="466"/>
      <c r="AS2893" s="466"/>
      <c r="AT2893" s="466"/>
      <c r="AU2893" s="466"/>
      <c r="AV2893" s="466"/>
      <c r="AW2893" s="466"/>
      <c r="AX2893" s="466"/>
      <c r="AY2893" s="466"/>
      <c r="AZ2893" s="466"/>
      <c r="BA2893" s="466"/>
      <c r="BB2893" s="466"/>
      <c r="BC2893" s="466"/>
      <c r="BD2893" s="466"/>
      <c r="BE2893" s="467"/>
      <c r="BF2893" s="467"/>
      <c r="BG2893" s="466"/>
      <c r="BH2893" s="466"/>
      <c r="BI2893" s="467"/>
      <c r="BJ2893" s="467"/>
      <c r="BK2893" s="467"/>
      <c r="BL2893" s="467"/>
      <c r="BM2893" s="467"/>
      <c r="BN2893" s="467"/>
      <c r="BO2893" s="467"/>
      <c r="BP2893" s="467"/>
      <c r="BQ2893" s="467"/>
      <c r="BR2893" s="467"/>
      <c r="BS2893" s="467"/>
      <c r="BT2893" s="467"/>
      <c r="BU2893" s="467"/>
      <c r="BV2893" s="467"/>
      <c r="BW2893" s="467"/>
      <c r="BX2893" s="769"/>
      <c r="BY2893" s="769"/>
      <c r="BZ2893" s="769"/>
      <c r="CA2893" s="769"/>
      <c r="CB2893" s="769"/>
      <c r="CC2893" s="769"/>
      <c r="CD2893" s="769"/>
      <c r="CE2893" s="769"/>
      <c r="CF2893" s="769"/>
      <c r="CG2893" s="73"/>
      <c r="CH2893" s="438"/>
      <c r="CI2893" s="416"/>
      <c r="CJ2893" s="73"/>
      <c r="CK2893" s="650"/>
      <c r="CL2893" s="499"/>
      <c r="CM2893" s="650"/>
      <c r="CR2893" s="416"/>
      <c r="CS2893" s="650"/>
      <c r="CU2893" s="73"/>
      <c r="CV2893" s="73"/>
      <c r="CW2893" s="73"/>
      <c r="CX2893" s="73"/>
      <c r="DA2893" s="650"/>
    </row>
    <row r="2894" spans="1:105" s="45" customFormat="1" x14ac:dyDescent="0.2">
      <c r="A2894" s="650"/>
      <c r="B2894" s="438"/>
      <c r="D2894" s="73"/>
      <c r="E2894" s="650"/>
      <c r="F2894" s="650"/>
      <c r="G2894" s="73"/>
      <c r="I2894" s="111"/>
      <c r="J2894" s="81"/>
      <c r="K2894" s="81"/>
      <c r="L2894" s="499"/>
      <c r="M2894" s="73"/>
      <c r="N2894" s="499"/>
      <c r="O2894" s="73"/>
      <c r="P2894" s="73"/>
      <c r="Q2894" s="73"/>
      <c r="R2894" s="176"/>
      <c r="S2894" s="176"/>
      <c r="T2894" s="176"/>
      <c r="U2894" s="400"/>
      <c r="V2894" s="400"/>
      <c r="W2894" s="732"/>
      <c r="X2894" s="167"/>
      <c r="Y2894" s="509"/>
      <c r="Z2894" s="466"/>
      <c r="AA2894" s="466"/>
      <c r="AB2894" s="466"/>
      <c r="AC2894" s="466"/>
      <c r="AD2894" s="466"/>
      <c r="AE2894" s="466"/>
      <c r="AF2894" s="466"/>
      <c r="AG2894" s="466"/>
      <c r="AH2894" s="466"/>
      <c r="AI2894" s="466"/>
      <c r="AJ2894" s="466"/>
      <c r="AK2894" s="466"/>
      <c r="AL2894" s="466"/>
      <c r="AM2894" s="466"/>
      <c r="AN2894" s="466"/>
      <c r="AO2894" s="466"/>
      <c r="AP2894" s="466"/>
      <c r="AQ2894" s="466"/>
      <c r="AR2894" s="466"/>
      <c r="AS2894" s="466"/>
      <c r="AT2894" s="466"/>
      <c r="AU2894" s="466"/>
      <c r="AV2894" s="466"/>
      <c r="AW2894" s="466"/>
      <c r="AX2894" s="466"/>
      <c r="AY2894" s="466"/>
      <c r="AZ2894" s="466"/>
      <c r="BA2894" s="466"/>
      <c r="BB2894" s="466"/>
      <c r="BC2894" s="466"/>
      <c r="BD2894" s="466"/>
      <c r="BE2894" s="467"/>
      <c r="BF2894" s="467"/>
      <c r="BG2894" s="466"/>
      <c r="BH2894" s="466"/>
      <c r="BI2894" s="467"/>
      <c r="BJ2894" s="467"/>
      <c r="BK2894" s="467"/>
      <c r="BL2894" s="467"/>
      <c r="BM2894" s="467"/>
      <c r="BN2894" s="467"/>
      <c r="BO2894" s="467"/>
      <c r="BP2894" s="467"/>
      <c r="BQ2894" s="467"/>
      <c r="BR2894" s="467"/>
      <c r="BS2894" s="467"/>
      <c r="BT2894" s="467"/>
      <c r="BU2894" s="467"/>
      <c r="BV2894" s="467"/>
      <c r="BW2894" s="467"/>
      <c r="BX2894" s="769"/>
      <c r="BY2894" s="769"/>
      <c r="BZ2894" s="769"/>
      <c r="CA2894" s="769"/>
      <c r="CB2894" s="769"/>
      <c r="CC2894" s="769"/>
      <c r="CD2894" s="769"/>
      <c r="CE2894" s="769"/>
      <c r="CF2894" s="769"/>
      <c r="CG2894" s="73"/>
      <c r="CH2894" s="438"/>
      <c r="CI2894" s="416"/>
      <c r="CJ2894" s="73"/>
      <c r="CK2894" s="650"/>
      <c r="CL2894" s="499"/>
      <c r="CM2894" s="650"/>
      <c r="CR2894" s="416"/>
      <c r="CS2894" s="650"/>
      <c r="CU2894" s="73"/>
      <c r="CV2894" s="73"/>
      <c r="CW2894" s="73"/>
      <c r="CX2894" s="73"/>
      <c r="DA2894" s="650"/>
    </row>
    <row r="2895" spans="1:105" s="45" customFormat="1" x14ac:dyDescent="0.2">
      <c r="A2895" s="650"/>
      <c r="B2895" s="438"/>
      <c r="D2895" s="73"/>
      <c r="E2895" s="650"/>
      <c r="F2895" s="650"/>
      <c r="G2895" s="73"/>
      <c r="I2895" s="111"/>
      <c r="J2895" s="81"/>
      <c r="K2895" s="81"/>
      <c r="L2895" s="499"/>
      <c r="M2895" s="73"/>
      <c r="N2895" s="499"/>
      <c r="O2895" s="73"/>
      <c r="P2895" s="73"/>
      <c r="Q2895" s="73"/>
      <c r="R2895" s="176"/>
      <c r="S2895" s="176"/>
      <c r="T2895" s="176"/>
      <c r="U2895" s="400"/>
      <c r="V2895" s="400"/>
      <c r="W2895" s="732"/>
      <c r="X2895" s="167"/>
      <c r="Y2895" s="509"/>
      <c r="Z2895" s="466"/>
      <c r="AA2895" s="466"/>
      <c r="AB2895" s="466"/>
      <c r="AC2895" s="466"/>
      <c r="AD2895" s="466"/>
      <c r="AE2895" s="466"/>
      <c r="AF2895" s="466"/>
      <c r="AG2895" s="466"/>
      <c r="AH2895" s="466"/>
      <c r="AI2895" s="466"/>
      <c r="AJ2895" s="466"/>
      <c r="AK2895" s="466"/>
      <c r="AL2895" s="466"/>
      <c r="AM2895" s="466"/>
      <c r="AN2895" s="466"/>
      <c r="AO2895" s="466"/>
      <c r="AP2895" s="466"/>
      <c r="AQ2895" s="466"/>
      <c r="AR2895" s="466"/>
      <c r="AS2895" s="466"/>
      <c r="AT2895" s="466"/>
      <c r="AU2895" s="466"/>
      <c r="AV2895" s="466"/>
      <c r="AW2895" s="466"/>
      <c r="AX2895" s="466"/>
      <c r="AY2895" s="466"/>
      <c r="AZ2895" s="466"/>
      <c r="BA2895" s="466"/>
      <c r="BB2895" s="466"/>
      <c r="BC2895" s="466"/>
      <c r="BD2895" s="466"/>
      <c r="BE2895" s="467"/>
      <c r="BF2895" s="467"/>
      <c r="BG2895" s="466"/>
      <c r="BH2895" s="466"/>
      <c r="BI2895" s="467"/>
      <c r="BJ2895" s="467"/>
      <c r="BK2895" s="467"/>
      <c r="BL2895" s="467"/>
      <c r="BM2895" s="467"/>
      <c r="BN2895" s="467"/>
      <c r="BO2895" s="467"/>
      <c r="BP2895" s="467"/>
      <c r="BQ2895" s="467"/>
      <c r="BR2895" s="467"/>
      <c r="BS2895" s="467"/>
      <c r="BT2895" s="467"/>
      <c r="BU2895" s="467"/>
      <c r="BV2895" s="467"/>
      <c r="BW2895" s="467"/>
      <c r="BX2895" s="769"/>
      <c r="BY2895" s="769"/>
      <c r="BZ2895" s="769"/>
      <c r="CA2895" s="769"/>
      <c r="CB2895" s="769"/>
      <c r="CC2895" s="769"/>
      <c r="CD2895" s="769"/>
      <c r="CE2895" s="769"/>
      <c r="CF2895" s="769"/>
      <c r="CG2895" s="73"/>
      <c r="CH2895" s="438"/>
      <c r="CI2895" s="416"/>
      <c r="CJ2895" s="73"/>
      <c r="CK2895" s="650"/>
      <c r="CL2895" s="499"/>
      <c r="CM2895" s="650"/>
      <c r="CR2895" s="416"/>
      <c r="CS2895" s="650"/>
      <c r="CU2895" s="73"/>
      <c r="CV2895" s="73"/>
      <c r="CW2895" s="73"/>
      <c r="CX2895" s="73"/>
      <c r="DA2895" s="650"/>
    </row>
    <row r="2896" spans="1:105" s="45" customFormat="1" x14ac:dyDescent="0.2">
      <c r="A2896" s="650"/>
      <c r="B2896" s="438"/>
      <c r="D2896" s="73"/>
      <c r="E2896" s="650"/>
      <c r="F2896" s="650"/>
      <c r="G2896" s="73"/>
      <c r="I2896" s="111"/>
      <c r="J2896" s="81"/>
      <c r="K2896" s="81"/>
      <c r="L2896" s="499"/>
      <c r="M2896" s="73"/>
      <c r="N2896" s="499"/>
      <c r="O2896" s="73"/>
      <c r="P2896" s="73"/>
      <c r="Q2896" s="73"/>
      <c r="R2896" s="176"/>
      <c r="S2896" s="176"/>
      <c r="T2896" s="176"/>
      <c r="U2896" s="400"/>
      <c r="V2896" s="400"/>
      <c r="W2896" s="732"/>
      <c r="X2896" s="167"/>
      <c r="Y2896" s="509"/>
      <c r="Z2896" s="466"/>
      <c r="AA2896" s="466"/>
      <c r="AB2896" s="466"/>
      <c r="AC2896" s="466"/>
      <c r="AD2896" s="466"/>
      <c r="AE2896" s="466"/>
      <c r="AF2896" s="466"/>
      <c r="AG2896" s="466"/>
      <c r="AH2896" s="466"/>
      <c r="AI2896" s="466"/>
      <c r="AJ2896" s="466"/>
      <c r="AK2896" s="466"/>
      <c r="AL2896" s="466"/>
      <c r="AM2896" s="466"/>
      <c r="AN2896" s="466"/>
      <c r="AO2896" s="466"/>
      <c r="AP2896" s="466"/>
      <c r="AQ2896" s="466"/>
      <c r="AR2896" s="466"/>
      <c r="AS2896" s="466"/>
      <c r="AT2896" s="466"/>
      <c r="AU2896" s="466"/>
      <c r="AV2896" s="466"/>
      <c r="AW2896" s="466"/>
      <c r="AX2896" s="466"/>
      <c r="AY2896" s="466"/>
      <c r="AZ2896" s="466"/>
      <c r="BA2896" s="466"/>
      <c r="BB2896" s="466"/>
      <c r="BC2896" s="466"/>
      <c r="BD2896" s="466"/>
      <c r="BE2896" s="467"/>
      <c r="BF2896" s="467"/>
      <c r="BG2896" s="466"/>
      <c r="BH2896" s="466"/>
      <c r="BI2896" s="467"/>
      <c r="BJ2896" s="467"/>
      <c r="BK2896" s="467"/>
      <c r="BL2896" s="467"/>
      <c r="BM2896" s="467"/>
      <c r="BN2896" s="467"/>
      <c r="BO2896" s="467"/>
      <c r="BP2896" s="467"/>
      <c r="BQ2896" s="467"/>
      <c r="BR2896" s="467"/>
      <c r="BS2896" s="467"/>
      <c r="BT2896" s="467"/>
      <c r="BU2896" s="467"/>
      <c r="BV2896" s="467"/>
      <c r="BW2896" s="467"/>
      <c r="BX2896" s="769"/>
      <c r="BY2896" s="769"/>
      <c r="BZ2896" s="769"/>
      <c r="CA2896" s="769"/>
      <c r="CB2896" s="769"/>
      <c r="CC2896" s="769"/>
      <c r="CD2896" s="769"/>
      <c r="CE2896" s="769"/>
      <c r="CF2896" s="769"/>
      <c r="CG2896" s="73"/>
      <c r="CH2896" s="438"/>
      <c r="CI2896" s="416"/>
      <c r="CJ2896" s="73"/>
      <c r="CK2896" s="650"/>
      <c r="CL2896" s="499"/>
      <c r="CM2896" s="650"/>
      <c r="CR2896" s="416"/>
      <c r="CS2896" s="650"/>
      <c r="CU2896" s="73"/>
      <c r="CV2896" s="73"/>
      <c r="CW2896" s="73"/>
      <c r="CX2896" s="73"/>
      <c r="DA2896" s="650"/>
    </row>
    <row r="2897" spans="1:105" s="45" customFormat="1" x14ac:dyDescent="0.2">
      <c r="A2897" s="650"/>
      <c r="B2897" s="438"/>
      <c r="D2897" s="73"/>
      <c r="E2897" s="650"/>
      <c r="F2897" s="650"/>
      <c r="G2897" s="73"/>
      <c r="I2897" s="111"/>
      <c r="J2897" s="81"/>
      <c r="K2897" s="81"/>
      <c r="L2897" s="499"/>
      <c r="M2897" s="73"/>
      <c r="N2897" s="499"/>
      <c r="O2897" s="73"/>
      <c r="P2897" s="73"/>
      <c r="Q2897" s="73"/>
      <c r="R2897" s="176"/>
      <c r="S2897" s="176"/>
      <c r="T2897" s="176"/>
      <c r="U2897" s="400"/>
      <c r="V2897" s="400"/>
      <c r="W2897" s="732"/>
      <c r="X2897" s="167"/>
      <c r="Y2897" s="509"/>
      <c r="Z2897" s="466"/>
      <c r="AA2897" s="466"/>
      <c r="AB2897" s="466"/>
      <c r="AC2897" s="466"/>
      <c r="AD2897" s="466"/>
      <c r="AE2897" s="466"/>
      <c r="AF2897" s="466"/>
      <c r="AG2897" s="466"/>
      <c r="AH2897" s="466"/>
      <c r="AI2897" s="466"/>
      <c r="AJ2897" s="466"/>
      <c r="AK2897" s="466"/>
      <c r="AL2897" s="466"/>
      <c r="AM2897" s="466"/>
      <c r="AN2897" s="466"/>
      <c r="AO2897" s="466"/>
      <c r="AP2897" s="466"/>
      <c r="AQ2897" s="466"/>
      <c r="AR2897" s="466"/>
      <c r="AS2897" s="466"/>
      <c r="AT2897" s="466"/>
      <c r="AU2897" s="466"/>
      <c r="AV2897" s="466"/>
      <c r="AW2897" s="466"/>
      <c r="AX2897" s="466"/>
      <c r="AY2897" s="466"/>
      <c r="AZ2897" s="466"/>
      <c r="BA2897" s="466"/>
      <c r="BB2897" s="466"/>
      <c r="BC2897" s="466"/>
      <c r="BD2897" s="466"/>
      <c r="BE2897" s="467"/>
      <c r="BF2897" s="467"/>
      <c r="BG2897" s="466"/>
      <c r="BH2897" s="466"/>
      <c r="BI2897" s="467"/>
      <c r="BJ2897" s="467"/>
      <c r="BK2897" s="467"/>
      <c r="BL2897" s="467"/>
      <c r="BM2897" s="467"/>
      <c r="BN2897" s="467"/>
      <c r="BO2897" s="467"/>
      <c r="BP2897" s="467"/>
      <c r="BQ2897" s="467"/>
      <c r="BR2897" s="467"/>
      <c r="BS2897" s="467"/>
      <c r="BT2897" s="467"/>
      <c r="BU2897" s="467"/>
      <c r="BV2897" s="467"/>
      <c r="BW2897" s="467"/>
      <c r="BX2897" s="769"/>
      <c r="BY2897" s="769"/>
      <c r="BZ2897" s="769"/>
      <c r="CA2897" s="769"/>
      <c r="CB2897" s="769"/>
      <c r="CC2897" s="769"/>
      <c r="CD2897" s="769"/>
      <c r="CE2897" s="769"/>
      <c r="CF2897" s="769"/>
      <c r="CG2897" s="73"/>
      <c r="CH2897" s="438"/>
      <c r="CI2897" s="416"/>
      <c r="CJ2897" s="73"/>
      <c r="CK2897" s="650"/>
      <c r="CL2897" s="499"/>
      <c r="CM2897" s="650"/>
      <c r="CR2897" s="416"/>
      <c r="CS2897" s="650"/>
      <c r="CU2897" s="73"/>
      <c r="CV2897" s="73"/>
      <c r="CW2897" s="73"/>
      <c r="CX2897" s="73"/>
      <c r="DA2897" s="650"/>
    </row>
    <row r="2898" spans="1:105" s="45" customFormat="1" x14ac:dyDescent="0.2">
      <c r="A2898" s="650"/>
      <c r="B2898" s="438"/>
      <c r="D2898" s="73"/>
      <c r="E2898" s="650"/>
      <c r="F2898" s="650"/>
      <c r="G2898" s="73"/>
      <c r="I2898" s="111"/>
      <c r="J2898" s="81"/>
      <c r="K2898" s="81"/>
      <c r="L2898" s="499"/>
      <c r="M2898" s="73"/>
      <c r="N2898" s="499"/>
      <c r="O2898" s="73"/>
      <c r="P2898" s="73"/>
      <c r="Q2898" s="73"/>
      <c r="R2898" s="176"/>
      <c r="S2898" s="176"/>
      <c r="T2898" s="176"/>
      <c r="U2898" s="400"/>
      <c r="V2898" s="400"/>
      <c r="W2898" s="732"/>
      <c r="X2898" s="167"/>
      <c r="Y2898" s="509"/>
      <c r="Z2898" s="466"/>
      <c r="AA2898" s="466"/>
      <c r="AB2898" s="466"/>
      <c r="AC2898" s="466"/>
      <c r="AD2898" s="466"/>
      <c r="AE2898" s="466"/>
      <c r="AF2898" s="466"/>
      <c r="AG2898" s="466"/>
      <c r="AH2898" s="466"/>
      <c r="AI2898" s="466"/>
      <c r="AJ2898" s="466"/>
      <c r="AK2898" s="466"/>
      <c r="AL2898" s="466"/>
      <c r="AM2898" s="466"/>
      <c r="AN2898" s="466"/>
      <c r="AO2898" s="466"/>
      <c r="AP2898" s="466"/>
      <c r="AQ2898" s="466"/>
      <c r="AR2898" s="466"/>
      <c r="AS2898" s="466"/>
      <c r="AT2898" s="466"/>
      <c r="AU2898" s="466"/>
      <c r="AV2898" s="466"/>
      <c r="AW2898" s="466"/>
      <c r="AX2898" s="466"/>
      <c r="AY2898" s="466"/>
      <c r="AZ2898" s="466"/>
      <c r="BA2898" s="466"/>
      <c r="BB2898" s="466"/>
      <c r="BC2898" s="466"/>
      <c r="BD2898" s="466"/>
      <c r="BE2898" s="467"/>
      <c r="BF2898" s="467"/>
      <c r="BG2898" s="466"/>
      <c r="BH2898" s="466"/>
      <c r="BI2898" s="467"/>
      <c r="BJ2898" s="467"/>
      <c r="BK2898" s="467"/>
      <c r="BL2898" s="467"/>
      <c r="BM2898" s="467"/>
      <c r="BN2898" s="467"/>
      <c r="BO2898" s="467"/>
      <c r="BP2898" s="467"/>
      <c r="BQ2898" s="467"/>
      <c r="BR2898" s="467"/>
      <c r="BS2898" s="467"/>
      <c r="BT2898" s="467"/>
      <c r="BU2898" s="467"/>
      <c r="BV2898" s="467"/>
      <c r="BW2898" s="467"/>
      <c r="BX2898" s="769"/>
      <c r="BY2898" s="769"/>
      <c r="BZ2898" s="769"/>
      <c r="CA2898" s="769"/>
      <c r="CB2898" s="769"/>
      <c r="CC2898" s="769"/>
      <c r="CD2898" s="769"/>
      <c r="CE2898" s="769"/>
      <c r="CF2898" s="769"/>
      <c r="CG2898" s="73"/>
      <c r="CH2898" s="438"/>
      <c r="CI2898" s="416"/>
      <c r="CJ2898" s="73"/>
      <c r="CK2898" s="650"/>
      <c r="CL2898" s="499"/>
      <c r="CM2898" s="650"/>
      <c r="CR2898" s="416"/>
      <c r="CS2898" s="650"/>
      <c r="CU2898" s="73"/>
      <c r="CV2898" s="73"/>
      <c r="CW2898" s="73"/>
      <c r="CX2898" s="73"/>
      <c r="DA2898" s="650"/>
    </row>
    <row r="2899" spans="1:105" s="45" customFormat="1" x14ac:dyDescent="0.2">
      <c r="A2899" s="650"/>
      <c r="B2899" s="438"/>
      <c r="D2899" s="73"/>
      <c r="E2899" s="650"/>
      <c r="F2899" s="650"/>
      <c r="G2899" s="73"/>
      <c r="I2899" s="111"/>
      <c r="J2899" s="81"/>
      <c r="K2899" s="81"/>
      <c r="L2899" s="499"/>
      <c r="M2899" s="73"/>
      <c r="N2899" s="499"/>
      <c r="O2899" s="73"/>
      <c r="P2899" s="73"/>
      <c r="Q2899" s="73"/>
      <c r="R2899" s="176"/>
      <c r="S2899" s="176"/>
      <c r="T2899" s="176"/>
      <c r="U2899" s="400"/>
      <c r="V2899" s="400"/>
      <c r="W2899" s="732"/>
      <c r="X2899" s="167"/>
      <c r="Y2899" s="509"/>
      <c r="Z2899" s="466"/>
      <c r="AA2899" s="466"/>
      <c r="AB2899" s="466"/>
      <c r="AC2899" s="466"/>
      <c r="AD2899" s="466"/>
      <c r="AE2899" s="466"/>
      <c r="AF2899" s="466"/>
      <c r="AG2899" s="466"/>
      <c r="AH2899" s="466"/>
      <c r="AI2899" s="466"/>
      <c r="AJ2899" s="466"/>
      <c r="AK2899" s="466"/>
      <c r="AL2899" s="466"/>
      <c r="AM2899" s="466"/>
      <c r="AN2899" s="466"/>
      <c r="AO2899" s="466"/>
      <c r="AP2899" s="466"/>
      <c r="AQ2899" s="466"/>
      <c r="AR2899" s="466"/>
      <c r="AS2899" s="466"/>
      <c r="AT2899" s="466"/>
      <c r="AU2899" s="466"/>
      <c r="AV2899" s="466"/>
      <c r="AW2899" s="466"/>
      <c r="AX2899" s="466"/>
      <c r="AY2899" s="466"/>
      <c r="AZ2899" s="466"/>
      <c r="BA2899" s="466"/>
      <c r="BB2899" s="466"/>
      <c r="BC2899" s="466"/>
      <c r="BD2899" s="466"/>
      <c r="BE2899" s="467"/>
      <c r="BF2899" s="467"/>
      <c r="BG2899" s="466"/>
      <c r="BH2899" s="466"/>
      <c r="BI2899" s="467"/>
      <c r="BJ2899" s="467"/>
      <c r="BK2899" s="467"/>
      <c r="BL2899" s="467"/>
      <c r="BM2899" s="467"/>
      <c r="BN2899" s="467"/>
      <c r="BO2899" s="467"/>
      <c r="BP2899" s="467"/>
      <c r="BQ2899" s="467"/>
      <c r="BR2899" s="467"/>
      <c r="BS2899" s="467"/>
      <c r="BT2899" s="467"/>
      <c r="BU2899" s="467"/>
      <c r="BV2899" s="467"/>
      <c r="BW2899" s="467"/>
      <c r="BX2899" s="769"/>
      <c r="BY2899" s="769"/>
      <c r="BZ2899" s="769"/>
      <c r="CA2899" s="769"/>
      <c r="CB2899" s="769"/>
      <c r="CC2899" s="769"/>
      <c r="CD2899" s="769"/>
      <c r="CE2899" s="769"/>
      <c r="CF2899" s="769"/>
      <c r="CG2899" s="73"/>
      <c r="CH2899" s="438"/>
      <c r="CI2899" s="416"/>
      <c r="CJ2899" s="73"/>
      <c r="CK2899" s="650"/>
      <c r="CL2899" s="499"/>
      <c r="CM2899" s="650"/>
      <c r="CR2899" s="416"/>
      <c r="CS2899" s="650"/>
      <c r="CU2899" s="73"/>
      <c r="CV2899" s="73"/>
      <c r="CW2899" s="73"/>
      <c r="CX2899" s="73"/>
      <c r="DA2899" s="650"/>
    </row>
    <row r="2900" spans="1:105" s="45" customFormat="1" x14ac:dyDescent="0.2">
      <c r="A2900" s="650"/>
      <c r="B2900" s="438"/>
      <c r="D2900" s="73"/>
      <c r="E2900" s="650"/>
      <c r="F2900" s="650"/>
      <c r="G2900" s="73"/>
      <c r="I2900" s="111"/>
      <c r="J2900" s="81"/>
      <c r="K2900" s="81"/>
      <c r="L2900" s="499"/>
      <c r="M2900" s="73"/>
      <c r="N2900" s="499"/>
      <c r="O2900" s="73"/>
      <c r="P2900" s="73"/>
      <c r="Q2900" s="73"/>
      <c r="R2900" s="176"/>
      <c r="S2900" s="176"/>
      <c r="T2900" s="176"/>
      <c r="U2900" s="400"/>
      <c r="V2900" s="400"/>
      <c r="W2900" s="732"/>
      <c r="X2900" s="167"/>
      <c r="Y2900" s="509"/>
      <c r="Z2900" s="466"/>
      <c r="AA2900" s="466"/>
      <c r="AB2900" s="466"/>
      <c r="AC2900" s="466"/>
      <c r="AD2900" s="466"/>
      <c r="AE2900" s="466"/>
      <c r="AF2900" s="466"/>
      <c r="AG2900" s="466"/>
      <c r="AH2900" s="466"/>
      <c r="AI2900" s="466"/>
      <c r="AJ2900" s="466"/>
      <c r="AK2900" s="466"/>
      <c r="AL2900" s="466"/>
      <c r="AM2900" s="466"/>
      <c r="AN2900" s="466"/>
      <c r="AO2900" s="466"/>
      <c r="AP2900" s="466"/>
      <c r="AQ2900" s="466"/>
      <c r="AR2900" s="466"/>
      <c r="AS2900" s="466"/>
      <c r="AT2900" s="466"/>
      <c r="AU2900" s="466"/>
      <c r="AV2900" s="466"/>
      <c r="AW2900" s="466"/>
      <c r="AX2900" s="466"/>
      <c r="AY2900" s="466"/>
      <c r="AZ2900" s="466"/>
      <c r="BA2900" s="466"/>
      <c r="BB2900" s="466"/>
      <c r="BC2900" s="466"/>
      <c r="BD2900" s="466"/>
      <c r="BE2900" s="467"/>
      <c r="BF2900" s="467"/>
      <c r="BG2900" s="466"/>
      <c r="BH2900" s="466"/>
      <c r="BI2900" s="467"/>
      <c r="BJ2900" s="467"/>
      <c r="BK2900" s="467"/>
      <c r="BL2900" s="467"/>
      <c r="BM2900" s="467"/>
      <c r="BN2900" s="467"/>
      <c r="BO2900" s="467"/>
      <c r="BP2900" s="467"/>
      <c r="BQ2900" s="467"/>
      <c r="BR2900" s="467"/>
      <c r="BS2900" s="467"/>
      <c r="BT2900" s="467"/>
      <c r="BU2900" s="467"/>
      <c r="BV2900" s="467"/>
      <c r="BW2900" s="467"/>
      <c r="BX2900" s="769"/>
      <c r="BY2900" s="769"/>
      <c r="BZ2900" s="769"/>
      <c r="CA2900" s="769"/>
      <c r="CB2900" s="769"/>
      <c r="CC2900" s="769"/>
      <c r="CD2900" s="769"/>
      <c r="CE2900" s="769"/>
      <c r="CF2900" s="769"/>
      <c r="CG2900" s="73"/>
      <c r="CH2900" s="438"/>
      <c r="CI2900" s="416"/>
      <c r="CJ2900" s="73"/>
      <c r="CK2900" s="650"/>
      <c r="CL2900" s="499"/>
      <c r="CM2900" s="650"/>
      <c r="CR2900" s="416"/>
      <c r="CS2900" s="650"/>
      <c r="CU2900" s="73"/>
      <c r="CV2900" s="73"/>
      <c r="CW2900" s="73"/>
      <c r="CX2900" s="73"/>
      <c r="DA2900" s="650"/>
    </row>
    <row r="2901" spans="1:105" s="45" customFormat="1" x14ac:dyDescent="0.2">
      <c r="A2901" s="650"/>
      <c r="B2901" s="438"/>
      <c r="D2901" s="73"/>
      <c r="E2901" s="650"/>
      <c r="F2901" s="650"/>
      <c r="G2901" s="73"/>
      <c r="I2901" s="111"/>
      <c r="J2901" s="81"/>
      <c r="K2901" s="81"/>
      <c r="L2901" s="499"/>
      <c r="M2901" s="73"/>
      <c r="N2901" s="499"/>
      <c r="O2901" s="73"/>
      <c r="P2901" s="73"/>
      <c r="Q2901" s="73"/>
      <c r="R2901" s="176"/>
      <c r="S2901" s="176"/>
      <c r="T2901" s="176"/>
      <c r="U2901" s="400"/>
      <c r="V2901" s="400"/>
      <c r="W2901" s="732"/>
      <c r="X2901" s="167"/>
      <c r="Y2901" s="509"/>
      <c r="Z2901" s="466"/>
      <c r="AA2901" s="466"/>
      <c r="AB2901" s="466"/>
      <c r="AC2901" s="466"/>
      <c r="AD2901" s="466"/>
      <c r="AE2901" s="466"/>
      <c r="AF2901" s="466"/>
      <c r="AG2901" s="466"/>
      <c r="AH2901" s="466"/>
      <c r="AI2901" s="466"/>
      <c r="AJ2901" s="466"/>
      <c r="AK2901" s="466"/>
      <c r="AL2901" s="466"/>
      <c r="AM2901" s="466"/>
      <c r="AN2901" s="466"/>
      <c r="AO2901" s="466"/>
      <c r="AP2901" s="466"/>
      <c r="AQ2901" s="466"/>
      <c r="AR2901" s="466"/>
      <c r="AS2901" s="466"/>
      <c r="AT2901" s="466"/>
      <c r="AU2901" s="466"/>
      <c r="AV2901" s="466"/>
      <c r="AW2901" s="466"/>
      <c r="AX2901" s="466"/>
      <c r="AY2901" s="466"/>
      <c r="AZ2901" s="466"/>
      <c r="BA2901" s="466"/>
      <c r="BB2901" s="466"/>
      <c r="BC2901" s="466"/>
      <c r="BD2901" s="466"/>
      <c r="BE2901" s="467"/>
      <c r="BF2901" s="467"/>
      <c r="BG2901" s="466"/>
      <c r="BH2901" s="466"/>
      <c r="BI2901" s="467"/>
      <c r="BJ2901" s="467"/>
      <c r="BK2901" s="467"/>
      <c r="BL2901" s="467"/>
      <c r="BM2901" s="467"/>
      <c r="BN2901" s="467"/>
      <c r="BO2901" s="467"/>
      <c r="BP2901" s="467"/>
      <c r="BQ2901" s="467"/>
      <c r="BR2901" s="467"/>
      <c r="BS2901" s="467"/>
      <c r="BT2901" s="467"/>
      <c r="BU2901" s="467"/>
      <c r="BV2901" s="467"/>
      <c r="BW2901" s="467"/>
      <c r="BX2901" s="769"/>
      <c r="BY2901" s="769"/>
      <c r="BZ2901" s="769"/>
      <c r="CA2901" s="769"/>
      <c r="CB2901" s="769"/>
      <c r="CC2901" s="769"/>
      <c r="CD2901" s="769"/>
      <c r="CE2901" s="769"/>
      <c r="CF2901" s="769"/>
      <c r="CG2901" s="73"/>
      <c r="CH2901" s="438"/>
      <c r="CI2901" s="416"/>
      <c r="CJ2901" s="73"/>
      <c r="CK2901" s="650"/>
      <c r="CL2901" s="499"/>
      <c r="CM2901" s="650"/>
      <c r="CR2901" s="416"/>
      <c r="CS2901" s="650"/>
      <c r="CU2901" s="73"/>
      <c r="CV2901" s="73"/>
      <c r="CW2901" s="73"/>
      <c r="CX2901" s="73"/>
      <c r="DA2901" s="650"/>
    </row>
    <row r="2902" spans="1:105" s="45" customFormat="1" x14ac:dyDescent="0.2">
      <c r="A2902" s="650"/>
      <c r="B2902" s="438"/>
      <c r="D2902" s="73"/>
      <c r="E2902" s="650"/>
      <c r="F2902" s="650"/>
      <c r="G2902" s="73"/>
      <c r="I2902" s="111"/>
      <c r="J2902" s="81"/>
      <c r="K2902" s="81"/>
      <c r="L2902" s="499"/>
      <c r="M2902" s="73"/>
      <c r="N2902" s="499"/>
      <c r="O2902" s="73"/>
      <c r="P2902" s="73"/>
      <c r="Q2902" s="73"/>
      <c r="R2902" s="176"/>
      <c r="S2902" s="176"/>
      <c r="T2902" s="176"/>
      <c r="U2902" s="400"/>
      <c r="V2902" s="400"/>
      <c r="W2902" s="732"/>
      <c r="X2902" s="167"/>
      <c r="Y2902" s="509"/>
      <c r="Z2902" s="466"/>
      <c r="AA2902" s="466"/>
      <c r="AB2902" s="466"/>
      <c r="AC2902" s="466"/>
      <c r="AD2902" s="466"/>
      <c r="AE2902" s="466"/>
      <c r="AF2902" s="466"/>
      <c r="AG2902" s="466"/>
      <c r="AH2902" s="466"/>
      <c r="AI2902" s="466"/>
      <c r="AJ2902" s="466"/>
      <c r="AK2902" s="466"/>
      <c r="AL2902" s="466"/>
      <c r="AM2902" s="466"/>
      <c r="AN2902" s="466"/>
      <c r="AO2902" s="466"/>
      <c r="AP2902" s="466"/>
      <c r="AQ2902" s="466"/>
      <c r="AR2902" s="466"/>
      <c r="AS2902" s="466"/>
      <c r="AT2902" s="466"/>
      <c r="AU2902" s="466"/>
      <c r="AV2902" s="466"/>
      <c r="AW2902" s="466"/>
      <c r="AX2902" s="466"/>
      <c r="AY2902" s="466"/>
      <c r="AZ2902" s="466"/>
      <c r="BA2902" s="466"/>
      <c r="BB2902" s="466"/>
      <c r="BC2902" s="466"/>
      <c r="BD2902" s="466"/>
      <c r="BE2902" s="467"/>
      <c r="BF2902" s="467"/>
      <c r="BG2902" s="466"/>
      <c r="BH2902" s="466"/>
      <c r="BI2902" s="467"/>
      <c r="BJ2902" s="467"/>
      <c r="BK2902" s="467"/>
      <c r="BL2902" s="467"/>
      <c r="BM2902" s="467"/>
      <c r="BN2902" s="467"/>
      <c r="BO2902" s="467"/>
      <c r="BP2902" s="467"/>
      <c r="BQ2902" s="467"/>
      <c r="BR2902" s="467"/>
      <c r="BS2902" s="467"/>
      <c r="BT2902" s="467"/>
      <c r="BU2902" s="467"/>
      <c r="BV2902" s="467"/>
      <c r="BW2902" s="467"/>
      <c r="BX2902" s="769"/>
      <c r="BY2902" s="769"/>
      <c r="BZ2902" s="769"/>
      <c r="CA2902" s="769"/>
      <c r="CB2902" s="769"/>
      <c r="CC2902" s="769"/>
      <c r="CD2902" s="769"/>
      <c r="CE2902" s="769"/>
      <c r="CF2902" s="769"/>
      <c r="CG2902" s="73"/>
      <c r="CH2902" s="438"/>
      <c r="CI2902" s="416"/>
      <c r="CJ2902" s="73"/>
      <c r="CK2902" s="650"/>
      <c r="CL2902" s="499"/>
      <c r="CM2902" s="650"/>
      <c r="CR2902" s="416"/>
      <c r="CS2902" s="650"/>
      <c r="CU2902" s="73"/>
      <c r="CV2902" s="73"/>
      <c r="CW2902" s="73"/>
      <c r="CX2902" s="73"/>
      <c r="DA2902" s="650"/>
    </row>
    <row r="2903" spans="1:105" s="45" customFormat="1" x14ac:dyDescent="0.2">
      <c r="A2903" s="650"/>
      <c r="B2903" s="438"/>
      <c r="D2903" s="73"/>
      <c r="E2903" s="650"/>
      <c r="F2903" s="650"/>
      <c r="G2903" s="73"/>
      <c r="I2903" s="111"/>
      <c r="J2903" s="81"/>
      <c r="K2903" s="81"/>
      <c r="L2903" s="499"/>
      <c r="M2903" s="73"/>
      <c r="N2903" s="499"/>
      <c r="O2903" s="73"/>
      <c r="P2903" s="73"/>
      <c r="Q2903" s="73"/>
      <c r="R2903" s="176"/>
      <c r="S2903" s="176"/>
      <c r="T2903" s="176"/>
      <c r="U2903" s="400"/>
      <c r="V2903" s="400"/>
      <c r="W2903" s="732"/>
      <c r="X2903" s="167"/>
      <c r="Y2903" s="509"/>
      <c r="Z2903" s="466"/>
      <c r="AA2903" s="466"/>
      <c r="AB2903" s="466"/>
      <c r="AC2903" s="466"/>
      <c r="AD2903" s="466"/>
      <c r="AE2903" s="466"/>
      <c r="AF2903" s="466"/>
      <c r="AG2903" s="466"/>
      <c r="AH2903" s="466"/>
      <c r="AI2903" s="466"/>
      <c r="AJ2903" s="466"/>
      <c r="AK2903" s="466"/>
      <c r="AL2903" s="466"/>
      <c r="AM2903" s="466"/>
      <c r="AN2903" s="466"/>
      <c r="AO2903" s="466"/>
      <c r="AP2903" s="466"/>
      <c r="AQ2903" s="466"/>
      <c r="AR2903" s="466"/>
      <c r="AS2903" s="466"/>
      <c r="AT2903" s="466"/>
      <c r="AU2903" s="466"/>
      <c r="AV2903" s="466"/>
      <c r="AW2903" s="466"/>
      <c r="AX2903" s="466"/>
      <c r="AY2903" s="466"/>
      <c r="AZ2903" s="466"/>
      <c r="BA2903" s="466"/>
      <c r="BB2903" s="466"/>
      <c r="BC2903" s="466"/>
      <c r="BD2903" s="466"/>
      <c r="BE2903" s="467"/>
      <c r="BF2903" s="467"/>
      <c r="BG2903" s="466"/>
      <c r="BH2903" s="466"/>
      <c r="BI2903" s="467"/>
      <c r="BJ2903" s="467"/>
      <c r="BK2903" s="467"/>
      <c r="BL2903" s="467"/>
      <c r="BM2903" s="467"/>
      <c r="BN2903" s="467"/>
      <c r="BO2903" s="467"/>
      <c r="BP2903" s="467"/>
      <c r="BQ2903" s="467"/>
      <c r="BR2903" s="467"/>
      <c r="BS2903" s="467"/>
      <c r="BT2903" s="467"/>
      <c r="BU2903" s="467"/>
      <c r="BV2903" s="467"/>
      <c r="BW2903" s="467"/>
      <c r="BX2903" s="769"/>
      <c r="BY2903" s="769"/>
      <c r="BZ2903" s="769"/>
      <c r="CA2903" s="769"/>
      <c r="CB2903" s="769"/>
      <c r="CC2903" s="769"/>
      <c r="CD2903" s="769"/>
      <c r="CE2903" s="769"/>
      <c r="CF2903" s="769"/>
      <c r="CG2903" s="73"/>
      <c r="CH2903" s="438"/>
      <c r="CI2903" s="416"/>
      <c r="CJ2903" s="73"/>
      <c r="CK2903" s="650"/>
      <c r="CL2903" s="499"/>
      <c r="CM2903" s="650"/>
      <c r="CR2903" s="416"/>
      <c r="CS2903" s="650"/>
      <c r="CU2903" s="73"/>
      <c r="CV2903" s="73"/>
      <c r="CW2903" s="73"/>
      <c r="CX2903" s="73"/>
      <c r="DA2903" s="650"/>
    </row>
    <row r="2904" spans="1:105" s="45" customFormat="1" x14ac:dyDescent="0.2">
      <c r="A2904" s="650"/>
      <c r="B2904" s="438"/>
      <c r="D2904" s="73"/>
      <c r="E2904" s="650"/>
      <c r="F2904" s="650"/>
      <c r="G2904" s="73"/>
      <c r="I2904" s="111"/>
      <c r="J2904" s="81"/>
      <c r="K2904" s="81"/>
      <c r="L2904" s="499"/>
      <c r="M2904" s="73"/>
      <c r="N2904" s="499"/>
      <c r="O2904" s="73"/>
      <c r="P2904" s="73"/>
      <c r="Q2904" s="73"/>
      <c r="R2904" s="176"/>
      <c r="S2904" s="176"/>
      <c r="T2904" s="176"/>
      <c r="U2904" s="400"/>
      <c r="V2904" s="400"/>
      <c r="W2904" s="732"/>
      <c r="X2904" s="167"/>
      <c r="Y2904" s="509"/>
      <c r="Z2904" s="466"/>
      <c r="AA2904" s="466"/>
      <c r="AB2904" s="466"/>
      <c r="AC2904" s="466"/>
      <c r="AD2904" s="466"/>
      <c r="AE2904" s="466"/>
      <c r="AF2904" s="466"/>
      <c r="AG2904" s="466"/>
      <c r="AH2904" s="466"/>
      <c r="AI2904" s="466"/>
      <c r="AJ2904" s="466"/>
      <c r="AK2904" s="466"/>
      <c r="AL2904" s="466"/>
      <c r="AM2904" s="466"/>
      <c r="AN2904" s="466"/>
      <c r="AO2904" s="466"/>
      <c r="AP2904" s="466"/>
      <c r="AQ2904" s="466"/>
      <c r="AR2904" s="466"/>
      <c r="AS2904" s="466"/>
      <c r="AT2904" s="466"/>
      <c r="AU2904" s="466"/>
      <c r="AV2904" s="466"/>
      <c r="AW2904" s="466"/>
      <c r="AX2904" s="466"/>
      <c r="AY2904" s="466"/>
      <c r="AZ2904" s="466"/>
      <c r="BA2904" s="466"/>
      <c r="BB2904" s="466"/>
      <c r="BC2904" s="466"/>
      <c r="BD2904" s="466"/>
      <c r="BE2904" s="467"/>
      <c r="BF2904" s="467"/>
      <c r="BG2904" s="466"/>
      <c r="BH2904" s="466"/>
      <c r="BI2904" s="467"/>
      <c r="BJ2904" s="467"/>
      <c r="BK2904" s="467"/>
      <c r="BL2904" s="467"/>
      <c r="BM2904" s="467"/>
      <c r="BN2904" s="467"/>
      <c r="BO2904" s="467"/>
      <c r="BP2904" s="467"/>
      <c r="BQ2904" s="467"/>
      <c r="BR2904" s="467"/>
      <c r="BS2904" s="467"/>
      <c r="BT2904" s="467"/>
      <c r="BU2904" s="467"/>
      <c r="BV2904" s="467"/>
      <c r="BW2904" s="467"/>
      <c r="BX2904" s="769"/>
      <c r="BY2904" s="769"/>
      <c r="BZ2904" s="769"/>
      <c r="CA2904" s="769"/>
      <c r="CB2904" s="769"/>
      <c r="CC2904" s="769"/>
      <c r="CD2904" s="769"/>
      <c r="CE2904" s="769"/>
      <c r="CF2904" s="769"/>
      <c r="CG2904" s="73"/>
      <c r="CH2904" s="438"/>
      <c r="CI2904" s="416"/>
      <c r="CJ2904" s="73"/>
      <c r="CK2904" s="650"/>
      <c r="CL2904" s="499"/>
      <c r="CM2904" s="650"/>
      <c r="CR2904" s="416"/>
      <c r="CS2904" s="650"/>
      <c r="CU2904" s="73"/>
      <c r="CV2904" s="73"/>
      <c r="CW2904" s="73"/>
      <c r="CX2904" s="73"/>
      <c r="DA2904" s="650"/>
    </row>
    <row r="2905" spans="1:105" s="45" customFormat="1" x14ac:dyDescent="0.2">
      <c r="A2905" s="650"/>
      <c r="B2905" s="438"/>
      <c r="D2905" s="73"/>
      <c r="E2905" s="650"/>
      <c r="F2905" s="650"/>
      <c r="G2905" s="73"/>
      <c r="I2905" s="111"/>
      <c r="J2905" s="81"/>
      <c r="K2905" s="81"/>
      <c r="L2905" s="499"/>
      <c r="M2905" s="73"/>
      <c r="N2905" s="499"/>
      <c r="O2905" s="73"/>
      <c r="P2905" s="73"/>
      <c r="Q2905" s="73"/>
      <c r="R2905" s="176"/>
      <c r="S2905" s="176"/>
      <c r="T2905" s="176"/>
      <c r="U2905" s="400"/>
      <c r="V2905" s="400"/>
      <c r="W2905" s="732"/>
      <c r="X2905" s="167"/>
      <c r="Y2905" s="509"/>
      <c r="Z2905" s="466"/>
      <c r="AA2905" s="466"/>
      <c r="AB2905" s="466"/>
      <c r="AC2905" s="466"/>
      <c r="AD2905" s="466"/>
      <c r="AE2905" s="466"/>
      <c r="AF2905" s="466"/>
      <c r="AG2905" s="466"/>
      <c r="AH2905" s="466"/>
      <c r="AI2905" s="466"/>
      <c r="AJ2905" s="466"/>
      <c r="AK2905" s="466"/>
      <c r="AL2905" s="466"/>
      <c r="AM2905" s="466"/>
      <c r="AN2905" s="466"/>
      <c r="AO2905" s="466"/>
      <c r="AP2905" s="466"/>
      <c r="AQ2905" s="466"/>
      <c r="AR2905" s="466"/>
      <c r="AS2905" s="466"/>
      <c r="AT2905" s="466"/>
      <c r="AU2905" s="466"/>
      <c r="AV2905" s="466"/>
      <c r="AW2905" s="466"/>
      <c r="AX2905" s="466"/>
      <c r="AY2905" s="466"/>
      <c r="AZ2905" s="466"/>
      <c r="BA2905" s="466"/>
      <c r="BB2905" s="466"/>
      <c r="BC2905" s="466"/>
      <c r="BD2905" s="466"/>
      <c r="BE2905" s="467"/>
      <c r="BF2905" s="467"/>
      <c r="BG2905" s="466"/>
      <c r="BH2905" s="466"/>
      <c r="BI2905" s="467"/>
      <c r="BJ2905" s="467"/>
      <c r="BK2905" s="467"/>
      <c r="BL2905" s="467"/>
      <c r="BM2905" s="467"/>
      <c r="BN2905" s="467"/>
      <c r="BO2905" s="467"/>
      <c r="BP2905" s="467"/>
      <c r="BQ2905" s="467"/>
      <c r="BR2905" s="467"/>
      <c r="BS2905" s="467"/>
      <c r="BT2905" s="467"/>
      <c r="BU2905" s="467"/>
      <c r="BV2905" s="467"/>
      <c r="BW2905" s="467"/>
      <c r="BX2905" s="769"/>
      <c r="BY2905" s="769"/>
      <c r="BZ2905" s="769"/>
      <c r="CA2905" s="769"/>
      <c r="CB2905" s="769"/>
      <c r="CC2905" s="769"/>
      <c r="CD2905" s="769"/>
      <c r="CE2905" s="769"/>
      <c r="CF2905" s="769"/>
      <c r="CG2905" s="73"/>
      <c r="CH2905" s="438"/>
      <c r="CI2905" s="416"/>
      <c r="CJ2905" s="73"/>
      <c r="CK2905" s="650"/>
      <c r="CL2905" s="499"/>
      <c r="CM2905" s="650"/>
      <c r="CR2905" s="416"/>
      <c r="CS2905" s="650"/>
      <c r="CU2905" s="73"/>
      <c r="CV2905" s="73"/>
      <c r="CW2905" s="73"/>
      <c r="CX2905" s="73"/>
      <c r="DA2905" s="650"/>
    </row>
    <row r="2906" spans="1:105" s="45" customFormat="1" x14ac:dyDescent="0.2">
      <c r="A2906" s="650"/>
      <c r="B2906" s="438"/>
      <c r="D2906" s="73"/>
      <c r="E2906" s="650"/>
      <c r="F2906" s="650"/>
      <c r="G2906" s="73"/>
      <c r="I2906" s="111"/>
      <c r="J2906" s="81"/>
      <c r="K2906" s="81"/>
      <c r="L2906" s="499"/>
      <c r="M2906" s="73"/>
      <c r="N2906" s="499"/>
      <c r="O2906" s="73"/>
      <c r="P2906" s="73"/>
      <c r="Q2906" s="73"/>
      <c r="R2906" s="176"/>
      <c r="S2906" s="176"/>
      <c r="T2906" s="176"/>
      <c r="U2906" s="400"/>
      <c r="V2906" s="400"/>
      <c r="W2906" s="732"/>
      <c r="X2906" s="167"/>
      <c r="Y2906" s="509"/>
      <c r="Z2906" s="466"/>
      <c r="AA2906" s="466"/>
      <c r="AB2906" s="466"/>
      <c r="AC2906" s="466"/>
      <c r="AD2906" s="466"/>
      <c r="AE2906" s="466"/>
      <c r="AF2906" s="466"/>
      <c r="AG2906" s="466"/>
      <c r="AH2906" s="466"/>
      <c r="AI2906" s="466"/>
      <c r="AJ2906" s="466"/>
      <c r="AK2906" s="466"/>
      <c r="AL2906" s="466"/>
      <c r="AM2906" s="466"/>
      <c r="AN2906" s="466"/>
      <c r="AO2906" s="466"/>
      <c r="AP2906" s="466"/>
      <c r="AQ2906" s="466"/>
      <c r="AR2906" s="466"/>
      <c r="AS2906" s="466"/>
      <c r="AT2906" s="466"/>
      <c r="AU2906" s="466"/>
      <c r="AV2906" s="466"/>
      <c r="AW2906" s="466"/>
      <c r="AX2906" s="466"/>
      <c r="AY2906" s="466"/>
      <c r="AZ2906" s="466"/>
      <c r="BA2906" s="466"/>
      <c r="BB2906" s="466"/>
      <c r="BC2906" s="466"/>
      <c r="BD2906" s="466"/>
      <c r="BE2906" s="467"/>
      <c r="BF2906" s="467"/>
      <c r="BG2906" s="466"/>
      <c r="BH2906" s="466"/>
      <c r="BI2906" s="467"/>
      <c r="BJ2906" s="467"/>
      <c r="BK2906" s="467"/>
      <c r="BL2906" s="467"/>
      <c r="BM2906" s="467"/>
      <c r="BN2906" s="467"/>
      <c r="BO2906" s="467"/>
      <c r="BP2906" s="467"/>
      <c r="BQ2906" s="467"/>
      <c r="BR2906" s="467"/>
      <c r="BS2906" s="467"/>
      <c r="BT2906" s="467"/>
      <c r="BU2906" s="467"/>
      <c r="BV2906" s="467"/>
      <c r="BW2906" s="467"/>
      <c r="BX2906" s="769"/>
      <c r="BY2906" s="769"/>
      <c r="BZ2906" s="769"/>
      <c r="CA2906" s="769"/>
      <c r="CB2906" s="769"/>
      <c r="CC2906" s="769"/>
      <c r="CD2906" s="769"/>
      <c r="CE2906" s="769"/>
      <c r="CF2906" s="769"/>
      <c r="CG2906" s="73"/>
      <c r="CH2906" s="438"/>
      <c r="CI2906" s="416"/>
      <c r="CJ2906" s="73"/>
      <c r="CK2906" s="650"/>
      <c r="CL2906" s="499"/>
      <c r="CM2906" s="650"/>
      <c r="CR2906" s="416"/>
      <c r="CS2906" s="650"/>
      <c r="CU2906" s="73"/>
      <c r="CV2906" s="73"/>
      <c r="CW2906" s="73"/>
      <c r="CX2906" s="73"/>
      <c r="DA2906" s="650"/>
    </row>
    <row r="2907" spans="1:105" s="45" customFormat="1" x14ac:dyDescent="0.2">
      <c r="A2907" s="650"/>
      <c r="B2907" s="438"/>
      <c r="D2907" s="73"/>
      <c r="E2907" s="650"/>
      <c r="F2907" s="650"/>
      <c r="G2907" s="73"/>
      <c r="I2907" s="111"/>
      <c r="J2907" s="81"/>
      <c r="K2907" s="81"/>
      <c r="L2907" s="499"/>
      <c r="M2907" s="73"/>
      <c r="N2907" s="499"/>
      <c r="O2907" s="73"/>
      <c r="P2907" s="73"/>
      <c r="Q2907" s="73"/>
      <c r="R2907" s="176"/>
      <c r="S2907" s="176"/>
      <c r="T2907" s="176"/>
      <c r="U2907" s="400"/>
      <c r="V2907" s="400"/>
      <c r="W2907" s="732"/>
      <c r="X2907" s="167"/>
      <c r="Y2907" s="509"/>
      <c r="Z2907" s="466"/>
      <c r="AA2907" s="466"/>
      <c r="AB2907" s="466"/>
      <c r="AC2907" s="466"/>
      <c r="AD2907" s="466"/>
      <c r="AE2907" s="466"/>
      <c r="AF2907" s="466"/>
      <c r="AG2907" s="466"/>
      <c r="AH2907" s="466"/>
      <c r="AI2907" s="466"/>
      <c r="AJ2907" s="466"/>
      <c r="AK2907" s="466"/>
      <c r="AL2907" s="466"/>
      <c r="AM2907" s="466"/>
      <c r="AN2907" s="466"/>
      <c r="AO2907" s="466"/>
      <c r="AP2907" s="466"/>
      <c r="AQ2907" s="466"/>
      <c r="AR2907" s="466"/>
      <c r="AS2907" s="466"/>
      <c r="AT2907" s="466"/>
      <c r="AU2907" s="466"/>
      <c r="AV2907" s="466"/>
      <c r="AW2907" s="466"/>
      <c r="AX2907" s="466"/>
      <c r="AY2907" s="466"/>
      <c r="AZ2907" s="466"/>
      <c r="BA2907" s="466"/>
      <c r="BB2907" s="466"/>
      <c r="BC2907" s="466"/>
      <c r="BD2907" s="466"/>
      <c r="BE2907" s="467"/>
      <c r="BF2907" s="467"/>
      <c r="BG2907" s="466"/>
      <c r="BH2907" s="466"/>
      <c r="BI2907" s="467"/>
      <c r="BJ2907" s="467"/>
      <c r="BK2907" s="467"/>
      <c r="BL2907" s="467"/>
      <c r="BM2907" s="467"/>
      <c r="BN2907" s="467"/>
      <c r="BO2907" s="467"/>
      <c r="BP2907" s="467"/>
      <c r="BQ2907" s="467"/>
      <c r="BR2907" s="467"/>
      <c r="BS2907" s="467"/>
      <c r="BT2907" s="467"/>
      <c r="BU2907" s="467"/>
      <c r="BV2907" s="467"/>
      <c r="BW2907" s="467"/>
      <c r="BX2907" s="769"/>
      <c r="BY2907" s="769"/>
      <c r="BZ2907" s="769"/>
      <c r="CA2907" s="769"/>
      <c r="CB2907" s="769"/>
      <c r="CC2907" s="769"/>
      <c r="CD2907" s="769"/>
      <c r="CE2907" s="769"/>
      <c r="CF2907" s="769"/>
      <c r="CG2907" s="73"/>
      <c r="CH2907" s="438"/>
      <c r="CI2907" s="416"/>
      <c r="CJ2907" s="73"/>
      <c r="CK2907" s="650"/>
      <c r="CL2907" s="499"/>
      <c r="CM2907" s="650"/>
      <c r="CR2907" s="416"/>
      <c r="CS2907" s="650"/>
      <c r="CU2907" s="73"/>
      <c r="CV2907" s="73"/>
      <c r="CW2907" s="73"/>
      <c r="CX2907" s="73"/>
      <c r="DA2907" s="650"/>
    </row>
    <row r="2908" spans="1:105" s="45" customFormat="1" x14ac:dyDescent="0.2">
      <c r="A2908" s="650"/>
      <c r="B2908" s="438"/>
      <c r="D2908" s="73"/>
      <c r="E2908" s="650"/>
      <c r="F2908" s="650"/>
      <c r="G2908" s="73"/>
      <c r="I2908" s="111"/>
      <c r="J2908" s="81"/>
      <c r="K2908" s="81"/>
      <c r="L2908" s="499"/>
      <c r="M2908" s="73"/>
      <c r="N2908" s="499"/>
      <c r="O2908" s="73"/>
      <c r="P2908" s="73"/>
      <c r="Q2908" s="73"/>
      <c r="R2908" s="176"/>
      <c r="S2908" s="176"/>
      <c r="T2908" s="176"/>
      <c r="U2908" s="400"/>
      <c r="V2908" s="400"/>
      <c r="W2908" s="732"/>
      <c r="X2908" s="167"/>
      <c r="Y2908" s="509"/>
      <c r="Z2908" s="466"/>
      <c r="AA2908" s="466"/>
      <c r="AB2908" s="466"/>
      <c r="AC2908" s="466"/>
      <c r="AD2908" s="466"/>
      <c r="AE2908" s="466"/>
      <c r="AF2908" s="466"/>
      <c r="AG2908" s="466"/>
      <c r="AH2908" s="466"/>
      <c r="AI2908" s="466"/>
      <c r="AJ2908" s="466"/>
      <c r="AK2908" s="466"/>
      <c r="AL2908" s="466"/>
      <c r="AM2908" s="466"/>
      <c r="AN2908" s="466"/>
      <c r="AO2908" s="466"/>
      <c r="AP2908" s="466"/>
      <c r="AQ2908" s="466"/>
      <c r="AR2908" s="466"/>
      <c r="AS2908" s="466"/>
      <c r="AT2908" s="466"/>
      <c r="AU2908" s="466"/>
      <c r="AV2908" s="466"/>
      <c r="AW2908" s="466"/>
      <c r="AX2908" s="466"/>
      <c r="AY2908" s="466"/>
      <c r="AZ2908" s="466"/>
      <c r="BA2908" s="466"/>
      <c r="BB2908" s="466"/>
      <c r="BC2908" s="466"/>
      <c r="BD2908" s="466"/>
      <c r="BE2908" s="467"/>
      <c r="BF2908" s="467"/>
      <c r="BG2908" s="466"/>
      <c r="BH2908" s="466"/>
      <c r="BI2908" s="467"/>
      <c r="BJ2908" s="467"/>
      <c r="BK2908" s="467"/>
      <c r="BL2908" s="467"/>
      <c r="BM2908" s="467"/>
      <c r="BN2908" s="467"/>
      <c r="BO2908" s="467"/>
      <c r="BP2908" s="467"/>
      <c r="BQ2908" s="467"/>
      <c r="BR2908" s="467"/>
      <c r="BS2908" s="467"/>
      <c r="BT2908" s="467"/>
      <c r="BU2908" s="467"/>
      <c r="BV2908" s="467"/>
      <c r="BW2908" s="467"/>
      <c r="BX2908" s="769"/>
      <c r="BY2908" s="769"/>
      <c r="BZ2908" s="769"/>
      <c r="CA2908" s="769"/>
      <c r="CB2908" s="769"/>
      <c r="CC2908" s="769"/>
      <c r="CD2908" s="769"/>
      <c r="CE2908" s="769"/>
      <c r="CF2908" s="769"/>
      <c r="CG2908" s="73"/>
      <c r="CH2908" s="438"/>
      <c r="CI2908" s="416"/>
      <c r="CJ2908" s="73"/>
      <c r="CK2908" s="650"/>
      <c r="CL2908" s="499"/>
      <c r="CM2908" s="650"/>
      <c r="CR2908" s="416"/>
      <c r="CS2908" s="650"/>
      <c r="CU2908" s="73"/>
      <c r="CV2908" s="73"/>
      <c r="CW2908" s="73"/>
      <c r="CX2908" s="73"/>
      <c r="DA2908" s="650"/>
    </row>
    <row r="2909" spans="1:105" s="45" customFormat="1" x14ac:dyDescent="0.2">
      <c r="A2909" s="650"/>
      <c r="B2909" s="438"/>
      <c r="D2909" s="73"/>
      <c r="E2909" s="650"/>
      <c r="F2909" s="650"/>
      <c r="G2909" s="73"/>
      <c r="I2909" s="111"/>
      <c r="J2909" s="81"/>
      <c r="K2909" s="81"/>
      <c r="L2909" s="499"/>
      <c r="M2909" s="73"/>
      <c r="N2909" s="499"/>
      <c r="O2909" s="73"/>
      <c r="P2909" s="73"/>
      <c r="Q2909" s="73"/>
      <c r="R2909" s="176"/>
      <c r="S2909" s="176"/>
      <c r="T2909" s="176"/>
      <c r="U2909" s="400"/>
      <c r="V2909" s="400"/>
      <c r="W2909" s="732"/>
      <c r="X2909" s="167"/>
      <c r="Y2909" s="509"/>
      <c r="Z2909" s="466"/>
      <c r="AA2909" s="466"/>
      <c r="AB2909" s="466"/>
      <c r="AC2909" s="466"/>
      <c r="AD2909" s="466"/>
      <c r="AE2909" s="466"/>
      <c r="AF2909" s="466"/>
      <c r="AG2909" s="466"/>
      <c r="AH2909" s="466"/>
      <c r="AI2909" s="466"/>
      <c r="AJ2909" s="466"/>
      <c r="AK2909" s="466"/>
      <c r="AL2909" s="466"/>
      <c r="AM2909" s="466"/>
      <c r="AN2909" s="466"/>
      <c r="AO2909" s="466"/>
      <c r="AP2909" s="466"/>
      <c r="AQ2909" s="466"/>
      <c r="AR2909" s="466"/>
      <c r="AS2909" s="466"/>
      <c r="AT2909" s="466"/>
      <c r="AU2909" s="466"/>
      <c r="AV2909" s="466"/>
      <c r="AW2909" s="466"/>
      <c r="AX2909" s="466"/>
      <c r="AY2909" s="466"/>
      <c r="AZ2909" s="466"/>
      <c r="BA2909" s="466"/>
      <c r="BB2909" s="466"/>
      <c r="BC2909" s="466"/>
      <c r="BD2909" s="466"/>
      <c r="BE2909" s="467"/>
      <c r="BF2909" s="467"/>
      <c r="BG2909" s="466"/>
      <c r="BH2909" s="466"/>
      <c r="BI2909" s="467"/>
      <c r="BJ2909" s="467"/>
      <c r="BK2909" s="467"/>
      <c r="BL2909" s="467"/>
      <c r="BM2909" s="467"/>
      <c r="BN2909" s="467"/>
      <c r="BO2909" s="467"/>
      <c r="BP2909" s="467"/>
      <c r="BQ2909" s="467"/>
      <c r="BR2909" s="467"/>
      <c r="BS2909" s="467"/>
      <c r="BT2909" s="467"/>
      <c r="BU2909" s="467"/>
      <c r="BV2909" s="467"/>
      <c r="BW2909" s="467"/>
      <c r="BX2909" s="769"/>
      <c r="BY2909" s="769"/>
      <c r="BZ2909" s="769"/>
      <c r="CA2909" s="769"/>
      <c r="CB2909" s="769"/>
      <c r="CC2909" s="769"/>
      <c r="CD2909" s="769"/>
      <c r="CE2909" s="769"/>
      <c r="CF2909" s="769"/>
      <c r="CG2909" s="73"/>
      <c r="CH2909" s="438"/>
      <c r="CI2909" s="416"/>
      <c r="CJ2909" s="73"/>
      <c r="CK2909" s="650"/>
      <c r="CL2909" s="499"/>
      <c r="CM2909" s="650"/>
      <c r="CR2909" s="416"/>
      <c r="CS2909" s="650"/>
      <c r="CU2909" s="73"/>
      <c r="CV2909" s="73"/>
      <c r="CW2909" s="73"/>
      <c r="CX2909" s="73"/>
      <c r="DA2909" s="650"/>
    </row>
    <row r="2910" spans="1:105" s="45" customFormat="1" x14ac:dyDescent="0.2">
      <c r="A2910" s="650"/>
      <c r="B2910" s="438"/>
      <c r="D2910" s="73"/>
      <c r="E2910" s="650"/>
      <c r="F2910" s="650"/>
      <c r="G2910" s="73"/>
      <c r="I2910" s="111"/>
      <c r="J2910" s="81"/>
      <c r="K2910" s="81"/>
      <c r="L2910" s="499"/>
      <c r="M2910" s="73"/>
      <c r="N2910" s="499"/>
      <c r="O2910" s="73"/>
      <c r="P2910" s="73"/>
      <c r="Q2910" s="73"/>
      <c r="R2910" s="176"/>
      <c r="S2910" s="176"/>
      <c r="T2910" s="176"/>
      <c r="U2910" s="400"/>
      <c r="V2910" s="400"/>
      <c r="W2910" s="732"/>
      <c r="X2910" s="167"/>
      <c r="Y2910" s="509"/>
      <c r="Z2910" s="466"/>
      <c r="AA2910" s="466"/>
      <c r="AB2910" s="466"/>
      <c r="AC2910" s="466"/>
      <c r="AD2910" s="466"/>
      <c r="AE2910" s="466"/>
      <c r="AF2910" s="466"/>
      <c r="AG2910" s="466"/>
      <c r="AH2910" s="466"/>
      <c r="AI2910" s="466"/>
      <c r="AJ2910" s="466"/>
      <c r="AK2910" s="466"/>
      <c r="AL2910" s="466"/>
      <c r="AM2910" s="466"/>
      <c r="AN2910" s="466"/>
      <c r="AO2910" s="466"/>
      <c r="AP2910" s="466"/>
      <c r="AQ2910" s="466"/>
      <c r="AR2910" s="466"/>
      <c r="AS2910" s="466"/>
      <c r="AT2910" s="466"/>
      <c r="AU2910" s="466"/>
      <c r="AV2910" s="466"/>
      <c r="AW2910" s="466"/>
      <c r="AX2910" s="466"/>
      <c r="AY2910" s="466"/>
      <c r="AZ2910" s="466"/>
      <c r="BA2910" s="466"/>
      <c r="BB2910" s="466"/>
      <c r="BC2910" s="466"/>
      <c r="BD2910" s="466"/>
      <c r="BE2910" s="467"/>
      <c r="BF2910" s="467"/>
      <c r="BG2910" s="466"/>
      <c r="BH2910" s="466"/>
      <c r="BI2910" s="467"/>
      <c r="BJ2910" s="467"/>
      <c r="BK2910" s="467"/>
      <c r="BL2910" s="467"/>
      <c r="BM2910" s="467"/>
      <c r="BN2910" s="467"/>
      <c r="BO2910" s="467"/>
      <c r="BP2910" s="467"/>
      <c r="BQ2910" s="467"/>
      <c r="BR2910" s="467"/>
      <c r="BS2910" s="467"/>
      <c r="BT2910" s="467"/>
      <c r="BU2910" s="467"/>
      <c r="BV2910" s="467"/>
      <c r="BW2910" s="467"/>
      <c r="BX2910" s="769"/>
      <c r="BY2910" s="769"/>
      <c r="BZ2910" s="769"/>
      <c r="CA2910" s="769"/>
      <c r="CB2910" s="769"/>
      <c r="CC2910" s="769"/>
      <c r="CD2910" s="769"/>
      <c r="CE2910" s="769"/>
      <c r="CF2910" s="769"/>
      <c r="CG2910" s="73"/>
      <c r="CH2910" s="438"/>
      <c r="CI2910" s="416"/>
      <c r="CJ2910" s="73"/>
      <c r="CK2910" s="650"/>
      <c r="CL2910" s="499"/>
      <c r="CM2910" s="650"/>
      <c r="CR2910" s="416"/>
      <c r="CS2910" s="650"/>
      <c r="CU2910" s="73"/>
      <c r="CV2910" s="73"/>
      <c r="CW2910" s="73"/>
      <c r="CX2910" s="73"/>
      <c r="DA2910" s="650"/>
    </row>
    <row r="2911" spans="1:105" s="45" customFormat="1" x14ac:dyDescent="0.2">
      <c r="A2911" s="650"/>
      <c r="B2911" s="438"/>
      <c r="D2911" s="73"/>
      <c r="E2911" s="650"/>
      <c r="F2911" s="650"/>
      <c r="G2911" s="73"/>
      <c r="I2911" s="111"/>
      <c r="J2911" s="81"/>
      <c r="K2911" s="81"/>
      <c r="L2911" s="499"/>
      <c r="M2911" s="73"/>
      <c r="N2911" s="499"/>
      <c r="O2911" s="73"/>
      <c r="P2911" s="73"/>
      <c r="Q2911" s="73"/>
      <c r="R2911" s="176"/>
      <c r="S2911" s="176"/>
      <c r="T2911" s="176"/>
      <c r="U2911" s="400"/>
      <c r="V2911" s="400"/>
      <c r="W2911" s="732"/>
      <c r="X2911" s="167"/>
      <c r="Y2911" s="509"/>
      <c r="Z2911" s="466"/>
      <c r="AA2911" s="466"/>
      <c r="AB2911" s="466"/>
      <c r="AC2911" s="466"/>
      <c r="AD2911" s="466"/>
      <c r="AE2911" s="466"/>
      <c r="AF2911" s="466"/>
      <c r="AG2911" s="466"/>
      <c r="AH2911" s="466"/>
      <c r="AI2911" s="466"/>
      <c r="AJ2911" s="466"/>
      <c r="AK2911" s="466"/>
      <c r="AL2911" s="466"/>
      <c r="AM2911" s="466"/>
      <c r="AN2911" s="466"/>
      <c r="AO2911" s="466"/>
      <c r="AP2911" s="466"/>
      <c r="AQ2911" s="466"/>
      <c r="AR2911" s="466"/>
      <c r="AS2911" s="466"/>
      <c r="AT2911" s="466"/>
      <c r="AU2911" s="466"/>
      <c r="AV2911" s="466"/>
      <c r="AW2911" s="466"/>
      <c r="AX2911" s="466"/>
      <c r="AY2911" s="466"/>
      <c r="AZ2911" s="466"/>
      <c r="BA2911" s="466"/>
      <c r="BB2911" s="466"/>
      <c r="BC2911" s="466"/>
      <c r="BD2911" s="466"/>
      <c r="BE2911" s="467"/>
      <c r="BF2911" s="467"/>
      <c r="BG2911" s="466"/>
      <c r="BH2911" s="466"/>
      <c r="BI2911" s="467"/>
      <c r="BJ2911" s="467"/>
      <c r="BK2911" s="467"/>
      <c r="BL2911" s="467"/>
      <c r="BM2911" s="467"/>
      <c r="BN2911" s="467"/>
      <c r="BO2911" s="467"/>
      <c r="BP2911" s="467"/>
      <c r="BQ2911" s="467"/>
      <c r="BR2911" s="467"/>
      <c r="BS2911" s="467"/>
      <c r="BT2911" s="467"/>
      <c r="BU2911" s="467"/>
      <c r="BV2911" s="467"/>
      <c r="BW2911" s="467"/>
      <c r="BX2911" s="769"/>
      <c r="BY2911" s="769"/>
      <c r="BZ2911" s="769"/>
      <c r="CA2911" s="769"/>
      <c r="CB2911" s="769"/>
      <c r="CC2911" s="769"/>
      <c r="CD2911" s="769"/>
      <c r="CE2911" s="769"/>
      <c r="CF2911" s="769"/>
      <c r="CG2911" s="73"/>
      <c r="CH2911" s="438"/>
      <c r="CI2911" s="416"/>
      <c r="CJ2911" s="73"/>
      <c r="CK2911" s="650"/>
      <c r="CL2911" s="499"/>
      <c r="CM2911" s="650"/>
      <c r="CR2911" s="416"/>
      <c r="CS2911" s="650"/>
      <c r="CU2911" s="73"/>
      <c r="CV2911" s="73"/>
      <c r="CW2911" s="73"/>
      <c r="CX2911" s="73"/>
      <c r="DA2911" s="650"/>
    </row>
    <row r="2912" spans="1:105" s="45" customFormat="1" x14ac:dyDescent="0.2">
      <c r="A2912" s="650"/>
      <c r="B2912" s="438"/>
      <c r="D2912" s="73"/>
      <c r="E2912" s="650"/>
      <c r="F2912" s="650"/>
      <c r="G2912" s="73"/>
      <c r="I2912" s="111"/>
      <c r="J2912" s="81"/>
      <c r="K2912" s="81"/>
      <c r="L2912" s="499"/>
      <c r="M2912" s="73"/>
      <c r="N2912" s="499"/>
      <c r="O2912" s="73"/>
      <c r="P2912" s="73"/>
      <c r="Q2912" s="73"/>
      <c r="R2912" s="176"/>
      <c r="S2912" s="176"/>
      <c r="T2912" s="176"/>
      <c r="U2912" s="400"/>
      <c r="V2912" s="400"/>
      <c r="W2912" s="732"/>
      <c r="X2912" s="167"/>
      <c r="Y2912" s="509"/>
      <c r="Z2912" s="466"/>
      <c r="AA2912" s="466"/>
      <c r="AB2912" s="466"/>
      <c r="AC2912" s="466"/>
      <c r="AD2912" s="466"/>
      <c r="AE2912" s="466"/>
      <c r="AF2912" s="466"/>
      <c r="AG2912" s="466"/>
      <c r="AH2912" s="466"/>
      <c r="AI2912" s="466"/>
      <c r="AJ2912" s="466"/>
      <c r="AK2912" s="466"/>
      <c r="AL2912" s="466"/>
      <c r="AM2912" s="466"/>
      <c r="AN2912" s="466"/>
      <c r="AO2912" s="466"/>
      <c r="AP2912" s="466"/>
      <c r="AQ2912" s="466"/>
      <c r="AR2912" s="466"/>
      <c r="AS2912" s="466"/>
      <c r="AT2912" s="466"/>
      <c r="AU2912" s="466"/>
      <c r="AV2912" s="466"/>
      <c r="AW2912" s="466"/>
      <c r="AX2912" s="466"/>
      <c r="AY2912" s="466"/>
      <c r="AZ2912" s="466"/>
      <c r="BA2912" s="466"/>
      <c r="BB2912" s="466"/>
      <c r="BC2912" s="466"/>
      <c r="BD2912" s="466"/>
      <c r="BE2912" s="467"/>
      <c r="BF2912" s="467"/>
      <c r="BG2912" s="466"/>
      <c r="BH2912" s="466"/>
      <c r="BI2912" s="467"/>
      <c r="BJ2912" s="467"/>
      <c r="BK2912" s="467"/>
      <c r="BL2912" s="467"/>
      <c r="BM2912" s="467"/>
      <c r="BN2912" s="467"/>
      <c r="BO2912" s="467"/>
      <c r="BP2912" s="467"/>
      <c r="BQ2912" s="467"/>
      <c r="BR2912" s="467"/>
      <c r="BS2912" s="467"/>
      <c r="BT2912" s="467"/>
      <c r="BU2912" s="467"/>
      <c r="BV2912" s="467"/>
      <c r="BW2912" s="467"/>
      <c r="BX2912" s="769"/>
      <c r="BY2912" s="769"/>
      <c r="BZ2912" s="769"/>
      <c r="CA2912" s="769"/>
      <c r="CB2912" s="769"/>
      <c r="CC2912" s="769"/>
      <c r="CD2912" s="769"/>
      <c r="CE2912" s="769"/>
      <c r="CF2912" s="769"/>
      <c r="CG2912" s="73"/>
      <c r="CH2912" s="438"/>
      <c r="CI2912" s="416"/>
      <c r="CJ2912" s="73"/>
      <c r="CK2912" s="650"/>
      <c r="CL2912" s="499"/>
      <c r="CM2912" s="650"/>
      <c r="CR2912" s="416"/>
      <c r="CS2912" s="650"/>
      <c r="CU2912" s="73"/>
      <c r="CV2912" s="73"/>
      <c r="CW2912" s="73"/>
      <c r="CX2912" s="73"/>
      <c r="DA2912" s="650"/>
    </row>
    <row r="2913" spans="1:105" s="45" customFormat="1" x14ac:dyDescent="0.2">
      <c r="A2913" s="650"/>
      <c r="B2913" s="438"/>
      <c r="D2913" s="73"/>
      <c r="E2913" s="650"/>
      <c r="F2913" s="650"/>
      <c r="G2913" s="73"/>
      <c r="I2913" s="111"/>
      <c r="J2913" s="81"/>
      <c r="K2913" s="81"/>
      <c r="L2913" s="499"/>
      <c r="M2913" s="73"/>
      <c r="N2913" s="499"/>
      <c r="O2913" s="73"/>
      <c r="P2913" s="73"/>
      <c r="Q2913" s="73"/>
      <c r="R2913" s="176"/>
      <c r="S2913" s="176"/>
      <c r="T2913" s="176"/>
      <c r="U2913" s="400"/>
      <c r="V2913" s="400"/>
      <c r="W2913" s="732"/>
      <c r="X2913" s="167"/>
      <c r="Y2913" s="509"/>
      <c r="Z2913" s="466"/>
      <c r="AA2913" s="466"/>
      <c r="AB2913" s="466"/>
      <c r="AC2913" s="466"/>
      <c r="AD2913" s="466"/>
      <c r="AE2913" s="466"/>
      <c r="AF2913" s="466"/>
      <c r="AG2913" s="466"/>
      <c r="AH2913" s="466"/>
      <c r="AI2913" s="466"/>
      <c r="AJ2913" s="466"/>
      <c r="AK2913" s="466"/>
      <c r="AL2913" s="466"/>
      <c r="AM2913" s="466"/>
      <c r="AN2913" s="466"/>
      <c r="AO2913" s="466"/>
      <c r="AP2913" s="466"/>
      <c r="AQ2913" s="466"/>
      <c r="AR2913" s="466"/>
      <c r="AS2913" s="466"/>
      <c r="AT2913" s="466"/>
      <c r="AU2913" s="466"/>
      <c r="AV2913" s="466"/>
      <c r="AW2913" s="466"/>
      <c r="AX2913" s="466"/>
      <c r="AY2913" s="466"/>
      <c r="AZ2913" s="466"/>
      <c r="BA2913" s="466"/>
      <c r="BB2913" s="466"/>
      <c r="BC2913" s="466"/>
      <c r="BD2913" s="466"/>
      <c r="BE2913" s="467"/>
      <c r="BF2913" s="467"/>
      <c r="BG2913" s="466"/>
      <c r="BH2913" s="466"/>
      <c r="BI2913" s="467"/>
      <c r="BJ2913" s="467"/>
      <c r="BK2913" s="467"/>
      <c r="BL2913" s="467"/>
      <c r="BM2913" s="467"/>
      <c r="BN2913" s="467"/>
      <c r="BO2913" s="467"/>
      <c r="BP2913" s="467"/>
      <c r="BQ2913" s="467"/>
      <c r="BR2913" s="467"/>
      <c r="BS2913" s="467"/>
      <c r="BT2913" s="467"/>
      <c r="BU2913" s="467"/>
      <c r="BV2913" s="467"/>
      <c r="BW2913" s="467"/>
      <c r="BX2913" s="769"/>
      <c r="BY2913" s="769"/>
      <c r="BZ2913" s="769"/>
      <c r="CA2913" s="769"/>
      <c r="CB2913" s="769"/>
      <c r="CC2913" s="769"/>
      <c r="CD2913" s="769"/>
      <c r="CE2913" s="769"/>
      <c r="CF2913" s="769"/>
      <c r="CG2913" s="73"/>
      <c r="CH2913" s="438"/>
      <c r="CI2913" s="416"/>
      <c r="CJ2913" s="73"/>
      <c r="CK2913" s="650"/>
      <c r="CL2913" s="499"/>
      <c r="CM2913" s="650"/>
      <c r="CR2913" s="416"/>
      <c r="CS2913" s="650"/>
      <c r="CU2913" s="73"/>
      <c r="CV2913" s="73"/>
      <c r="CW2913" s="73"/>
      <c r="CX2913" s="73"/>
      <c r="DA2913" s="650"/>
    </row>
    <row r="2914" spans="1:105" s="45" customFormat="1" x14ac:dyDescent="0.2">
      <c r="A2914" s="650"/>
      <c r="B2914" s="438"/>
      <c r="D2914" s="73"/>
      <c r="E2914" s="650"/>
      <c r="F2914" s="650"/>
      <c r="G2914" s="73"/>
      <c r="I2914" s="111"/>
      <c r="J2914" s="81"/>
      <c r="K2914" s="81"/>
      <c r="L2914" s="499"/>
      <c r="M2914" s="73"/>
      <c r="N2914" s="499"/>
      <c r="O2914" s="73"/>
      <c r="P2914" s="73"/>
      <c r="Q2914" s="73"/>
      <c r="R2914" s="176"/>
      <c r="S2914" s="176"/>
      <c r="T2914" s="176"/>
      <c r="U2914" s="400"/>
      <c r="V2914" s="400"/>
      <c r="W2914" s="732"/>
      <c r="X2914" s="167"/>
      <c r="Y2914" s="509"/>
      <c r="Z2914" s="466"/>
      <c r="AA2914" s="466"/>
      <c r="AB2914" s="466"/>
      <c r="AC2914" s="466"/>
      <c r="AD2914" s="466"/>
      <c r="AE2914" s="466"/>
      <c r="AF2914" s="466"/>
      <c r="AG2914" s="466"/>
      <c r="AH2914" s="466"/>
      <c r="AI2914" s="466"/>
      <c r="AJ2914" s="466"/>
      <c r="AK2914" s="466"/>
      <c r="AL2914" s="466"/>
      <c r="AM2914" s="466"/>
      <c r="AN2914" s="466"/>
      <c r="AO2914" s="466"/>
      <c r="AP2914" s="466"/>
      <c r="AQ2914" s="466"/>
      <c r="AR2914" s="466"/>
      <c r="AS2914" s="466"/>
      <c r="AT2914" s="466"/>
      <c r="AU2914" s="466"/>
      <c r="AV2914" s="466"/>
      <c r="AW2914" s="466"/>
      <c r="AX2914" s="466"/>
      <c r="AY2914" s="466"/>
      <c r="AZ2914" s="466"/>
      <c r="BA2914" s="466"/>
      <c r="BB2914" s="466"/>
      <c r="BC2914" s="466"/>
      <c r="BD2914" s="466"/>
      <c r="BE2914" s="467"/>
      <c r="BF2914" s="467"/>
      <c r="BG2914" s="466"/>
      <c r="BH2914" s="466"/>
      <c r="BI2914" s="467"/>
      <c r="BJ2914" s="467"/>
      <c r="BK2914" s="467"/>
      <c r="BL2914" s="467"/>
      <c r="BM2914" s="467"/>
      <c r="BN2914" s="467"/>
      <c r="BO2914" s="467"/>
      <c r="BP2914" s="467"/>
      <c r="BQ2914" s="467"/>
      <c r="BR2914" s="467"/>
      <c r="BS2914" s="467"/>
      <c r="BT2914" s="467"/>
      <c r="BU2914" s="467"/>
      <c r="BV2914" s="467"/>
      <c r="BW2914" s="467"/>
      <c r="BX2914" s="769"/>
      <c r="BY2914" s="769"/>
      <c r="BZ2914" s="769"/>
      <c r="CA2914" s="769"/>
      <c r="CB2914" s="769"/>
      <c r="CC2914" s="769"/>
      <c r="CD2914" s="769"/>
      <c r="CE2914" s="769"/>
      <c r="CF2914" s="769"/>
      <c r="CG2914" s="73"/>
      <c r="CH2914" s="438"/>
      <c r="CI2914" s="416"/>
      <c r="CJ2914" s="73"/>
      <c r="CK2914" s="650"/>
      <c r="CL2914" s="499"/>
      <c r="CM2914" s="650"/>
      <c r="CR2914" s="416"/>
      <c r="CS2914" s="650"/>
      <c r="CU2914" s="73"/>
      <c r="CV2914" s="73"/>
      <c r="CW2914" s="73"/>
      <c r="CX2914" s="73"/>
      <c r="DA2914" s="650"/>
    </row>
    <row r="2915" spans="1:105" s="45" customFormat="1" x14ac:dyDescent="0.2">
      <c r="A2915" s="650"/>
      <c r="B2915" s="438"/>
      <c r="D2915" s="73"/>
      <c r="E2915" s="650"/>
      <c r="F2915" s="650"/>
      <c r="G2915" s="73"/>
      <c r="I2915" s="111"/>
      <c r="J2915" s="81"/>
      <c r="K2915" s="81"/>
      <c r="L2915" s="499"/>
      <c r="M2915" s="73"/>
      <c r="N2915" s="499"/>
      <c r="O2915" s="73"/>
      <c r="P2915" s="73"/>
      <c r="Q2915" s="73"/>
      <c r="R2915" s="176"/>
      <c r="S2915" s="176"/>
      <c r="T2915" s="176"/>
      <c r="U2915" s="400"/>
      <c r="V2915" s="400"/>
      <c r="W2915" s="732"/>
      <c r="X2915" s="167"/>
      <c r="Y2915" s="509"/>
      <c r="Z2915" s="466"/>
      <c r="AA2915" s="466"/>
      <c r="AB2915" s="466"/>
      <c r="AC2915" s="466"/>
      <c r="AD2915" s="466"/>
      <c r="AE2915" s="466"/>
      <c r="AF2915" s="466"/>
      <c r="AG2915" s="466"/>
      <c r="AH2915" s="466"/>
      <c r="AI2915" s="466"/>
      <c r="AJ2915" s="466"/>
      <c r="AK2915" s="466"/>
      <c r="AL2915" s="466"/>
      <c r="AM2915" s="466"/>
      <c r="AN2915" s="466"/>
      <c r="AO2915" s="466"/>
      <c r="AP2915" s="466"/>
      <c r="AQ2915" s="466"/>
      <c r="AR2915" s="466"/>
      <c r="AS2915" s="466"/>
      <c r="AT2915" s="466"/>
      <c r="AU2915" s="466"/>
      <c r="AV2915" s="466"/>
      <c r="AW2915" s="466"/>
      <c r="AX2915" s="466"/>
      <c r="AY2915" s="466"/>
      <c r="AZ2915" s="466"/>
      <c r="BA2915" s="466"/>
      <c r="BB2915" s="466"/>
      <c r="BC2915" s="466"/>
      <c r="BD2915" s="466"/>
      <c r="BE2915" s="467"/>
      <c r="BF2915" s="467"/>
      <c r="BG2915" s="466"/>
      <c r="BH2915" s="466"/>
      <c r="BI2915" s="467"/>
      <c r="BJ2915" s="467"/>
      <c r="BK2915" s="467"/>
      <c r="BL2915" s="467"/>
      <c r="BM2915" s="467"/>
      <c r="BN2915" s="467"/>
      <c r="BO2915" s="467"/>
      <c r="BP2915" s="467"/>
      <c r="BQ2915" s="467"/>
      <c r="BR2915" s="467"/>
      <c r="BS2915" s="467"/>
      <c r="BT2915" s="467"/>
      <c r="BU2915" s="467"/>
      <c r="BV2915" s="467"/>
      <c r="BW2915" s="467"/>
      <c r="BX2915" s="769"/>
      <c r="BY2915" s="769"/>
      <c r="BZ2915" s="769"/>
      <c r="CA2915" s="769"/>
      <c r="CB2915" s="769"/>
      <c r="CC2915" s="769"/>
      <c r="CD2915" s="769"/>
      <c r="CE2915" s="769"/>
      <c r="CF2915" s="769"/>
      <c r="CG2915" s="73"/>
      <c r="CH2915" s="438"/>
      <c r="CI2915" s="416"/>
      <c r="CJ2915" s="73"/>
      <c r="CK2915" s="650"/>
      <c r="CL2915" s="499"/>
      <c r="CM2915" s="650"/>
      <c r="CR2915" s="416"/>
      <c r="CS2915" s="650"/>
      <c r="CU2915" s="73"/>
      <c r="CV2915" s="73"/>
      <c r="CW2915" s="73"/>
      <c r="CX2915" s="73"/>
      <c r="DA2915" s="650"/>
    </row>
    <row r="2916" spans="1:105" s="45" customFormat="1" x14ac:dyDescent="0.2">
      <c r="A2916" s="650"/>
      <c r="B2916" s="438"/>
      <c r="D2916" s="73"/>
      <c r="E2916" s="650"/>
      <c r="F2916" s="650"/>
      <c r="G2916" s="73"/>
      <c r="I2916" s="111"/>
      <c r="J2916" s="81"/>
      <c r="K2916" s="81"/>
      <c r="L2916" s="499"/>
      <c r="M2916" s="73"/>
      <c r="N2916" s="499"/>
      <c r="O2916" s="73"/>
      <c r="P2916" s="73"/>
      <c r="Q2916" s="73"/>
      <c r="R2916" s="176"/>
      <c r="S2916" s="176"/>
      <c r="T2916" s="176"/>
      <c r="U2916" s="400"/>
      <c r="V2916" s="400"/>
      <c r="W2916" s="732"/>
      <c r="X2916" s="167"/>
      <c r="Y2916" s="509"/>
      <c r="Z2916" s="466"/>
      <c r="AA2916" s="466"/>
      <c r="AB2916" s="466"/>
      <c r="AC2916" s="466"/>
      <c r="AD2916" s="466"/>
      <c r="AE2916" s="466"/>
      <c r="AF2916" s="466"/>
      <c r="AG2916" s="466"/>
      <c r="AH2916" s="466"/>
      <c r="AI2916" s="466"/>
      <c r="AJ2916" s="466"/>
      <c r="AK2916" s="466"/>
      <c r="AL2916" s="466"/>
      <c r="AM2916" s="466"/>
      <c r="AN2916" s="466"/>
      <c r="AO2916" s="466"/>
      <c r="AP2916" s="466"/>
      <c r="AQ2916" s="466"/>
      <c r="AR2916" s="466"/>
      <c r="AS2916" s="466"/>
      <c r="AT2916" s="466"/>
      <c r="AU2916" s="466"/>
      <c r="AV2916" s="466"/>
      <c r="AW2916" s="466"/>
      <c r="AX2916" s="466"/>
      <c r="AY2916" s="466"/>
      <c r="AZ2916" s="466"/>
      <c r="BA2916" s="466"/>
      <c r="BB2916" s="466"/>
      <c r="BC2916" s="466"/>
      <c r="BD2916" s="466"/>
      <c r="BE2916" s="467"/>
      <c r="BF2916" s="467"/>
      <c r="BG2916" s="466"/>
      <c r="BH2916" s="466"/>
      <c r="BI2916" s="467"/>
      <c r="BJ2916" s="467"/>
      <c r="BK2916" s="467"/>
      <c r="BL2916" s="467"/>
      <c r="BM2916" s="467"/>
      <c r="BN2916" s="467"/>
      <c r="BO2916" s="467"/>
      <c r="BP2916" s="467"/>
      <c r="BQ2916" s="467"/>
      <c r="BR2916" s="467"/>
      <c r="BS2916" s="467"/>
      <c r="BT2916" s="467"/>
      <c r="BU2916" s="467"/>
      <c r="BV2916" s="467"/>
      <c r="BW2916" s="467"/>
      <c r="BX2916" s="769"/>
      <c r="BY2916" s="769"/>
      <c r="BZ2916" s="769"/>
      <c r="CA2916" s="769"/>
      <c r="CB2916" s="769"/>
      <c r="CC2916" s="769"/>
      <c r="CD2916" s="769"/>
      <c r="CE2916" s="769"/>
      <c r="CF2916" s="769"/>
      <c r="CG2916" s="73"/>
      <c r="CH2916" s="438"/>
      <c r="CI2916" s="416"/>
      <c r="CJ2916" s="73"/>
      <c r="CK2916" s="650"/>
      <c r="CL2916" s="499"/>
      <c r="CM2916" s="650"/>
      <c r="CR2916" s="416"/>
      <c r="CS2916" s="650"/>
      <c r="CU2916" s="73"/>
      <c r="CV2916" s="73"/>
      <c r="CW2916" s="73"/>
      <c r="CX2916" s="73"/>
      <c r="DA2916" s="650"/>
    </row>
    <row r="2917" spans="1:105" s="45" customFormat="1" x14ac:dyDescent="0.2">
      <c r="A2917" s="650"/>
      <c r="B2917" s="438"/>
      <c r="D2917" s="73"/>
      <c r="E2917" s="650"/>
      <c r="F2917" s="650"/>
      <c r="G2917" s="73"/>
      <c r="I2917" s="111"/>
      <c r="J2917" s="81"/>
      <c r="K2917" s="81"/>
      <c r="L2917" s="499"/>
      <c r="M2917" s="73"/>
      <c r="N2917" s="499"/>
      <c r="O2917" s="73"/>
      <c r="P2917" s="73"/>
      <c r="Q2917" s="73"/>
      <c r="R2917" s="176"/>
      <c r="S2917" s="176"/>
      <c r="T2917" s="176"/>
      <c r="U2917" s="400"/>
      <c r="V2917" s="400"/>
      <c r="W2917" s="732"/>
      <c r="X2917" s="167"/>
      <c r="Y2917" s="509"/>
      <c r="Z2917" s="466"/>
      <c r="AA2917" s="466"/>
      <c r="AB2917" s="466"/>
      <c r="AC2917" s="466"/>
      <c r="AD2917" s="466"/>
      <c r="AE2917" s="466"/>
      <c r="AF2917" s="466"/>
      <c r="AG2917" s="466"/>
      <c r="AH2917" s="466"/>
      <c r="AI2917" s="466"/>
      <c r="AJ2917" s="466"/>
      <c r="AK2917" s="466"/>
      <c r="AL2917" s="466"/>
      <c r="AM2917" s="466"/>
      <c r="AN2917" s="466"/>
      <c r="AO2917" s="466"/>
      <c r="AP2917" s="466"/>
      <c r="AQ2917" s="466"/>
      <c r="AR2917" s="466"/>
      <c r="AS2917" s="466"/>
      <c r="AT2917" s="466"/>
      <c r="AU2917" s="466"/>
      <c r="AV2917" s="466"/>
      <c r="AW2917" s="466"/>
      <c r="AX2917" s="466"/>
      <c r="AY2917" s="466"/>
      <c r="AZ2917" s="466"/>
      <c r="BA2917" s="466"/>
      <c r="BB2917" s="466"/>
      <c r="BC2917" s="466"/>
      <c r="BD2917" s="466"/>
      <c r="BE2917" s="467"/>
      <c r="BF2917" s="467"/>
      <c r="BG2917" s="466"/>
      <c r="BH2917" s="466"/>
      <c r="BI2917" s="467"/>
      <c r="BJ2917" s="467"/>
      <c r="BK2917" s="467"/>
      <c r="BL2917" s="467"/>
      <c r="BM2917" s="467"/>
      <c r="BN2917" s="467"/>
      <c r="BO2917" s="467"/>
      <c r="BP2917" s="467"/>
      <c r="BQ2917" s="467"/>
      <c r="BR2917" s="467"/>
      <c r="BS2917" s="467"/>
      <c r="BT2917" s="467"/>
      <c r="BU2917" s="467"/>
      <c r="BV2917" s="467"/>
      <c r="BW2917" s="467"/>
      <c r="BX2917" s="769"/>
      <c r="BY2917" s="769"/>
      <c r="BZ2917" s="769"/>
      <c r="CA2917" s="769"/>
      <c r="CB2917" s="769"/>
      <c r="CC2917" s="769"/>
      <c r="CD2917" s="769"/>
      <c r="CE2917" s="769"/>
      <c r="CF2917" s="769"/>
      <c r="CG2917" s="73"/>
      <c r="CH2917" s="438"/>
      <c r="CI2917" s="416"/>
      <c r="CJ2917" s="73"/>
      <c r="CK2917" s="650"/>
      <c r="CL2917" s="499"/>
      <c r="CM2917" s="650"/>
      <c r="CR2917" s="416"/>
      <c r="CS2917" s="650"/>
      <c r="CU2917" s="73"/>
      <c r="CV2917" s="73"/>
      <c r="CW2917" s="73"/>
      <c r="CX2917" s="73"/>
      <c r="DA2917" s="650"/>
    </row>
    <row r="2918" spans="1:105" s="45" customFormat="1" x14ac:dyDescent="0.2">
      <c r="A2918" s="650"/>
      <c r="B2918" s="438"/>
      <c r="D2918" s="73"/>
      <c r="E2918" s="650"/>
      <c r="F2918" s="650"/>
      <c r="G2918" s="73"/>
      <c r="I2918" s="111"/>
      <c r="J2918" s="81"/>
      <c r="K2918" s="81"/>
      <c r="L2918" s="499"/>
      <c r="M2918" s="73"/>
      <c r="N2918" s="499"/>
      <c r="O2918" s="73"/>
      <c r="P2918" s="73"/>
      <c r="Q2918" s="73"/>
      <c r="R2918" s="176"/>
      <c r="S2918" s="176"/>
      <c r="T2918" s="176"/>
      <c r="U2918" s="400"/>
      <c r="V2918" s="400"/>
      <c r="W2918" s="732"/>
      <c r="X2918" s="167"/>
      <c r="Y2918" s="509"/>
      <c r="Z2918" s="466"/>
      <c r="AA2918" s="466"/>
      <c r="AB2918" s="466"/>
      <c r="AC2918" s="466"/>
      <c r="AD2918" s="466"/>
      <c r="AE2918" s="466"/>
      <c r="AF2918" s="466"/>
      <c r="AG2918" s="466"/>
      <c r="AH2918" s="466"/>
      <c r="AI2918" s="466"/>
      <c r="AJ2918" s="466"/>
      <c r="AK2918" s="466"/>
      <c r="AL2918" s="466"/>
      <c r="AM2918" s="466"/>
      <c r="AN2918" s="466"/>
      <c r="AO2918" s="466"/>
      <c r="AP2918" s="466"/>
      <c r="AQ2918" s="466"/>
      <c r="AR2918" s="466"/>
      <c r="AS2918" s="466"/>
      <c r="AT2918" s="466"/>
      <c r="AU2918" s="466"/>
      <c r="AV2918" s="466"/>
      <c r="AW2918" s="466"/>
      <c r="AX2918" s="466"/>
      <c r="AY2918" s="466"/>
      <c r="AZ2918" s="466"/>
      <c r="BA2918" s="466"/>
      <c r="BB2918" s="466"/>
      <c r="BC2918" s="466"/>
      <c r="BD2918" s="466"/>
      <c r="BE2918" s="467"/>
      <c r="BF2918" s="467"/>
      <c r="BG2918" s="466"/>
      <c r="BH2918" s="466"/>
      <c r="BI2918" s="467"/>
      <c r="BJ2918" s="467"/>
      <c r="BK2918" s="467"/>
      <c r="BL2918" s="467"/>
      <c r="BM2918" s="467"/>
      <c r="BN2918" s="467"/>
      <c r="BO2918" s="467"/>
      <c r="BP2918" s="467"/>
      <c r="BQ2918" s="467"/>
      <c r="BR2918" s="467"/>
      <c r="BS2918" s="467"/>
      <c r="BT2918" s="467"/>
      <c r="BU2918" s="467"/>
      <c r="BV2918" s="467"/>
      <c r="BW2918" s="467"/>
      <c r="BX2918" s="769"/>
      <c r="BY2918" s="769"/>
      <c r="BZ2918" s="769"/>
      <c r="CA2918" s="769"/>
      <c r="CB2918" s="769"/>
      <c r="CC2918" s="769"/>
      <c r="CD2918" s="769"/>
      <c r="CE2918" s="769"/>
      <c r="CF2918" s="769"/>
      <c r="CG2918" s="73"/>
      <c r="CH2918" s="438"/>
      <c r="CI2918" s="416"/>
      <c r="CJ2918" s="73"/>
      <c r="CK2918" s="650"/>
      <c r="CL2918" s="499"/>
      <c r="CM2918" s="650"/>
      <c r="CR2918" s="416"/>
      <c r="CS2918" s="650"/>
      <c r="CU2918" s="73"/>
      <c r="CV2918" s="73"/>
      <c r="CW2918" s="73"/>
      <c r="CX2918" s="73"/>
      <c r="DA2918" s="650"/>
    </row>
    <row r="2919" spans="1:105" s="45" customFormat="1" x14ac:dyDescent="0.2">
      <c r="A2919" s="650"/>
      <c r="B2919" s="438"/>
      <c r="D2919" s="73"/>
      <c r="E2919" s="650"/>
      <c r="F2919" s="650"/>
      <c r="G2919" s="73"/>
      <c r="I2919" s="111"/>
      <c r="J2919" s="81"/>
      <c r="K2919" s="81"/>
      <c r="L2919" s="499"/>
      <c r="M2919" s="73"/>
      <c r="N2919" s="499"/>
      <c r="O2919" s="73"/>
      <c r="P2919" s="73"/>
      <c r="Q2919" s="73"/>
      <c r="R2919" s="176"/>
      <c r="S2919" s="176"/>
      <c r="T2919" s="176"/>
      <c r="U2919" s="400"/>
      <c r="V2919" s="400"/>
      <c r="W2919" s="732"/>
      <c r="X2919" s="167"/>
      <c r="Y2919" s="509"/>
      <c r="Z2919" s="466"/>
      <c r="AA2919" s="466"/>
      <c r="AB2919" s="466"/>
      <c r="AC2919" s="466"/>
      <c r="AD2919" s="466"/>
      <c r="AE2919" s="466"/>
      <c r="AF2919" s="466"/>
      <c r="AG2919" s="466"/>
      <c r="AH2919" s="466"/>
      <c r="AI2919" s="466"/>
      <c r="AJ2919" s="466"/>
      <c r="AK2919" s="466"/>
      <c r="AL2919" s="466"/>
      <c r="AM2919" s="466"/>
      <c r="AN2919" s="466"/>
      <c r="AO2919" s="466"/>
      <c r="AP2919" s="466"/>
      <c r="AQ2919" s="466"/>
      <c r="AR2919" s="466"/>
      <c r="AS2919" s="466"/>
      <c r="AT2919" s="466"/>
      <c r="AU2919" s="466"/>
      <c r="AV2919" s="466"/>
      <c r="AW2919" s="466"/>
      <c r="AX2919" s="466"/>
      <c r="AY2919" s="466"/>
      <c r="AZ2919" s="466"/>
      <c r="BA2919" s="466"/>
      <c r="BB2919" s="466"/>
      <c r="BC2919" s="466"/>
      <c r="BD2919" s="466"/>
      <c r="BE2919" s="467"/>
      <c r="BF2919" s="467"/>
      <c r="BG2919" s="466"/>
      <c r="BH2919" s="466"/>
      <c r="BI2919" s="467"/>
      <c r="BJ2919" s="467"/>
      <c r="BK2919" s="467"/>
      <c r="BL2919" s="467"/>
      <c r="BM2919" s="467"/>
      <c r="BN2919" s="467"/>
      <c r="BO2919" s="467"/>
      <c r="BP2919" s="467"/>
      <c r="BQ2919" s="467"/>
      <c r="BR2919" s="467"/>
      <c r="BS2919" s="467"/>
      <c r="BT2919" s="467"/>
      <c r="BU2919" s="467"/>
      <c r="BV2919" s="467"/>
      <c r="BW2919" s="467"/>
      <c r="BX2919" s="769"/>
      <c r="BY2919" s="769"/>
      <c r="BZ2919" s="769"/>
      <c r="CA2919" s="769"/>
      <c r="CB2919" s="769"/>
      <c r="CC2919" s="769"/>
      <c r="CD2919" s="769"/>
      <c r="CE2919" s="769"/>
      <c r="CF2919" s="769"/>
      <c r="CG2919" s="73"/>
      <c r="CH2919" s="438"/>
      <c r="CI2919" s="416"/>
      <c r="CJ2919" s="73"/>
      <c r="CK2919" s="650"/>
      <c r="CL2919" s="499"/>
      <c r="CM2919" s="650"/>
      <c r="CR2919" s="416"/>
      <c r="CS2919" s="650"/>
      <c r="CU2919" s="73"/>
      <c r="CV2919" s="73"/>
      <c r="CW2919" s="73"/>
      <c r="CX2919" s="73"/>
      <c r="DA2919" s="650"/>
    </row>
    <row r="2920" spans="1:105" s="45" customFormat="1" x14ac:dyDescent="0.2">
      <c r="A2920" s="650"/>
      <c r="B2920" s="438"/>
      <c r="D2920" s="73"/>
      <c r="E2920" s="650"/>
      <c r="F2920" s="650"/>
      <c r="G2920" s="73"/>
      <c r="I2920" s="111"/>
      <c r="J2920" s="81"/>
      <c r="K2920" s="81"/>
      <c r="L2920" s="499"/>
      <c r="M2920" s="73"/>
      <c r="N2920" s="499"/>
      <c r="O2920" s="73"/>
      <c r="P2920" s="73"/>
      <c r="Q2920" s="73"/>
      <c r="R2920" s="176"/>
      <c r="S2920" s="176"/>
      <c r="T2920" s="176"/>
      <c r="U2920" s="400"/>
      <c r="V2920" s="400"/>
      <c r="W2920" s="732"/>
      <c r="X2920" s="167"/>
      <c r="Y2920" s="509"/>
      <c r="Z2920" s="466"/>
      <c r="AA2920" s="466"/>
      <c r="AB2920" s="466"/>
      <c r="AC2920" s="466"/>
      <c r="AD2920" s="466"/>
      <c r="AE2920" s="466"/>
      <c r="AF2920" s="466"/>
      <c r="AG2920" s="466"/>
      <c r="AH2920" s="466"/>
      <c r="AI2920" s="466"/>
      <c r="AJ2920" s="466"/>
      <c r="AK2920" s="466"/>
      <c r="AL2920" s="466"/>
      <c r="AM2920" s="466"/>
      <c r="AN2920" s="466"/>
      <c r="AO2920" s="466"/>
      <c r="AP2920" s="466"/>
      <c r="AQ2920" s="466"/>
      <c r="AR2920" s="466"/>
      <c r="AS2920" s="466"/>
      <c r="AT2920" s="466"/>
      <c r="AU2920" s="466"/>
      <c r="AV2920" s="466"/>
      <c r="AW2920" s="466"/>
      <c r="AX2920" s="466"/>
      <c r="AY2920" s="466"/>
      <c r="AZ2920" s="466"/>
      <c r="BA2920" s="466"/>
      <c r="BB2920" s="466"/>
      <c r="BC2920" s="466"/>
      <c r="BD2920" s="466"/>
      <c r="BE2920" s="467"/>
      <c r="BF2920" s="467"/>
      <c r="BG2920" s="466"/>
      <c r="BH2920" s="466"/>
      <c r="BI2920" s="467"/>
      <c r="BJ2920" s="467"/>
      <c r="BK2920" s="467"/>
      <c r="BL2920" s="467"/>
      <c r="BM2920" s="467"/>
      <c r="BN2920" s="467"/>
      <c r="BO2920" s="467"/>
      <c r="BP2920" s="467"/>
      <c r="BQ2920" s="467"/>
      <c r="BR2920" s="467"/>
      <c r="BS2920" s="467"/>
      <c r="BT2920" s="467"/>
      <c r="BU2920" s="467"/>
      <c r="BV2920" s="467"/>
      <c r="BW2920" s="467"/>
      <c r="BX2920" s="769"/>
      <c r="BY2920" s="769"/>
      <c r="BZ2920" s="769"/>
      <c r="CA2920" s="769"/>
      <c r="CB2920" s="769"/>
      <c r="CC2920" s="769"/>
      <c r="CD2920" s="769"/>
      <c r="CE2920" s="769"/>
      <c r="CF2920" s="769"/>
      <c r="CG2920" s="73"/>
      <c r="CH2920" s="438"/>
      <c r="CI2920" s="416"/>
      <c r="CJ2920" s="73"/>
      <c r="CK2920" s="650"/>
      <c r="CL2920" s="499"/>
      <c r="CM2920" s="650"/>
      <c r="CR2920" s="416"/>
      <c r="CS2920" s="650"/>
      <c r="CU2920" s="73"/>
      <c r="CV2920" s="73"/>
      <c r="CW2920" s="73"/>
      <c r="CX2920" s="73"/>
      <c r="DA2920" s="650"/>
    </row>
    <row r="2921" spans="1:105" s="45" customFormat="1" x14ac:dyDescent="0.2">
      <c r="A2921" s="650"/>
      <c r="B2921" s="438"/>
      <c r="D2921" s="73"/>
      <c r="E2921" s="650"/>
      <c r="F2921" s="650"/>
      <c r="G2921" s="73"/>
      <c r="I2921" s="111"/>
      <c r="J2921" s="81"/>
      <c r="K2921" s="81"/>
      <c r="L2921" s="499"/>
      <c r="M2921" s="73"/>
      <c r="N2921" s="499"/>
      <c r="O2921" s="73"/>
      <c r="P2921" s="73"/>
      <c r="Q2921" s="73"/>
      <c r="R2921" s="176"/>
      <c r="S2921" s="176"/>
      <c r="T2921" s="176"/>
      <c r="U2921" s="400"/>
      <c r="V2921" s="400"/>
      <c r="W2921" s="732"/>
      <c r="X2921" s="167"/>
      <c r="Y2921" s="509"/>
      <c r="Z2921" s="466"/>
      <c r="AA2921" s="466"/>
      <c r="AB2921" s="466"/>
      <c r="AC2921" s="466"/>
      <c r="AD2921" s="466"/>
      <c r="AE2921" s="466"/>
      <c r="AF2921" s="466"/>
      <c r="AG2921" s="466"/>
      <c r="AH2921" s="466"/>
      <c r="AI2921" s="466"/>
      <c r="AJ2921" s="466"/>
      <c r="AK2921" s="466"/>
      <c r="AL2921" s="466"/>
      <c r="AM2921" s="466"/>
      <c r="AN2921" s="466"/>
      <c r="AO2921" s="466"/>
      <c r="AP2921" s="466"/>
      <c r="AQ2921" s="466"/>
      <c r="AR2921" s="466"/>
      <c r="AS2921" s="466"/>
      <c r="AT2921" s="466"/>
      <c r="AU2921" s="466"/>
      <c r="AV2921" s="466"/>
      <c r="AW2921" s="466"/>
      <c r="AX2921" s="466"/>
      <c r="AY2921" s="466"/>
      <c r="AZ2921" s="466"/>
      <c r="BA2921" s="466"/>
      <c r="BB2921" s="466"/>
      <c r="BC2921" s="466"/>
      <c r="BD2921" s="466"/>
      <c r="BE2921" s="467"/>
      <c r="BF2921" s="467"/>
      <c r="BG2921" s="466"/>
      <c r="BH2921" s="466"/>
      <c r="BI2921" s="467"/>
      <c r="BJ2921" s="467"/>
      <c r="BK2921" s="467"/>
      <c r="BL2921" s="467"/>
      <c r="BM2921" s="467"/>
      <c r="BN2921" s="467"/>
      <c r="BO2921" s="467"/>
      <c r="BP2921" s="467"/>
      <c r="BQ2921" s="467"/>
      <c r="BR2921" s="467"/>
      <c r="BS2921" s="467"/>
      <c r="BT2921" s="467"/>
      <c r="BU2921" s="467"/>
      <c r="BV2921" s="467"/>
      <c r="BW2921" s="467"/>
      <c r="BX2921" s="769"/>
      <c r="BY2921" s="769"/>
      <c r="BZ2921" s="769"/>
      <c r="CA2921" s="769"/>
      <c r="CB2921" s="769"/>
      <c r="CC2921" s="769"/>
      <c r="CD2921" s="769"/>
      <c r="CE2921" s="769"/>
      <c r="CF2921" s="769"/>
      <c r="CG2921" s="73"/>
      <c r="CH2921" s="438"/>
      <c r="CI2921" s="416"/>
      <c r="CJ2921" s="73"/>
      <c r="CK2921" s="650"/>
      <c r="CL2921" s="499"/>
      <c r="CM2921" s="650"/>
      <c r="CR2921" s="416"/>
      <c r="CS2921" s="650"/>
      <c r="CU2921" s="73"/>
      <c r="CV2921" s="73"/>
      <c r="CW2921" s="73"/>
      <c r="CX2921" s="73"/>
      <c r="DA2921" s="650"/>
    </row>
    <row r="2922" spans="1:105" s="45" customFormat="1" x14ac:dyDescent="0.2">
      <c r="A2922" s="650"/>
      <c r="B2922" s="438"/>
      <c r="D2922" s="73"/>
      <c r="E2922" s="650"/>
      <c r="F2922" s="650"/>
      <c r="G2922" s="73"/>
      <c r="I2922" s="111"/>
      <c r="J2922" s="81"/>
      <c r="K2922" s="81"/>
      <c r="L2922" s="499"/>
      <c r="M2922" s="73"/>
      <c r="N2922" s="499"/>
      <c r="O2922" s="73"/>
      <c r="P2922" s="73"/>
      <c r="Q2922" s="73"/>
      <c r="R2922" s="176"/>
      <c r="S2922" s="176"/>
      <c r="T2922" s="176"/>
      <c r="U2922" s="400"/>
      <c r="V2922" s="400"/>
      <c r="W2922" s="732"/>
      <c r="X2922" s="167"/>
      <c r="Y2922" s="509"/>
      <c r="Z2922" s="466"/>
      <c r="AA2922" s="466"/>
      <c r="AB2922" s="466"/>
      <c r="AC2922" s="466"/>
      <c r="AD2922" s="466"/>
      <c r="AE2922" s="466"/>
      <c r="AF2922" s="466"/>
      <c r="AG2922" s="466"/>
      <c r="AH2922" s="466"/>
      <c r="AI2922" s="466"/>
      <c r="AJ2922" s="466"/>
      <c r="AK2922" s="466"/>
      <c r="AL2922" s="466"/>
      <c r="AM2922" s="466"/>
      <c r="AN2922" s="466"/>
      <c r="AO2922" s="466"/>
      <c r="AP2922" s="466"/>
      <c r="AQ2922" s="466"/>
      <c r="AR2922" s="466"/>
      <c r="AS2922" s="466"/>
      <c r="AT2922" s="466"/>
      <c r="AU2922" s="466"/>
      <c r="AV2922" s="466"/>
      <c r="AW2922" s="466"/>
      <c r="AX2922" s="466"/>
      <c r="AY2922" s="466"/>
      <c r="AZ2922" s="466"/>
      <c r="BA2922" s="466"/>
      <c r="BB2922" s="466"/>
      <c r="BC2922" s="466"/>
      <c r="BD2922" s="466"/>
      <c r="BE2922" s="467"/>
      <c r="BF2922" s="467"/>
      <c r="BG2922" s="466"/>
      <c r="BH2922" s="466"/>
      <c r="BI2922" s="467"/>
      <c r="BJ2922" s="467"/>
      <c r="BK2922" s="467"/>
      <c r="BL2922" s="467"/>
      <c r="BM2922" s="467"/>
      <c r="BN2922" s="467"/>
      <c r="BO2922" s="467"/>
      <c r="BP2922" s="467"/>
      <c r="BQ2922" s="467"/>
      <c r="BR2922" s="467"/>
      <c r="BS2922" s="467"/>
      <c r="BT2922" s="467"/>
      <c r="BU2922" s="467"/>
      <c r="BV2922" s="467"/>
      <c r="BW2922" s="467"/>
      <c r="BX2922" s="769"/>
      <c r="BY2922" s="769"/>
      <c r="BZ2922" s="769"/>
      <c r="CA2922" s="769"/>
      <c r="CB2922" s="769"/>
      <c r="CC2922" s="769"/>
      <c r="CD2922" s="769"/>
      <c r="CE2922" s="769"/>
      <c r="CF2922" s="769"/>
      <c r="CG2922" s="73"/>
      <c r="CH2922" s="438"/>
      <c r="CI2922" s="416"/>
      <c r="CJ2922" s="73"/>
      <c r="CK2922" s="650"/>
      <c r="CL2922" s="499"/>
      <c r="CM2922" s="650"/>
      <c r="CR2922" s="416"/>
      <c r="CS2922" s="650"/>
      <c r="CU2922" s="73"/>
      <c r="CV2922" s="73"/>
      <c r="CW2922" s="73"/>
      <c r="CX2922" s="73"/>
      <c r="DA2922" s="650"/>
    </row>
    <row r="2923" spans="1:105" s="45" customFormat="1" x14ac:dyDescent="0.2">
      <c r="A2923" s="650"/>
      <c r="B2923" s="438"/>
      <c r="D2923" s="73"/>
      <c r="E2923" s="650"/>
      <c r="F2923" s="650"/>
      <c r="G2923" s="73"/>
      <c r="I2923" s="111"/>
      <c r="J2923" s="81"/>
      <c r="K2923" s="81"/>
      <c r="L2923" s="499"/>
      <c r="M2923" s="73"/>
      <c r="N2923" s="499"/>
      <c r="O2923" s="73"/>
      <c r="P2923" s="73"/>
      <c r="Q2923" s="73"/>
      <c r="R2923" s="176"/>
      <c r="S2923" s="176"/>
      <c r="T2923" s="176"/>
      <c r="U2923" s="400"/>
      <c r="V2923" s="400"/>
      <c r="W2923" s="732"/>
      <c r="X2923" s="167"/>
      <c r="Y2923" s="509"/>
      <c r="Z2923" s="466"/>
      <c r="AA2923" s="466"/>
      <c r="AB2923" s="466"/>
      <c r="AC2923" s="466"/>
      <c r="AD2923" s="466"/>
      <c r="AE2923" s="466"/>
      <c r="AF2923" s="466"/>
      <c r="AG2923" s="466"/>
      <c r="AH2923" s="466"/>
      <c r="AI2923" s="466"/>
      <c r="AJ2923" s="466"/>
      <c r="AK2923" s="466"/>
      <c r="AL2923" s="466"/>
      <c r="AM2923" s="466"/>
      <c r="AN2923" s="466"/>
      <c r="AO2923" s="466"/>
      <c r="AP2923" s="466"/>
      <c r="AQ2923" s="466"/>
      <c r="AR2923" s="466"/>
      <c r="AS2923" s="466"/>
      <c r="AT2923" s="466"/>
      <c r="AU2923" s="466"/>
      <c r="AV2923" s="466"/>
      <c r="AW2923" s="466"/>
      <c r="AX2923" s="466"/>
      <c r="AY2923" s="466"/>
      <c r="AZ2923" s="466"/>
      <c r="BA2923" s="466"/>
      <c r="BB2923" s="466"/>
      <c r="BC2923" s="466"/>
      <c r="BD2923" s="466"/>
      <c r="BE2923" s="467"/>
      <c r="BF2923" s="467"/>
      <c r="BG2923" s="466"/>
      <c r="BH2923" s="466"/>
      <c r="BI2923" s="467"/>
      <c r="BJ2923" s="467"/>
      <c r="BK2923" s="467"/>
      <c r="BL2923" s="467"/>
      <c r="BM2923" s="467"/>
      <c r="BN2923" s="467"/>
      <c r="BO2923" s="467"/>
      <c r="BP2923" s="467"/>
      <c r="BQ2923" s="467"/>
      <c r="BR2923" s="467"/>
      <c r="BS2923" s="467"/>
      <c r="BT2923" s="467"/>
      <c r="BU2923" s="467"/>
      <c r="BV2923" s="467"/>
      <c r="BW2923" s="467"/>
      <c r="BX2923" s="769"/>
      <c r="BY2923" s="769"/>
      <c r="BZ2923" s="769"/>
      <c r="CA2923" s="769"/>
      <c r="CB2923" s="769"/>
      <c r="CC2923" s="769"/>
      <c r="CD2923" s="769"/>
      <c r="CE2923" s="769"/>
      <c r="CF2923" s="769"/>
      <c r="CG2923" s="73"/>
      <c r="CH2923" s="438"/>
      <c r="CI2923" s="416"/>
      <c r="CJ2923" s="73"/>
      <c r="CK2923" s="650"/>
      <c r="CL2923" s="499"/>
      <c r="CM2923" s="650"/>
      <c r="CR2923" s="416"/>
      <c r="CS2923" s="650"/>
      <c r="CU2923" s="73"/>
      <c r="CV2923" s="73"/>
      <c r="CW2923" s="73"/>
      <c r="CX2923" s="73"/>
      <c r="DA2923" s="650"/>
    </row>
    <row r="2924" spans="1:105" s="45" customFormat="1" x14ac:dyDescent="0.2">
      <c r="A2924" s="650"/>
      <c r="B2924" s="438"/>
      <c r="D2924" s="73"/>
      <c r="E2924" s="650"/>
      <c r="F2924" s="650"/>
      <c r="G2924" s="73"/>
      <c r="I2924" s="111"/>
      <c r="J2924" s="81"/>
      <c r="K2924" s="81"/>
      <c r="L2924" s="499"/>
      <c r="M2924" s="73"/>
      <c r="N2924" s="499"/>
      <c r="O2924" s="73"/>
      <c r="P2924" s="73"/>
      <c r="Q2924" s="73"/>
      <c r="R2924" s="176"/>
      <c r="S2924" s="176"/>
      <c r="T2924" s="176"/>
      <c r="U2924" s="400"/>
      <c r="V2924" s="400"/>
      <c r="W2924" s="732"/>
      <c r="X2924" s="167"/>
      <c r="Y2924" s="509"/>
      <c r="Z2924" s="466"/>
      <c r="AA2924" s="466"/>
      <c r="AB2924" s="466"/>
      <c r="AC2924" s="466"/>
      <c r="AD2924" s="466"/>
      <c r="AE2924" s="466"/>
      <c r="AF2924" s="466"/>
      <c r="AG2924" s="466"/>
      <c r="AH2924" s="466"/>
      <c r="AI2924" s="466"/>
      <c r="AJ2924" s="466"/>
      <c r="AK2924" s="466"/>
      <c r="AL2924" s="466"/>
      <c r="AM2924" s="466"/>
      <c r="AN2924" s="466"/>
      <c r="AO2924" s="466"/>
      <c r="AP2924" s="466"/>
      <c r="AQ2924" s="466"/>
      <c r="AR2924" s="466"/>
      <c r="AS2924" s="466"/>
      <c r="AT2924" s="466"/>
      <c r="AU2924" s="466"/>
      <c r="AV2924" s="466"/>
      <c r="AW2924" s="466"/>
      <c r="AX2924" s="466"/>
      <c r="AY2924" s="466"/>
      <c r="AZ2924" s="466"/>
      <c r="BA2924" s="466"/>
      <c r="BB2924" s="466"/>
      <c r="BC2924" s="466"/>
      <c r="BD2924" s="466"/>
      <c r="BE2924" s="467"/>
      <c r="BF2924" s="467"/>
      <c r="BG2924" s="466"/>
      <c r="BH2924" s="466"/>
      <c r="BI2924" s="467"/>
      <c r="BJ2924" s="467"/>
      <c r="BK2924" s="467"/>
      <c r="BL2924" s="467"/>
      <c r="BM2924" s="467"/>
      <c r="BN2924" s="467"/>
      <c r="BO2924" s="467"/>
      <c r="BP2924" s="467"/>
      <c r="BQ2924" s="467"/>
      <c r="BR2924" s="467"/>
      <c r="BS2924" s="467"/>
      <c r="BT2924" s="467"/>
      <c r="BU2924" s="467"/>
      <c r="BV2924" s="467"/>
      <c r="BW2924" s="467"/>
      <c r="BX2924" s="769"/>
      <c r="BY2924" s="769"/>
      <c r="BZ2924" s="769"/>
      <c r="CA2924" s="769"/>
      <c r="CB2924" s="769"/>
      <c r="CC2924" s="769"/>
      <c r="CD2924" s="769"/>
      <c r="CE2924" s="769"/>
      <c r="CF2924" s="769"/>
      <c r="CG2924" s="73"/>
      <c r="CH2924" s="438"/>
      <c r="CI2924" s="416"/>
      <c r="CJ2924" s="73"/>
      <c r="CK2924" s="650"/>
      <c r="CL2924" s="499"/>
      <c r="CM2924" s="650"/>
      <c r="CR2924" s="416"/>
      <c r="CS2924" s="650"/>
      <c r="CU2924" s="73"/>
      <c r="CV2924" s="73"/>
      <c r="CW2924" s="73"/>
      <c r="CX2924" s="73"/>
      <c r="DA2924" s="650"/>
    </row>
    <row r="2925" spans="1:105" s="45" customFormat="1" x14ac:dyDescent="0.2">
      <c r="A2925" s="650"/>
      <c r="B2925" s="438"/>
      <c r="D2925" s="73"/>
      <c r="E2925" s="650"/>
      <c r="F2925" s="650"/>
      <c r="G2925" s="73"/>
      <c r="I2925" s="111"/>
      <c r="J2925" s="81"/>
      <c r="K2925" s="81"/>
      <c r="L2925" s="499"/>
      <c r="M2925" s="73"/>
      <c r="N2925" s="499"/>
      <c r="O2925" s="73"/>
      <c r="P2925" s="73"/>
      <c r="Q2925" s="73"/>
      <c r="R2925" s="176"/>
      <c r="S2925" s="176"/>
      <c r="T2925" s="176"/>
      <c r="U2925" s="400"/>
      <c r="V2925" s="400"/>
      <c r="W2925" s="732"/>
      <c r="X2925" s="167"/>
      <c r="Y2925" s="509"/>
      <c r="Z2925" s="466"/>
      <c r="AA2925" s="466"/>
      <c r="AB2925" s="466"/>
      <c r="AC2925" s="466"/>
      <c r="AD2925" s="466"/>
      <c r="AE2925" s="466"/>
      <c r="AF2925" s="466"/>
      <c r="AG2925" s="466"/>
      <c r="AH2925" s="466"/>
      <c r="AI2925" s="466"/>
      <c r="AJ2925" s="466"/>
      <c r="AK2925" s="466"/>
      <c r="AL2925" s="466"/>
      <c r="AM2925" s="466"/>
      <c r="AN2925" s="466"/>
      <c r="AO2925" s="466"/>
      <c r="AP2925" s="466"/>
      <c r="AQ2925" s="466"/>
      <c r="AR2925" s="466"/>
      <c r="AS2925" s="466"/>
      <c r="AT2925" s="466"/>
      <c r="AU2925" s="466"/>
      <c r="AV2925" s="466"/>
      <c r="AW2925" s="466"/>
      <c r="AX2925" s="466"/>
      <c r="AY2925" s="466"/>
      <c r="AZ2925" s="466"/>
      <c r="BA2925" s="466"/>
      <c r="BB2925" s="466"/>
      <c r="BC2925" s="466"/>
      <c r="BD2925" s="466"/>
      <c r="BE2925" s="467"/>
      <c r="BF2925" s="467"/>
      <c r="BG2925" s="466"/>
      <c r="BH2925" s="466"/>
      <c r="BI2925" s="467"/>
      <c r="BJ2925" s="467"/>
      <c r="BK2925" s="467"/>
      <c r="BL2925" s="467"/>
      <c r="BM2925" s="467"/>
      <c r="BN2925" s="467"/>
      <c r="BO2925" s="467"/>
      <c r="BP2925" s="467"/>
      <c r="BQ2925" s="467"/>
      <c r="BR2925" s="467"/>
      <c r="BS2925" s="467"/>
      <c r="BT2925" s="467"/>
      <c r="BU2925" s="467"/>
      <c r="BV2925" s="467"/>
      <c r="BW2925" s="467"/>
      <c r="BX2925" s="769"/>
      <c r="BY2925" s="769"/>
      <c r="BZ2925" s="769"/>
      <c r="CA2925" s="769"/>
      <c r="CB2925" s="769"/>
      <c r="CC2925" s="769"/>
      <c r="CD2925" s="769"/>
      <c r="CE2925" s="769"/>
      <c r="CF2925" s="769"/>
      <c r="CG2925" s="73"/>
      <c r="CH2925" s="438"/>
      <c r="CI2925" s="416"/>
      <c r="CJ2925" s="73"/>
      <c r="CK2925" s="650"/>
      <c r="CL2925" s="499"/>
      <c r="CM2925" s="650"/>
      <c r="CR2925" s="416"/>
      <c r="CS2925" s="650"/>
      <c r="CU2925" s="73"/>
      <c r="CV2925" s="73"/>
      <c r="CW2925" s="73"/>
      <c r="CX2925" s="73"/>
      <c r="DA2925" s="650"/>
    </row>
    <row r="2926" spans="1:105" s="45" customFormat="1" x14ac:dyDescent="0.2">
      <c r="A2926" s="650"/>
      <c r="B2926" s="438"/>
      <c r="D2926" s="73"/>
      <c r="E2926" s="650"/>
      <c r="F2926" s="650"/>
      <c r="G2926" s="73"/>
      <c r="I2926" s="111"/>
      <c r="J2926" s="81"/>
      <c r="K2926" s="81"/>
      <c r="L2926" s="499"/>
      <c r="M2926" s="73"/>
      <c r="N2926" s="499"/>
      <c r="O2926" s="73"/>
      <c r="P2926" s="73"/>
      <c r="Q2926" s="73"/>
      <c r="R2926" s="176"/>
      <c r="S2926" s="176"/>
      <c r="T2926" s="176"/>
      <c r="U2926" s="400"/>
      <c r="V2926" s="400"/>
      <c r="W2926" s="732"/>
      <c r="X2926" s="167"/>
      <c r="Y2926" s="509"/>
      <c r="Z2926" s="466"/>
      <c r="AA2926" s="466"/>
      <c r="AB2926" s="466"/>
      <c r="AC2926" s="466"/>
      <c r="AD2926" s="466"/>
      <c r="AE2926" s="466"/>
      <c r="AF2926" s="466"/>
      <c r="AG2926" s="466"/>
      <c r="AH2926" s="466"/>
      <c r="AI2926" s="466"/>
      <c r="AJ2926" s="466"/>
      <c r="AK2926" s="466"/>
      <c r="AL2926" s="466"/>
      <c r="AM2926" s="466"/>
      <c r="AN2926" s="466"/>
      <c r="AO2926" s="466"/>
      <c r="AP2926" s="466"/>
      <c r="AQ2926" s="466"/>
      <c r="AR2926" s="466"/>
      <c r="AS2926" s="466"/>
      <c r="AT2926" s="466"/>
      <c r="AU2926" s="466"/>
      <c r="AV2926" s="466"/>
      <c r="AW2926" s="466"/>
      <c r="AX2926" s="466"/>
      <c r="AY2926" s="466"/>
      <c r="AZ2926" s="466"/>
      <c r="BA2926" s="466"/>
      <c r="BB2926" s="466"/>
      <c r="BC2926" s="466"/>
      <c r="BD2926" s="466"/>
      <c r="BE2926" s="467"/>
      <c r="BF2926" s="467"/>
      <c r="BG2926" s="466"/>
      <c r="BH2926" s="466"/>
      <c r="BI2926" s="467"/>
      <c r="BJ2926" s="467"/>
      <c r="BK2926" s="467"/>
      <c r="BL2926" s="467"/>
      <c r="BM2926" s="467"/>
      <c r="BN2926" s="467"/>
      <c r="BO2926" s="467"/>
      <c r="BP2926" s="467"/>
      <c r="BQ2926" s="467"/>
      <c r="BR2926" s="467"/>
      <c r="BS2926" s="467"/>
      <c r="BT2926" s="467"/>
      <c r="BU2926" s="467"/>
      <c r="BV2926" s="467"/>
      <c r="BW2926" s="467"/>
      <c r="BX2926" s="769"/>
      <c r="BY2926" s="769"/>
      <c r="BZ2926" s="769"/>
      <c r="CA2926" s="769"/>
      <c r="CB2926" s="769"/>
      <c r="CC2926" s="769"/>
      <c r="CD2926" s="769"/>
      <c r="CE2926" s="769"/>
      <c r="CF2926" s="769"/>
      <c r="CG2926" s="73"/>
      <c r="CH2926" s="438"/>
      <c r="CI2926" s="416"/>
      <c r="CJ2926" s="73"/>
      <c r="CK2926" s="650"/>
      <c r="CL2926" s="499"/>
      <c r="CM2926" s="650"/>
      <c r="CR2926" s="416"/>
      <c r="CS2926" s="650"/>
      <c r="CU2926" s="73"/>
      <c r="CV2926" s="73"/>
      <c r="CW2926" s="73"/>
      <c r="CX2926" s="73"/>
      <c r="DA2926" s="650"/>
    </row>
    <row r="2927" spans="1:105" s="45" customFormat="1" x14ac:dyDescent="0.2">
      <c r="A2927" s="650"/>
      <c r="B2927" s="438"/>
      <c r="D2927" s="73"/>
      <c r="E2927" s="650"/>
      <c r="F2927" s="650"/>
      <c r="G2927" s="73"/>
      <c r="I2927" s="111"/>
      <c r="J2927" s="81"/>
      <c r="K2927" s="81"/>
      <c r="L2927" s="499"/>
      <c r="M2927" s="73"/>
      <c r="N2927" s="499"/>
      <c r="O2927" s="73"/>
      <c r="P2927" s="73"/>
      <c r="Q2927" s="73"/>
      <c r="R2927" s="176"/>
      <c r="S2927" s="176"/>
      <c r="T2927" s="176"/>
      <c r="U2927" s="400"/>
      <c r="V2927" s="400"/>
      <c r="W2927" s="732"/>
      <c r="X2927" s="167"/>
      <c r="Y2927" s="509"/>
      <c r="Z2927" s="466"/>
      <c r="AA2927" s="466"/>
      <c r="AB2927" s="466"/>
      <c r="AC2927" s="466"/>
      <c r="AD2927" s="466"/>
      <c r="AE2927" s="466"/>
      <c r="AF2927" s="466"/>
      <c r="AG2927" s="466"/>
      <c r="AH2927" s="466"/>
      <c r="AI2927" s="466"/>
      <c r="AJ2927" s="466"/>
      <c r="AK2927" s="466"/>
      <c r="AL2927" s="466"/>
      <c r="AM2927" s="466"/>
      <c r="AN2927" s="466"/>
      <c r="AO2927" s="466"/>
      <c r="AP2927" s="466"/>
      <c r="AQ2927" s="466"/>
      <c r="AR2927" s="466"/>
      <c r="AS2927" s="466"/>
      <c r="AT2927" s="466"/>
      <c r="AU2927" s="466"/>
      <c r="AV2927" s="466"/>
      <c r="AW2927" s="466"/>
      <c r="AX2927" s="466"/>
      <c r="AY2927" s="466"/>
      <c r="AZ2927" s="466"/>
      <c r="BA2927" s="466"/>
      <c r="BB2927" s="466"/>
      <c r="BC2927" s="466"/>
      <c r="BD2927" s="466"/>
      <c r="BE2927" s="467"/>
      <c r="BF2927" s="467"/>
      <c r="BG2927" s="466"/>
      <c r="BH2927" s="466"/>
      <c r="BI2927" s="467"/>
      <c r="BJ2927" s="467"/>
      <c r="BK2927" s="467"/>
      <c r="BL2927" s="467"/>
      <c r="BM2927" s="467"/>
      <c r="BN2927" s="467"/>
      <c r="BO2927" s="467"/>
      <c r="BP2927" s="467"/>
      <c r="BQ2927" s="467"/>
      <c r="BR2927" s="467"/>
      <c r="BS2927" s="467"/>
      <c r="BT2927" s="467"/>
      <c r="BU2927" s="467"/>
      <c r="BV2927" s="467"/>
      <c r="BW2927" s="467"/>
      <c r="BX2927" s="769"/>
      <c r="BY2927" s="769"/>
      <c r="BZ2927" s="769"/>
      <c r="CA2927" s="769"/>
      <c r="CB2927" s="769"/>
      <c r="CC2927" s="769"/>
      <c r="CD2927" s="769"/>
      <c r="CE2927" s="769"/>
      <c r="CF2927" s="769"/>
      <c r="CG2927" s="73"/>
      <c r="CH2927" s="438"/>
      <c r="CI2927" s="416"/>
      <c r="CJ2927" s="73"/>
      <c r="CK2927" s="650"/>
      <c r="CL2927" s="499"/>
      <c r="CM2927" s="650"/>
      <c r="CR2927" s="416"/>
      <c r="CS2927" s="650"/>
      <c r="CU2927" s="73"/>
      <c r="CV2927" s="73"/>
      <c r="CW2927" s="73"/>
      <c r="CX2927" s="73"/>
      <c r="DA2927" s="650"/>
    </row>
    <row r="2928" spans="1:105" s="45" customFormat="1" x14ac:dyDescent="0.2">
      <c r="A2928" s="650"/>
      <c r="B2928" s="438"/>
      <c r="D2928" s="73"/>
      <c r="E2928" s="650"/>
      <c r="F2928" s="650"/>
      <c r="G2928" s="73"/>
      <c r="I2928" s="111"/>
      <c r="J2928" s="81"/>
      <c r="K2928" s="81"/>
      <c r="L2928" s="499"/>
      <c r="M2928" s="73"/>
      <c r="N2928" s="499"/>
      <c r="O2928" s="73"/>
      <c r="P2928" s="73"/>
      <c r="Q2928" s="73"/>
      <c r="R2928" s="176"/>
      <c r="S2928" s="176"/>
      <c r="T2928" s="176"/>
      <c r="U2928" s="400"/>
      <c r="V2928" s="400"/>
      <c r="W2928" s="732"/>
      <c r="X2928" s="167"/>
      <c r="Y2928" s="509"/>
      <c r="Z2928" s="466"/>
      <c r="AA2928" s="466"/>
      <c r="AB2928" s="466"/>
      <c r="AC2928" s="466"/>
      <c r="AD2928" s="466"/>
      <c r="AE2928" s="466"/>
      <c r="AF2928" s="466"/>
      <c r="AG2928" s="466"/>
      <c r="AH2928" s="466"/>
      <c r="AI2928" s="466"/>
      <c r="AJ2928" s="466"/>
      <c r="AK2928" s="466"/>
      <c r="AL2928" s="466"/>
      <c r="AM2928" s="466"/>
      <c r="AN2928" s="466"/>
      <c r="AO2928" s="466"/>
      <c r="AP2928" s="466"/>
      <c r="AQ2928" s="466"/>
      <c r="AR2928" s="466"/>
      <c r="AS2928" s="466"/>
      <c r="AT2928" s="466"/>
      <c r="AU2928" s="466"/>
      <c r="AV2928" s="466"/>
      <c r="AW2928" s="466"/>
      <c r="AX2928" s="466"/>
      <c r="AY2928" s="466"/>
      <c r="AZ2928" s="466"/>
      <c r="BA2928" s="466"/>
      <c r="BB2928" s="466"/>
      <c r="BC2928" s="466"/>
      <c r="BD2928" s="466"/>
      <c r="BE2928" s="467"/>
      <c r="BF2928" s="467"/>
      <c r="BG2928" s="466"/>
      <c r="BH2928" s="466"/>
      <c r="BI2928" s="467"/>
      <c r="BJ2928" s="467"/>
      <c r="BK2928" s="467"/>
      <c r="BL2928" s="467"/>
      <c r="BM2928" s="467"/>
      <c r="BN2928" s="467"/>
      <c r="BO2928" s="467"/>
      <c r="BP2928" s="467"/>
      <c r="BQ2928" s="467"/>
      <c r="BR2928" s="467"/>
      <c r="BS2928" s="467"/>
      <c r="BT2928" s="467"/>
      <c r="BU2928" s="467"/>
      <c r="BV2928" s="467"/>
      <c r="BW2928" s="467"/>
      <c r="BX2928" s="769"/>
      <c r="BY2928" s="769"/>
      <c r="BZ2928" s="769"/>
      <c r="CA2928" s="769"/>
      <c r="CB2928" s="769"/>
      <c r="CC2928" s="769"/>
      <c r="CD2928" s="769"/>
      <c r="CE2928" s="769"/>
      <c r="CF2928" s="769"/>
      <c r="CG2928" s="73"/>
      <c r="CH2928" s="438"/>
      <c r="CI2928" s="416"/>
      <c r="CJ2928" s="73"/>
      <c r="CK2928" s="650"/>
      <c r="CL2928" s="499"/>
      <c r="CM2928" s="650"/>
      <c r="CR2928" s="416"/>
      <c r="CS2928" s="650"/>
      <c r="CU2928" s="73"/>
      <c r="CV2928" s="73"/>
      <c r="CW2928" s="73"/>
      <c r="CX2928" s="73"/>
      <c r="DA2928" s="650"/>
    </row>
    <row r="2929" spans="1:105" s="45" customFormat="1" x14ac:dyDescent="0.2">
      <c r="A2929" s="650"/>
      <c r="B2929" s="438"/>
      <c r="D2929" s="73"/>
      <c r="E2929" s="650"/>
      <c r="F2929" s="650"/>
      <c r="G2929" s="73"/>
      <c r="I2929" s="111"/>
      <c r="J2929" s="81"/>
      <c r="K2929" s="81"/>
      <c r="L2929" s="499"/>
      <c r="M2929" s="73"/>
      <c r="N2929" s="499"/>
      <c r="O2929" s="73"/>
      <c r="P2929" s="73"/>
      <c r="Q2929" s="73"/>
      <c r="R2929" s="176"/>
      <c r="S2929" s="176"/>
      <c r="T2929" s="176"/>
      <c r="U2929" s="400"/>
      <c r="V2929" s="400"/>
      <c r="W2929" s="732"/>
      <c r="X2929" s="167"/>
      <c r="Y2929" s="509"/>
      <c r="Z2929" s="466"/>
      <c r="AA2929" s="466"/>
      <c r="AB2929" s="466"/>
      <c r="AC2929" s="466"/>
      <c r="AD2929" s="466"/>
      <c r="AE2929" s="466"/>
      <c r="AF2929" s="466"/>
      <c r="AG2929" s="466"/>
      <c r="AH2929" s="466"/>
      <c r="AI2929" s="466"/>
      <c r="AJ2929" s="466"/>
      <c r="AK2929" s="466"/>
      <c r="AL2929" s="466"/>
      <c r="AM2929" s="466"/>
      <c r="AN2929" s="466"/>
      <c r="AO2929" s="466"/>
      <c r="AP2929" s="466"/>
      <c r="AQ2929" s="466"/>
      <c r="AR2929" s="466"/>
      <c r="AS2929" s="466"/>
      <c r="AT2929" s="466"/>
      <c r="AU2929" s="466"/>
      <c r="AV2929" s="466"/>
      <c r="AW2929" s="466"/>
      <c r="AX2929" s="466"/>
      <c r="AY2929" s="466"/>
      <c r="AZ2929" s="466"/>
      <c r="BA2929" s="466"/>
      <c r="BB2929" s="466"/>
      <c r="BC2929" s="466"/>
      <c r="BD2929" s="466"/>
      <c r="BE2929" s="467"/>
      <c r="BF2929" s="467"/>
      <c r="BG2929" s="466"/>
      <c r="BH2929" s="466"/>
      <c r="BI2929" s="467"/>
      <c r="BJ2929" s="467"/>
      <c r="BK2929" s="467"/>
      <c r="BL2929" s="467"/>
      <c r="BM2929" s="467"/>
      <c r="BN2929" s="467"/>
      <c r="BO2929" s="467"/>
      <c r="BP2929" s="467"/>
      <c r="BQ2929" s="467"/>
      <c r="BR2929" s="467"/>
      <c r="BS2929" s="467"/>
      <c r="BT2929" s="467"/>
      <c r="BU2929" s="467"/>
      <c r="BV2929" s="467"/>
      <c r="BW2929" s="467"/>
      <c r="BX2929" s="769"/>
      <c r="BY2929" s="769"/>
      <c r="BZ2929" s="769"/>
      <c r="CA2929" s="769"/>
      <c r="CB2929" s="769"/>
      <c r="CC2929" s="769"/>
      <c r="CD2929" s="769"/>
      <c r="CE2929" s="769"/>
      <c r="CF2929" s="769"/>
      <c r="CG2929" s="73"/>
      <c r="CH2929" s="438"/>
      <c r="CI2929" s="416"/>
      <c r="CJ2929" s="73"/>
      <c r="CK2929" s="650"/>
      <c r="CL2929" s="499"/>
      <c r="CM2929" s="650"/>
      <c r="CR2929" s="416"/>
      <c r="CS2929" s="650"/>
      <c r="CU2929" s="73"/>
      <c r="CV2929" s="73"/>
      <c r="CW2929" s="73"/>
      <c r="CX2929" s="73"/>
      <c r="DA2929" s="650"/>
    </row>
    <row r="2930" spans="1:105" s="45" customFormat="1" x14ac:dyDescent="0.2">
      <c r="A2930" s="650"/>
      <c r="B2930" s="438"/>
      <c r="D2930" s="73"/>
      <c r="E2930" s="650"/>
      <c r="F2930" s="650"/>
      <c r="G2930" s="73"/>
      <c r="I2930" s="111"/>
      <c r="J2930" s="81"/>
      <c r="K2930" s="81"/>
      <c r="L2930" s="499"/>
      <c r="M2930" s="73"/>
      <c r="N2930" s="499"/>
      <c r="O2930" s="73"/>
      <c r="P2930" s="73"/>
      <c r="Q2930" s="73"/>
      <c r="R2930" s="176"/>
      <c r="S2930" s="176"/>
      <c r="T2930" s="176"/>
      <c r="U2930" s="400"/>
      <c r="V2930" s="400"/>
      <c r="W2930" s="732"/>
      <c r="X2930" s="167"/>
      <c r="Y2930" s="509"/>
      <c r="Z2930" s="466"/>
      <c r="AA2930" s="466"/>
      <c r="AB2930" s="466"/>
      <c r="AC2930" s="466"/>
      <c r="AD2930" s="466"/>
      <c r="AE2930" s="466"/>
      <c r="AF2930" s="466"/>
      <c r="AG2930" s="466"/>
      <c r="AH2930" s="466"/>
      <c r="AI2930" s="466"/>
      <c r="AJ2930" s="466"/>
      <c r="AK2930" s="466"/>
      <c r="AL2930" s="466"/>
      <c r="AM2930" s="466"/>
      <c r="AN2930" s="466"/>
      <c r="AO2930" s="466"/>
      <c r="AP2930" s="466"/>
      <c r="AQ2930" s="466"/>
      <c r="AR2930" s="466"/>
      <c r="AS2930" s="466"/>
      <c r="AT2930" s="466"/>
      <c r="AU2930" s="466"/>
      <c r="AV2930" s="466"/>
      <c r="AW2930" s="466"/>
      <c r="AX2930" s="466"/>
      <c r="AY2930" s="466"/>
      <c r="AZ2930" s="466"/>
      <c r="BA2930" s="466"/>
      <c r="BB2930" s="466"/>
      <c r="BC2930" s="466"/>
      <c r="BD2930" s="466"/>
      <c r="BE2930" s="467"/>
      <c r="BF2930" s="467"/>
      <c r="BG2930" s="466"/>
      <c r="BH2930" s="466"/>
      <c r="BI2930" s="467"/>
      <c r="BJ2930" s="467"/>
      <c r="BK2930" s="467"/>
      <c r="BL2930" s="467"/>
      <c r="BM2930" s="467"/>
      <c r="BN2930" s="467"/>
      <c r="BO2930" s="467"/>
      <c r="BP2930" s="467"/>
      <c r="BQ2930" s="467"/>
      <c r="BR2930" s="467"/>
      <c r="BS2930" s="467"/>
      <c r="BT2930" s="467"/>
      <c r="BU2930" s="467"/>
      <c r="BV2930" s="467"/>
      <c r="BW2930" s="467"/>
      <c r="BX2930" s="769"/>
      <c r="BY2930" s="769"/>
      <c r="BZ2930" s="769"/>
      <c r="CA2930" s="769"/>
      <c r="CB2930" s="769"/>
      <c r="CC2930" s="769"/>
      <c r="CD2930" s="769"/>
      <c r="CE2930" s="769"/>
      <c r="CF2930" s="769"/>
      <c r="CG2930" s="73"/>
      <c r="CH2930" s="438"/>
      <c r="CI2930" s="416"/>
      <c r="CJ2930" s="73"/>
      <c r="CK2930" s="650"/>
      <c r="CL2930" s="499"/>
      <c r="CM2930" s="650"/>
      <c r="CR2930" s="416"/>
      <c r="CS2930" s="650"/>
      <c r="CU2930" s="73"/>
      <c r="CV2930" s="73"/>
      <c r="CW2930" s="73"/>
      <c r="CX2930" s="73"/>
      <c r="DA2930" s="650"/>
    </row>
    <row r="2931" spans="1:105" s="45" customFormat="1" x14ac:dyDescent="0.2">
      <c r="A2931" s="650"/>
      <c r="B2931" s="438"/>
      <c r="D2931" s="73"/>
      <c r="E2931" s="650"/>
      <c r="F2931" s="650"/>
      <c r="G2931" s="73"/>
      <c r="I2931" s="111"/>
      <c r="J2931" s="81"/>
      <c r="K2931" s="81"/>
      <c r="L2931" s="499"/>
      <c r="M2931" s="73"/>
      <c r="N2931" s="499"/>
      <c r="O2931" s="73"/>
      <c r="P2931" s="73"/>
      <c r="Q2931" s="73"/>
      <c r="R2931" s="176"/>
      <c r="S2931" s="176"/>
      <c r="T2931" s="176"/>
      <c r="U2931" s="400"/>
      <c r="V2931" s="400"/>
      <c r="W2931" s="732"/>
      <c r="X2931" s="167"/>
      <c r="Y2931" s="509"/>
      <c r="Z2931" s="466"/>
      <c r="AA2931" s="466"/>
      <c r="AB2931" s="466"/>
      <c r="AC2931" s="466"/>
      <c r="AD2931" s="466"/>
      <c r="AE2931" s="466"/>
      <c r="AF2931" s="466"/>
      <c r="AG2931" s="466"/>
      <c r="AH2931" s="466"/>
      <c r="AI2931" s="466"/>
      <c r="AJ2931" s="466"/>
      <c r="AK2931" s="466"/>
      <c r="AL2931" s="466"/>
      <c r="AM2931" s="466"/>
      <c r="AN2931" s="466"/>
      <c r="AO2931" s="466"/>
      <c r="AP2931" s="466"/>
      <c r="AQ2931" s="466"/>
      <c r="AR2931" s="466"/>
      <c r="AS2931" s="466"/>
      <c r="AT2931" s="466"/>
      <c r="AU2931" s="466"/>
      <c r="AV2931" s="466"/>
      <c r="AW2931" s="466"/>
      <c r="AX2931" s="466"/>
      <c r="AY2931" s="466"/>
      <c r="AZ2931" s="466"/>
      <c r="BA2931" s="466"/>
      <c r="BB2931" s="466"/>
      <c r="BC2931" s="466"/>
      <c r="BD2931" s="466"/>
      <c r="BE2931" s="467"/>
      <c r="BF2931" s="467"/>
      <c r="BG2931" s="466"/>
      <c r="BH2931" s="466"/>
      <c r="BI2931" s="467"/>
      <c r="BJ2931" s="467"/>
      <c r="BK2931" s="467"/>
      <c r="BL2931" s="467"/>
      <c r="BM2931" s="467"/>
      <c r="BN2931" s="467"/>
      <c r="BO2931" s="467"/>
      <c r="BP2931" s="467"/>
      <c r="BQ2931" s="467"/>
      <c r="BR2931" s="467"/>
      <c r="BS2931" s="467"/>
      <c r="BT2931" s="467"/>
      <c r="BU2931" s="467"/>
      <c r="BV2931" s="467"/>
      <c r="BW2931" s="467"/>
      <c r="BX2931" s="769"/>
      <c r="BY2931" s="769"/>
      <c r="BZ2931" s="769"/>
      <c r="CA2931" s="769"/>
      <c r="CB2931" s="769"/>
      <c r="CC2931" s="769"/>
      <c r="CD2931" s="769"/>
      <c r="CE2931" s="769"/>
      <c r="CF2931" s="769"/>
      <c r="CG2931" s="73"/>
      <c r="CH2931" s="438"/>
      <c r="CI2931" s="416"/>
      <c r="CJ2931" s="73"/>
      <c r="CK2931" s="650"/>
      <c r="CL2931" s="499"/>
      <c r="CM2931" s="650"/>
      <c r="CR2931" s="416"/>
      <c r="CS2931" s="650"/>
      <c r="CU2931" s="73"/>
      <c r="CV2931" s="73"/>
      <c r="CW2931" s="73"/>
      <c r="CX2931" s="73"/>
      <c r="DA2931" s="650"/>
    </row>
    <row r="2932" spans="1:105" s="45" customFormat="1" x14ac:dyDescent="0.2">
      <c r="A2932" s="650"/>
      <c r="B2932" s="438"/>
      <c r="D2932" s="73"/>
      <c r="E2932" s="650"/>
      <c r="F2932" s="650"/>
      <c r="G2932" s="73"/>
      <c r="I2932" s="111"/>
      <c r="J2932" s="81"/>
      <c r="K2932" s="81"/>
      <c r="L2932" s="499"/>
      <c r="M2932" s="73"/>
      <c r="N2932" s="499"/>
      <c r="O2932" s="73"/>
      <c r="P2932" s="73"/>
      <c r="Q2932" s="73"/>
      <c r="R2932" s="176"/>
      <c r="S2932" s="176"/>
      <c r="T2932" s="176"/>
      <c r="U2932" s="400"/>
      <c r="V2932" s="400"/>
      <c r="W2932" s="732"/>
      <c r="X2932" s="167"/>
      <c r="Y2932" s="509"/>
      <c r="Z2932" s="466"/>
      <c r="AA2932" s="466"/>
      <c r="AB2932" s="466"/>
      <c r="AC2932" s="466"/>
      <c r="AD2932" s="466"/>
      <c r="AE2932" s="466"/>
      <c r="AF2932" s="466"/>
      <c r="AG2932" s="466"/>
      <c r="AH2932" s="466"/>
      <c r="AI2932" s="466"/>
      <c r="AJ2932" s="466"/>
      <c r="AK2932" s="466"/>
      <c r="AL2932" s="466"/>
      <c r="AM2932" s="466"/>
      <c r="AN2932" s="466"/>
      <c r="AO2932" s="466"/>
      <c r="AP2932" s="466"/>
      <c r="AQ2932" s="466"/>
      <c r="AR2932" s="466"/>
      <c r="AS2932" s="466"/>
      <c r="AT2932" s="466"/>
      <c r="AU2932" s="466"/>
      <c r="AV2932" s="466"/>
      <c r="AW2932" s="466"/>
      <c r="AX2932" s="466"/>
      <c r="AY2932" s="466"/>
      <c r="AZ2932" s="466"/>
      <c r="BA2932" s="466"/>
      <c r="BB2932" s="466"/>
      <c r="BC2932" s="466"/>
      <c r="BD2932" s="466"/>
      <c r="BE2932" s="467"/>
      <c r="BF2932" s="467"/>
      <c r="BG2932" s="466"/>
      <c r="BH2932" s="466"/>
      <c r="BI2932" s="467"/>
      <c r="BJ2932" s="467"/>
      <c r="BK2932" s="467"/>
      <c r="BL2932" s="467"/>
      <c r="BM2932" s="467"/>
      <c r="BN2932" s="467"/>
      <c r="BO2932" s="467"/>
      <c r="BP2932" s="467"/>
      <c r="BQ2932" s="467"/>
      <c r="BR2932" s="467"/>
      <c r="BS2932" s="467"/>
      <c r="BT2932" s="467"/>
      <c r="BU2932" s="467"/>
      <c r="BV2932" s="467"/>
      <c r="BW2932" s="467"/>
      <c r="BX2932" s="769"/>
      <c r="BY2932" s="769"/>
      <c r="BZ2932" s="769"/>
      <c r="CA2932" s="769"/>
      <c r="CB2932" s="769"/>
      <c r="CC2932" s="769"/>
      <c r="CD2932" s="769"/>
      <c r="CE2932" s="769"/>
      <c r="CF2932" s="769"/>
      <c r="CG2932" s="73"/>
      <c r="CH2932" s="438"/>
      <c r="CI2932" s="416"/>
      <c r="CJ2932" s="73"/>
      <c r="CK2932" s="650"/>
      <c r="CL2932" s="499"/>
      <c r="CM2932" s="650"/>
      <c r="CR2932" s="416"/>
      <c r="CS2932" s="650"/>
      <c r="CU2932" s="73"/>
      <c r="CV2932" s="73"/>
      <c r="CW2932" s="73"/>
      <c r="CX2932" s="73"/>
      <c r="DA2932" s="650"/>
    </row>
    <row r="2933" spans="1:105" s="45" customFormat="1" x14ac:dyDescent="0.2">
      <c r="A2933" s="650"/>
      <c r="B2933" s="438"/>
      <c r="D2933" s="73"/>
      <c r="E2933" s="650"/>
      <c r="F2933" s="650"/>
      <c r="G2933" s="73"/>
      <c r="I2933" s="111"/>
      <c r="J2933" s="81"/>
      <c r="K2933" s="81"/>
      <c r="L2933" s="499"/>
      <c r="M2933" s="73"/>
      <c r="N2933" s="499"/>
      <c r="O2933" s="73"/>
      <c r="P2933" s="73"/>
      <c r="Q2933" s="73"/>
      <c r="R2933" s="176"/>
      <c r="S2933" s="176"/>
      <c r="T2933" s="176"/>
      <c r="U2933" s="400"/>
      <c r="V2933" s="400"/>
      <c r="W2933" s="732"/>
      <c r="X2933" s="167"/>
      <c r="Y2933" s="509"/>
      <c r="Z2933" s="466"/>
      <c r="AA2933" s="466"/>
      <c r="AB2933" s="466"/>
      <c r="AC2933" s="466"/>
      <c r="AD2933" s="466"/>
      <c r="AE2933" s="466"/>
      <c r="AF2933" s="466"/>
      <c r="AG2933" s="466"/>
      <c r="AH2933" s="466"/>
      <c r="AI2933" s="466"/>
      <c r="AJ2933" s="466"/>
      <c r="AK2933" s="466"/>
      <c r="AL2933" s="466"/>
      <c r="AM2933" s="466"/>
      <c r="AN2933" s="466"/>
      <c r="AO2933" s="466"/>
      <c r="AP2933" s="466"/>
      <c r="AQ2933" s="466"/>
      <c r="AR2933" s="466"/>
      <c r="AS2933" s="466"/>
      <c r="AT2933" s="466"/>
      <c r="AU2933" s="466"/>
      <c r="AV2933" s="466"/>
      <c r="AW2933" s="466"/>
      <c r="AX2933" s="466"/>
      <c r="AY2933" s="466"/>
      <c r="AZ2933" s="466"/>
      <c r="BA2933" s="466"/>
      <c r="BB2933" s="466"/>
      <c r="BC2933" s="466"/>
      <c r="BD2933" s="466"/>
      <c r="BE2933" s="467"/>
      <c r="BF2933" s="467"/>
      <c r="BG2933" s="466"/>
      <c r="BH2933" s="466"/>
      <c r="BI2933" s="467"/>
      <c r="BJ2933" s="467"/>
      <c r="BK2933" s="467"/>
      <c r="BL2933" s="467"/>
      <c r="BM2933" s="467"/>
      <c r="BN2933" s="467"/>
      <c r="BO2933" s="467"/>
      <c r="BP2933" s="467"/>
      <c r="BQ2933" s="467"/>
      <c r="BR2933" s="467"/>
      <c r="BS2933" s="467"/>
      <c r="BT2933" s="467"/>
      <c r="BU2933" s="467"/>
      <c r="BV2933" s="467"/>
      <c r="BW2933" s="467"/>
      <c r="BX2933" s="769"/>
      <c r="BY2933" s="769"/>
      <c r="BZ2933" s="769"/>
      <c r="CA2933" s="769"/>
      <c r="CB2933" s="769"/>
      <c r="CC2933" s="769"/>
      <c r="CD2933" s="769"/>
      <c r="CE2933" s="769"/>
      <c r="CF2933" s="769"/>
      <c r="CG2933" s="73"/>
      <c r="CH2933" s="438"/>
      <c r="CI2933" s="416"/>
      <c r="CJ2933" s="73"/>
      <c r="CK2933" s="650"/>
      <c r="CL2933" s="499"/>
      <c r="CM2933" s="650"/>
      <c r="CR2933" s="416"/>
      <c r="CS2933" s="650"/>
      <c r="CU2933" s="73"/>
      <c r="CV2933" s="73"/>
      <c r="CW2933" s="73"/>
      <c r="CX2933" s="73"/>
      <c r="DA2933" s="650"/>
    </row>
    <row r="2934" spans="1:105" s="45" customFormat="1" x14ac:dyDescent="0.2">
      <c r="A2934" s="650"/>
      <c r="B2934" s="438"/>
      <c r="D2934" s="73"/>
      <c r="E2934" s="650"/>
      <c r="F2934" s="650"/>
      <c r="G2934" s="73"/>
      <c r="I2934" s="111"/>
      <c r="J2934" s="81"/>
      <c r="K2934" s="81"/>
      <c r="L2934" s="499"/>
      <c r="M2934" s="73"/>
      <c r="N2934" s="499"/>
      <c r="O2934" s="73"/>
      <c r="P2934" s="73"/>
      <c r="Q2934" s="73"/>
      <c r="R2934" s="176"/>
      <c r="S2934" s="176"/>
      <c r="T2934" s="176"/>
      <c r="U2934" s="400"/>
      <c r="V2934" s="400"/>
      <c r="W2934" s="732"/>
      <c r="X2934" s="167"/>
      <c r="Y2934" s="509"/>
      <c r="Z2934" s="466"/>
      <c r="AA2934" s="466"/>
      <c r="AB2934" s="466"/>
      <c r="AC2934" s="466"/>
      <c r="AD2934" s="466"/>
      <c r="AE2934" s="466"/>
      <c r="AF2934" s="466"/>
      <c r="AG2934" s="466"/>
      <c r="AH2934" s="466"/>
      <c r="AI2934" s="466"/>
      <c r="AJ2934" s="466"/>
      <c r="AK2934" s="466"/>
      <c r="AL2934" s="466"/>
      <c r="AM2934" s="466"/>
      <c r="AN2934" s="466"/>
      <c r="AO2934" s="466"/>
      <c r="AP2934" s="466"/>
      <c r="AQ2934" s="466"/>
      <c r="AR2934" s="466"/>
      <c r="AS2934" s="466"/>
      <c r="AT2934" s="466"/>
      <c r="AU2934" s="466"/>
      <c r="AV2934" s="466"/>
      <c r="AW2934" s="466"/>
      <c r="AX2934" s="466"/>
      <c r="AY2934" s="466"/>
      <c r="AZ2934" s="466"/>
      <c r="BA2934" s="466"/>
      <c r="BB2934" s="466"/>
      <c r="BC2934" s="466"/>
      <c r="BD2934" s="466"/>
      <c r="BE2934" s="467"/>
      <c r="BF2934" s="467"/>
      <c r="BG2934" s="466"/>
      <c r="BH2934" s="466"/>
      <c r="BI2934" s="467"/>
      <c r="BJ2934" s="467"/>
      <c r="BK2934" s="467"/>
      <c r="BL2934" s="467"/>
      <c r="BM2934" s="467"/>
      <c r="BN2934" s="467"/>
      <c r="BO2934" s="467"/>
      <c r="BP2934" s="467"/>
      <c r="BQ2934" s="467"/>
      <c r="BR2934" s="467"/>
      <c r="BS2934" s="467"/>
      <c r="BT2934" s="467"/>
      <c r="BU2934" s="467"/>
      <c r="BV2934" s="467"/>
      <c r="BW2934" s="467"/>
      <c r="BX2934" s="769"/>
      <c r="BY2934" s="769"/>
      <c r="BZ2934" s="769"/>
      <c r="CA2934" s="769"/>
      <c r="CB2934" s="769"/>
      <c r="CC2934" s="769"/>
      <c r="CD2934" s="769"/>
      <c r="CE2934" s="769"/>
      <c r="CF2934" s="769"/>
      <c r="CG2934" s="73"/>
      <c r="CH2934" s="438"/>
      <c r="CI2934" s="416"/>
      <c r="CJ2934" s="73"/>
      <c r="CK2934" s="650"/>
      <c r="CL2934" s="499"/>
      <c r="CM2934" s="650"/>
      <c r="CR2934" s="416"/>
      <c r="CS2934" s="650"/>
      <c r="CU2934" s="73"/>
      <c r="CV2934" s="73"/>
      <c r="CW2934" s="73"/>
      <c r="CX2934" s="73"/>
      <c r="DA2934" s="650"/>
    </row>
    <row r="2935" spans="1:105" s="45" customFormat="1" x14ac:dyDescent="0.2">
      <c r="A2935" s="650"/>
      <c r="B2935" s="438"/>
      <c r="D2935" s="73"/>
      <c r="E2935" s="650"/>
      <c r="F2935" s="650"/>
      <c r="G2935" s="73"/>
      <c r="I2935" s="111"/>
      <c r="J2935" s="81"/>
      <c r="K2935" s="81"/>
      <c r="L2935" s="499"/>
      <c r="M2935" s="73"/>
      <c r="N2935" s="499"/>
      <c r="O2935" s="73"/>
      <c r="P2935" s="73"/>
      <c r="Q2935" s="73"/>
      <c r="R2935" s="176"/>
      <c r="S2935" s="176"/>
      <c r="T2935" s="176"/>
      <c r="U2935" s="400"/>
      <c r="V2935" s="400"/>
      <c r="W2935" s="732"/>
      <c r="X2935" s="167"/>
      <c r="Y2935" s="509"/>
      <c r="Z2935" s="466"/>
      <c r="AA2935" s="466"/>
      <c r="AB2935" s="466"/>
      <c r="AC2935" s="466"/>
      <c r="AD2935" s="466"/>
      <c r="AE2935" s="466"/>
      <c r="AF2935" s="466"/>
      <c r="AG2935" s="466"/>
      <c r="AH2935" s="466"/>
      <c r="AI2935" s="466"/>
      <c r="AJ2935" s="466"/>
      <c r="AK2935" s="466"/>
      <c r="AL2935" s="466"/>
      <c r="AM2935" s="466"/>
      <c r="AN2935" s="466"/>
      <c r="AO2935" s="466"/>
      <c r="AP2935" s="466"/>
      <c r="AQ2935" s="466"/>
      <c r="AR2935" s="466"/>
      <c r="AS2935" s="466"/>
      <c r="AT2935" s="466"/>
      <c r="AU2935" s="466"/>
      <c r="AV2935" s="466"/>
      <c r="AW2935" s="466"/>
      <c r="AX2935" s="466"/>
      <c r="AY2935" s="466"/>
      <c r="AZ2935" s="466"/>
      <c r="BA2935" s="466"/>
      <c r="BB2935" s="466"/>
      <c r="BC2935" s="466"/>
      <c r="BD2935" s="466"/>
      <c r="BE2935" s="467"/>
      <c r="BF2935" s="467"/>
      <c r="BG2935" s="466"/>
      <c r="BH2935" s="466"/>
      <c r="BI2935" s="467"/>
      <c r="BJ2935" s="467"/>
      <c r="BK2935" s="467"/>
      <c r="BL2935" s="467"/>
      <c r="BM2935" s="467"/>
      <c r="BN2935" s="467"/>
      <c r="BO2935" s="467"/>
      <c r="BP2935" s="467"/>
      <c r="BQ2935" s="467"/>
      <c r="BR2935" s="467"/>
      <c r="BS2935" s="467"/>
      <c r="BT2935" s="467"/>
      <c r="BU2935" s="467"/>
      <c r="BV2935" s="467"/>
      <c r="BW2935" s="467"/>
      <c r="BX2935" s="769"/>
      <c r="BY2935" s="769"/>
      <c r="BZ2935" s="769"/>
      <c r="CA2935" s="769"/>
      <c r="CB2935" s="769"/>
      <c r="CC2935" s="769"/>
      <c r="CD2935" s="769"/>
      <c r="CE2935" s="769"/>
      <c r="CF2935" s="769"/>
      <c r="CG2935" s="73"/>
      <c r="CH2935" s="438"/>
      <c r="CI2935" s="416"/>
      <c r="CJ2935" s="73"/>
      <c r="CK2935" s="650"/>
      <c r="CL2935" s="499"/>
      <c r="CM2935" s="650"/>
      <c r="CR2935" s="416"/>
      <c r="CS2935" s="650"/>
      <c r="CU2935" s="73"/>
      <c r="CV2935" s="73"/>
      <c r="CW2935" s="73"/>
      <c r="CX2935" s="73"/>
      <c r="DA2935" s="650"/>
    </row>
    <row r="2936" spans="1:105" s="45" customFormat="1" x14ac:dyDescent="0.2">
      <c r="A2936" s="650"/>
      <c r="B2936" s="438"/>
      <c r="D2936" s="73"/>
      <c r="E2936" s="650"/>
      <c r="F2936" s="650"/>
      <c r="G2936" s="73"/>
      <c r="I2936" s="111"/>
      <c r="J2936" s="81"/>
      <c r="K2936" s="81"/>
      <c r="L2936" s="499"/>
      <c r="M2936" s="73"/>
      <c r="N2936" s="499"/>
      <c r="O2936" s="73"/>
      <c r="P2936" s="73"/>
      <c r="Q2936" s="73"/>
      <c r="R2936" s="176"/>
      <c r="S2936" s="176"/>
      <c r="T2936" s="176"/>
      <c r="U2936" s="400"/>
      <c r="V2936" s="400"/>
      <c r="W2936" s="732"/>
      <c r="X2936" s="167"/>
      <c r="Y2936" s="509"/>
      <c r="Z2936" s="466"/>
      <c r="AA2936" s="466"/>
      <c r="AB2936" s="466"/>
      <c r="AC2936" s="466"/>
      <c r="AD2936" s="466"/>
      <c r="AE2936" s="466"/>
      <c r="AF2936" s="466"/>
      <c r="AG2936" s="466"/>
      <c r="AH2936" s="466"/>
      <c r="AI2936" s="466"/>
      <c r="AJ2936" s="466"/>
      <c r="AK2936" s="466"/>
      <c r="AL2936" s="466"/>
      <c r="AM2936" s="466"/>
      <c r="AN2936" s="466"/>
      <c r="AO2936" s="466"/>
      <c r="AP2936" s="466"/>
      <c r="AQ2936" s="466"/>
      <c r="AR2936" s="466"/>
      <c r="AS2936" s="466"/>
      <c r="AT2936" s="466"/>
      <c r="AU2936" s="466"/>
      <c r="AV2936" s="466"/>
      <c r="AW2936" s="466"/>
      <c r="AX2936" s="466"/>
      <c r="AY2936" s="466"/>
      <c r="AZ2936" s="466"/>
      <c r="BA2936" s="466"/>
      <c r="BB2936" s="466"/>
      <c r="BC2936" s="466"/>
      <c r="BD2936" s="466"/>
      <c r="BE2936" s="467"/>
      <c r="BF2936" s="467"/>
      <c r="BG2936" s="466"/>
      <c r="BH2936" s="466"/>
      <c r="BI2936" s="467"/>
      <c r="BJ2936" s="467"/>
      <c r="BK2936" s="467"/>
      <c r="BL2936" s="467"/>
      <c r="BM2936" s="467"/>
      <c r="BN2936" s="467"/>
      <c r="BO2936" s="467"/>
      <c r="BP2936" s="467"/>
      <c r="BQ2936" s="467"/>
      <c r="BR2936" s="467"/>
      <c r="BS2936" s="467"/>
      <c r="BT2936" s="467"/>
      <c r="BU2936" s="467"/>
      <c r="BV2936" s="467"/>
      <c r="BW2936" s="467"/>
      <c r="BX2936" s="769"/>
      <c r="BY2936" s="769"/>
      <c r="BZ2936" s="769"/>
      <c r="CA2936" s="769"/>
      <c r="CB2936" s="769"/>
      <c r="CC2936" s="769"/>
      <c r="CD2936" s="769"/>
      <c r="CE2936" s="769"/>
      <c r="CF2936" s="769"/>
      <c r="CG2936" s="73"/>
      <c r="CH2936" s="438"/>
      <c r="CI2936" s="416"/>
      <c r="CJ2936" s="73"/>
      <c r="CK2936" s="650"/>
      <c r="CL2936" s="499"/>
      <c r="CM2936" s="650"/>
      <c r="CR2936" s="416"/>
      <c r="CS2936" s="650"/>
      <c r="CU2936" s="73"/>
      <c r="CV2936" s="73"/>
      <c r="CW2936" s="73"/>
      <c r="CX2936" s="73"/>
      <c r="DA2936" s="650"/>
    </row>
    <row r="2937" spans="1:105" s="45" customFormat="1" x14ac:dyDescent="0.2">
      <c r="A2937" s="650"/>
      <c r="B2937" s="438"/>
      <c r="D2937" s="73"/>
      <c r="E2937" s="650"/>
      <c r="F2937" s="650"/>
      <c r="G2937" s="73"/>
      <c r="I2937" s="111"/>
      <c r="J2937" s="81"/>
      <c r="K2937" s="81"/>
      <c r="L2937" s="499"/>
      <c r="M2937" s="73"/>
      <c r="N2937" s="499"/>
      <c r="O2937" s="73"/>
      <c r="P2937" s="73"/>
      <c r="Q2937" s="73"/>
      <c r="R2937" s="176"/>
      <c r="S2937" s="176"/>
      <c r="T2937" s="176"/>
      <c r="U2937" s="400"/>
      <c r="V2937" s="400"/>
      <c r="W2937" s="732"/>
      <c r="X2937" s="167"/>
      <c r="Y2937" s="509"/>
      <c r="Z2937" s="466"/>
      <c r="AA2937" s="466"/>
      <c r="AB2937" s="466"/>
      <c r="AC2937" s="466"/>
      <c r="AD2937" s="466"/>
      <c r="AE2937" s="466"/>
      <c r="AF2937" s="466"/>
      <c r="AG2937" s="466"/>
      <c r="AH2937" s="466"/>
      <c r="AI2937" s="466"/>
      <c r="AJ2937" s="466"/>
      <c r="AK2937" s="466"/>
      <c r="AL2937" s="466"/>
      <c r="AM2937" s="466"/>
      <c r="AN2937" s="466"/>
      <c r="AO2937" s="466"/>
      <c r="AP2937" s="466"/>
      <c r="AQ2937" s="466"/>
      <c r="AR2937" s="466"/>
      <c r="AS2937" s="466"/>
      <c r="AT2937" s="466"/>
      <c r="AU2937" s="466"/>
      <c r="AV2937" s="466"/>
      <c r="AW2937" s="466"/>
      <c r="AX2937" s="466"/>
      <c r="AY2937" s="466"/>
      <c r="AZ2937" s="466"/>
      <c r="BA2937" s="466"/>
      <c r="BB2937" s="466"/>
      <c r="BC2937" s="466"/>
      <c r="BD2937" s="466"/>
      <c r="BE2937" s="467"/>
      <c r="BF2937" s="467"/>
      <c r="BG2937" s="466"/>
      <c r="BH2937" s="466"/>
      <c r="BI2937" s="467"/>
      <c r="BJ2937" s="467"/>
      <c r="BK2937" s="467"/>
      <c r="BL2937" s="467"/>
      <c r="BM2937" s="467"/>
      <c r="BN2937" s="467"/>
      <c r="BO2937" s="467"/>
      <c r="BP2937" s="467"/>
      <c r="BQ2937" s="467"/>
      <c r="BR2937" s="467"/>
      <c r="BS2937" s="467"/>
      <c r="BT2937" s="467"/>
      <c r="BU2937" s="467"/>
      <c r="BV2937" s="467"/>
      <c r="BW2937" s="467"/>
      <c r="BX2937" s="769"/>
      <c r="BY2937" s="769"/>
      <c r="BZ2937" s="769"/>
      <c r="CA2937" s="769"/>
      <c r="CB2937" s="769"/>
      <c r="CC2937" s="769"/>
      <c r="CD2937" s="769"/>
      <c r="CE2937" s="769"/>
      <c r="CF2937" s="769"/>
      <c r="CG2937" s="73"/>
      <c r="CH2937" s="438"/>
      <c r="CI2937" s="416"/>
      <c r="CJ2937" s="73"/>
      <c r="CK2937" s="650"/>
      <c r="CL2937" s="499"/>
      <c r="CM2937" s="650"/>
      <c r="CR2937" s="416"/>
      <c r="CS2937" s="650"/>
      <c r="CU2937" s="73"/>
      <c r="CV2937" s="73"/>
      <c r="CW2937" s="73"/>
      <c r="CX2937" s="73"/>
      <c r="DA2937" s="650"/>
    </row>
    <row r="2938" spans="1:105" s="45" customFormat="1" x14ac:dyDescent="0.2">
      <c r="A2938" s="650"/>
      <c r="B2938" s="438"/>
      <c r="D2938" s="73"/>
      <c r="E2938" s="650"/>
      <c r="F2938" s="650"/>
      <c r="G2938" s="73"/>
      <c r="I2938" s="111"/>
      <c r="J2938" s="81"/>
      <c r="K2938" s="81"/>
      <c r="L2938" s="499"/>
      <c r="M2938" s="73"/>
      <c r="N2938" s="499"/>
      <c r="O2938" s="73"/>
      <c r="P2938" s="73"/>
      <c r="Q2938" s="73"/>
      <c r="R2938" s="176"/>
      <c r="S2938" s="176"/>
      <c r="T2938" s="176"/>
      <c r="U2938" s="400"/>
      <c r="V2938" s="400"/>
      <c r="W2938" s="732"/>
      <c r="X2938" s="167"/>
      <c r="Y2938" s="509"/>
      <c r="Z2938" s="466"/>
      <c r="AA2938" s="466"/>
      <c r="AB2938" s="466"/>
      <c r="AC2938" s="466"/>
      <c r="AD2938" s="466"/>
      <c r="AE2938" s="466"/>
      <c r="AF2938" s="466"/>
      <c r="AG2938" s="466"/>
      <c r="AH2938" s="466"/>
      <c r="AI2938" s="466"/>
      <c r="AJ2938" s="466"/>
      <c r="AK2938" s="466"/>
      <c r="AL2938" s="466"/>
      <c r="AM2938" s="466"/>
      <c r="AN2938" s="466"/>
      <c r="AO2938" s="466"/>
      <c r="AP2938" s="466"/>
      <c r="AQ2938" s="466"/>
      <c r="AR2938" s="466"/>
      <c r="AS2938" s="466"/>
      <c r="AT2938" s="466"/>
      <c r="AU2938" s="466"/>
      <c r="AV2938" s="466"/>
      <c r="AW2938" s="466"/>
      <c r="AX2938" s="466"/>
      <c r="AY2938" s="466"/>
      <c r="AZ2938" s="466"/>
      <c r="BA2938" s="466"/>
      <c r="BB2938" s="466"/>
      <c r="BC2938" s="466"/>
      <c r="BD2938" s="466"/>
      <c r="BE2938" s="467"/>
      <c r="BF2938" s="467"/>
      <c r="BG2938" s="466"/>
      <c r="BH2938" s="466"/>
      <c r="BI2938" s="467"/>
      <c r="BJ2938" s="467"/>
      <c r="BK2938" s="467"/>
      <c r="BL2938" s="467"/>
      <c r="BM2938" s="467"/>
      <c r="BN2938" s="467"/>
      <c r="BO2938" s="467"/>
      <c r="BP2938" s="467"/>
      <c r="BQ2938" s="467"/>
      <c r="BR2938" s="467"/>
      <c r="BS2938" s="467"/>
      <c r="BT2938" s="467"/>
      <c r="BU2938" s="467"/>
      <c r="BV2938" s="467"/>
      <c r="BW2938" s="467"/>
      <c r="BX2938" s="769"/>
      <c r="BY2938" s="769"/>
      <c r="BZ2938" s="769"/>
      <c r="CA2938" s="769"/>
      <c r="CB2938" s="769"/>
      <c r="CC2938" s="769"/>
      <c r="CD2938" s="769"/>
      <c r="CE2938" s="769"/>
      <c r="CF2938" s="769"/>
      <c r="CG2938" s="73"/>
      <c r="CH2938" s="438"/>
      <c r="CI2938" s="416"/>
      <c r="CJ2938" s="73"/>
      <c r="CK2938" s="650"/>
      <c r="CL2938" s="499"/>
      <c r="CM2938" s="650"/>
      <c r="CR2938" s="416"/>
      <c r="CS2938" s="650"/>
      <c r="CU2938" s="73"/>
      <c r="CV2938" s="73"/>
      <c r="CW2938" s="73"/>
      <c r="CX2938" s="73"/>
      <c r="DA2938" s="650"/>
    </row>
    <row r="2939" spans="1:105" s="45" customFormat="1" x14ac:dyDescent="0.2">
      <c r="A2939" s="650"/>
      <c r="B2939" s="438"/>
      <c r="D2939" s="73"/>
      <c r="E2939" s="650"/>
      <c r="F2939" s="650"/>
      <c r="G2939" s="73"/>
      <c r="I2939" s="111"/>
      <c r="J2939" s="81"/>
      <c r="K2939" s="81"/>
      <c r="L2939" s="499"/>
      <c r="M2939" s="73"/>
      <c r="N2939" s="499"/>
      <c r="O2939" s="73"/>
      <c r="P2939" s="73"/>
      <c r="Q2939" s="73"/>
      <c r="R2939" s="176"/>
      <c r="S2939" s="176"/>
      <c r="T2939" s="176"/>
      <c r="U2939" s="400"/>
      <c r="V2939" s="400"/>
      <c r="W2939" s="732"/>
      <c r="X2939" s="167"/>
      <c r="Y2939" s="509"/>
      <c r="Z2939" s="466"/>
      <c r="AA2939" s="466"/>
      <c r="AB2939" s="466"/>
      <c r="AC2939" s="466"/>
      <c r="AD2939" s="466"/>
      <c r="AE2939" s="466"/>
      <c r="AF2939" s="466"/>
      <c r="AG2939" s="466"/>
      <c r="AH2939" s="466"/>
      <c r="AI2939" s="466"/>
      <c r="AJ2939" s="466"/>
      <c r="AK2939" s="466"/>
      <c r="AL2939" s="466"/>
      <c r="AM2939" s="466"/>
      <c r="AN2939" s="466"/>
      <c r="AO2939" s="466"/>
      <c r="AP2939" s="466"/>
      <c r="AQ2939" s="466"/>
      <c r="AR2939" s="466"/>
      <c r="AS2939" s="466"/>
      <c r="AT2939" s="466"/>
      <c r="AU2939" s="466"/>
      <c r="AV2939" s="466"/>
      <c r="AW2939" s="466"/>
      <c r="AX2939" s="466"/>
      <c r="AY2939" s="466"/>
      <c r="AZ2939" s="466"/>
      <c r="BA2939" s="466"/>
      <c r="BB2939" s="466"/>
      <c r="BC2939" s="466"/>
      <c r="BD2939" s="466"/>
      <c r="BE2939" s="467"/>
      <c r="BF2939" s="467"/>
      <c r="BG2939" s="466"/>
      <c r="BH2939" s="466"/>
      <c r="BI2939" s="467"/>
      <c r="BJ2939" s="467"/>
      <c r="BK2939" s="467"/>
      <c r="BL2939" s="467"/>
      <c r="BM2939" s="467"/>
      <c r="BN2939" s="467"/>
      <c r="BO2939" s="467"/>
      <c r="BP2939" s="467"/>
      <c r="BQ2939" s="467"/>
      <c r="BR2939" s="467"/>
      <c r="BS2939" s="467"/>
      <c r="BT2939" s="467"/>
      <c r="BU2939" s="467"/>
      <c r="BV2939" s="467"/>
      <c r="BW2939" s="467"/>
      <c r="BX2939" s="769"/>
      <c r="BY2939" s="769"/>
      <c r="BZ2939" s="769"/>
      <c r="CA2939" s="769"/>
      <c r="CB2939" s="769"/>
      <c r="CC2939" s="769"/>
      <c r="CD2939" s="769"/>
      <c r="CE2939" s="769"/>
      <c r="CF2939" s="769"/>
      <c r="CG2939" s="73"/>
      <c r="CH2939" s="438"/>
      <c r="CI2939" s="416"/>
      <c r="CJ2939" s="73"/>
      <c r="CK2939" s="650"/>
      <c r="CL2939" s="499"/>
      <c r="CM2939" s="650"/>
      <c r="CR2939" s="416"/>
      <c r="CS2939" s="650"/>
      <c r="CU2939" s="73"/>
      <c r="CV2939" s="73"/>
      <c r="CW2939" s="73"/>
      <c r="CX2939" s="73"/>
      <c r="DA2939" s="650"/>
    </row>
    <row r="2940" spans="1:105" s="45" customFormat="1" x14ac:dyDescent="0.2">
      <c r="A2940" s="650"/>
      <c r="B2940" s="438"/>
      <c r="D2940" s="73"/>
      <c r="E2940" s="650"/>
      <c r="F2940" s="650"/>
      <c r="G2940" s="73"/>
      <c r="I2940" s="111"/>
      <c r="J2940" s="81"/>
      <c r="K2940" s="81"/>
      <c r="L2940" s="499"/>
      <c r="M2940" s="73"/>
      <c r="N2940" s="499"/>
      <c r="O2940" s="73"/>
      <c r="P2940" s="73"/>
      <c r="Q2940" s="73"/>
      <c r="R2940" s="176"/>
      <c r="S2940" s="176"/>
      <c r="T2940" s="176"/>
      <c r="U2940" s="400"/>
      <c r="V2940" s="400"/>
      <c r="W2940" s="732"/>
      <c r="X2940" s="167"/>
      <c r="Y2940" s="509"/>
      <c r="Z2940" s="466"/>
      <c r="AA2940" s="466"/>
      <c r="AB2940" s="466"/>
      <c r="AC2940" s="466"/>
      <c r="AD2940" s="466"/>
      <c r="AE2940" s="466"/>
      <c r="AF2940" s="466"/>
      <c r="AG2940" s="466"/>
      <c r="AH2940" s="466"/>
      <c r="AI2940" s="466"/>
      <c r="AJ2940" s="466"/>
      <c r="AK2940" s="466"/>
      <c r="AL2940" s="466"/>
      <c r="AM2940" s="466"/>
      <c r="AN2940" s="466"/>
      <c r="AO2940" s="466"/>
      <c r="AP2940" s="466"/>
      <c r="AQ2940" s="466"/>
      <c r="AR2940" s="466"/>
      <c r="AS2940" s="466"/>
      <c r="AT2940" s="466"/>
      <c r="AU2940" s="466"/>
      <c r="AV2940" s="466"/>
      <c r="AW2940" s="466"/>
      <c r="AX2940" s="466"/>
      <c r="AY2940" s="466"/>
      <c r="AZ2940" s="466"/>
      <c r="BA2940" s="466"/>
      <c r="BB2940" s="466"/>
      <c r="BC2940" s="466"/>
      <c r="BD2940" s="466"/>
      <c r="BE2940" s="467"/>
      <c r="BF2940" s="467"/>
      <c r="BG2940" s="466"/>
      <c r="BH2940" s="466"/>
      <c r="BI2940" s="467"/>
      <c r="BJ2940" s="467"/>
      <c r="BK2940" s="467"/>
      <c r="BL2940" s="467"/>
      <c r="BM2940" s="467"/>
      <c r="BN2940" s="467"/>
      <c r="BO2940" s="467"/>
      <c r="BP2940" s="467"/>
      <c r="BQ2940" s="467"/>
      <c r="BR2940" s="467"/>
      <c r="BS2940" s="467"/>
      <c r="BT2940" s="467"/>
      <c r="BU2940" s="467"/>
      <c r="BV2940" s="467"/>
      <c r="BW2940" s="467"/>
      <c r="BX2940" s="769"/>
      <c r="BY2940" s="769"/>
      <c r="BZ2940" s="769"/>
      <c r="CA2940" s="769"/>
      <c r="CB2940" s="769"/>
      <c r="CC2940" s="769"/>
      <c r="CD2940" s="769"/>
      <c r="CE2940" s="769"/>
      <c r="CF2940" s="769"/>
      <c r="CG2940" s="73"/>
      <c r="CH2940" s="438"/>
      <c r="CI2940" s="416"/>
      <c r="CJ2940" s="73"/>
      <c r="CK2940" s="650"/>
      <c r="CL2940" s="499"/>
      <c r="CM2940" s="650"/>
      <c r="CR2940" s="416"/>
      <c r="CS2940" s="650"/>
      <c r="CU2940" s="73"/>
      <c r="CV2940" s="73"/>
      <c r="CW2940" s="73"/>
      <c r="CX2940" s="73"/>
      <c r="DA2940" s="650"/>
    </row>
    <row r="2941" spans="1:105" s="45" customFormat="1" x14ac:dyDescent="0.2">
      <c r="A2941" s="650"/>
      <c r="B2941" s="438"/>
      <c r="D2941" s="73"/>
      <c r="E2941" s="650"/>
      <c r="F2941" s="650"/>
      <c r="G2941" s="73"/>
      <c r="I2941" s="111"/>
      <c r="J2941" s="81"/>
      <c r="K2941" s="81"/>
      <c r="L2941" s="499"/>
      <c r="M2941" s="73"/>
      <c r="N2941" s="499"/>
      <c r="O2941" s="73"/>
      <c r="P2941" s="73"/>
      <c r="Q2941" s="73"/>
      <c r="R2941" s="176"/>
      <c r="S2941" s="176"/>
      <c r="T2941" s="176"/>
      <c r="U2941" s="400"/>
      <c r="V2941" s="400"/>
      <c r="W2941" s="732"/>
      <c r="X2941" s="167"/>
      <c r="Y2941" s="509"/>
      <c r="Z2941" s="466"/>
      <c r="AA2941" s="466"/>
      <c r="AB2941" s="466"/>
      <c r="AC2941" s="466"/>
      <c r="AD2941" s="466"/>
      <c r="AE2941" s="466"/>
      <c r="AF2941" s="466"/>
      <c r="AG2941" s="466"/>
      <c r="AH2941" s="466"/>
      <c r="AI2941" s="466"/>
      <c r="AJ2941" s="466"/>
      <c r="AK2941" s="466"/>
      <c r="AL2941" s="466"/>
      <c r="AM2941" s="466"/>
      <c r="AN2941" s="466"/>
      <c r="AO2941" s="466"/>
      <c r="AP2941" s="466"/>
      <c r="AQ2941" s="466"/>
      <c r="AR2941" s="466"/>
      <c r="AS2941" s="466"/>
      <c r="AT2941" s="466"/>
      <c r="AU2941" s="466"/>
      <c r="AV2941" s="466"/>
      <c r="AW2941" s="466"/>
      <c r="AX2941" s="466"/>
      <c r="AY2941" s="466"/>
      <c r="AZ2941" s="466"/>
      <c r="BA2941" s="466"/>
      <c r="BB2941" s="466"/>
      <c r="BC2941" s="466"/>
      <c r="BD2941" s="466"/>
      <c r="BE2941" s="467"/>
      <c r="BF2941" s="467"/>
      <c r="BG2941" s="466"/>
      <c r="BH2941" s="466"/>
      <c r="BI2941" s="467"/>
      <c r="BJ2941" s="467"/>
      <c r="BK2941" s="467"/>
      <c r="BL2941" s="467"/>
      <c r="BM2941" s="467"/>
      <c r="BN2941" s="467"/>
      <c r="BO2941" s="467"/>
      <c r="BP2941" s="467"/>
      <c r="BQ2941" s="467"/>
      <c r="BR2941" s="467"/>
      <c r="BS2941" s="467"/>
      <c r="BT2941" s="467"/>
      <c r="BU2941" s="467"/>
      <c r="BV2941" s="467"/>
      <c r="BW2941" s="467"/>
      <c r="BX2941" s="769"/>
      <c r="BY2941" s="769"/>
      <c r="BZ2941" s="769"/>
      <c r="CA2941" s="769"/>
      <c r="CB2941" s="769"/>
      <c r="CC2941" s="769"/>
      <c r="CD2941" s="769"/>
      <c r="CE2941" s="769"/>
      <c r="CF2941" s="769"/>
      <c r="CG2941" s="73"/>
      <c r="CH2941" s="438"/>
      <c r="CI2941" s="416"/>
      <c r="CJ2941" s="73"/>
      <c r="CK2941" s="650"/>
      <c r="CL2941" s="499"/>
      <c r="CM2941" s="650"/>
      <c r="CR2941" s="416"/>
      <c r="CS2941" s="650"/>
      <c r="CU2941" s="73"/>
      <c r="CV2941" s="73"/>
      <c r="CW2941" s="73"/>
      <c r="CX2941" s="73"/>
      <c r="DA2941" s="650"/>
    </row>
    <row r="2942" spans="1:105" s="45" customFormat="1" x14ac:dyDescent="0.2">
      <c r="A2942" s="650"/>
      <c r="B2942" s="438"/>
      <c r="D2942" s="73"/>
      <c r="E2942" s="650"/>
      <c r="F2942" s="650"/>
      <c r="G2942" s="73"/>
      <c r="I2942" s="111"/>
      <c r="J2942" s="81"/>
      <c r="K2942" s="81"/>
      <c r="L2942" s="499"/>
      <c r="M2942" s="73"/>
      <c r="N2942" s="499"/>
      <c r="O2942" s="73"/>
      <c r="P2942" s="73"/>
      <c r="Q2942" s="73"/>
      <c r="R2942" s="176"/>
      <c r="S2942" s="176"/>
      <c r="T2942" s="176"/>
      <c r="U2942" s="400"/>
      <c r="V2942" s="400"/>
      <c r="W2942" s="732"/>
      <c r="X2942" s="167"/>
      <c r="Y2942" s="509"/>
      <c r="Z2942" s="466"/>
      <c r="AA2942" s="466"/>
      <c r="AB2942" s="466"/>
      <c r="AC2942" s="466"/>
      <c r="AD2942" s="466"/>
      <c r="AE2942" s="466"/>
      <c r="AF2942" s="466"/>
      <c r="AG2942" s="466"/>
      <c r="AH2942" s="466"/>
      <c r="AI2942" s="466"/>
      <c r="AJ2942" s="466"/>
      <c r="AK2942" s="466"/>
      <c r="AL2942" s="466"/>
      <c r="AM2942" s="466"/>
      <c r="AN2942" s="466"/>
      <c r="AO2942" s="466"/>
      <c r="AP2942" s="466"/>
      <c r="AQ2942" s="466"/>
      <c r="AR2942" s="466"/>
      <c r="AS2942" s="466"/>
      <c r="AT2942" s="466"/>
      <c r="AU2942" s="466"/>
      <c r="AV2942" s="466"/>
      <c r="AW2942" s="466"/>
      <c r="AX2942" s="466"/>
      <c r="AY2942" s="466"/>
      <c r="AZ2942" s="466"/>
      <c r="BA2942" s="466"/>
      <c r="BB2942" s="466"/>
      <c r="BC2942" s="466"/>
      <c r="BD2942" s="466"/>
      <c r="BE2942" s="467"/>
      <c r="BF2942" s="467"/>
      <c r="BG2942" s="466"/>
      <c r="BH2942" s="466"/>
      <c r="BI2942" s="467"/>
      <c r="BJ2942" s="467"/>
      <c r="BK2942" s="467"/>
      <c r="BL2942" s="467"/>
      <c r="BM2942" s="467"/>
      <c r="BN2942" s="467"/>
      <c r="BO2942" s="467"/>
      <c r="BP2942" s="467"/>
      <c r="BQ2942" s="467"/>
      <c r="BR2942" s="467"/>
      <c r="BS2942" s="467"/>
      <c r="BT2942" s="467"/>
      <c r="BU2942" s="467"/>
      <c r="BV2942" s="467"/>
      <c r="BW2942" s="467"/>
      <c r="BX2942" s="769"/>
      <c r="BY2942" s="769"/>
      <c r="BZ2942" s="769"/>
      <c r="CA2942" s="769"/>
      <c r="CB2942" s="769"/>
      <c r="CC2942" s="769"/>
      <c r="CD2942" s="769"/>
      <c r="CE2942" s="769"/>
      <c r="CF2942" s="769"/>
      <c r="CG2942" s="73"/>
      <c r="CH2942" s="438"/>
      <c r="CI2942" s="416"/>
      <c r="CJ2942" s="73"/>
      <c r="CK2942" s="650"/>
      <c r="CL2942" s="499"/>
      <c r="CM2942" s="650"/>
      <c r="CR2942" s="416"/>
      <c r="CS2942" s="650"/>
      <c r="CU2942" s="73"/>
      <c r="CV2942" s="73"/>
      <c r="CW2942" s="73"/>
      <c r="CX2942" s="73"/>
      <c r="DA2942" s="650"/>
    </row>
    <row r="2943" spans="1:105" s="45" customFormat="1" x14ac:dyDescent="0.2">
      <c r="A2943" s="650"/>
      <c r="B2943" s="438"/>
      <c r="D2943" s="73"/>
      <c r="E2943" s="650"/>
      <c r="F2943" s="650"/>
      <c r="G2943" s="73"/>
      <c r="I2943" s="111"/>
      <c r="J2943" s="81"/>
      <c r="K2943" s="81"/>
      <c r="L2943" s="499"/>
      <c r="M2943" s="73"/>
      <c r="N2943" s="499"/>
      <c r="O2943" s="73"/>
      <c r="P2943" s="73"/>
      <c r="Q2943" s="73"/>
      <c r="R2943" s="176"/>
      <c r="S2943" s="176"/>
      <c r="T2943" s="176"/>
      <c r="U2943" s="400"/>
      <c r="V2943" s="400"/>
      <c r="W2943" s="732"/>
      <c r="X2943" s="167"/>
      <c r="Y2943" s="509"/>
      <c r="Z2943" s="466"/>
      <c r="AA2943" s="466"/>
      <c r="AB2943" s="466"/>
      <c r="AC2943" s="466"/>
      <c r="AD2943" s="466"/>
      <c r="AE2943" s="466"/>
      <c r="AF2943" s="466"/>
      <c r="AG2943" s="466"/>
      <c r="AH2943" s="466"/>
      <c r="AI2943" s="466"/>
      <c r="AJ2943" s="466"/>
      <c r="AK2943" s="466"/>
      <c r="AL2943" s="466"/>
      <c r="AM2943" s="466"/>
      <c r="AN2943" s="466"/>
      <c r="AO2943" s="466"/>
      <c r="AP2943" s="466"/>
      <c r="AQ2943" s="466"/>
      <c r="AR2943" s="466"/>
      <c r="AS2943" s="466"/>
      <c r="AT2943" s="466"/>
      <c r="AU2943" s="466"/>
      <c r="AV2943" s="466"/>
      <c r="AW2943" s="466"/>
      <c r="AX2943" s="466"/>
      <c r="AY2943" s="466"/>
      <c r="AZ2943" s="466"/>
      <c r="BA2943" s="466"/>
      <c r="BB2943" s="466"/>
      <c r="BC2943" s="466"/>
      <c r="BD2943" s="466"/>
      <c r="BE2943" s="467"/>
      <c r="BF2943" s="467"/>
      <c r="BG2943" s="466"/>
      <c r="BH2943" s="466"/>
      <c r="BI2943" s="467"/>
      <c r="BJ2943" s="467"/>
      <c r="BK2943" s="467"/>
      <c r="BL2943" s="467"/>
      <c r="BM2943" s="467"/>
      <c r="BN2943" s="467"/>
      <c r="BO2943" s="467"/>
      <c r="BP2943" s="467"/>
      <c r="BQ2943" s="467"/>
      <c r="BR2943" s="467"/>
      <c r="BS2943" s="467"/>
      <c r="BT2943" s="467"/>
      <c r="BU2943" s="467"/>
      <c r="BV2943" s="467"/>
      <c r="BW2943" s="467"/>
      <c r="BX2943" s="769"/>
      <c r="BY2943" s="769"/>
      <c r="BZ2943" s="769"/>
      <c r="CA2943" s="769"/>
      <c r="CB2943" s="769"/>
      <c r="CC2943" s="769"/>
      <c r="CD2943" s="769"/>
      <c r="CE2943" s="769"/>
      <c r="CF2943" s="769"/>
      <c r="CG2943" s="73"/>
      <c r="CH2943" s="438"/>
      <c r="CI2943" s="416"/>
      <c r="CJ2943" s="73"/>
      <c r="CK2943" s="650"/>
      <c r="CL2943" s="499"/>
      <c r="CM2943" s="650"/>
      <c r="CR2943" s="416"/>
      <c r="CS2943" s="650"/>
      <c r="CU2943" s="73"/>
      <c r="CV2943" s="73"/>
      <c r="CW2943" s="73"/>
      <c r="CX2943" s="73"/>
      <c r="DA2943" s="650"/>
    </row>
    <row r="2944" spans="1:105" s="45" customFormat="1" x14ac:dyDescent="0.2">
      <c r="A2944" s="650"/>
      <c r="B2944" s="438"/>
      <c r="D2944" s="73"/>
      <c r="E2944" s="650"/>
      <c r="F2944" s="650"/>
      <c r="G2944" s="73"/>
      <c r="I2944" s="111"/>
      <c r="J2944" s="81"/>
      <c r="K2944" s="81"/>
      <c r="L2944" s="499"/>
      <c r="M2944" s="73"/>
      <c r="N2944" s="499"/>
      <c r="O2944" s="73"/>
      <c r="P2944" s="73"/>
      <c r="Q2944" s="73"/>
      <c r="R2944" s="176"/>
      <c r="S2944" s="176"/>
      <c r="T2944" s="176"/>
      <c r="U2944" s="400"/>
      <c r="V2944" s="400"/>
      <c r="W2944" s="732"/>
      <c r="X2944" s="167"/>
      <c r="Y2944" s="509"/>
      <c r="Z2944" s="466"/>
      <c r="AA2944" s="466"/>
      <c r="AB2944" s="466"/>
      <c r="AC2944" s="466"/>
      <c r="AD2944" s="466"/>
      <c r="AE2944" s="466"/>
      <c r="AF2944" s="466"/>
      <c r="AG2944" s="466"/>
      <c r="AH2944" s="466"/>
      <c r="AI2944" s="466"/>
      <c r="AJ2944" s="466"/>
      <c r="AK2944" s="466"/>
      <c r="AL2944" s="466"/>
      <c r="AM2944" s="466"/>
      <c r="AN2944" s="466"/>
      <c r="AO2944" s="466"/>
      <c r="AP2944" s="466"/>
      <c r="AQ2944" s="466"/>
      <c r="AR2944" s="466"/>
      <c r="AS2944" s="466"/>
      <c r="AT2944" s="466"/>
      <c r="AU2944" s="466"/>
      <c r="AV2944" s="466"/>
      <c r="AW2944" s="466"/>
      <c r="AX2944" s="466"/>
      <c r="AY2944" s="466"/>
      <c r="AZ2944" s="466"/>
      <c r="BA2944" s="466"/>
      <c r="BB2944" s="466"/>
      <c r="BC2944" s="466"/>
      <c r="BD2944" s="466"/>
      <c r="BE2944" s="467"/>
      <c r="BF2944" s="467"/>
      <c r="BG2944" s="466"/>
      <c r="BH2944" s="466"/>
      <c r="BI2944" s="467"/>
      <c r="BJ2944" s="467"/>
      <c r="BK2944" s="467"/>
      <c r="BL2944" s="467"/>
      <c r="BM2944" s="467"/>
      <c r="BN2944" s="467"/>
      <c r="BO2944" s="467"/>
      <c r="BP2944" s="467"/>
      <c r="BQ2944" s="467"/>
      <c r="BR2944" s="467"/>
      <c r="BS2944" s="467"/>
      <c r="BT2944" s="467"/>
      <c r="BU2944" s="467"/>
      <c r="BV2944" s="467"/>
      <c r="BW2944" s="467"/>
      <c r="BX2944" s="769"/>
      <c r="BY2944" s="769"/>
      <c r="BZ2944" s="769"/>
      <c r="CA2944" s="769"/>
      <c r="CB2944" s="769"/>
      <c r="CC2944" s="769"/>
      <c r="CD2944" s="769"/>
      <c r="CE2944" s="769"/>
      <c r="CF2944" s="769"/>
      <c r="CG2944" s="73"/>
      <c r="CH2944" s="438"/>
      <c r="CI2944" s="416"/>
      <c r="CJ2944" s="73"/>
      <c r="CK2944" s="650"/>
      <c r="CL2944" s="499"/>
      <c r="CM2944" s="650"/>
      <c r="CR2944" s="416"/>
      <c r="CS2944" s="650"/>
      <c r="CU2944" s="73"/>
      <c r="CV2944" s="73"/>
      <c r="CW2944" s="73"/>
      <c r="CX2944" s="73"/>
      <c r="DA2944" s="650"/>
    </row>
    <row r="2945" spans="1:105" s="45" customFormat="1" x14ac:dyDescent="0.2">
      <c r="A2945" s="650"/>
      <c r="B2945" s="438"/>
      <c r="D2945" s="73"/>
      <c r="E2945" s="650"/>
      <c r="F2945" s="650"/>
      <c r="G2945" s="73"/>
      <c r="I2945" s="111"/>
      <c r="J2945" s="81"/>
      <c r="K2945" s="81"/>
      <c r="L2945" s="499"/>
      <c r="M2945" s="73"/>
      <c r="N2945" s="499"/>
      <c r="O2945" s="73"/>
      <c r="P2945" s="73"/>
      <c r="Q2945" s="73"/>
      <c r="R2945" s="176"/>
      <c r="S2945" s="176"/>
      <c r="T2945" s="176"/>
      <c r="U2945" s="400"/>
      <c r="V2945" s="400"/>
      <c r="W2945" s="732"/>
      <c r="X2945" s="167"/>
      <c r="Y2945" s="509"/>
      <c r="Z2945" s="466"/>
      <c r="AA2945" s="466"/>
      <c r="AB2945" s="466"/>
      <c r="AC2945" s="466"/>
      <c r="AD2945" s="466"/>
      <c r="AE2945" s="466"/>
      <c r="AF2945" s="466"/>
      <c r="AG2945" s="466"/>
      <c r="AH2945" s="466"/>
      <c r="AI2945" s="466"/>
      <c r="AJ2945" s="466"/>
      <c r="AK2945" s="466"/>
      <c r="AL2945" s="466"/>
      <c r="AM2945" s="466"/>
      <c r="AN2945" s="466"/>
      <c r="AO2945" s="466"/>
      <c r="AP2945" s="466"/>
      <c r="AQ2945" s="466"/>
      <c r="AR2945" s="466"/>
      <c r="AS2945" s="466"/>
      <c r="AT2945" s="466"/>
      <c r="AU2945" s="466"/>
      <c r="AV2945" s="466"/>
      <c r="AW2945" s="466"/>
      <c r="AX2945" s="466"/>
      <c r="AY2945" s="466"/>
      <c r="AZ2945" s="466"/>
      <c r="BA2945" s="466"/>
      <c r="BB2945" s="466"/>
      <c r="BC2945" s="466"/>
      <c r="BD2945" s="466"/>
      <c r="BE2945" s="467"/>
      <c r="BF2945" s="467"/>
      <c r="BG2945" s="466"/>
      <c r="BH2945" s="466"/>
      <c r="BI2945" s="467"/>
      <c r="BJ2945" s="467"/>
      <c r="BK2945" s="467"/>
      <c r="BL2945" s="467"/>
      <c r="BM2945" s="467"/>
      <c r="BN2945" s="467"/>
      <c r="BO2945" s="467"/>
      <c r="BP2945" s="467"/>
      <c r="BQ2945" s="467"/>
      <c r="BR2945" s="467"/>
      <c r="BS2945" s="467"/>
      <c r="BT2945" s="467"/>
      <c r="BU2945" s="467"/>
      <c r="BV2945" s="467"/>
      <c r="BW2945" s="467"/>
      <c r="BX2945" s="769"/>
      <c r="BY2945" s="769"/>
      <c r="BZ2945" s="769"/>
      <c r="CA2945" s="769"/>
      <c r="CB2945" s="769"/>
      <c r="CC2945" s="769"/>
      <c r="CD2945" s="769"/>
      <c r="CE2945" s="769"/>
      <c r="CF2945" s="769"/>
      <c r="CG2945" s="73"/>
      <c r="CH2945" s="438"/>
      <c r="CI2945" s="416"/>
      <c r="CJ2945" s="73"/>
      <c r="CK2945" s="650"/>
      <c r="CL2945" s="499"/>
      <c r="CM2945" s="650"/>
      <c r="CR2945" s="416"/>
      <c r="CS2945" s="650"/>
      <c r="CU2945" s="73"/>
      <c r="CV2945" s="73"/>
      <c r="CW2945" s="73"/>
      <c r="CX2945" s="73"/>
      <c r="DA2945" s="650"/>
    </row>
    <row r="2946" spans="1:105" s="45" customFormat="1" x14ac:dyDescent="0.2">
      <c r="A2946" s="650"/>
      <c r="B2946" s="438"/>
      <c r="D2946" s="73"/>
      <c r="E2946" s="650"/>
      <c r="F2946" s="650"/>
      <c r="G2946" s="73"/>
      <c r="I2946" s="111"/>
      <c r="J2946" s="81"/>
      <c r="K2946" s="81"/>
      <c r="L2946" s="499"/>
      <c r="M2946" s="73"/>
      <c r="N2946" s="499"/>
      <c r="O2946" s="73"/>
      <c r="P2946" s="73"/>
      <c r="Q2946" s="73"/>
      <c r="R2946" s="176"/>
      <c r="S2946" s="176"/>
      <c r="T2946" s="176"/>
      <c r="U2946" s="400"/>
      <c r="V2946" s="400"/>
      <c r="W2946" s="732"/>
      <c r="X2946" s="167"/>
      <c r="Y2946" s="509"/>
      <c r="Z2946" s="466"/>
      <c r="AA2946" s="466"/>
      <c r="AB2946" s="466"/>
      <c r="AC2946" s="466"/>
      <c r="AD2946" s="466"/>
      <c r="AE2946" s="466"/>
      <c r="AF2946" s="466"/>
      <c r="AG2946" s="466"/>
      <c r="AH2946" s="466"/>
      <c r="AI2946" s="466"/>
      <c r="AJ2946" s="466"/>
      <c r="AK2946" s="466"/>
      <c r="AL2946" s="466"/>
      <c r="AM2946" s="466"/>
      <c r="AN2946" s="466"/>
      <c r="AO2946" s="466"/>
      <c r="AP2946" s="466"/>
      <c r="AQ2946" s="466"/>
      <c r="AR2946" s="466"/>
      <c r="AS2946" s="466"/>
      <c r="AT2946" s="466"/>
      <c r="AU2946" s="466"/>
      <c r="AV2946" s="466"/>
      <c r="AW2946" s="466"/>
      <c r="AX2946" s="466"/>
      <c r="AY2946" s="466"/>
      <c r="AZ2946" s="466"/>
      <c r="BA2946" s="466"/>
      <c r="BB2946" s="466"/>
      <c r="BC2946" s="466"/>
      <c r="BD2946" s="466"/>
      <c r="BE2946" s="467"/>
      <c r="BF2946" s="467"/>
      <c r="BG2946" s="466"/>
      <c r="BH2946" s="466"/>
      <c r="BI2946" s="467"/>
      <c r="BJ2946" s="467"/>
      <c r="BK2946" s="467"/>
      <c r="BL2946" s="467"/>
      <c r="BM2946" s="467"/>
      <c r="BN2946" s="467"/>
      <c r="BO2946" s="467"/>
      <c r="BP2946" s="467"/>
      <c r="BQ2946" s="467"/>
      <c r="BR2946" s="467"/>
      <c r="BS2946" s="467"/>
      <c r="BT2946" s="467"/>
      <c r="BU2946" s="467"/>
      <c r="BV2946" s="467"/>
      <c r="BW2946" s="467"/>
      <c r="BX2946" s="769"/>
      <c r="BY2946" s="769"/>
      <c r="BZ2946" s="769"/>
      <c r="CA2946" s="769"/>
      <c r="CB2946" s="769"/>
      <c r="CC2946" s="769"/>
      <c r="CD2946" s="769"/>
      <c r="CE2946" s="769"/>
      <c r="CF2946" s="769"/>
      <c r="CG2946" s="73"/>
      <c r="CH2946" s="438"/>
      <c r="CI2946" s="416"/>
      <c r="CJ2946" s="73"/>
      <c r="CK2946" s="650"/>
      <c r="CL2946" s="499"/>
      <c r="CM2946" s="650"/>
      <c r="CR2946" s="416"/>
      <c r="CS2946" s="650"/>
      <c r="CU2946" s="73"/>
      <c r="CV2946" s="73"/>
      <c r="CW2946" s="73"/>
      <c r="CX2946" s="73"/>
      <c r="DA2946" s="650"/>
    </row>
    <row r="2947" spans="1:105" s="45" customFormat="1" x14ac:dyDescent="0.2">
      <c r="A2947" s="650"/>
      <c r="B2947" s="438"/>
      <c r="D2947" s="73"/>
      <c r="E2947" s="650"/>
      <c r="F2947" s="650"/>
      <c r="G2947" s="73"/>
      <c r="I2947" s="111"/>
      <c r="J2947" s="81"/>
      <c r="K2947" s="81"/>
      <c r="L2947" s="499"/>
      <c r="M2947" s="73"/>
      <c r="N2947" s="499"/>
      <c r="O2947" s="73"/>
      <c r="P2947" s="73"/>
      <c r="Q2947" s="73"/>
      <c r="R2947" s="176"/>
      <c r="S2947" s="176"/>
      <c r="T2947" s="176"/>
      <c r="U2947" s="400"/>
      <c r="V2947" s="400"/>
      <c r="W2947" s="732"/>
      <c r="X2947" s="167"/>
      <c r="Y2947" s="509"/>
      <c r="Z2947" s="466"/>
      <c r="AA2947" s="466"/>
      <c r="AB2947" s="466"/>
      <c r="AC2947" s="466"/>
      <c r="AD2947" s="466"/>
      <c r="AE2947" s="466"/>
      <c r="AF2947" s="466"/>
      <c r="AG2947" s="466"/>
      <c r="AH2947" s="466"/>
      <c r="AI2947" s="466"/>
      <c r="AJ2947" s="466"/>
      <c r="AK2947" s="466"/>
      <c r="AL2947" s="466"/>
      <c r="AM2947" s="466"/>
      <c r="AN2947" s="466"/>
      <c r="AO2947" s="466"/>
      <c r="AP2947" s="466"/>
      <c r="AQ2947" s="466"/>
      <c r="AR2947" s="466"/>
      <c r="AS2947" s="466"/>
      <c r="AT2947" s="466"/>
      <c r="AU2947" s="466"/>
      <c r="AV2947" s="466"/>
      <c r="AW2947" s="466"/>
      <c r="AX2947" s="466"/>
      <c r="AY2947" s="466"/>
      <c r="AZ2947" s="466"/>
      <c r="BA2947" s="466"/>
      <c r="BB2947" s="466"/>
      <c r="BC2947" s="466"/>
      <c r="BD2947" s="466"/>
      <c r="BE2947" s="467"/>
      <c r="BF2947" s="467"/>
      <c r="BG2947" s="466"/>
      <c r="BH2947" s="466"/>
      <c r="BI2947" s="467"/>
      <c r="BJ2947" s="467"/>
      <c r="BK2947" s="467"/>
      <c r="BL2947" s="467"/>
      <c r="BM2947" s="467"/>
      <c r="BN2947" s="467"/>
      <c r="BO2947" s="467"/>
      <c r="BP2947" s="467"/>
      <c r="BQ2947" s="467"/>
      <c r="BR2947" s="467"/>
      <c r="BS2947" s="467"/>
      <c r="BT2947" s="467"/>
      <c r="BU2947" s="467"/>
      <c r="BV2947" s="467"/>
      <c r="BW2947" s="467"/>
      <c r="BX2947" s="769"/>
      <c r="BY2947" s="769"/>
      <c r="BZ2947" s="769"/>
      <c r="CA2947" s="769"/>
      <c r="CB2947" s="769"/>
      <c r="CC2947" s="769"/>
      <c r="CD2947" s="769"/>
      <c r="CE2947" s="769"/>
      <c r="CF2947" s="769"/>
      <c r="CG2947" s="73"/>
      <c r="CH2947" s="438"/>
      <c r="CI2947" s="416"/>
      <c r="CJ2947" s="73"/>
      <c r="CK2947" s="650"/>
      <c r="CL2947" s="499"/>
      <c r="CM2947" s="650"/>
      <c r="CR2947" s="416"/>
      <c r="CS2947" s="650"/>
      <c r="CU2947" s="73"/>
      <c r="CV2947" s="73"/>
      <c r="CW2947" s="73"/>
      <c r="CX2947" s="73"/>
      <c r="DA2947" s="650"/>
    </row>
    <row r="2948" spans="1:105" s="45" customFormat="1" x14ac:dyDescent="0.2">
      <c r="A2948" s="650"/>
      <c r="B2948" s="438"/>
      <c r="D2948" s="73"/>
      <c r="E2948" s="650"/>
      <c r="F2948" s="650"/>
      <c r="G2948" s="73"/>
      <c r="I2948" s="111"/>
      <c r="J2948" s="81"/>
      <c r="K2948" s="81"/>
      <c r="L2948" s="499"/>
      <c r="M2948" s="73"/>
      <c r="N2948" s="499"/>
      <c r="O2948" s="73"/>
      <c r="P2948" s="73"/>
      <c r="Q2948" s="73"/>
      <c r="R2948" s="176"/>
      <c r="S2948" s="176"/>
      <c r="T2948" s="176"/>
      <c r="U2948" s="400"/>
      <c r="V2948" s="400"/>
      <c r="W2948" s="732"/>
      <c r="X2948" s="167"/>
      <c r="Y2948" s="509"/>
      <c r="Z2948" s="466"/>
      <c r="AA2948" s="466"/>
      <c r="AB2948" s="466"/>
      <c r="AC2948" s="466"/>
      <c r="AD2948" s="466"/>
      <c r="AE2948" s="466"/>
      <c r="AF2948" s="466"/>
      <c r="AG2948" s="466"/>
      <c r="AH2948" s="466"/>
      <c r="AI2948" s="466"/>
      <c r="AJ2948" s="466"/>
      <c r="AK2948" s="466"/>
      <c r="AL2948" s="466"/>
      <c r="AM2948" s="466"/>
      <c r="AN2948" s="466"/>
      <c r="AO2948" s="466"/>
      <c r="AP2948" s="466"/>
      <c r="AQ2948" s="466"/>
      <c r="AR2948" s="466"/>
      <c r="AS2948" s="466"/>
      <c r="AT2948" s="466"/>
      <c r="AU2948" s="466"/>
      <c r="AV2948" s="466"/>
      <c r="AW2948" s="466"/>
      <c r="AX2948" s="466"/>
      <c r="AY2948" s="466"/>
      <c r="AZ2948" s="466"/>
      <c r="BA2948" s="466"/>
      <c r="BB2948" s="466"/>
      <c r="BC2948" s="466"/>
      <c r="BD2948" s="466"/>
      <c r="BE2948" s="467"/>
      <c r="BF2948" s="467"/>
      <c r="BG2948" s="466"/>
      <c r="BH2948" s="466"/>
      <c r="BI2948" s="467"/>
      <c r="BJ2948" s="467"/>
      <c r="BK2948" s="467"/>
      <c r="BL2948" s="467"/>
      <c r="BM2948" s="467"/>
      <c r="BN2948" s="467"/>
      <c r="BO2948" s="467"/>
      <c r="BP2948" s="467"/>
      <c r="BQ2948" s="467"/>
      <c r="BR2948" s="467"/>
      <c r="BS2948" s="467"/>
      <c r="BT2948" s="467"/>
      <c r="BU2948" s="467"/>
      <c r="BV2948" s="467"/>
      <c r="BW2948" s="467"/>
      <c r="BX2948" s="769"/>
      <c r="BY2948" s="769"/>
      <c r="BZ2948" s="769"/>
      <c r="CA2948" s="769"/>
      <c r="CB2948" s="769"/>
      <c r="CC2948" s="769"/>
      <c r="CD2948" s="769"/>
      <c r="CE2948" s="769"/>
      <c r="CF2948" s="769"/>
      <c r="CG2948" s="73"/>
      <c r="CH2948" s="438"/>
      <c r="CI2948" s="416"/>
      <c r="CJ2948" s="73"/>
      <c r="CK2948" s="650"/>
      <c r="CL2948" s="499"/>
      <c r="CM2948" s="650"/>
      <c r="CR2948" s="416"/>
      <c r="CS2948" s="650"/>
      <c r="CU2948" s="73"/>
      <c r="CV2948" s="73"/>
      <c r="CW2948" s="73"/>
      <c r="CX2948" s="73"/>
      <c r="DA2948" s="650"/>
    </row>
    <row r="2949" spans="1:105" s="45" customFormat="1" x14ac:dyDescent="0.2">
      <c r="A2949" s="650"/>
      <c r="B2949" s="438"/>
      <c r="D2949" s="73"/>
      <c r="E2949" s="650"/>
      <c r="F2949" s="650"/>
      <c r="G2949" s="73"/>
      <c r="I2949" s="111"/>
      <c r="J2949" s="81"/>
      <c r="K2949" s="81"/>
      <c r="L2949" s="499"/>
      <c r="M2949" s="73"/>
      <c r="N2949" s="499"/>
      <c r="O2949" s="73"/>
      <c r="P2949" s="73"/>
      <c r="Q2949" s="73"/>
      <c r="R2949" s="176"/>
      <c r="S2949" s="176"/>
      <c r="T2949" s="176"/>
      <c r="U2949" s="400"/>
      <c r="V2949" s="400"/>
      <c r="W2949" s="732"/>
      <c r="X2949" s="167"/>
      <c r="Y2949" s="509"/>
      <c r="Z2949" s="466"/>
      <c r="AA2949" s="466"/>
      <c r="AB2949" s="466"/>
      <c r="AC2949" s="466"/>
      <c r="AD2949" s="466"/>
      <c r="AE2949" s="466"/>
      <c r="AF2949" s="466"/>
      <c r="AG2949" s="466"/>
      <c r="AH2949" s="466"/>
      <c r="AI2949" s="466"/>
      <c r="AJ2949" s="466"/>
      <c r="AK2949" s="466"/>
      <c r="AL2949" s="466"/>
      <c r="AM2949" s="466"/>
      <c r="AN2949" s="466"/>
      <c r="AO2949" s="466"/>
      <c r="AP2949" s="466"/>
      <c r="AQ2949" s="466"/>
      <c r="AR2949" s="466"/>
      <c r="AS2949" s="466"/>
      <c r="AT2949" s="466"/>
      <c r="AU2949" s="466"/>
      <c r="AV2949" s="466"/>
      <c r="AW2949" s="466"/>
      <c r="AX2949" s="466"/>
      <c r="AY2949" s="466"/>
      <c r="AZ2949" s="466"/>
      <c r="BA2949" s="466"/>
      <c r="BB2949" s="466"/>
      <c r="BC2949" s="466"/>
      <c r="BD2949" s="466"/>
      <c r="BE2949" s="467"/>
      <c r="BF2949" s="467"/>
      <c r="BG2949" s="466"/>
      <c r="BH2949" s="466"/>
      <c r="BI2949" s="467"/>
      <c r="BJ2949" s="467"/>
      <c r="BK2949" s="467"/>
      <c r="BL2949" s="467"/>
      <c r="BM2949" s="467"/>
      <c r="BN2949" s="467"/>
      <c r="BO2949" s="467"/>
      <c r="BP2949" s="467"/>
      <c r="BQ2949" s="467"/>
      <c r="BR2949" s="467"/>
      <c r="BS2949" s="467"/>
      <c r="BT2949" s="467"/>
      <c r="BU2949" s="467"/>
      <c r="BV2949" s="467"/>
      <c r="BW2949" s="467"/>
      <c r="BX2949" s="769"/>
      <c r="BY2949" s="769"/>
      <c r="BZ2949" s="769"/>
      <c r="CA2949" s="769"/>
      <c r="CB2949" s="769"/>
      <c r="CC2949" s="769"/>
      <c r="CD2949" s="769"/>
      <c r="CE2949" s="769"/>
      <c r="CF2949" s="769"/>
      <c r="CG2949" s="73"/>
      <c r="CH2949" s="438"/>
      <c r="CI2949" s="416"/>
      <c r="CJ2949" s="73"/>
      <c r="CK2949" s="650"/>
      <c r="CL2949" s="499"/>
      <c r="CM2949" s="650"/>
      <c r="CR2949" s="416"/>
      <c r="CS2949" s="650"/>
      <c r="CU2949" s="73"/>
      <c r="CV2949" s="73"/>
      <c r="CW2949" s="73"/>
      <c r="CX2949" s="73"/>
      <c r="DA2949" s="650"/>
    </row>
    <row r="2950" spans="1:105" s="45" customFormat="1" x14ac:dyDescent="0.2">
      <c r="A2950" s="650"/>
      <c r="B2950" s="438"/>
      <c r="D2950" s="73"/>
      <c r="E2950" s="650"/>
      <c r="F2950" s="650"/>
      <c r="G2950" s="73"/>
      <c r="I2950" s="111"/>
      <c r="J2950" s="81"/>
      <c r="K2950" s="81"/>
      <c r="L2950" s="499"/>
      <c r="M2950" s="73"/>
      <c r="N2950" s="499"/>
      <c r="O2950" s="73"/>
      <c r="P2950" s="73"/>
      <c r="Q2950" s="73"/>
      <c r="R2950" s="176"/>
      <c r="S2950" s="176"/>
      <c r="T2950" s="176"/>
      <c r="U2950" s="400"/>
      <c r="V2950" s="400"/>
      <c r="W2950" s="732"/>
      <c r="X2950" s="167"/>
      <c r="Y2950" s="509"/>
      <c r="Z2950" s="466"/>
      <c r="AA2950" s="466"/>
      <c r="AB2950" s="466"/>
      <c r="AC2950" s="466"/>
      <c r="AD2950" s="466"/>
      <c r="AE2950" s="466"/>
      <c r="AF2950" s="466"/>
      <c r="AG2950" s="466"/>
      <c r="AH2950" s="466"/>
      <c r="AI2950" s="466"/>
      <c r="AJ2950" s="466"/>
      <c r="AK2950" s="466"/>
      <c r="AL2950" s="466"/>
      <c r="AM2950" s="466"/>
      <c r="AN2950" s="466"/>
      <c r="AO2950" s="466"/>
      <c r="AP2950" s="466"/>
      <c r="AQ2950" s="466"/>
      <c r="AR2950" s="466"/>
      <c r="AS2950" s="466"/>
      <c r="AT2950" s="466"/>
      <c r="AU2950" s="466"/>
      <c r="AV2950" s="466"/>
      <c r="AW2950" s="466"/>
      <c r="AX2950" s="466"/>
      <c r="AY2950" s="466"/>
      <c r="AZ2950" s="466"/>
      <c r="BA2950" s="466"/>
      <c r="BB2950" s="466"/>
      <c r="BC2950" s="466"/>
      <c r="BD2950" s="466"/>
      <c r="BE2950" s="467"/>
      <c r="BF2950" s="467"/>
      <c r="BG2950" s="466"/>
      <c r="BH2950" s="466"/>
      <c r="BI2950" s="467"/>
      <c r="BJ2950" s="467"/>
      <c r="BK2950" s="467"/>
      <c r="BL2950" s="467"/>
      <c r="BM2950" s="467"/>
      <c r="BN2950" s="467"/>
      <c r="BO2950" s="467"/>
      <c r="BP2950" s="467"/>
      <c r="BQ2950" s="467"/>
      <c r="BR2950" s="467"/>
      <c r="BS2950" s="467"/>
      <c r="BT2950" s="467"/>
      <c r="BU2950" s="467"/>
      <c r="BV2950" s="467"/>
      <c r="BW2950" s="467"/>
      <c r="BX2950" s="769"/>
      <c r="BY2950" s="769"/>
      <c r="BZ2950" s="769"/>
      <c r="CA2950" s="769"/>
      <c r="CB2950" s="769"/>
      <c r="CC2950" s="769"/>
      <c r="CD2950" s="769"/>
      <c r="CE2950" s="769"/>
      <c r="CF2950" s="769"/>
      <c r="CG2950" s="73"/>
      <c r="CH2950" s="438"/>
      <c r="CI2950" s="416"/>
      <c r="CJ2950" s="73"/>
      <c r="CK2950" s="650"/>
      <c r="CL2950" s="499"/>
      <c r="CM2950" s="650"/>
      <c r="CR2950" s="416"/>
      <c r="CS2950" s="650"/>
      <c r="CU2950" s="73"/>
      <c r="CV2950" s="73"/>
      <c r="CW2950" s="73"/>
      <c r="CX2950" s="73"/>
      <c r="DA2950" s="650"/>
    </row>
    <row r="2951" spans="1:105" s="45" customFormat="1" x14ac:dyDescent="0.2">
      <c r="A2951" s="650"/>
      <c r="B2951" s="438"/>
      <c r="D2951" s="73"/>
      <c r="E2951" s="650"/>
      <c r="F2951" s="650"/>
      <c r="G2951" s="73"/>
      <c r="I2951" s="111"/>
      <c r="J2951" s="81"/>
      <c r="K2951" s="81"/>
      <c r="L2951" s="499"/>
      <c r="M2951" s="73"/>
      <c r="N2951" s="499"/>
      <c r="O2951" s="73"/>
      <c r="P2951" s="73"/>
      <c r="Q2951" s="73"/>
      <c r="R2951" s="176"/>
      <c r="S2951" s="176"/>
      <c r="T2951" s="176"/>
      <c r="U2951" s="400"/>
      <c r="V2951" s="400"/>
      <c r="W2951" s="732"/>
      <c r="X2951" s="167"/>
      <c r="Y2951" s="509"/>
      <c r="Z2951" s="466"/>
      <c r="AA2951" s="466"/>
      <c r="AB2951" s="466"/>
      <c r="AC2951" s="466"/>
      <c r="AD2951" s="466"/>
      <c r="AE2951" s="466"/>
      <c r="AF2951" s="466"/>
      <c r="AG2951" s="466"/>
      <c r="AH2951" s="466"/>
      <c r="AI2951" s="466"/>
      <c r="AJ2951" s="466"/>
      <c r="AK2951" s="466"/>
      <c r="AL2951" s="466"/>
      <c r="AM2951" s="466"/>
      <c r="AN2951" s="466"/>
      <c r="AO2951" s="466"/>
      <c r="AP2951" s="466"/>
      <c r="AQ2951" s="466"/>
      <c r="AR2951" s="466"/>
      <c r="AS2951" s="466"/>
      <c r="AT2951" s="466"/>
      <c r="AU2951" s="466"/>
      <c r="AV2951" s="466"/>
      <c r="AW2951" s="466"/>
      <c r="AX2951" s="466"/>
      <c r="AY2951" s="466"/>
      <c r="AZ2951" s="466"/>
      <c r="BA2951" s="466"/>
      <c r="BB2951" s="466"/>
      <c r="BC2951" s="466"/>
      <c r="BD2951" s="466"/>
      <c r="BE2951" s="467"/>
      <c r="BF2951" s="467"/>
      <c r="BG2951" s="466"/>
      <c r="BH2951" s="466"/>
      <c r="BI2951" s="467"/>
      <c r="BJ2951" s="467"/>
      <c r="BK2951" s="467"/>
      <c r="BL2951" s="467"/>
      <c r="BM2951" s="467"/>
      <c r="BN2951" s="467"/>
      <c r="BO2951" s="467"/>
      <c r="BP2951" s="467"/>
      <c r="BQ2951" s="467"/>
      <c r="BR2951" s="467"/>
      <c r="BS2951" s="467"/>
      <c r="BT2951" s="467"/>
      <c r="BU2951" s="467"/>
      <c r="BV2951" s="467"/>
      <c r="BW2951" s="467"/>
      <c r="BX2951" s="769"/>
      <c r="BY2951" s="769"/>
      <c r="BZ2951" s="769"/>
      <c r="CA2951" s="769"/>
      <c r="CB2951" s="769"/>
      <c r="CC2951" s="769"/>
      <c r="CD2951" s="769"/>
      <c r="CE2951" s="769"/>
      <c r="CF2951" s="769"/>
      <c r="CG2951" s="73"/>
      <c r="CH2951" s="438"/>
      <c r="CI2951" s="416"/>
      <c r="CJ2951" s="73"/>
      <c r="CK2951" s="650"/>
      <c r="CL2951" s="499"/>
      <c r="CM2951" s="650"/>
      <c r="CR2951" s="416"/>
      <c r="CS2951" s="650"/>
      <c r="CU2951" s="73"/>
      <c r="CV2951" s="73"/>
      <c r="CW2951" s="73"/>
      <c r="CX2951" s="73"/>
      <c r="DA2951" s="650"/>
    </row>
    <row r="2952" spans="1:105" s="45" customFormat="1" x14ac:dyDescent="0.2">
      <c r="A2952" s="650"/>
      <c r="B2952" s="438"/>
      <c r="D2952" s="73"/>
      <c r="E2952" s="650"/>
      <c r="F2952" s="650"/>
      <c r="G2952" s="73"/>
      <c r="I2952" s="111"/>
      <c r="J2952" s="81"/>
      <c r="K2952" s="81"/>
      <c r="L2952" s="499"/>
      <c r="M2952" s="73"/>
      <c r="N2952" s="499"/>
      <c r="O2952" s="73"/>
      <c r="P2952" s="73"/>
      <c r="Q2952" s="73"/>
      <c r="R2952" s="176"/>
      <c r="S2952" s="176"/>
      <c r="T2952" s="176"/>
      <c r="U2952" s="400"/>
      <c r="V2952" s="400"/>
      <c r="W2952" s="732"/>
      <c r="X2952" s="167"/>
      <c r="Y2952" s="509"/>
      <c r="Z2952" s="466"/>
      <c r="AA2952" s="466"/>
      <c r="AB2952" s="466"/>
      <c r="AC2952" s="466"/>
      <c r="AD2952" s="466"/>
      <c r="AE2952" s="466"/>
      <c r="AF2952" s="466"/>
      <c r="AG2952" s="466"/>
      <c r="AH2952" s="466"/>
      <c r="AI2952" s="466"/>
      <c r="AJ2952" s="466"/>
      <c r="AK2952" s="466"/>
      <c r="AL2952" s="466"/>
      <c r="AM2952" s="466"/>
      <c r="AN2952" s="466"/>
      <c r="AO2952" s="466"/>
      <c r="AP2952" s="466"/>
      <c r="AQ2952" s="466"/>
      <c r="AR2952" s="466"/>
      <c r="AS2952" s="466"/>
      <c r="AT2952" s="466"/>
      <c r="AU2952" s="466"/>
      <c r="AV2952" s="466"/>
      <c r="AW2952" s="466"/>
      <c r="AX2952" s="466"/>
      <c r="AY2952" s="466"/>
      <c r="AZ2952" s="466"/>
      <c r="BA2952" s="466"/>
      <c r="BB2952" s="466"/>
      <c r="BC2952" s="466"/>
      <c r="BD2952" s="466"/>
      <c r="BE2952" s="467"/>
      <c r="BF2952" s="467"/>
      <c r="BG2952" s="466"/>
      <c r="BH2952" s="466"/>
      <c r="BI2952" s="467"/>
      <c r="BJ2952" s="467"/>
      <c r="BK2952" s="467"/>
      <c r="BL2952" s="467"/>
      <c r="BM2952" s="467"/>
      <c r="BN2952" s="467"/>
      <c r="BO2952" s="467"/>
      <c r="BP2952" s="467"/>
      <c r="BQ2952" s="467"/>
      <c r="BR2952" s="467"/>
      <c r="BS2952" s="467"/>
      <c r="BT2952" s="467"/>
      <c r="BU2952" s="467"/>
      <c r="BV2952" s="467"/>
      <c r="BW2952" s="467"/>
      <c r="BX2952" s="769"/>
      <c r="BY2952" s="769"/>
      <c r="BZ2952" s="769"/>
      <c r="CA2952" s="769"/>
      <c r="CB2952" s="769"/>
      <c r="CC2952" s="769"/>
      <c r="CD2952" s="769"/>
      <c r="CE2952" s="769"/>
      <c r="CF2952" s="769"/>
      <c r="CG2952" s="73"/>
      <c r="CH2952" s="438"/>
      <c r="CI2952" s="416"/>
      <c r="CJ2952" s="73"/>
      <c r="CK2952" s="650"/>
      <c r="CL2952" s="499"/>
      <c r="CM2952" s="650"/>
      <c r="CR2952" s="416"/>
      <c r="CS2952" s="650"/>
      <c r="CU2952" s="73"/>
      <c r="CV2952" s="73"/>
      <c r="CW2952" s="73"/>
      <c r="CX2952" s="73"/>
      <c r="DA2952" s="650"/>
    </row>
    <row r="2953" spans="1:105" s="45" customFormat="1" x14ac:dyDescent="0.2">
      <c r="A2953" s="650"/>
      <c r="B2953" s="438"/>
      <c r="D2953" s="73"/>
      <c r="E2953" s="650"/>
      <c r="F2953" s="650"/>
      <c r="G2953" s="73"/>
      <c r="I2953" s="111"/>
      <c r="J2953" s="81"/>
      <c r="K2953" s="81"/>
      <c r="L2953" s="499"/>
      <c r="M2953" s="73"/>
      <c r="N2953" s="499"/>
      <c r="O2953" s="73"/>
      <c r="P2953" s="73"/>
      <c r="Q2953" s="73"/>
      <c r="R2953" s="176"/>
      <c r="S2953" s="176"/>
      <c r="T2953" s="176"/>
      <c r="U2953" s="400"/>
      <c r="V2953" s="400"/>
      <c r="W2953" s="732"/>
      <c r="X2953" s="167"/>
      <c r="Y2953" s="509"/>
      <c r="Z2953" s="466"/>
      <c r="AA2953" s="466"/>
      <c r="AB2953" s="466"/>
      <c r="AC2953" s="466"/>
      <c r="AD2953" s="466"/>
      <c r="AE2953" s="466"/>
      <c r="AF2953" s="466"/>
      <c r="AG2953" s="466"/>
      <c r="AH2953" s="466"/>
      <c r="AI2953" s="466"/>
      <c r="AJ2953" s="466"/>
      <c r="AK2953" s="466"/>
      <c r="AL2953" s="466"/>
      <c r="AM2953" s="466"/>
      <c r="AN2953" s="466"/>
      <c r="AO2953" s="466"/>
      <c r="AP2953" s="466"/>
      <c r="AQ2953" s="466"/>
      <c r="AR2953" s="466"/>
      <c r="AS2953" s="466"/>
      <c r="AT2953" s="466"/>
      <c r="AU2953" s="466"/>
      <c r="AV2953" s="466"/>
      <c r="AW2953" s="466"/>
      <c r="AX2953" s="466"/>
      <c r="AY2953" s="466"/>
      <c r="AZ2953" s="466"/>
      <c r="BA2953" s="466"/>
      <c r="BB2953" s="466"/>
      <c r="BC2953" s="466"/>
      <c r="BD2953" s="466"/>
      <c r="BE2953" s="467"/>
      <c r="BF2953" s="467"/>
      <c r="BG2953" s="466"/>
      <c r="BH2953" s="466"/>
      <c r="BI2953" s="467"/>
      <c r="BJ2953" s="467"/>
      <c r="BK2953" s="467"/>
      <c r="BL2953" s="467"/>
      <c r="BM2953" s="467"/>
      <c r="BN2953" s="467"/>
      <c r="BO2953" s="467"/>
      <c r="BP2953" s="467"/>
      <c r="BQ2953" s="467"/>
      <c r="BR2953" s="467"/>
      <c r="BS2953" s="467"/>
      <c r="BT2953" s="467"/>
      <c r="BU2953" s="467"/>
      <c r="BV2953" s="467"/>
      <c r="BW2953" s="467"/>
      <c r="BX2953" s="769"/>
      <c r="BY2953" s="769"/>
      <c r="BZ2953" s="769"/>
      <c r="CA2953" s="769"/>
      <c r="CB2953" s="769"/>
      <c r="CC2953" s="769"/>
      <c r="CD2953" s="769"/>
      <c r="CE2953" s="769"/>
      <c r="CF2953" s="769"/>
      <c r="CG2953" s="73"/>
      <c r="CH2953" s="438"/>
      <c r="CI2953" s="416"/>
      <c r="CJ2953" s="73"/>
      <c r="CK2953" s="650"/>
      <c r="CL2953" s="499"/>
      <c r="CM2953" s="650"/>
      <c r="CR2953" s="416"/>
      <c r="CS2953" s="650"/>
      <c r="CU2953" s="73"/>
      <c r="CV2953" s="73"/>
      <c r="CW2953" s="73"/>
      <c r="CX2953" s="73"/>
      <c r="DA2953" s="650"/>
    </row>
    <row r="2954" spans="1:105" s="45" customFormat="1" x14ac:dyDescent="0.2">
      <c r="A2954" s="650"/>
      <c r="B2954" s="438"/>
      <c r="D2954" s="73"/>
      <c r="E2954" s="650"/>
      <c r="F2954" s="650"/>
      <c r="G2954" s="73"/>
      <c r="I2954" s="111"/>
      <c r="J2954" s="81"/>
      <c r="K2954" s="81"/>
      <c r="L2954" s="499"/>
      <c r="M2954" s="73"/>
      <c r="N2954" s="499"/>
      <c r="O2954" s="73"/>
      <c r="P2954" s="73"/>
      <c r="Q2954" s="73"/>
      <c r="R2954" s="176"/>
      <c r="S2954" s="176"/>
      <c r="T2954" s="176"/>
      <c r="U2954" s="400"/>
      <c r="V2954" s="400"/>
      <c r="W2954" s="732"/>
      <c r="X2954" s="167"/>
      <c r="Y2954" s="509"/>
      <c r="Z2954" s="466"/>
      <c r="AA2954" s="466"/>
      <c r="AB2954" s="466"/>
      <c r="AC2954" s="466"/>
      <c r="AD2954" s="466"/>
      <c r="AE2954" s="466"/>
      <c r="AF2954" s="466"/>
      <c r="AG2954" s="466"/>
      <c r="AH2954" s="466"/>
      <c r="AI2954" s="466"/>
      <c r="AJ2954" s="466"/>
      <c r="AK2954" s="466"/>
      <c r="AL2954" s="466"/>
      <c r="AM2954" s="466"/>
      <c r="AN2954" s="466"/>
      <c r="AO2954" s="466"/>
      <c r="AP2954" s="466"/>
      <c r="AQ2954" s="466"/>
      <c r="AR2954" s="466"/>
      <c r="AS2954" s="466"/>
      <c r="AT2954" s="466"/>
      <c r="AU2954" s="466"/>
      <c r="AV2954" s="466"/>
      <c r="AW2954" s="466"/>
      <c r="AX2954" s="466"/>
      <c r="AY2954" s="466"/>
      <c r="AZ2954" s="466"/>
      <c r="BA2954" s="466"/>
      <c r="BB2954" s="466"/>
      <c r="BC2954" s="466"/>
      <c r="BD2954" s="466"/>
      <c r="BE2954" s="467"/>
      <c r="BF2954" s="467"/>
      <c r="BG2954" s="466"/>
      <c r="BH2954" s="466"/>
      <c r="BI2954" s="467"/>
      <c r="BJ2954" s="467"/>
      <c r="BK2954" s="467"/>
      <c r="BL2954" s="467"/>
      <c r="BM2954" s="467"/>
      <c r="BN2954" s="467"/>
      <c r="BO2954" s="467"/>
      <c r="BP2954" s="467"/>
      <c r="BQ2954" s="467"/>
      <c r="BR2954" s="467"/>
      <c r="BS2954" s="467"/>
      <c r="BT2954" s="467"/>
      <c r="BU2954" s="467"/>
      <c r="BV2954" s="467"/>
      <c r="BW2954" s="467"/>
      <c r="BX2954" s="769"/>
      <c r="BY2954" s="769"/>
      <c r="BZ2954" s="769"/>
      <c r="CA2954" s="769"/>
      <c r="CB2954" s="769"/>
      <c r="CC2954" s="769"/>
      <c r="CD2954" s="769"/>
      <c r="CE2954" s="769"/>
      <c r="CF2954" s="769"/>
      <c r="CG2954" s="73"/>
      <c r="CH2954" s="438"/>
      <c r="CI2954" s="416"/>
      <c r="CJ2954" s="73"/>
      <c r="CK2954" s="650"/>
      <c r="CL2954" s="499"/>
      <c r="CM2954" s="650"/>
      <c r="CR2954" s="416"/>
      <c r="CS2954" s="650"/>
      <c r="CU2954" s="73"/>
      <c r="CV2954" s="73"/>
      <c r="CW2954" s="73"/>
      <c r="CX2954" s="73"/>
      <c r="DA2954" s="650"/>
    </row>
    <row r="2955" spans="1:105" s="45" customFormat="1" x14ac:dyDescent="0.2">
      <c r="A2955" s="650"/>
      <c r="B2955" s="438"/>
      <c r="D2955" s="73"/>
      <c r="E2955" s="650"/>
      <c r="F2955" s="650"/>
      <c r="G2955" s="73"/>
      <c r="I2955" s="111"/>
      <c r="J2955" s="81"/>
      <c r="K2955" s="81"/>
      <c r="L2955" s="499"/>
      <c r="M2955" s="73"/>
      <c r="N2955" s="499"/>
      <c r="O2955" s="73"/>
      <c r="P2955" s="73"/>
      <c r="Q2955" s="73"/>
      <c r="R2955" s="176"/>
      <c r="S2955" s="176"/>
      <c r="T2955" s="176"/>
      <c r="U2955" s="400"/>
      <c r="V2955" s="400"/>
      <c r="W2955" s="732"/>
      <c r="X2955" s="167"/>
      <c r="Y2955" s="509"/>
      <c r="Z2955" s="466"/>
      <c r="AA2955" s="466"/>
      <c r="AB2955" s="466"/>
      <c r="AC2955" s="466"/>
      <c r="AD2955" s="466"/>
      <c r="AE2955" s="466"/>
      <c r="AF2955" s="466"/>
      <c r="AG2955" s="466"/>
      <c r="AH2955" s="466"/>
      <c r="AI2955" s="466"/>
      <c r="AJ2955" s="466"/>
      <c r="AK2955" s="466"/>
      <c r="AL2955" s="466"/>
      <c r="AM2955" s="466"/>
      <c r="AN2955" s="466"/>
      <c r="AO2955" s="466"/>
      <c r="AP2955" s="466"/>
      <c r="AQ2955" s="466"/>
      <c r="AR2955" s="466"/>
      <c r="AS2955" s="466"/>
      <c r="AT2955" s="466"/>
      <c r="AU2955" s="466"/>
      <c r="AV2955" s="466"/>
      <c r="AW2955" s="466"/>
      <c r="AX2955" s="466"/>
      <c r="AY2955" s="466"/>
      <c r="AZ2955" s="466"/>
      <c r="BA2955" s="466"/>
      <c r="BB2955" s="466"/>
      <c r="BC2955" s="466"/>
      <c r="BD2955" s="466"/>
      <c r="BE2955" s="467"/>
      <c r="BF2955" s="467"/>
      <c r="BG2955" s="466"/>
      <c r="BH2955" s="466"/>
      <c r="BI2955" s="467"/>
      <c r="BJ2955" s="467"/>
      <c r="BK2955" s="467"/>
      <c r="BL2955" s="467"/>
      <c r="BM2955" s="467"/>
      <c r="BN2955" s="467"/>
      <c r="BO2955" s="467"/>
      <c r="BP2955" s="467"/>
      <c r="BQ2955" s="467"/>
      <c r="BR2955" s="467"/>
      <c r="BS2955" s="467"/>
      <c r="BT2955" s="467"/>
      <c r="BU2955" s="467"/>
      <c r="BV2955" s="467"/>
      <c r="BW2955" s="467"/>
      <c r="BX2955" s="769"/>
      <c r="BY2955" s="769"/>
      <c r="BZ2955" s="769"/>
      <c r="CA2955" s="769"/>
      <c r="CB2955" s="769"/>
      <c r="CC2955" s="769"/>
      <c r="CD2955" s="769"/>
      <c r="CE2955" s="769"/>
      <c r="CF2955" s="769"/>
      <c r="CG2955" s="73"/>
      <c r="CH2955" s="438"/>
      <c r="CI2955" s="416"/>
      <c r="CJ2955" s="73"/>
      <c r="CK2955" s="650"/>
      <c r="CL2955" s="499"/>
      <c r="CM2955" s="650"/>
      <c r="CR2955" s="416"/>
      <c r="CS2955" s="650"/>
      <c r="CU2955" s="73"/>
      <c r="CV2955" s="73"/>
      <c r="CW2955" s="73"/>
      <c r="CX2955" s="73"/>
      <c r="DA2955" s="650"/>
    </row>
    <row r="2956" spans="1:105" s="45" customFormat="1" x14ac:dyDescent="0.2">
      <c r="A2956" s="650"/>
      <c r="B2956" s="438"/>
      <c r="D2956" s="73"/>
      <c r="E2956" s="650"/>
      <c r="F2956" s="650"/>
      <c r="G2956" s="73"/>
      <c r="I2956" s="111"/>
      <c r="J2956" s="81"/>
      <c r="K2956" s="81"/>
      <c r="L2956" s="499"/>
      <c r="M2956" s="73"/>
      <c r="N2956" s="499"/>
      <c r="O2956" s="73"/>
      <c r="P2956" s="73"/>
      <c r="Q2956" s="73"/>
      <c r="R2956" s="176"/>
      <c r="S2956" s="176"/>
      <c r="T2956" s="176"/>
      <c r="U2956" s="400"/>
      <c r="V2956" s="400"/>
      <c r="W2956" s="732"/>
      <c r="X2956" s="167"/>
      <c r="Y2956" s="509"/>
      <c r="Z2956" s="466"/>
      <c r="AA2956" s="466"/>
      <c r="AB2956" s="466"/>
      <c r="AC2956" s="466"/>
      <c r="AD2956" s="466"/>
      <c r="AE2956" s="466"/>
      <c r="AF2956" s="466"/>
      <c r="AG2956" s="466"/>
      <c r="AH2956" s="466"/>
      <c r="AI2956" s="466"/>
      <c r="AJ2956" s="466"/>
      <c r="AK2956" s="466"/>
      <c r="AL2956" s="466"/>
      <c r="AM2956" s="466"/>
      <c r="AN2956" s="466"/>
      <c r="AO2956" s="466"/>
      <c r="AP2956" s="466"/>
      <c r="AQ2956" s="466"/>
      <c r="AR2956" s="466"/>
      <c r="AS2956" s="466"/>
      <c r="AT2956" s="466"/>
      <c r="AU2956" s="466"/>
      <c r="AV2956" s="466"/>
      <c r="AW2956" s="466"/>
      <c r="AX2956" s="466"/>
      <c r="AY2956" s="466"/>
      <c r="AZ2956" s="466"/>
      <c r="BA2956" s="466"/>
      <c r="BB2956" s="466"/>
      <c r="BC2956" s="466"/>
      <c r="BD2956" s="466"/>
      <c r="BE2956" s="467"/>
      <c r="BF2956" s="467"/>
      <c r="BG2956" s="466"/>
      <c r="BH2956" s="466"/>
      <c r="BI2956" s="467"/>
      <c r="BJ2956" s="467"/>
      <c r="BK2956" s="467"/>
      <c r="BL2956" s="467"/>
      <c r="BM2956" s="467"/>
      <c r="BN2956" s="467"/>
      <c r="BO2956" s="467"/>
      <c r="BP2956" s="467"/>
      <c r="BQ2956" s="467"/>
      <c r="BR2956" s="467"/>
      <c r="BS2956" s="467"/>
      <c r="BT2956" s="467"/>
      <c r="BU2956" s="467"/>
      <c r="BV2956" s="467"/>
      <c r="BW2956" s="467"/>
      <c r="BX2956" s="769"/>
      <c r="BY2956" s="769"/>
      <c r="BZ2956" s="769"/>
      <c r="CA2956" s="769"/>
      <c r="CB2956" s="769"/>
      <c r="CC2956" s="769"/>
      <c r="CD2956" s="769"/>
      <c r="CE2956" s="769"/>
      <c r="CF2956" s="769"/>
      <c r="CG2956" s="73"/>
      <c r="CH2956" s="438"/>
      <c r="CI2956" s="416"/>
      <c r="CJ2956" s="73"/>
      <c r="CK2956" s="650"/>
      <c r="CL2956" s="499"/>
      <c r="CM2956" s="650"/>
      <c r="CR2956" s="416"/>
      <c r="CS2956" s="650"/>
      <c r="CU2956" s="73"/>
      <c r="CV2956" s="73"/>
      <c r="CW2956" s="73"/>
      <c r="CX2956" s="73"/>
      <c r="DA2956" s="650"/>
    </row>
    <row r="2957" spans="1:105" s="45" customFormat="1" x14ac:dyDescent="0.2">
      <c r="A2957" s="650"/>
      <c r="B2957" s="438"/>
      <c r="D2957" s="73"/>
      <c r="E2957" s="650"/>
      <c r="F2957" s="650"/>
      <c r="G2957" s="73"/>
      <c r="I2957" s="111"/>
      <c r="J2957" s="81"/>
      <c r="K2957" s="81"/>
      <c r="L2957" s="499"/>
      <c r="M2957" s="73"/>
      <c r="N2957" s="499"/>
      <c r="O2957" s="73"/>
      <c r="P2957" s="73"/>
      <c r="Q2957" s="73"/>
      <c r="R2957" s="176"/>
      <c r="S2957" s="176"/>
      <c r="T2957" s="176"/>
      <c r="U2957" s="400"/>
      <c r="V2957" s="400"/>
      <c r="W2957" s="732"/>
      <c r="X2957" s="167"/>
      <c r="Y2957" s="509"/>
      <c r="Z2957" s="466"/>
      <c r="AA2957" s="466"/>
      <c r="AB2957" s="466"/>
      <c r="AC2957" s="466"/>
      <c r="AD2957" s="466"/>
      <c r="AE2957" s="466"/>
      <c r="AF2957" s="466"/>
      <c r="AG2957" s="466"/>
      <c r="AH2957" s="466"/>
      <c r="AI2957" s="466"/>
      <c r="AJ2957" s="466"/>
      <c r="AK2957" s="466"/>
      <c r="AL2957" s="466"/>
      <c r="AM2957" s="466"/>
      <c r="AN2957" s="466"/>
      <c r="AO2957" s="466"/>
      <c r="AP2957" s="466"/>
      <c r="AQ2957" s="466"/>
      <c r="AR2957" s="466"/>
      <c r="AS2957" s="466"/>
      <c r="AT2957" s="466"/>
      <c r="AU2957" s="466"/>
      <c r="AV2957" s="466"/>
      <c r="AW2957" s="466"/>
      <c r="AX2957" s="466"/>
      <c r="AY2957" s="466"/>
      <c r="AZ2957" s="466"/>
      <c r="BA2957" s="466"/>
      <c r="BB2957" s="466"/>
      <c r="BC2957" s="466"/>
      <c r="BD2957" s="466"/>
      <c r="BE2957" s="467"/>
      <c r="BF2957" s="467"/>
      <c r="BG2957" s="466"/>
      <c r="BH2957" s="466"/>
      <c r="BI2957" s="467"/>
      <c r="BJ2957" s="467"/>
      <c r="BK2957" s="467"/>
      <c r="BL2957" s="467"/>
      <c r="BM2957" s="467"/>
      <c r="BN2957" s="467"/>
      <c r="BO2957" s="467"/>
      <c r="BP2957" s="467"/>
      <c r="BQ2957" s="467"/>
      <c r="BR2957" s="467"/>
      <c r="BS2957" s="467"/>
      <c r="BT2957" s="467"/>
      <c r="BU2957" s="467"/>
      <c r="BV2957" s="467"/>
      <c r="BW2957" s="467"/>
      <c r="BX2957" s="769"/>
      <c r="BY2957" s="769"/>
      <c r="BZ2957" s="769"/>
      <c r="CA2957" s="769"/>
      <c r="CB2957" s="769"/>
      <c r="CC2957" s="769"/>
      <c r="CD2957" s="769"/>
      <c r="CE2957" s="769"/>
      <c r="CF2957" s="769"/>
      <c r="CG2957" s="73"/>
      <c r="CH2957" s="438"/>
      <c r="CI2957" s="416"/>
      <c r="CJ2957" s="73"/>
      <c r="CK2957" s="650"/>
      <c r="CL2957" s="499"/>
      <c r="CM2957" s="650"/>
      <c r="CR2957" s="416"/>
      <c r="CS2957" s="650"/>
      <c r="CU2957" s="73"/>
      <c r="CV2957" s="73"/>
      <c r="CW2957" s="73"/>
      <c r="CX2957" s="73"/>
      <c r="DA2957" s="650"/>
    </row>
    <row r="2958" spans="1:105" s="45" customFormat="1" x14ac:dyDescent="0.2">
      <c r="A2958" s="650"/>
      <c r="B2958" s="438"/>
      <c r="D2958" s="73"/>
      <c r="E2958" s="650"/>
      <c r="F2958" s="650"/>
      <c r="G2958" s="73"/>
      <c r="I2958" s="111"/>
      <c r="J2958" s="81"/>
      <c r="K2958" s="81"/>
      <c r="L2958" s="499"/>
      <c r="M2958" s="73"/>
      <c r="N2958" s="499"/>
      <c r="O2958" s="73"/>
      <c r="P2958" s="73"/>
      <c r="Q2958" s="73"/>
      <c r="R2958" s="176"/>
      <c r="S2958" s="176"/>
      <c r="T2958" s="176"/>
      <c r="U2958" s="400"/>
      <c r="V2958" s="400"/>
      <c r="W2958" s="732"/>
      <c r="X2958" s="167"/>
      <c r="Y2958" s="509"/>
      <c r="Z2958" s="466"/>
      <c r="AA2958" s="466"/>
      <c r="AB2958" s="466"/>
      <c r="AC2958" s="466"/>
      <c r="AD2958" s="466"/>
      <c r="AE2958" s="466"/>
      <c r="AF2958" s="466"/>
      <c r="AG2958" s="466"/>
      <c r="AH2958" s="466"/>
      <c r="AI2958" s="466"/>
      <c r="AJ2958" s="466"/>
      <c r="AK2958" s="466"/>
      <c r="AL2958" s="466"/>
      <c r="AM2958" s="466"/>
      <c r="AN2958" s="466"/>
      <c r="AO2958" s="466"/>
      <c r="AP2958" s="466"/>
      <c r="AQ2958" s="466"/>
      <c r="AR2958" s="466"/>
      <c r="AS2958" s="466"/>
      <c r="AT2958" s="466"/>
      <c r="AU2958" s="466"/>
      <c r="AV2958" s="466"/>
      <c r="AW2958" s="466"/>
      <c r="AX2958" s="466"/>
      <c r="AY2958" s="466"/>
      <c r="AZ2958" s="466"/>
      <c r="BA2958" s="466"/>
      <c r="BB2958" s="466"/>
      <c r="BC2958" s="466"/>
      <c r="BD2958" s="466"/>
      <c r="BE2958" s="467"/>
      <c r="BF2958" s="467"/>
      <c r="BG2958" s="466"/>
      <c r="BH2958" s="466"/>
      <c r="BI2958" s="467"/>
      <c r="BJ2958" s="467"/>
      <c r="BK2958" s="467"/>
      <c r="BL2958" s="467"/>
      <c r="BM2958" s="467"/>
      <c r="BN2958" s="467"/>
      <c r="BO2958" s="467"/>
      <c r="BP2958" s="467"/>
      <c r="BQ2958" s="467"/>
      <c r="BR2958" s="467"/>
      <c r="BS2958" s="467"/>
      <c r="BT2958" s="467"/>
      <c r="BU2958" s="467"/>
      <c r="BV2958" s="467"/>
      <c r="BW2958" s="467"/>
      <c r="BX2958" s="769"/>
      <c r="BY2958" s="769"/>
      <c r="BZ2958" s="769"/>
      <c r="CA2958" s="769"/>
      <c r="CB2958" s="769"/>
      <c r="CC2958" s="769"/>
      <c r="CD2958" s="769"/>
      <c r="CE2958" s="769"/>
      <c r="CF2958" s="769"/>
      <c r="CG2958" s="73"/>
      <c r="CH2958" s="438"/>
      <c r="CI2958" s="416"/>
      <c r="CJ2958" s="73"/>
      <c r="CK2958" s="650"/>
      <c r="CL2958" s="499"/>
      <c r="CM2958" s="650"/>
      <c r="CR2958" s="416"/>
      <c r="CS2958" s="650"/>
      <c r="CU2958" s="73"/>
      <c r="CV2958" s="73"/>
      <c r="CW2958" s="73"/>
      <c r="CX2958" s="73"/>
      <c r="DA2958" s="650"/>
    </row>
    <row r="2959" spans="1:105" s="45" customFormat="1" x14ac:dyDescent="0.2">
      <c r="A2959" s="650"/>
      <c r="B2959" s="438"/>
      <c r="D2959" s="73"/>
      <c r="E2959" s="650"/>
      <c r="F2959" s="650"/>
      <c r="G2959" s="73"/>
      <c r="I2959" s="111"/>
      <c r="J2959" s="81"/>
      <c r="K2959" s="81"/>
      <c r="L2959" s="499"/>
      <c r="M2959" s="73"/>
      <c r="N2959" s="499"/>
      <c r="O2959" s="73"/>
      <c r="P2959" s="73"/>
      <c r="Q2959" s="73"/>
      <c r="R2959" s="176"/>
      <c r="S2959" s="176"/>
      <c r="T2959" s="176"/>
      <c r="U2959" s="400"/>
      <c r="V2959" s="400"/>
      <c r="W2959" s="732"/>
      <c r="X2959" s="167"/>
      <c r="Y2959" s="509"/>
      <c r="Z2959" s="466"/>
      <c r="AA2959" s="466"/>
      <c r="AB2959" s="466"/>
      <c r="AC2959" s="466"/>
      <c r="AD2959" s="466"/>
      <c r="AE2959" s="466"/>
      <c r="AF2959" s="466"/>
      <c r="AG2959" s="466"/>
      <c r="AH2959" s="466"/>
      <c r="AI2959" s="466"/>
      <c r="AJ2959" s="466"/>
      <c r="AK2959" s="466"/>
      <c r="AL2959" s="466"/>
      <c r="AM2959" s="466"/>
      <c r="AN2959" s="466"/>
      <c r="AO2959" s="466"/>
      <c r="AP2959" s="466"/>
      <c r="AQ2959" s="466"/>
      <c r="AR2959" s="466"/>
      <c r="AS2959" s="466"/>
      <c r="AT2959" s="466"/>
      <c r="AU2959" s="466"/>
      <c r="AV2959" s="466"/>
      <c r="AW2959" s="466"/>
      <c r="AX2959" s="466"/>
      <c r="AY2959" s="466"/>
      <c r="AZ2959" s="466"/>
      <c r="BA2959" s="466"/>
      <c r="BB2959" s="466"/>
      <c r="BC2959" s="466"/>
      <c r="BD2959" s="466"/>
      <c r="BE2959" s="467"/>
      <c r="BF2959" s="467"/>
      <c r="BG2959" s="466"/>
      <c r="BH2959" s="466"/>
      <c r="BI2959" s="467"/>
      <c r="BJ2959" s="467"/>
      <c r="BK2959" s="467"/>
      <c r="BL2959" s="467"/>
      <c r="BM2959" s="467"/>
      <c r="BN2959" s="467"/>
      <c r="BO2959" s="467"/>
      <c r="BP2959" s="467"/>
      <c r="BQ2959" s="467"/>
      <c r="BR2959" s="467"/>
      <c r="BS2959" s="467"/>
      <c r="BT2959" s="467"/>
      <c r="BU2959" s="467"/>
      <c r="BV2959" s="467"/>
      <c r="BW2959" s="467"/>
      <c r="BX2959" s="769"/>
      <c r="BY2959" s="769"/>
      <c r="BZ2959" s="769"/>
      <c r="CA2959" s="769"/>
      <c r="CB2959" s="769"/>
      <c r="CC2959" s="769"/>
      <c r="CD2959" s="769"/>
      <c r="CE2959" s="769"/>
      <c r="CF2959" s="769"/>
      <c r="CG2959" s="73"/>
      <c r="CH2959" s="438"/>
      <c r="CI2959" s="416"/>
      <c r="CJ2959" s="73"/>
      <c r="CK2959" s="650"/>
      <c r="CL2959" s="499"/>
      <c r="CM2959" s="650"/>
      <c r="CR2959" s="416"/>
      <c r="CS2959" s="650"/>
      <c r="CU2959" s="73"/>
      <c r="CV2959" s="73"/>
      <c r="CW2959" s="73"/>
      <c r="CX2959" s="73"/>
      <c r="DA2959" s="650"/>
    </row>
    <row r="2960" spans="1:105" s="45" customFormat="1" x14ac:dyDescent="0.2">
      <c r="A2960" s="650"/>
      <c r="B2960" s="438"/>
      <c r="D2960" s="73"/>
      <c r="E2960" s="650"/>
      <c r="F2960" s="650"/>
      <c r="G2960" s="73"/>
      <c r="I2960" s="111"/>
      <c r="J2960" s="81"/>
      <c r="K2960" s="81"/>
      <c r="L2960" s="499"/>
      <c r="M2960" s="73"/>
      <c r="N2960" s="499"/>
      <c r="O2960" s="73"/>
      <c r="P2960" s="73"/>
      <c r="Q2960" s="73"/>
      <c r="R2960" s="176"/>
      <c r="S2960" s="176"/>
      <c r="T2960" s="176"/>
      <c r="U2960" s="400"/>
      <c r="V2960" s="400"/>
      <c r="W2960" s="732"/>
      <c r="X2960" s="167"/>
      <c r="Y2960" s="509"/>
      <c r="Z2960" s="466"/>
      <c r="AA2960" s="466"/>
      <c r="AB2960" s="466"/>
      <c r="AC2960" s="466"/>
      <c r="AD2960" s="466"/>
      <c r="AE2960" s="466"/>
      <c r="AF2960" s="466"/>
      <c r="AG2960" s="466"/>
      <c r="AH2960" s="466"/>
      <c r="AI2960" s="466"/>
      <c r="AJ2960" s="466"/>
      <c r="AK2960" s="466"/>
      <c r="AL2960" s="466"/>
      <c r="AM2960" s="466"/>
      <c r="AN2960" s="466"/>
      <c r="AO2960" s="466"/>
      <c r="AP2960" s="466"/>
      <c r="AQ2960" s="466"/>
      <c r="AR2960" s="466"/>
      <c r="AS2960" s="466"/>
      <c r="AT2960" s="466"/>
      <c r="AU2960" s="466"/>
      <c r="AV2960" s="466"/>
      <c r="AW2960" s="466"/>
      <c r="AX2960" s="466"/>
      <c r="AY2960" s="466"/>
      <c r="AZ2960" s="466"/>
      <c r="BA2960" s="466"/>
      <c r="BB2960" s="466"/>
      <c r="BC2960" s="466"/>
      <c r="BD2960" s="466"/>
      <c r="BE2960" s="467"/>
      <c r="BF2960" s="467"/>
      <c r="BG2960" s="466"/>
      <c r="BH2960" s="466"/>
      <c r="BI2960" s="467"/>
      <c r="BJ2960" s="467"/>
      <c r="BK2960" s="467"/>
      <c r="BL2960" s="467"/>
      <c r="BM2960" s="467"/>
      <c r="BN2960" s="467"/>
      <c r="BO2960" s="467"/>
      <c r="BP2960" s="467"/>
      <c r="BQ2960" s="467"/>
      <c r="BR2960" s="467"/>
      <c r="BS2960" s="467"/>
      <c r="BT2960" s="467"/>
      <c r="BU2960" s="467"/>
      <c r="BV2960" s="467"/>
      <c r="BW2960" s="467"/>
      <c r="BX2960" s="769"/>
      <c r="BY2960" s="769"/>
      <c r="BZ2960" s="769"/>
      <c r="CA2960" s="769"/>
      <c r="CB2960" s="769"/>
      <c r="CC2960" s="769"/>
      <c r="CD2960" s="769"/>
      <c r="CE2960" s="769"/>
      <c r="CF2960" s="769"/>
      <c r="CG2960" s="73"/>
      <c r="CH2960" s="438"/>
      <c r="CI2960" s="416"/>
      <c r="CJ2960" s="73"/>
      <c r="CK2960" s="650"/>
      <c r="CL2960" s="499"/>
      <c r="CM2960" s="650"/>
      <c r="CR2960" s="416"/>
      <c r="CS2960" s="650"/>
      <c r="CU2960" s="73"/>
      <c r="CV2960" s="73"/>
      <c r="CW2960" s="73"/>
      <c r="CX2960" s="73"/>
      <c r="DA2960" s="650"/>
    </row>
    <row r="2961" spans="1:105" s="45" customFormat="1" x14ac:dyDescent="0.2">
      <c r="A2961" s="650"/>
      <c r="B2961" s="438"/>
      <c r="D2961" s="73"/>
      <c r="E2961" s="650"/>
      <c r="F2961" s="650"/>
      <c r="G2961" s="73"/>
      <c r="I2961" s="111"/>
      <c r="J2961" s="81"/>
      <c r="K2961" s="81"/>
      <c r="L2961" s="499"/>
      <c r="M2961" s="73"/>
      <c r="N2961" s="499"/>
      <c r="O2961" s="73"/>
      <c r="P2961" s="73"/>
      <c r="Q2961" s="73"/>
      <c r="R2961" s="176"/>
      <c r="S2961" s="176"/>
      <c r="T2961" s="176"/>
      <c r="U2961" s="400"/>
      <c r="V2961" s="400"/>
      <c r="W2961" s="732"/>
      <c r="X2961" s="167"/>
      <c r="Y2961" s="509"/>
      <c r="Z2961" s="466"/>
      <c r="AA2961" s="466"/>
      <c r="AB2961" s="466"/>
      <c r="AC2961" s="466"/>
      <c r="AD2961" s="466"/>
      <c r="AE2961" s="466"/>
      <c r="AF2961" s="466"/>
      <c r="AG2961" s="466"/>
      <c r="AH2961" s="466"/>
      <c r="AI2961" s="466"/>
      <c r="AJ2961" s="466"/>
      <c r="AK2961" s="466"/>
      <c r="AL2961" s="466"/>
      <c r="AM2961" s="466"/>
      <c r="AN2961" s="466"/>
      <c r="AO2961" s="466"/>
      <c r="AP2961" s="466"/>
      <c r="AQ2961" s="466"/>
      <c r="AR2961" s="466"/>
      <c r="AS2961" s="466"/>
      <c r="AT2961" s="466"/>
      <c r="AU2961" s="466"/>
      <c r="AV2961" s="466"/>
      <c r="AW2961" s="466"/>
      <c r="AX2961" s="466"/>
      <c r="AY2961" s="466"/>
      <c r="AZ2961" s="466"/>
      <c r="BA2961" s="466"/>
      <c r="BB2961" s="466"/>
      <c r="BC2961" s="466"/>
      <c r="BD2961" s="466"/>
      <c r="BE2961" s="467"/>
      <c r="BF2961" s="467"/>
      <c r="BG2961" s="466"/>
      <c r="BH2961" s="466"/>
      <c r="BI2961" s="467"/>
      <c r="BJ2961" s="467"/>
      <c r="BK2961" s="467"/>
      <c r="BL2961" s="467"/>
      <c r="BM2961" s="467"/>
      <c r="BN2961" s="467"/>
      <c r="BO2961" s="467"/>
      <c r="BP2961" s="467"/>
      <c r="BQ2961" s="467"/>
      <c r="BR2961" s="467"/>
      <c r="BS2961" s="467"/>
      <c r="BT2961" s="467"/>
      <c r="BU2961" s="467"/>
      <c r="BV2961" s="467"/>
      <c r="BW2961" s="467"/>
      <c r="BX2961" s="769"/>
      <c r="BY2961" s="769"/>
      <c r="BZ2961" s="769"/>
      <c r="CA2961" s="769"/>
      <c r="CB2961" s="769"/>
      <c r="CC2961" s="769"/>
      <c r="CD2961" s="769"/>
      <c r="CE2961" s="769"/>
      <c r="CF2961" s="769"/>
      <c r="CG2961" s="73"/>
      <c r="CH2961" s="438"/>
      <c r="CI2961" s="416"/>
      <c r="CJ2961" s="73"/>
      <c r="CK2961" s="650"/>
      <c r="CL2961" s="499"/>
      <c r="CM2961" s="650"/>
      <c r="CR2961" s="416"/>
      <c r="CS2961" s="650"/>
      <c r="CU2961" s="73"/>
      <c r="CV2961" s="73"/>
      <c r="CW2961" s="73"/>
      <c r="CX2961" s="73"/>
      <c r="DA2961" s="650"/>
    </row>
    <row r="2962" spans="1:105" s="45" customFormat="1" x14ac:dyDescent="0.2">
      <c r="A2962" s="650"/>
      <c r="B2962" s="438"/>
      <c r="D2962" s="73"/>
      <c r="E2962" s="650"/>
      <c r="F2962" s="650"/>
      <c r="G2962" s="73"/>
      <c r="I2962" s="111"/>
      <c r="J2962" s="81"/>
      <c r="K2962" s="81"/>
      <c r="L2962" s="499"/>
      <c r="M2962" s="73"/>
      <c r="N2962" s="499"/>
      <c r="O2962" s="73"/>
      <c r="P2962" s="73"/>
      <c r="Q2962" s="73"/>
      <c r="R2962" s="176"/>
      <c r="S2962" s="176"/>
      <c r="T2962" s="176"/>
      <c r="U2962" s="400"/>
      <c r="V2962" s="400"/>
      <c r="W2962" s="732"/>
      <c r="X2962" s="167"/>
      <c r="Y2962" s="509"/>
      <c r="Z2962" s="466"/>
      <c r="AA2962" s="466"/>
      <c r="AB2962" s="466"/>
      <c r="AC2962" s="466"/>
      <c r="AD2962" s="466"/>
      <c r="AE2962" s="466"/>
      <c r="AF2962" s="466"/>
      <c r="AG2962" s="466"/>
      <c r="AH2962" s="466"/>
      <c r="AI2962" s="466"/>
      <c r="AJ2962" s="466"/>
      <c r="AK2962" s="466"/>
      <c r="AL2962" s="466"/>
      <c r="AM2962" s="466"/>
      <c r="AN2962" s="466"/>
      <c r="AO2962" s="466"/>
      <c r="AP2962" s="466"/>
      <c r="AQ2962" s="466"/>
      <c r="AR2962" s="466"/>
      <c r="AS2962" s="466"/>
      <c r="AT2962" s="466"/>
      <c r="AU2962" s="466"/>
      <c r="AV2962" s="466"/>
      <c r="AW2962" s="466"/>
      <c r="AX2962" s="466"/>
      <c r="AY2962" s="466"/>
      <c r="AZ2962" s="466"/>
      <c r="BA2962" s="466"/>
      <c r="BB2962" s="466"/>
      <c r="BC2962" s="466"/>
      <c r="BD2962" s="466"/>
      <c r="BE2962" s="467"/>
      <c r="BF2962" s="467"/>
      <c r="BG2962" s="466"/>
      <c r="BH2962" s="466"/>
      <c r="BI2962" s="467"/>
      <c r="BJ2962" s="467"/>
      <c r="BK2962" s="467"/>
      <c r="BL2962" s="467"/>
      <c r="BM2962" s="467"/>
      <c r="BN2962" s="467"/>
      <c r="BO2962" s="467"/>
      <c r="BP2962" s="467"/>
      <c r="BQ2962" s="467"/>
      <c r="BR2962" s="467"/>
      <c r="BS2962" s="467"/>
      <c r="BT2962" s="467"/>
      <c r="BU2962" s="467"/>
      <c r="BV2962" s="467"/>
      <c r="BW2962" s="467"/>
      <c r="BX2962" s="769"/>
      <c r="BY2962" s="769"/>
      <c r="BZ2962" s="769"/>
      <c r="CA2962" s="769"/>
      <c r="CB2962" s="769"/>
      <c r="CC2962" s="769"/>
      <c r="CD2962" s="769"/>
      <c r="CE2962" s="769"/>
      <c r="CF2962" s="769"/>
      <c r="CG2962" s="73"/>
      <c r="CH2962" s="438"/>
      <c r="CI2962" s="416"/>
      <c r="CJ2962" s="73"/>
      <c r="CK2962" s="650"/>
      <c r="CL2962" s="499"/>
      <c r="CM2962" s="650"/>
      <c r="CR2962" s="416"/>
      <c r="CS2962" s="650"/>
      <c r="CU2962" s="73"/>
      <c r="CV2962" s="73"/>
      <c r="CW2962" s="73"/>
      <c r="CX2962" s="73"/>
      <c r="DA2962" s="650"/>
    </row>
    <row r="2963" spans="1:105" s="45" customFormat="1" x14ac:dyDescent="0.2">
      <c r="A2963" s="650"/>
      <c r="B2963" s="438"/>
      <c r="D2963" s="73"/>
      <c r="E2963" s="650"/>
      <c r="F2963" s="650"/>
      <c r="G2963" s="73"/>
      <c r="I2963" s="111"/>
      <c r="J2963" s="81"/>
      <c r="K2963" s="81"/>
      <c r="L2963" s="499"/>
      <c r="M2963" s="73"/>
      <c r="N2963" s="499"/>
      <c r="O2963" s="73"/>
      <c r="P2963" s="73"/>
      <c r="Q2963" s="73"/>
      <c r="R2963" s="176"/>
      <c r="S2963" s="176"/>
      <c r="T2963" s="176"/>
      <c r="U2963" s="400"/>
      <c r="V2963" s="400"/>
      <c r="W2963" s="732"/>
      <c r="X2963" s="167"/>
      <c r="Y2963" s="509"/>
      <c r="Z2963" s="466"/>
      <c r="AA2963" s="466"/>
      <c r="AB2963" s="466"/>
      <c r="AC2963" s="466"/>
      <c r="AD2963" s="466"/>
      <c r="AE2963" s="466"/>
      <c r="AF2963" s="466"/>
      <c r="AG2963" s="466"/>
      <c r="AH2963" s="466"/>
      <c r="AI2963" s="466"/>
      <c r="AJ2963" s="466"/>
      <c r="AK2963" s="466"/>
      <c r="AL2963" s="466"/>
      <c r="AM2963" s="466"/>
      <c r="AN2963" s="466"/>
      <c r="AO2963" s="466"/>
      <c r="AP2963" s="466"/>
      <c r="AQ2963" s="466"/>
      <c r="AR2963" s="466"/>
      <c r="AS2963" s="466"/>
      <c r="AT2963" s="466"/>
      <c r="AU2963" s="466"/>
      <c r="AV2963" s="466"/>
      <c r="AW2963" s="466"/>
      <c r="AX2963" s="466"/>
      <c r="AY2963" s="466"/>
      <c r="AZ2963" s="466"/>
      <c r="BA2963" s="466"/>
      <c r="BB2963" s="466"/>
      <c r="BC2963" s="466"/>
      <c r="BD2963" s="466"/>
      <c r="BE2963" s="467"/>
      <c r="BF2963" s="467"/>
      <c r="BG2963" s="466"/>
      <c r="BH2963" s="466"/>
      <c r="BI2963" s="467"/>
      <c r="BJ2963" s="467"/>
      <c r="BK2963" s="467"/>
      <c r="BL2963" s="467"/>
      <c r="BM2963" s="467"/>
      <c r="BN2963" s="467"/>
      <c r="BO2963" s="467"/>
      <c r="BP2963" s="467"/>
      <c r="BQ2963" s="467"/>
      <c r="BR2963" s="467"/>
      <c r="BS2963" s="467"/>
      <c r="BT2963" s="467"/>
      <c r="BU2963" s="467"/>
      <c r="BV2963" s="467"/>
      <c r="BW2963" s="467"/>
      <c r="BX2963" s="769"/>
      <c r="BY2963" s="769"/>
      <c r="BZ2963" s="769"/>
      <c r="CA2963" s="769"/>
      <c r="CB2963" s="769"/>
      <c r="CC2963" s="769"/>
      <c r="CD2963" s="769"/>
      <c r="CE2963" s="769"/>
      <c r="CF2963" s="769"/>
      <c r="CG2963" s="73"/>
      <c r="CH2963" s="438"/>
      <c r="CI2963" s="416"/>
      <c r="CJ2963" s="73"/>
      <c r="CK2963" s="650"/>
      <c r="CL2963" s="499"/>
      <c r="CM2963" s="650"/>
      <c r="CR2963" s="416"/>
      <c r="CS2963" s="650"/>
      <c r="CU2963" s="73"/>
      <c r="CV2963" s="73"/>
      <c r="CW2963" s="73"/>
      <c r="CX2963" s="73"/>
      <c r="DA2963" s="650"/>
    </row>
    <row r="2964" spans="1:105" s="45" customFormat="1" x14ac:dyDescent="0.2">
      <c r="A2964" s="650"/>
      <c r="B2964" s="438"/>
      <c r="D2964" s="73"/>
      <c r="E2964" s="650"/>
      <c r="F2964" s="650"/>
      <c r="G2964" s="73"/>
      <c r="I2964" s="111"/>
      <c r="J2964" s="81"/>
      <c r="K2964" s="81"/>
      <c r="L2964" s="499"/>
      <c r="M2964" s="73"/>
      <c r="N2964" s="499"/>
      <c r="O2964" s="73"/>
      <c r="P2964" s="73"/>
      <c r="Q2964" s="73"/>
      <c r="R2964" s="176"/>
      <c r="S2964" s="176"/>
      <c r="T2964" s="176"/>
      <c r="U2964" s="400"/>
      <c r="V2964" s="400"/>
      <c r="W2964" s="732"/>
      <c r="X2964" s="167"/>
      <c r="Y2964" s="509"/>
      <c r="Z2964" s="466"/>
      <c r="AA2964" s="466"/>
      <c r="AB2964" s="466"/>
      <c r="AC2964" s="466"/>
      <c r="AD2964" s="466"/>
      <c r="AE2964" s="466"/>
      <c r="AF2964" s="466"/>
      <c r="AG2964" s="466"/>
      <c r="AH2964" s="466"/>
      <c r="AI2964" s="466"/>
      <c r="AJ2964" s="466"/>
      <c r="AK2964" s="466"/>
      <c r="AL2964" s="466"/>
      <c r="AM2964" s="466"/>
      <c r="AN2964" s="466"/>
      <c r="AO2964" s="466"/>
      <c r="AP2964" s="466"/>
      <c r="AQ2964" s="466"/>
      <c r="AR2964" s="466"/>
      <c r="AS2964" s="466"/>
      <c r="AT2964" s="466"/>
      <c r="AU2964" s="466"/>
      <c r="AV2964" s="466"/>
      <c r="AW2964" s="466"/>
      <c r="AX2964" s="466"/>
      <c r="AY2964" s="466"/>
      <c r="AZ2964" s="466"/>
      <c r="BA2964" s="466"/>
      <c r="BB2964" s="466"/>
      <c r="BC2964" s="466"/>
      <c r="BD2964" s="466"/>
      <c r="BE2964" s="467"/>
      <c r="BF2964" s="467"/>
      <c r="BG2964" s="466"/>
      <c r="BH2964" s="466"/>
      <c r="BI2964" s="467"/>
      <c r="BJ2964" s="467"/>
      <c r="BK2964" s="467"/>
      <c r="BL2964" s="467"/>
      <c r="BM2964" s="467"/>
      <c r="BN2964" s="467"/>
      <c r="BO2964" s="467"/>
      <c r="BP2964" s="467"/>
      <c r="BQ2964" s="467"/>
      <c r="BR2964" s="467"/>
      <c r="BS2964" s="467"/>
      <c r="BT2964" s="467"/>
      <c r="BU2964" s="467"/>
      <c r="BV2964" s="467"/>
      <c r="BW2964" s="467"/>
      <c r="BX2964" s="769"/>
      <c r="BY2964" s="769"/>
      <c r="BZ2964" s="769"/>
      <c r="CA2964" s="769"/>
      <c r="CB2964" s="769"/>
      <c r="CC2964" s="769"/>
      <c r="CD2964" s="769"/>
      <c r="CE2964" s="769"/>
      <c r="CF2964" s="769"/>
      <c r="CG2964" s="73"/>
      <c r="CH2964" s="438"/>
      <c r="CI2964" s="416"/>
      <c r="CJ2964" s="73"/>
      <c r="CK2964" s="650"/>
      <c r="CL2964" s="499"/>
      <c r="CM2964" s="650"/>
      <c r="CR2964" s="416"/>
      <c r="CS2964" s="650"/>
      <c r="CU2964" s="73"/>
      <c r="CV2964" s="73"/>
      <c r="CW2964" s="73"/>
      <c r="CX2964" s="73"/>
      <c r="DA2964" s="650"/>
    </row>
    <row r="2965" spans="1:105" s="45" customFormat="1" x14ac:dyDescent="0.2">
      <c r="A2965" s="650"/>
      <c r="B2965" s="438"/>
      <c r="D2965" s="73"/>
      <c r="E2965" s="650"/>
      <c r="F2965" s="650"/>
      <c r="G2965" s="73"/>
      <c r="I2965" s="111"/>
      <c r="J2965" s="81"/>
      <c r="K2965" s="81"/>
      <c r="L2965" s="499"/>
      <c r="M2965" s="73"/>
      <c r="N2965" s="499"/>
      <c r="O2965" s="73"/>
      <c r="P2965" s="73"/>
      <c r="Q2965" s="73"/>
      <c r="R2965" s="176"/>
      <c r="S2965" s="176"/>
      <c r="T2965" s="176"/>
      <c r="U2965" s="400"/>
      <c r="V2965" s="400"/>
      <c r="W2965" s="732"/>
      <c r="X2965" s="167"/>
      <c r="Y2965" s="509"/>
      <c r="Z2965" s="466"/>
      <c r="AA2965" s="466"/>
      <c r="AB2965" s="466"/>
      <c r="AC2965" s="466"/>
      <c r="AD2965" s="466"/>
      <c r="AE2965" s="466"/>
      <c r="AF2965" s="466"/>
      <c r="AG2965" s="466"/>
      <c r="AH2965" s="466"/>
      <c r="AI2965" s="466"/>
      <c r="AJ2965" s="466"/>
      <c r="AK2965" s="466"/>
      <c r="AL2965" s="466"/>
      <c r="AM2965" s="466"/>
      <c r="AN2965" s="466"/>
      <c r="AO2965" s="466"/>
      <c r="AP2965" s="466"/>
      <c r="AQ2965" s="466"/>
      <c r="AR2965" s="466"/>
      <c r="AS2965" s="466"/>
      <c r="AT2965" s="466"/>
      <c r="AU2965" s="466"/>
      <c r="AV2965" s="466"/>
      <c r="AW2965" s="466"/>
      <c r="AX2965" s="466"/>
      <c r="AY2965" s="466"/>
      <c r="AZ2965" s="466"/>
      <c r="BA2965" s="466"/>
      <c r="BB2965" s="466"/>
      <c r="BC2965" s="466"/>
      <c r="BD2965" s="466"/>
      <c r="BE2965" s="467"/>
      <c r="BF2965" s="467"/>
      <c r="BG2965" s="466"/>
      <c r="BH2965" s="466"/>
      <c r="BI2965" s="467"/>
      <c r="BJ2965" s="467"/>
      <c r="BK2965" s="467"/>
      <c r="BL2965" s="467"/>
      <c r="BM2965" s="467"/>
      <c r="BN2965" s="467"/>
      <c r="BO2965" s="467"/>
      <c r="BP2965" s="467"/>
      <c r="BQ2965" s="467"/>
      <c r="BR2965" s="467"/>
      <c r="BS2965" s="467"/>
      <c r="BT2965" s="467"/>
      <c r="BU2965" s="467"/>
      <c r="BV2965" s="467"/>
      <c r="BW2965" s="467"/>
      <c r="BX2965" s="769"/>
      <c r="BY2965" s="769"/>
      <c r="BZ2965" s="769"/>
      <c r="CA2965" s="769"/>
      <c r="CB2965" s="769"/>
      <c r="CC2965" s="769"/>
      <c r="CD2965" s="769"/>
      <c r="CE2965" s="769"/>
      <c r="CF2965" s="769"/>
      <c r="CG2965" s="73"/>
      <c r="CH2965" s="438"/>
      <c r="CI2965" s="416"/>
      <c r="CJ2965" s="73"/>
      <c r="CK2965" s="650"/>
      <c r="CL2965" s="499"/>
      <c r="CM2965" s="650"/>
      <c r="CR2965" s="416"/>
      <c r="CS2965" s="650"/>
      <c r="CU2965" s="73"/>
      <c r="CV2965" s="73"/>
      <c r="CW2965" s="73"/>
      <c r="CX2965" s="73"/>
      <c r="DA2965" s="650"/>
    </row>
    <row r="2966" spans="1:105" s="45" customFormat="1" x14ac:dyDescent="0.2">
      <c r="A2966" s="650"/>
      <c r="B2966" s="438"/>
      <c r="D2966" s="73"/>
      <c r="E2966" s="650"/>
      <c r="F2966" s="650"/>
      <c r="G2966" s="73"/>
      <c r="I2966" s="111"/>
      <c r="J2966" s="81"/>
      <c r="K2966" s="81"/>
      <c r="L2966" s="499"/>
      <c r="M2966" s="73"/>
      <c r="N2966" s="499"/>
      <c r="O2966" s="73"/>
      <c r="P2966" s="73"/>
      <c r="Q2966" s="73"/>
      <c r="R2966" s="176"/>
      <c r="S2966" s="176"/>
      <c r="T2966" s="176"/>
      <c r="U2966" s="400"/>
      <c r="V2966" s="400"/>
      <c r="W2966" s="732"/>
      <c r="X2966" s="167"/>
      <c r="Y2966" s="509"/>
      <c r="Z2966" s="466"/>
      <c r="AA2966" s="466"/>
      <c r="AB2966" s="466"/>
      <c r="AC2966" s="466"/>
      <c r="AD2966" s="466"/>
      <c r="AE2966" s="466"/>
      <c r="AF2966" s="466"/>
      <c r="AG2966" s="466"/>
      <c r="AH2966" s="466"/>
      <c r="AI2966" s="466"/>
      <c r="AJ2966" s="466"/>
      <c r="AK2966" s="466"/>
      <c r="AL2966" s="466"/>
      <c r="AM2966" s="466"/>
      <c r="AN2966" s="466"/>
      <c r="AO2966" s="466"/>
      <c r="AP2966" s="466"/>
      <c r="AQ2966" s="466"/>
      <c r="AR2966" s="466"/>
      <c r="AS2966" s="466"/>
      <c r="AT2966" s="466"/>
      <c r="AU2966" s="466"/>
      <c r="AV2966" s="466"/>
      <c r="AW2966" s="466"/>
      <c r="AX2966" s="466"/>
      <c r="AY2966" s="466"/>
      <c r="AZ2966" s="466"/>
      <c r="BA2966" s="466"/>
      <c r="BB2966" s="466"/>
      <c r="BC2966" s="466"/>
      <c r="BD2966" s="466"/>
      <c r="BE2966" s="467"/>
      <c r="BF2966" s="467"/>
      <c r="BG2966" s="466"/>
      <c r="BH2966" s="466"/>
      <c r="BI2966" s="467"/>
      <c r="BJ2966" s="467"/>
      <c r="BK2966" s="467"/>
      <c r="BL2966" s="467"/>
      <c r="BM2966" s="467"/>
      <c r="BN2966" s="467"/>
      <c r="BO2966" s="467"/>
      <c r="BP2966" s="467"/>
      <c r="BQ2966" s="467"/>
      <c r="BR2966" s="467"/>
      <c r="BS2966" s="467"/>
      <c r="BT2966" s="467"/>
      <c r="BU2966" s="467"/>
      <c r="BV2966" s="467"/>
      <c r="BW2966" s="467"/>
      <c r="BX2966" s="769"/>
      <c r="BY2966" s="769"/>
      <c r="BZ2966" s="769"/>
      <c r="CA2966" s="769"/>
      <c r="CB2966" s="769"/>
      <c r="CC2966" s="769"/>
      <c r="CD2966" s="769"/>
      <c r="CE2966" s="769"/>
      <c r="CF2966" s="769"/>
      <c r="CG2966" s="73"/>
      <c r="CH2966" s="438"/>
      <c r="CI2966" s="416"/>
      <c r="CJ2966" s="73"/>
      <c r="CK2966" s="650"/>
      <c r="CL2966" s="499"/>
      <c r="CM2966" s="650"/>
      <c r="CR2966" s="416"/>
      <c r="CS2966" s="650"/>
      <c r="CU2966" s="73"/>
      <c r="CV2966" s="73"/>
      <c r="CW2966" s="73"/>
      <c r="CX2966" s="73"/>
      <c r="DA2966" s="650"/>
    </row>
    <row r="2967" spans="1:105" s="45" customFormat="1" x14ac:dyDescent="0.2">
      <c r="A2967" s="650"/>
      <c r="B2967" s="438"/>
      <c r="D2967" s="73"/>
      <c r="E2967" s="650"/>
      <c r="F2967" s="650"/>
      <c r="G2967" s="73"/>
      <c r="I2967" s="111"/>
      <c r="J2967" s="81"/>
      <c r="K2967" s="81"/>
      <c r="L2967" s="499"/>
      <c r="M2967" s="73"/>
      <c r="N2967" s="499"/>
      <c r="O2967" s="73"/>
      <c r="P2967" s="73"/>
      <c r="Q2967" s="73"/>
      <c r="R2967" s="176"/>
      <c r="S2967" s="176"/>
      <c r="T2967" s="176"/>
      <c r="U2967" s="400"/>
      <c r="V2967" s="400"/>
      <c r="W2967" s="732"/>
      <c r="X2967" s="167"/>
      <c r="Y2967" s="509"/>
      <c r="Z2967" s="466"/>
      <c r="AA2967" s="466"/>
      <c r="AB2967" s="466"/>
      <c r="AC2967" s="466"/>
      <c r="AD2967" s="466"/>
      <c r="AE2967" s="466"/>
      <c r="AF2967" s="466"/>
      <c r="AG2967" s="466"/>
      <c r="AH2967" s="466"/>
      <c r="AI2967" s="466"/>
      <c r="AJ2967" s="466"/>
      <c r="AK2967" s="466"/>
      <c r="AL2967" s="466"/>
      <c r="AM2967" s="466"/>
      <c r="AN2967" s="466"/>
      <c r="AO2967" s="466"/>
      <c r="AP2967" s="466"/>
      <c r="AQ2967" s="466"/>
      <c r="AR2967" s="466"/>
      <c r="AS2967" s="466"/>
      <c r="AT2967" s="466"/>
      <c r="AU2967" s="466"/>
      <c r="AV2967" s="466"/>
      <c r="AW2967" s="466"/>
      <c r="AX2967" s="466"/>
      <c r="AY2967" s="466"/>
      <c r="AZ2967" s="466"/>
      <c r="BA2967" s="466"/>
      <c r="BB2967" s="466"/>
      <c r="BC2967" s="466"/>
      <c r="BD2967" s="466"/>
      <c r="BE2967" s="467"/>
      <c r="BF2967" s="467"/>
      <c r="BG2967" s="466"/>
      <c r="BH2967" s="466"/>
      <c r="BI2967" s="467"/>
      <c r="BJ2967" s="467"/>
      <c r="BK2967" s="467"/>
      <c r="BL2967" s="467"/>
      <c r="BM2967" s="467"/>
      <c r="BN2967" s="467"/>
      <c r="BO2967" s="467"/>
      <c r="BP2967" s="467"/>
      <c r="BQ2967" s="467"/>
      <c r="BR2967" s="467"/>
      <c r="BS2967" s="467"/>
      <c r="BT2967" s="467"/>
      <c r="BU2967" s="467"/>
      <c r="BV2967" s="467"/>
      <c r="BW2967" s="467"/>
      <c r="BX2967" s="769"/>
      <c r="BY2967" s="769"/>
      <c r="BZ2967" s="769"/>
      <c r="CA2967" s="769"/>
      <c r="CB2967" s="769"/>
      <c r="CC2967" s="769"/>
      <c r="CD2967" s="769"/>
      <c r="CE2967" s="769"/>
      <c r="CF2967" s="769"/>
      <c r="CG2967" s="73"/>
      <c r="CH2967" s="438"/>
      <c r="CI2967" s="416"/>
      <c r="CJ2967" s="73"/>
      <c r="CK2967" s="650"/>
      <c r="CL2967" s="499"/>
      <c r="CM2967" s="650"/>
      <c r="CR2967" s="416"/>
      <c r="CS2967" s="650"/>
      <c r="CU2967" s="73"/>
      <c r="CV2967" s="73"/>
      <c r="CW2967" s="73"/>
      <c r="CX2967" s="73"/>
      <c r="DA2967" s="650"/>
    </row>
    <row r="2968" spans="1:105" s="45" customFormat="1" x14ac:dyDescent="0.2">
      <c r="A2968" s="650"/>
      <c r="B2968" s="438"/>
      <c r="D2968" s="73"/>
      <c r="E2968" s="650"/>
      <c r="F2968" s="650"/>
      <c r="G2968" s="73"/>
      <c r="I2968" s="111"/>
      <c r="J2968" s="81"/>
      <c r="K2968" s="81"/>
      <c r="L2968" s="499"/>
      <c r="M2968" s="73"/>
      <c r="N2968" s="499"/>
      <c r="O2968" s="73"/>
      <c r="P2968" s="73"/>
      <c r="Q2968" s="73"/>
      <c r="R2968" s="176"/>
      <c r="S2968" s="176"/>
      <c r="T2968" s="176"/>
      <c r="U2968" s="400"/>
      <c r="V2968" s="400"/>
      <c r="W2968" s="732"/>
      <c r="X2968" s="167"/>
      <c r="Y2968" s="509"/>
      <c r="Z2968" s="466"/>
      <c r="AA2968" s="466"/>
      <c r="AB2968" s="466"/>
      <c r="AC2968" s="466"/>
      <c r="AD2968" s="466"/>
      <c r="AE2968" s="466"/>
      <c r="AF2968" s="466"/>
      <c r="AG2968" s="466"/>
      <c r="AH2968" s="466"/>
      <c r="AI2968" s="466"/>
      <c r="AJ2968" s="466"/>
      <c r="AK2968" s="466"/>
      <c r="AL2968" s="466"/>
      <c r="AM2968" s="466"/>
      <c r="AN2968" s="466"/>
      <c r="AO2968" s="466"/>
      <c r="AP2968" s="466"/>
      <c r="AQ2968" s="466"/>
      <c r="AR2968" s="466"/>
      <c r="AS2968" s="466"/>
      <c r="AT2968" s="466"/>
      <c r="AU2968" s="466"/>
      <c r="AV2968" s="466"/>
      <c r="AW2968" s="466"/>
      <c r="AX2968" s="466"/>
      <c r="AY2968" s="466"/>
      <c r="AZ2968" s="466"/>
      <c r="BA2968" s="466"/>
      <c r="BB2968" s="466"/>
      <c r="BC2968" s="466"/>
      <c r="BD2968" s="466"/>
      <c r="BE2968" s="467"/>
      <c r="BF2968" s="467"/>
      <c r="BG2968" s="466"/>
      <c r="BH2968" s="466"/>
      <c r="BI2968" s="467"/>
      <c r="BJ2968" s="467"/>
      <c r="BK2968" s="467"/>
      <c r="BL2968" s="467"/>
      <c r="BM2968" s="467"/>
      <c r="BN2968" s="467"/>
      <c r="BO2968" s="467"/>
      <c r="BP2968" s="467"/>
      <c r="BQ2968" s="467"/>
      <c r="BR2968" s="467"/>
      <c r="BS2968" s="467"/>
      <c r="BT2968" s="467"/>
      <c r="BU2968" s="467"/>
      <c r="BV2968" s="467"/>
      <c r="BW2968" s="467"/>
      <c r="BX2968" s="769"/>
      <c r="BY2968" s="769"/>
      <c r="BZ2968" s="769"/>
      <c r="CA2968" s="769"/>
      <c r="CB2968" s="769"/>
      <c r="CC2968" s="769"/>
      <c r="CD2968" s="769"/>
      <c r="CE2968" s="769"/>
      <c r="CF2968" s="769"/>
      <c r="CG2968" s="73"/>
      <c r="CH2968" s="438"/>
      <c r="CI2968" s="416"/>
      <c r="CJ2968" s="73"/>
      <c r="CK2968" s="650"/>
      <c r="CL2968" s="499"/>
      <c r="CM2968" s="650"/>
      <c r="CR2968" s="416"/>
      <c r="CS2968" s="650"/>
      <c r="CU2968" s="73"/>
      <c r="CV2968" s="73"/>
      <c r="CW2968" s="73"/>
      <c r="CX2968" s="73"/>
      <c r="DA2968" s="650"/>
    </row>
    <row r="2969" spans="1:105" s="45" customFormat="1" x14ac:dyDescent="0.2">
      <c r="A2969" s="650"/>
      <c r="B2969" s="438"/>
      <c r="D2969" s="73"/>
      <c r="E2969" s="650"/>
      <c r="F2969" s="650"/>
      <c r="G2969" s="73"/>
      <c r="I2969" s="111"/>
      <c r="J2969" s="81"/>
      <c r="K2969" s="81"/>
      <c r="L2969" s="499"/>
      <c r="M2969" s="73"/>
      <c r="N2969" s="499"/>
      <c r="O2969" s="73"/>
      <c r="P2969" s="73"/>
      <c r="Q2969" s="73"/>
      <c r="R2969" s="176"/>
      <c r="S2969" s="176"/>
      <c r="T2969" s="176"/>
      <c r="U2969" s="400"/>
      <c r="V2969" s="400"/>
      <c r="W2969" s="732"/>
      <c r="X2969" s="167"/>
      <c r="Y2969" s="509"/>
      <c r="Z2969" s="466"/>
      <c r="AA2969" s="466"/>
      <c r="AB2969" s="466"/>
      <c r="AC2969" s="466"/>
      <c r="AD2969" s="466"/>
      <c r="AE2969" s="466"/>
      <c r="AF2969" s="466"/>
      <c r="AG2969" s="466"/>
      <c r="AH2969" s="466"/>
      <c r="AI2969" s="466"/>
      <c r="AJ2969" s="466"/>
      <c r="AK2969" s="466"/>
      <c r="AL2969" s="466"/>
      <c r="AM2969" s="466"/>
      <c r="AN2969" s="466"/>
      <c r="AO2969" s="466"/>
      <c r="AP2969" s="466"/>
      <c r="AQ2969" s="466"/>
      <c r="AR2969" s="466"/>
      <c r="AS2969" s="466"/>
      <c r="AT2969" s="466"/>
      <c r="AU2969" s="466"/>
      <c r="AV2969" s="466"/>
      <c r="AW2969" s="466"/>
      <c r="AX2969" s="466"/>
      <c r="AY2969" s="466"/>
      <c r="AZ2969" s="466"/>
      <c r="BA2969" s="466"/>
      <c r="BB2969" s="466"/>
      <c r="BC2969" s="466"/>
      <c r="BD2969" s="466"/>
      <c r="BE2969" s="467"/>
      <c r="BF2969" s="467"/>
      <c r="BG2969" s="466"/>
      <c r="BH2969" s="466"/>
      <c r="BI2969" s="467"/>
      <c r="BJ2969" s="467"/>
      <c r="BK2969" s="467"/>
      <c r="BL2969" s="467"/>
      <c r="BM2969" s="467"/>
      <c r="BN2969" s="467"/>
      <c r="BO2969" s="467"/>
      <c r="BP2969" s="467"/>
      <c r="BQ2969" s="467"/>
      <c r="BR2969" s="467"/>
      <c r="BS2969" s="467"/>
      <c r="BT2969" s="467"/>
      <c r="BU2969" s="467"/>
      <c r="BV2969" s="467"/>
      <c r="BW2969" s="467"/>
      <c r="BX2969" s="769"/>
      <c r="BY2969" s="769"/>
      <c r="BZ2969" s="769"/>
      <c r="CA2969" s="769"/>
      <c r="CB2969" s="769"/>
      <c r="CC2969" s="769"/>
      <c r="CD2969" s="769"/>
      <c r="CE2969" s="769"/>
      <c r="CF2969" s="769"/>
      <c r="CG2969" s="73"/>
      <c r="CH2969" s="438"/>
      <c r="CI2969" s="416"/>
      <c r="CJ2969" s="73"/>
      <c r="CK2969" s="650"/>
      <c r="CL2969" s="499"/>
      <c r="CM2969" s="650"/>
      <c r="CR2969" s="416"/>
      <c r="CS2969" s="650"/>
      <c r="CU2969" s="73"/>
      <c r="CV2969" s="73"/>
      <c r="CW2969" s="73"/>
      <c r="CX2969" s="73"/>
      <c r="DA2969" s="650"/>
    </row>
    <row r="2970" spans="1:105" s="45" customFormat="1" x14ac:dyDescent="0.2">
      <c r="A2970" s="650"/>
      <c r="B2970" s="438"/>
      <c r="D2970" s="73"/>
      <c r="E2970" s="650"/>
      <c r="F2970" s="650"/>
      <c r="G2970" s="73"/>
      <c r="I2970" s="111"/>
      <c r="J2970" s="81"/>
      <c r="K2970" s="81"/>
      <c r="L2970" s="499"/>
      <c r="M2970" s="73"/>
      <c r="N2970" s="499"/>
      <c r="O2970" s="73"/>
      <c r="P2970" s="73"/>
      <c r="Q2970" s="73"/>
      <c r="R2970" s="176"/>
      <c r="S2970" s="176"/>
      <c r="T2970" s="176"/>
      <c r="U2970" s="400"/>
      <c r="V2970" s="400"/>
      <c r="W2970" s="732"/>
      <c r="X2970" s="167"/>
      <c r="Y2970" s="509"/>
      <c r="Z2970" s="466"/>
      <c r="AA2970" s="466"/>
      <c r="AB2970" s="466"/>
      <c r="AC2970" s="466"/>
      <c r="AD2970" s="466"/>
      <c r="AE2970" s="466"/>
      <c r="AF2970" s="466"/>
      <c r="AG2970" s="466"/>
      <c r="AH2970" s="466"/>
      <c r="AI2970" s="466"/>
      <c r="AJ2970" s="466"/>
      <c r="AK2970" s="466"/>
      <c r="AL2970" s="466"/>
      <c r="AM2970" s="466"/>
      <c r="AN2970" s="466"/>
      <c r="AO2970" s="466"/>
      <c r="AP2970" s="466"/>
      <c r="AQ2970" s="466"/>
      <c r="AR2970" s="466"/>
      <c r="AS2970" s="466"/>
      <c r="AT2970" s="466"/>
      <c r="AU2970" s="466"/>
      <c r="AV2970" s="466"/>
      <c r="AW2970" s="466"/>
      <c r="AX2970" s="466"/>
      <c r="AY2970" s="466"/>
      <c r="AZ2970" s="466"/>
      <c r="BA2970" s="466"/>
      <c r="BB2970" s="466"/>
      <c r="BC2970" s="466"/>
      <c r="BD2970" s="466"/>
      <c r="BE2970" s="467"/>
      <c r="BF2970" s="467"/>
      <c r="BG2970" s="466"/>
      <c r="BH2970" s="466"/>
      <c r="BI2970" s="467"/>
      <c r="BJ2970" s="467"/>
      <c r="BK2970" s="467"/>
      <c r="BL2970" s="467"/>
      <c r="BM2970" s="467"/>
      <c r="BN2970" s="467"/>
      <c r="BO2970" s="467"/>
      <c r="BP2970" s="467"/>
      <c r="BQ2970" s="467"/>
      <c r="BR2970" s="467"/>
      <c r="BS2970" s="467"/>
      <c r="BT2970" s="467"/>
      <c r="BU2970" s="467"/>
      <c r="BV2970" s="467"/>
      <c r="BW2970" s="467"/>
      <c r="BX2970" s="769"/>
      <c r="BY2970" s="769"/>
      <c r="BZ2970" s="769"/>
      <c r="CA2970" s="769"/>
      <c r="CB2970" s="769"/>
      <c r="CC2970" s="769"/>
      <c r="CD2970" s="769"/>
      <c r="CE2970" s="769"/>
      <c r="CF2970" s="769"/>
      <c r="CG2970" s="73"/>
      <c r="CH2970" s="438"/>
      <c r="CI2970" s="416"/>
      <c r="CJ2970" s="73"/>
      <c r="CK2970" s="650"/>
      <c r="CL2970" s="499"/>
      <c r="CM2970" s="650"/>
      <c r="CR2970" s="416"/>
      <c r="CS2970" s="650"/>
      <c r="CU2970" s="73"/>
      <c r="CV2970" s="73"/>
      <c r="CW2970" s="73"/>
      <c r="CX2970" s="73"/>
      <c r="DA2970" s="650"/>
    </row>
    <row r="2971" spans="1:105" s="45" customFormat="1" x14ac:dyDescent="0.2">
      <c r="A2971" s="650"/>
      <c r="B2971" s="438"/>
      <c r="D2971" s="73"/>
      <c r="E2971" s="650"/>
      <c r="F2971" s="650"/>
      <c r="G2971" s="73"/>
      <c r="I2971" s="111"/>
      <c r="J2971" s="81"/>
      <c r="K2971" s="81"/>
      <c r="L2971" s="499"/>
      <c r="M2971" s="73"/>
      <c r="N2971" s="499"/>
      <c r="O2971" s="73"/>
      <c r="P2971" s="73"/>
      <c r="Q2971" s="73"/>
      <c r="R2971" s="176"/>
      <c r="S2971" s="176"/>
      <c r="T2971" s="176"/>
      <c r="U2971" s="400"/>
      <c r="V2971" s="400"/>
      <c r="W2971" s="732"/>
      <c r="X2971" s="167"/>
      <c r="Y2971" s="509"/>
      <c r="Z2971" s="466"/>
      <c r="AA2971" s="466"/>
      <c r="AB2971" s="466"/>
      <c r="AC2971" s="466"/>
      <c r="AD2971" s="466"/>
      <c r="AE2971" s="466"/>
      <c r="AF2971" s="466"/>
      <c r="AG2971" s="466"/>
      <c r="AH2971" s="466"/>
      <c r="AI2971" s="466"/>
      <c r="AJ2971" s="466"/>
      <c r="AK2971" s="466"/>
      <c r="AL2971" s="466"/>
      <c r="AM2971" s="466"/>
      <c r="AN2971" s="466"/>
      <c r="AO2971" s="466"/>
      <c r="AP2971" s="466"/>
      <c r="AQ2971" s="466"/>
      <c r="AR2971" s="466"/>
      <c r="AS2971" s="466"/>
      <c r="AT2971" s="466"/>
      <c r="AU2971" s="466"/>
      <c r="AV2971" s="466"/>
      <c r="AW2971" s="466"/>
      <c r="AX2971" s="466"/>
      <c r="AY2971" s="466"/>
      <c r="AZ2971" s="466"/>
      <c r="BA2971" s="466"/>
      <c r="BB2971" s="466"/>
      <c r="BC2971" s="466"/>
      <c r="BD2971" s="466"/>
      <c r="BE2971" s="467"/>
      <c r="BF2971" s="467"/>
      <c r="BG2971" s="466"/>
      <c r="BH2971" s="466"/>
      <c r="BI2971" s="467"/>
      <c r="BJ2971" s="467"/>
      <c r="BK2971" s="467"/>
      <c r="BL2971" s="467"/>
      <c r="BM2971" s="467"/>
      <c r="BN2971" s="467"/>
      <c r="BO2971" s="467"/>
      <c r="BP2971" s="467"/>
      <c r="BQ2971" s="467"/>
      <c r="BR2971" s="467"/>
      <c r="BS2971" s="467"/>
      <c r="BT2971" s="467"/>
      <c r="BU2971" s="467"/>
      <c r="BV2971" s="467"/>
      <c r="BW2971" s="467"/>
      <c r="BX2971" s="769"/>
      <c r="BY2971" s="769"/>
      <c r="BZ2971" s="769"/>
      <c r="CA2971" s="769"/>
      <c r="CB2971" s="769"/>
      <c r="CC2971" s="769"/>
      <c r="CD2971" s="769"/>
      <c r="CE2971" s="769"/>
      <c r="CF2971" s="769"/>
      <c r="CG2971" s="73"/>
      <c r="CH2971" s="438"/>
      <c r="CI2971" s="416"/>
      <c r="CJ2971" s="73"/>
      <c r="CK2971" s="650"/>
      <c r="CL2971" s="499"/>
      <c r="CM2971" s="650"/>
      <c r="CR2971" s="416"/>
      <c r="CS2971" s="650"/>
      <c r="CU2971" s="73"/>
      <c r="CV2971" s="73"/>
      <c r="CW2971" s="73"/>
      <c r="CX2971" s="73"/>
      <c r="DA2971" s="650"/>
    </row>
    <row r="2972" spans="1:105" s="45" customFormat="1" x14ac:dyDescent="0.2">
      <c r="A2972" s="650"/>
      <c r="B2972" s="438"/>
      <c r="D2972" s="73"/>
      <c r="E2972" s="650"/>
      <c r="F2972" s="650"/>
      <c r="G2972" s="73"/>
      <c r="I2972" s="111"/>
      <c r="J2972" s="81"/>
      <c r="K2972" s="81"/>
      <c r="L2972" s="499"/>
      <c r="M2972" s="73"/>
      <c r="N2972" s="499"/>
      <c r="O2972" s="73"/>
      <c r="P2972" s="73"/>
      <c r="Q2972" s="73"/>
      <c r="R2972" s="176"/>
      <c r="S2972" s="176"/>
      <c r="T2972" s="176"/>
      <c r="U2972" s="400"/>
      <c r="V2972" s="400"/>
      <c r="W2972" s="732"/>
      <c r="X2972" s="167"/>
      <c r="Y2972" s="509"/>
      <c r="Z2972" s="466"/>
      <c r="AA2972" s="466"/>
      <c r="AB2972" s="466"/>
      <c r="AC2972" s="466"/>
      <c r="AD2972" s="466"/>
      <c r="AE2972" s="466"/>
      <c r="AF2972" s="466"/>
      <c r="AG2972" s="466"/>
      <c r="AH2972" s="466"/>
      <c r="AI2972" s="466"/>
      <c r="AJ2972" s="466"/>
      <c r="AK2972" s="466"/>
      <c r="AL2972" s="466"/>
      <c r="AM2972" s="466"/>
      <c r="AN2972" s="466"/>
      <c r="AO2972" s="466"/>
      <c r="AP2972" s="466"/>
      <c r="AQ2972" s="466"/>
      <c r="AR2972" s="466"/>
      <c r="AS2972" s="466"/>
      <c r="AT2972" s="466"/>
      <c r="AU2972" s="466"/>
      <c r="AV2972" s="466"/>
      <c r="AW2972" s="466"/>
      <c r="AX2972" s="466"/>
      <c r="AY2972" s="466"/>
      <c r="AZ2972" s="466"/>
      <c r="BA2972" s="466"/>
      <c r="BB2972" s="466"/>
      <c r="BC2972" s="466"/>
      <c r="BD2972" s="466"/>
      <c r="BE2972" s="467"/>
      <c r="BF2972" s="467"/>
      <c r="BG2972" s="466"/>
      <c r="BH2972" s="466"/>
      <c r="BI2972" s="467"/>
      <c r="BJ2972" s="467"/>
      <c r="BK2972" s="467"/>
      <c r="BL2972" s="467"/>
      <c r="BM2972" s="467"/>
      <c r="BN2972" s="467"/>
      <c r="BO2972" s="467"/>
      <c r="BP2972" s="467"/>
      <c r="BQ2972" s="467"/>
      <c r="BR2972" s="467"/>
      <c r="BS2972" s="467"/>
      <c r="BT2972" s="467"/>
      <c r="BU2972" s="467"/>
      <c r="BV2972" s="467"/>
      <c r="BW2972" s="467"/>
      <c r="BX2972" s="769"/>
      <c r="BY2972" s="769"/>
      <c r="BZ2972" s="769"/>
      <c r="CA2972" s="769"/>
      <c r="CB2972" s="769"/>
      <c r="CC2972" s="769"/>
      <c r="CD2972" s="769"/>
      <c r="CE2972" s="769"/>
      <c r="CF2972" s="769"/>
      <c r="CG2972" s="73"/>
      <c r="CH2972" s="438"/>
      <c r="CI2972" s="416"/>
      <c r="CJ2972" s="73"/>
      <c r="CK2972" s="650"/>
      <c r="CL2972" s="499"/>
      <c r="CM2972" s="650"/>
      <c r="CR2972" s="416"/>
      <c r="CS2972" s="650"/>
      <c r="CU2972" s="73"/>
      <c r="CV2972" s="73"/>
      <c r="CW2972" s="73"/>
      <c r="CX2972" s="73"/>
      <c r="DA2972" s="650"/>
    </row>
    <row r="2973" spans="1:105" s="45" customFormat="1" x14ac:dyDescent="0.2">
      <c r="A2973" s="650"/>
      <c r="B2973" s="438"/>
      <c r="D2973" s="73"/>
      <c r="E2973" s="650"/>
      <c r="F2973" s="650"/>
      <c r="G2973" s="73"/>
      <c r="I2973" s="111"/>
      <c r="J2973" s="81"/>
      <c r="K2973" s="81"/>
      <c r="L2973" s="499"/>
      <c r="M2973" s="73"/>
      <c r="N2973" s="499"/>
      <c r="O2973" s="73"/>
      <c r="P2973" s="73"/>
      <c r="Q2973" s="73"/>
      <c r="R2973" s="176"/>
      <c r="S2973" s="176"/>
      <c r="T2973" s="176"/>
      <c r="U2973" s="400"/>
      <c r="V2973" s="400"/>
      <c r="W2973" s="732"/>
      <c r="X2973" s="167"/>
      <c r="Y2973" s="509"/>
      <c r="Z2973" s="466"/>
      <c r="AA2973" s="466"/>
      <c r="AB2973" s="466"/>
      <c r="AC2973" s="466"/>
      <c r="AD2973" s="466"/>
      <c r="AE2973" s="466"/>
      <c r="AF2973" s="466"/>
      <c r="AG2973" s="466"/>
      <c r="AH2973" s="466"/>
      <c r="AI2973" s="466"/>
      <c r="AJ2973" s="466"/>
      <c r="AK2973" s="466"/>
      <c r="AL2973" s="466"/>
      <c r="AM2973" s="466"/>
      <c r="AN2973" s="466"/>
      <c r="AO2973" s="466"/>
      <c r="AP2973" s="466"/>
      <c r="AQ2973" s="466"/>
      <c r="AR2973" s="466"/>
      <c r="AS2973" s="466"/>
      <c r="AT2973" s="466"/>
      <c r="AU2973" s="466"/>
      <c r="AV2973" s="466"/>
      <c r="AW2973" s="466"/>
      <c r="AX2973" s="466"/>
      <c r="AY2973" s="466"/>
      <c r="AZ2973" s="466"/>
      <c r="BA2973" s="466"/>
      <c r="BB2973" s="466"/>
      <c r="BC2973" s="466"/>
      <c r="BD2973" s="466"/>
      <c r="BE2973" s="467"/>
      <c r="BF2973" s="467"/>
      <c r="BG2973" s="466"/>
      <c r="BH2973" s="466"/>
      <c r="BI2973" s="467"/>
      <c r="BJ2973" s="467"/>
      <c r="BK2973" s="467"/>
      <c r="BL2973" s="467"/>
      <c r="BM2973" s="467"/>
      <c r="BN2973" s="467"/>
      <c r="BO2973" s="467"/>
      <c r="BP2973" s="467"/>
      <c r="BQ2973" s="467"/>
      <c r="BR2973" s="467"/>
      <c r="BS2973" s="467"/>
      <c r="BT2973" s="467"/>
      <c r="BU2973" s="467"/>
      <c r="BV2973" s="467"/>
      <c r="BW2973" s="467"/>
      <c r="BX2973" s="769"/>
      <c r="BY2973" s="769"/>
      <c r="BZ2973" s="769"/>
      <c r="CA2973" s="769"/>
      <c r="CB2973" s="769"/>
      <c r="CC2973" s="769"/>
      <c r="CD2973" s="769"/>
      <c r="CE2973" s="769"/>
      <c r="CF2973" s="769"/>
      <c r="CG2973" s="73"/>
      <c r="CH2973" s="438"/>
      <c r="CI2973" s="416"/>
      <c r="CJ2973" s="73"/>
      <c r="CK2973" s="650"/>
      <c r="CL2973" s="499"/>
      <c r="CM2973" s="650"/>
      <c r="CR2973" s="416"/>
      <c r="CS2973" s="650"/>
      <c r="CU2973" s="73"/>
      <c r="CV2973" s="73"/>
      <c r="CW2973" s="73"/>
      <c r="CX2973" s="73"/>
      <c r="DA2973" s="650"/>
    </row>
    <row r="2974" spans="1:105" s="45" customFormat="1" x14ac:dyDescent="0.2">
      <c r="A2974" s="650"/>
      <c r="B2974" s="438"/>
      <c r="D2974" s="73"/>
      <c r="E2974" s="650"/>
      <c r="F2974" s="650"/>
      <c r="G2974" s="73"/>
      <c r="I2974" s="111"/>
      <c r="J2974" s="81"/>
      <c r="K2974" s="81"/>
      <c r="L2974" s="499"/>
      <c r="M2974" s="73"/>
      <c r="N2974" s="499"/>
      <c r="O2974" s="73"/>
      <c r="P2974" s="73"/>
      <c r="Q2974" s="73"/>
      <c r="R2974" s="176"/>
      <c r="S2974" s="176"/>
      <c r="T2974" s="176"/>
      <c r="U2974" s="400"/>
      <c r="V2974" s="400"/>
      <c r="W2974" s="732"/>
      <c r="X2974" s="167"/>
      <c r="Y2974" s="509"/>
      <c r="Z2974" s="466"/>
      <c r="AA2974" s="466"/>
      <c r="AB2974" s="466"/>
      <c r="AC2974" s="466"/>
      <c r="AD2974" s="466"/>
      <c r="AE2974" s="466"/>
      <c r="AF2974" s="466"/>
      <c r="AG2974" s="466"/>
      <c r="AH2974" s="466"/>
      <c r="AI2974" s="466"/>
      <c r="AJ2974" s="466"/>
      <c r="AK2974" s="466"/>
      <c r="AL2974" s="466"/>
      <c r="AM2974" s="466"/>
      <c r="AN2974" s="466"/>
      <c r="AO2974" s="466"/>
      <c r="AP2974" s="466"/>
      <c r="AQ2974" s="466"/>
      <c r="AR2974" s="466"/>
      <c r="AS2974" s="466"/>
      <c r="AT2974" s="466"/>
      <c r="AU2974" s="466"/>
      <c r="AV2974" s="466"/>
      <c r="AW2974" s="466"/>
      <c r="AX2974" s="466"/>
      <c r="AY2974" s="466"/>
      <c r="AZ2974" s="466"/>
      <c r="BA2974" s="466"/>
      <c r="BB2974" s="466"/>
      <c r="BC2974" s="466"/>
      <c r="BD2974" s="466"/>
      <c r="BE2974" s="467"/>
      <c r="BF2974" s="467"/>
      <c r="BG2974" s="466"/>
      <c r="BH2974" s="466"/>
      <c r="BI2974" s="467"/>
      <c r="BJ2974" s="467"/>
      <c r="BK2974" s="467"/>
      <c r="BL2974" s="467"/>
      <c r="BM2974" s="467"/>
      <c r="BN2974" s="467"/>
      <c r="BO2974" s="467"/>
      <c r="BP2974" s="467"/>
      <c r="BQ2974" s="467"/>
      <c r="BR2974" s="467"/>
      <c r="BS2974" s="467"/>
      <c r="BT2974" s="467"/>
      <c r="BU2974" s="467"/>
      <c r="BV2974" s="467"/>
      <c r="BW2974" s="467"/>
      <c r="BX2974" s="769"/>
      <c r="BY2974" s="769"/>
      <c r="BZ2974" s="769"/>
      <c r="CA2974" s="769"/>
      <c r="CB2974" s="769"/>
      <c r="CC2974" s="769"/>
      <c r="CD2974" s="769"/>
      <c r="CE2974" s="769"/>
      <c r="CF2974" s="769"/>
      <c r="CG2974" s="73"/>
      <c r="CH2974" s="438"/>
      <c r="CI2974" s="416"/>
      <c r="CJ2974" s="73"/>
      <c r="CK2974" s="650"/>
      <c r="CL2974" s="499"/>
      <c r="CM2974" s="650"/>
      <c r="CR2974" s="416"/>
      <c r="CS2974" s="650"/>
      <c r="CU2974" s="73"/>
      <c r="CV2974" s="73"/>
      <c r="CW2974" s="73"/>
      <c r="CX2974" s="73"/>
      <c r="DA2974" s="650"/>
    </row>
    <row r="2975" spans="1:105" s="45" customFormat="1" x14ac:dyDescent="0.2">
      <c r="A2975" s="650"/>
      <c r="B2975" s="438"/>
      <c r="D2975" s="73"/>
      <c r="E2975" s="650"/>
      <c r="F2975" s="650"/>
      <c r="G2975" s="73"/>
      <c r="I2975" s="111"/>
      <c r="J2975" s="81"/>
      <c r="K2975" s="81"/>
      <c r="L2975" s="499"/>
      <c r="M2975" s="73"/>
      <c r="N2975" s="499"/>
      <c r="O2975" s="73"/>
      <c r="P2975" s="73"/>
      <c r="Q2975" s="73"/>
      <c r="R2975" s="176"/>
      <c r="S2975" s="176"/>
      <c r="T2975" s="176"/>
      <c r="U2975" s="400"/>
      <c r="V2975" s="400"/>
      <c r="W2975" s="732"/>
      <c r="X2975" s="167"/>
      <c r="Y2975" s="509"/>
      <c r="Z2975" s="466"/>
      <c r="AA2975" s="466"/>
      <c r="AB2975" s="466"/>
      <c r="AC2975" s="466"/>
      <c r="AD2975" s="466"/>
      <c r="AE2975" s="466"/>
      <c r="AF2975" s="466"/>
      <c r="AG2975" s="466"/>
      <c r="AH2975" s="466"/>
      <c r="AI2975" s="466"/>
      <c r="AJ2975" s="466"/>
      <c r="AK2975" s="466"/>
      <c r="AL2975" s="466"/>
      <c r="AM2975" s="466"/>
      <c r="AN2975" s="466"/>
      <c r="AO2975" s="466"/>
      <c r="AP2975" s="466"/>
      <c r="AQ2975" s="466"/>
      <c r="AR2975" s="466"/>
      <c r="AS2975" s="466"/>
      <c r="AT2975" s="466"/>
      <c r="AU2975" s="466"/>
      <c r="AV2975" s="466"/>
      <c r="AW2975" s="466"/>
      <c r="AX2975" s="466"/>
      <c r="AY2975" s="466"/>
      <c r="AZ2975" s="466"/>
      <c r="BA2975" s="466"/>
      <c r="BB2975" s="466"/>
      <c r="BC2975" s="466"/>
      <c r="BD2975" s="466"/>
      <c r="BE2975" s="467"/>
      <c r="BF2975" s="467"/>
      <c r="BG2975" s="466"/>
      <c r="BH2975" s="466"/>
      <c r="BI2975" s="467"/>
      <c r="BJ2975" s="467"/>
      <c r="BK2975" s="467"/>
      <c r="BL2975" s="467"/>
      <c r="BM2975" s="467"/>
      <c r="BN2975" s="467"/>
      <c r="BO2975" s="467"/>
      <c r="BP2975" s="467"/>
      <c r="BQ2975" s="467"/>
      <c r="BR2975" s="467"/>
      <c r="BS2975" s="467"/>
      <c r="BT2975" s="467"/>
      <c r="BU2975" s="467"/>
      <c r="BV2975" s="467"/>
      <c r="BW2975" s="467"/>
      <c r="BX2975" s="769"/>
      <c r="BY2975" s="769"/>
      <c r="BZ2975" s="769"/>
      <c r="CA2975" s="769"/>
      <c r="CB2975" s="769"/>
      <c r="CC2975" s="769"/>
      <c r="CD2975" s="769"/>
      <c r="CE2975" s="769"/>
      <c r="CF2975" s="769"/>
      <c r="CG2975" s="73"/>
      <c r="CH2975" s="438"/>
      <c r="CI2975" s="416"/>
      <c r="CJ2975" s="73"/>
      <c r="CK2975" s="650"/>
      <c r="CL2975" s="499"/>
      <c r="CM2975" s="650"/>
      <c r="CR2975" s="416"/>
      <c r="CS2975" s="650"/>
      <c r="CU2975" s="73"/>
      <c r="CV2975" s="73"/>
      <c r="CW2975" s="73"/>
      <c r="CX2975" s="73"/>
      <c r="DA2975" s="650"/>
    </row>
    <row r="2976" spans="1:105" s="45" customFormat="1" x14ac:dyDescent="0.2">
      <c r="A2976" s="650"/>
      <c r="B2976" s="438"/>
      <c r="D2976" s="73"/>
      <c r="E2976" s="650"/>
      <c r="F2976" s="650"/>
      <c r="G2976" s="73"/>
      <c r="I2976" s="111"/>
      <c r="J2976" s="81"/>
      <c r="K2976" s="81"/>
      <c r="L2976" s="499"/>
      <c r="M2976" s="73"/>
      <c r="N2976" s="499"/>
      <c r="O2976" s="73"/>
      <c r="P2976" s="73"/>
      <c r="Q2976" s="73"/>
      <c r="R2976" s="176"/>
      <c r="S2976" s="176"/>
      <c r="T2976" s="176"/>
      <c r="U2976" s="400"/>
      <c r="V2976" s="400"/>
      <c r="W2976" s="732"/>
      <c r="X2976" s="167"/>
      <c r="Y2976" s="509"/>
      <c r="Z2976" s="466"/>
      <c r="AA2976" s="466"/>
      <c r="AB2976" s="466"/>
      <c r="AC2976" s="466"/>
      <c r="AD2976" s="466"/>
      <c r="AE2976" s="466"/>
      <c r="AF2976" s="466"/>
      <c r="AG2976" s="466"/>
      <c r="AH2976" s="466"/>
      <c r="AI2976" s="466"/>
      <c r="AJ2976" s="466"/>
      <c r="AK2976" s="466"/>
      <c r="AL2976" s="466"/>
      <c r="AM2976" s="466"/>
      <c r="AN2976" s="466"/>
      <c r="AO2976" s="466"/>
      <c r="AP2976" s="466"/>
      <c r="AQ2976" s="466"/>
      <c r="AR2976" s="466"/>
      <c r="AS2976" s="466"/>
      <c r="AT2976" s="466"/>
      <c r="AU2976" s="466"/>
      <c r="AV2976" s="466"/>
      <c r="AW2976" s="466"/>
      <c r="AX2976" s="466"/>
      <c r="AY2976" s="466"/>
      <c r="AZ2976" s="466"/>
      <c r="BA2976" s="466"/>
      <c r="BB2976" s="466"/>
      <c r="BC2976" s="466"/>
      <c r="BD2976" s="466"/>
      <c r="BE2976" s="467"/>
      <c r="BF2976" s="467"/>
      <c r="BG2976" s="466"/>
      <c r="BH2976" s="466"/>
      <c r="BI2976" s="467"/>
      <c r="BJ2976" s="467"/>
      <c r="BK2976" s="467"/>
      <c r="BL2976" s="467"/>
      <c r="BM2976" s="467"/>
      <c r="BN2976" s="467"/>
      <c r="BO2976" s="467"/>
      <c r="BP2976" s="467"/>
      <c r="BQ2976" s="467"/>
      <c r="BR2976" s="467"/>
      <c r="BS2976" s="467"/>
      <c r="BT2976" s="467"/>
      <c r="BU2976" s="467"/>
      <c r="BV2976" s="467"/>
      <c r="BW2976" s="467"/>
      <c r="BX2976" s="769"/>
      <c r="BY2976" s="769"/>
      <c r="BZ2976" s="769"/>
      <c r="CA2976" s="769"/>
      <c r="CB2976" s="769"/>
      <c r="CC2976" s="769"/>
      <c r="CD2976" s="769"/>
      <c r="CE2976" s="769"/>
      <c r="CF2976" s="769"/>
      <c r="CG2976" s="73"/>
      <c r="CH2976" s="438"/>
      <c r="CI2976" s="416"/>
      <c r="CJ2976" s="73"/>
      <c r="CK2976" s="650"/>
      <c r="CL2976" s="499"/>
      <c r="CM2976" s="650"/>
      <c r="CR2976" s="416"/>
      <c r="CS2976" s="650"/>
      <c r="CU2976" s="73"/>
      <c r="CV2976" s="73"/>
      <c r="CW2976" s="73"/>
      <c r="CX2976" s="73"/>
      <c r="DA2976" s="650"/>
    </row>
    <row r="2977" spans="1:105" s="45" customFormat="1" x14ac:dyDescent="0.2">
      <c r="A2977" s="650"/>
      <c r="B2977" s="438"/>
      <c r="D2977" s="73"/>
      <c r="E2977" s="650"/>
      <c r="F2977" s="650"/>
      <c r="G2977" s="73"/>
      <c r="I2977" s="111"/>
      <c r="J2977" s="81"/>
      <c r="K2977" s="81"/>
      <c r="L2977" s="499"/>
      <c r="M2977" s="73"/>
      <c r="N2977" s="499"/>
      <c r="O2977" s="73"/>
      <c r="P2977" s="73"/>
      <c r="Q2977" s="73"/>
      <c r="R2977" s="176"/>
      <c r="S2977" s="176"/>
      <c r="T2977" s="176"/>
      <c r="U2977" s="400"/>
      <c r="V2977" s="400"/>
      <c r="W2977" s="732"/>
      <c r="X2977" s="167"/>
      <c r="Y2977" s="509"/>
      <c r="Z2977" s="466"/>
      <c r="AA2977" s="466"/>
      <c r="AB2977" s="466"/>
      <c r="AC2977" s="466"/>
      <c r="AD2977" s="466"/>
      <c r="AE2977" s="466"/>
      <c r="AF2977" s="466"/>
      <c r="AG2977" s="466"/>
      <c r="AH2977" s="466"/>
      <c r="AI2977" s="466"/>
      <c r="AJ2977" s="466"/>
      <c r="AK2977" s="466"/>
      <c r="AL2977" s="466"/>
      <c r="AM2977" s="466"/>
      <c r="AN2977" s="466"/>
      <c r="AO2977" s="466"/>
      <c r="AP2977" s="466"/>
      <c r="AQ2977" s="466"/>
      <c r="AR2977" s="466"/>
      <c r="AS2977" s="466"/>
      <c r="AT2977" s="466"/>
      <c r="AU2977" s="466"/>
      <c r="AV2977" s="466"/>
      <c r="AW2977" s="466"/>
      <c r="AX2977" s="466"/>
      <c r="AY2977" s="466"/>
      <c r="AZ2977" s="466"/>
      <c r="BA2977" s="466"/>
      <c r="BB2977" s="466"/>
      <c r="BC2977" s="466"/>
      <c r="BD2977" s="466"/>
      <c r="BE2977" s="467"/>
      <c r="BF2977" s="467"/>
      <c r="BG2977" s="466"/>
      <c r="BH2977" s="466"/>
      <c r="BI2977" s="467"/>
      <c r="BJ2977" s="467"/>
      <c r="BK2977" s="467"/>
      <c r="BL2977" s="467"/>
      <c r="BM2977" s="467"/>
      <c r="BN2977" s="467"/>
      <c r="BO2977" s="467"/>
      <c r="BP2977" s="467"/>
      <c r="BQ2977" s="467"/>
      <c r="BR2977" s="467"/>
      <c r="BS2977" s="467"/>
      <c r="BT2977" s="467"/>
      <c r="BU2977" s="467"/>
      <c r="BV2977" s="467"/>
      <c r="BW2977" s="467"/>
      <c r="BX2977" s="769"/>
      <c r="BY2977" s="769"/>
      <c r="BZ2977" s="769"/>
      <c r="CA2977" s="769"/>
      <c r="CB2977" s="769"/>
      <c r="CC2977" s="769"/>
      <c r="CD2977" s="769"/>
      <c r="CE2977" s="769"/>
      <c r="CF2977" s="769"/>
      <c r="CG2977" s="73"/>
      <c r="CH2977" s="438"/>
      <c r="CI2977" s="416"/>
      <c r="CJ2977" s="73"/>
      <c r="CK2977" s="650"/>
      <c r="CL2977" s="499"/>
      <c r="CM2977" s="650"/>
      <c r="CR2977" s="416"/>
      <c r="CS2977" s="650"/>
      <c r="CU2977" s="73"/>
      <c r="CV2977" s="73"/>
      <c r="CW2977" s="73"/>
      <c r="CX2977" s="73"/>
      <c r="DA2977" s="650"/>
    </row>
    <row r="2978" spans="1:105" s="45" customFormat="1" x14ac:dyDescent="0.2">
      <c r="A2978" s="650"/>
      <c r="B2978" s="438"/>
      <c r="D2978" s="73"/>
      <c r="E2978" s="650"/>
      <c r="F2978" s="650"/>
      <c r="G2978" s="73"/>
      <c r="I2978" s="111"/>
      <c r="J2978" s="81"/>
      <c r="K2978" s="81"/>
      <c r="L2978" s="499"/>
      <c r="M2978" s="73"/>
      <c r="N2978" s="499"/>
      <c r="O2978" s="73"/>
      <c r="P2978" s="73"/>
      <c r="Q2978" s="73"/>
      <c r="R2978" s="176"/>
      <c r="S2978" s="176"/>
      <c r="T2978" s="176"/>
      <c r="U2978" s="400"/>
      <c r="V2978" s="400"/>
      <c r="W2978" s="732"/>
      <c r="X2978" s="167"/>
      <c r="Y2978" s="509"/>
      <c r="Z2978" s="466"/>
      <c r="AA2978" s="466"/>
      <c r="AB2978" s="466"/>
      <c r="AC2978" s="466"/>
      <c r="AD2978" s="466"/>
      <c r="AE2978" s="466"/>
      <c r="AF2978" s="466"/>
      <c r="AG2978" s="466"/>
      <c r="AH2978" s="466"/>
      <c r="AI2978" s="466"/>
      <c r="AJ2978" s="466"/>
      <c r="AK2978" s="466"/>
      <c r="AL2978" s="466"/>
      <c r="AM2978" s="466"/>
      <c r="AN2978" s="466"/>
      <c r="AO2978" s="466"/>
      <c r="AP2978" s="466"/>
      <c r="AQ2978" s="466"/>
      <c r="AR2978" s="466"/>
      <c r="AS2978" s="466"/>
      <c r="AT2978" s="466"/>
      <c r="AU2978" s="466"/>
      <c r="AV2978" s="466"/>
      <c r="AW2978" s="466"/>
      <c r="AX2978" s="466"/>
      <c r="AY2978" s="466"/>
      <c r="AZ2978" s="466"/>
      <c r="BA2978" s="466"/>
      <c r="BB2978" s="466"/>
      <c r="BC2978" s="466"/>
      <c r="BD2978" s="466"/>
      <c r="BE2978" s="467"/>
      <c r="BF2978" s="467"/>
      <c r="BG2978" s="466"/>
      <c r="BH2978" s="466"/>
      <c r="BI2978" s="467"/>
      <c r="BJ2978" s="467"/>
      <c r="BK2978" s="467"/>
      <c r="BL2978" s="467"/>
      <c r="BM2978" s="467"/>
      <c r="BN2978" s="467"/>
      <c r="BO2978" s="467"/>
      <c r="BP2978" s="467"/>
      <c r="BQ2978" s="467"/>
      <c r="BR2978" s="467"/>
      <c r="BS2978" s="467"/>
      <c r="BT2978" s="467"/>
      <c r="BU2978" s="467"/>
      <c r="BV2978" s="467"/>
      <c r="BW2978" s="467"/>
      <c r="BX2978" s="769"/>
      <c r="BY2978" s="769"/>
      <c r="BZ2978" s="769"/>
      <c r="CA2978" s="769"/>
      <c r="CB2978" s="769"/>
      <c r="CC2978" s="769"/>
      <c r="CD2978" s="769"/>
      <c r="CE2978" s="769"/>
      <c r="CF2978" s="769"/>
      <c r="CG2978" s="73"/>
      <c r="CH2978" s="438"/>
      <c r="CI2978" s="416"/>
      <c r="CJ2978" s="73"/>
      <c r="CK2978" s="650"/>
      <c r="CL2978" s="499"/>
      <c r="CM2978" s="650"/>
      <c r="CR2978" s="416"/>
      <c r="CS2978" s="650"/>
      <c r="CU2978" s="73"/>
      <c r="CV2978" s="73"/>
      <c r="CW2978" s="73"/>
      <c r="CX2978" s="73"/>
      <c r="DA2978" s="650"/>
    </row>
    <row r="2979" spans="1:105" s="45" customFormat="1" x14ac:dyDescent="0.2">
      <c r="A2979" s="650"/>
      <c r="B2979" s="438"/>
      <c r="D2979" s="73"/>
      <c r="E2979" s="650"/>
      <c r="F2979" s="650"/>
      <c r="G2979" s="73"/>
      <c r="I2979" s="111"/>
      <c r="J2979" s="81"/>
      <c r="K2979" s="81"/>
      <c r="L2979" s="499"/>
      <c r="M2979" s="73"/>
      <c r="N2979" s="499"/>
      <c r="O2979" s="73"/>
      <c r="P2979" s="73"/>
      <c r="Q2979" s="73"/>
      <c r="R2979" s="176"/>
      <c r="S2979" s="176"/>
      <c r="T2979" s="176"/>
      <c r="U2979" s="400"/>
      <c r="V2979" s="400"/>
      <c r="W2979" s="732"/>
      <c r="X2979" s="167"/>
      <c r="Y2979" s="509"/>
      <c r="Z2979" s="466"/>
      <c r="AA2979" s="466"/>
      <c r="AB2979" s="466"/>
      <c r="AC2979" s="466"/>
      <c r="AD2979" s="466"/>
      <c r="AE2979" s="466"/>
      <c r="AF2979" s="466"/>
      <c r="AG2979" s="466"/>
      <c r="AH2979" s="466"/>
      <c r="AI2979" s="466"/>
      <c r="AJ2979" s="466"/>
      <c r="AK2979" s="466"/>
      <c r="AL2979" s="466"/>
      <c r="AM2979" s="466"/>
      <c r="AN2979" s="466"/>
      <c r="AO2979" s="466"/>
      <c r="AP2979" s="466"/>
      <c r="AQ2979" s="466"/>
      <c r="AR2979" s="466"/>
      <c r="AS2979" s="466"/>
      <c r="AT2979" s="466"/>
      <c r="AU2979" s="466"/>
      <c r="AV2979" s="466"/>
      <c r="AW2979" s="466"/>
      <c r="AX2979" s="466"/>
      <c r="AY2979" s="466"/>
      <c r="AZ2979" s="466"/>
      <c r="BA2979" s="466"/>
      <c r="BB2979" s="466"/>
      <c r="BC2979" s="466"/>
      <c r="BD2979" s="466"/>
      <c r="BE2979" s="467"/>
      <c r="BF2979" s="467"/>
      <c r="BG2979" s="466"/>
      <c r="BH2979" s="466"/>
      <c r="BI2979" s="467"/>
      <c r="BJ2979" s="467"/>
      <c r="BK2979" s="467"/>
      <c r="BL2979" s="467"/>
      <c r="BM2979" s="467"/>
      <c r="BN2979" s="467"/>
      <c r="BO2979" s="467"/>
      <c r="BP2979" s="467"/>
      <c r="BQ2979" s="467"/>
      <c r="BR2979" s="467"/>
      <c r="BS2979" s="467"/>
      <c r="BT2979" s="467"/>
      <c r="BU2979" s="467"/>
      <c r="BV2979" s="467"/>
      <c r="BW2979" s="467"/>
      <c r="BX2979" s="769"/>
      <c r="BY2979" s="769"/>
      <c r="BZ2979" s="769"/>
      <c r="CA2979" s="769"/>
      <c r="CB2979" s="769"/>
      <c r="CC2979" s="769"/>
      <c r="CD2979" s="769"/>
      <c r="CE2979" s="769"/>
      <c r="CF2979" s="769"/>
      <c r="CG2979" s="73"/>
      <c r="CH2979" s="438"/>
      <c r="CI2979" s="416"/>
      <c r="CJ2979" s="73"/>
      <c r="CK2979" s="650"/>
      <c r="CL2979" s="499"/>
      <c r="CM2979" s="650"/>
      <c r="CR2979" s="416"/>
      <c r="CS2979" s="650"/>
      <c r="CU2979" s="73"/>
      <c r="CV2979" s="73"/>
      <c r="CW2979" s="73"/>
      <c r="CX2979" s="73"/>
      <c r="DA2979" s="650"/>
    </row>
    <row r="2980" spans="1:105" s="45" customFormat="1" x14ac:dyDescent="0.2">
      <c r="A2980" s="650"/>
      <c r="B2980" s="438"/>
      <c r="D2980" s="73"/>
      <c r="E2980" s="650"/>
      <c r="F2980" s="650"/>
      <c r="G2980" s="73"/>
      <c r="I2980" s="111"/>
      <c r="J2980" s="81"/>
      <c r="K2980" s="81"/>
      <c r="L2980" s="499"/>
      <c r="M2980" s="73"/>
      <c r="N2980" s="499"/>
      <c r="O2980" s="73"/>
      <c r="P2980" s="73"/>
      <c r="Q2980" s="73"/>
      <c r="R2980" s="176"/>
      <c r="S2980" s="176"/>
      <c r="T2980" s="176"/>
      <c r="U2980" s="400"/>
      <c r="V2980" s="400"/>
      <c r="W2980" s="732"/>
      <c r="X2980" s="167"/>
      <c r="Y2980" s="509"/>
      <c r="Z2980" s="466"/>
      <c r="AA2980" s="466"/>
      <c r="AB2980" s="466"/>
      <c r="AC2980" s="466"/>
      <c r="AD2980" s="466"/>
      <c r="AE2980" s="466"/>
      <c r="AF2980" s="466"/>
      <c r="AG2980" s="466"/>
      <c r="AH2980" s="466"/>
      <c r="AI2980" s="466"/>
      <c r="AJ2980" s="466"/>
      <c r="AK2980" s="466"/>
      <c r="AL2980" s="466"/>
      <c r="AM2980" s="466"/>
      <c r="AN2980" s="466"/>
      <c r="AO2980" s="466"/>
      <c r="AP2980" s="466"/>
      <c r="AQ2980" s="466"/>
      <c r="AR2980" s="466"/>
      <c r="AS2980" s="466"/>
      <c r="AT2980" s="466"/>
      <c r="AU2980" s="466"/>
      <c r="AV2980" s="466"/>
      <c r="AW2980" s="466"/>
      <c r="AX2980" s="466"/>
      <c r="AY2980" s="466"/>
      <c r="AZ2980" s="466"/>
      <c r="BA2980" s="466"/>
      <c r="BB2980" s="466"/>
      <c r="BC2980" s="466"/>
      <c r="BD2980" s="466"/>
      <c r="BE2980" s="467"/>
      <c r="BF2980" s="467"/>
      <c r="BG2980" s="466"/>
      <c r="BH2980" s="466"/>
      <c r="BI2980" s="467"/>
      <c r="BJ2980" s="467"/>
      <c r="BK2980" s="467"/>
      <c r="BL2980" s="467"/>
      <c r="BM2980" s="467"/>
      <c r="BN2980" s="467"/>
      <c r="BO2980" s="467"/>
      <c r="BP2980" s="467"/>
      <c r="BQ2980" s="467"/>
      <c r="BR2980" s="467"/>
      <c r="BS2980" s="467"/>
      <c r="BT2980" s="467"/>
      <c r="BU2980" s="467"/>
      <c r="BV2980" s="467"/>
      <c r="BW2980" s="467"/>
      <c r="BX2980" s="769"/>
      <c r="BY2980" s="769"/>
      <c r="BZ2980" s="769"/>
      <c r="CA2980" s="769"/>
      <c r="CB2980" s="769"/>
      <c r="CC2980" s="769"/>
      <c r="CD2980" s="769"/>
      <c r="CE2980" s="769"/>
      <c r="CF2980" s="769"/>
      <c r="CG2980" s="73"/>
      <c r="CH2980" s="438"/>
      <c r="CI2980" s="416"/>
      <c r="CJ2980" s="73"/>
      <c r="CK2980" s="650"/>
      <c r="CL2980" s="499"/>
      <c r="CM2980" s="650"/>
      <c r="CR2980" s="416"/>
      <c r="CS2980" s="650"/>
      <c r="CU2980" s="73"/>
      <c r="CV2980" s="73"/>
      <c r="CW2980" s="73"/>
      <c r="CX2980" s="73"/>
      <c r="DA2980" s="650"/>
    </row>
    <row r="2981" spans="1:105" s="45" customFormat="1" x14ac:dyDescent="0.2">
      <c r="A2981" s="650"/>
      <c r="B2981" s="438"/>
      <c r="D2981" s="73"/>
      <c r="E2981" s="650"/>
      <c r="F2981" s="650"/>
      <c r="G2981" s="73"/>
      <c r="I2981" s="111"/>
      <c r="J2981" s="81"/>
      <c r="K2981" s="81"/>
      <c r="L2981" s="499"/>
      <c r="M2981" s="73"/>
      <c r="N2981" s="499"/>
      <c r="O2981" s="73"/>
      <c r="P2981" s="73"/>
      <c r="Q2981" s="73"/>
      <c r="R2981" s="176"/>
      <c r="S2981" s="176"/>
      <c r="T2981" s="176"/>
      <c r="U2981" s="400"/>
      <c r="V2981" s="400"/>
      <c r="W2981" s="732"/>
      <c r="X2981" s="167"/>
      <c r="Y2981" s="509"/>
      <c r="Z2981" s="466"/>
      <c r="AA2981" s="466"/>
      <c r="AB2981" s="466"/>
      <c r="AC2981" s="466"/>
      <c r="AD2981" s="466"/>
      <c r="AE2981" s="466"/>
      <c r="AF2981" s="466"/>
      <c r="AG2981" s="466"/>
      <c r="AH2981" s="466"/>
      <c r="AI2981" s="466"/>
      <c r="AJ2981" s="466"/>
      <c r="AK2981" s="466"/>
      <c r="AL2981" s="466"/>
      <c r="AM2981" s="466"/>
      <c r="AN2981" s="466"/>
      <c r="AO2981" s="466"/>
      <c r="AP2981" s="466"/>
      <c r="AQ2981" s="466"/>
      <c r="AR2981" s="466"/>
      <c r="AS2981" s="466"/>
      <c r="AT2981" s="466"/>
      <c r="AU2981" s="466"/>
      <c r="AV2981" s="466"/>
      <c r="AW2981" s="466"/>
      <c r="AX2981" s="466"/>
      <c r="AY2981" s="466"/>
      <c r="AZ2981" s="466"/>
      <c r="BA2981" s="466"/>
      <c r="BB2981" s="466"/>
      <c r="BC2981" s="466"/>
      <c r="BD2981" s="466"/>
      <c r="BE2981" s="467"/>
      <c r="BF2981" s="467"/>
      <c r="BG2981" s="466"/>
      <c r="BH2981" s="466"/>
      <c r="BI2981" s="467"/>
      <c r="BJ2981" s="467"/>
      <c r="BK2981" s="467"/>
      <c r="BL2981" s="467"/>
      <c r="BM2981" s="467"/>
      <c r="BN2981" s="467"/>
      <c r="BO2981" s="467"/>
      <c r="BP2981" s="467"/>
      <c r="BQ2981" s="467"/>
      <c r="BR2981" s="467"/>
      <c r="BS2981" s="467"/>
      <c r="BT2981" s="467"/>
      <c r="BU2981" s="467"/>
      <c r="BV2981" s="467"/>
      <c r="BW2981" s="467"/>
      <c r="BX2981" s="769"/>
      <c r="BY2981" s="769"/>
      <c r="BZ2981" s="769"/>
      <c r="CA2981" s="769"/>
      <c r="CB2981" s="769"/>
      <c r="CC2981" s="769"/>
      <c r="CD2981" s="769"/>
      <c r="CE2981" s="769"/>
      <c r="CF2981" s="769"/>
      <c r="CG2981" s="73"/>
      <c r="CH2981" s="438"/>
      <c r="CI2981" s="416"/>
      <c r="CJ2981" s="73"/>
      <c r="CK2981" s="650"/>
      <c r="CL2981" s="499"/>
      <c r="CM2981" s="650"/>
      <c r="CR2981" s="416"/>
      <c r="CS2981" s="650"/>
      <c r="CU2981" s="73"/>
      <c r="CV2981" s="73"/>
      <c r="CW2981" s="73"/>
      <c r="CX2981" s="73"/>
      <c r="DA2981" s="650"/>
    </row>
    <row r="2982" spans="1:105" s="45" customFormat="1" x14ac:dyDescent="0.2">
      <c r="A2982" s="650"/>
      <c r="B2982" s="438"/>
      <c r="D2982" s="73"/>
      <c r="E2982" s="650"/>
      <c r="F2982" s="650"/>
      <c r="G2982" s="73"/>
      <c r="I2982" s="111"/>
      <c r="J2982" s="81"/>
      <c r="K2982" s="81"/>
      <c r="L2982" s="499"/>
      <c r="M2982" s="73"/>
      <c r="N2982" s="499"/>
      <c r="O2982" s="73"/>
      <c r="P2982" s="73"/>
      <c r="Q2982" s="73"/>
      <c r="R2982" s="176"/>
      <c r="S2982" s="176"/>
      <c r="T2982" s="176"/>
      <c r="U2982" s="400"/>
      <c r="V2982" s="400"/>
      <c r="W2982" s="732"/>
      <c r="X2982" s="167"/>
      <c r="Y2982" s="509"/>
      <c r="Z2982" s="466"/>
      <c r="AA2982" s="466"/>
      <c r="AB2982" s="466"/>
      <c r="AC2982" s="466"/>
      <c r="AD2982" s="466"/>
      <c r="AE2982" s="466"/>
      <c r="AF2982" s="466"/>
      <c r="AG2982" s="466"/>
      <c r="AH2982" s="466"/>
      <c r="AI2982" s="466"/>
      <c r="AJ2982" s="466"/>
      <c r="AK2982" s="466"/>
      <c r="AL2982" s="466"/>
      <c r="AM2982" s="466"/>
      <c r="AN2982" s="466"/>
      <c r="AO2982" s="466"/>
      <c r="AP2982" s="466"/>
      <c r="AQ2982" s="466"/>
      <c r="AR2982" s="466"/>
      <c r="AS2982" s="466"/>
      <c r="AT2982" s="466"/>
      <c r="AU2982" s="466"/>
      <c r="AV2982" s="466"/>
      <c r="AW2982" s="466"/>
      <c r="AX2982" s="466"/>
      <c r="AY2982" s="466"/>
      <c r="AZ2982" s="466"/>
      <c r="BA2982" s="466"/>
      <c r="BB2982" s="466"/>
      <c r="BC2982" s="466"/>
      <c r="BD2982" s="466"/>
      <c r="BE2982" s="467"/>
      <c r="BF2982" s="467"/>
      <c r="BG2982" s="466"/>
      <c r="BH2982" s="466"/>
      <c r="BI2982" s="467"/>
      <c r="BJ2982" s="467"/>
      <c r="BK2982" s="467"/>
      <c r="BL2982" s="467"/>
      <c r="BM2982" s="467"/>
      <c r="BN2982" s="467"/>
      <c r="BO2982" s="467"/>
      <c r="BP2982" s="467"/>
      <c r="BQ2982" s="467"/>
      <c r="BR2982" s="467"/>
      <c r="BS2982" s="467"/>
      <c r="BT2982" s="467"/>
      <c r="BU2982" s="467"/>
      <c r="BV2982" s="467"/>
      <c r="BW2982" s="467"/>
      <c r="BX2982" s="769"/>
      <c r="BY2982" s="769"/>
      <c r="BZ2982" s="769"/>
      <c r="CA2982" s="769"/>
      <c r="CB2982" s="769"/>
      <c r="CC2982" s="769"/>
      <c r="CD2982" s="769"/>
      <c r="CE2982" s="769"/>
      <c r="CF2982" s="769"/>
      <c r="CG2982" s="73"/>
      <c r="CH2982" s="438"/>
      <c r="CI2982" s="416"/>
      <c r="CJ2982" s="73"/>
      <c r="CK2982" s="650"/>
      <c r="CL2982" s="499"/>
      <c r="CM2982" s="650"/>
      <c r="CR2982" s="416"/>
      <c r="CS2982" s="650"/>
      <c r="CU2982" s="73"/>
      <c r="CV2982" s="73"/>
      <c r="CW2982" s="73"/>
      <c r="CX2982" s="73"/>
      <c r="DA2982" s="650"/>
    </row>
    <row r="2983" spans="1:105" s="45" customFormat="1" x14ac:dyDescent="0.2">
      <c r="A2983" s="650"/>
      <c r="B2983" s="438"/>
      <c r="D2983" s="73"/>
      <c r="E2983" s="650"/>
      <c r="F2983" s="650"/>
      <c r="G2983" s="73"/>
      <c r="I2983" s="111"/>
      <c r="J2983" s="81"/>
      <c r="K2983" s="81"/>
      <c r="L2983" s="499"/>
      <c r="M2983" s="73"/>
      <c r="N2983" s="499"/>
      <c r="O2983" s="73"/>
      <c r="P2983" s="73"/>
      <c r="Q2983" s="73"/>
      <c r="R2983" s="176"/>
      <c r="S2983" s="176"/>
      <c r="T2983" s="176"/>
      <c r="U2983" s="400"/>
      <c r="V2983" s="400"/>
      <c r="W2983" s="732"/>
      <c r="X2983" s="167"/>
      <c r="Y2983" s="509"/>
      <c r="Z2983" s="466"/>
      <c r="AA2983" s="466"/>
      <c r="AB2983" s="466"/>
      <c r="AC2983" s="466"/>
      <c r="AD2983" s="466"/>
      <c r="AE2983" s="466"/>
      <c r="AF2983" s="466"/>
      <c r="AG2983" s="466"/>
      <c r="AH2983" s="466"/>
      <c r="AI2983" s="466"/>
      <c r="AJ2983" s="466"/>
      <c r="AK2983" s="466"/>
      <c r="AL2983" s="466"/>
      <c r="AM2983" s="466"/>
      <c r="AN2983" s="466"/>
      <c r="AO2983" s="466"/>
      <c r="AP2983" s="466"/>
      <c r="AQ2983" s="466"/>
      <c r="AR2983" s="466"/>
      <c r="AS2983" s="466"/>
      <c r="AT2983" s="466"/>
      <c r="AU2983" s="466"/>
      <c r="AV2983" s="466"/>
      <c r="AW2983" s="466"/>
      <c r="AX2983" s="466"/>
      <c r="AY2983" s="466"/>
      <c r="AZ2983" s="466"/>
      <c r="BA2983" s="466"/>
      <c r="BB2983" s="466"/>
      <c r="BC2983" s="466"/>
      <c r="BD2983" s="466"/>
      <c r="BE2983" s="467"/>
      <c r="BF2983" s="467"/>
      <c r="BG2983" s="466"/>
      <c r="BH2983" s="466"/>
      <c r="BI2983" s="467"/>
      <c r="BJ2983" s="467"/>
      <c r="BK2983" s="467"/>
      <c r="BL2983" s="467"/>
      <c r="BM2983" s="467"/>
      <c r="BN2983" s="467"/>
      <c r="BO2983" s="467"/>
      <c r="BP2983" s="467"/>
      <c r="BQ2983" s="467"/>
      <c r="BR2983" s="467"/>
      <c r="BS2983" s="467"/>
      <c r="BT2983" s="467"/>
      <c r="BU2983" s="467"/>
      <c r="BV2983" s="467"/>
      <c r="BW2983" s="467"/>
      <c r="BX2983" s="769"/>
      <c r="BY2983" s="769"/>
      <c r="BZ2983" s="769"/>
      <c r="CA2983" s="769"/>
      <c r="CB2983" s="769"/>
      <c r="CC2983" s="769"/>
      <c r="CD2983" s="769"/>
      <c r="CE2983" s="769"/>
      <c r="CF2983" s="769"/>
      <c r="CG2983" s="73"/>
      <c r="CH2983" s="438"/>
      <c r="CI2983" s="416"/>
      <c r="CJ2983" s="73"/>
      <c r="CK2983" s="650"/>
      <c r="CL2983" s="499"/>
      <c r="CM2983" s="650"/>
      <c r="CR2983" s="416"/>
      <c r="CS2983" s="650"/>
      <c r="CU2983" s="73"/>
      <c r="CV2983" s="73"/>
      <c r="CW2983" s="73"/>
      <c r="CX2983" s="73"/>
      <c r="DA2983" s="650"/>
    </row>
    <row r="2984" spans="1:105" s="45" customFormat="1" x14ac:dyDescent="0.2">
      <c r="A2984" s="650"/>
      <c r="B2984" s="438"/>
      <c r="D2984" s="73"/>
      <c r="E2984" s="650"/>
      <c r="F2984" s="650"/>
      <c r="G2984" s="73"/>
      <c r="I2984" s="111"/>
      <c r="J2984" s="81"/>
      <c r="K2984" s="81"/>
      <c r="L2984" s="499"/>
      <c r="M2984" s="73"/>
      <c r="N2984" s="499"/>
      <c r="O2984" s="73"/>
      <c r="P2984" s="73"/>
      <c r="Q2984" s="73"/>
      <c r="R2984" s="176"/>
      <c r="S2984" s="176"/>
      <c r="T2984" s="176"/>
      <c r="U2984" s="400"/>
      <c r="V2984" s="400"/>
      <c r="W2984" s="732"/>
      <c r="X2984" s="167"/>
      <c r="Y2984" s="509"/>
      <c r="Z2984" s="466"/>
      <c r="AA2984" s="466"/>
      <c r="AB2984" s="466"/>
      <c r="AC2984" s="466"/>
      <c r="AD2984" s="466"/>
      <c r="AE2984" s="466"/>
      <c r="AF2984" s="466"/>
      <c r="AG2984" s="466"/>
      <c r="AH2984" s="466"/>
      <c r="AI2984" s="466"/>
      <c r="AJ2984" s="466"/>
      <c r="AK2984" s="466"/>
      <c r="AL2984" s="466"/>
      <c r="AM2984" s="466"/>
      <c r="AN2984" s="466"/>
      <c r="AO2984" s="466"/>
      <c r="AP2984" s="466"/>
      <c r="AQ2984" s="466"/>
      <c r="AR2984" s="466"/>
      <c r="AS2984" s="466"/>
      <c r="AT2984" s="466"/>
      <c r="AU2984" s="466"/>
      <c r="AV2984" s="466"/>
      <c r="AW2984" s="466"/>
      <c r="AX2984" s="466"/>
      <c r="AY2984" s="466"/>
      <c r="AZ2984" s="466"/>
      <c r="BA2984" s="466"/>
      <c r="BB2984" s="466"/>
      <c r="BC2984" s="466"/>
      <c r="BD2984" s="466"/>
      <c r="BE2984" s="467"/>
      <c r="BF2984" s="467"/>
      <c r="BG2984" s="466"/>
      <c r="BH2984" s="466"/>
      <c r="BI2984" s="467"/>
      <c r="BJ2984" s="467"/>
      <c r="BK2984" s="467"/>
      <c r="BL2984" s="467"/>
      <c r="BM2984" s="467"/>
      <c r="BN2984" s="467"/>
      <c r="BO2984" s="467"/>
      <c r="BP2984" s="467"/>
      <c r="BQ2984" s="467"/>
      <c r="BR2984" s="467"/>
      <c r="BS2984" s="467"/>
      <c r="BT2984" s="467"/>
      <c r="BU2984" s="467"/>
      <c r="BV2984" s="467"/>
      <c r="BW2984" s="467"/>
      <c r="BX2984" s="769"/>
      <c r="BY2984" s="769"/>
      <c r="BZ2984" s="769"/>
      <c r="CA2984" s="769"/>
      <c r="CB2984" s="769"/>
      <c r="CC2984" s="769"/>
      <c r="CD2984" s="769"/>
      <c r="CE2984" s="769"/>
      <c r="CF2984" s="769"/>
      <c r="CG2984" s="73"/>
      <c r="CH2984" s="438"/>
      <c r="CI2984" s="416"/>
      <c r="CJ2984" s="73"/>
      <c r="CK2984" s="650"/>
      <c r="CL2984" s="499"/>
      <c r="CM2984" s="650"/>
      <c r="CR2984" s="416"/>
      <c r="CS2984" s="650"/>
      <c r="CU2984" s="73"/>
      <c r="CV2984" s="73"/>
      <c r="CW2984" s="73"/>
      <c r="CX2984" s="73"/>
      <c r="DA2984" s="650"/>
    </row>
    <row r="2985" spans="1:105" s="45" customFormat="1" x14ac:dyDescent="0.2">
      <c r="A2985" s="650"/>
      <c r="B2985" s="438"/>
      <c r="D2985" s="73"/>
      <c r="E2985" s="650"/>
      <c r="F2985" s="650"/>
      <c r="G2985" s="73"/>
      <c r="I2985" s="111"/>
      <c r="J2985" s="81"/>
      <c r="K2985" s="81"/>
      <c r="L2985" s="499"/>
      <c r="M2985" s="73"/>
      <c r="N2985" s="499"/>
      <c r="O2985" s="73"/>
      <c r="P2985" s="73"/>
      <c r="Q2985" s="73"/>
      <c r="R2985" s="176"/>
      <c r="S2985" s="176"/>
      <c r="T2985" s="176"/>
      <c r="U2985" s="400"/>
      <c r="V2985" s="400"/>
      <c r="W2985" s="732"/>
      <c r="X2985" s="167"/>
      <c r="Y2985" s="509"/>
      <c r="Z2985" s="466"/>
      <c r="AA2985" s="466"/>
      <c r="AB2985" s="466"/>
      <c r="AC2985" s="466"/>
      <c r="AD2985" s="466"/>
      <c r="AE2985" s="466"/>
      <c r="AF2985" s="466"/>
      <c r="AG2985" s="466"/>
      <c r="AH2985" s="466"/>
      <c r="AI2985" s="466"/>
      <c r="AJ2985" s="466"/>
      <c r="AK2985" s="466"/>
      <c r="AL2985" s="466"/>
      <c r="AM2985" s="466"/>
      <c r="AN2985" s="466"/>
      <c r="AO2985" s="466"/>
      <c r="AP2985" s="466"/>
      <c r="AQ2985" s="466"/>
      <c r="AR2985" s="466"/>
      <c r="AS2985" s="466"/>
      <c r="AT2985" s="466"/>
      <c r="AU2985" s="466"/>
      <c r="AV2985" s="466"/>
      <c r="AW2985" s="466"/>
      <c r="AX2985" s="466"/>
      <c r="AY2985" s="466"/>
      <c r="AZ2985" s="466"/>
      <c r="BA2985" s="466"/>
      <c r="BB2985" s="466"/>
      <c r="BC2985" s="466"/>
      <c r="BD2985" s="466"/>
      <c r="BE2985" s="467"/>
      <c r="BF2985" s="467"/>
      <c r="BG2985" s="466"/>
      <c r="BH2985" s="466"/>
      <c r="BI2985" s="467"/>
      <c r="BJ2985" s="467"/>
      <c r="BK2985" s="467"/>
      <c r="BL2985" s="467"/>
      <c r="BM2985" s="467"/>
      <c r="BN2985" s="467"/>
      <c r="BO2985" s="467"/>
      <c r="BP2985" s="467"/>
      <c r="BQ2985" s="467"/>
      <c r="BR2985" s="467"/>
      <c r="BS2985" s="467"/>
      <c r="BT2985" s="467"/>
      <c r="BU2985" s="467"/>
      <c r="BV2985" s="467"/>
      <c r="BW2985" s="467"/>
      <c r="BX2985" s="769"/>
      <c r="BY2985" s="769"/>
      <c r="BZ2985" s="769"/>
      <c r="CA2985" s="769"/>
      <c r="CB2985" s="769"/>
      <c r="CC2985" s="769"/>
      <c r="CD2985" s="769"/>
      <c r="CE2985" s="769"/>
      <c r="CF2985" s="769"/>
      <c r="CG2985" s="73"/>
      <c r="CH2985" s="438"/>
      <c r="CI2985" s="416"/>
      <c r="CJ2985" s="73"/>
      <c r="CK2985" s="650"/>
      <c r="CL2985" s="499"/>
      <c r="CM2985" s="650"/>
      <c r="CR2985" s="416"/>
      <c r="CS2985" s="650"/>
      <c r="CU2985" s="73"/>
      <c r="CV2985" s="73"/>
      <c r="CW2985" s="73"/>
      <c r="CX2985" s="73"/>
      <c r="DA2985" s="650"/>
    </row>
    <row r="2986" spans="1:105" s="45" customFormat="1" x14ac:dyDescent="0.2">
      <c r="A2986" s="650"/>
      <c r="B2986" s="438"/>
      <c r="D2986" s="73"/>
      <c r="E2986" s="650"/>
      <c r="F2986" s="650"/>
      <c r="G2986" s="73"/>
      <c r="I2986" s="111"/>
      <c r="J2986" s="81"/>
      <c r="K2986" s="81"/>
      <c r="L2986" s="499"/>
      <c r="M2986" s="73"/>
      <c r="N2986" s="499"/>
      <c r="O2986" s="73"/>
      <c r="P2986" s="73"/>
      <c r="Q2986" s="73"/>
      <c r="R2986" s="176"/>
      <c r="S2986" s="176"/>
      <c r="T2986" s="176"/>
      <c r="U2986" s="400"/>
      <c r="V2986" s="400"/>
      <c r="W2986" s="732"/>
      <c r="X2986" s="167"/>
      <c r="Y2986" s="509"/>
      <c r="Z2986" s="466"/>
      <c r="AA2986" s="466"/>
      <c r="AB2986" s="466"/>
      <c r="AC2986" s="466"/>
      <c r="AD2986" s="466"/>
      <c r="AE2986" s="466"/>
      <c r="AF2986" s="466"/>
      <c r="AG2986" s="466"/>
      <c r="AH2986" s="466"/>
      <c r="AI2986" s="466"/>
      <c r="AJ2986" s="466"/>
      <c r="AK2986" s="466"/>
      <c r="AL2986" s="466"/>
      <c r="AM2986" s="466"/>
      <c r="AN2986" s="466"/>
      <c r="AO2986" s="466"/>
      <c r="AP2986" s="466"/>
      <c r="AQ2986" s="466"/>
      <c r="AR2986" s="466"/>
      <c r="AS2986" s="466"/>
      <c r="AT2986" s="466"/>
      <c r="AU2986" s="466"/>
      <c r="AV2986" s="466"/>
      <c r="AW2986" s="466"/>
      <c r="AX2986" s="466"/>
      <c r="AY2986" s="466"/>
      <c r="AZ2986" s="466"/>
      <c r="BA2986" s="466"/>
      <c r="BB2986" s="466"/>
      <c r="BC2986" s="466"/>
      <c r="BD2986" s="466"/>
      <c r="BE2986" s="467"/>
      <c r="BF2986" s="467"/>
      <c r="BG2986" s="466"/>
      <c r="BH2986" s="466"/>
      <c r="BI2986" s="467"/>
      <c r="BJ2986" s="467"/>
      <c r="BK2986" s="467"/>
      <c r="BL2986" s="467"/>
      <c r="BM2986" s="467"/>
      <c r="BN2986" s="467"/>
      <c r="BO2986" s="467"/>
      <c r="BP2986" s="467"/>
      <c r="BQ2986" s="467"/>
      <c r="BR2986" s="467"/>
      <c r="BS2986" s="467"/>
      <c r="BT2986" s="467"/>
      <c r="BU2986" s="467"/>
      <c r="BV2986" s="467"/>
      <c r="BW2986" s="467"/>
      <c r="BX2986" s="769"/>
      <c r="BY2986" s="769"/>
      <c r="BZ2986" s="769"/>
      <c r="CA2986" s="769"/>
      <c r="CB2986" s="769"/>
      <c r="CC2986" s="769"/>
      <c r="CD2986" s="769"/>
      <c r="CE2986" s="769"/>
      <c r="CF2986" s="769"/>
      <c r="CG2986" s="73"/>
      <c r="CH2986" s="438"/>
      <c r="CI2986" s="416"/>
      <c r="CJ2986" s="73"/>
      <c r="CK2986" s="650"/>
      <c r="CL2986" s="499"/>
      <c r="CM2986" s="650"/>
      <c r="CR2986" s="416"/>
      <c r="CS2986" s="650"/>
      <c r="CU2986" s="73"/>
      <c r="CV2986" s="73"/>
      <c r="CW2986" s="73"/>
      <c r="CX2986" s="73"/>
      <c r="DA2986" s="650"/>
    </row>
    <row r="2987" spans="1:105" s="45" customFormat="1" x14ac:dyDescent="0.2">
      <c r="A2987" s="650"/>
      <c r="B2987" s="438"/>
      <c r="D2987" s="73"/>
      <c r="E2987" s="650"/>
      <c r="F2987" s="650"/>
      <c r="G2987" s="73"/>
      <c r="I2987" s="111"/>
      <c r="J2987" s="81"/>
      <c r="K2987" s="81"/>
      <c r="L2987" s="499"/>
      <c r="M2987" s="73"/>
      <c r="N2987" s="499"/>
      <c r="O2987" s="73"/>
      <c r="P2987" s="73"/>
      <c r="Q2987" s="73"/>
      <c r="R2987" s="176"/>
      <c r="S2987" s="176"/>
      <c r="T2987" s="176"/>
      <c r="U2987" s="400"/>
      <c r="V2987" s="400"/>
      <c r="W2987" s="732"/>
      <c r="X2987" s="167"/>
      <c r="Y2987" s="509"/>
      <c r="Z2987" s="466"/>
      <c r="AA2987" s="466"/>
      <c r="AB2987" s="466"/>
      <c r="AC2987" s="466"/>
      <c r="AD2987" s="466"/>
      <c r="AE2987" s="466"/>
      <c r="AF2987" s="466"/>
      <c r="AG2987" s="466"/>
      <c r="AH2987" s="466"/>
      <c r="AI2987" s="466"/>
      <c r="AJ2987" s="466"/>
      <c r="AK2987" s="466"/>
      <c r="AL2987" s="466"/>
      <c r="AM2987" s="466"/>
      <c r="AN2987" s="466"/>
      <c r="AO2987" s="466"/>
      <c r="AP2987" s="466"/>
      <c r="AQ2987" s="466"/>
      <c r="AR2987" s="466"/>
      <c r="AS2987" s="466"/>
      <c r="AT2987" s="466"/>
      <c r="AU2987" s="466"/>
      <c r="AV2987" s="466"/>
      <c r="AW2987" s="466"/>
      <c r="AX2987" s="466"/>
      <c r="AY2987" s="466"/>
      <c r="AZ2987" s="466"/>
      <c r="BA2987" s="466"/>
      <c r="BB2987" s="466"/>
      <c r="BC2987" s="466"/>
      <c r="BD2987" s="466"/>
      <c r="BE2987" s="467"/>
      <c r="BF2987" s="467"/>
      <c r="BG2987" s="466"/>
      <c r="BH2987" s="466"/>
      <c r="BI2987" s="467"/>
      <c r="BJ2987" s="467"/>
      <c r="BK2987" s="467"/>
      <c r="BL2987" s="467"/>
      <c r="BM2987" s="467"/>
      <c r="BN2987" s="467"/>
      <c r="BO2987" s="467"/>
      <c r="BP2987" s="467"/>
      <c r="BQ2987" s="467"/>
      <c r="BR2987" s="467"/>
      <c r="BS2987" s="467"/>
      <c r="BT2987" s="467"/>
      <c r="BU2987" s="467"/>
      <c r="BV2987" s="467"/>
      <c r="BW2987" s="467"/>
      <c r="BX2987" s="769"/>
      <c r="BY2987" s="769"/>
      <c r="BZ2987" s="769"/>
      <c r="CA2987" s="769"/>
      <c r="CB2987" s="769"/>
      <c r="CC2987" s="769"/>
      <c r="CD2987" s="769"/>
      <c r="CE2987" s="769"/>
      <c r="CF2987" s="769"/>
      <c r="CG2987" s="73"/>
      <c r="CH2987" s="438"/>
      <c r="CI2987" s="416"/>
      <c r="CJ2987" s="73"/>
      <c r="CK2987" s="650"/>
      <c r="CL2987" s="499"/>
      <c r="CM2987" s="650"/>
      <c r="CR2987" s="416"/>
      <c r="CS2987" s="650"/>
      <c r="CU2987" s="73"/>
      <c r="CV2987" s="73"/>
      <c r="CW2987" s="73"/>
      <c r="CX2987" s="73"/>
      <c r="DA2987" s="650"/>
    </row>
    <row r="2988" spans="1:105" s="45" customFormat="1" x14ac:dyDescent="0.2">
      <c r="A2988" s="650"/>
      <c r="B2988" s="438"/>
      <c r="D2988" s="73"/>
      <c r="E2988" s="650"/>
      <c r="F2988" s="650"/>
      <c r="G2988" s="73"/>
      <c r="I2988" s="111"/>
      <c r="J2988" s="81"/>
      <c r="K2988" s="81"/>
      <c r="L2988" s="499"/>
      <c r="M2988" s="73"/>
      <c r="N2988" s="499"/>
      <c r="O2988" s="73"/>
      <c r="P2988" s="73"/>
      <c r="Q2988" s="73"/>
      <c r="R2988" s="176"/>
      <c r="S2988" s="176"/>
      <c r="T2988" s="176"/>
      <c r="U2988" s="400"/>
      <c r="V2988" s="400"/>
      <c r="W2988" s="732"/>
      <c r="X2988" s="167"/>
      <c r="Y2988" s="509"/>
      <c r="Z2988" s="466"/>
      <c r="AA2988" s="466"/>
      <c r="AB2988" s="466"/>
      <c r="AC2988" s="466"/>
      <c r="AD2988" s="466"/>
      <c r="AE2988" s="466"/>
      <c r="AF2988" s="466"/>
      <c r="AG2988" s="466"/>
      <c r="AH2988" s="466"/>
      <c r="AI2988" s="466"/>
      <c r="AJ2988" s="466"/>
      <c r="AK2988" s="466"/>
      <c r="AL2988" s="466"/>
      <c r="AM2988" s="466"/>
      <c r="AN2988" s="466"/>
      <c r="AO2988" s="466"/>
      <c r="AP2988" s="466"/>
      <c r="AQ2988" s="466"/>
      <c r="AR2988" s="466"/>
      <c r="AS2988" s="466"/>
      <c r="AT2988" s="466"/>
      <c r="AU2988" s="466"/>
      <c r="AV2988" s="466"/>
      <c r="AW2988" s="466"/>
      <c r="AX2988" s="466"/>
      <c r="AY2988" s="466"/>
      <c r="AZ2988" s="466"/>
      <c r="BA2988" s="466"/>
      <c r="BB2988" s="466"/>
      <c r="BC2988" s="466"/>
      <c r="BD2988" s="466"/>
      <c r="BE2988" s="467"/>
      <c r="BF2988" s="467"/>
      <c r="BG2988" s="466"/>
      <c r="BH2988" s="466"/>
      <c r="BI2988" s="467"/>
      <c r="BJ2988" s="467"/>
      <c r="BK2988" s="467"/>
      <c r="BL2988" s="467"/>
      <c r="BM2988" s="467"/>
      <c r="BN2988" s="467"/>
      <c r="BO2988" s="467"/>
      <c r="BP2988" s="467"/>
      <c r="BQ2988" s="467"/>
      <c r="BR2988" s="467"/>
      <c r="BS2988" s="467"/>
      <c r="BT2988" s="467"/>
      <c r="BU2988" s="467"/>
      <c r="BV2988" s="467"/>
      <c r="BW2988" s="467"/>
      <c r="BX2988" s="769"/>
      <c r="BY2988" s="769"/>
      <c r="BZ2988" s="769"/>
      <c r="CA2988" s="769"/>
      <c r="CB2988" s="769"/>
      <c r="CC2988" s="769"/>
      <c r="CD2988" s="769"/>
      <c r="CE2988" s="769"/>
      <c r="CF2988" s="769"/>
      <c r="CG2988" s="73"/>
      <c r="CH2988" s="438"/>
      <c r="CI2988" s="416"/>
      <c r="CJ2988" s="73"/>
      <c r="CK2988" s="650"/>
      <c r="CL2988" s="499"/>
      <c r="CM2988" s="650"/>
      <c r="CR2988" s="416"/>
      <c r="CS2988" s="650"/>
      <c r="CU2988" s="73"/>
      <c r="CV2988" s="73"/>
      <c r="CW2988" s="73"/>
      <c r="CX2988" s="73"/>
      <c r="DA2988" s="650"/>
    </row>
    <row r="2989" spans="1:105" s="45" customFormat="1" x14ac:dyDescent="0.2">
      <c r="A2989" s="650"/>
      <c r="B2989" s="438"/>
      <c r="D2989" s="73"/>
      <c r="E2989" s="650"/>
      <c r="F2989" s="650"/>
      <c r="G2989" s="73"/>
      <c r="I2989" s="111"/>
      <c r="J2989" s="81"/>
      <c r="K2989" s="81"/>
      <c r="L2989" s="499"/>
      <c r="M2989" s="73"/>
      <c r="N2989" s="499"/>
      <c r="O2989" s="73"/>
      <c r="P2989" s="73"/>
      <c r="Q2989" s="73"/>
      <c r="R2989" s="176"/>
      <c r="S2989" s="176"/>
      <c r="T2989" s="176"/>
      <c r="U2989" s="400"/>
      <c r="V2989" s="400"/>
      <c r="W2989" s="732"/>
      <c r="X2989" s="167"/>
      <c r="Y2989" s="509"/>
      <c r="Z2989" s="466"/>
      <c r="AA2989" s="466"/>
      <c r="AB2989" s="466"/>
      <c r="AC2989" s="466"/>
      <c r="AD2989" s="466"/>
      <c r="AE2989" s="466"/>
      <c r="AF2989" s="466"/>
      <c r="AG2989" s="466"/>
      <c r="AH2989" s="466"/>
      <c r="AI2989" s="466"/>
      <c r="AJ2989" s="466"/>
      <c r="AK2989" s="466"/>
      <c r="AL2989" s="466"/>
      <c r="AM2989" s="466"/>
      <c r="AN2989" s="466"/>
      <c r="AO2989" s="466"/>
      <c r="AP2989" s="466"/>
      <c r="AQ2989" s="466"/>
      <c r="AR2989" s="466"/>
      <c r="AS2989" s="466"/>
      <c r="AT2989" s="466"/>
      <c r="AU2989" s="466"/>
      <c r="AV2989" s="466"/>
      <c r="AW2989" s="466"/>
      <c r="AX2989" s="466"/>
      <c r="AY2989" s="466"/>
      <c r="AZ2989" s="466"/>
      <c r="BA2989" s="466"/>
      <c r="BB2989" s="466"/>
      <c r="BC2989" s="466"/>
      <c r="BD2989" s="466"/>
      <c r="BE2989" s="467"/>
      <c r="BF2989" s="467"/>
      <c r="BG2989" s="466"/>
      <c r="BH2989" s="466"/>
      <c r="BI2989" s="467"/>
      <c r="BJ2989" s="467"/>
      <c r="BK2989" s="467"/>
      <c r="BL2989" s="467"/>
      <c r="BM2989" s="467"/>
      <c r="BN2989" s="467"/>
      <c r="BO2989" s="467"/>
      <c r="BP2989" s="467"/>
      <c r="BQ2989" s="467"/>
      <c r="BR2989" s="467"/>
      <c r="BS2989" s="467"/>
      <c r="BT2989" s="467"/>
      <c r="BU2989" s="467"/>
      <c r="BV2989" s="467"/>
      <c r="BW2989" s="467"/>
      <c r="BX2989" s="769"/>
      <c r="BY2989" s="769"/>
      <c r="BZ2989" s="769"/>
      <c r="CA2989" s="769"/>
      <c r="CB2989" s="769"/>
      <c r="CC2989" s="769"/>
      <c r="CD2989" s="769"/>
      <c r="CE2989" s="769"/>
      <c r="CF2989" s="769"/>
      <c r="CG2989" s="73"/>
      <c r="CH2989" s="438"/>
      <c r="CI2989" s="416"/>
      <c r="CJ2989" s="73"/>
      <c r="CK2989" s="650"/>
      <c r="CL2989" s="499"/>
      <c r="CM2989" s="650"/>
      <c r="CR2989" s="416"/>
      <c r="CS2989" s="650"/>
      <c r="CU2989" s="73"/>
      <c r="CV2989" s="73"/>
      <c r="CW2989" s="73"/>
      <c r="CX2989" s="73"/>
      <c r="DA2989" s="650"/>
    </row>
    <row r="2990" spans="1:105" s="45" customFormat="1" x14ac:dyDescent="0.2">
      <c r="A2990" s="650"/>
      <c r="B2990" s="438"/>
      <c r="D2990" s="73"/>
      <c r="E2990" s="650"/>
      <c r="F2990" s="650"/>
      <c r="G2990" s="73"/>
      <c r="I2990" s="111"/>
      <c r="J2990" s="81"/>
      <c r="K2990" s="81"/>
      <c r="L2990" s="499"/>
      <c r="M2990" s="73"/>
      <c r="N2990" s="499"/>
      <c r="O2990" s="73"/>
      <c r="P2990" s="73"/>
      <c r="Q2990" s="73"/>
      <c r="R2990" s="176"/>
      <c r="S2990" s="176"/>
      <c r="T2990" s="176"/>
      <c r="U2990" s="400"/>
      <c r="V2990" s="400"/>
      <c r="W2990" s="732"/>
      <c r="X2990" s="167"/>
      <c r="Y2990" s="509"/>
      <c r="Z2990" s="466"/>
      <c r="AA2990" s="466"/>
      <c r="AB2990" s="466"/>
      <c r="AC2990" s="466"/>
      <c r="AD2990" s="466"/>
      <c r="AE2990" s="466"/>
      <c r="AF2990" s="466"/>
      <c r="AG2990" s="466"/>
      <c r="AH2990" s="466"/>
      <c r="AI2990" s="466"/>
      <c r="AJ2990" s="466"/>
      <c r="AK2990" s="466"/>
      <c r="AL2990" s="466"/>
      <c r="AM2990" s="466"/>
      <c r="AN2990" s="466"/>
      <c r="AO2990" s="466"/>
      <c r="AP2990" s="466"/>
      <c r="AQ2990" s="466"/>
      <c r="AR2990" s="466"/>
      <c r="AS2990" s="466"/>
      <c r="AT2990" s="466"/>
      <c r="AU2990" s="466"/>
      <c r="AV2990" s="466"/>
      <c r="AW2990" s="466"/>
      <c r="AX2990" s="466"/>
      <c r="AY2990" s="466"/>
      <c r="AZ2990" s="466"/>
      <c r="BA2990" s="466"/>
      <c r="BB2990" s="466"/>
      <c r="BC2990" s="466"/>
      <c r="BD2990" s="466"/>
      <c r="BE2990" s="467"/>
      <c r="BF2990" s="467"/>
      <c r="BG2990" s="466"/>
      <c r="BH2990" s="466"/>
      <c r="BI2990" s="467"/>
      <c r="BJ2990" s="467"/>
      <c r="BK2990" s="467"/>
      <c r="BL2990" s="467"/>
      <c r="BM2990" s="467"/>
      <c r="BN2990" s="467"/>
      <c r="BO2990" s="467"/>
      <c r="BP2990" s="467"/>
      <c r="BQ2990" s="467"/>
      <c r="BR2990" s="467"/>
      <c r="BS2990" s="467"/>
      <c r="BT2990" s="467"/>
      <c r="BU2990" s="467"/>
      <c r="BV2990" s="467"/>
      <c r="BW2990" s="467"/>
      <c r="BX2990" s="769"/>
      <c r="BY2990" s="769"/>
      <c r="BZ2990" s="769"/>
      <c r="CA2990" s="769"/>
      <c r="CB2990" s="769"/>
      <c r="CC2990" s="769"/>
      <c r="CD2990" s="769"/>
      <c r="CE2990" s="769"/>
      <c r="CF2990" s="769"/>
      <c r="CG2990" s="73"/>
      <c r="CH2990" s="438"/>
      <c r="CI2990" s="416"/>
      <c r="CJ2990" s="73"/>
      <c r="CK2990" s="650"/>
      <c r="CL2990" s="499"/>
      <c r="CM2990" s="650"/>
      <c r="CR2990" s="416"/>
      <c r="CS2990" s="650"/>
      <c r="CU2990" s="73"/>
      <c r="CV2990" s="73"/>
      <c r="CW2990" s="73"/>
      <c r="CX2990" s="73"/>
      <c r="DA2990" s="650"/>
    </row>
    <row r="2991" spans="1:105" s="45" customFormat="1" x14ac:dyDescent="0.2">
      <c r="A2991" s="650"/>
      <c r="B2991" s="438"/>
      <c r="D2991" s="73"/>
      <c r="E2991" s="650"/>
      <c r="F2991" s="650"/>
      <c r="G2991" s="73"/>
      <c r="I2991" s="111"/>
      <c r="J2991" s="81"/>
      <c r="K2991" s="81"/>
      <c r="L2991" s="499"/>
      <c r="M2991" s="73"/>
      <c r="N2991" s="499"/>
      <c r="O2991" s="73"/>
      <c r="P2991" s="73"/>
      <c r="Q2991" s="73"/>
      <c r="R2991" s="176"/>
      <c r="S2991" s="176"/>
      <c r="T2991" s="176"/>
      <c r="U2991" s="400"/>
      <c r="V2991" s="400"/>
      <c r="W2991" s="732"/>
      <c r="X2991" s="167"/>
      <c r="Y2991" s="509"/>
      <c r="Z2991" s="466"/>
      <c r="AA2991" s="466"/>
      <c r="AB2991" s="466"/>
      <c r="AC2991" s="466"/>
      <c r="AD2991" s="466"/>
      <c r="AE2991" s="466"/>
      <c r="AF2991" s="466"/>
      <c r="AG2991" s="466"/>
      <c r="AH2991" s="466"/>
      <c r="AI2991" s="466"/>
      <c r="AJ2991" s="466"/>
      <c r="AK2991" s="466"/>
      <c r="AL2991" s="466"/>
      <c r="AM2991" s="466"/>
      <c r="AN2991" s="466"/>
      <c r="AO2991" s="466"/>
      <c r="AP2991" s="466"/>
      <c r="AQ2991" s="466"/>
      <c r="AR2991" s="466"/>
      <c r="AS2991" s="466"/>
      <c r="AT2991" s="466"/>
      <c r="AU2991" s="466"/>
      <c r="AV2991" s="466"/>
      <c r="AW2991" s="466"/>
      <c r="AX2991" s="466"/>
      <c r="AY2991" s="466"/>
      <c r="AZ2991" s="466"/>
      <c r="BA2991" s="466"/>
      <c r="BB2991" s="466"/>
      <c r="BC2991" s="466"/>
      <c r="BD2991" s="466"/>
      <c r="BE2991" s="467"/>
      <c r="BF2991" s="467"/>
      <c r="BG2991" s="466"/>
      <c r="BH2991" s="466"/>
      <c r="BI2991" s="467"/>
      <c r="BJ2991" s="467"/>
      <c r="BK2991" s="467"/>
      <c r="BL2991" s="467"/>
      <c r="BM2991" s="467"/>
      <c r="BN2991" s="467"/>
      <c r="BO2991" s="467"/>
      <c r="BP2991" s="467"/>
      <c r="BQ2991" s="467"/>
      <c r="BR2991" s="467"/>
      <c r="BS2991" s="467"/>
      <c r="BT2991" s="467"/>
      <c r="BU2991" s="467"/>
      <c r="BV2991" s="467"/>
      <c r="BW2991" s="467"/>
      <c r="BX2991" s="769"/>
      <c r="BY2991" s="769"/>
      <c r="BZ2991" s="769"/>
      <c r="CA2991" s="769"/>
      <c r="CB2991" s="769"/>
      <c r="CC2991" s="769"/>
      <c r="CD2991" s="769"/>
      <c r="CE2991" s="769"/>
      <c r="CF2991" s="769"/>
      <c r="CG2991" s="73"/>
      <c r="CH2991" s="438"/>
      <c r="CI2991" s="416"/>
      <c r="CJ2991" s="73"/>
      <c r="CK2991" s="650"/>
      <c r="CL2991" s="499"/>
      <c r="CM2991" s="650"/>
      <c r="CR2991" s="416"/>
      <c r="CS2991" s="650"/>
      <c r="CU2991" s="73"/>
      <c r="CV2991" s="73"/>
      <c r="CW2991" s="73"/>
      <c r="CX2991" s="73"/>
      <c r="DA2991" s="650"/>
    </row>
    <row r="2992" spans="1:105" s="45" customFormat="1" x14ac:dyDescent="0.2">
      <c r="A2992" s="650"/>
      <c r="B2992" s="438"/>
      <c r="D2992" s="73"/>
      <c r="E2992" s="650"/>
      <c r="F2992" s="650"/>
      <c r="G2992" s="73"/>
      <c r="I2992" s="111"/>
      <c r="J2992" s="81"/>
      <c r="K2992" s="81"/>
      <c r="L2992" s="499"/>
      <c r="M2992" s="73"/>
      <c r="N2992" s="499"/>
      <c r="O2992" s="73"/>
      <c r="P2992" s="73"/>
      <c r="Q2992" s="73"/>
      <c r="R2992" s="176"/>
      <c r="S2992" s="176"/>
      <c r="T2992" s="176"/>
      <c r="U2992" s="400"/>
      <c r="V2992" s="400"/>
      <c r="W2992" s="732"/>
      <c r="X2992" s="167"/>
      <c r="Y2992" s="509"/>
      <c r="Z2992" s="466"/>
      <c r="AA2992" s="466"/>
      <c r="AB2992" s="466"/>
      <c r="AC2992" s="466"/>
      <c r="AD2992" s="466"/>
      <c r="AE2992" s="466"/>
      <c r="AF2992" s="466"/>
      <c r="AG2992" s="466"/>
      <c r="AH2992" s="466"/>
      <c r="AI2992" s="466"/>
      <c r="AJ2992" s="466"/>
      <c r="AK2992" s="466"/>
      <c r="AL2992" s="466"/>
      <c r="AM2992" s="466"/>
      <c r="AN2992" s="466"/>
      <c r="AO2992" s="466"/>
      <c r="AP2992" s="466"/>
      <c r="AQ2992" s="466"/>
      <c r="AR2992" s="466"/>
      <c r="AS2992" s="466"/>
      <c r="AT2992" s="466"/>
      <c r="AU2992" s="466"/>
      <c r="AV2992" s="466"/>
      <c r="AW2992" s="466"/>
      <c r="AX2992" s="466"/>
      <c r="AY2992" s="466"/>
      <c r="AZ2992" s="466"/>
      <c r="BA2992" s="466"/>
      <c r="BB2992" s="466"/>
      <c r="BC2992" s="466"/>
      <c r="BD2992" s="466"/>
      <c r="BE2992" s="467"/>
      <c r="BF2992" s="467"/>
      <c r="BG2992" s="466"/>
      <c r="BH2992" s="466"/>
      <c r="BI2992" s="467"/>
      <c r="BJ2992" s="467"/>
      <c r="BK2992" s="467"/>
      <c r="BL2992" s="467"/>
      <c r="BM2992" s="467"/>
      <c r="BN2992" s="467"/>
      <c r="BO2992" s="467"/>
      <c r="BP2992" s="467"/>
      <c r="BQ2992" s="467"/>
      <c r="BR2992" s="467"/>
      <c r="BS2992" s="467"/>
      <c r="BT2992" s="467"/>
      <c r="BU2992" s="467"/>
      <c r="BV2992" s="467"/>
      <c r="BW2992" s="467"/>
      <c r="BX2992" s="769"/>
      <c r="BY2992" s="769"/>
      <c r="BZ2992" s="769"/>
      <c r="CA2992" s="769"/>
      <c r="CB2992" s="769"/>
      <c r="CC2992" s="769"/>
      <c r="CD2992" s="769"/>
      <c r="CE2992" s="769"/>
      <c r="CF2992" s="769"/>
      <c r="CG2992" s="73"/>
      <c r="CH2992" s="438"/>
      <c r="CI2992" s="416"/>
      <c r="CJ2992" s="73"/>
      <c r="CK2992" s="650"/>
      <c r="CL2992" s="499"/>
      <c r="CM2992" s="650"/>
      <c r="CR2992" s="416"/>
      <c r="CS2992" s="650"/>
      <c r="CU2992" s="73"/>
      <c r="CV2992" s="73"/>
      <c r="CW2992" s="73"/>
      <c r="CX2992" s="73"/>
      <c r="DA2992" s="650"/>
    </row>
    <row r="2993" spans="1:105" s="45" customFormat="1" x14ac:dyDescent="0.2">
      <c r="A2993" s="650"/>
      <c r="B2993" s="438"/>
      <c r="D2993" s="73"/>
      <c r="E2993" s="650"/>
      <c r="F2993" s="650"/>
      <c r="G2993" s="73"/>
      <c r="I2993" s="111"/>
      <c r="J2993" s="81"/>
      <c r="K2993" s="81"/>
      <c r="L2993" s="499"/>
      <c r="M2993" s="73"/>
      <c r="N2993" s="499"/>
      <c r="O2993" s="73"/>
      <c r="P2993" s="73"/>
      <c r="Q2993" s="73"/>
      <c r="R2993" s="176"/>
      <c r="S2993" s="176"/>
      <c r="T2993" s="176"/>
      <c r="U2993" s="400"/>
      <c r="V2993" s="400"/>
      <c r="W2993" s="732"/>
      <c r="X2993" s="167"/>
      <c r="Y2993" s="509"/>
      <c r="Z2993" s="466"/>
      <c r="AA2993" s="466"/>
      <c r="AB2993" s="466"/>
      <c r="AC2993" s="466"/>
      <c r="AD2993" s="466"/>
      <c r="AE2993" s="466"/>
      <c r="AF2993" s="466"/>
      <c r="AG2993" s="466"/>
      <c r="AH2993" s="466"/>
      <c r="AI2993" s="466"/>
      <c r="AJ2993" s="466"/>
      <c r="AK2993" s="466"/>
      <c r="AL2993" s="466"/>
      <c r="AM2993" s="466"/>
      <c r="AN2993" s="466"/>
      <c r="AO2993" s="466"/>
      <c r="AP2993" s="466"/>
      <c r="AQ2993" s="466"/>
      <c r="AR2993" s="466"/>
      <c r="AS2993" s="466"/>
      <c r="AT2993" s="466"/>
      <c r="AU2993" s="466"/>
      <c r="AV2993" s="466"/>
      <c r="AW2993" s="466"/>
      <c r="AX2993" s="466"/>
      <c r="AY2993" s="466"/>
      <c r="AZ2993" s="466"/>
      <c r="BA2993" s="466"/>
      <c r="BB2993" s="466"/>
      <c r="BC2993" s="466"/>
      <c r="BD2993" s="466"/>
      <c r="BE2993" s="467"/>
      <c r="BF2993" s="467"/>
      <c r="BG2993" s="466"/>
      <c r="BH2993" s="466"/>
      <c r="BI2993" s="467"/>
      <c r="BJ2993" s="467"/>
      <c r="BK2993" s="467"/>
      <c r="BL2993" s="467"/>
      <c r="BM2993" s="467"/>
      <c r="BN2993" s="467"/>
      <c r="BO2993" s="467"/>
      <c r="BP2993" s="467"/>
      <c r="BQ2993" s="467"/>
      <c r="BR2993" s="467"/>
      <c r="BS2993" s="467"/>
      <c r="BT2993" s="467"/>
      <c r="BU2993" s="467"/>
      <c r="BV2993" s="467"/>
      <c r="BW2993" s="467"/>
      <c r="BX2993" s="769"/>
      <c r="BY2993" s="769"/>
      <c r="BZ2993" s="769"/>
      <c r="CA2993" s="769"/>
      <c r="CB2993" s="769"/>
      <c r="CC2993" s="769"/>
      <c r="CD2993" s="769"/>
      <c r="CE2993" s="769"/>
      <c r="CF2993" s="769"/>
      <c r="CG2993" s="73"/>
      <c r="CH2993" s="438"/>
      <c r="CI2993" s="416"/>
      <c r="CJ2993" s="73"/>
      <c r="CK2993" s="650"/>
      <c r="CL2993" s="499"/>
      <c r="CM2993" s="650"/>
      <c r="CR2993" s="416"/>
      <c r="CS2993" s="650"/>
      <c r="CU2993" s="73"/>
      <c r="CV2993" s="73"/>
      <c r="CW2993" s="73"/>
      <c r="CX2993" s="73"/>
      <c r="DA2993" s="650"/>
    </row>
    <row r="2994" spans="1:105" s="45" customFormat="1" x14ac:dyDescent="0.2">
      <c r="A2994" s="650"/>
      <c r="B2994" s="438"/>
      <c r="D2994" s="73"/>
      <c r="E2994" s="650"/>
      <c r="F2994" s="650"/>
      <c r="G2994" s="73"/>
      <c r="I2994" s="111"/>
      <c r="J2994" s="81"/>
      <c r="K2994" s="81"/>
      <c r="L2994" s="499"/>
      <c r="M2994" s="73"/>
      <c r="N2994" s="499"/>
      <c r="O2994" s="73"/>
      <c r="P2994" s="73"/>
      <c r="Q2994" s="73"/>
      <c r="R2994" s="176"/>
      <c r="S2994" s="176"/>
      <c r="T2994" s="176"/>
      <c r="U2994" s="400"/>
      <c r="V2994" s="400"/>
      <c r="W2994" s="732"/>
      <c r="X2994" s="167"/>
      <c r="Y2994" s="509"/>
      <c r="Z2994" s="466"/>
      <c r="AA2994" s="466"/>
      <c r="AB2994" s="466"/>
      <c r="AC2994" s="466"/>
      <c r="AD2994" s="466"/>
      <c r="AE2994" s="466"/>
      <c r="AF2994" s="466"/>
      <c r="AG2994" s="466"/>
      <c r="AH2994" s="466"/>
      <c r="AI2994" s="466"/>
      <c r="AJ2994" s="466"/>
      <c r="AK2994" s="466"/>
      <c r="AL2994" s="466"/>
      <c r="AM2994" s="466"/>
      <c r="AN2994" s="466"/>
      <c r="AO2994" s="466"/>
      <c r="AP2994" s="466"/>
      <c r="AQ2994" s="466"/>
      <c r="AR2994" s="466"/>
      <c r="AS2994" s="466"/>
      <c r="AT2994" s="466"/>
      <c r="AU2994" s="466"/>
      <c r="AV2994" s="466"/>
      <c r="AW2994" s="466"/>
      <c r="AX2994" s="466"/>
      <c r="AY2994" s="466"/>
      <c r="AZ2994" s="466"/>
      <c r="BA2994" s="466"/>
      <c r="BB2994" s="466"/>
      <c r="BC2994" s="466"/>
      <c r="BD2994" s="466"/>
      <c r="BE2994" s="467"/>
      <c r="BF2994" s="467"/>
      <c r="BG2994" s="466"/>
      <c r="BH2994" s="466"/>
      <c r="BI2994" s="467"/>
      <c r="BJ2994" s="467"/>
      <c r="BK2994" s="467"/>
      <c r="BL2994" s="467"/>
      <c r="BM2994" s="467"/>
      <c r="BN2994" s="467"/>
      <c r="BO2994" s="467"/>
      <c r="BP2994" s="467"/>
      <c r="BQ2994" s="467"/>
      <c r="BR2994" s="467"/>
      <c r="BS2994" s="467"/>
      <c r="BT2994" s="467"/>
      <c r="BU2994" s="467"/>
      <c r="BV2994" s="467"/>
      <c r="BW2994" s="467"/>
      <c r="BX2994" s="769"/>
      <c r="BY2994" s="769"/>
      <c r="BZ2994" s="769"/>
      <c r="CA2994" s="769"/>
      <c r="CB2994" s="769"/>
      <c r="CC2994" s="769"/>
      <c r="CD2994" s="769"/>
      <c r="CE2994" s="769"/>
      <c r="CF2994" s="769"/>
      <c r="CG2994" s="73"/>
      <c r="CH2994" s="438"/>
      <c r="CI2994" s="416"/>
      <c r="CJ2994" s="73"/>
      <c r="CK2994" s="650"/>
      <c r="CL2994" s="499"/>
      <c r="CM2994" s="650"/>
      <c r="CR2994" s="416"/>
      <c r="CS2994" s="650"/>
      <c r="CU2994" s="73"/>
      <c r="CV2994" s="73"/>
      <c r="CW2994" s="73"/>
      <c r="CX2994" s="73"/>
      <c r="DA2994" s="650"/>
    </row>
    <row r="2995" spans="1:105" s="45" customFormat="1" x14ac:dyDescent="0.2">
      <c r="A2995" s="650"/>
      <c r="B2995" s="438"/>
      <c r="D2995" s="73"/>
      <c r="E2995" s="650"/>
      <c r="F2995" s="650"/>
      <c r="G2995" s="73"/>
      <c r="I2995" s="111"/>
      <c r="J2995" s="81"/>
      <c r="K2995" s="81"/>
      <c r="L2995" s="499"/>
      <c r="M2995" s="73"/>
      <c r="N2995" s="499"/>
      <c r="O2995" s="73"/>
      <c r="P2995" s="73"/>
      <c r="Q2995" s="73"/>
      <c r="R2995" s="176"/>
      <c r="S2995" s="176"/>
      <c r="T2995" s="176"/>
      <c r="U2995" s="400"/>
      <c r="V2995" s="400"/>
      <c r="W2995" s="732"/>
      <c r="X2995" s="167"/>
      <c r="Y2995" s="509"/>
      <c r="Z2995" s="466"/>
      <c r="AA2995" s="466"/>
      <c r="AB2995" s="466"/>
      <c r="AC2995" s="466"/>
      <c r="AD2995" s="466"/>
      <c r="AE2995" s="466"/>
      <c r="AF2995" s="466"/>
      <c r="AG2995" s="466"/>
      <c r="AH2995" s="466"/>
      <c r="AI2995" s="466"/>
      <c r="AJ2995" s="466"/>
      <c r="AK2995" s="466"/>
      <c r="AL2995" s="466"/>
      <c r="AM2995" s="466"/>
      <c r="AN2995" s="466"/>
      <c r="AO2995" s="466"/>
      <c r="AP2995" s="466"/>
      <c r="AQ2995" s="466"/>
      <c r="AR2995" s="466"/>
      <c r="AS2995" s="466"/>
      <c r="AT2995" s="466"/>
      <c r="AU2995" s="466"/>
      <c r="AV2995" s="466"/>
      <c r="AW2995" s="466"/>
      <c r="AX2995" s="466"/>
      <c r="AY2995" s="466"/>
      <c r="AZ2995" s="466"/>
      <c r="BA2995" s="466"/>
      <c r="BB2995" s="466"/>
      <c r="BC2995" s="466"/>
      <c r="BD2995" s="466"/>
      <c r="BE2995" s="467"/>
      <c r="BF2995" s="467"/>
      <c r="BG2995" s="466"/>
      <c r="BH2995" s="466"/>
      <c r="BI2995" s="467"/>
      <c r="BJ2995" s="467"/>
      <c r="BK2995" s="467"/>
      <c r="BL2995" s="467"/>
      <c r="BM2995" s="467"/>
      <c r="BN2995" s="467"/>
      <c r="BO2995" s="467"/>
      <c r="BP2995" s="467"/>
      <c r="BQ2995" s="467"/>
      <c r="BR2995" s="467"/>
      <c r="BS2995" s="467"/>
      <c r="BT2995" s="467"/>
      <c r="BU2995" s="467"/>
      <c r="BV2995" s="467"/>
      <c r="BW2995" s="467"/>
      <c r="BX2995" s="769"/>
      <c r="BY2995" s="769"/>
      <c r="BZ2995" s="769"/>
      <c r="CA2995" s="769"/>
      <c r="CB2995" s="769"/>
      <c r="CC2995" s="769"/>
      <c r="CD2995" s="769"/>
      <c r="CE2995" s="769"/>
      <c r="CF2995" s="769"/>
      <c r="CG2995" s="73"/>
      <c r="CH2995" s="438"/>
      <c r="CI2995" s="416"/>
      <c r="CJ2995" s="73"/>
      <c r="CK2995" s="650"/>
      <c r="CL2995" s="499"/>
      <c r="CM2995" s="650"/>
      <c r="CR2995" s="416"/>
      <c r="CS2995" s="650"/>
      <c r="CU2995" s="73"/>
      <c r="CV2995" s="73"/>
      <c r="CW2995" s="73"/>
      <c r="CX2995" s="73"/>
      <c r="DA2995" s="650"/>
    </row>
    <row r="2996" spans="1:105" s="45" customFormat="1" x14ac:dyDescent="0.2">
      <c r="A2996" s="650"/>
      <c r="B2996" s="438"/>
      <c r="D2996" s="73"/>
      <c r="E2996" s="650"/>
      <c r="F2996" s="650"/>
      <c r="G2996" s="73"/>
      <c r="I2996" s="111"/>
      <c r="J2996" s="81"/>
      <c r="K2996" s="81"/>
      <c r="L2996" s="499"/>
      <c r="M2996" s="73"/>
      <c r="N2996" s="499"/>
      <c r="O2996" s="73"/>
      <c r="P2996" s="73"/>
      <c r="Q2996" s="73"/>
      <c r="R2996" s="176"/>
      <c r="S2996" s="176"/>
      <c r="T2996" s="176"/>
      <c r="U2996" s="400"/>
      <c r="V2996" s="400"/>
      <c r="W2996" s="732"/>
      <c r="X2996" s="167"/>
      <c r="Y2996" s="509"/>
      <c r="Z2996" s="466"/>
      <c r="AA2996" s="466"/>
      <c r="AB2996" s="466"/>
      <c r="AC2996" s="466"/>
      <c r="AD2996" s="466"/>
      <c r="AE2996" s="466"/>
      <c r="AF2996" s="466"/>
      <c r="AG2996" s="466"/>
      <c r="AH2996" s="466"/>
      <c r="AI2996" s="466"/>
      <c r="AJ2996" s="466"/>
      <c r="AK2996" s="466"/>
      <c r="AL2996" s="466"/>
      <c r="AM2996" s="466"/>
      <c r="AN2996" s="466"/>
      <c r="AO2996" s="466"/>
      <c r="AP2996" s="466"/>
      <c r="AQ2996" s="466"/>
      <c r="AR2996" s="466"/>
      <c r="AS2996" s="466"/>
      <c r="AT2996" s="466"/>
      <c r="AU2996" s="466"/>
      <c r="AV2996" s="466"/>
      <c r="AW2996" s="466"/>
      <c r="AX2996" s="466"/>
      <c r="AY2996" s="466"/>
      <c r="AZ2996" s="466"/>
      <c r="BA2996" s="466"/>
      <c r="BB2996" s="466"/>
      <c r="BC2996" s="466"/>
      <c r="BD2996" s="466"/>
      <c r="BE2996" s="467"/>
      <c r="BF2996" s="467"/>
      <c r="BG2996" s="466"/>
      <c r="BH2996" s="466"/>
      <c r="BI2996" s="467"/>
      <c r="BJ2996" s="467"/>
      <c r="BK2996" s="467"/>
      <c r="BL2996" s="467"/>
      <c r="BM2996" s="467"/>
      <c r="BN2996" s="467"/>
      <c r="BO2996" s="467"/>
      <c r="BP2996" s="467"/>
      <c r="BQ2996" s="467"/>
      <c r="BR2996" s="467"/>
      <c r="BS2996" s="467"/>
      <c r="BT2996" s="467"/>
      <c r="BU2996" s="467"/>
      <c r="BV2996" s="467"/>
      <c r="BW2996" s="467"/>
      <c r="BX2996" s="769"/>
      <c r="BY2996" s="769"/>
      <c r="BZ2996" s="769"/>
      <c r="CA2996" s="769"/>
      <c r="CB2996" s="769"/>
      <c r="CC2996" s="769"/>
      <c r="CD2996" s="769"/>
      <c r="CE2996" s="769"/>
      <c r="CF2996" s="769"/>
      <c r="CG2996" s="73"/>
      <c r="CH2996" s="438"/>
      <c r="CI2996" s="416"/>
      <c r="CJ2996" s="73"/>
      <c r="CK2996" s="650"/>
      <c r="CL2996" s="499"/>
      <c r="CM2996" s="650"/>
      <c r="CR2996" s="416"/>
      <c r="CS2996" s="650"/>
      <c r="CU2996" s="73"/>
      <c r="CV2996" s="73"/>
      <c r="CW2996" s="73"/>
      <c r="CX2996" s="73"/>
      <c r="DA2996" s="650"/>
    </row>
    <row r="2997" spans="1:105" s="45" customFormat="1" x14ac:dyDescent="0.2">
      <c r="A2997" s="650"/>
      <c r="B2997" s="438"/>
      <c r="D2997" s="73"/>
      <c r="E2997" s="650"/>
      <c r="F2997" s="650"/>
      <c r="G2997" s="73"/>
      <c r="I2997" s="111"/>
      <c r="J2997" s="81"/>
      <c r="K2997" s="81"/>
      <c r="L2997" s="499"/>
      <c r="M2997" s="73"/>
      <c r="N2997" s="499"/>
      <c r="O2997" s="73"/>
      <c r="P2997" s="73"/>
      <c r="Q2997" s="73"/>
      <c r="R2997" s="176"/>
      <c r="S2997" s="176"/>
      <c r="T2997" s="176"/>
      <c r="U2997" s="400"/>
      <c r="V2997" s="400"/>
      <c r="W2997" s="732"/>
      <c r="X2997" s="167"/>
      <c r="Y2997" s="509"/>
      <c r="Z2997" s="466"/>
      <c r="AA2997" s="466"/>
      <c r="AB2997" s="466"/>
      <c r="AC2997" s="466"/>
      <c r="AD2997" s="466"/>
      <c r="AE2997" s="466"/>
      <c r="AF2997" s="466"/>
      <c r="AG2997" s="466"/>
      <c r="AH2997" s="466"/>
      <c r="AI2997" s="466"/>
      <c r="AJ2997" s="466"/>
      <c r="AK2997" s="466"/>
      <c r="AL2997" s="466"/>
      <c r="AM2997" s="466"/>
      <c r="AN2997" s="466"/>
      <c r="AO2997" s="466"/>
      <c r="AP2997" s="466"/>
      <c r="AQ2997" s="466"/>
      <c r="AR2997" s="466"/>
      <c r="AS2997" s="466"/>
      <c r="AT2997" s="466"/>
      <c r="AU2997" s="466"/>
      <c r="AV2997" s="466"/>
      <c r="AW2997" s="466"/>
      <c r="AX2997" s="466"/>
      <c r="AY2997" s="466"/>
      <c r="AZ2997" s="466"/>
      <c r="BA2997" s="466"/>
      <c r="BB2997" s="466"/>
      <c r="BC2997" s="466"/>
      <c r="BD2997" s="466"/>
      <c r="BE2997" s="467"/>
      <c r="BF2997" s="467"/>
      <c r="BG2997" s="466"/>
      <c r="BH2997" s="466"/>
      <c r="BI2997" s="467"/>
      <c r="BJ2997" s="467"/>
      <c r="BK2997" s="467"/>
      <c r="BL2997" s="467"/>
      <c r="BM2997" s="467"/>
      <c r="BN2997" s="467"/>
      <c r="BO2997" s="467"/>
      <c r="BP2997" s="467"/>
      <c r="BQ2997" s="467"/>
      <c r="BR2997" s="467"/>
      <c r="BS2997" s="467"/>
      <c r="BT2997" s="467"/>
      <c r="BU2997" s="467"/>
      <c r="BV2997" s="467"/>
      <c r="BW2997" s="467"/>
      <c r="BX2997" s="769"/>
      <c r="BY2997" s="769"/>
      <c r="BZ2997" s="769"/>
      <c r="CA2997" s="769"/>
      <c r="CB2997" s="769"/>
      <c r="CC2997" s="769"/>
      <c r="CD2997" s="769"/>
      <c r="CE2997" s="769"/>
      <c r="CF2997" s="769"/>
      <c r="CG2997" s="73"/>
      <c r="CH2997" s="438"/>
      <c r="CI2997" s="416"/>
      <c r="CJ2997" s="73"/>
      <c r="CK2997" s="650"/>
      <c r="CL2997" s="499"/>
      <c r="CM2997" s="650"/>
      <c r="CR2997" s="416"/>
      <c r="CS2997" s="650"/>
      <c r="CU2997" s="73"/>
      <c r="CV2997" s="73"/>
      <c r="CW2997" s="73"/>
      <c r="CX2997" s="73"/>
      <c r="DA2997" s="650"/>
    </row>
    <row r="2998" spans="1:105" s="45" customFormat="1" x14ac:dyDescent="0.2">
      <c r="A2998" s="650"/>
      <c r="B2998" s="438"/>
      <c r="D2998" s="73"/>
      <c r="E2998" s="650"/>
      <c r="F2998" s="650"/>
      <c r="G2998" s="73"/>
      <c r="I2998" s="111"/>
      <c r="J2998" s="81"/>
      <c r="K2998" s="81"/>
      <c r="L2998" s="499"/>
      <c r="M2998" s="73"/>
      <c r="N2998" s="499"/>
      <c r="O2998" s="73"/>
      <c r="P2998" s="73"/>
      <c r="Q2998" s="73"/>
      <c r="R2998" s="176"/>
      <c r="S2998" s="176"/>
      <c r="T2998" s="176"/>
      <c r="U2998" s="400"/>
      <c r="V2998" s="400"/>
      <c r="W2998" s="732"/>
      <c r="X2998" s="167"/>
      <c r="Y2998" s="509"/>
      <c r="Z2998" s="466"/>
      <c r="AA2998" s="466"/>
      <c r="AB2998" s="466"/>
      <c r="AC2998" s="466"/>
      <c r="AD2998" s="466"/>
      <c r="AE2998" s="466"/>
      <c r="AF2998" s="466"/>
      <c r="AG2998" s="466"/>
      <c r="AH2998" s="466"/>
      <c r="AI2998" s="466"/>
      <c r="AJ2998" s="466"/>
      <c r="AK2998" s="466"/>
      <c r="AL2998" s="466"/>
      <c r="AM2998" s="466"/>
      <c r="AN2998" s="466"/>
      <c r="AO2998" s="466"/>
      <c r="AP2998" s="466"/>
      <c r="AQ2998" s="466"/>
      <c r="AR2998" s="466"/>
      <c r="AS2998" s="466"/>
      <c r="AT2998" s="466"/>
      <c r="AU2998" s="466"/>
      <c r="AV2998" s="466"/>
      <c r="AW2998" s="466"/>
      <c r="AX2998" s="466"/>
      <c r="AY2998" s="466"/>
      <c r="AZ2998" s="466"/>
      <c r="BA2998" s="466"/>
      <c r="BB2998" s="466"/>
      <c r="BC2998" s="466"/>
      <c r="BD2998" s="466"/>
      <c r="BE2998" s="467"/>
      <c r="BF2998" s="467"/>
      <c r="BG2998" s="466"/>
      <c r="BH2998" s="466"/>
      <c r="BI2998" s="467"/>
      <c r="BJ2998" s="467"/>
      <c r="BK2998" s="467"/>
      <c r="BL2998" s="467"/>
      <c r="BM2998" s="467"/>
      <c r="BN2998" s="467"/>
      <c r="BO2998" s="467"/>
      <c r="BP2998" s="467"/>
      <c r="BQ2998" s="467"/>
      <c r="BR2998" s="467"/>
      <c r="BS2998" s="467"/>
      <c r="BT2998" s="467"/>
      <c r="BU2998" s="467"/>
      <c r="BV2998" s="467"/>
      <c r="BW2998" s="467"/>
      <c r="BX2998" s="769"/>
      <c r="BY2998" s="769"/>
      <c r="BZ2998" s="769"/>
      <c r="CA2998" s="769"/>
      <c r="CB2998" s="769"/>
      <c r="CC2998" s="769"/>
      <c r="CD2998" s="769"/>
      <c r="CE2998" s="769"/>
      <c r="CF2998" s="769"/>
      <c r="CG2998" s="73"/>
      <c r="CH2998" s="438"/>
      <c r="CI2998" s="416"/>
      <c r="CJ2998" s="73"/>
      <c r="CK2998" s="650"/>
      <c r="CL2998" s="499"/>
      <c r="CM2998" s="650"/>
      <c r="CR2998" s="416"/>
      <c r="CS2998" s="650"/>
      <c r="CU2998" s="73"/>
      <c r="CV2998" s="73"/>
      <c r="CW2998" s="73"/>
      <c r="CX2998" s="73"/>
      <c r="DA2998" s="650"/>
    </row>
    <row r="2999" spans="1:105" s="45" customFormat="1" x14ac:dyDescent="0.2">
      <c r="A2999" s="650"/>
      <c r="B2999" s="438"/>
      <c r="D2999" s="73"/>
      <c r="E2999" s="650"/>
      <c r="F2999" s="650"/>
      <c r="G2999" s="73"/>
      <c r="I2999" s="111"/>
      <c r="J2999" s="81"/>
      <c r="K2999" s="81"/>
      <c r="L2999" s="499"/>
      <c r="M2999" s="73"/>
      <c r="N2999" s="499"/>
      <c r="O2999" s="73"/>
      <c r="P2999" s="73"/>
      <c r="Q2999" s="73"/>
      <c r="R2999" s="176"/>
      <c r="S2999" s="176"/>
      <c r="T2999" s="176"/>
      <c r="U2999" s="400"/>
      <c r="V2999" s="400"/>
      <c r="W2999" s="732"/>
      <c r="X2999" s="167"/>
      <c r="Y2999" s="509"/>
      <c r="Z2999" s="466"/>
      <c r="AA2999" s="466"/>
      <c r="AB2999" s="466"/>
      <c r="AC2999" s="466"/>
      <c r="AD2999" s="466"/>
      <c r="AE2999" s="466"/>
      <c r="AF2999" s="466"/>
      <c r="AG2999" s="466"/>
      <c r="AH2999" s="466"/>
      <c r="AI2999" s="466"/>
      <c r="AJ2999" s="466"/>
      <c r="AK2999" s="466"/>
      <c r="AL2999" s="466"/>
      <c r="AM2999" s="466"/>
      <c r="AN2999" s="466"/>
      <c r="AO2999" s="466"/>
      <c r="AP2999" s="466"/>
      <c r="AQ2999" s="466"/>
      <c r="AR2999" s="466"/>
      <c r="AS2999" s="466"/>
      <c r="AT2999" s="466"/>
      <c r="AU2999" s="466"/>
      <c r="AV2999" s="466"/>
      <c r="AW2999" s="466"/>
      <c r="AX2999" s="466"/>
      <c r="AY2999" s="466"/>
      <c r="AZ2999" s="466"/>
      <c r="BA2999" s="466"/>
      <c r="BB2999" s="466"/>
      <c r="BC2999" s="466"/>
      <c r="BD2999" s="466"/>
      <c r="BE2999" s="467"/>
      <c r="BF2999" s="467"/>
      <c r="BG2999" s="466"/>
      <c r="BH2999" s="466"/>
      <c r="BI2999" s="467"/>
      <c r="BJ2999" s="467"/>
      <c r="BK2999" s="467"/>
      <c r="BL2999" s="467"/>
      <c r="BM2999" s="467"/>
      <c r="BN2999" s="467"/>
      <c r="BO2999" s="467"/>
      <c r="BP2999" s="467"/>
      <c r="BQ2999" s="467"/>
      <c r="BR2999" s="467"/>
      <c r="BS2999" s="467"/>
      <c r="BT2999" s="467"/>
      <c r="BU2999" s="467"/>
      <c r="BV2999" s="467"/>
      <c r="BW2999" s="467"/>
      <c r="BX2999" s="769"/>
      <c r="BY2999" s="769"/>
      <c r="BZ2999" s="769"/>
      <c r="CA2999" s="769"/>
      <c r="CB2999" s="769"/>
      <c r="CC2999" s="769"/>
      <c r="CD2999" s="769"/>
      <c r="CE2999" s="769"/>
      <c r="CF2999" s="769"/>
      <c r="CG2999" s="73"/>
      <c r="CH2999" s="438"/>
      <c r="CI2999" s="416"/>
      <c r="CJ2999" s="73"/>
      <c r="CK2999" s="650"/>
      <c r="CL2999" s="499"/>
      <c r="CM2999" s="650"/>
      <c r="CR2999" s="416"/>
      <c r="CS2999" s="650"/>
      <c r="CU2999" s="73"/>
      <c r="CV2999" s="73"/>
      <c r="CW2999" s="73"/>
      <c r="CX2999" s="73"/>
      <c r="DA2999" s="650"/>
    </row>
    <row r="3000" spans="1:105" s="45" customFormat="1" x14ac:dyDescent="0.2">
      <c r="A3000" s="650"/>
      <c r="B3000" s="438"/>
      <c r="D3000" s="73"/>
      <c r="E3000" s="650"/>
      <c r="F3000" s="650"/>
      <c r="G3000" s="73"/>
      <c r="I3000" s="111"/>
      <c r="J3000" s="81"/>
      <c r="K3000" s="81"/>
      <c r="L3000" s="499"/>
      <c r="M3000" s="73"/>
      <c r="N3000" s="499"/>
      <c r="O3000" s="73"/>
      <c r="P3000" s="73"/>
      <c r="Q3000" s="73"/>
      <c r="R3000" s="176"/>
      <c r="S3000" s="176"/>
      <c r="T3000" s="176"/>
      <c r="U3000" s="400"/>
      <c r="V3000" s="400"/>
      <c r="W3000" s="732"/>
      <c r="X3000" s="167"/>
      <c r="Y3000" s="509"/>
      <c r="Z3000" s="466"/>
      <c r="AA3000" s="466"/>
      <c r="AB3000" s="466"/>
      <c r="AC3000" s="466"/>
      <c r="AD3000" s="466"/>
      <c r="AE3000" s="466"/>
      <c r="AF3000" s="466"/>
      <c r="AG3000" s="466"/>
      <c r="AH3000" s="466"/>
      <c r="AI3000" s="466"/>
      <c r="AJ3000" s="466"/>
      <c r="AK3000" s="466"/>
      <c r="AL3000" s="466"/>
      <c r="AM3000" s="466"/>
      <c r="AN3000" s="466"/>
      <c r="AO3000" s="466"/>
      <c r="AP3000" s="466"/>
      <c r="AQ3000" s="466"/>
      <c r="AR3000" s="466"/>
      <c r="AS3000" s="466"/>
      <c r="AT3000" s="466"/>
      <c r="AU3000" s="466"/>
      <c r="AV3000" s="466"/>
      <c r="AW3000" s="466"/>
      <c r="AX3000" s="466"/>
      <c r="AY3000" s="466"/>
      <c r="AZ3000" s="466"/>
      <c r="BA3000" s="466"/>
      <c r="BB3000" s="466"/>
      <c r="BC3000" s="466"/>
      <c r="BD3000" s="466"/>
      <c r="BE3000" s="467"/>
      <c r="BF3000" s="467"/>
      <c r="BG3000" s="466"/>
      <c r="BH3000" s="466"/>
      <c r="BI3000" s="467"/>
      <c r="BJ3000" s="467"/>
      <c r="BK3000" s="467"/>
      <c r="BL3000" s="467"/>
      <c r="BM3000" s="467"/>
      <c r="BN3000" s="467"/>
      <c r="BO3000" s="467"/>
      <c r="BP3000" s="467"/>
      <c r="BQ3000" s="467"/>
      <c r="BR3000" s="467"/>
      <c r="BS3000" s="467"/>
      <c r="BT3000" s="467"/>
      <c r="BU3000" s="467"/>
      <c r="BV3000" s="467"/>
      <c r="BW3000" s="467"/>
      <c r="BX3000" s="769"/>
      <c r="BY3000" s="769"/>
      <c r="BZ3000" s="769"/>
      <c r="CA3000" s="769"/>
      <c r="CB3000" s="769"/>
      <c r="CC3000" s="769"/>
      <c r="CD3000" s="769"/>
      <c r="CE3000" s="769"/>
      <c r="CF3000" s="769"/>
      <c r="CG3000" s="73"/>
      <c r="CH3000" s="438"/>
      <c r="CI3000" s="416"/>
      <c r="CJ3000" s="73"/>
      <c r="CK3000" s="650"/>
      <c r="CL3000" s="499"/>
      <c r="CM3000" s="650"/>
      <c r="CR3000" s="416"/>
      <c r="CS3000" s="650"/>
      <c r="CU3000" s="73"/>
      <c r="CV3000" s="73"/>
      <c r="CW3000" s="73"/>
      <c r="CX3000" s="73"/>
      <c r="DA3000" s="650"/>
    </row>
    <row r="3001" spans="1:105" s="45" customFormat="1" x14ac:dyDescent="0.2">
      <c r="A3001" s="650"/>
      <c r="B3001" s="438"/>
      <c r="D3001" s="73"/>
      <c r="E3001" s="650"/>
      <c r="F3001" s="650"/>
      <c r="G3001" s="73"/>
      <c r="I3001" s="111"/>
      <c r="J3001" s="81"/>
      <c r="K3001" s="81"/>
      <c r="L3001" s="499"/>
      <c r="M3001" s="73"/>
      <c r="N3001" s="499"/>
      <c r="O3001" s="73"/>
      <c r="P3001" s="73"/>
      <c r="Q3001" s="73"/>
      <c r="R3001" s="176"/>
      <c r="S3001" s="176"/>
      <c r="T3001" s="176"/>
      <c r="U3001" s="400"/>
      <c r="V3001" s="400"/>
      <c r="W3001" s="732"/>
      <c r="X3001" s="167"/>
      <c r="Y3001" s="509"/>
      <c r="Z3001" s="466"/>
      <c r="AA3001" s="466"/>
      <c r="AB3001" s="466"/>
      <c r="AC3001" s="466"/>
      <c r="AD3001" s="466"/>
      <c r="AE3001" s="466"/>
      <c r="AF3001" s="466"/>
      <c r="AG3001" s="466"/>
      <c r="AH3001" s="466"/>
      <c r="AI3001" s="466"/>
      <c r="AJ3001" s="466"/>
      <c r="AK3001" s="466"/>
      <c r="AL3001" s="466"/>
      <c r="AM3001" s="466"/>
      <c r="AN3001" s="466"/>
      <c r="AO3001" s="466"/>
      <c r="AP3001" s="466"/>
      <c r="AQ3001" s="466"/>
      <c r="AR3001" s="466"/>
      <c r="AS3001" s="466"/>
      <c r="AT3001" s="466"/>
      <c r="AU3001" s="466"/>
      <c r="AV3001" s="466"/>
      <c r="AW3001" s="466"/>
      <c r="AX3001" s="466"/>
      <c r="AY3001" s="466"/>
      <c r="AZ3001" s="466"/>
      <c r="BA3001" s="466"/>
      <c r="BB3001" s="466"/>
      <c r="BC3001" s="466"/>
      <c r="BD3001" s="466"/>
      <c r="BE3001" s="467"/>
      <c r="BF3001" s="467"/>
      <c r="BG3001" s="466"/>
      <c r="BH3001" s="466"/>
      <c r="BI3001" s="467"/>
      <c r="BJ3001" s="467"/>
      <c r="BK3001" s="467"/>
      <c r="BL3001" s="467"/>
      <c r="BM3001" s="467"/>
      <c r="BN3001" s="467"/>
      <c r="BO3001" s="467"/>
      <c r="BP3001" s="467"/>
      <c r="BQ3001" s="467"/>
      <c r="BR3001" s="467"/>
      <c r="BS3001" s="467"/>
      <c r="BT3001" s="467"/>
      <c r="BU3001" s="467"/>
      <c r="BV3001" s="467"/>
      <c r="BW3001" s="467"/>
      <c r="BX3001" s="769"/>
      <c r="BY3001" s="769"/>
      <c r="BZ3001" s="769"/>
      <c r="CA3001" s="769"/>
      <c r="CB3001" s="769"/>
      <c r="CC3001" s="769"/>
      <c r="CD3001" s="769"/>
      <c r="CE3001" s="769"/>
      <c r="CF3001" s="769"/>
      <c r="CG3001" s="73"/>
      <c r="CH3001" s="438"/>
      <c r="CI3001" s="416"/>
      <c r="CJ3001" s="73"/>
      <c r="CK3001" s="650"/>
      <c r="CL3001" s="499"/>
      <c r="CM3001" s="650"/>
      <c r="CR3001" s="416"/>
      <c r="CS3001" s="650"/>
      <c r="CU3001" s="73"/>
      <c r="CV3001" s="73"/>
      <c r="CW3001" s="73"/>
      <c r="CX3001" s="73"/>
      <c r="DA3001" s="650"/>
    </row>
    <row r="3002" spans="1:105" s="45" customFormat="1" x14ac:dyDescent="0.2">
      <c r="A3002" s="650"/>
      <c r="B3002" s="438"/>
      <c r="D3002" s="73"/>
      <c r="E3002" s="650"/>
      <c r="F3002" s="650"/>
      <c r="G3002" s="73"/>
      <c r="I3002" s="111"/>
      <c r="J3002" s="81"/>
      <c r="K3002" s="81"/>
      <c r="L3002" s="499"/>
      <c r="M3002" s="73"/>
      <c r="N3002" s="499"/>
      <c r="O3002" s="73"/>
      <c r="P3002" s="73"/>
      <c r="Q3002" s="73"/>
      <c r="R3002" s="176"/>
      <c r="S3002" s="176"/>
      <c r="T3002" s="176"/>
      <c r="U3002" s="400"/>
      <c r="V3002" s="400"/>
      <c r="W3002" s="732"/>
      <c r="X3002" s="167"/>
      <c r="Y3002" s="509"/>
      <c r="Z3002" s="466"/>
      <c r="AA3002" s="466"/>
      <c r="AB3002" s="466"/>
      <c r="AC3002" s="466"/>
      <c r="AD3002" s="466"/>
      <c r="AE3002" s="466"/>
      <c r="AF3002" s="466"/>
      <c r="AG3002" s="466"/>
      <c r="AH3002" s="466"/>
      <c r="AI3002" s="466"/>
      <c r="AJ3002" s="466"/>
      <c r="AK3002" s="466"/>
      <c r="AL3002" s="466"/>
      <c r="AM3002" s="466"/>
      <c r="AN3002" s="466"/>
      <c r="AO3002" s="466"/>
      <c r="AP3002" s="466"/>
      <c r="AQ3002" s="466"/>
      <c r="AR3002" s="466"/>
      <c r="AS3002" s="466"/>
      <c r="AT3002" s="466"/>
      <c r="AU3002" s="466"/>
      <c r="AV3002" s="466"/>
      <c r="AW3002" s="466"/>
      <c r="AX3002" s="466"/>
      <c r="AY3002" s="466"/>
      <c r="AZ3002" s="466"/>
      <c r="BA3002" s="466"/>
      <c r="BB3002" s="466"/>
      <c r="BC3002" s="466"/>
      <c r="BD3002" s="466"/>
      <c r="BE3002" s="467"/>
      <c r="BF3002" s="467"/>
      <c r="BG3002" s="466"/>
      <c r="BH3002" s="466"/>
      <c r="BI3002" s="467"/>
      <c r="BJ3002" s="467"/>
      <c r="BK3002" s="467"/>
      <c r="BL3002" s="467"/>
      <c r="BM3002" s="467"/>
      <c r="BN3002" s="467"/>
      <c r="BO3002" s="467"/>
      <c r="BP3002" s="467"/>
      <c r="BQ3002" s="467"/>
      <c r="BR3002" s="467"/>
      <c r="BS3002" s="467"/>
      <c r="BT3002" s="467"/>
      <c r="BU3002" s="467"/>
      <c r="BV3002" s="467"/>
      <c r="BW3002" s="467"/>
      <c r="BX3002" s="769"/>
      <c r="BY3002" s="769"/>
      <c r="BZ3002" s="769"/>
      <c r="CA3002" s="769"/>
      <c r="CB3002" s="769"/>
      <c r="CC3002" s="769"/>
      <c r="CD3002" s="769"/>
      <c r="CE3002" s="769"/>
      <c r="CF3002" s="769"/>
      <c r="CG3002" s="73"/>
      <c r="CH3002" s="438"/>
      <c r="CI3002" s="416"/>
      <c r="CJ3002" s="73"/>
      <c r="CK3002" s="650"/>
      <c r="CL3002" s="499"/>
      <c r="CM3002" s="650"/>
      <c r="CR3002" s="416"/>
      <c r="CS3002" s="650"/>
      <c r="CU3002" s="73"/>
      <c r="CV3002" s="73"/>
      <c r="CW3002" s="73"/>
      <c r="CX3002" s="73"/>
      <c r="DA3002" s="650"/>
    </row>
    <row r="3003" spans="1:105" s="45" customFormat="1" x14ac:dyDescent="0.2">
      <c r="A3003" s="650"/>
      <c r="B3003" s="438"/>
      <c r="D3003" s="73"/>
      <c r="E3003" s="650"/>
      <c r="F3003" s="650"/>
      <c r="G3003" s="73"/>
      <c r="I3003" s="111"/>
      <c r="J3003" s="81"/>
      <c r="K3003" s="81"/>
      <c r="L3003" s="499"/>
      <c r="M3003" s="73"/>
      <c r="N3003" s="499"/>
      <c r="O3003" s="73"/>
      <c r="P3003" s="73"/>
      <c r="Q3003" s="73"/>
      <c r="R3003" s="176"/>
      <c r="S3003" s="176"/>
      <c r="T3003" s="176"/>
      <c r="U3003" s="400"/>
      <c r="V3003" s="400"/>
      <c r="W3003" s="732"/>
      <c r="X3003" s="167"/>
      <c r="Y3003" s="509"/>
      <c r="Z3003" s="466"/>
      <c r="AA3003" s="466"/>
      <c r="AB3003" s="466"/>
      <c r="AC3003" s="466"/>
      <c r="AD3003" s="466"/>
      <c r="AE3003" s="466"/>
      <c r="AF3003" s="466"/>
      <c r="AG3003" s="466"/>
      <c r="AH3003" s="466"/>
      <c r="AI3003" s="466"/>
      <c r="AJ3003" s="466"/>
      <c r="AK3003" s="466"/>
      <c r="AL3003" s="466"/>
      <c r="AM3003" s="466"/>
      <c r="AN3003" s="466"/>
      <c r="AO3003" s="466"/>
      <c r="AP3003" s="466"/>
      <c r="AQ3003" s="466"/>
      <c r="AR3003" s="466"/>
      <c r="AS3003" s="466"/>
      <c r="AT3003" s="466"/>
      <c r="AU3003" s="466"/>
      <c r="AV3003" s="466"/>
      <c r="AW3003" s="466"/>
      <c r="AX3003" s="466"/>
      <c r="AY3003" s="466"/>
      <c r="AZ3003" s="466"/>
      <c r="BA3003" s="466"/>
      <c r="BB3003" s="466"/>
      <c r="BC3003" s="466"/>
      <c r="BD3003" s="466"/>
      <c r="BE3003" s="467"/>
      <c r="BF3003" s="467"/>
      <c r="BG3003" s="466"/>
      <c r="BH3003" s="466"/>
      <c r="BI3003" s="467"/>
      <c r="BJ3003" s="467"/>
      <c r="BK3003" s="467"/>
      <c r="BL3003" s="467"/>
      <c r="BM3003" s="467"/>
      <c r="BN3003" s="467"/>
      <c r="BO3003" s="467"/>
      <c r="BP3003" s="467"/>
      <c r="BQ3003" s="467"/>
      <c r="BR3003" s="467"/>
      <c r="BS3003" s="467"/>
      <c r="BT3003" s="467"/>
      <c r="BU3003" s="467"/>
      <c r="BV3003" s="467"/>
      <c r="BW3003" s="467"/>
      <c r="BX3003" s="769"/>
      <c r="BY3003" s="769"/>
      <c r="BZ3003" s="769"/>
      <c r="CA3003" s="769"/>
      <c r="CB3003" s="769"/>
      <c r="CC3003" s="769"/>
      <c r="CD3003" s="769"/>
      <c r="CE3003" s="769"/>
      <c r="CF3003" s="769"/>
      <c r="CG3003" s="73"/>
      <c r="CH3003" s="438"/>
      <c r="CI3003" s="416"/>
      <c r="CJ3003" s="73"/>
      <c r="CK3003" s="650"/>
      <c r="CL3003" s="499"/>
      <c r="CM3003" s="650"/>
      <c r="CR3003" s="416"/>
      <c r="CS3003" s="650"/>
      <c r="CU3003" s="73"/>
      <c r="CV3003" s="73"/>
      <c r="CW3003" s="73"/>
      <c r="CX3003" s="73"/>
      <c r="DA3003" s="650"/>
    </row>
    <row r="3004" spans="1:105" s="45" customFormat="1" x14ac:dyDescent="0.2">
      <c r="A3004" s="650"/>
      <c r="B3004" s="438"/>
      <c r="D3004" s="73"/>
      <c r="E3004" s="650"/>
      <c r="F3004" s="650"/>
      <c r="G3004" s="73"/>
      <c r="I3004" s="111"/>
      <c r="J3004" s="81"/>
      <c r="K3004" s="81"/>
      <c r="L3004" s="499"/>
      <c r="M3004" s="73"/>
      <c r="N3004" s="499"/>
      <c r="O3004" s="73"/>
      <c r="P3004" s="73"/>
      <c r="Q3004" s="73"/>
      <c r="R3004" s="176"/>
      <c r="S3004" s="176"/>
      <c r="T3004" s="176"/>
      <c r="U3004" s="400"/>
      <c r="V3004" s="400"/>
      <c r="W3004" s="732"/>
      <c r="X3004" s="167"/>
      <c r="Y3004" s="509"/>
      <c r="Z3004" s="466"/>
      <c r="AA3004" s="466"/>
      <c r="AB3004" s="466"/>
      <c r="AC3004" s="466"/>
      <c r="AD3004" s="466"/>
      <c r="AE3004" s="466"/>
      <c r="AF3004" s="466"/>
      <c r="AG3004" s="466"/>
      <c r="AH3004" s="466"/>
      <c r="AI3004" s="466"/>
      <c r="AJ3004" s="466"/>
      <c r="AK3004" s="466"/>
      <c r="AL3004" s="466"/>
      <c r="AM3004" s="466"/>
      <c r="AN3004" s="466"/>
      <c r="AO3004" s="466"/>
      <c r="AP3004" s="466"/>
      <c r="AQ3004" s="466"/>
      <c r="AR3004" s="466"/>
      <c r="AS3004" s="466"/>
      <c r="AT3004" s="466"/>
      <c r="AU3004" s="466"/>
      <c r="AV3004" s="466"/>
      <c r="AW3004" s="466"/>
      <c r="AX3004" s="466"/>
      <c r="AY3004" s="466"/>
      <c r="AZ3004" s="466"/>
      <c r="BA3004" s="466"/>
      <c r="BB3004" s="466"/>
      <c r="BC3004" s="466"/>
      <c r="BD3004" s="466"/>
      <c r="BE3004" s="467"/>
      <c r="BF3004" s="467"/>
      <c r="BG3004" s="466"/>
      <c r="BH3004" s="466"/>
      <c r="BI3004" s="467"/>
      <c r="BJ3004" s="467"/>
      <c r="BK3004" s="467"/>
      <c r="BL3004" s="467"/>
      <c r="BM3004" s="467"/>
      <c r="BN3004" s="467"/>
      <c r="BO3004" s="467"/>
      <c r="BP3004" s="467"/>
      <c r="BQ3004" s="467"/>
      <c r="BR3004" s="467"/>
      <c r="BS3004" s="467"/>
      <c r="BT3004" s="467"/>
      <c r="BU3004" s="467"/>
      <c r="BV3004" s="467"/>
      <c r="BW3004" s="467"/>
      <c r="BX3004" s="769"/>
      <c r="BY3004" s="769"/>
      <c r="BZ3004" s="769"/>
      <c r="CA3004" s="769"/>
      <c r="CB3004" s="769"/>
      <c r="CC3004" s="769"/>
      <c r="CD3004" s="769"/>
      <c r="CE3004" s="769"/>
      <c r="CF3004" s="769"/>
      <c r="CG3004" s="73"/>
      <c r="CH3004" s="438"/>
      <c r="CI3004" s="416"/>
      <c r="CJ3004" s="73"/>
      <c r="CK3004" s="650"/>
      <c r="CL3004" s="499"/>
      <c r="CM3004" s="650"/>
      <c r="CR3004" s="416"/>
      <c r="CS3004" s="650"/>
      <c r="CU3004" s="73"/>
      <c r="CV3004" s="73"/>
      <c r="CW3004" s="73"/>
      <c r="CX3004" s="73"/>
      <c r="DA3004" s="650"/>
    </row>
    <row r="3005" spans="1:105" s="45" customFormat="1" x14ac:dyDescent="0.2">
      <c r="A3005" s="650"/>
      <c r="B3005" s="438"/>
      <c r="D3005" s="73"/>
      <c r="E3005" s="650"/>
      <c r="F3005" s="650"/>
      <c r="G3005" s="73"/>
      <c r="I3005" s="111"/>
      <c r="J3005" s="81"/>
      <c r="K3005" s="81"/>
      <c r="L3005" s="499"/>
      <c r="M3005" s="73"/>
      <c r="N3005" s="499"/>
      <c r="O3005" s="73"/>
      <c r="P3005" s="73"/>
      <c r="Q3005" s="73"/>
      <c r="R3005" s="176"/>
      <c r="S3005" s="176"/>
      <c r="T3005" s="176"/>
      <c r="U3005" s="400"/>
      <c r="V3005" s="400"/>
      <c r="W3005" s="732"/>
      <c r="X3005" s="167"/>
      <c r="Y3005" s="509"/>
      <c r="Z3005" s="466"/>
      <c r="AA3005" s="466"/>
      <c r="AB3005" s="466"/>
      <c r="AC3005" s="466"/>
      <c r="AD3005" s="466"/>
      <c r="AE3005" s="466"/>
      <c r="AF3005" s="466"/>
      <c r="AG3005" s="466"/>
      <c r="AH3005" s="466"/>
      <c r="AI3005" s="466"/>
      <c r="AJ3005" s="466"/>
      <c r="AK3005" s="466"/>
      <c r="AL3005" s="466"/>
      <c r="AM3005" s="466"/>
      <c r="AN3005" s="466"/>
      <c r="AO3005" s="466"/>
      <c r="AP3005" s="466"/>
      <c r="AQ3005" s="466"/>
      <c r="AR3005" s="466"/>
      <c r="AS3005" s="466"/>
      <c r="AT3005" s="466"/>
      <c r="AU3005" s="466"/>
      <c r="AV3005" s="466"/>
      <c r="AW3005" s="466"/>
      <c r="AX3005" s="466"/>
      <c r="AY3005" s="466"/>
      <c r="AZ3005" s="466"/>
      <c r="BA3005" s="466"/>
      <c r="BB3005" s="466"/>
      <c r="BC3005" s="466"/>
      <c r="BD3005" s="466"/>
      <c r="BE3005" s="467"/>
      <c r="BF3005" s="467"/>
      <c r="BG3005" s="466"/>
      <c r="BH3005" s="466"/>
      <c r="BI3005" s="467"/>
      <c r="BJ3005" s="467"/>
      <c r="BK3005" s="467"/>
      <c r="BL3005" s="467"/>
      <c r="BM3005" s="467"/>
      <c r="BN3005" s="467"/>
      <c r="BO3005" s="467"/>
      <c r="BP3005" s="467"/>
      <c r="BQ3005" s="467"/>
      <c r="BR3005" s="467"/>
      <c r="BS3005" s="467"/>
      <c r="BT3005" s="467"/>
      <c r="BU3005" s="467"/>
      <c r="BV3005" s="467"/>
      <c r="BW3005" s="467"/>
      <c r="BX3005" s="769"/>
      <c r="BY3005" s="769"/>
      <c r="BZ3005" s="769"/>
      <c r="CA3005" s="769"/>
      <c r="CB3005" s="769"/>
      <c r="CC3005" s="769"/>
      <c r="CD3005" s="769"/>
      <c r="CE3005" s="769"/>
      <c r="CF3005" s="769"/>
      <c r="CG3005" s="73"/>
      <c r="CH3005" s="438"/>
      <c r="CI3005" s="416"/>
      <c r="CJ3005" s="73"/>
      <c r="CK3005" s="650"/>
      <c r="CL3005" s="499"/>
      <c r="CM3005" s="650"/>
      <c r="CR3005" s="416"/>
      <c r="CS3005" s="650"/>
      <c r="CU3005" s="73"/>
      <c r="CV3005" s="73"/>
      <c r="CW3005" s="73"/>
      <c r="CX3005" s="73"/>
      <c r="DA3005" s="650"/>
    </row>
    <row r="3006" spans="1:105" s="45" customFormat="1" x14ac:dyDescent="0.2">
      <c r="A3006" s="650"/>
      <c r="B3006" s="438"/>
      <c r="D3006" s="73"/>
      <c r="E3006" s="650"/>
      <c r="F3006" s="650"/>
      <c r="G3006" s="73"/>
      <c r="I3006" s="111"/>
      <c r="J3006" s="81"/>
      <c r="K3006" s="81"/>
      <c r="L3006" s="499"/>
      <c r="M3006" s="73"/>
      <c r="N3006" s="499"/>
      <c r="O3006" s="73"/>
      <c r="P3006" s="73"/>
      <c r="Q3006" s="73"/>
      <c r="R3006" s="176"/>
      <c r="S3006" s="176"/>
      <c r="T3006" s="176"/>
      <c r="U3006" s="400"/>
      <c r="V3006" s="400"/>
      <c r="W3006" s="732"/>
      <c r="X3006" s="167"/>
      <c r="Y3006" s="509"/>
      <c r="Z3006" s="466"/>
      <c r="AA3006" s="466"/>
      <c r="AB3006" s="466"/>
      <c r="AC3006" s="466"/>
      <c r="AD3006" s="466"/>
      <c r="AE3006" s="466"/>
      <c r="AF3006" s="466"/>
      <c r="AG3006" s="466"/>
      <c r="AH3006" s="466"/>
      <c r="AI3006" s="466"/>
      <c r="AJ3006" s="466"/>
      <c r="AK3006" s="466"/>
      <c r="AL3006" s="466"/>
      <c r="AM3006" s="466"/>
      <c r="AN3006" s="466"/>
      <c r="AO3006" s="466"/>
      <c r="AP3006" s="466"/>
      <c r="AQ3006" s="466"/>
      <c r="AR3006" s="466"/>
      <c r="AS3006" s="466"/>
      <c r="AT3006" s="466"/>
      <c r="AU3006" s="466"/>
      <c r="AV3006" s="466"/>
      <c r="AW3006" s="466"/>
      <c r="AX3006" s="466"/>
      <c r="AY3006" s="466"/>
      <c r="AZ3006" s="466"/>
      <c r="BA3006" s="466"/>
      <c r="BB3006" s="466"/>
      <c r="BC3006" s="466"/>
      <c r="BD3006" s="466"/>
      <c r="BE3006" s="467"/>
      <c r="BF3006" s="467"/>
      <c r="BG3006" s="466"/>
      <c r="BH3006" s="466"/>
      <c r="BI3006" s="467"/>
      <c r="BJ3006" s="467"/>
      <c r="BK3006" s="467"/>
      <c r="BL3006" s="467"/>
      <c r="BM3006" s="467"/>
      <c r="BN3006" s="467"/>
      <c r="BO3006" s="467"/>
      <c r="BP3006" s="467"/>
      <c r="BQ3006" s="467"/>
      <c r="BR3006" s="467"/>
      <c r="BS3006" s="467"/>
      <c r="BT3006" s="467"/>
      <c r="BU3006" s="467"/>
      <c r="BV3006" s="467"/>
      <c r="BW3006" s="467"/>
      <c r="BX3006" s="769"/>
      <c r="BY3006" s="769"/>
      <c r="BZ3006" s="769"/>
      <c r="CA3006" s="769"/>
      <c r="CB3006" s="769"/>
      <c r="CC3006" s="769"/>
      <c r="CD3006" s="769"/>
      <c r="CE3006" s="769"/>
      <c r="CF3006" s="769"/>
      <c r="CG3006" s="73"/>
      <c r="CH3006" s="438"/>
      <c r="CI3006" s="416"/>
      <c r="CJ3006" s="73"/>
      <c r="CK3006" s="650"/>
      <c r="CL3006" s="499"/>
      <c r="CM3006" s="650"/>
      <c r="CR3006" s="416"/>
      <c r="CS3006" s="650"/>
      <c r="CU3006" s="73"/>
      <c r="CV3006" s="73"/>
      <c r="CW3006" s="73"/>
      <c r="CX3006" s="73"/>
      <c r="DA3006" s="650"/>
    </row>
    <row r="3007" spans="1:105" s="45" customFormat="1" x14ac:dyDescent="0.2">
      <c r="A3007" s="650"/>
      <c r="B3007" s="438"/>
      <c r="D3007" s="73"/>
      <c r="E3007" s="650"/>
      <c r="F3007" s="650"/>
      <c r="G3007" s="73"/>
      <c r="I3007" s="111"/>
      <c r="J3007" s="81"/>
      <c r="K3007" s="81"/>
      <c r="L3007" s="499"/>
      <c r="M3007" s="73"/>
      <c r="N3007" s="499"/>
      <c r="O3007" s="73"/>
      <c r="P3007" s="73"/>
      <c r="Q3007" s="73"/>
      <c r="R3007" s="176"/>
      <c r="S3007" s="176"/>
      <c r="T3007" s="176"/>
      <c r="U3007" s="400"/>
      <c r="V3007" s="400"/>
      <c r="W3007" s="732"/>
      <c r="X3007" s="167"/>
      <c r="Y3007" s="509"/>
      <c r="Z3007" s="466"/>
      <c r="AA3007" s="466"/>
      <c r="AB3007" s="466"/>
      <c r="AC3007" s="466"/>
      <c r="AD3007" s="466"/>
      <c r="AE3007" s="466"/>
      <c r="AF3007" s="466"/>
      <c r="AG3007" s="466"/>
      <c r="AH3007" s="466"/>
      <c r="AI3007" s="466"/>
      <c r="AJ3007" s="466"/>
      <c r="AK3007" s="466"/>
      <c r="AL3007" s="466"/>
      <c r="AM3007" s="466"/>
      <c r="AN3007" s="466"/>
      <c r="AO3007" s="466"/>
      <c r="AP3007" s="466"/>
      <c r="AQ3007" s="466"/>
      <c r="AR3007" s="466"/>
      <c r="AS3007" s="466"/>
      <c r="AT3007" s="466"/>
      <c r="AU3007" s="466"/>
      <c r="AV3007" s="466"/>
      <c r="AW3007" s="466"/>
      <c r="AX3007" s="466"/>
      <c r="AY3007" s="466"/>
      <c r="AZ3007" s="466"/>
      <c r="BA3007" s="466"/>
      <c r="BB3007" s="466"/>
      <c r="BC3007" s="466"/>
      <c r="BD3007" s="466"/>
      <c r="BE3007" s="467"/>
      <c r="BF3007" s="467"/>
      <c r="BG3007" s="466"/>
      <c r="BH3007" s="466"/>
      <c r="BI3007" s="467"/>
      <c r="BJ3007" s="467"/>
      <c r="BK3007" s="467"/>
      <c r="BL3007" s="467"/>
      <c r="BM3007" s="467"/>
      <c r="BN3007" s="467"/>
      <c r="BO3007" s="467"/>
      <c r="BP3007" s="467"/>
      <c r="BQ3007" s="467"/>
      <c r="BR3007" s="467"/>
      <c r="BS3007" s="467"/>
      <c r="BT3007" s="467"/>
      <c r="BU3007" s="467"/>
      <c r="BV3007" s="467"/>
      <c r="BW3007" s="467"/>
      <c r="BX3007" s="769"/>
      <c r="BY3007" s="769"/>
      <c r="BZ3007" s="769"/>
      <c r="CA3007" s="769"/>
      <c r="CB3007" s="769"/>
      <c r="CC3007" s="769"/>
      <c r="CD3007" s="769"/>
      <c r="CE3007" s="769"/>
      <c r="CF3007" s="769"/>
      <c r="CG3007" s="73"/>
      <c r="CH3007" s="438"/>
      <c r="CI3007" s="416"/>
      <c r="CJ3007" s="73"/>
      <c r="CK3007" s="650"/>
      <c r="CL3007" s="499"/>
      <c r="CM3007" s="650"/>
      <c r="CR3007" s="416"/>
      <c r="CS3007" s="650"/>
      <c r="CU3007" s="73"/>
      <c r="CV3007" s="73"/>
      <c r="CW3007" s="73"/>
      <c r="CX3007" s="73"/>
      <c r="DA3007" s="650"/>
    </row>
    <row r="3008" spans="1:105" s="45" customFormat="1" x14ac:dyDescent="0.2">
      <c r="A3008" s="650"/>
      <c r="B3008" s="438"/>
      <c r="D3008" s="73"/>
      <c r="E3008" s="650"/>
      <c r="F3008" s="650"/>
      <c r="G3008" s="73"/>
      <c r="I3008" s="111"/>
      <c r="J3008" s="81"/>
      <c r="K3008" s="81"/>
      <c r="L3008" s="499"/>
      <c r="M3008" s="73"/>
      <c r="N3008" s="499"/>
      <c r="O3008" s="73"/>
      <c r="P3008" s="73"/>
      <c r="Q3008" s="73"/>
      <c r="R3008" s="176"/>
      <c r="S3008" s="176"/>
      <c r="T3008" s="176"/>
      <c r="U3008" s="400"/>
      <c r="V3008" s="400"/>
      <c r="W3008" s="732"/>
      <c r="X3008" s="167"/>
      <c r="Y3008" s="509"/>
      <c r="Z3008" s="466"/>
      <c r="AA3008" s="466"/>
      <c r="AB3008" s="466"/>
      <c r="AC3008" s="466"/>
      <c r="AD3008" s="466"/>
      <c r="AE3008" s="466"/>
      <c r="AF3008" s="466"/>
      <c r="AG3008" s="466"/>
      <c r="AH3008" s="466"/>
      <c r="AI3008" s="466"/>
      <c r="AJ3008" s="466"/>
      <c r="AK3008" s="466"/>
      <c r="AL3008" s="466"/>
      <c r="AM3008" s="466"/>
      <c r="AN3008" s="466"/>
      <c r="AO3008" s="466"/>
      <c r="AP3008" s="466"/>
      <c r="AQ3008" s="466"/>
      <c r="AR3008" s="466"/>
      <c r="AS3008" s="466"/>
      <c r="AT3008" s="466"/>
      <c r="AU3008" s="466"/>
      <c r="AV3008" s="466"/>
      <c r="AW3008" s="466"/>
      <c r="AX3008" s="466"/>
      <c r="AY3008" s="466"/>
      <c r="AZ3008" s="466"/>
      <c r="BA3008" s="466"/>
      <c r="BB3008" s="466"/>
      <c r="BC3008" s="466"/>
      <c r="BD3008" s="466"/>
      <c r="BE3008" s="467"/>
      <c r="BF3008" s="467"/>
      <c r="BG3008" s="466"/>
      <c r="BH3008" s="466"/>
      <c r="BI3008" s="467"/>
      <c r="BJ3008" s="467"/>
      <c r="BK3008" s="467"/>
      <c r="BL3008" s="467"/>
      <c r="BM3008" s="467"/>
      <c r="BN3008" s="467"/>
      <c r="BO3008" s="467"/>
      <c r="BP3008" s="467"/>
      <c r="BQ3008" s="467"/>
      <c r="BR3008" s="467"/>
      <c r="BS3008" s="467"/>
      <c r="BT3008" s="467"/>
      <c r="BU3008" s="467"/>
      <c r="BV3008" s="467"/>
      <c r="BW3008" s="467"/>
      <c r="BX3008" s="769"/>
      <c r="BY3008" s="769"/>
      <c r="BZ3008" s="769"/>
      <c r="CA3008" s="769"/>
      <c r="CB3008" s="769"/>
      <c r="CC3008" s="769"/>
      <c r="CD3008" s="769"/>
      <c r="CE3008" s="769"/>
      <c r="CF3008" s="769"/>
      <c r="CG3008" s="73"/>
      <c r="CH3008" s="438"/>
      <c r="CI3008" s="416"/>
      <c r="CJ3008" s="73"/>
      <c r="CK3008" s="650"/>
      <c r="CL3008" s="499"/>
      <c r="CM3008" s="650"/>
      <c r="CR3008" s="416"/>
      <c r="CS3008" s="650"/>
      <c r="CU3008" s="73"/>
      <c r="CV3008" s="73"/>
      <c r="CW3008" s="73"/>
      <c r="CX3008" s="73"/>
      <c r="DA3008" s="650"/>
    </row>
    <row r="3009" spans="1:105" s="45" customFormat="1" x14ac:dyDescent="0.2">
      <c r="A3009" s="650"/>
      <c r="B3009" s="438"/>
      <c r="D3009" s="73"/>
      <c r="E3009" s="650"/>
      <c r="F3009" s="650"/>
      <c r="G3009" s="73"/>
      <c r="I3009" s="111"/>
      <c r="J3009" s="81"/>
      <c r="K3009" s="81"/>
      <c r="L3009" s="499"/>
      <c r="M3009" s="73"/>
      <c r="N3009" s="499"/>
      <c r="O3009" s="73"/>
      <c r="P3009" s="73"/>
      <c r="Q3009" s="73"/>
      <c r="R3009" s="176"/>
      <c r="S3009" s="176"/>
      <c r="T3009" s="176"/>
      <c r="U3009" s="400"/>
      <c r="V3009" s="400"/>
      <c r="W3009" s="732"/>
      <c r="X3009" s="167"/>
      <c r="Y3009" s="509"/>
      <c r="Z3009" s="466"/>
      <c r="AA3009" s="466"/>
      <c r="AB3009" s="466"/>
      <c r="AC3009" s="466"/>
      <c r="AD3009" s="466"/>
      <c r="AE3009" s="466"/>
      <c r="AF3009" s="466"/>
      <c r="AG3009" s="466"/>
      <c r="AH3009" s="466"/>
      <c r="AI3009" s="466"/>
      <c r="AJ3009" s="466"/>
      <c r="AK3009" s="466"/>
      <c r="AL3009" s="466"/>
      <c r="AM3009" s="466"/>
      <c r="AN3009" s="466"/>
      <c r="AO3009" s="466"/>
      <c r="AP3009" s="466"/>
      <c r="AQ3009" s="466"/>
      <c r="AR3009" s="466"/>
      <c r="AS3009" s="466"/>
      <c r="AT3009" s="466"/>
      <c r="AU3009" s="466"/>
      <c r="AV3009" s="466"/>
      <c r="AW3009" s="466"/>
      <c r="AX3009" s="466"/>
      <c r="AY3009" s="466"/>
      <c r="AZ3009" s="466"/>
      <c r="BA3009" s="466"/>
      <c r="BB3009" s="466"/>
      <c r="BC3009" s="466"/>
      <c r="BD3009" s="466"/>
      <c r="BE3009" s="467"/>
      <c r="BF3009" s="467"/>
      <c r="BG3009" s="466"/>
      <c r="BH3009" s="466"/>
      <c r="BI3009" s="467"/>
      <c r="BJ3009" s="467"/>
      <c r="BK3009" s="467"/>
      <c r="BL3009" s="467"/>
      <c r="BM3009" s="467"/>
      <c r="BN3009" s="467"/>
      <c r="BO3009" s="467"/>
      <c r="BP3009" s="467"/>
      <c r="BQ3009" s="467"/>
      <c r="BR3009" s="467"/>
      <c r="BS3009" s="467"/>
      <c r="BT3009" s="467"/>
      <c r="BU3009" s="467"/>
      <c r="BV3009" s="467"/>
      <c r="BW3009" s="467"/>
      <c r="BX3009" s="769"/>
      <c r="BY3009" s="769"/>
      <c r="BZ3009" s="769"/>
      <c r="CA3009" s="769"/>
      <c r="CB3009" s="769"/>
      <c r="CC3009" s="769"/>
      <c r="CD3009" s="769"/>
      <c r="CE3009" s="769"/>
      <c r="CF3009" s="769"/>
      <c r="CG3009" s="73"/>
      <c r="CH3009" s="438"/>
      <c r="CI3009" s="416"/>
      <c r="CJ3009" s="73"/>
      <c r="CK3009" s="650"/>
      <c r="CL3009" s="499"/>
      <c r="CM3009" s="650"/>
      <c r="CR3009" s="416"/>
      <c r="CS3009" s="650"/>
      <c r="CU3009" s="73"/>
      <c r="CV3009" s="73"/>
      <c r="CW3009" s="73"/>
      <c r="CX3009" s="73"/>
      <c r="DA3009" s="650"/>
    </row>
    <row r="3010" spans="1:105" s="45" customFormat="1" x14ac:dyDescent="0.2">
      <c r="A3010" s="650"/>
      <c r="B3010" s="438"/>
      <c r="D3010" s="73"/>
      <c r="E3010" s="650"/>
      <c r="F3010" s="650"/>
      <c r="G3010" s="73"/>
      <c r="I3010" s="111"/>
      <c r="J3010" s="81"/>
      <c r="K3010" s="81"/>
      <c r="L3010" s="499"/>
      <c r="M3010" s="73"/>
      <c r="N3010" s="499"/>
      <c r="O3010" s="73"/>
      <c r="P3010" s="73"/>
      <c r="Q3010" s="73"/>
      <c r="R3010" s="176"/>
      <c r="S3010" s="176"/>
      <c r="T3010" s="176"/>
      <c r="U3010" s="400"/>
      <c r="V3010" s="400"/>
      <c r="W3010" s="732"/>
      <c r="X3010" s="167"/>
      <c r="Y3010" s="509"/>
      <c r="Z3010" s="466"/>
      <c r="AA3010" s="466"/>
      <c r="AB3010" s="466"/>
      <c r="AC3010" s="466"/>
      <c r="AD3010" s="466"/>
      <c r="AE3010" s="466"/>
      <c r="AF3010" s="466"/>
      <c r="AG3010" s="466"/>
      <c r="AH3010" s="466"/>
      <c r="AI3010" s="466"/>
      <c r="AJ3010" s="466"/>
      <c r="AK3010" s="466"/>
      <c r="AL3010" s="466"/>
      <c r="AM3010" s="466"/>
      <c r="AN3010" s="466"/>
      <c r="AO3010" s="466"/>
      <c r="AP3010" s="466"/>
      <c r="AQ3010" s="466"/>
      <c r="AR3010" s="466"/>
      <c r="AS3010" s="466"/>
      <c r="AT3010" s="466"/>
      <c r="AU3010" s="466"/>
      <c r="AV3010" s="466"/>
      <c r="AW3010" s="466"/>
      <c r="AX3010" s="466"/>
      <c r="AY3010" s="466"/>
      <c r="AZ3010" s="466"/>
      <c r="BA3010" s="466"/>
      <c r="BB3010" s="466"/>
      <c r="BC3010" s="466"/>
      <c r="BD3010" s="466"/>
      <c r="BE3010" s="467"/>
      <c r="BF3010" s="467"/>
      <c r="BG3010" s="466"/>
      <c r="BH3010" s="466"/>
      <c r="BI3010" s="467"/>
      <c r="BJ3010" s="467"/>
      <c r="BK3010" s="467"/>
      <c r="BL3010" s="467"/>
      <c r="BM3010" s="467"/>
      <c r="BN3010" s="467"/>
      <c r="BO3010" s="467"/>
      <c r="BP3010" s="467"/>
      <c r="BQ3010" s="467"/>
      <c r="BR3010" s="467"/>
      <c r="BS3010" s="467"/>
      <c r="BT3010" s="467"/>
      <c r="BU3010" s="467"/>
      <c r="BV3010" s="467"/>
      <c r="BW3010" s="467"/>
      <c r="BX3010" s="769"/>
      <c r="BY3010" s="769"/>
      <c r="BZ3010" s="769"/>
      <c r="CA3010" s="769"/>
      <c r="CB3010" s="769"/>
      <c r="CC3010" s="769"/>
      <c r="CD3010" s="769"/>
      <c r="CE3010" s="769"/>
      <c r="CF3010" s="769"/>
      <c r="CG3010" s="73"/>
      <c r="CH3010" s="438"/>
      <c r="CI3010" s="416"/>
      <c r="CJ3010" s="73"/>
      <c r="CK3010" s="650"/>
      <c r="CL3010" s="499"/>
      <c r="CM3010" s="650"/>
      <c r="CR3010" s="416"/>
      <c r="CS3010" s="650"/>
      <c r="CU3010" s="73"/>
      <c r="CV3010" s="73"/>
      <c r="CW3010" s="73"/>
      <c r="CX3010" s="73"/>
      <c r="DA3010" s="650"/>
    </row>
    <row r="3011" spans="1:105" s="45" customFormat="1" x14ac:dyDescent="0.2">
      <c r="A3011" s="650"/>
      <c r="B3011" s="438"/>
      <c r="D3011" s="73"/>
      <c r="E3011" s="650"/>
      <c r="F3011" s="650"/>
      <c r="G3011" s="73"/>
      <c r="I3011" s="111"/>
      <c r="J3011" s="81"/>
      <c r="K3011" s="81"/>
      <c r="L3011" s="499"/>
      <c r="M3011" s="73"/>
      <c r="N3011" s="499"/>
      <c r="O3011" s="73"/>
      <c r="P3011" s="73"/>
      <c r="Q3011" s="73"/>
      <c r="R3011" s="176"/>
      <c r="S3011" s="176"/>
      <c r="T3011" s="176"/>
      <c r="U3011" s="400"/>
      <c r="V3011" s="400"/>
      <c r="W3011" s="732"/>
      <c r="X3011" s="167"/>
      <c r="Y3011" s="509"/>
      <c r="Z3011" s="466"/>
      <c r="AA3011" s="466"/>
      <c r="AB3011" s="466"/>
      <c r="AC3011" s="466"/>
      <c r="AD3011" s="466"/>
      <c r="AE3011" s="466"/>
      <c r="AF3011" s="466"/>
      <c r="AG3011" s="466"/>
      <c r="AH3011" s="466"/>
      <c r="AI3011" s="466"/>
      <c r="AJ3011" s="466"/>
      <c r="AK3011" s="466"/>
      <c r="AL3011" s="466"/>
      <c r="AM3011" s="466"/>
      <c r="AN3011" s="466"/>
      <c r="AO3011" s="466"/>
      <c r="AP3011" s="466"/>
      <c r="AQ3011" s="466"/>
      <c r="AR3011" s="466"/>
      <c r="AS3011" s="466"/>
      <c r="AT3011" s="466"/>
      <c r="AU3011" s="466"/>
      <c r="AV3011" s="466"/>
      <c r="AW3011" s="466"/>
      <c r="AX3011" s="466"/>
      <c r="AY3011" s="466"/>
      <c r="AZ3011" s="466"/>
      <c r="BA3011" s="466"/>
      <c r="BB3011" s="466"/>
      <c r="BC3011" s="466"/>
      <c r="BD3011" s="466"/>
      <c r="BE3011" s="467"/>
      <c r="BF3011" s="467"/>
      <c r="BG3011" s="466"/>
      <c r="BH3011" s="466"/>
      <c r="BI3011" s="467"/>
      <c r="BJ3011" s="467"/>
      <c r="BK3011" s="467"/>
      <c r="BL3011" s="467"/>
      <c r="BM3011" s="467"/>
      <c r="BN3011" s="467"/>
      <c r="BO3011" s="467"/>
      <c r="BP3011" s="467"/>
      <c r="BQ3011" s="467"/>
      <c r="BR3011" s="467"/>
      <c r="BS3011" s="467"/>
      <c r="BT3011" s="467"/>
      <c r="BU3011" s="467"/>
      <c r="BV3011" s="467"/>
      <c r="BW3011" s="467"/>
      <c r="BX3011" s="769"/>
      <c r="BY3011" s="769"/>
      <c r="BZ3011" s="769"/>
      <c r="CA3011" s="769"/>
      <c r="CB3011" s="769"/>
      <c r="CC3011" s="769"/>
      <c r="CD3011" s="769"/>
      <c r="CE3011" s="769"/>
      <c r="CF3011" s="769"/>
      <c r="CG3011" s="73"/>
      <c r="CH3011" s="438"/>
      <c r="CI3011" s="416"/>
      <c r="CJ3011" s="73"/>
      <c r="CK3011" s="650"/>
      <c r="CL3011" s="499"/>
      <c r="CM3011" s="650"/>
      <c r="CR3011" s="416"/>
      <c r="CS3011" s="650"/>
      <c r="CU3011" s="73"/>
      <c r="CV3011" s="73"/>
      <c r="CW3011" s="73"/>
      <c r="CX3011" s="73"/>
      <c r="DA3011" s="650"/>
    </row>
    <row r="3012" spans="1:105" s="45" customFormat="1" x14ac:dyDescent="0.2">
      <c r="A3012" s="650"/>
      <c r="B3012" s="438"/>
      <c r="D3012" s="73"/>
      <c r="E3012" s="650"/>
      <c r="F3012" s="650"/>
      <c r="G3012" s="73"/>
      <c r="I3012" s="111"/>
      <c r="J3012" s="81"/>
      <c r="K3012" s="81"/>
      <c r="L3012" s="499"/>
      <c r="M3012" s="73"/>
      <c r="N3012" s="499"/>
      <c r="O3012" s="73"/>
      <c r="P3012" s="73"/>
      <c r="Q3012" s="73"/>
      <c r="R3012" s="176"/>
      <c r="S3012" s="176"/>
      <c r="T3012" s="176"/>
      <c r="U3012" s="400"/>
      <c r="V3012" s="400"/>
      <c r="W3012" s="732"/>
      <c r="X3012" s="167"/>
      <c r="Y3012" s="509"/>
      <c r="Z3012" s="466"/>
      <c r="AA3012" s="466"/>
      <c r="AB3012" s="466"/>
      <c r="AC3012" s="466"/>
      <c r="AD3012" s="466"/>
      <c r="AE3012" s="466"/>
      <c r="AF3012" s="466"/>
      <c r="AG3012" s="466"/>
      <c r="AH3012" s="466"/>
      <c r="AI3012" s="466"/>
      <c r="AJ3012" s="466"/>
      <c r="AK3012" s="466"/>
      <c r="AL3012" s="466"/>
      <c r="AM3012" s="466"/>
      <c r="AN3012" s="466"/>
      <c r="AO3012" s="466"/>
      <c r="AP3012" s="466"/>
      <c r="AQ3012" s="466"/>
      <c r="AR3012" s="466"/>
      <c r="AS3012" s="466"/>
      <c r="AT3012" s="466"/>
      <c r="AU3012" s="466"/>
      <c r="AV3012" s="466"/>
      <c r="AW3012" s="466"/>
      <c r="AX3012" s="466"/>
      <c r="AY3012" s="466"/>
      <c r="AZ3012" s="466"/>
      <c r="BA3012" s="466"/>
      <c r="BB3012" s="466"/>
      <c r="BC3012" s="466"/>
      <c r="BD3012" s="466"/>
      <c r="BE3012" s="467"/>
      <c r="BF3012" s="467"/>
      <c r="BG3012" s="466"/>
      <c r="BH3012" s="466"/>
      <c r="BI3012" s="467"/>
      <c r="BJ3012" s="467"/>
      <c r="BK3012" s="467"/>
      <c r="BL3012" s="467"/>
      <c r="BM3012" s="467"/>
      <c r="BN3012" s="467"/>
      <c r="BO3012" s="467"/>
      <c r="BP3012" s="467"/>
      <c r="BQ3012" s="467"/>
      <c r="BR3012" s="467"/>
      <c r="BS3012" s="467"/>
      <c r="BT3012" s="467"/>
      <c r="BU3012" s="467"/>
      <c r="BV3012" s="467"/>
      <c r="BW3012" s="467"/>
      <c r="BX3012" s="769"/>
      <c r="BY3012" s="769"/>
      <c r="BZ3012" s="769"/>
      <c r="CA3012" s="769"/>
      <c r="CB3012" s="769"/>
      <c r="CC3012" s="769"/>
      <c r="CD3012" s="769"/>
      <c r="CE3012" s="769"/>
      <c r="CF3012" s="769"/>
      <c r="CG3012" s="73"/>
      <c r="CH3012" s="438"/>
      <c r="CI3012" s="416"/>
      <c r="CJ3012" s="73"/>
      <c r="CK3012" s="650"/>
      <c r="CL3012" s="499"/>
      <c r="CM3012" s="650"/>
      <c r="CR3012" s="416"/>
      <c r="CS3012" s="650"/>
      <c r="CU3012" s="73"/>
      <c r="CV3012" s="73"/>
      <c r="CW3012" s="73"/>
      <c r="CX3012" s="73"/>
      <c r="DA3012" s="650"/>
    </row>
    <row r="3013" spans="1:105" s="45" customFormat="1" x14ac:dyDescent="0.2">
      <c r="A3013" s="650"/>
      <c r="B3013" s="438"/>
      <c r="D3013" s="73"/>
      <c r="E3013" s="650"/>
      <c r="F3013" s="650"/>
      <c r="G3013" s="73"/>
      <c r="I3013" s="111"/>
      <c r="J3013" s="81"/>
      <c r="K3013" s="81"/>
      <c r="L3013" s="499"/>
      <c r="M3013" s="73"/>
      <c r="N3013" s="499"/>
      <c r="O3013" s="73"/>
      <c r="P3013" s="73"/>
      <c r="Q3013" s="73"/>
      <c r="R3013" s="176"/>
      <c r="S3013" s="176"/>
      <c r="T3013" s="176"/>
      <c r="U3013" s="400"/>
      <c r="V3013" s="400"/>
      <c r="W3013" s="732"/>
      <c r="X3013" s="167"/>
      <c r="Y3013" s="509"/>
      <c r="Z3013" s="466"/>
      <c r="AA3013" s="466"/>
      <c r="AB3013" s="466"/>
      <c r="AC3013" s="466"/>
      <c r="AD3013" s="466"/>
      <c r="AE3013" s="466"/>
      <c r="AF3013" s="466"/>
      <c r="AG3013" s="466"/>
      <c r="AH3013" s="466"/>
      <c r="AI3013" s="466"/>
      <c r="AJ3013" s="466"/>
      <c r="AK3013" s="466"/>
      <c r="AL3013" s="466"/>
      <c r="AM3013" s="466"/>
      <c r="AN3013" s="466"/>
      <c r="AO3013" s="466"/>
      <c r="AP3013" s="466"/>
      <c r="AQ3013" s="466"/>
      <c r="AR3013" s="466"/>
      <c r="AS3013" s="466"/>
      <c r="AT3013" s="466"/>
      <c r="AU3013" s="466"/>
      <c r="AV3013" s="466"/>
      <c r="AW3013" s="466"/>
      <c r="AX3013" s="466"/>
      <c r="AY3013" s="466"/>
      <c r="AZ3013" s="466"/>
      <c r="BA3013" s="466"/>
      <c r="BB3013" s="466"/>
      <c r="BC3013" s="466"/>
      <c r="BD3013" s="466"/>
      <c r="BE3013" s="467"/>
      <c r="BF3013" s="467"/>
      <c r="BG3013" s="466"/>
      <c r="BH3013" s="466"/>
      <c r="BI3013" s="467"/>
      <c r="BJ3013" s="467"/>
      <c r="BK3013" s="467"/>
      <c r="BL3013" s="467"/>
      <c r="BM3013" s="467"/>
      <c r="BN3013" s="467"/>
      <c r="BO3013" s="467"/>
      <c r="BP3013" s="467"/>
      <c r="BQ3013" s="467"/>
      <c r="BR3013" s="467"/>
      <c r="BS3013" s="467"/>
      <c r="BT3013" s="467"/>
      <c r="BU3013" s="467"/>
      <c r="BV3013" s="467"/>
      <c r="BW3013" s="467"/>
      <c r="BX3013" s="769"/>
      <c r="BY3013" s="769"/>
      <c r="BZ3013" s="769"/>
      <c r="CA3013" s="769"/>
      <c r="CB3013" s="769"/>
      <c r="CC3013" s="769"/>
      <c r="CD3013" s="769"/>
      <c r="CE3013" s="769"/>
      <c r="CF3013" s="769"/>
      <c r="CG3013" s="73"/>
      <c r="CH3013" s="438"/>
      <c r="CI3013" s="416"/>
      <c r="CJ3013" s="73"/>
      <c r="CK3013" s="650"/>
      <c r="CL3013" s="499"/>
      <c r="CM3013" s="650"/>
      <c r="CR3013" s="416"/>
      <c r="CS3013" s="650"/>
      <c r="CU3013" s="73"/>
      <c r="CV3013" s="73"/>
      <c r="CW3013" s="73"/>
      <c r="CX3013" s="73"/>
      <c r="DA3013" s="650"/>
    </row>
    <row r="3014" spans="1:105" s="45" customFormat="1" x14ac:dyDescent="0.2">
      <c r="A3014" s="650"/>
      <c r="B3014" s="438"/>
      <c r="D3014" s="73"/>
      <c r="E3014" s="650"/>
      <c r="F3014" s="650"/>
      <c r="G3014" s="73"/>
      <c r="I3014" s="111"/>
      <c r="J3014" s="81"/>
      <c r="K3014" s="81"/>
      <c r="L3014" s="499"/>
      <c r="M3014" s="73"/>
      <c r="N3014" s="499"/>
      <c r="O3014" s="73"/>
      <c r="P3014" s="73"/>
      <c r="Q3014" s="73"/>
      <c r="R3014" s="176"/>
      <c r="S3014" s="176"/>
      <c r="T3014" s="176"/>
      <c r="U3014" s="400"/>
      <c r="V3014" s="400"/>
      <c r="W3014" s="732"/>
      <c r="X3014" s="167"/>
      <c r="Y3014" s="509"/>
      <c r="Z3014" s="466"/>
      <c r="AA3014" s="466"/>
      <c r="AB3014" s="466"/>
      <c r="AC3014" s="466"/>
      <c r="AD3014" s="466"/>
      <c r="AE3014" s="466"/>
      <c r="AF3014" s="466"/>
      <c r="AG3014" s="466"/>
      <c r="AH3014" s="466"/>
      <c r="AI3014" s="466"/>
      <c r="AJ3014" s="466"/>
      <c r="AK3014" s="466"/>
      <c r="AL3014" s="466"/>
      <c r="AM3014" s="466"/>
      <c r="AN3014" s="466"/>
      <c r="AO3014" s="466"/>
      <c r="AP3014" s="466"/>
      <c r="AQ3014" s="466"/>
      <c r="AR3014" s="466"/>
      <c r="AS3014" s="466"/>
      <c r="AT3014" s="466"/>
      <c r="AU3014" s="466"/>
      <c r="AV3014" s="466"/>
      <c r="AW3014" s="466"/>
      <c r="AX3014" s="466"/>
      <c r="AY3014" s="466"/>
      <c r="AZ3014" s="466"/>
      <c r="BA3014" s="466"/>
      <c r="BB3014" s="466"/>
      <c r="BC3014" s="466"/>
      <c r="BD3014" s="466"/>
      <c r="BE3014" s="467"/>
      <c r="BF3014" s="467"/>
      <c r="BG3014" s="466"/>
      <c r="BH3014" s="466"/>
      <c r="BI3014" s="467"/>
      <c r="BJ3014" s="467"/>
      <c r="BK3014" s="467"/>
      <c r="BL3014" s="467"/>
      <c r="BM3014" s="467"/>
      <c r="BN3014" s="467"/>
      <c r="BO3014" s="467"/>
      <c r="BP3014" s="467"/>
      <c r="BQ3014" s="467"/>
      <c r="BR3014" s="467"/>
      <c r="BS3014" s="467"/>
      <c r="BT3014" s="467"/>
      <c r="BU3014" s="467"/>
      <c r="BV3014" s="467"/>
      <c r="BW3014" s="467"/>
      <c r="BX3014" s="769"/>
      <c r="BY3014" s="769"/>
      <c r="BZ3014" s="769"/>
      <c r="CA3014" s="769"/>
      <c r="CB3014" s="769"/>
      <c r="CC3014" s="769"/>
      <c r="CD3014" s="769"/>
      <c r="CE3014" s="769"/>
      <c r="CF3014" s="769"/>
      <c r="CG3014" s="73"/>
      <c r="CH3014" s="438"/>
      <c r="CI3014" s="416"/>
      <c r="CJ3014" s="73"/>
      <c r="CK3014" s="650"/>
      <c r="CL3014" s="499"/>
      <c r="CM3014" s="650"/>
      <c r="CR3014" s="416"/>
      <c r="CS3014" s="650"/>
      <c r="CU3014" s="73"/>
      <c r="CV3014" s="73"/>
      <c r="CW3014" s="73"/>
      <c r="CX3014" s="73"/>
      <c r="DA3014" s="650"/>
    </row>
    <row r="3015" spans="1:105" s="45" customFormat="1" x14ac:dyDescent="0.2">
      <c r="A3015" s="650"/>
      <c r="B3015" s="438"/>
      <c r="D3015" s="73"/>
      <c r="E3015" s="650"/>
      <c r="F3015" s="650"/>
      <c r="G3015" s="73"/>
      <c r="I3015" s="111"/>
      <c r="J3015" s="81"/>
      <c r="K3015" s="81"/>
      <c r="L3015" s="499"/>
      <c r="M3015" s="73"/>
      <c r="N3015" s="499"/>
      <c r="O3015" s="73"/>
      <c r="P3015" s="73"/>
      <c r="Q3015" s="73"/>
      <c r="R3015" s="176"/>
      <c r="S3015" s="176"/>
      <c r="T3015" s="176"/>
      <c r="U3015" s="400"/>
      <c r="V3015" s="400"/>
      <c r="W3015" s="732"/>
      <c r="X3015" s="167"/>
      <c r="Y3015" s="509"/>
      <c r="Z3015" s="466"/>
      <c r="AA3015" s="466"/>
      <c r="AB3015" s="466"/>
      <c r="AC3015" s="466"/>
      <c r="AD3015" s="466"/>
      <c r="AE3015" s="466"/>
      <c r="AF3015" s="466"/>
      <c r="AG3015" s="466"/>
      <c r="AH3015" s="466"/>
      <c r="AI3015" s="466"/>
      <c r="AJ3015" s="466"/>
      <c r="AK3015" s="466"/>
      <c r="AL3015" s="466"/>
      <c r="AM3015" s="466"/>
      <c r="AN3015" s="466"/>
      <c r="AO3015" s="466"/>
      <c r="AP3015" s="466"/>
      <c r="AQ3015" s="466"/>
      <c r="AR3015" s="466"/>
      <c r="AS3015" s="466"/>
      <c r="AT3015" s="466"/>
      <c r="AU3015" s="466"/>
      <c r="AV3015" s="466"/>
      <c r="AW3015" s="466"/>
      <c r="AX3015" s="466"/>
      <c r="AY3015" s="466"/>
      <c r="AZ3015" s="466"/>
      <c r="BA3015" s="466"/>
      <c r="BB3015" s="466"/>
      <c r="BC3015" s="466"/>
      <c r="BD3015" s="466"/>
      <c r="BE3015" s="467"/>
      <c r="BF3015" s="467"/>
      <c r="BG3015" s="466"/>
      <c r="BH3015" s="466"/>
      <c r="BI3015" s="467"/>
      <c r="BJ3015" s="467"/>
      <c r="BK3015" s="467"/>
      <c r="BL3015" s="467"/>
      <c r="BM3015" s="467"/>
      <c r="BN3015" s="467"/>
      <c r="BO3015" s="467"/>
      <c r="BP3015" s="467"/>
      <c r="BQ3015" s="467"/>
      <c r="BR3015" s="467"/>
      <c r="BS3015" s="467"/>
      <c r="BT3015" s="467"/>
      <c r="BU3015" s="467"/>
      <c r="BV3015" s="467"/>
      <c r="BW3015" s="467"/>
      <c r="BX3015" s="769"/>
      <c r="BY3015" s="769"/>
      <c r="BZ3015" s="769"/>
      <c r="CA3015" s="769"/>
      <c r="CB3015" s="769"/>
      <c r="CC3015" s="769"/>
      <c r="CD3015" s="769"/>
      <c r="CE3015" s="769"/>
      <c r="CF3015" s="769"/>
      <c r="CG3015" s="73"/>
      <c r="CH3015" s="438"/>
      <c r="CI3015" s="416"/>
      <c r="CJ3015" s="73"/>
      <c r="CK3015" s="650"/>
      <c r="CL3015" s="499"/>
      <c r="CM3015" s="650"/>
      <c r="CR3015" s="416"/>
      <c r="CS3015" s="650"/>
      <c r="CU3015" s="73"/>
      <c r="CV3015" s="73"/>
      <c r="CW3015" s="73"/>
      <c r="CX3015" s="73"/>
      <c r="DA3015" s="650"/>
    </row>
    <row r="3016" spans="1:105" s="45" customFormat="1" x14ac:dyDescent="0.2">
      <c r="A3016" s="650"/>
      <c r="B3016" s="438"/>
      <c r="D3016" s="73"/>
      <c r="E3016" s="650"/>
      <c r="F3016" s="650"/>
      <c r="G3016" s="73"/>
      <c r="I3016" s="111"/>
      <c r="J3016" s="81"/>
      <c r="K3016" s="81"/>
      <c r="L3016" s="499"/>
      <c r="M3016" s="73"/>
      <c r="N3016" s="499"/>
      <c r="O3016" s="73"/>
      <c r="P3016" s="73"/>
      <c r="Q3016" s="73"/>
      <c r="R3016" s="176"/>
      <c r="S3016" s="176"/>
      <c r="T3016" s="176"/>
      <c r="U3016" s="400"/>
      <c r="V3016" s="400"/>
      <c r="W3016" s="732"/>
      <c r="X3016" s="167"/>
      <c r="Y3016" s="509"/>
      <c r="Z3016" s="466"/>
      <c r="AA3016" s="466"/>
      <c r="AB3016" s="466"/>
      <c r="AC3016" s="466"/>
      <c r="AD3016" s="466"/>
      <c r="AE3016" s="466"/>
      <c r="AF3016" s="466"/>
      <c r="AG3016" s="466"/>
      <c r="AH3016" s="466"/>
      <c r="AI3016" s="466"/>
      <c r="AJ3016" s="466"/>
      <c r="AK3016" s="466"/>
      <c r="AL3016" s="466"/>
      <c r="AM3016" s="466"/>
      <c r="AN3016" s="466"/>
      <c r="AO3016" s="466"/>
      <c r="AP3016" s="466"/>
      <c r="AQ3016" s="466"/>
      <c r="AR3016" s="466"/>
      <c r="AS3016" s="466"/>
      <c r="AT3016" s="466"/>
      <c r="AU3016" s="466"/>
      <c r="AV3016" s="466"/>
      <c r="AW3016" s="466"/>
      <c r="AX3016" s="466"/>
      <c r="AY3016" s="466"/>
      <c r="AZ3016" s="466"/>
      <c r="BA3016" s="466"/>
      <c r="BB3016" s="466"/>
      <c r="BC3016" s="466"/>
      <c r="BD3016" s="466"/>
      <c r="BE3016" s="467"/>
      <c r="BF3016" s="467"/>
      <c r="BG3016" s="466"/>
      <c r="BH3016" s="466"/>
      <c r="BI3016" s="467"/>
      <c r="BJ3016" s="467"/>
      <c r="BK3016" s="467"/>
      <c r="BL3016" s="467"/>
      <c r="BM3016" s="467"/>
      <c r="BN3016" s="467"/>
      <c r="BO3016" s="467"/>
      <c r="BP3016" s="467"/>
      <c r="BQ3016" s="467"/>
      <c r="BR3016" s="467"/>
      <c r="BS3016" s="467"/>
      <c r="BT3016" s="467"/>
      <c r="BU3016" s="467"/>
      <c r="BV3016" s="467"/>
      <c r="BW3016" s="467"/>
      <c r="BX3016" s="769"/>
      <c r="BY3016" s="769"/>
      <c r="BZ3016" s="769"/>
      <c r="CA3016" s="769"/>
      <c r="CB3016" s="769"/>
      <c r="CC3016" s="769"/>
      <c r="CD3016" s="769"/>
      <c r="CE3016" s="769"/>
      <c r="CF3016" s="769"/>
      <c r="CG3016" s="73"/>
      <c r="CH3016" s="438"/>
      <c r="CI3016" s="416"/>
      <c r="CJ3016" s="73"/>
      <c r="CK3016" s="650"/>
      <c r="CL3016" s="499"/>
      <c r="CM3016" s="650"/>
      <c r="CR3016" s="416"/>
      <c r="CS3016" s="650"/>
      <c r="CU3016" s="73"/>
      <c r="CV3016" s="73"/>
      <c r="CW3016" s="73"/>
      <c r="CX3016" s="73"/>
      <c r="DA3016" s="650"/>
    </row>
    <row r="3017" spans="1:105" s="45" customFormat="1" x14ac:dyDescent="0.2">
      <c r="A3017" s="650"/>
      <c r="B3017" s="438"/>
      <c r="D3017" s="73"/>
      <c r="E3017" s="650"/>
      <c r="F3017" s="650"/>
      <c r="G3017" s="73"/>
      <c r="I3017" s="111"/>
      <c r="J3017" s="81"/>
      <c r="K3017" s="81"/>
      <c r="L3017" s="499"/>
      <c r="M3017" s="73"/>
      <c r="N3017" s="499"/>
      <c r="O3017" s="73"/>
      <c r="P3017" s="73"/>
      <c r="Q3017" s="73"/>
      <c r="R3017" s="176"/>
      <c r="S3017" s="176"/>
      <c r="T3017" s="176"/>
      <c r="U3017" s="400"/>
      <c r="V3017" s="400"/>
      <c r="W3017" s="732"/>
      <c r="X3017" s="167"/>
      <c r="Y3017" s="509"/>
      <c r="Z3017" s="466"/>
      <c r="AA3017" s="466"/>
      <c r="AB3017" s="466"/>
      <c r="AC3017" s="466"/>
      <c r="AD3017" s="466"/>
      <c r="AE3017" s="466"/>
      <c r="AF3017" s="466"/>
      <c r="AG3017" s="466"/>
      <c r="AH3017" s="466"/>
      <c r="AI3017" s="466"/>
      <c r="AJ3017" s="466"/>
      <c r="AK3017" s="466"/>
      <c r="AL3017" s="466"/>
      <c r="AM3017" s="466"/>
      <c r="AN3017" s="466"/>
      <c r="AO3017" s="466"/>
      <c r="AP3017" s="466"/>
      <c r="AQ3017" s="466"/>
      <c r="AR3017" s="466"/>
      <c r="AS3017" s="466"/>
      <c r="AT3017" s="466"/>
      <c r="AU3017" s="466"/>
      <c r="AV3017" s="466"/>
      <c r="AW3017" s="466"/>
      <c r="AX3017" s="466"/>
      <c r="AY3017" s="466"/>
      <c r="AZ3017" s="466"/>
      <c r="BA3017" s="466"/>
      <c r="BB3017" s="466"/>
      <c r="BC3017" s="466"/>
      <c r="BD3017" s="466"/>
      <c r="BE3017" s="467"/>
      <c r="BF3017" s="467"/>
      <c r="BG3017" s="466"/>
      <c r="BH3017" s="466"/>
      <c r="BI3017" s="467"/>
      <c r="BJ3017" s="467"/>
      <c r="BK3017" s="467"/>
      <c r="BL3017" s="467"/>
      <c r="BM3017" s="467"/>
      <c r="BN3017" s="467"/>
      <c r="BO3017" s="467"/>
      <c r="BP3017" s="467"/>
      <c r="BQ3017" s="467"/>
      <c r="BR3017" s="467"/>
      <c r="BS3017" s="467"/>
      <c r="BT3017" s="467"/>
      <c r="BU3017" s="467"/>
      <c r="BV3017" s="467"/>
      <c r="BW3017" s="467"/>
      <c r="BX3017" s="769"/>
      <c r="BY3017" s="769"/>
      <c r="BZ3017" s="769"/>
      <c r="CA3017" s="769"/>
      <c r="CB3017" s="769"/>
      <c r="CC3017" s="769"/>
      <c r="CD3017" s="769"/>
      <c r="CE3017" s="769"/>
      <c r="CF3017" s="769"/>
      <c r="CG3017" s="73"/>
      <c r="CH3017" s="438"/>
      <c r="CI3017" s="416"/>
      <c r="CJ3017" s="73"/>
      <c r="CK3017" s="650"/>
      <c r="CL3017" s="499"/>
      <c r="CM3017" s="650"/>
      <c r="CR3017" s="416"/>
      <c r="CS3017" s="650"/>
      <c r="CU3017" s="73"/>
      <c r="CV3017" s="73"/>
      <c r="CW3017" s="73"/>
      <c r="CX3017" s="73"/>
      <c r="DA3017" s="650"/>
    </row>
    <row r="3018" spans="1:105" s="45" customFormat="1" x14ac:dyDescent="0.2">
      <c r="A3018" s="650"/>
      <c r="B3018" s="438"/>
      <c r="D3018" s="73"/>
      <c r="E3018" s="650"/>
      <c r="F3018" s="650"/>
      <c r="G3018" s="73"/>
      <c r="I3018" s="111"/>
      <c r="J3018" s="81"/>
      <c r="K3018" s="81"/>
      <c r="L3018" s="499"/>
      <c r="M3018" s="73"/>
      <c r="N3018" s="499"/>
      <c r="O3018" s="73"/>
      <c r="P3018" s="73"/>
      <c r="Q3018" s="73"/>
      <c r="R3018" s="176"/>
      <c r="S3018" s="176"/>
      <c r="T3018" s="176"/>
      <c r="U3018" s="400"/>
      <c r="V3018" s="400"/>
      <c r="W3018" s="732"/>
      <c r="X3018" s="167"/>
      <c r="Y3018" s="509"/>
      <c r="Z3018" s="466"/>
      <c r="AA3018" s="466"/>
      <c r="AB3018" s="466"/>
      <c r="AC3018" s="466"/>
      <c r="AD3018" s="466"/>
      <c r="AE3018" s="466"/>
      <c r="AF3018" s="466"/>
      <c r="AG3018" s="466"/>
      <c r="AH3018" s="466"/>
      <c r="AI3018" s="466"/>
      <c r="AJ3018" s="466"/>
      <c r="AK3018" s="466"/>
      <c r="AL3018" s="466"/>
      <c r="AM3018" s="466"/>
      <c r="AN3018" s="466"/>
      <c r="AO3018" s="466"/>
      <c r="AP3018" s="466"/>
      <c r="AQ3018" s="466"/>
      <c r="AR3018" s="466"/>
      <c r="AS3018" s="466"/>
      <c r="AT3018" s="466"/>
      <c r="AU3018" s="466"/>
      <c r="AV3018" s="466"/>
      <c r="AW3018" s="466"/>
      <c r="AX3018" s="466"/>
      <c r="AY3018" s="466"/>
      <c r="AZ3018" s="466"/>
      <c r="BA3018" s="466"/>
      <c r="BB3018" s="466"/>
      <c r="BC3018" s="466"/>
      <c r="BD3018" s="466"/>
      <c r="BE3018" s="467"/>
      <c r="BF3018" s="467"/>
      <c r="BG3018" s="466"/>
      <c r="BH3018" s="466"/>
      <c r="BI3018" s="467"/>
      <c r="BJ3018" s="467"/>
      <c r="BK3018" s="467"/>
      <c r="BL3018" s="467"/>
      <c r="BM3018" s="467"/>
      <c r="BN3018" s="467"/>
      <c r="BO3018" s="467"/>
      <c r="BP3018" s="467"/>
      <c r="BQ3018" s="467"/>
      <c r="BR3018" s="467"/>
      <c r="BS3018" s="467"/>
      <c r="BT3018" s="467"/>
      <c r="BU3018" s="467"/>
      <c r="BV3018" s="467"/>
      <c r="BW3018" s="467"/>
      <c r="BX3018" s="769"/>
      <c r="BY3018" s="769"/>
      <c r="BZ3018" s="769"/>
      <c r="CA3018" s="769"/>
      <c r="CB3018" s="769"/>
      <c r="CC3018" s="769"/>
      <c r="CD3018" s="769"/>
      <c r="CE3018" s="769"/>
      <c r="CF3018" s="769"/>
      <c r="CG3018" s="73"/>
      <c r="CH3018" s="438"/>
      <c r="CI3018" s="416"/>
      <c r="CJ3018" s="73"/>
      <c r="CK3018" s="650"/>
      <c r="CL3018" s="499"/>
      <c r="CM3018" s="650"/>
      <c r="CR3018" s="416"/>
      <c r="CS3018" s="650"/>
      <c r="CU3018" s="73"/>
      <c r="CV3018" s="73"/>
      <c r="CW3018" s="73"/>
      <c r="CX3018" s="73"/>
      <c r="DA3018" s="650"/>
    </row>
    <row r="3019" spans="1:105" s="45" customFormat="1" x14ac:dyDescent="0.2">
      <c r="A3019" s="650"/>
      <c r="B3019" s="438"/>
      <c r="D3019" s="73"/>
      <c r="E3019" s="650"/>
      <c r="F3019" s="650"/>
      <c r="G3019" s="73"/>
      <c r="I3019" s="111"/>
      <c r="J3019" s="81"/>
      <c r="K3019" s="81"/>
      <c r="L3019" s="499"/>
      <c r="M3019" s="73"/>
      <c r="N3019" s="499"/>
      <c r="O3019" s="73"/>
      <c r="P3019" s="73"/>
      <c r="Q3019" s="73"/>
      <c r="R3019" s="176"/>
      <c r="S3019" s="176"/>
      <c r="T3019" s="176"/>
      <c r="U3019" s="400"/>
      <c r="V3019" s="400"/>
      <c r="W3019" s="732"/>
      <c r="X3019" s="167"/>
      <c r="Y3019" s="509"/>
      <c r="Z3019" s="466"/>
      <c r="AA3019" s="466"/>
      <c r="AB3019" s="466"/>
      <c r="AC3019" s="466"/>
      <c r="AD3019" s="466"/>
      <c r="AE3019" s="466"/>
      <c r="AF3019" s="466"/>
      <c r="AG3019" s="466"/>
      <c r="AH3019" s="466"/>
      <c r="AI3019" s="466"/>
      <c r="AJ3019" s="466"/>
      <c r="AK3019" s="466"/>
      <c r="AL3019" s="466"/>
      <c r="AM3019" s="466"/>
      <c r="AN3019" s="466"/>
      <c r="AO3019" s="466"/>
      <c r="AP3019" s="466"/>
      <c r="AQ3019" s="466"/>
      <c r="AR3019" s="466"/>
      <c r="AS3019" s="466"/>
      <c r="AT3019" s="466"/>
      <c r="AU3019" s="466"/>
      <c r="AV3019" s="466"/>
      <c r="AW3019" s="466"/>
      <c r="AX3019" s="466"/>
      <c r="AY3019" s="466"/>
      <c r="AZ3019" s="466"/>
      <c r="BA3019" s="466"/>
      <c r="BB3019" s="466"/>
      <c r="BC3019" s="466"/>
      <c r="BD3019" s="466"/>
      <c r="BE3019" s="467"/>
      <c r="BF3019" s="467"/>
      <c r="BG3019" s="466"/>
      <c r="BH3019" s="466"/>
      <c r="BI3019" s="467"/>
      <c r="BJ3019" s="467"/>
      <c r="BK3019" s="467"/>
      <c r="BL3019" s="467"/>
      <c r="BM3019" s="467"/>
      <c r="BN3019" s="467"/>
      <c r="BO3019" s="467"/>
      <c r="BP3019" s="467"/>
      <c r="BQ3019" s="467"/>
      <c r="BR3019" s="467"/>
      <c r="BS3019" s="467"/>
      <c r="BT3019" s="467"/>
      <c r="BU3019" s="467"/>
      <c r="BV3019" s="467"/>
      <c r="BW3019" s="467"/>
      <c r="BX3019" s="769"/>
      <c r="BY3019" s="769"/>
      <c r="BZ3019" s="769"/>
      <c r="CA3019" s="769"/>
      <c r="CB3019" s="769"/>
      <c r="CC3019" s="769"/>
      <c r="CD3019" s="769"/>
      <c r="CE3019" s="769"/>
      <c r="CF3019" s="769"/>
      <c r="CG3019" s="73"/>
      <c r="CH3019" s="438"/>
      <c r="CI3019" s="416"/>
      <c r="CJ3019" s="73"/>
      <c r="CK3019" s="650"/>
      <c r="CL3019" s="499"/>
      <c r="CM3019" s="650"/>
      <c r="CR3019" s="416"/>
      <c r="CS3019" s="650"/>
      <c r="CU3019" s="73"/>
      <c r="CV3019" s="73"/>
      <c r="CW3019" s="73"/>
      <c r="CX3019" s="73"/>
      <c r="DA3019" s="650"/>
    </row>
    <row r="3020" spans="1:105" s="45" customFormat="1" x14ac:dyDescent="0.2">
      <c r="A3020" s="650"/>
      <c r="B3020" s="438"/>
      <c r="D3020" s="73"/>
      <c r="E3020" s="650"/>
      <c r="F3020" s="650"/>
      <c r="G3020" s="73"/>
      <c r="I3020" s="111"/>
      <c r="J3020" s="81"/>
      <c r="K3020" s="81"/>
      <c r="L3020" s="499"/>
      <c r="M3020" s="73"/>
      <c r="N3020" s="499"/>
      <c r="O3020" s="73"/>
      <c r="P3020" s="73"/>
      <c r="Q3020" s="73"/>
      <c r="R3020" s="176"/>
      <c r="S3020" s="176"/>
      <c r="T3020" s="176"/>
      <c r="U3020" s="400"/>
      <c r="V3020" s="400"/>
      <c r="W3020" s="732"/>
      <c r="X3020" s="167"/>
      <c r="Y3020" s="509"/>
      <c r="Z3020" s="466"/>
      <c r="AA3020" s="466"/>
      <c r="AB3020" s="466"/>
      <c r="AC3020" s="466"/>
      <c r="AD3020" s="466"/>
      <c r="AE3020" s="466"/>
      <c r="AF3020" s="466"/>
      <c r="AG3020" s="466"/>
      <c r="AH3020" s="466"/>
      <c r="AI3020" s="466"/>
      <c r="AJ3020" s="466"/>
      <c r="AK3020" s="466"/>
      <c r="AL3020" s="466"/>
      <c r="AM3020" s="466"/>
      <c r="AN3020" s="466"/>
      <c r="AO3020" s="466"/>
      <c r="AP3020" s="466"/>
      <c r="AQ3020" s="466"/>
      <c r="AR3020" s="466"/>
      <c r="AS3020" s="466"/>
      <c r="AT3020" s="466"/>
      <c r="AU3020" s="466"/>
      <c r="AV3020" s="466"/>
      <c r="AW3020" s="466"/>
      <c r="AX3020" s="466"/>
      <c r="AY3020" s="466"/>
      <c r="AZ3020" s="466"/>
      <c r="BA3020" s="466"/>
      <c r="BB3020" s="466"/>
      <c r="BC3020" s="466"/>
      <c r="BD3020" s="466"/>
      <c r="BE3020" s="467"/>
      <c r="BF3020" s="467"/>
      <c r="BG3020" s="466"/>
      <c r="BH3020" s="466"/>
      <c r="BI3020" s="467"/>
      <c r="BJ3020" s="467"/>
      <c r="BK3020" s="467"/>
      <c r="BL3020" s="467"/>
      <c r="BM3020" s="467"/>
      <c r="BN3020" s="467"/>
      <c r="BO3020" s="467"/>
      <c r="BP3020" s="467"/>
      <c r="BQ3020" s="467"/>
      <c r="BR3020" s="467"/>
      <c r="BS3020" s="467"/>
      <c r="BT3020" s="467"/>
      <c r="BU3020" s="467"/>
      <c r="BV3020" s="467"/>
      <c r="BW3020" s="467"/>
      <c r="BX3020" s="769"/>
      <c r="BY3020" s="769"/>
      <c r="BZ3020" s="769"/>
      <c r="CA3020" s="769"/>
      <c r="CB3020" s="769"/>
      <c r="CC3020" s="769"/>
      <c r="CD3020" s="769"/>
      <c r="CE3020" s="769"/>
      <c r="CF3020" s="769"/>
      <c r="CG3020" s="73"/>
      <c r="CH3020" s="438"/>
      <c r="CI3020" s="416"/>
      <c r="CJ3020" s="73"/>
      <c r="CK3020" s="650"/>
      <c r="CL3020" s="499"/>
      <c r="CM3020" s="650"/>
      <c r="CR3020" s="416"/>
      <c r="CS3020" s="650"/>
      <c r="CU3020" s="73"/>
      <c r="CV3020" s="73"/>
      <c r="CW3020" s="73"/>
      <c r="CX3020" s="73"/>
      <c r="DA3020" s="650"/>
    </row>
    <row r="3021" spans="1:105" s="45" customFormat="1" x14ac:dyDescent="0.2">
      <c r="A3021" s="650"/>
      <c r="B3021" s="438"/>
      <c r="D3021" s="73"/>
      <c r="E3021" s="650"/>
      <c r="F3021" s="650"/>
      <c r="G3021" s="73"/>
      <c r="I3021" s="111"/>
      <c r="J3021" s="81"/>
      <c r="K3021" s="81"/>
      <c r="L3021" s="499"/>
      <c r="M3021" s="73"/>
      <c r="N3021" s="499"/>
      <c r="O3021" s="73"/>
      <c r="P3021" s="73"/>
      <c r="Q3021" s="73"/>
      <c r="R3021" s="176"/>
      <c r="S3021" s="176"/>
      <c r="T3021" s="176"/>
      <c r="U3021" s="400"/>
      <c r="V3021" s="400"/>
      <c r="W3021" s="732"/>
      <c r="X3021" s="167"/>
      <c r="Y3021" s="509"/>
      <c r="Z3021" s="466"/>
      <c r="AA3021" s="466"/>
      <c r="AB3021" s="466"/>
      <c r="AC3021" s="466"/>
      <c r="AD3021" s="466"/>
      <c r="AE3021" s="466"/>
      <c r="AF3021" s="466"/>
      <c r="AG3021" s="466"/>
      <c r="AH3021" s="466"/>
      <c r="AI3021" s="466"/>
      <c r="AJ3021" s="466"/>
      <c r="AK3021" s="466"/>
      <c r="AL3021" s="466"/>
      <c r="AM3021" s="466"/>
      <c r="AN3021" s="466"/>
      <c r="AO3021" s="466"/>
      <c r="AP3021" s="466"/>
      <c r="AQ3021" s="466"/>
      <c r="AR3021" s="466"/>
      <c r="AS3021" s="466"/>
      <c r="AT3021" s="466"/>
      <c r="AU3021" s="466"/>
      <c r="AV3021" s="466"/>
      <c r="AW3021" s="466"/>
      <c r="AX3021" s="466"/>
      <c r="AY3021" s="466"/>
      <c r="AZ3021" s="466"/>
      <c r="BA3021" s="466"/>
      <c r="BB3021" s="466"/>
      <c r="BC3021" s="466"/>
      <c r="BD3021" s="466"/>
      <c r="BE3021" s="467"/>
      <c r="BF3021" s="467"/>
      <c r="BG3021" s="466"/>
      <c r="BH3021" s="466"/>
      <c r="BI3021" s="467"/>
      <c r="BJ3021" s="467"/>
      <c r="BK3021" s="467"/>
      <c r="BL3021" s="467"/>
      <c r="BM3021" s="467"/>
      <c r="BN3021" s="467"/>
      <c r="BO3021" s="467"/>
      <c r="BP3021" s="467"/>
      <c r="BQ3021" s="467"/>
      <c r="BR3021" s="467"/>
      <c r="BS3021" s="467"/>
      <c r="BT3021" s="467"/>
      <c r="BU3021" s="467"/>
      <c r="BV3021" s="467"/>
      <c r="BW3021" s="467"/>
      <c r="BX3021" s="769"/>
      <c r="BY3021" s="769"/>
      <c r="BZ3021" s="769"/>
      <c r="CA3021" s="769"/>
      <c r="CB3021" s="769"/>
      <c r="CC3021" s="769"/>
      <c r="CD3021" s="769"/>
      <c r="CE3021" s="769"/>
      <c r="CF3021" s="769"/>
      <c r="CG3021" s="73"/>
      <c r="CH3021" s="438"/>
      <c r="CI3021" s="416"/>
      <c r="CJ3021" s="73"/>
      <c r="CK3021" s="650"/>
      <c r="CL3021" s="499"/>
      <c r="CM3021" s="650"/>
      <c r="CR3021" s="416"/>
      <c r="CS3021" s="650"/>
      <c r="CU3021" s="73"/>
      <c r="CV3021" s="73"/>
      <c r="CW3021" s="73"/>
      <c r="CX3021" s="73"/>
      <c r="DA3021" s="650"/>
    </row>
    <row r="3022" spans="1:105" s="45" customFormat="1" x14ac:dyDescent="0.2">
      <c r="A3022" s="650"/>
      <c r="B3022" s="438"/>
      <c r="D3022" s="73"/>
      <c r="E3022" s="650"/>
      <c r="F3022" s="650"/>
      <c r="G3022" s="73"/>
      <c r="I3022" s="111"/>
      <c r="J3022" s="81"/>
      <c r="K3022" s="81"/>
      <c r="L3022" s="499"/>
      <c r="M3022" s="73"/>
      <c r="N3022" s="499"/>
      <c r="O3022" s="73"/>
      <c r="P3022" s="73"/>
      <c r="Q3022" s="73"/>
      <c r="R3022" s="176"/>
      <c r="S3022" s="176"/>
      <c r="T3022" s="176"/>
      <c r="U3022" s="400"/>
      <c r="V3022" s="400"/>
      <c r="W3022" s="732"/>
      <c r="X3022" s="167"/>
      <c r="Y3022" s="509"/>
      <c r="Z3022" s="466"/>
      <c r="AA3022" s="466"/>
      <c r="AB3022" s="466"/>
      <c r="AC3022" s="466"/>
      <c r="AD3022" s="466"/>
      <c r="AE3022" s="466"/>
      <c r="AF3022" s="466"/>
      <c r="AG3022" s="466"/>
      <c r="AH3022" s="466"/>
      <c r="AI3022" s="466"/>
      <c r="AJ3022" s="466"/>
      <c r="AK3022" s="466"/>
      <c r="AL3022" s="466"/>
      <c r="AM3022" s="466"/>
      <c r="AN3022" s="466"/>
      <c r="AO3022" s="466"/>
      <c r="AP3022" s="466"/>
      <c r="AQ3022" s="466"/>
      <c r="AR3022" s="466"/>
      <c r="AS3022" s="466"/>
      <c r="AT3022" s="466"/>
      <c r="AU3022" s="466"/>
      <c r="AV3022" s="466"/>
      <c r="AW3022" s="466"/>
      <c r="AX3022" s="466"/>
      <c r="AY3022" s="466"/>
      <c r="AZ3022" s="466"/>
      <c r="BA3022" s="466"/>
      <c r="BB3022" s="466"/>
      <c r="BC3022" s="466"/>
      <c r="BD3022" s="466"/>
      <c r="BE3022" s="467"/>
      <c r="BF3022" s="467"/>
      <c r="BG3022" s="466"/>
      <c r="BH3022" s="466"/>
      <c r="BI3022" s="467"/>
      <c r="BJ3022" s="467"/>
      <c r="BK3022" s="467"/>
      <c r="BL3022" s="467"/>
      <c r="BM3022" s="467"/>
      <c r="BN3022" s="467"/>
      <c r="BO3022" s="467"/>
      <c r="BP3022" s="467"/>
      <c r="BQ3022" s="467"/>
      <c r="BR3022" s="467"/>
      <c r="BS3022" s="467"/>
      <c r="BT3022" s="467"/>
      <c r="BU3022" s="467"/>
      <c r="BV3022" s="467"/>
      <c r="BW3022" s="467"/>
      <c r="BX3022" s="769"/>
      <c r="BY3022" s="769"/>
      <c r="BZ3022" s="769"/>
      <c r="CA3022" s="769"/>
      <c r="CB3022" s="769"/>
      <c r="CC3022" s="769"/>
      <c r="CD3022" s="769"/>
      <c r="CE3022" s="769"/>
      <c r="CF3022" s="769"/>
      <c r="CG3022" s="73"/>
      <c r="CH3022" s="438"/>
      <c r="CI3022" s="416"/>
      <c r="CJ3022" s="73"/>
      <c r="CK3022" s="650"/>
      <c r="CL3022" s="499"/>
      <c r="CM3022" s="650"/>
      <c r="CR3022" s="416"/>
      <c r="CS3022" s="650"/>
      <c r="CU3022" s="73"/>
      <c r="CV3022" s="73"/>
      <c r="CW3022" s="73"/>
      <c r="CX3022" s="73"/>
      <c r="DA3022" s="650"/>
    </row>
    <row r="3023" spans="1:105" s="45" customFormat="1" x14ac:dyDescent="0.2">
      <c r="A3023" s="650"/>
      <c r="B3023" s="438"/>
      <c r="D3023" s="73"/>
      <c r="E3023" s="650"/>
      <c r="F3023" s="650"/>
      <c r="G3023" s="73"/>
      <c r="I3023" s="111"/>
      <c r="J3023" s="81"/>
      <c r="K3023" s="81"/>
      <c r="L3023" s="499"/>
      <c r="M3023" s="73"/>
      <c r="N3023" s="499"/>
      <c r="O3023" s="73"/>
      <c r="P3023" s="73"/>
      <c r="Q3023" s="73"/>
      <c r="R3023" s="176"/>
      <c r="S3023" s="176"/>
      <c r="T3023" s="176"/>
      <c r="U3023" s="400"/>
      <c r="V3023" s="400"/>
      <c r="W3023" s="732"/>
      <c r="X3023" s="167"/>
      <c r="Y3023" s="509"/>
      <c r="Z3023" s="466"/>
      <c r="AA3023" s="466"/>
      <c r="AB3023" s="466"/>
      <c r="AC3023" s="466"/>
      <c r="AD3023" s="466"/>
      <c r="AE3023" s="466"/>
      <c r="AF3023" s="466"/>
      <c r="AG3023" s="466"/>
      <c r="AH3023" s="466"/>
      <c r="AI3023" s="466"/>
      <c r="AJ3023" s="466"/>
      <c r="AK3023" s="466"/>
      <c r="AL3023" s="466"/>
      <c r="AM3023" s="466"/>
      <c r="AN3023" s="466"/>
      <c r="AO3023" s="466"/>
      <c r="AP3023" s="466"/>
      <c r="AQ3023" s="466"/>
      <c r="AR3023" s="466"/>
      <c r="AS3023" s="466"/>
      <c r="AT3023" s="466"/>
      <c r="AU3023" s="466"/>
      <c r="AV3023" s="466"/>
      <c r="AW3023" s="466"/>
      <c r="AX3023" s="466"/>
      <c r="AY3023" s="466"/>
      <c r="AZ3023" s="466"/>
      <c r="BA3023" s="466"/>
      <c r="BB3023" s="466"/>
      <c r="BC3023" s="466"/>
      <c r="BD3023" s="466"/>
      <c r="BE3023" s="467"/>
      <c r="BF3023" s="467"/>
      <c r="BG3023" s="466"/>
      <c r="BH3023" s="466"/>
      <c r="BI3023" s="467"/>
      <c r="BJ3023" s="467"/>
      <c r="BK3023" s="467"/>
      <c r="BL3023" s="467"/>
      <c r="BM3023" s="467"/>
      <c r="BN3023" s="467"/>
      <c r="BO3023" s="467"/>
      <c r="BP3023" s="467"/>
      <c r="BQ3023" s="467"/>
      <c r="BR3023" s="467"/>
      <c r="BS3023" s="467"/>
      <c r="BT3023" s="467"/>
      <c r="BU3023" s="467"/>
      <c r="BV3023" s="467"/>
      <c r="BW3023" s="467"/>
      <c r="BX3023" s="769"/>
      <c r="BY3023" s="769"/>
      <c r="BZ3023" s="769"/>
      <c r="CA3023" s="769"/>
      <c r="CB3023" s="769"/>
      <c r="CC3023" s="769"/>
      <c r="CD3023" s="769"/>
      <c r="CE3023" s="769"/>
      <c r="CF3023" s="769"/>
      <c r="CG3023" s="73"/>
      <c r="CH3023" s="438"/>
      <c r="CI3023" s="416"/>
      <c r="CJ3023" s="73"/>
      <c r="CK3023" s="650"/>
      <c r="CL3023" s="499"/>
      <c r="CM3023" s="650"/>
      <c r="CR3023" s="416"/>
      <c r="CS3023" s="650"/>
      <c r="CU3023" s="73"/>
      <c r="CV3023" s="73"/>
      <c r="CW3023" s="73"/>
      <c r="CX3023" s="73"/>
      <c r="DA3023" s="650"/>
    </row>
    <row r="3024" spans="1:105" s="45" customFormat="1" x14ac:dyDescent="0.2">
      <c r="A3024" s="650"/>
      <c r="B3024" s="438"/>
      <c r="D3024" s="73"/>
      <c r="E3024" s="650"/>
      <c r="F3024" s="650"/>
      <c r="G3024" s="73"/>
      <c r="I3024" s="111"/>
      <c r="J3024" s="81"/>
      <c r="K3024" s="81"/>
      <c r="L3024" s="499"/>
      <c r="M3024" s="73"/>
      <c r="N3024" s="499"/>
      <c r="O3024" s="73"/>
      <c r="P3024" s="73"/>
      <c r="Q3024" s="73"/>
      <c r="R3024" s="176"/>
      <c r="S3024" s="176"/>
      <c r="T3024" s="176"/>
      <c r="U3024" s="400"/>
      <c r="V3024" s="400"/>
      <c r="W3024" s="732"/>
      <c r="X3024" s="167"/>
      <c r="Y3024" s="509"/>
      <c r="Z3024" s="466"/>
      <c r="AA3024" s="466"/>
      <c r="AB3024" s="466"/>
      <c r="AC3024" s="466"/>
      <c r="AD3024" s="466"/>
      <c r="AE3024" s="466"/>
      <c r="AF3024" s="466"/>
      <c r="AG3024" s="466"/>
      <c r="AH3024" s="466"/>
      <c r="AI3024" s="466"/>
      <c r="AJ3024" s="466"/>
      <c r="AK3024" s="466"/>
      <c r="AL3024" s="466"/>
      <c r="AM3024" s="466"/>
      <c r="AN3024" s="466"/>
      <c r="AO3024" s="466"/>
      <c r="AP3024" s="466"/>
      <c r="AQ3024" s="466"/>
      <c r="AR3024" s="466"/>
      <c r="AS3024" s="466"/>
      <c r="AT3024" s="466"/>
      <c r="AU3024" s="466"/>
      <c r="AV3024" s="466"/>
      <c r="AW3024" s="466"/>
      <c r="AX3024" s="466"/>
      <c r="AY3024" s="466"/>
      <c r="AZ3024" s="466"/>
      <c r="BA3024" s="466"/>
      <c r="BB3024" s="466"/>
      <c r="BC3024" s="466"/>
      <c r="BD3024" s="466"/>
      <c r="BE3024" s="467"/>
      <c r="BF3024" s="467"/>
      <c r="BG3024" s="466"/>
      <c r="BH3024" s="466"/>
      <c r="BI3024" s="467"/>
      <c r="BJ3024" s="467"/>
      <c r="BK3024" s="467"/>
      <c r="BL3024" s="467"/>
      <c r="BM3024" s="467"/>
      <c r="BN3024" s="467"/>
      <c r="BO3024" s="467"/>
      <c r="BP3024" s="467"/>
      <c r="BQ3024" s="467"/>
      <c r="BR3024" s="467"/>
      <c r="BS3024" s="467"/>
      <c r="BT3024" s="467"/>
      <c r="BU3024" s="467"/>
      <c r="BV3024" s="467"/>
      <c r="BW3024" s="467"/>
      <c r="BX3024" s="769"/>
      <c r="BY3024" s="769"/>
      <c r="BZ3024" s="769"/>
      <c r="CA3024" s="769"/>
      <c r="CB3024" s="769"/>
      <c r="CC3024" s="769"/>
      <c r="CD3024" s="769"/>
      <c r="CE3024" s="769"/>
      <c r="CF3024" s="769"/>
      <c r="CG3024" s="73"/>
      <c r="CH3024" s="438"/>
      <c r="CI3024" s="416"/>
      <c r="CJ3024" s="73"/>
      <c r="CK3024" s="650"/>
      <c r="CL3024" s="499"/>
      <c r="CM3024" s="650"/>
      <c r="CR3024" s="416"/>
      <c r="CS3024" s="650"/>
      <c r="CU3024" s="73"/>
      <c r="CV3024" s="73"/>
      <c r="CW3024" s="73"/>
      <c r="CX3024" s="73"/>
      <c r="DA3024" s="650"/>
    </row>
    <row r="3025" spans="1:105" s="45" customFormat="1" x14ac:dyDescent="0.2">
      <c r="A3025" s="650"/>
      <c r="B3025" s="438"/>
      <c r="D3025" s="73"/>
      <c r="E3025" s="650"/>
      <c r="F3025" s="650"/>
      <c r="G3025" s="73"/>
      <c r="I3025" s="111"/>
      <c r="J3025" s="81"/>
      <c r="K3025" s="81"/>
      <c r="L3025" s="499"/>
      <c r="M3025" s="73"/>
      <c r="N3025" s="499"/>
      <c r="O3025" s="73"/>
      <c r="P3025" s="73"/>
      <c r="Q3025" s="73"/>
      <c r="R3025" s="176"/>
      <c r="S3025" s="176"/>
      <c r="T3025" s="176"/>
      <c r="U3025" s="400"/>
      <c r="V3025" s="400"/>
      <c r="W3025" s="732"/>
      <c r="X3025" s="167"/>
      <c r="Y3025" s="509"/>
      <c r="Z3025" s="466"/>
      <c r="AA3025" s="466"/>
      <c r="AB3025" s="466"/>
      <c r="AC3025" s="466"/>
      <c r="AD3025" s="466"/>
      <c r="AE3025" s="466"/>
      <c r="AF3025" s="466"/>
      <c r="AG3025" s="466"/>
      <c r="AH3025" s="466"/>
      <c r="AI3025" s="466"/>
      <c r="AJ3025" s="466"/>
      <c r="AK3025" s="466"/>
      <c r="AL3025" s="466"/>
      <c r="AM3025" s="466"/>
      <c r="AN3025" s="466"/>
      <c r="AO3025" s="466"/>
      <c r="AP3025" s="466"/>
      <c r="AQ3025" s="466"/>
      <c r="AR3025" s="466"/>
      <c r="AS3025" s="466"/>
      <c r="AT3025" s="466"/>
      <c r="AU3025" s="466"/>
      <c r="AV3025" s="466"/>
      <c r="AW3025" s="466"/>
      <c r="AX3025" s="466"/>
      <c r="AY3025" s="466"/>
      <c r="AZ3025" s="466"/>
      <c r="BA3025" s="466"/>
      <c r="BB3025" s="466"/>
      <c r="BC3025" s="466"/>
      <c r="BD3025" s="466"/>
      <c r="BE3025" s="467"/>
      <c r="BF3025" s="467"/>
      <c r="BG3025" s="466"/>
      <c r="BH3025" s="466"/>
      <c r="BI3025" s="467"/>
      <c r="BJ3025" s="467"/>
      <c r="BK3025" s="467"/>
      <c r="BL3025" s="467"/>
      <c r="BM3025" s="467"/>
      <c r="BN3025" s="467"/>
      <c r="BO3025" s="467"/>
      <c r="BP3025" s="467"/>
      <c r="BQ3025" s="467"/>
      <c r="BR3025" s="467"/>
      <c r="BS3025" s="467"/>
      <c r="BT3025" s="467"/>
      <c r="BU3025" s="467"/>
      <c r="BV3025" s="467"/>
      <c r="BW3025" s="467"/>
      <c r="BX3025" s="769"/>
      <c r="BY3025" s="769"/>
      <c r="BZ3025" s="769"/>
      <c r="CA3025" s="769"/>
      <c r="CB3025" s="769"/>
      <c r="CC3025" s="769"/>
      <c r="CD3025" s="769"/>
      <c r="CE3025" s="769"/>
      <c r="CF3025" s="769"/>
      <c r="CG3025" s="73"/>
      <c r="CH3025" s="438"/>
      <c r="CI3025" s="416"/>
      <c r="CJ3025" s="73"/>
      <c r="CK3025" s="650"/>
      <c r="CL3025" s="499"/>
      <c r="CM3025" s="650"/>
      <c r="CR3025" s="416"/>
      <c r="CS3025" s="650"/>
      <c r="CU3025" s="73"/>
      <c r="CV3025" s="73"/>
      <c r="CW3025" s="73"/>
      <c r="CX3025" s="73"/>
      <c r="DA3025" s="650"/>
    </row>
    <row r="3026" spans="1:105" s="45" customFormat="1" x14ac:dyDescent="0.2">
      <c r="A3026" s="650"/>
      <c r="B3026" s="438"/>
      <c r="D3026" s="73"/>
      <c r="E3026" s="650"/>
      <c r="F3026" s="650"/>
      <c r="G3026" s="73"/>
      <c r="I3026" s="111"/>
      <c r="J3026" s="81"/>
      <c r="K3026" s="81"/>
      <c r="L3026" s="499"/>
      <c r="M3026" s="73"/>
      <c r="N3026" s="499"/>
      <c r="O3026" s="73"/>
      <c r="P3026" s="73"/>
      <c r="Q3026" s="73"/>
      <c r="R3026" s="176"/>
      <c r="S3026" s="176"/>
      <c r="T3026" s="176"/>
      <c r="U3026" s="400"/>
      <c r="V3026" s="400"/>
      <c r="W3026" s="732"/>
      <c r="X3026" s="167"/>
      <c r="Y3026" s="509"/>
      <c r="Z3026" s="466"/>
      <c r="AA3026" s="466"/>
      <c r="AB3026" s="466"/>
      <c r="AC3026" s="466"/>
      <c r="AD3026" s="466"/>
      <c r="AE3026" s="466"/>
      <c r="AF3026" s="466"/>
      <c r="AG3026" s="466"/>
      <c r="AH3026" s="466"/>
      <c r="AI3026" s="466"/>
      <c r="AJ3026" s="466"/>
      <c r="AK3026" s="466"/>
      <c r="AL3026" s="466"/>
      <c r="AM3026" s="466"/>
      <c r="AN3026" s="466"/>
      <c r="AO3026" s="466"/>
      <c r="AP3026" s="466"/>
      <c r="AQ3026" s="466"/>
      <c r="AR3026" s="466"/>
      <c r="AS3026" s="466"/>
      <c r="AT3026" s="466"/>
      <c r="AU3026" s="466"/>
      <c r="AV3026" s="466"/>
      <c r="AW3026" s="466"/>
      <c r="AX3026" s="466"/>
      <c r="AY3026" s="466"/>
      <c r="AZ3026" s="466"/>
      <c r="BA3026" s="466"/>
      <c r="BB3026" s="466"/>
      <c r="BC3026" s="466"/>
      <c r="BD3026" s="466"/>
      <c r="BE3026" s="467"/>
      <c r="BF3026" s="467"/>
      <c r="BG3026" s="466"/>
      <c r="BH3026" s="466"/>
      <c r="BI3026" s="467"/>
      <c r="BJ3026" s="467"/>
      <c r="BK3026" s="467"/>
      <c r="BL3026" s="467"/>
      <c r="BM3026" s="467"/>
      <c r="BN3026" s="467"/>
      <c r="BO3026" s="467"/>
      <c r="BP3026" s="467"/>
      <c r="BQ3026" s="467"/>
      <c r="BR3026" s="467"/>
      <c r="BS3026" s="467"/>
      <c r="BT3026" s="467"/>
      <c r="BU3026" s="467"/>
      <c r="BV3026" s="467"/>
      <c r="BW3026" s="467"/>
      <c r="BX3026" s="769"/>
      <c r="BY3026" s="769"/>
      <c r="BZ3026" s="769"/>
      <c r="CA3026" s="769"/>
      <c r="CB3026" s="769"/>
      <c r="CC3026" s="769"/>
      <c r="CD3026" s="769"/>
      <c r="CE3026" s="769"/>
      <c r="CF3026" s="769"/>
      <c r="CG3026" s="73"/>
      <c r="CH3026" s="438"/>
      <c r="CI3026" s="416"/>
      <c r="CJ3026" s="73"/>
      <c r="CK3026" s="650"/>
      <c r="CL3026" s="499"/>
      <c r="CM3026" s="650"/>
      <c r="CR3026" s="416"/>
      <c r="CS3026" s="650"/>
      <c r="CU3026" s="73"/>
      <c r="CV3026" s="73"/>
      <c r="CW3026" s="73"/>
      <c r="CX3026" s="73"/>
      <c r="DA3026" s="650"/>
    </row>
    <row r="3027" spans="1:105" s="45" customFormat="1" x14ac:dyDescent="0.2">
      <c r="A3027" s="650"/>
      <c r="B3027" s="438"/>
      <c r="D3027" s="73"/>
      <c r="E3027" s="650"/>
      <c r="F3027" s="650"/>
      <c r="G3027" s="73"/>
      <c r="I3027" s="111"/>
      <c r="J3027" s="81"/>
      <c r="K3027" s="81"/>
      <c r="L3027" s="499"/>
      <c r="M3027" s="73"/>
      <c r="N3027" s="499"/>
      <c r="O3027" s="73"/>
      <c r="P3027" s="73"/>
      <c r="Q3027" s="73"/>
      <c r="R3027" s="176"/>
      <c r="S3027" s="176"/>
      <c r="T3027" s="176"/>
      <c r="U3027" s="400"/>
      <c r="V3027" s="400"/>
      <c r="W3027" s="732"/>
      <c r="X3027" s="167"/>
      <c r="Y3027" s="509"/>
      <c r="Z3027" s="466"/>
      <c r="AA3027" s="466"/>
      <c r="AB3027" s="466"/>
      <c r="AC3027" s="466"/>
      <c r="AD3027" s="466"/>
      <c r="AE3027" s="466"/>
      <c r="AF3027" s="466"/>
      <c r="AG3027" s="466"/>
      <c r="AH3027" s="466"/>
      <c r="AI3027" s="466"/>
      <c r="AJ3027" s="466"/>
      <c r="AK3027" s="466"/>
      <c r="AL3027" s="466"/>
      <c r="AM3027" s="466"/>
      <c r="AN3027" s="466"/>
      <c r="AO3027" s="466"/>
      <c r="AP3027" s="466"/>
      <c r="AQ3027" s="466"/>
      <c r="AR3027" s="466"/>
      <c r="AS3027" s="466"/>
      <c r="AT3027" s="466"/>
      <c r="AU3027" s="466"/>
      <c r="AV3027" s="466"/>
      <c r="AW3027" s="466"/>
      <c r="AX3027" s="466"/>
      <c r="AY3027" s="466"/>
      <c r="AZ3027" s="466"/>
      <c r="BA3027" s="466"/>
      <c r="BB3027" s="466"/>
      <c r="BC3027" s="466"/>
      <c r="BD3027" s="466"/>
      <c r="BE3027" s="467"/>
      <c r="BF3027" s="467"/>
      <c r="BG3027" s="466"/>
      <c r="BH3027" s="466"/>
      <c r="BI3027" s="467"/>
      <c r="BJ3027" s="467"/>
      <c r="BK3027" s="467"/>
      <c r="BL3027" s="467"/>
      <c r="BM3027" s="467"/>
      <c r="BN3027" s="467"/>
      <c r="BO3027" s="467"/>
      <c r="BP3027" s="467"/>
      <c r="BQ3027" s="467"/>
      <c r="BR3027" s="467"/>
      <c r="BS3027" s="467"/>
      <c r="BT3027" s="467"/>
      <c r="BU3027" s="467"/>
      <c r="BV3027" s="467"/>
      <c r="BW3027" s="467"/>
      <c r="BX3027" s="769"/>
      <c r="BY3027" s="769"/>
      <c r="BZ3027" s="769"/>
      <c r="CA3027" s="769"/>
      <c r="CB3027" s="769"/>
      <c r="CC3027" s="769"/>
      <c r="CD3027" s="769"/>
      <c r="CE3027" s="769"/>
      <c r="CF3027" s="769"/>
      <c r="CG3027" s="73"/>
      <c r="CH3027" s="438"/>
      <c r="CI3027" s="416"/>
      <c r="CJ3027" s="73"/>
      <c r="CK3027" s="650"/>
      <c r="CL3027" s="499"/>
      <c r="CM3027" s="650"/>
      <c r="CR3027" s="416"/>
      <c r="CS3027" s="650"/>
      <c r="CU3027" s="73"/>
      <c r="CV3027" s="73"/>
      <c r="CW3027" s="73"/>
      <c r="CX3027" s="73"/>
      <c r="DA3027" s="650"/>
    </row>
    <row r="3028" spans="1:105" s="45" customFormat="1" x14ac:dyDescent="0.2">
      <c r="A3028" s="650"/>
      <c r="B3028" s="438"/>
      <c r="D3028" s="73"/>
      <c r="E3028" s="650"/>
      <c r="F3028" s="650"/>
      <c r="G3028" s="73"/>
      <c r="I3028" s="111"/>
      <c r="J3028" s="81"/>
      <c r="K3028" s="81"/>
      <c r="L3028" s="499"/>
      <c r="M3028" s="73"/>
      <c r="N3028" s="499"/>
      <c r="O3028" s="73"/>
      <c r="P3028" s="73"/>
      <c r="Q3028" s="73"/>
      <c r="R3028" s="176"/>
      <c r="S3028" s="176"/>
      <c r="T3028" s="176"/>
      <c r="U3028" s="400"/>
      <c r="V3028" s="400"/>
      <c r="W3028" s="732"/>
      <c r="X3028" s="167"/>
      <c r="Y3028" s="509"/>
      <c r="Z3028" s="466"/>
      <c r="AA3028" s="466"/>
      <c r="AB3028" s="466"/>
      <c r="AC3028" s="466"/>
      <c r="AD3028" s="466"/>
      <c r="AE3028" s="466"/>
      <c r="AF3028" s="466"/>
      <c r="AG3028" s="466"/>
      <c r="AH3028" s="466"/>
      <c r="AI3028" s="466"/>
      <c r="AJ3028" s="466"/>
      <c r="AK3028" s="466"/>
      <c r="AL3028" s="466"/>
      <c r="AM3028" s="466"/>
      <c r="AN3028" s="466"/>
      <c r="AO3028" s="466"/>
      <c r="AP3028" s="466"/>
      <c r="AQ3028" s="466"/>
      <c r="AR3028" s="466"/>
      <c r="AS3028" s="466"/>
      <c r="AT3028" s="466"/>
      <c r="AU3028" s="466"/>
      <c r="AV3028" s="466"/>
      <c r="AW3028" s="466"/>
      <c r="AX3028" s="466"/>
      <c r="AY3028" s="466"/>
      <c r="AZ3028" s="466"/>
      <c r="BA3028" s="466"/>
      <c r="BB3028" s="466"/>
      <c r="BC3028" s="466"/>
      <c r="BD3028" s="466"/>
      <c r="BE3028" s="467"/>
      <c r="BF3028" s="467"/>
      <c r="BG3028" s="466"/>
      <c r="BH3028" s="466"/>
      <c r="BI3028" s="467"/>
      <c r="BJ3028" s="467"/>
      <c r="BK3028" s="467"/>
      <c r="BL3028" s="467"/>
      <c r="BM3028" s="467"/>
      <c r="BN3028" s="467"/>
      <c r="BO3028" s="467"/>
      <c r="BP3028" s="467"/>
      <c r="BQ3028" s="467"/>
      <c r="BR3028" s="467"/>
      <c r="BS3028" s="467"/>
      <c r="BT3028" s="467"/>
      <c r="BU3028" s="467"/>
      <c r="BV3028" s="467"/>
      <c r="BW3028" s="467"/>
      <c r="BX3028" s="769"/>
      <c r="BY3028" s="769"/>
      <c r="BZ3028" s="769"/>
      <c r="CA3028" s="769"/>
      <c r="CB3028" s="769"/>
      <c r="CC3028" s="769"/>
      <c r="CD3028" s="769"/>
      <c r="CE3028" s="769"/>
      <c r="CF3028" s="769"/>
      <c r="CG3028" s="73"/>
      <c r="CH3028" s="438"/>
      <c r="CI3028" s="416"/>
      <c r="CJ3028" s="73"/>
      <c r="CK3028" s="650"/>
      <c r="CL3028" s="499"/>
      <c r="CM3028" s="650"/>
      <c r="CR3028" s="416"/>
      <c r="CS3028" s="650"/>
      <c r="CU3028" s="73"/>
      <c r="CV3028" s="73"/>
      <c r="CW3028" s="73"/>
      <c r="CX3028" s="73"/>
      <c r="DA3028" s="650"/>
    </row>
    <row r="3029" spans="1:105" s="45" customFormat="1" x14ac:dyDescent="0.2">
      <c r="A3029" s="650"/>
      <c r="B3029" s="438"/>
      <c r="D3029" s="73"/>
      <c r="E3029" s="650"/>
      <c r="F3029" s="650"/>
      <c r="G3029" s="73"/>
      <c r="I3029" s="111"/>
      <c r="J3029" s="81"/>
      <c r="K3029" s="81"/>
      <c r="L3029" s="499"/>
      <c r="M3029" s="73"/>
      <c r="N3029" s="499"/>
      <c r="O3029" s="73"/>
      <c r="P3029" s="73"/>
      <c r="Q3029" s="73"/>
      <c r="R3029" s="176"/>
      <c r="S3029" s="176"/>
      <c r="T3029" s="176"/>
      <c r="U3029" s="400"/>
      <c r="V3029" s="400"/>
      <c r="W3029" s="732"/>
      <c r="X3029" s="167"/>
      <c r="Y3029" s="509"/>
      <c r="Z3029" s="466"/>
      <c r="AA3029" s="466"/>
      <c r="AB3029" s="466"/>
      <c r="AC3029" s="466"/>
      <c r="AD3029" s="466"/>
      <c r="AE3029" s="466"/>
      <c r="AF3029" s="466"/>
      <c r="AG3029" s="466"/>
      <c r="AH3029" s="466"/>
      <c r="AI3029" s="466"/>
      <c r="AJ3029" s="466"/>
      <c r="AK3029" s="466"/>
      <c r="AL3029" s="466"/>
      <c r="AM3029" s="466"/>
      <c r="AN3029" s="466"/>
      <c r="AO3029" s="466"/>
      <c r="AP3029" s="466"/>
      <c r="AQ3029" s="466"/>
      <c r="AR3029" s="466"/>
      <c r="AS3029" s="466"/>
      <c r="AT3029" s="466"/>
      <c r="AU3029" s="466"/>
      <c r="AV3029" s="466"/>
      <c r="AW3029" s="466"/>
      <c r="AX3029" s="466"/>
      <c r="AY3029" s="466"/>
      <c r="AZ3029" s="466"/>
      <c r="BA3029" s="466"/>
      <c r="BB3029" s="466"/>
      <c r="BC3029" s="466"/>
      <c r="BD3029" s="466"/>
      <c r="BE3029" s="467"/>
      <c r="BF3029" s="467"/>
      <c r="BG3029" s="466"/>
      <c r="BH3029" s="466"/>
      <c r="BI3029" s="467"/>
      <c r="BJ3029" s="467"/>
      <c r="BK3029" s="467"/>
      <c r="BL3029" s="467"/>
      <c r="BM3029" s="467"/>
      <c r="BN3029" s="467"/>
      <c r="BO3029" s="467"/>
      <c r="BP3029" s="467"/>
      <c r="BQ3029" s="467"/>
      <c r="BR3029" s="467"/>
      <c r="BS3029" s="467"/>
      <c r="BT3029" s="467"/>
      <c r="BU3029" s="467"/>
      <c r="BV3029" s="467"/>
      <c r="BW3029" s="467"/>
      <c r="BX3029" s="769"/>
      <c r="BY3029" s="769"/>
      <c r="BZ3029" s="769"/>
      <c r="CA3029" s="769"/>
      <c r="CB3029" s="769"/>
      <c r="CC3029" s="769"/>
      <c r="CD3029" s="769"/>
      <c r="CE3029" s="769"/>
      <c r="CF3029" s="769"/>
      <c r="CG3029" s="73"/>
      <c r="CH3029" s="438"/>
      <c r="CI3029" s="416"/>
      <c r="CJ3029" s="73"/>
      <c r="CK3029" s="650"/>
      <c r="CL3029" s="499"/>
      <c r="CM3029" s="650"/>
      <c r="CR3029" s="416"/>
      <c r="CS3029" s="650"/>
      <c r="CU3029" s="73"/>
      <c r="CV3029" s="73"/>
      <c r="CW3029" s="73"/>
      <c r="CX3029" s="73"/>
      <c r="DA3029" s="650"/>
    </row>
    <row r="3030" spans="1:105" s="45" customFormat="1" x14ac:dyDescent="0.2">
      <c r="A3030" s="650"/>
      <c r="B3030" s="438"/>
      <c r="D3030" s="73"/>
      <c r="E3030" s="650"/>
      <c r="F3030" s="650"/>
      <c r="G3030" s="73"/>
      <c r="I3030" s="111"/>
      <c r="J3030" s="81"/>
      <c r="K3030" s="81"/>
      <c r="L3030" s="499"/>
      <c r="M3030" s="73"/>
      <c r="N3030" s="499"/>
      <c r="O3030" s="73"/>
      <c r="P3030" s="73"/>
      <c r="Q3030" s="73"/>
      <c r="R3030" s="176"/>
      <c r="S3030" s="176"/>
      <c r="T3030" s="176"/>
      <c r="U3030" s="400"/>
      <c r="V3030" s="400"/>
      <c r="W3030" s="732"/>
      <c r="X3030" s="167"/>
      <c r="Y3030" s="509"/>
      <c r="Z3030" s="466"/>
      <c r="AA3030" s="466"/>
      <c r="AB3030" s="466"/>
      <c r="AC3030" s="466"/>
      <c r="AD3030" s="466"/>
      <c r="AE3030" s="466"/>
      <c r="AF3030" s="466"/>
      <c r="AG3030" s="466"/>
      <c r="AH3030" s="466"/>
      <c r="AI3030" s="466"/>
      <c r="AJ3030" s="466"/>
      <c r="AK3030" s="466"/>
      <c r="AL3030" s="466"/>
      <c r="AM3030" s="466"/>
      <c r="AN3030" s="466"/>
      <c r="AO3030" s="466"/>
      <c r="AP3030" s="466"/>
      <c r="AQ3030" s="466"/>
      <c r="AR3030" s="466"/>
      <c r="AS3030" s="466"/>
      <c r="AT3030" s="466"/>
      <c r="AU3030" s="466"/>
      <c r="AV3030" s="466"/>
      <c r="AW3030" s="466"/>
      <c r="AX3030" s="466"/>
      <c r="AY3030" s="466"/>
      <c r="AZ3030" s="466"/>
      <c r="BA3030" s="466"/>
      <c r="BB3030" s="466"/>
      <c r="BC3030" s="466"/>
      <c r="BD3030" s="466"/>
      <c r="BE3030" s="467"/>
      <c r="BF3030" s="467"/>
      <c r="BG3030" s="466"/>
      <c r="BH3030" s="466"/>
      <c r="BI3030" s="467"/>
      <c r="BJ3030" s="467"/>
      <c r="BK3030" s="467"/>
      <c r="BL3030" s="467"/>
      <c r="BM3030" s="467"/>
      <c r="BN3030" s="467"/>
      <c r="BO3030" s="467"/>
      <c r="BP3030" s="467"/>
      <c r="BQ3030" s="467"/>
      <c r="BR3030" s="467"/>
      <c r="BS3030" s="467"/>
      <c r="BT3030" s="467"/>
      <c r="BU3030" s="467"/>
      <c r="BV3030" s="467"/>
      <c r="BW3030" s="467"/>
      <c r="BX3030" s="769"/>
      <c r="BY3030" s="769"/>
      <c r="BZ3030" s="769"/>
      <c r="CA3030" s="769"/>
      <c r="CB3030" s="769"/>
      <c r="CC3030" s="769"/>
      <c r="CD3030" s="769"/>
      <c r="CE3030" s="769"/>
      <c r="CF3030" s="769"/>
      <c r="CG3030" s="73"/>
      <c r="CH3030" s="438"/>
      <c r="CI3030" s="416"/>
      <c r="CJ3030" s="73"/>
      <c r="CK3030" s="650"/>
      <c r="CL3030" s="499"/>
      <c r="CM3030" s="650"/>
      <c r="CR3030" s="416"/>
      <c r="CS3030" s="650"/>
      <c r="CU3030" s="73"/>
      <c r="CV3030" s="73"/>
      <c r="CW3030" s="73"/>
      <c r="CX3030" s="73"/>
      <c r="DA3030" s="650"/>
    </row>
    <row r="3031" spans="1:105" s="45" customFormat="1" x14ac:dyDescent="0.2">
      <c r="A3031" s="650"/>
      <c r="B3031" s="438"/>
      <c r="D3031" s="73"/>
      <c r="E3031" s="650"/>
      <c r="F3031" s="650"/>
      <c r="G3031" s="73"/>
      <c r="I3031" s="111"/>
      <c r="J3031" s="81"/>
      <c r="K3031" s="81"/>
      <c r="L3031" s="499"/>
      <c r="M3031" s="73"/>
      <c r="N3031" s="499"/>
      <c r="O3031" s="73"/>
      <c r="P3031" s="73"/>
      <c r="Q3031" s="73"/>
      <c r="R3031" s="176"/>
      <c r="S3031" s="176"/>
      <c r="T3031" s="176"/>
      <c r="U3031" s="400"/>
      <c r="V3031" s="400"/>
      <c r="W3031" s="732"/>
      <c r="X3031" s="167"/>
      <c r="Y3031" s="509"/>
      <c r="Z3031" s="466"/>
      <c r="AA3031" s="466"/>
      <c r="AB3031" s="466"/>
      <c r="AC3031" s="466"/>
      <c r="AD3031" s="466"/>
      <c r="AE3031" s="466"/>
      <c r="AF3031" s="466"/>
      <c r="AG3031" s="466"/>
      <c r="AH3031" s="466"/>
      <c r="AI3031" s="466"/>
      <c r="AJ3031" s="466"/>
      <c r="AK3031" s="466"/>
      <c r="AL3031" s="466"/>
      <c r="AM3031" s="466"/>
      <c r="AN3031" s="466"/>
      <c r="AO3031" s="466"/>
      <c r="AP3031" s="466"/>
      <c r="AQ3031" s="466"/>
      <c r="AR3031" s="466"/>
      <c r="AS3031" s="466"/>
      <c r="AT3031" s="466"/>
      <c r="AU3031" s="466"/>
      <c r="AV3031" s="466"/>
      <c r="AW3031" s="466"/>
      <c r="AX3031" s="466"/>
      <c r="AY3031" s="466"/>
      <c r="AZ3031" s="466"/>
      <c r="BA3031" s="466"/>
      <c r="BB3031" s="466"/>
      <c r="BC3031" s="466"/>
      <c r="BD3031" s="466"/>
      <c r="BE3031" s="467"/>
      <c r="BF3031" s="467"/>
      <c r="BG3031" s="466"/>
      <c r="BH3031" s="466"/>
      <c r="BI3031" s="467"/>
      <c r="BJ3031" s="467"/>
      <c r="BK3031" s="467"/>
      <c r="BL3031" s="467"/>
      <c r="BM3031" s="467"/>
      <c r="BN3031" s="467"/>
      <c r="BO3031" s="467"/>
      <c r="BP3031" s="467"/>
      <c r="BQ3031" s="467"/>
      <c r="BR3031" s="467"/>
      <c r="BS3031" s="467"/>
      <c r="BT3031" s="467"/>
      <c r="BU3031" s="467"/>
      <c r="BV3031" s="467"/>
      <c r="BW3031" s="467"/>
      <c r="BX3031" s="769"/>
      <c r="BY3031" s="769"/>
      <c r="BZ3031" s="769"/>
      <c r="CA3031" s="769"/>
      <c r="CB3031" s="769"/>
      <c r="CC3031" s="769"/>
      <c r="CD3031" s="769"/>
      <c r="CE3031" s="769"/>
      <c r="CF3031" s="769"/>
      <c r="CG3031" s="73"/>
      <c r="CH3031" s="438"/>
      <c r="CI3031" s="416"/>
      <c r="CJ3031" s="73"/>
      <c r="CK3031" s="650"/>
      <c r="CL3031" s="499"/>
      <c r="CM3031" s="650"/>
      <c r="CR3031" s="416"/>
      <c r="CS3031" s="650"/>
      <c r="CU3031" s="73"/>
      <c r="CV3031" s="73"/>
      <c r="CW3031" s="73"/>
      <c r="CX3031" s="73"/>
      <c r="DA3031" s="650"/>
    </row>
    <row r="3032" spans="1:105" s="45" customFormat="1" x14ac:dyDescent="0.2">
      <c r="A3032" s="650"/>
      <c r="B3032" s="438"/>
      <c r="D3032" s="73"/>
      <c r="E3032" s="650"/>
      <c r="F3032" s="650"/>
      <c r="G3032" s="73"/>
      <c r="I3032" s="111"/>
      <c r="J3032" s="81"/>
      <c r="K3032" s="81"/>
      <c r="L3032" s="499"/>
      <c r="M3032" s="73"/>
      <c r="N3032" s="499"/>
      <c r="O3032" s="73"/>
      <c r="P3032" s="73"/>
      <c r="Q3032" s="73"/>
      <c r="R3032" s="176"/>
      <c r="S3032" s="176"/>
      <c r="T3032" s="176"/>
      <c r="U3032" s="400"/>
      <c r="V3032" s="400"/>
      <c r="W3032" s="732"/>
      <c r="X3032" s="167"/>
      <c r="Y3032" s="509"/>
      <c r="Z3032" s="466"/>
      <c r="AA3032" s="466"/>
      <c r="AB3032" s="466"/>
      <c r="AC3032" s="466"/>
      <c r="AD3032" s="466"/>
      <c r="AE3032" s="466"/>
      <c r="AF3032" s="466"/>
      <c r="AG3032" s="466"/>
      <c r="AH3032" s="466"/>
      <c r="AI3032" s="466"/>
      <c r="AJ3032" s="466"/>
      <c r="AK3032" s="466"/>
      <c r="AL3032" s="466"/>
      <c r="AM3032" s="466"/>
      <c r="AN3032" s="466"/>
      <c r="AO3032" s="466"/>
      <c r="AP3032" s="466"/>
      <c r="AQ3032" s="466"/>
      <c r="AR3032" s="466"/>
      <c r="AS3032" s="466"/>
      <c r="AT3032" s="466"/>
      <c r="AU3032" s="466"/>
      <c r="AV3032" s="466"/>
      <c r="AW3032" s="466"/>
      <c r="AX3032" s="466"/>
      <c r="AY3032" s="466"/>
      <c r="AZ3032" s="466"/>
      <c r="BA3032" s="466"/>
      <c r="BB3032" s="466"/>
      <c r="BC3032" s="466"/>
      <c r="BD3032" s="466"/>
      <c r="BE3032" s="467"/>
      <c r="BF3032" s="467"/>
      <c r="BG3032" s="466"/>
      <c r="BH3032" s="466"/>
      <c r="BI3032" s="467"/>
      <c r="BJ3032" s="467"/>
      <c r="BK3032" s="467"/>
      <c r="BL3032" s="467"/>
      <c r="BM3032" s="467"/>
      <c r="BN3032" s="467"/>
      <c r="BO3032" s="467"/>
      <c r="BP3032" s="467"/>
      <c r="BQ3032" s="467"/>
      <c r="BR3032" s="467"/>
      <c r="BS3032" s="467"/>
      <c r="BT3032" s="467"/>
      <c r="BU3032" s="467"/>
      <c r="BV3032" s="467"/>
      <c r="BW3032" s="467"/>
      <c r="BX3032" s="769"/>
      <c r="BY3032" s="769"/>
      <c r="BZ3032" s="769"/>
      <c r="CA3032" s="769"/>
      <c r="CB3032" s="769"/>
      <c r="CC3032" s="769"/>
      <c r="CD3032" s="769"/>
      <c r="CE3032" s="769"/>
      <c r="CF3032" s="769"/>
      <c r="CG3032" s="73"/>
      <c r="CH3032" s="438"/>
      <c r="CI3032" s="416"/>
      <c r="CJ3032" s="73"/>
      <c r="CK3032" s="650"/>
      <c r="CL3032" s="499"/>
      <c r="CM3032" s="650"/>
      <c r="CR3032" s="416"/>
      <c r="CS3032" s="650"/>
      <c r="CU3032" s="73"/>
      <c r="CV3032" s="73"/>
      <c r="CW3032" s="73"/>
      <c r="CX3032" s="73"/>
      <c r="DA3032" s="650"/>
    </row>
    <row r="3033" spans="1:105" s="45" customFormat="1" x14ac:dyDescent="0.2">
      <c r="A3033" s="650"/>
      <c r="B3033" s="438"/>
      <c r="D3033" s="73"/>
      <c r="E3033" s="650"/>
      <c r="F3033" s="650"/>
      <c r="G3033" s="73"/>
      <c r="I3033" s="111"/>
      <c r="J3033" s="81"/>
      <c r="K3033" s="81"/>
      <c r="L3033" s="499"/>
      <c r="M3033" s="73"/>
      <c r="N3033" s="499"/>
      <c r="O3033" s="73"/>
      <c r="P3033" s="73"/>
      <c r="Q3033" s="73"/>
      <c r="R3033" s="176"/>
      <c r="S3033" s="176"/>
      <c r="T3033" s="176"/>
      <c r="U3033" s="400"/>
      <c r="V3033" s="400"/>
      <c r="W3033" s="732"/>
      <c r="X3033" s="167"/>
      <c r="Y3033" s="509"/>
      <c r="Z3033" s="466"/>
      <c r="AA3033" s="466"/>
      <c r="AB3033" s="466"/>
      <c r="AC3033" s="466"/>
      <c r="AD3033" s="466"/>
      <c r="AE3033" s="466"/>
      <c r="AF3033" s="466"/>
      <c r="AG3033" s="466"/>
      <c r="AH3033" s="466"/>
      <c r="AI3033" s="466"/>
      <c r="AJ3033" s="466"/>
      <c r="AK3033" s="466"/>
      <c r="AL3033" s="466"/>
      <c r="AM3033" s="466"/>
      <c r="AN3033" s="466"/>
      <c r="AO3033" s="466"/>
      <c r="AP3033" s="466"/>
      <c r="AQ3033" s="466"/>
      <c r="AR3033" s="466"/>
      <c r="AS3033" s="466"/>
      <c r="AT3033" s="466"/>
      <c r="AU3033" s="466"/>
      <c r="AV3033" s="466"/>
      <c r="AW3033" s="466"/>
      <c r="AX3033" s="466"/>
      <c r="AY3033" s="466"/>
      <c r="AZ3033" s="466"/>
      <c r="BA3033" s="466"/>
      <c r="BB3033" s="466"/>
      <c r="BC3033" s="466"/>
      <c r="BD3033" s="466"/>
      <c r="BE3033" s="467"/>
      <c r="BF3033" s="467"/>
      <c r="BG3033" s="466"/>
      <c r="BH3033" s="466"/>
      <c r="BI3033" s="467"/>
      <c r="BJ3033" s="467"/>
      <c r="BK3033" s="467"/>
      <c r="BL3033" s="467"/>
      <c r="BM3033" s="467"/>
      <c r="BN3033" s="467"/>
      <c r="BO3033" s="467"/>
      <c r="BP3033" s="467"/>
      <c r="BQ3033" s="467"/>
      <c r="BR3033" s="467"/>
      <c r="BS3033" s="467"/>
      <c r="BT3033" s="467"/>
      <c r="BU3033" s="467"/>
      <c r="BV3033" s="467"/>
      <c r="BW3033" s="467"/>
      <c r="BX3033" s="769"/>
      <c r="BY3033" s="769"/>
      <c r="BZ3033" s="769"/>
      <c r="CA3033" s="769"/>
      <c r="CB3033" s="769"/>
      <c r="CC3033" s="769"/>
      <c r="CD3033" s="769"/>
      <c r="CE3033" s="769"/>
      <c r="CF3033" s="769"/>
      <c r="CG3033" s="73"/>
      <c r="CH3033" s="438"/>
      <c r="CI3033" s="416"/>
      <c r="CJ3033" s="73"/>
      <c r="CK3033" s="650"/>
      <c r="CL3033" s="499"/>
      <c r="CM3033" s="650"/>
      <c r="CR3033" s="416"/>
      <c r="CS3033" s="650"/>
      <c r="CU3033" s="73"/>
      <c r="CV3033" s="73"/>
      <c r="CW3033" s="73"/>
      <c r="CX3033" s="73"/>
      <c r="DA3033" s="650"/>
    </row>
    <row r="3034" spans="1:105" s="45" customFormat="1" x14ac:dyDescent="0.2">
      <c r="A3034" s="650"/>
      <c r="B3034" s="438"/>
      <c r="D3034" s="73"/>
      <c r="E3034" s="650"/>
      <c r="F3034" s="650"/>
      <c r="G3034" s="73"/>
      <c r="I3034" s="111"/>
      <c r="J3034" s="81"/>
      <c r="K3034" s="81"/>
      <c r="L3034" s="499"/>
      <c r="M3034" s="73"/>
      <c r="N3034" s="499"/>
      <c r="O3034" s="73"/>
      <c r="P3034" s="73"/>
      <c r="Q3034" s="73"/>
      <c r="R3034" s="176"/>
      <c r="S3034" s="176"/>
      <c r="T3034" s="176"/>
      <c r="U3034" s="400"/>
      <c r="V3034" s="400"/>
      <c r="W3034" s="732"/>
      <c r="X3034" s="167"/>
      <c r="Y3034" s="509"/>
      <c r="Z3034" s="466"/>
      <c r="AA3034" s="466"/>
      <c r="AB3034" s="466"/>
      <c r="AC3034" s="466"/>
      <c r="AD3034" s="466"/>
      <c r="AE3034" s="466"/>
      <c r="AF3034" s="466"/>
      <c r="AG3034" s="466"/>
      <c r="AH3034" s="466"/>
      <c r="AI3034" s="466"/>
      <c r="AJ3034" s="466"/>
      <c r="AK3034" s="466"/>
      <c r="AL3034" s="466"/>
      <c r="AM3034" s="466"/>
      <c r="AN3034" s="466"/>
      <c r="AO3034" s="466"/>
      <c r="AP3034" s="466"/>
      <c r="AQ3034" s="466"/>
      <c r="AR3034" s="466"/>
      <c r="AS3034" s="466"/>
      <c r="AT3034" s="466"/>
      <c r="AU3034" s="466"/>
      <c r="AV3034" s="466"/>
      <c r="AW3034" s="466"/>
      <c r="AX3034" s="466"/>
      <c r="AY3034" s="466"/>
      <c r="AZ3034" s="466"/>
      <c r="BA3034" s="466"/>
      <c r="BB3034" s="466"/>
      <c r="BC3034" s="466"/>
      <c r="BD3034" s="466"/>
      <c r="BE3034" s="467"/>
      <c r="BF3034" s="467"/>
      <c r="BG3034" s="466"/>
      <c r="BH3034" s="466"/>
      <c r="BI3034" s="467"/>
      <c r="BJ3034" s="467"/>
      <c r="BK3034" s="467"/>
      <c r="BL3034" s="467"/>
      <c r="BM3034" s="467"/>
      <c r="BN3034" s="467"/>
      <c r="BO3034" s="467"/>
      <c r="BP3034" s="467"/>
      <c r="BQ3034" s="467"/>
      <c r="BR3034" s="467"/>
      <c r="BS3034" s="467"/>
      <c r="BT3034" s="467"/>
      <c r="BU3034" s="467"/>
      <c r="BV3034" s="467"/>
      <c r="BW3034" s="467"/>
      <c r="BX3034" s="769"/>
      <c r="BY3034" s="769"/>
      <c r="BZ3034" s="769"/>
      <c r="CA3034" s="769"/>
      <c r="CB3034" s="769"/>
      <c r="CC3034" s="769"/>
      <c r="CD3034" s="769"/>
      <c r="CE3034" s="769"/>
      <c r="CF3034" s="769"/>
      <c r="CG3034" s="73"/>
      <c r="CH3034" s="438"/>
      <c r="CI3034" s="416"/>
      <c r="CJ3034" s="73"/>
      <c r="CK3034" s="650"/>
      <c r="CL3034" s="499"/>
      <c r="CM3034" s="650"/>
      <c r="CR3034" s="416"/>
      <c r="CS3034" s="650"/>
      <c r="CU3034" s="73"/>
      <c r="CV3034" s="73"/>
      <c r="CW3034" s="73"/>
      <c r="CX3034" s="73"/>
      <c r="DA3034" s="650"/>
    </row>
    <row r="3035" spans="1:105" s="45" customFormat="1" x14ac:dyDescent="0.2">
      <c r="A3035" s="650"/>
      <c r="B3035" s="438"/>
      <c r="D3035" s="73"/>
      <c r="E3035" s="650"/>
      <c r="F3035" s="650"/>
      <c r="G3035" s="73"/>
      <c r="I3035" s="111"/>
      <c r="J3035" s="81"/>
      <c r="K3035" s="81"/>
      <c r="L3035" s="499"/>
      <c r="M3035" s="73"/>
      <c r="N3035" s="499"/>
      <c r="O3035" s="73"/>
      <c r="P3035" s="73"/>
      <c r="Q3035" s="73"/>
      <c r="R3035" s="176"/>
      <c r="S3035" s="176"/>
      <c r="T3035" s="176"/>
      <c r="U3035" s="400"/>
      <c r="V3035" s="400"/>
      <c r="W3035" s="732"/>
      <c r="X3035" s="167"/>
      <c r="Y3035" s="509"/>
      <c r="Z3035" s="466"/>
      <c r="AA3035" s="466"/>
      <c r="AB3035" s="466"/>
      <c r="AC3035" s="466"/>
      <c r="AD3035" s="466"/>
      <c r="AE3035" s="466"/>
      <c r="AF3035" s="466"/>
      <c r="AG3035" s="466"/>
      <c r="AH3035" s="466"/>
      <c r="AI3035" s="466"/>
      <c r="AJ3035" s="466"/>
      <c r="AK3035" s="466"/>
      <c r="AL3035" s="466"/>
      <c r="AM3035" s="466"/>
      <c r="AN3035" s="466"/>
      <c r="AO3035" s="466"/>
      <c r="AP3035" s="466"/>
      <c r="AQ3035" s="466"/>
      <c r="AR3035" s="466"/>
      <c r="AS3035" s="466"/>
      <c r="AT3035" s="466"/>
      <c r="AU3035" s="466"/>
      <c r="AV3035" s="466"/>
      <c r="AW3035" s="466"/>
      <c r="AX3035" s="466"/>
      <c r="AY3035" s="466"/>
      <c r="AZ3035" s="466"/>
      <c r="BA3035" s="466"/>
      <c r="BB3035" s="466"/>
      <c r="BC3035" s="466"/>
      <c r="BD3035" s="466"/>
      <c r="BE3035" s="467"/>
      <c r="BF3035" s="467"/>
      <c r="BG3035" s="466"/>
      <c r="BH3035" s="466"/>
      <c r="BI3035" s="467"/>
      <c r="BJ3035" s="467"/>
      <c r="BK3035" s="467"/>
      <c r="BL3035" s="467"/>
      <c r="BM3035" s="467"/>
      <c r="BN3035" s="467"/>
      <c r="BO3035" s="467"/>
      <c r="BP3035" s="467"/>
      <c r="BQ3035" s="467"/>
      <c r="BR3035" s="467"/>
      <c r="BS3035" s="467"/>
      <c r="BT3035" s="467"/>
      <c r="BU3035" s="467"/>
      <c r="BV3035" s="467"/>
      <c r="BW3035" s="467"/>
      <c r="BX3035" s="769"/>
      <c r="BY3035" s="769"/>
      <c r="BZ3035" s="769"/>
      <c r="CA3035" s="769"/>
      <c r="CB3035" s="769"/>
      <c r="CC3035" s="769"/>
      <c r="CD3035" s="769"/>
      <c r="CE3035" s="769"/>
      <c r="CF3035" s="769"/>
      <c r="CG3035" s="73"/>
      <c r="CH3035" s="438"/>
      <c r="CI3035" s="416"/>
      <c r="CJ3035" s="73"/>
      <c r="CK3035" s="650"/>
      <c r="CL3035" s="499"/>
      <c r="CM3035" s="650"/>
      <c r="CR3035" s="416"/>
      <c r="CS3035" s="650"/>
      <c r="CU3035" s="73"/>
      <c r="CV3035" s="73"/>
      <c r="CW3035" s="73"/>
      <c r="CX3035" s="73"/>
      <c r="DA3035" s="650"/>
    </row>
    <row r="3036" spans="1:105" s="45" customFormat="1" x14ac:dyDescent="0.2">
      <c r="A3036" s="650"/>
      <c r="B3036" s="438"/>
      <c r="D3036" s="73"/>
      <c r="E3036" s="650"/>
      <c r="F3036" s="650"/>
      <c r="G3036" s="73"/>
      <c r="I3036" s="111"/>
      <c r="J3036" s="81"/>
      <c r="K3036" s="81"/>
      <c r="L3036" s="499"/>
      <c r="M3036" s="73"/>
      <c r="N3036" s="499"/>
      <c r="O3036" s="73"/>
      <c r="P3036" s="73"/>
      <c r="Q3036" s="73"/>
      <c r="R3036" s="176"/>
      <c r="S3036" s="176"/>
      <c r="T3036" s="176"/>
      <c r="U3036" s="400"/>
      <c r="V3036" s="400"/>
      <c r="W3036" s="732"/>
      <c r="X3036" s="167"/>
      <c r="Y3036" s="509"/>
      <c r="Z3036" s="466"/>
      <c r="AA3036" s="466"/>
      <c r="AB3036" s="466"/>
      <c r="AC3036" s="466"/>
      <c r="AD3036" s="466"/>
      <c r="AE3036" s="466"/>
      <c r="AF3036" s="466"/>
      <c r="AG3036" s="466"/>
      <c r="AH3036" s="466"/>
      <c r="AI3036" s="466"/>
      <c r="AJ3036" s="466"/>
      <c r="AK3036" s="466"/>
      <c r="AL3036" s="466"/>
      <c r="AM3036" s="466"/>
      <c r="AN3036" s="466"/>
      <c r="AO3036" s="466"/>
      <c r="AP3036" s="466"/>
      <c r="AQ3036" s="466"/>
      <c r="AR3036" s="466"/>
      <c r="AS3036" s="466"/>
      <c r="AT3036" s="466"/>
      <c r="AU3036" s="466"/>
      <c r="AV3036" s="466"/>
      <c r="AW3036" s="466"/>
      <c r="AX3036" s="466"/>
      <c r="AY3036" s="466"/>
      <c r="AZ3036" s="466"/>
      <c r="BA3036" s="466"/>
      <c r="BB3036" s="466"/>
      <c r="BC3036" s="466"/>
      <c r="BD3036" s="466"/>
      <c r="BE3036" s="467"/>
      <c r="BF3036" s="467"/>
      <c r="BG3036" s="466"/>
      <c r="BH3036" s="466"/>
      <c r="BI3036" s="467"/>
      <c r="BJ3036" s="467"/>
      <c r="BK3036" s="467"/>
      <c r="BL3036" s="467"/>
      <c r="BM3036" s="467"/>
      <c r="BN3036" s="467"/>
      <c r="BO3036" s="467"/>
      <c r="BP3036" s="467"/>
      <c r="BQ3036" s="467"/>
      <c r="BR3036" s="467"/>
      <c r="BS3036" s="467"/>
      <c r="BT3036" s="467"/>
      <c r="BU3036" s="467"/>
      <c r="BV3036" s="467"/>
      <c r="BW3036" s="467"/>
      <c r="BX3036" s="769"/>
      <c r="BY3036" s="769"/>
      <c r="BZ3036" s="769"/>
      <c r="CA3036" s="769"/>
      <c r="CB3036" s="769"/>
      <c r="CC3036" s="769"/>
      <c r="CD3036" s="769"/>
      <c r="CE3036" s="769"/>
      <c r="CF3036" s="769"/>
      <c r="CG3036" s="73"/>
      <c r="CH3036" s="438"/>
      <c r="CI3036" s="416"/>
      <c r="CJ3036" s="73"/>
      <c r="CK3036" s="650"/>
      <c r="CL3036" s="499"/>
      <c r="CM3036" s="650"/>
      <c r="CR3036" s="416"/>
      <c r="CS3036" s="650"/>
      <c r="CU3036" s="73"/>
      <c r="CV3036" s="73"/>
      <c r="CW3036" s="73"/>
      <c r="CX3036" s="73"/>
      <c r="DA3036" s="650"/>
    </row>
    <row r="3037" spans="1:105" s="45" customFormat="1" x14ac:dyDescent="0.2">
      <c r="A3037" s="650"/>
      <c r="B3037" s="438"/>
      <c r="D3037" s="73"/>
      <c r="E3037" s="650"/>
      <c r="F3037" s="650"/>
      <c r="G3037" s="73"/>
      <c r="I3037" s="111"/>
      <c r="J3037" s="81"/>
      <c r="K3037" s="81"/>
      <c r="L3037" s="499"/>
      <c r="M3037" s="73"/>
      <c r="N3037" s="499"/>
      <c r="O3037" s="73"/>
      <c r="P3037" s="73"/>
      <c r="Q3037" s="73"/>
      <c r="R3037" s="176"/>
      <c r="S3037" s="176"/>
      <c r="T3037" s="176"/>
      <c r="U3037" s="400"/>
      <c r="V3037" s="400"/>
      <c r="W3037" s="732"/>
      <c r="X3037" s="167"/>
      <c r="Y3037" s="509"/>
      <c r="Z3037" s="466"/>
      <c r="AA3037" s="466"/>
      <c r="AB3037" s="466"/>
      <c r="AC3037" s="466"/>
      <c r="AD3037" s="466"/>
      <c r="AE3037" s="466"/>
      <c r="AF3037" s="466"/>
      <c r="AG3037" s="466"/>
      <c r="AH3037" s="466"/>
      <c r="AI3037" s="466"/>
      <c r="AJ3037" s="466"/>
      <c r="AK3037" s="466"/>
      <c r="AL3037" s="466"/>
      <c r="AM3037" s="466"/>
      <c r="AN3037" s="466"/>
      <c r="AO3037" s="466"/>
      <c r="AP3037" s="466"/>
      <c r="AQ3037" s="466"/>
      <c r="AR3037" s="466"/>
      <c r="AS3037" s="466"/>
      <c r="AT3037" s="466"/>
      <c r="AU3037" s="466"/>
      <c r="AV3037" s="466"/>
      <c r="AW3037" s="466"/>
      <c r="AX3037" s="466"/>
      <c r="AY3037" s="466"/>
      <c r="AZ3037" s="466"/>
      <c r="BA3037" s="466"/>
      <c r="BB3037" s="466"/>
      <c r="BC3037" s="466"/>
      <c r="BD3037" s="466"/>
      <c r="BE3037" s="467"/>
      <c r="BF3037" s="467"/>
      <c r="BG3037" s="466"/>
      <c r="BH3037" s="466"/>
      <c r="BI3037" s="467"/>
      <c r="BJ3037" s="467"/>
      <c r="BK3037" s="467"/>
      <c r="BL3037" s="467"/>
      <c r="BM3037" s="467"/>
      <c r="BN3037" s="467"/>
      <c r="BO3037" s="467"/>
      <c r="BP3037" s="467"/>
      <c r="BQ3037" s="467"/>
      <c r="BR3037" s="467"/>
      <c r="BS3037" s="467"/>
      <c r="BT3037" s="467"/>
      <c r="BU3037" s="467"/>
      <c r="BV3037" s="467"/>
      <c r="BW3037" s="467"/>
      <c r="BX3037" s="769"/>
      <c r="BY3037" s="769"/>
      <c r="BZ3037" s="769"/>
      <c r="CA3037" s="769"/>
      <c r="CB3037" s="769"/>
      <c r="CC3037" s="769"/>
      <c r="CD3037" s="769"/>
      <c r="CE3037" s="769"/>
      <c r="CF3037" s="769"/>
      <c r="CG3037" s="73"/>
      <c r="CH3037" s="438"/>
      <c r="CI3037" s="416"/>
      <c r="CJ3037" s="73"/>
      <c r="CK3037" s="650"/>
      <c r="CL3037" s="499"/>
      <c r="CM3037" s="650"/>
      <c r="CR3037" s="416"/>
      <c r="CS3037" s="650"/>
      <c r="CU3037" s="73"/>
      <c r="CV3037" s="73"/>
      <c r="CW3037" s="73"/>
      <c r="CX3037" s="73"/>
      <c r="DA3037" s="650"/>
    </row>
    <row r="3038" spans="1:105" s="45" customFormat="1" x14ac:dyDescent="0.2">
      <c r="A3038" s="650"/>
      <c r="B3038" s="438"/>
      <c r="D3038" s="73"/>
      <c r="E3038" s="650"/>
      <c r="F3038" s="650"/>
      <c r="G3038" s="73"/>
      <c r="I3038" s="111"/>
      <c r="J3038" s="81"/>
      <c r="K3038" s="81"/>
      <c r="L3038" s="499"/>
      <c r="M3038" s="73"/>
      <c r="N3038" s="499"/>
      <c r="O3038" s="73"/>
      <c r="P3038" s="73"/>
      <c r="Q3038" s="73"/>
      <c r="R3038" s="176"/>
      <c r="S3038" s="176"/>
      <c r="T3038" s="176"/>
      <c r="U3038" s="400"/>
      <c r="V3038" s="400"/>
      <c r="W3038" s="732"/>
      <c r="X3038" s="167"/>
      <c r="Y3038" s="509"/>
      <c r="Z3038" s="466"/>
      <c r="AA3038" s="466"/>
      <c r="AB3038" s="466"/>
      <c r="AC3038" s="466"/>
      <c r="AD3038" s="466"/>
      <c r="AE3038" s="466"/>
      <c r="AF3038" s="466"/>
      <c r="AG3038" s="466"/>
      <c r="AH3038" s="466"/>
      <c r="AI3038" s="466"/>
      <c r="AJ3038" s="466"/>
      <c r="AK3038" s="466"/>
      <c r="AL3038" s="466"/>
      <c r="AM3038" s="466"/>
      <c r="AN3038" s="466"/>
      <c r="AO3038" s="466"/>
      <c r="AP3038" s="466"/>
      <c r="AQ3038" s="466"/>
      <c r="AR3038" s="466"/>
      <c r="AS3038" s="466"/>
      <c r="AT3038" s="466"/>
      <c r="AU3038" s="466"/>
      <c r="AV3038" s="466"/>
      <c r="AW3038" s="466"/>
      <c r="AX3038" s="466"/>
      <c r="AY3038" s="466"/>
      <c r="AZ3038" s="466"/>
      <c r="BA3038" s="466"/>
      <c r="BB3038" s="466"/>
      <c r="BC3038" s="466"/>
      <c r="BD3038" s="466"/>
      <c r="BE3038" s="467"/>
      <c r="BF3038" s="467"/>
      <c r="BG3038" s="466"/>
      <c r="BH3038" s="466"/>
      <c r="BI3038" s="467"/>
      <c r="BJ3038" s="467"/>
      <c r="BK3038" s="467"/>
      <c r="BL3038" s="467"/>
      <c r="BM3038" s="467"/>
      <c r="BN3038" s="467"/>
      <c r="BO3038" s="467"/>
      <c r="BP3038" s="467"/>
      <c r="BQ3038" s="467"/>
      <c r="BR3038" s="467"/>
      <c r="BS3038" s="467"/>
      <c r="BT3038" s="467"/>
      <c r="BU3038" s="467"/>
      <c r="BV3038" s="467"/>
      <c r="BW3038" s="467"/>
      <c r="BX3038" s="769"/>
      <c r="BY3038" s="769"/>
      <c r="BZ3038" s="769"/>
      <c r="CA3038" s="769"/>
      <c r="CB3038" s="769"/>
      <c r="CC3038" s="769"/>
      <c r="CD3038" s="769"/>
      <c r="CE3038" s="769"/>
      <c r="CF3038" s="769"/>
      <c r="CG3038" s="73"/>
      <c r="CH3038" s="438"/>
      <c r="CI3038" s="416"/>
      <c r="CJ3038" s="73"/>
      <c r="CK3038" s="650"/>
      <c r="CL3038" s="499"/>
      <c r="CM3038" s="650"/>
      <c r="CR3038" s="416"/>
      <c r="CS3038" s="650"/>
      <c r="CU3038" s="73"/>
      <c r="CV3038" s="73"/>
      <c r="CW3038" s="73"/>
      <c r="CX3038" s="73"/>
      <c r="DA3038" s="650"/>
    </row>
    <row r="3039" spans="1:105" s="45" customFormat="1" x14ac:dyDescent="0.2">
      <c r="A3039" s="650"/>
      <c r="B3039" s="438"/>
      <c r="D3039" s="73"/>
      <c r="E3039" s="650"/>
      <c r="F3039" s="650"/>
      <c r="G3039" s="73"/>
      <c r="I3039" s="111"/>
      <c r="J3039" s="81"/>
      <c r="K3039" s="81"/>
      <c r="L3039" s="499"/>
      <c r="M3039" s="73"/>
      <c r="N3039" s="499"/>
      <c r="O3039" s="73"/>
      <c r="P3039" s="73"/>
      <c r="Q3039" s="73"/>
      <c r="R3039" s="176"/>
      <c r="S3039" s="176"/>
      <c r="T3039" s="176"/>
      <c r="U3039" s="400"/>
      <c r="V3039" s="400"/>
      <c r="W3039" s="732"/>
      <c r="X3039" s="167"/>
      <c r="Y3039" s="509"/>
      <c r="Z3039" s="466"/>
      <c r="AA3039" s="466"/>
      <c r="AB3039" s="466"/>
      <c r="AC3039" s="466"/>
      <c r="AD3039" s="466"/>
      <c r="AE3039" s="466"/>
      <c r="AF3039" s="466"/>
      <c r="AG3039" s="466"/>
      <c r="AH3039" s="466"/>
      <c r="AI3039" s="466"/>
      <c r="AJ3039" s="466"/>
      <c r="AK3039" s="466"/>
      <c r="AL3039" s="466"/>
      <c r="AM3039" s="466"/>
      <c r="AN3039" s="466"/>
      <c r="AO3039" s="466"/>
      <c r="AP3039" s="466"/>
      <c r="AQ3039" s="466"/>
      <c r="AR3039" s="466"/>
      <c r="AS3039" s="466"/>
      <c r="AT3039" s="466"/>
      <c r="AU3039" s="466"/>
      <c r="AV3039" s="466"/>
      <c r="AW3039" s="466"/>
      <c r="AX3039" s="466"/>
      <c r="AY3039" s="466"/>
      <c r="AZ3039" s="466"/>
      <c r="BA3039" s="466"/>
      <c r="BB3039" s="466"/>
      <c r="BC3039" s="466"/>
      <c r="BD3039" s="466"/>
      <c r="BE3039" s="467"/>
      <c r="BF3039" s="467"/>
      <c r="BG3039" s="466"/>
      <c r="BH3039" s="466"/>
      <c r="BI3039" s="467"/>
      <c r="BJ3039" s="467"/>
      <c r="BK3039" s="467"/>
      <c r="BL3039" s="467"/>
      <c r="BM3039" s="467"/>
      <c r="BN3039" s="467"/>
      <c r="BO3039" s="467"/>
      <c r="BP3039" s="467"/>
      <c r="BQ3039" s="467"/>
      <c r="BR3039" s="467"/>
      <c r="BS3039" s="467"/>
      <c r="BT3039" s="467"/>
      <c r="BU3039" s="467"/>
      <c r="BV3039" s="467"/>
      <c r="BW3039" s="467"/>
      <c r="BX3039" s="769"/>
      <c r="BY3039" s="769"/>
      <c r="BZ3039" s="769"/>
      <c r="CA3039" s="769"/>
      <c r="CB3039" s="769"/>
      <c r="CC3039" s="769"/>
      <c r="CD3039" s="769"/>
      <c r="CE3039" s="769"/>
      <c r="CF3039" s="769"/>
      <c r="CG3039" s="73"/>
      <c r="CH3039" s="438"/>
      <c r="CI3039" s="416"/>
      <c r="CJ3039" s="73"/>
      <c r="CK3039" s="650"/>
      <c r="CL3039" s="499"/>
      <c r="CM3039" s="650"/>
      <c r="CR3039" s="416"/>
      <c r="CS3039" s="650"/>
      <c r="CU3039" s="73"/>
      <c r="CV3039" s="73"/>
      <c r="CW3039" s="73"/>
      <c r="CX3039" s="73"/>
      <c r="DA3039" s="650"/>
    </row>
    <row r="3040" spans="1:105" s="45" customFormat="1" x14ac:dyDescent="0.2">
      <c r="A3040" s="650"/>
      <c r="B3040" s="438"/>
      <c r="D3040" s="73"/>
      <c r="E3040" s="650"/>
      <c r="F3040" s="650"/>
      <c r="G3040" s="73"/>
      <c r="I3040" s="111"/>
      <c r="J3040" s="81"/>
      <c r="K3040" s="81"/>
      <c r="L3040" s="499"/>
      <c r="M3040" s="73"/>
      <c r="N3040" s="499"/>
      <c r="O3040" s="73"/>
      <c r="P3040" s="73"/>
      <c r="Q3040" s="73"/>
      <c r="R3040" s="176"/>
      <c r="S3040" s="176"/>
      <c r="T3040" s="176"/>
      <c r="U3040" s="400"/>
      <c r="V3040" s="400"/>
      <c r="W3040" s="732"/>
      <c r="X3040" s="167"/>
      <c r="Y3040" s="509"/>
      <c r="Z3040" s="466"/>
      <c r="AA3040" s="466"/>
      <c r="AB3040" s="466"/>
      <c r="AC3040" s="466"/>
      <c r="AD3040" s="466"/>
      <c r="AE3040" s="466"/>
      <c r="AF3040" s="466"/>
      <c r="AG3040" s="466"/>
      <c r="AH3040" s="466"/>
      <c r="AI3040" s="466"/>
      <c r="AJ3040" s="466"/>
      <c r="AK3040" s="466"/>
      <c r="AL3040" s="466"/>
      <c r="AM3040" s="466"/>
      <c r="AN3040" s="466"/>
      <c r="AO3040" s="466"/>
      <c r="AP3040" s="466"/>
      <c r="AQ3040" s="466"/>
      <c r="AR3040" s="466"/>
      <c r="AS3040" s="466"/>
      <c r="AT3040" s="466"/>
      <c r="AU3040" s="466"/>
      <c r="AV3040" s="466"/>
      <c r="AW3040" s="466"/>
      <c r="AX3040" s="466"/>
      <c r="AY3040" s="466"/>
      <c r="AZ3040" s="466"/>
      <c r="BA3040" s="466"/>
      <c r="BB3040" s="466"/>
      <c r="BC3040" s="466"/>
      <c r="BD3040" s="466"/>
      <c r="BE3040" s="467"/>
      <c r="BF3040" s="467"/>
      <c r="BG3040" s="466"/>
      <c r="BH3040" s="466"/>
      <c r="BI3040" s="467"/>
      <c r="BJ3040" s="467"/>
      <c r="BK3040" s="467"/>
      <c r="BL3040" s="467"/>
      <c r="BM3040" s="467"/>
      <c r="BN3040" s="467"/>
      <c r="BO3040" s="467"/>
      <c r="BP3040" s="467"/>
      <c r="BQ3040" s="467"/>
      <c r="BR3040" s="467"/>
      <c r="BS3040" s="467"/>
      <c r="BT3040" s="467"/>
      <c r="BU3040" s="467"/>
      <c r="BV3040" s="467"/>
      <c r="BW3040" s="467"/>
      <c r="BX3040" s="769"/>
      <c r="BY3040" s="769"/>
      <c r="BZ3040" s="769"/>
      <c r="CA3040" s="769"/>
      <c r="CB3040" s="769"/>
      <c r="CC3040" s="769"/>
      <c r="CD3040" s="769"/>
      <c r="CE3040" s="769"/>
      <c r="CF3040" s="769"/>
      <c r="CG3040" s="73"/>
      <c r="CH3040" s="438"/>
      <c r="CI3040" s="416"/>
      <c r="CJ3040" s="73"/>
      <c r="CK3040" s="650"/>
      <c r="CL3040" s="499"/>
      <c r="CM3040" s="650"/>
      <c r="CR3040" s="416"/>
      <c r="CS3040" s="650"/>
      <c r="CU3040" s="73"/>
      <c r="CV3040" s="73"/>
      <c r="CW3040" s="73"/>
      <c r="CX3040" s="73"/>
      <c r="DA3040" s="650"/>
    </row>
    <row r="3041" spans="1:105" s="45" customFormat="1" x14ac:dyDescent="0.2">
      <c r="A3041" s="650"/>
      <c r="B3041" s="438"/>
      <c r="D3041" s="73"/>
      <c r="E3041" s="650"/>
      <c r="F3041" s="650"/>
      <c r="G3041" s="73"/>
      <c r="I3041" s="111"/>
      <c r="J3041" s="81"/>
      <c r="K3041" s="81"/>
      <c r="L3041" s="499"/>
      <c r="M3041" s="73"/>
      <c r="N3041" s="499"/>
      <c r="O3041" s="73"/>
      <c r="P3041" s="73"/>
      <c r="Q3041" s="73"/>
      <c r="R3041" s="176"/>
      <c r="S3041" s="176"/>
      <c r="T3041" s="176"/>
      <c r="U3041" s="400"/>
      <c r="V3041" s="400"/>
      <c r="W3041" s="732"/>
      <c r="X3041" s="167"/>
      <c r="Y3041" s="509"/>
      <c r="Z3041" s="466"/>
      <c r="AA3041" s="466"/>
      <c r="AB3041" s="466"/>
      <c r="AC3041" s="466"/>
      <c r="AD3041" s="466"/>
      <c r="AE3041" s="466"/>
      <c r="AF3041" s="466"/>
      <c r="AG3041" s="466"/>
      <c r="AH3041" s="466"/>
      <c r="AI3041" s="466"/>
      <c r="AJ3041" s="466"/>
      <c r="AK3041" s="466"/>
      <c r="AL3041" s="466"/>
      <c r="AM3041" s="466"/>
      <c r="AN3041" s="466"/>
      <c r="AO3041" s="466"/>
      <c r="AP3041" s="466"/>
      <c r="AQ3041" s="466"/>
      <c r="AR3041" s="466"/>
      <c r="AS3041" s="466"/>
      <c r="AT3041" s="466"/>
      <c r="AU3041" s="466"/>
      <c r="AV3041" s="466"/>
      <c r="AW3041" s="466"/>
      <c r="AX3041" s="466"/>
      <c r="AY3041" s="466"/>
      <c r="AZ3041" s="466"/>
      <c r="BA3041" s="466"/>
      <c r="BB3041" s="466"/>
      <c r="BC3041" s="466"/>
      <c r="BD3041" s="466"/>
      <c r="BE3041" s="467"/>
      <c r="BF3041" s="467"/>
      <c r="BG3041" s="466"/>
      <c r="BH3041" s="466"/>
      <c r="BI3041" s="467"/>
      <c r="BJ3041" s="467"/>
      <c r="BK3041" s="467"/>
      <c r="BL3041" s="467"/>
      <c r="BM3041" s="467"/>
      <c r="BN3041" s="467"/>
      <c r="BO3041" s="467"/>
      <c r="BP3041" s="467"/>
      <c r="BQ3041" s="467"/>
      <c r="BR3041" s="467"/>
      <c r="BS3041" s="467"/>
      <c r="BT3041" s="467"/>
      <c r="BU3041" s="467"/>
      <c r="BV3041" s="467"/>
      <c r="BW3041" s="467"/>
      <c r="BX3041" s="769"/>
      <c r="BY3041" s="769"/>
      <c r="BZ3041" s="769"/>
      <c r="CA3041" s="769"/>
      <c r="CB3041" s="769"/>
      <c r="CC3041" s="769"/>
      <c r="CD3041" s="769"/>
      <c r="CE3041" s="769"/>
      <c r="CF3041" s="769"/>
      <c r="CG3041" s="73"/>
      <c r="CH3041" s="438"/>
      <c r="CI3041" s="416"/>
      <c r="CJ3041" s="73"/>
      <c r="CK3041" s="650"/>
      <c r="CL3041" s="499"/>
      <c r="CM3041" s="650"/>
      <c r="CR3041" s="416"/>
      <c r="CS3041" s="650"/>
      <c r="CU3041" s="73"/>
      <c r="CV3041" s="73"/>
      <c r="CW3041" s="73"/>
      <c r="CX3041" s="73"/>
      <c r="DA3041" s="650"/>
    </row>
    <row r="3042" spans="1:105" s="45" customFormat="1" x14ac:dyDescent="0.2">
      <c r="A3042" s="650"/>
      <c r="B3042" s="438"/>
      <c r="D3042" s="73"/>
      <c r="E3042" s="650"/>
      <c r="F3042" s="650"/>
      <c r="G3042" s="73"/>
      <c r="I3042" s="111"/>
      <c r="J3042" s="81"/>
      <c r="K3042" s="81"/>
      <c r="L3042" s="499"/>
      <c r="M3042" s="73"/>
      <c r="N3042" s="499"/>
      <c r="O3042" s="73"/>
      <c r="P3042" s="73"/>
      <c r="Q3042" s="73"/>
      <c r="R3042" s="176"/>
      <c r="S3042" s="176"/>
      <c r="T3042" s="176"/>
      <c r="U3042" s="400"/>
      <c r="V3042" s="400"/>
      <c r="W3042" s="732"/>
      <c r="X3042" s="167"/>
      <c r="Y3042" s="509"/>
      <c r="Z3042" s="466"/>
      <c r="AA3042" s="466"/>
      <c r="AB3042" s="466"/>
      <c r="AC3042" s="466"/>
      <c r="AD3042" s="466"/>
      <c r="AE3042" s="466"/>
      <c r="AF3042" s="466"/>
      <c r="AG3042" s="466"/>
      <c r="AH3042" s="466"/>
      <c r="AI3042" s="466"/>
      <c r="AJ3042" s="466"/>
      <c r="AK3042" s="466"/>
      <c r="AL3042" s="466"/>
      <c r="AM3042" s="466"/>
      <c r="AN3042" s="466"/>
      <c r="AO3042" s="466"/>
      <c r="AP3042" s="466"/>
      <c r="AQ3042" s="466"/>
      <c r="AR3042" s="466"/>
      <c r="AS3042" s="466"/>
      <c r="AT3042" s="466"/>
      <c r="AU3042" s="466"/>
      <c r="AV3042" s="466"/>
      <c r="AW3042" s="466"/>
      <c r="AX3042" s="466"/>
      <c r="AY3042" s="466"/>
      <c r="AZ3042" s="466"/>
      <c r="BA3042" s="466"/>
      <c r="BB3042" s="466"/>
      <c r="BC3042" s="466"/>
      <c r="BD3042" s="466"/>
      <c r="BE3042" s="467"/>
      <c r="BF3042" s="467"/>
      <c r="BG3042" s="466"/>
      <c r="BH3042" s="466"/>
      <c r="BI3042" s="467"/>
      <c r="BJ3042" s="467"/>
      <c r="BK3042" s="467"/>
      <c r="BL3042" s="467"/>
      <c r="BM3042" s="467"/>
      <c r="BN3042" s="467"/>
      <c r="BO3042" s="467"/>
      <c r="BP3042" s="467"/>
      <c r="BQ3042" s="467"/>
      <c r="BR3042" s="467"/>
      <c r="BS3042" s="467"/>
      <c r="BT3042" s="467"/>
      <c r="BU3042" s="467"/>
      <c r="BV3042" s="467"/>
      <c r="BW3042" s="467"/>
      <c r="BX3042" s="769"/>
      <c r="BY3042" s="769"/>
      <c r="BZ3042" s="769"/>
      <c r="CA3042" s="769"/>
      <c r="CB3042" s="769"/>
      <c r="CC3042" s="769"/>
      <c r="CD3042" s="769"/>
      <c r="CE3042" s="769"/>
      <c r="CF3042" s="769"/>
      <c r="CG3042" s="73"/>
      <c r="CH3042" s="438"/>
      <c r="CI3042" s="416"/>
      <c r="CJ3042" s="73"/>
      <c r="CK3042" s="650"/>
      <c r="CL3042" s="499"/>
      <c r="CM3042" s="650"/>
      <c r="CR3042" s="416"/>
      <c r="CS3042" s="650"/>
      <c r="CU3042" s="73"/>
      <c r="CV3042" s="73"/>
      <c r="CW3042" s="73"/>
      <c r="CX3042" s="73"/>
      <c r="DA3042" s="650"/>
    </row>
    <row r="3043" spans="1:105" s="45" customFormat="1" x14ac:dyDescent="0.2">
      <c r="A3043" s="650"/>
      <c r="B3043" s="438"/>
      <c r="D3043" s="73"/>
      <c r="E3043" s="650"/>
      <c r="F3043" s="650"/>
      <c r="G3043" s="73"/>
      <c r="I3043" s="111"/>
      <c r="J3043" s="81"/>
      <c r="K3043" s="81"/>
      <c r="L3043" s="499"/>
      <c r="M3043" s="73"/>
      <c r="N3043" s="499"/>
      <c r="O3043" s="73"/>
      <c r="P3043" s="73"/>
      <c r="Q3043" s="73"/>
      <c r="R3043" s="176"/>
      <c r="S3043" s="176"/>
      <c r="T3043" s="176"/>
      <c r="U3043" s="400"/>
      <c r="V3043" s="400"/>
      <c r="W3043" s="732"/>
      <c r="X3043" s="167"/>
      <c r="Y3043" s="509"/>
      <c r="Z3043" s="466"/>
      <c r="AA3043" s="466"/>
      <c r="AB3043" s="466"/>
      <c r="AC3043" s="466"/>
      <c r="AD3043" s="466"/>
      <c r="AE3043" s="466"/>
      <c r="AF3043" s="466"/>
      <c r="AG3043" s="466"/>
      <c r="AH3043" s="466"/>
      <c r="AI3043" s="466"/>
      <c r="AJ3043" s="466"/>
      <c r="AK3043" s="466"/>
      <c r="AL3043" s="466"/>
      <c r="AM3043" s="466"/>
      <c r="AN3043" s="466"/>
      <c r="AO3043" s="466"/>
      <c r="AP3043" s="466"/>
      <c r="AQ3043" s="466"/>
      <c r="AR3043" s="466"/>
      <c r="AS3043" s="466"/>
      <c r="AT3043" s="466"/>
      <c r="AU3043" s="466"/>
      <c r="AV3043" s="466"/>
      <c r="AW3043" s="466"/>
      <c r="AX3043" s="466"/>
      <c r="AY3043" s="466"/>
      <c r="AZ3043" s="466"/>
      <c r="BA3043" s="466"/>
      <c r="BB3043" s="466"/>
      <c r="BC3043" s="466"/>
      <c r="BD3043" s="466"/>
      <c r="BE3043" s="467"/>
      <c r="BF3043" s="467"/>
      <c r="BG3043" s="466"/>
      <c r="BH3043" s="466"/>
      <c r="BI3043" s="467"/>
      <c r="BJ3043" s="467"/>
      <c r="BK3043" s="467"/>
      <c r="BL3043" s="467"/>
      <c r="BM3043" s="467"/>
      <c r="BN3043" s="467"/>
      <c r="BO3043" s="467"/>
      <c r="BP3043" s="467"/>
      <c r="BQ3043" s="467"/>
      <c r="BR3043" s="467"/>
      <c r="BS3043" s="467"/>
      <c r="BT3043" s="467"/>
      <c r="BU3043" s="467"/>
      <c r="BV3043" s="467"/>
      <c r="BW3043" s="467"/>
      <c r="BX3043" s="769"/>
      <c r="BY3043" s="769"/>
      <c r="BZ3043" s="769"/>
      <c r="CA3043" s="769"/>
      <c r="CB3043" s="769"/>
      <c r="CC3043" s="769"/>
      <c r="CD3043" s="769"/>
      <c r="CE3043" s="769"/>
      <c r="CF3043" s="769"/>
      <c r="CG3043" s="73"/>
      <c r="CH3043" s="438"/>
      <c r="CI3043" s="416"/>
      <c r="CJ3043" s="73"/>
      <c r="CK3043" s="650"/>
      <c r="CL3043" s="499"/>
      <c r="CM3043" s="650"/>
      <c r="CR3043" s="416"/>
      <c r="CS3043" s="650"/>
      <c r="CU3043" s="73"/>
      <c r="CV3043" s="73"/>
      <c r="CW3043" s="73"/>
      <c r="CX3043" s="73"/>
      <c r="DA3043" s="650"/>
    </row>
    <row r="3044" spans="1:105" s="45" customFormat="1" x14ac:dyDescent="0.2">
      <c r="A3044" s="650"/>
      <c r="B3044" s="438"/>
      <c r="D3044" s="73"/>
      <c r="E3044" s="650"/>
      <c r="F3044" s="650"/>
      <c r="G3044" s="73"/>
      <c r="I3044" s="111"/>
      <c r="J3044" s="81"/>
      <c r="K3044" s="81"/>
      <c r="L3044" s="499"/>
      <c r="M3044" s="73"/>
      <c r="N3044" s="499"/>
      <c r="O3044" s="73"/>
      <c r="P3044" s="73"/>
      <c r="Q3044" s="73"/>
      <c r="R3044" s="176"/>
      <c r="S3044" s="176"/>
      <c r="T3044" s="176"/>
      <c r="U3044" s="400"/>
      <c r="V3044" s="400"/>
      <c r="W3044" s="732"/>
      <c r="X3044" s="167"/>
      <c r="Y3044" s="509"/>
      <c r="Z3044" s="466"/>
      <c r="AA3044" s="466"/>
      <c r="AB3044" s="466"/>
      <c r="AC3044" s="466"/>
      <c r="AD3044" s="466"/>
      <c r="AE3044" s="466"/>
      <c r="AF3044" s="466"/>
      <c r="AG3044" s="466"/>
      <c r="AH3044" s="466"/>
      <c r="AI3044" s="466"/>
      <c r="AJ3044" s="466"/>
      <c r="AK3044" s="466"/>
      <c r="AL3044" s="466"/>
      <c r="AM3044" s="466"/>
      <c r="AN3044" s="466"/>
      <c r="AO3044" s="466"/>
      <c r="AP3044" s="466"/>
      <c r="AQ3044" s="466"/>
      <c r="AR3044" s="466"/>
      <c r="AS3044" s="466"/>
      <c r="AT3044" s="466"/>
      <c r="AU3044" s="466"/>
      <c r="AV3044" s="466"/>
      <c r="AW3044" s="466"/>
      <c r="AX3044" s="466"/>
      <c r="AY3044" s="466"/>
      <c r="AZ3044" s="466"/>
      <c r="BA3044" s="466"/>
      <c r="BB3044" s="466"/>
      <c r="BC3044" s="466"/>
      <c r="BD3044" s="466"/>
      <c r="BE3044" s="467"/>
      <c r="BF3044" s="467"/>
      <c r="BG3044" s="466"/>
      <c r="BH3044" s="466"/>
      <c r="BI3044" s="467"/>
      <c r="BJ3044" s="467"/>
      <c r="BK3044" s="467"/>
      <c r="BL3044" s="467"/>
      <c r="BM3044" s="467"/>
      <c r="BN3044" s="467"/>
      <c r="BO3044" s="467"/>
      <c r="BP3044" s="467"/>
      <c r="BQ3044" s="467"/>
      <c r="BR3044" s="467"/>
      <c r="BS3044" s="467"/>
      <c r="BT3044" s="467"/>
      <c r="BU3044" s="467"/>
      <c r="BV3044" s="467"/>
      <c r="BW3044" s="467"/>
      <c r="BX3044" s="769"/>
      <c r="BY3044" s="769"/>
      <c r="BZ3044" s="769"/>
      <c r="CA3044" s="769"/>
      <c r="CB3044" s="769"/>
      <c r="CC3044" s="769"/>
      <c r="CD3044" s="769"/>
      <c r="CE3044" s="769"/>
      <c r="CF3044" s="769"/>
      <c r="CG3044" s="73"/>
      <c r="CH3044" s="438"/>
      <c r="CI3044" s="416"/>
      <c r="CJ3044" s="73"/>
      <c r="CK3044" s="650"/>
      <c r="CL3044" s="499"/>
      <c r="CM3044" s="650"/>
      <c r="CR3044" s="416"/>
      <c r="CS3044" s="650"/>
      <c r="CU3044" s="73"/>
      <c r="CV3044" s="73"/>
      <c r="CW3044" s="73"/>
      <c r="CX3044" s="73"/>
      <c r="DA3044" s="650"/>
    </row>
    <row r="3045" spans="1:105" s="45" customFormat="1" x14ac:dyDescent="0.2">
      <c r="A3045" s="650"/>
      <c r="B3045" s="438"/>
      <c r="D3045" s="73"/>
      <c r="E3045" s="650"/>
      <c r="F3045" s="650"/>
      <c r="G3045" s="73"/>
      <c r="I3045" s="111"/>
      <c r="J3045" s="81"/>
      <c r="K3045" s="81"/>
      <c r="L3045" s="499"/>
      <c r="M3045" s="73"/>
      <c r="N3045" s="499"/>
      <c r="O3045" s="73"/>
      <c r="P3045" s="73"/>
      <c r="Q3045" s="73"/>
      <c r="R3045" s="176"/>
      <c r="S3045" s="176"/>
      <c r="T3045" s="176"/>
      <c r="U3045" s="400"/>
      <c r="V3045" s="400"/>
      <c r="W3045" s="732"/>
      <c r="X3045" s="167"/>
      <c r="Y3045" s="509"/>
      <c r="Z3045" s="466"/>
      <c r="AA3045" s="466"/>
      <c r="AB3045" s="466"/>
      <c r="AC3045" s="466"/>
      <c r="AD3045" s="466"/>
      <c r="AE3045" s="466"/>
      <c r="AF3045" s="466"/>
      <c r="AG3045" s="466"/>
      <c r="AH3045" s="466"/>
      <c r="AI3045" s="466"/>
      <c r="AJ3045" s="466"/>
      <c r="AK3045" s="466"/>
      <c r="AL3045" s="466"/>
      <c r="AM3045" s="466"/>
      <c r="AN3045" s="466"/>
      <c r="AO3045" s="466"/>
      <c r="AP3045" s="466"/>
      <c r="AQ3045" s="466"/>
      <c r="AR3045" s="466"/>
      <c r="AS3045" s="466"/>
      <c r="AT3045" s="466"/>
      <c r="AU3045" s="466"/>
      <c r="AV3045" s="466"/>
      <c r="AW3045" s="466"/>
      <c r="AX3045" s="466"/>
      <c r="AY3045" s="466"/>
      <c r="AZ3045" s="466"/>
      <c r="BA3045" s="466"/>
      <c r="BB3045" s="466"/>
      <c r="BC3045" s="466"/>
      <c r="BD3045" s="466"/>
      <c r="BE3045" s="467"/>
      <c r="BF3045" s="467"/>
      <c r="BG3045" s="466"/>
      <c r="BH3045" s="466"/>
      <c r="BI3045" s="467"/>
      <c r="BJ3045" s="467"/>
      <c r="BK3045" s="467"/>
      <c r="BL3045" s="467"/>
      <c r="BM3045" s="467"/>
      <c r="BN3045" s="467"/>
      <c r="BO3045" s="467"/>
      <c r="BP3045" s="467"/>
      <c r="BQ3045" s="467"/>
      <c r="BR3045" s="467"/>
      <c r="BS3045" s="467"/>
      <c r="BT3045" s="467"/>
      <c r="BU3045" s="467"/>
      <c r="BV3045" s="467"/>
      <c r="BW3045" s="467"/>
      <c r="BX3045" s="769"/>
      <c r="BY3045" s="769"/>
      <c r="BZ3045" s="769"/>
      <c r="CA3045" s="769"/>
      <c r="CB3045" s="769"/>
      <c r="CC3045" s="769"/>
      <c r="CD3045" s="769"/>
      <c r="CE3045" s="769"/>
      <c r="CF3045" s="769"/>
      <c r="CG3045" s="73"/>
      <c r="CH3045" s="438"/>
      <c r="CI3045" s="416"/>
      <c r="CJ3045" s="73"/>
      <c r="CK3045" s="650"/>
      <c r="CL3045" s="499"/>
      <c r="CM3045" s="650"/>
      <c r="CR3045" s="416"/>
      <c r="CS3045" s="650"/>
      <c r="CU3045" s="73"/>
      <c r="CV3045" s="73"/>
      <c r="CW3045" s="73"/>
      <c r="CX3045" s="73"/>
      <c r="DA3045" s="650"/>
    </row>
    <row r="3046" spans="1:105" s="45" customFormat="1" x14ac:dyDescent="0.2">
      <c r="A3046" s="650"/>
      <c r="B3046" s="438"/>
      <c r="D3046" s="73"/>
      <c r="E3046" s="650"/>
      <c r="F3046" s="650"/>
      <c r="G3046" s="73"/>
      <c r="I3046" s="111"/>
      <c r="J3046" s="81"/>
      <c r="K3046" s="81"/>
      <c r="L3046" s="499"/>
      <c r="M3046" s="73"/>
      <c r="N3046" s="499"/>
      <c r="O3046" s="73"/>
      <c r="P3046" s="73"/>
      <c r="Q3046" s="73"/>
      <c r="R3046" s="176"/>
      <c r="S3046" s="176"/>
      <c r="T3046" s="176"/>
      <c r="U3046" s="400"/>
      <c r="V3046" s="400"/>
      <c r="W3046" s="732"/>
      <c r="X3046" s="167"/>
      <c r="Y3046" s="509"/>
      <c r="Z3046" s="466"/>
      <c r="AA3046" s="466"/>
      <c r="AB3046" s="466"/>
      <c r="AC3046" s="466"/>
      <c r="AD3046" s="466"/>
      <c r="AE3046" s="466"/>
      <c r="AF3046" s="466"/>
      <c r="AG3046" s="466"/>
      <c r="AH3046" s="466"/>
      <c r="AI3046" s="466"/>
      <c r="AJ3046" s="466"/>
      <c r="AK3046" s="466"/>
      <c r="AL3046" s="466"/>
      <c r="AM3046" s="466"/>
      <c r="AN3046" s="466"/>
      <c r="AO3046" s="466"/>
      <c r="AP3046" s="466"/>
      <c r="AQ3046" s="466"/>
      <c r="AR3046" s="466"/>
      <c r="AS3046" s="466"/>
      <c r="AT3046" s="466"/>
      <c r="AU3046" s="466"/>
      <c r="AV3046" s="466"/>
      <c r="AW3046" s="466"/>
      <c r="AX3046" s="466"/>
      <c r="AY3046" s="466"/>
      <c r="AZ3046" s="466"/>
      <c r="BA3046" s="466"/>
      <c r="BB3046" s="466"/>
      <c r="BC3046" s="466"/>
      <c r="BD3046" s="466"/>
      <c r="BE3046" s="467"/>
      <c r="BF3046" s="467"/>
      <c r="BG3046" s="466"/>
      <c r="BH3046" s="466"/>
      <c r="BI3046" s="467"/>
      <c r="BJ3046" s="467"/>
      <c r="BK3046" s="467"/>
      <c r="BL3046" s="467"/>
      <c r="BM3046" s="467"/>
      <c r="BN3046" s="467"/>
      <c r="BO3046" s="467"/>
      <c r="BP3046" s="467"/>
      <c r="BQ3046" s="467"/>
      <c r="BR3046" s="467"/>
      <c r="BS3046" s="467"/>
      <c r="BT3046" s="467"/>
      <c r="BU3046" s="467"/>
      <c r="BV3046" s="467"/>
      <c r="BW3046" s="467"/>
      <c r="BX3046" s="769"/>
      <c r="BY3046" s="769"/>
      <c r="BZ3046" s="769"/>
      <c r="CA3046" s="769"/>
      <c r="CB3046" s="769"/>
      <c r="CC3046" s="769"/>
      <c r="CD3046" s="769"/>
      <c r="CE3046" s="769"/>
      <c r="CF3046" s="769"/>
      <c r="CG3046" s="73"/>
      <c r="CH3046" s="438"/>
      <c r="CI3046" s="416"/>
      <c r="CJ3046" s="73"/>
      <c r="CK3046" s="650"/>
      <c r="CL3046" s="499"/>
      <c r="CM3046" s="650"/>
      <c r="CR3046" s="416"/>
      <c r="CS3046" s="650"/>
      <c r="CU3046" s="73"/>
      <c r="CV3046" s="73"/>
      <c r="CW3046" s="73"/>
      <c r="CX3046" s="73"/>
      <c r="DA3046" s="650"/>
    </row>
    <row r="3047" spans="1:105" s="45" customFormat="1" x14ac:dyDescent="0.2">
      <c r="A3047" s="650"/>
      <c r="B3047" s="438"/>
      <c r="D3047" s="73"/>
      <c r="E3047" s="650"/>
      <c r="F3047" s="650"/>
      <c r="G3047" s="73"/>
      <c r="I3047" s="111"/>
      <c r="J3047" s="81"/>
      <c r="K3047" s="81"/>
      <c r="L3047" s="499"/>
      <c r="M3047" s="73"/>
      <c r="N3047" s="499"/>
      <c r="O3047" s="73"/>
      <c r="P3047" s="73"/>
      <c r="Q3047" s="73"/>
      <c r="R3047" s="176"/>
      <c r="S3047" s="176"/>
      <c r="T3047" s="176"/>
      <c r="U3047" s="400"/>
      <c r="V3047" s="400"/>
      <c r="W3047" s="732"/>
      <c r="X3047" s="167"/>
      <c r="Y3047" s="509"/>
      <c r="Z3047" s="466"/>
      <c r="AA3047" s="466"/>
      <c r="AB3047" s="466"/>
      <c r="AC3047" s="466"/>
      <c r="AD3047" s="466"/>
      <c r="AE3047" s="466"/>
      <c r="AF3047" s="466"/>
      <c r="AG3047" s="466"/>
      <c r="AH3047" s="466"/>
      <c r="AI3047" s="466"/>
      <c r="AJ3047" s="466"/>
      <c r="AK3047" s="466"/>
      <c r="AL3047" s="466"/>
      <c r="AM3047" s="466"/>
      <c r="AN3047" s="466"/>
      <c r="AO3047" s="466"/>
      <c r="AP3047" s="466"/>
      <c r="AQ3047" s="466"/>
      <c r="AR3047" s="466"/>
      <c r="AS3047" s="466"/>
      <c r="AT3047" s="466"/>
      <c r="AU3047" s="466"/>
      <c r="AV3047" s="466"/>
      <c r="AW3047" s="466"/>
      <c r="AX3047" s="466"/>
      <c r="AY3047" s="466"/>
      <c r="AZ3047" s="466"/>
      <c r="BA3047" s="466"/>
      <c r="BB3047" s="466"/>
      <c r="BC3047" s="466"/>
      <c r="BD3047" s="466"/>
      <c r="BE3047" s="467"/>
      <c r="BF3047" s="467"/>
      <c r="BG3047" s="466"/>
      <c r="BH3047" s="466"/>
      <c r="BI3047" s="467"/>
      <c r="BJ3047" s="467"/>
      <c r="BK3047" s="467"/>
      <c r="BL3047" s="467"/>
      <c r="BM3047" s="467"/>
      <c r="BN3047" s="467"/>
      <c r="BO3047" s="467"/>
      <c r="BP3047" s="467"/>
      <c r="BQ3047" s="467"/>
      <c r="BR3047" s="467"/>
      <c r="BS3047" s="467"/>
      <c r="BT3047" s="467"/>
      <c r="BU3047" s="467"/>
      <c r="BV3047" s="467"/>
      <c r="BW3047" s="467"/>
      <c r="BX3047" s="769"/>
      <c r="BY3047" s="769"/>
      <c r="BZ3047" s="769"/>
      <c r="CA3047" s="769"/>
      <c r="CB3047" s="769"/>
      <c r="CC3047" s="769"/>
      <c r="CD3047" s="769"/>
      <c r="CE3047" s="769"/>
      <c r="CF3047" s="769"/>
      <c r="CG3047" s="73"/>
      <c r="CH3047" s="438"/>
      <c r="CI3047" s="416"/>
      <c r="CJ3047" s="73"/>
      <c r="CK3047" s="650"/>
      <c r="CL3047" s="499"/>
      <c r="CM3047" s="650"/>
      <c r="CR3047" s="416"/>
      <c r="CS3047" s="650"/>
      <c r="CU3047" s="73"/>
      <c r="CV3047" s="73"/>
      <c r="CW3047" s="73"/>
      <c r="CX3047" s="73"/>
      <c r="DA3047" s="650"/>
    </row>
    <row r="3048" spans="1:105" s="45" customFormat="1" x14ac:dyDescent="0.2">
      <c r="A3048" s="650"/>
      <c r="B3048" s="438"/>
      <c r="D3048" s="73"/>
      <c r="E3048" s="650"/>
      <c r="F3048" s="650"/>
      <c r="G3048" s="73"/>
      <c r="I3048" s="111"/>
      <c r="J3048" s="81"/>
      <c r="K3048" s="81"/>
      <c r="L3048" s="499"/>
      <c r="M3048" s="73"/>
      <c r="N3048" s="499"/>
      <c r="O3048" s="73"/>
      <c r="P3048" s="73"/>
      <c r="Q3048" s="73"/>
      <c r="R3048" s="176"/>
      <c r="S3048" s="176"/>
      <c r="T3048" s="176"/>
      <c r="U3048" s="400"/>
      <c r="V3048" s="400"/>
      <c r="W3048" s="732"/>
      <c r="X3048" s="167"/>
      <c r="Y3048" s="509"/>
      <c r="Z3048" s="466"/>
      <c r="AA3048" s="466"/>
      <c r="AB3048" s="466"/>
      <c r="AC3048" s="466"/>
      <c r="AD3048" s="466"/>
      <c r="AE3048" s="466"/>
      <c r="AF3048" s="466"/>
      <c r="AG3048" s="466"/>
      <c r="AH3048" s="466"/>
      <c r="AI3048" s="466"/>
      <c r="AJ3048" s="466"/>
      <c r="AK3048" s="466"/>
      <c r="AL3048" s="466"/>
      <c r="AM3048" s="466"/>
      <c r="AN3048" s="466"/>
      <c r="AO3048" s="466"/>
      <c r="AP3048" s="466"/>
      <c r="AQ3048" s="466"/>
      <c r="AR3048" s="466"/>
      <c r="AS3048" s="466"/>
      <c r="AT3048" s="466"/>
      <c r="AU3048" s="466"/>
      <c r="AV3048" s="466"/>
      <c r="AW3048" s="466"/>
      <c r="AX3048" s="466"/>
      <c r="AY3048" s="466"/>
      <c r="AZ3048" s="466"/>
      <c r="BA3048" s="466"/>
      <c r="BB3048" s="466"/>
      <c r="BC3048" s="466"/>
      <c r="BD3048" s="466"/>
      <c r="BE3048" s="467"/>
      <c r="BF3048" s="467"/>
      <c r="BG3048" s="466"/>
      <c r="BH3048" s="466"/>
      <c r="BI3048" s="467"/>
      <c r="BJ3048" s="467"/>
      <c r="BK3048" s="467"/>
      <c r="BL3048" s="467"/>
      <c r="BM3048" s="467"/>
      <c r="BN3048" s="467"/>
      <c r="BO3048" s="467"/>
      <c r="BP3048" s="467"/>
      <c r="BQ3048" s="467"/>
      <c r="BR3048" s="467"/>
      <c r="BS3048" s="467"/>
      <c r="BT3048" s="467"/>
      <c r="BU3048" s="467"/>
      <c r="BV3048" s="467"/>
      <c r="BW3048" s="467"/>
      <c r="BX3048" s="769"/>
      <c r="BY3048" s="769"/>
      <c r="BZ3048" s="769"/>
      <c r="CA3048" s="769"/>
      <c r="CB3048" s="769"/>
      <c r="CC3048" s="769"/>
      <c r="CD3048" s="769"/>
      <c r="CE3048" s="769"/>
      <c r="CF3048" s="769"/>
      <c r="CG3048" s="73"/>
      <c r="CH3048" s="438"/>
      <c r="CI3048" s="416"/>
      <c r="CJ3048" s="73"/>
      <c r="CK3048" s="650"/>
      <c r="CL3048" s="499"/>
      <c r="CM3048" s="650"/>
      <c r="CR3048" s="416"/>
      <c r="CS3048" s="650"/>
      <c r="CU3048" s="73"/>
      <c r="CV3048" s="73"/>
      <c r="CW3048" s="73"/>
      <c r="CX3048" s="73"/>
      <c r="DA3048" s="650"/>
    </row>
    <row r="3049" spans="1:105" s="45" customFormat="1" x14ac:dyDescent="0.2">
      <c r="A3049" s="650"/>
      <c r="B3049" s="438"/>
      <c r="D3049" s="73"/>
      <c r="E3049" s="650"/>
      <c r="F3049" s="650"/>
      <c r="G3049" s="73"/>
      <c r="I3049" s="111"/>
      <c r="J3049" s="81"/>
      <c r="K3049" s="81"/>
      <c r="L3049" s="499"/>
      <c r="M3049" s="73"/>
      <c r="N3049" s="499"/>
      <c r="O3049" s="73"/>
      <c r="P3049" s="73"/>
      <c r="Q3049" s="73"/>
      <c r="R3049" s="176"/>
      <c r="S3049" s="176"/>
      <c r="T3049" s="176"/>
      <c r="U3049" s="400"/>
      <c r="V3049" s="400"/>
      <c r="W3049" s="732"/>
      <c r="X3049" s="167"/>
      <c r="Y3049" s="509"/>
      <c r="Z3049" s="466"/>
      <c r="AA3049" s="466"/>
      <c r="AB3049" s="466"/>
      <c r="AC3049" s="466"/>
      <c r="AD3049" s="466"/>
      <c r="AE3049" s="466"/>
      <c r="AF3049" s="466"/>
      <c r="AG3049" s="466"/>
      <c r="AH3049" s="466"/>
      <c r="AI3049" s="466"/>
      <c r="AJ3049" s="466"/>
      <c r="AK3049" s="466"/>
      <c r="AL3049" s="466"/>
      <c r="AM3049" s="466"/>
      <c r="AN3049" s="466"/>
      <c r="AO3049" s="466"/>
      <c r="AP3049" s="466"/>
      <c r="AQ3049" s="466"/>
      <c r="AR3049" s="466"/>
      <c r="AS3049" s="466"/>
      <c r="AT3049" s="466"/>
      <c r="AU3049" s="466"/>
      <c r="AV3049" s="466"/>
      <c r="AW3049" s="466"/>
      <c r="AX3049" s="466"/>
      <c r="AY3049" s="466"/>
      <c r="AZ3049" s="466"/>
      <c r="BA3049" s="466"/>
      <c r="BB3049" s="466"/>
      <c r="BC3049" s="466"/>
      <c r="BD3049" s="466"/>
      <c r="BE3049" s="467"/>
      <c r="BF3049" s="467"/>
      <c r="BG3049" s="466"/>
      <c r="BH3049" s="466"/>
      <c r="BI3049" s="467"/>
      <c r="BJ3049" s="467"/>
      <c r="BK3049" s="467"/>
      <c r="BL3049" s="467"/>
      <c r="BM3049" s="467"/>
      <c r="BN3049" s="467"/>
      <c r="BO3049" s="467"/>
      <c r="BP3049" s="467"/>
      <c r="BQ3049" s="467"/>
      <c r="BR3049" s="467"/>
      <c r="BS3049" s="467"/>
      <c r="BT3049" s="467"/>
      <c r="BU3049" s="467"/>
      <c r="BV3049" s="467"/>
      <c r="BW3049" s="467"/>
      <c r="BX3049" s="769"/>
      <c r="BY3049" s="769"/>
      <c r="BZ3049" s="769"/>
      <c r="CA3049" s="769"/>
      <c r="CB3049" s="769"/>
      <c r="CC3049" s="769"/>
      <c r="CD3049" s="769"/>
      <c r="CE3049" s="769"/>
      <c r="CF3049" s="769"/>
      <c r="CG3049" s="73"/>
      <c r="CH3049" s="438"/>
      <c r="CI3049" s="416"/>
      <c r="CJ3049" s="73"/>
      <c r="CK3049" s="650"/>
      <c r="CL3049" s="499"/>
      <c r="CM3049" s="650"/>
      <c r="CR3049" s="416"/>
      <c r="CS3049" s="650"/>
      <c r="CU3049" s="73"/>
      <c r="CV3049" s="73"/>
      <c r="CW3049" s="73"/>
      <c r="CX3049" s="73"/>
      <c r="DA3049" s="650"/>
    </row>
    <row r="3050" spans="1:105" s="45" customFormat="1" x14ac:dyDescent="0.2">
      <c r="A3050" s="650"/>
      <c r="B3050" s="438"/>
      <c r="D3050" s="73"/>
      <c r="E3050" s="650"/>
      <c r="F3050" s="650"/>
      <c r="G3050" s="73"/>
      <c r="I3050" s="111"/>
      <c r="J3050" s="81"/>
      <c r="K3050" s="81"/>
      <c r="L3050" s="499"/>
      <c r="M3050" s="73"/>
      <c r="N3050" s="499"/>
      <c r="O3050" s="73"/>
      <c r="P3050" s="73"/>
      <c r="Q3050" s="73"/>
      <c r="R3050" s="176"/>
      <c r="S3050" s="176"/>
      <c r="T3050" s="176"/>
      <c r="U3050" s="400"/>
      <c r="V3050" s="400"/>
      <c r="W3050" s="732"/>
      <c r="X3050" s="167"/>
      <c r="Y3050" s="509"/>
      <c r="Z3050" s="466"/>
      <c r="AA3050" s="466"/>
      <c r="AB3050" s="466"/>
      <c r="AC3050" s="466"/>
      <c r="AD3050" s="466"/>
      <c r="AE3050" s="466"/>
      <c r="AF3050" s="466"/>
      <c r="AG3050" s="466"/>
      <c r="AH3050" s="466"/>
      <c r="AI3050" s="466"/>
      <c r="AJ3050" s="466"/>
      <c r="AK3050" s="466"/>
      <c r="AL3050" s="466"/>
      <c r="AM3050" s="466"/>
      <c r="AN3050" s="466"/>
      <c r="AO3050" s="466"/>
      <c r="AP3050" s="466"/>
      <c r="AQ3050" s="466"/>
      <c r="AR3050" s="466"/>
      <c r="AS3050" s="466"/>
      <c r="AT3050" s="466"/>
      <c r="AU3050" s="466"/>
      <c r="AV3050" s="466"/>
      <c r="AW3050" s="466"/>
      <c r="AX3050" s="466"/>
      <c r="AY3050" s="466"/>
      <c r="AZ3050" s="466"/>
      <c r="BA3050" s="466"/>
      <c r="BB3050" s="466"/>
      <c r="BC3050" s="466"/>
      <c r="BD3050" s="466"/>
      <c r="BE3050" s="467"/>
      <c r="BF3050" s="467"/>
      <c r="BG3050" s="466"/>
      <c r="BH3050" s="466"/>
      <c r="BI3050" s="467"/>
      <c r="BJ3050" s="467"/>
      <c r="BK3050" s="467"/>
      <c r="BL3050" s="467"/>
      <c r="BM3050" s="467"/>
      <c r="BN3050" s="467"/>
      <c r="BO3050" s="467"/>
      <c r="BP3050" s="467"/>
      <c r="BQ3050" s="467"/>
      <c r="BR3050" s="467"/>
      <c r="BS3050" s="467"/>
      <c r="BT3050" s="467"/>
      <c r="BU3050" s="467"/>
      <c r="BV3050" s="467"/>
      <c r="BW3050" s="467"/>
      <c r="BX3050" s="769"/>
      <c r="BY3050" s="769"/>
      <c r="BZ3050" s="769"/>
      <c r="CA3050" s="769"/>
      <c r="CB3050" s="769"/>
      <c r="CC3050" s="769"/>
      <c r="CD3050" s="769"/>
      <c r="CE3050" s="769"/>
      <c r="CF3050" s="769"/>
      <c r="CG3050" s="73"/>
      <c r="CH3050" s="438"/>
      <c r="CI3050" s="416"/>
      <c r="CJ3050" s="73"/>
      <c r="CK3050" s="650"/>
      <c r="CL3050" s="499"/>
      <c r="CM3050" s="650"/>
      <c r="CR3050" s="416"/>
      <c r="CS3050" s="650"/>
      <c r="CU3050" s="73"/>
      <c r="CV3050" s="73"/>
      <c r="CW3050" s="73"/>
      <c r="CX3050" s="73"/>
      <c r="DA3050" s="650"/>
    </row>
    <row r="3051" spans="1:105" s="45" customFormat="1" x14ac:dyDescent="0.2">
      <c r="A3051" s="650"/>
      <c r="B3051" s="438"/>
      <c r="D3051" s="73"/>
      <c r="E3051" s="650"/>
      <c r="F3051" s="650"/>
      <c r="G3051" s="73"/>
      <c r="I3051" s="111"/>
      <c r="J3051" s="81"/>
      <c r="K3051" s="81"/>
      <c r="L3051" s="499"/>
      <c r="M3051" s="73"/>
      <c r="N3051" s="499"/>
      <c r="O3051" s="73"/>
      <c r="P3051" s="73"/>
      <c r="Q3051" s="73"/>
      <c r="R3051" s="176"/>
      <c r="S3051" s="176"/>
      <c r="T3051" s="176"/>
      <c r="U3051" s="400"/>
      <c r="V3051" s="400"/>
      <c r="W3051" s="732"/>
      <c r="X3051" s="167"/>
      <c r="Y3051" s="509"/>
      <c r="Z3051" s="466"/>
      <c r="AA3051" s="466"/>
      <c r="AB3051" s="466"/>
      <c r="AC3051" s="466"/>
      <c r="AD3051" s="466"/>
      <c r="AE3051" s="466"/>
      <c r="AF3051" s="466"/>
      <c r="AG3051" s="466"/>
      <c r="AH3051" s="466"/>
      <c r="AI3051" s="466"/>
      <c r="AJ3051" s="466"/>
      <c r="AK3051" s="466"/>
      <c r="AL3051" s="466"/>
      <c r="AM3051" s="466"/>
      <c r="AN3051" s="466"/>
      <c r="AO3051" s="466"/>
      <c r="AP3051" s="466"/>
      <c r="AQ3051" s="466"/>
      <c r="AR3051" s="466"/>
      <c r="AS3051" s="466"/>
      <c r="AT3051" s="466"/>
      <c r="AU3051" s="466"/>
      <c r="AV3051" s="466"/>
      <c r="AW3051" s="466"/>
      <c r="AX3051" s="466"/>
      <c r="AY3051" s="466"/>
      <c r="AZ3051" s="466"/>
      <c r="BA3051" s="466"/>
      <c r="BB3051" s="466"/>
      <c r="BC3051" s="466"/>
      <c r="BD3051" s="466"/>
      <c r="BE3051" s="467"/>
      <c r="BF3051" s="467"/>
      <c r="BG3051" s="466"/>
      <c r="BH3051" s="466"/>
      <c r="BI3051" s="467"/>
      <c r="BJ3051" s="467"/>
      <c r="BK3051" s="467"/>
      <c r="BL3051" s="467"/>
      <c r="BM3051" s="467"/>
      <c r="BN3051" s="467"/>
      <c r="BO3051" s="467"/>
      <c r="BP3051" s="467"/>
      <c r="BQ3051" s="467"/>
      <c r="BR3051" s="467"/>
      <c r="BS3051" s="467"/>
      <c r="BT3051" s="467"/>
      <c r="BU3051" s="467"/>
      <c r="BV3051" s="467"/>
      <c r="BW3051" s="467"/>
      <c r="BX3051" s="769"/>
      <c r="BY3051" s="769"/>
      <c r="BZ3051" s="769"/>
      <c r="CA3051" s="769"/>
      <c r="CB3051" s="769"/>
      <c r="CC3051" s="769"/>
      <c r="CD3051" s="769"/>
      <c r="CE3051" s="769"/>
      <c r="CF3051" s="769"/>
      <c r="CG3051" s="73"/>
      <c r="CH3051" s="438"/>
      <c r="CI3051" s="416"/>
      <c r="CJ3051" s="73"/>
      <c r="CK3051" s="650"/>
      <c r="CL3051" s="499"/>
      <c r="CM3051" s="650"/>
      <c r="CR3051" s="416"/>
      <c r="CS3051" s="650"/>
      <c r="CU3051" s="73"/>
      <c r="CV3051" s="73"/>
      <c r="CW3051" s="73"/>
      <c r="CX3051" s="73"/>
      <c r="DA3051" s="650"/>
    </row>
    <row r="3052" spans="1:105" s="45" customFormat="1" x14ac:dyDescent="0.2">
      <c r="A3052" s="650"/>
      <c r="B3052" s="438"/>
      <c r="D3052" s="73"/>
      <c r="E3052" s="650"/>
      <c r="F3052" s="650"/>
      <c r="G3052" s="73"/>
      <c r="I3052" s="111"/>
      <c r="J3052" s="81"/>
      <c r="K3052" s="81"/>
      <c r="L3052" s="499"/>
      <c r="M3052" s="73"/>
      <c r="N3052" s="499"/>
      <c r="O3052" s="73"/>
      <c r="P3052" s="73"/>
      <c r="Q3052" s="73"/>
      <c r="R3052" s="176"/>
      <c r="S3052" s="176"/>
      <c r="T3052" s="176"/>
      <c r="U3052" s="400"/>
      <c r="V3052" s="400"/>
      <c r="W3052" s="732"/>
      <c r="X3052" s="167"/>
      <c r="Y3052" s="509"/>
      <c r="Z3052" s="466"/>
      <c r="AA3052" s="466"/>
      <c r="AB3052" s="466"/>
      <c r="AC3052" s="466"/>
      <c r="AD3052" s="466"/>
      <c r="AE3052" s="466"/>
      <c r="AF3052" s="466"/>
      <c r="AG3052" s="466"/>
      <c r="AH3052" s="466"/>
      <c r="AI3052" s="466"/>
      <c r="AJ3052" s="466"/>
      <c r="AK3052" s="466"/>
      <c r="AL3052" s="466"/>
      <c r="AM3052" s="466"/>
      <c r="AN3052" s="466"/>
      <c r="AO3052" s="466"/>
      <c r="AP3052" s="466"/>
      <c r="AQ3052" s="466"/>
      <c r="AR3052" s="466"/>
      <c r="AS3052" s="466"/>
      <c r="AT3052" s="466"/>
      <c r="AU3052" s="466"/>
      <c r="AV3052" s="466"/>
      <c r="AW3052" s="466"/>
      <c r="AX3052" s="466"/>
      <c r="AY3052" s="466"/>
      <c r="AZ3052" s="466"/>
      <c r="BA3052" s="466"/>
      <c r="BB3052" s="466"/>
      <c r="BC3052" s="466"/>
      <c r="BD3052" s="466"/>
      <c r="BE3052" s="467"/>
      <c r="BF3052" s="467"/>
      <c r="BG3052" s="466"/>
      <c r="BH3052" s="466"/>
      <c r="BI3052" s="467"/>
      <c r="BJ3052" s="467"/>
      <c r="BK3052" s="467"/>
      <c r="BL3052" s="467"/>
      <c r="BM3052" s="467"/>
      <c r="BN3052" s="467"/>
      <c r="BO3052" s="467"/>
      <c r="BP3052" s="467"/>
      <c r="BQ3052" s="467"/>
      <c r="BR3052" s="467"/>
      <c r="BS3052" s="467"/>
      <c r="BT3052" s="467"/>
      <c r="BU3052" s="467"/>
      <c r="BV3052" s="467"/>
      <c r="BW3052" s="467"/>
      <c r="BX3052" s="769"/>
      <c r="BY3052" s="769"/>
      <c r="BZ3052" s="769"/>
      <c r="CA3052" s="769"/>
      <c r="CB3052" s="769"/>
      <c r="CC3052" s="769"/>
      <c r="CD3052" s="769"/>
      <c r="CE3052" s="769"/>
      <c r="CF3052" s="769"/>
      <c r="CG3052" s="73"/>
      <c r="CH3052" s="438"/>
      <c r="CI3052" s="416"/>
      <c r="CJ3052" s="73"/>
      <c r="CK3052" s="650"/>
      <c r="CL3052" s="499"/>
      <c r="CM3052" s="650"/>
      <c r="CR3052" s="416"/>
      <c r="CS3052" s="650"/>
      <c r="CU3052" s="73"/>
      <c r="CV3052" s="73"/>
      <c r="CW3052" s="73"/>
      <c r="CX3052" s="73"/>
      <c r="DA3052" s="650"/>
    </row>
    <row r="3053" spans="1:105" s="45" customFormat="1" x14ac:dyDescent="0.2">
      <c r="A3053" s="650"/>
      <c r="B3053" s="438"/>
      <c r="D3053" s="73"/>
      <c r="E3053" s="650"/>
      <c r="F3053" s="650"/>
      <c r="G3053" s="73"/>
      <c r="I3053" s="111"/>
      <c r="J3053" s="81"/>
      <c r="K3053" s="81"/>
      <c r="L3053" s="499"/>
      <c r="M3053" s="73"/>
      <c r="N3053" s="499"/>
      <c r="O3053" s="73"/>
      <c r="P3053" s="73"/>
      <c r="Q3053" s="73"/>
      <c r="R3053" s="176"/>
      <c r="S3053" s="176"/>
      <c r="T3053" s="176"/>
      <c r="U3053" s="400"/>
      <c r="V3053" s="400"/>
      <c r="W3053" s="732"/>
      <c r="X3053" s="167"/>
      <c r="Y3053" s="509"/>
      <c r="Z3053" s="466"/>
      <c r="AA3053" s="466"/>
      <c r="AB3053" s="466"/>
      <c r="AC3053" s="466"/>
      <c r="AD3053" s="466"/>
      <c r="AE3053" s="466"/>
      <c r="AF3053" s="466"/>
      <c r="AG3053" s="466"/>
      <c r="AH3053" s="466"/>
      <c r="AI3053" s="466"/>
      <c r="AJ3053" s="466"/>
      <c r="AK3053" s="466"/>
      <c r="AL3053" s="466"/>
      <c r="AM3053" s="466"/>
      <c r="AN3053" s="466"/>
      <c r="AO3053" s="466"/>
      <c r="AP3053" s="466"/>
      <c r="AQ3053" s="466"/>
      <c r="AR3053" s="466"/>
      <c r="AS3053" s="466"/>
      <c r="AT3053" s="466"/>
      <c r="AU3053" s="466"/>
      <c r="AV3053" s="466"/>
      <c r="AW3053" s="466"/>
      <c r="AX3053" s="466"/>
      <c r="AY3053" s="466"/>
      <c r="AZ3053" s="466"/>
      <c r="BA3053" s="466"/>
      <c r="BB3053" s="466"/>
      <c r="BC3053" s="466"/>
      <c r="BD3053" s="466"/>
      <c r="BE3053" s="467"/>
      <c r="BF3053" s="467"/>
      <c r="BG3053" s="466"/>
      <c r="BH3053" s="466"/>
      <c r="BI3053" s="467"/>
      <c r="BJ3053" s="467"/>
      <c r="BK3053" s="467"/>
      <c r="BL3053" s="467"/>
      <c r="BM3053" s="467"/>
      <c r="BN3053" s="467"/>
      <c r="BO3053" s="467"/>
      <c r="BP3053" s="467"/>
      <c r="BQ3053" s="467"/>
      <c r="BR3053" s="467"/>
      <c r="BS3053" s="467"/>
      <c r="BT3053" s="467"/>
      <c r="BU3053" s="467"/>
      <c r="BV3053" s="467"/>
      <c r="BW3053" s="467"/>
      <c r="BX3053" s="769"/>
      <c r="BY3053" s="769"/>
      <c r="BZ3053" s="769"/>
      <c r="CA3053" s="769"/>
      <c r="CB3053" s="769"/>
      <c r="CC3053" s="769"/>
      <c r="CD3053" s="769"/>
      <c r="CE3053" s="769"/>
      <c r="CF3053" s="769"/>
      <c r="CG3053" s="73"/>
      <c r="CH3053" s="438"/>
      <c r="CI3053" s="416"/>
      <c r="CJ3053" s="73"/>
      <c r="CK3053" s="650"/>
      <c r="CL3053" s="499"/>
      <c r="CM3053" s="650"/>
      <c r="CR3053" s="416"/>
      <c r="CS3053" s="650"/>
      <c r="CU3053" s="73"/>
      <c r="CV3053" s="73"/>
      <c r="CW3053" s="73"/>
      <c r="CX3053" s="73"/>
      <c r="DA3053" s="650"/>
    </row>
    <row r="3054" spans="1:105" s="45" customFormat="1" x14ac:dyDescent="0.2">
      <c r="A3054" s="650"/>
      <c r="B3054" s="438"/>
      <c r="D3054" s="73"/>
      <c r="E3054" s="650"/>
      <c r="F3054" s="650"/>
      <c r="G3054" s="73"/>
      <c r="I3054" s="111"/>
      <c r="J3054" s="81"/>
      <c r="K3054" s="81"/>
      <c r="L3054" s="499"/>
      <c r="M3054" s="73"/>
      <c r="N3054" s="499"/>
      <c r="O3054" s="73"/>
      <c r="P3054" s="73"/>
      <c r="Q3054" s="73"/>
      <c r="R3054" s="176"/>
      <c r="S3054" s="176"/>
      <c r="T3054" s="176"/>
      <c r="U3054" s="400"/>
      <c r="V3054" s="400"/>
      <c r="W3054" s="732"/>
      <c r="X3054" s="167"/>
      <c r="Y3054" s="509"/>
      <c r="Z3054" s="466"/>
      <c r="AA3054" s="466"/>
      <c r="AB3054" s="466"/>
      <c r="AC3054" s="466"/>
      <c r="AD3054" s="466"/>
      <c r="AE3054" s="466"/>
      <c r="AF3054" s="466"/>
      <c r="AG3054" s="466"/>
      <c r="AH3054" s="466"/>
      <c r="AI3054" s="466"/>
      <c r="AJ3054" s="466"/>
      <c r="AK3054" s="466"/>
      <c r="AL3054" s="466"/>
      <c r="AM3054" s="466"/>
      <c r="AN3054" s="466"/>
      <c r="AO3054" s="466"/>
      <c r="AP3054" s="466"/>
      <c r="AQ3054" s="466"/>
      <c r="AR3054" s="466"/>
      <c r="AS3054" s="466"/>
      <c r="AT3054" s="466"/>
      <c r="AU3054" s="466"/>
      <c r="AV3054" s="466"/>
      <c r="AW3054" s="466"/>
      <c r="AX3054" s="466"/>
      <c r="AY3054" s="466"/>
      <c r="AZ3054" s="466"/>
      <c r="BA3054" s="466"/>
      <c r="BB3054" s="466"/>
      <c r="BC3054" s="466"/>
      <c r="BD3054" s="466"/>
      <c r="BE3054" s="467"/>
      <c r="BF3054" s="467"/>
      <c r="BG3054" s="466"/>
      <c r="BH3054" s="466"/>
      <c r="BI3054" s="467"/>
      <c r="BJ3054" s="467"/>
      <c r="BK3054" s="467"/>
      <c r="BL3054" s="467"/>
      <c r="BM3054" s="467"/>
      <c r="BN3054" s="467"/>
      <c r="BO3054" s="467"/>
      <c r="BP3054" s="467"/>
      <c r="BQ3054" s="467"/>
      <c r="BR3054" s="467"/>
      <c r="BS3054" s="467"/>
      <c r="BT3054" s="467"/>
      <c r="BU3054" s="467"/>
      <c r="BV3054" s="467"/>
      <c r="BW3054" s="467"/>
      <c r="BX3054" s="769"/>
      <c r="BY3054" s="769"/>
      <c r="BZ3054" s="769"/>
      <c r="CA3054" s="769"/>
      <c r="CB3054" s="769"/>
      <c r="CC3054" s="769"/>
      <c r="CD3054" s="769"/>
      <c r="CE3054" s="769"/>
      <c r="CF3054" s="769"/>
      <c r="CG3054" s="73"/>
      <c r="CH3054" s="438"/>
      <c r="CI3054" s="416"/>
      <c r="CJ3054" s="73"/>
      <c r="CK3054" s="650"/>
      <c r="CL3054" s="499"/>
      <c r="CM3054" s="650"/>
      <c r="CR3054" s="416"/>
      <c r="CS3054" s="650"/>
      <c r="CU3054" s="73"/>
      <c r="CV3054" s="73"/>
      <c r="CW3054" s="73"/>
      <c r="CX3054" s="73"/>
      <c r="DA3054" s="650"/>
    </row>
    <row r="3055" spans="1:105" s="45" customFormat="1" x14ac:dyDescent="0.2">
      <c r="A3055" s="650"/>
      <c r="B3055" s="438"/>
      <c r="D3055" s="73"/>
      <c r="E3055" s="650"/>
      <c r="F3055" s="650"/>
      <c r="G3055" s="73"/>
      <c r="I3055" s="111"/>
      <c r="J3055" s="81"/>
      <c r="K3055" s="81"/>
      <c r="L3055" s="499"/>
      <c r="M3055" s="73"/>
      <c r="N3055" s="499"/>
      <c r="O3055" s="73"/>
      <c r="P3055" s="73"/>
      <c r="Q3055" s="73"/>
      <c r="R3055" s="176"/>
      <c r="S3055" s="176"/>
      <c r="T3055" s="176"/>
      <c r="U3055" s="400"/>
      <c r="V3055" s="400"/>
      <c r="W3055" s="732"/>
      <c r="X3055" s="167"/>
      <c r="Y3055" s="509"/>
      <c r="Z3055" s="466"/>
      <c r="AA3055" s="466"/>
      <c r="AB3055" s="466"/>
      <c r="AC3055" s="466"/>
      <c r="AD3055" s="466"/>
      <c r="AE3055" s="466"/>
      <c r="AF3055" s="466"/>
      <c r="AG3055" s="466"/>
      <c r="AH3055" s="466"/>
      <c r="AI3055" s="466"/>
      <c r="AJ3055" s="466"/>
      <c r="AK3055" s="466"/>
      <c r="AL3055" s="466"/>
      <c r="AM3055" s="466"/>
      <c r="AN3055" s="466"/>
      <c r="AO3055" s="466"/>
      <c r="AP3055" s="466"/>
      <c r="AQ3055" s="466"/>
      <c r="AR3055" s="466"/>
      <c r="AS3055" s="466"/>
      <c r="AT3055" s="466"/>
      <c r="AU3055" s="466"/>
      <c r="AV3055" s="466"/>
      <c r="AW3055" s="466"/>
      <c r="AX3055" s="466"/>
      <c r="AY3055" s="466"/>
      <c r="AZ3055" s="466"/>
      <c r="BA3055" s="466"/>
      <c r="BB3055" s="466"/>
      <c r="BC3055" s="466"/>
      <c r="BD3055" s="466"/>
      <c r="BE3055" s="467"/>
      <c r="BF3055" s="467"/>
      <c r="BG3055" s="466"/>
      <c r="BH3055" s="466"/>
      <c r="BI3055" s="467"/>
      <c r="BJ3055" s="467"/>
      <c r="BK3055" s="467"/>
      <c r="BL3055" s="467"/>
      <c r="BM3055" s="467"/>
      <c r="BN3055" s="467"/>
      <c r="BO3055" s="467"/>
      <c r="BP3055" s="467"/>
      <c r="BQ3055" s="467"/>
      <c r="BR3055" s="467"/>
      <c r="BS3055" s="467"/>
      <c r="BT3055" s="467"/>
      <c r="BU3055" s="467"/>
      <c r="BV3055" s="467"/>
      <c r="BW3055" s="467"/>
      <c r="BX3055" s="769"/>
      <c r="BY3055" s="769"/>
      <c r="BZ3055" s="769"/>
      <c r="CA3055" s="769"/>
      <c r="CB3055" s="769"/>
      <c r="CC3055" s="769"/>
      <c r="CD3055" s="769"/>
      <c r="CE3055" s="769"/>
      <c r="CF3055" s="769"/>
      <c r="CG3055" s="73"/>
      <c r="CH3055" s="438"/>
      <c r="CI3055" s="416"/>
      <c r="CJ3055" s="73"/>
      <c r="CK3055" s="650"/>
      <c r="CL3055" s="499"/>
      <c r="CM3055" s="650"/>
      <c r="CR3055" s="416"/>
      <c r="CS3055" s="650"/>
      <c r="CU3055" s="73"/>
      <c r="CV3055" s="73"/>
      <c r="CW3055" s="73"/>
      <c r="CX3055" s="73"/>
      <c r="DA3055" s="650"/>
    </row>
    <row r="3056" spans="1:105" s="45" customFormat="1" x14ac:dyDescent="0.2">
      <c r="A3056" s="650"/>
      <c r="B3056" s="438"/>
      <c r="D3056" s="73"/>
      <c r="E3056" s="650"/>
      <c r="F3056" s="650"/>
      <c r="G3056" s="73"/>
      <c r="I3056" s="111"/>
      <c r="J3056" s="81"/>
      <c r="K3056" s="81"/>
      <c r="L3056" s="499"/>
      <c r="M3056" s="73"/>
      <c r="N3056" s="499"/>
      <c r="O3056" s="73"/>
      <c r="P3056" s="73"/>
      <c r="Q3056" s="73"/>
      <c r="R3056" s="176"/>
      <c r="S3056" s="176"/>
      <c r="T3056" s="176"/>
      <c r="U3056" s="400"/>
      <c r="V3056" s="400"/>
      <c r="W3056" s="732"/>
      <c r="X3056" s="167"/>
      <c r="Y3056" s="509"/>
      <c r="Z3056" s="466"/>
      <c r="AA3056" s="466"/>
      <c r="AB3056" s="466"/>
      <c r="AC3056" s="466"/>
      <c r="AD3056" s="466"/>
      <c r="AE3056" s="466"/>
      <c r="AF3056" s="466"/>
      <c r="AG3056" s="466"/>
      <c r="AH3056" s="466"/>
      <c r="AI3056" s="466"/>
      <c r="AJ3056" s="466"/>
      <c r="AK3056" s="466"/>
      <c r="AL3056" s="466"/>
      <c r="AM3056" s="466"/>
      <c r="AN3056" s="466"/>
      <c r="AO3056" s="466"/>
      <c r="AP3056" s="466"/>
      <c r="AQ3056" s="466"/>
      <c r="AR3056" s="466"/>
      <c r="AS3056" s="466"/>
      <c r="AT3056" s="466"/>
      <c r="AU3056" s="466"/>
      <c r="AV3056" s="466"/>
      <c r="AW3056" s="466"/>
      <c r="AX3056" s="466"/>
      <c r="AY3056" s="466"/>
      <c r="AZ3056" s="466"/>
      <c r="BA3056" s="466"/>
      <c r="BB3056" s="466"/>
      <c r="BC3056" s="466"/>
      <c r="BD3056" s="466"/>
      <c r="BE3056" s="467"/>
      <c r="BF3056" s="467"/>
      <c r="BG3056" s="466"/>
      <c r="BH3056" s="466"/>
      <c r="BI3056" s="467"/>
      <c r="BJ3056" s="467"/>
      <c r="BK3056" s="467"/>
      <c r="BL3056" s="467"/>
      <c r="BM3056" s="467"/>
      <c r="BN3056" s="467"/>
      <c r="BO3056" s="467"/>
      <c r="BP3056" s="467"/>
      <c r="BQ3056" s="467"/>
      <c r="BR3056" s="467"/>
      <c r="BS3056" s="467"/>
      <c r="BT3056" s="467"/>
      <c r="BU3056" s="467"/>
      <c r="BV3056" s="467"/>
      <c r="BW3056" s="467"/>
      <c r="BX3056" s="769"/>
      <c r="BY3056" s="769"/>
      <c r="BZ3056" s="769"/>
      <c r="CA3056" s="769"/>
      <c r="CB3056" s="769"/>
      <c r="CC3056" s="769"/>
      <c r="CD3056" s="769"/>
      <c r="CE3056" s="769"/>
      <c r="CF3056" s="769"/>
      <c r="CG3056" s="73"/>
      <c r="CH3056" s="438"/>
      <c r="CI3056" s="416"/>
      <c r="CJ3056" s="73"/>
      <c r="CK3056" s="650"/>
      <c r="CL3056" s="499"/>
      <c r="CM3056" s="650"/>
      <c r="CR3056" s="416"/>
      <c r="CS3056" s="650"/>
      <c r="CU3056" s="73"/>
      <c r="CV3056" s="73"/>
      <c r="CW3056" s="73"/>
      <c r="CX3056" s="73"/>
      <c r="DA3056" s="650"/>
    </row>
    <row r="3057" spans="1:105" s="45" customFormat="1" x14ac:dyDescent="0.2">
      <c r="A3057" s="650"/>
      <c r="B3057" s="438"/>
      <c r="D3057" s="73"/>
      <c r="E3057" s="650"/>
      <c r="F3057" s="650"/>
      <c r="G3057" s="73"/>
      <c r="I3057" s="111"/>
      <c r="J3057" s="81"/>
      <c r="K3057" s="81"/>
      <c r="L3057" s="499"/>
      <c r="M3057" s="73"/>
      <c r="N3057" s="499"/>
      <c r="O3057" s="73"/>
      <c r="P3057" s="73"/>
      <c r="Q3057" s="73"/>
      <c r="R3057" s="176"/>
      <c r="S3057" s="176"/>
      <c r="T3057" s="176"/>
      <c r="U3057" s="400"/>
      <c r="V3057" s="400"/>
      <c r="W3057" s="732"/>
      <c r="X3057" s="167"/>
      <c r="Y3057" s="509"/>
      <c r="Z3057" s="466"/>
      <c r="AA3057" s="466"/>
      <c r="AB3057" s="466"/>
      <c r="AC3057" s="466"/>
      <c r="AD3057" s="466"/>
      <c r="AE3057" s="466"/>
      <c r="AF3057" s="466"/>
      <c r="AG3057" s="466"/>
      <c r="AH3057" s="466"/>
      <c r="AI3057" s="466"/>
      <c r="AJ3057" s="466"/>
      <c r="AK3057" s="466"/>
      <c r="AL3057" s="466"/>
      <c r="AM3057" s="466"/>
      <c r="AN3057" s="466"/>
      <c r="AO3057" s="466"/>
      <c r="AP3057" s="466"/>
      <c r="AQ3057" s="466"/>
      <c r="AR3057" s="466"/>
      <c r="AS3057" s="466"/>
      <c r="AT3057" s="466"/>
      <c r="AU3057" s="466"/>
      <c r="AV3057" s="466"/>
      <c r="AW3057" s="466"/>
      <c r="AX3057" s="466"/>
      <c r="AY3057" s="466"/>
      <c r="AZ3057" s="466"/>
      <c r="BA3057" s="466"/>
      <c r="BB3057" s="466"/>
      <c r="BC3057" s="466"/>
      <c r="BD3057" s="466"/>
      <c r="BE3057" s="467"/>
      <c r="BF3057" s="467"/>
      <c r="BG3057" s="466"/>
      <c r="BH3057" s="466"/>
      <c r="BI3057" s="467"/>
      <c r="BJ3057" s="467"/>
      <c r="BK3057" s="467"/>
      <c r="BL3057" s="467"/>
      <c r="BM3057" s="467"/>
      <c r="BN3057" s="467"/>
      <c r="BO3057" s="467"/>
      <c r="BP3057" s="467"/>
      <c r="BQ3057" s="467"/>
      <c r="BR3057" s="467"/>
      <c r="BS3057" s="467"/>
      <c r="BT3057" s="467"/>
      <c r="BU3057" s="467"/>
      <c r="BV3057" s="467"/>
      <c r="BW3057" s="467"/>
      <c r="BX3057" s="769"/>
      <c r="BY3057" s="769"/>
      <c r="BZ3057" s="769"/>
      <c r="CA3057" s="769"/>
      <c r="CB3057" s="769"/>
      <c r="CC3057" s="769"/>
      <c r="CD3057" s="769"/>
      <c r="CE3057" s="769"/>
      <c r="CF3057" s="769"/>
      <c r="CG3057" s="73"/>
      <c r="CH3057" s="438"/>
      <c r="CI3057" s="416"/>
      <c r="CJ3057" s="73"/>
      <c r="CK3057" s="650"/>
      <c r="CL3057" s="499"/>
      <c r="CM3057" s="650"/>
      <c r="CR3057" s="416"/>
      <c r="CS3057" s="650"/>
      <c r="CU3057" s="73"/>
      <c r="CV3057" s="73"/>
      <c r="CW3057" s="73"/>
      <c r="CX3057" s="73"/>
      <c r="DA3057" s="650"/>
    </row>
    <row r="3058" spans="1:105" s="45" customFormat="1" x14ac:dyDescent="0.2">
      <c r="A3058" s="650"/>
      <c r="B3058" s="438"/>
      <c r="D3058" s="73"/>
      <c r="E3058" s="650"/>
      <c r="F3058" s="650"/>
      <c r="G3058" s="73"/>
      <c r="I3058" s="111"/>
      <c r="J3058" s="81"/>
      <c r="K3058" s="81"/>
      <c r="L3058" s="499"/>
      <c r="M3058" s="73"/>
      <c r="N3058" s="499"/>
      <c r="O3058" s="73"/>
      <c r="P3058" s="73"/>
      <c r="Q3058" s="73"/>
      <c r="R3058" s="176"/>
      <c r="S3058" s="176"/>
      <c r="T3058" s="176"/>
      <c r="U3058" s="400"/>
      <c r="V3058" s="400"/>
      <c r="W3058" s="732"/>
      <c r="X3058" s="167"/>
      <c r="Y3058" s="509"/>
      <c r="Z3058" s="466"/>
      <c r="AA3058" s="466"/>
      <c r="AB3058" s="466"/>
      <c r="AC3058" s="466"/>
      <c r="AD3058" s="466"/>
      <c r="AE3058" s="466"/>
      <c r="AF3058" s="466"/>
      <c r="AG3058" s="466"/>
      <c r="AH3058" s="466"/>
      <c r="AI3058" s="466"/>
      <c r="AJ3058" s="466"/>
      <c r="AK3058" s="466"/>
      <c r="AL3058" s="466"/>
      <c r="AM3058" s="466"/>
      <c r="AN3058" s="466"/>
      <c r="AO3058" s="466"/>
      <c r="AP3058" s="466"/>
      <c r="AQ3058" s="466"/>
      <c r="AR3058" s="466"/>
      <c r="AS3058" s="466"/>
      <c r="AT3058" s="466"/>
      <c r="AU3058" s="466"/>
      <c r="AV3058" s="466"/>
      <c r="AW3058" s="466"/>
      <c r="AX3058" s="466"/>
      <c r="AY3058" s="466"/>
      <c r="AZ3058" s="466"/>
      <c r="BA3058" s="466"/>
      <c r="BB3058" s="466"/>
      <c r="BC3058" s="466"/>
      <c r="BD3058" s="466"/>
      <c r="BE3058" s="467"/>
      <c r="BF3058" s="467"/>
      <c r="BG3058" s="466"/>
      <c r="BH3058" s="466"/>
      <c r="BI3058" s="467"/>
      <c r="BJ3058" s="467"/>
      <c r="BK3058" s="467"/>
      <c r="BL3058" s="467"/>
      <c r="BM3058" s="467"/>
      <c r="BN3058" s="467"/>
      <c r="BO3058" s="467"/>
      <c r="BP3058" s="467"/>
      <c r="BQ3058" s="467"/>
      <c r="BR3058" s="467"/>
      <c r="BS3058" s="467"/>
      <c r="BT3058" s="467"/>
      <c r="BU3058" s="467"/>
      <c r="BV3058" s="467"/>
      <c r="BW3058" s="467"/>
      <c r="BX3058" s="769"/>
      <c r="BY3058" s="769"/>
      <c r="BZ3058" s="769"/>
      <c r="CA3058" s="769"/>
      <c r="CB3058" s="769"/>
      <c r="CC3058" s="769"/>
      <c r="CD3058" s="769"/>
      <c r="CE3058" s="769"/>
      <c r="CF3058" s="769"/>
      <c r="CG3058" s="73"/>
      <c r="CH3058" s="438"/>
      <c r="CI3058" s="416"/>
      <c r="CJ3058" s="73"/>
      <c r="CK3058" s="650"/>
      <c r="CL3058" s="499"/>
      <c r="CM3058" s="650"/>
      <c r="CR3058" s="416"/>
      <c r="CS3058" s="650"/>
      <c r="CU3058" s="73"/>
      <c r="CV3058" s="73"/>
      <c r="CW3058" s="73"/>
      <c r="CX3058" s="73"/>
      <c r="DA3058" s="650"/>
    </row>
    <row r="3059" spans="1:105" s="45" customFormat="1" x14ac:dyDescent="0.2">
      <c r="A3059" s="650"/>
      <c r="B3059" s="438"/>
      <c r="D3059" s="73"/>
      <c r="E3059" s="650"/>
      <c r="F3059" s="650"/>
      <c r="G3059" s="73"/>
      <c r="I3059" s="111"/>
      <c r="J3059" s="81"/>
      <c r="K3059" s="81"/>
      <c r="L3059" s="499"/>
      <c r="M3059" s="73"/>
      <c r="N3059" s="499"/>
      <c r="O3059" s="73"/>
      <c r="P3059" s="73"/>
      <c r="Q3059" s="73"/>
      <c r="R3059" s="176"/>
      <c r="S3059" s="176"/>
      <c r="T3059" s="176"/>
      <c r="U3059" s="400"/>
      <c r="V3059" s="400"/>
      <c r="W3059" s="732"/>
      <c r="X3059" s="167"/>
      <c r="Y3059" s="509"/>
      <c r="Z3059" s="466"/>
      <c r="AA3059" s="466"/>
      <c r="AB3059" s="466"/>
      <c r="AC3059" s="466"/>
      <c r="AD3059" s="466"/>
      <c r="AE3059" s="466"/>
      <c r="AF3059" s="466"/>
      <c r="AG3059" s="466"/>
      <c r="AH3059" s="466"/>
      <c r="AI3059" s="466"/>
      <c r="AJ3059" s="466"/>
      <c r="AK3059" s="466"/>
      <c r="AL3059" s="466"/>
      <c r="AM3059" s="466"/>
      <c r="AN3059" s="466"/>
      <c r="AO3059" s="466"/>
      <c r="AP3059" s="466"/>
      <c r="AQ3059" s="466"/>
      <c r="AR3059" s="466"/>
      <c r="AS3059" s="466"/>
      <c r="AT3059" s="466"/>
      <c r="AU3059" s="466"/>
      <c r="AV3059" s="466"/>
      <c r="AW3059" s="466"/>
      <c r="AX3059" s="466"/>
      <c r="AY3059" s="466"/>
      <c r="AZ3059" s="466"/>
      <c r="BA3059" s="466"/>
      <c r="BB3059" s="466"/>
      <c r="BC3059" s="466"/>
      <c r="BD3059" s="466"/>
      <c r="BE3059" s="467"/>
      <c r="BF3059" s="467"/>
      <c r="BG3059" s="466"/>
      <c r="BH3059" s="466"/>
      <c r="BI3059" s="467"/>
      <c r="BJ3059" s="467"/>
      <c r="BK3059" s="467"/>
      <c r="BL3059" s="467"/>
      <c r="BM3059" s="467"/>
      <c r="BN3059" s="467"/>
      <c r="BO3059" s="467"/>
      <c r="BP3059" s="467"/>
      <c r="BQ3059" s="467"/>
      <c r="BR3059" s="467"/>
      <c r="BS3059" s="467"/>
      <c r="BT3059" s="467"/>
      <c r="BU3059" s="467"/>
      <c r="BV3059" s="467"/>
      <c r="BW3059" s="467"/>
      <c r="BX3059" s="769"/>
      <c r="BY3059" s="769"/>
      <c r="BZ3059" s="769"/>
      <c r="CA3059" s="769"/>
      <c r="CB3059" s="769"/>
      <c r="CC3059" s="769"/>
      <c r="CD3059" s="769"/>
      <c r="CE3059" s="769"/>
      <c r="CF3059" s="769"/>
      <c r="CG3059" s="73"/>
      <c r="CH3059" s="438"/>
      <c r="CI3059" s="416"/>
      <c r="CJ3059" s="73"/>
      <c r="CK3059" s="650"/>
      <c r="CL3059" s="499"/>
      <c r="CM3059" s="650"/>
      <c r="CR3059" s="416"/>
      <c r="CS3059" s="650"/>
      <c r="CU3059" s="73"/>
      <c r="CV3059" s="73"/>
      <c r="CW3059" s="73"/>
      <c r="CX3059" s="73"/>
      <c r="DA3059" s="650"/>
    </row>
    <row r="3060" spans="1:105" s="45" customFormat="1" x14ac:dyDescent="0.2">
      <c r="A3060" s="650"/>
      <c r="B3060" s="438"/>
      <c r="D3060" s="73"/>
      <c r="E3060" s="650"/>
      <c r="F3060" s="650"/>
      <c r="G3060" s="73"/>
      <c r="I3060" s="111"/>
      <c r="J3060" s="81"/>
      <c r="K3060" s="81"/>
      <c r="L3060" s="499"/>
      <c r="M3060" s="73"/>
      <c r="N3060" s="499"/>
      <c r="O3060" s="73"/>
      <c r="P3060" s="73"/>
      <c r="Q3060" s="73"/>
      <c r="R3060" s="176"/>
      <c r="S3060" s="176"/>
      <c r="T3060" s="176"/>
      <c r="U3060" s="400"/>
      <c r="V3060" s="400"/>
      <c r="W3060" s="732"/>
      <c r="X3060" s="167"/>
      <c r="Y3060" s="509"/>
      <c r="Z3060" s="466"/>
      <c r="AA3060" s="466"/>
      <c r="AB3060" s="466"/>
      <c r="AC3060" s="466"/>
      <c r="AD3060" s="466"/>
      <c r="AE3060" s="466"/>
      <c r="AF3060" s="466"/>
      <c r="AG3060" s="466"/>
      <c r="AH3060" s="466"/>
      <c r="AI3060" s="466"/>
      <c r="AJ3060" s="466"/>
      <c r="AK3060" s="466"/>
      <c r="AL3060" s="466"/>
      <c r="AM3060" s="466"/>
      <c r="AN3060" s="466"/>
      <c r="AO3060" s="466"/>
      <c r="AP3060" s="466"/>
      <c r="AQ3060" s="466"/>
      <c r="AR3060" s="466"/>
      <c r="AS3060" s="466"/>
      <c r="AT3060" s="466"/>
      <c r="AU3060" s="466"/>
      <c r="AV3060" s="466"/>
      <c r="AW3060" s="466"/>
      <c r="AX3060" s="466"/>
      <c r="AY3060" s="466"/>
      <c r="AZ3060" s="466"/>
      <c r="BA3060" s="466"/>
      <c r="BB3060" s="466"/>
      <c r="BC3060" s="466"/>
      <c r="BD3060" s="466"/>
      <c r="BE3060" s="467"/>
      <c r="BF3060" s="467"/>
      <c r="BG3060" s="466"/>
      <c r="BH3060" s="466"/>
      <c r="BI3060" s="467"/>
      <c r="BJ3060" s="467"/>
      <c r="BK3060" s="467"/>
      <c r="BL3060" s="467"/>
      <c r="BM3060" s="467"/>
      <c r="BN3060" s="467"/>
      <c r="BO3060" s="467"/>
      <c r="BP3060" s="467"/>
      <c r="BQ3060" s="467"/>
      <c r="BR3060" s="467"/>
      <c r="BS3060" s="467"/>
      <c r="BT3060" s="467"/>
      <c r="BU3060" s="467"/>
      <c r="BV3060" s="467"/>
      <c r="BW3060" s="467"/>
      <c r="BX3060" s="769"/>
      <c r="BY3060" s="769"/>
      <c r="BZ3060" s="769"/>
      <c r="CA3060" s="769"/>
      <c r="CB3060" s="769"/>
      <c r="CC3060" s="769"/>
      <c r="CD3060" s="769"/>
      <c r="CE3060" s="769"/>
      <c r="CF3060" s="769"/>
      <c r="CG3060" s="73"/>
      <c r="CH3060" s="438"/>
      <c r="CI3060" s="416"/>
      <c r="CJ3060" s="73"/>
      <c r="CK3060" s="650"/>
      <c r="CL3060" s="499"/>
      <c r="CM3060" s="650"/>
      <c r="CR3060" s="416"/>
      <c r="CS3060" s="650"/>
      <c r="CU3060" s="73"/>
      <c r="CV3060" s="73"/>
      <c r="CW3060" s="73"/>
      <c r="CX3060" s="73"/>
      <c r="DA3060" s="650"/>
    </row>
    <row r="3061" spans="1:105" s="45" customFormat="1" x14ac:dyDescent="0.2">
      <c r="A3061" s="650"/>
      <c r="B3061" s="438"/>
      <c r="D3061" s="73"/>
      <c r="E3061" s="650"/>
      <c r="F3061" s="650"/>
      <c r="G3061" s="73"/>
      <c r="I3061" s="111"/>
      <c r="J3061" s="81"/>
      <c r="K3061" s="81"/>
      <c r="L3061" s="499"/>
      <c r="M3061" s="73"/>
      <c r="N3061" s="499"/>
      <c r="O3061" s="73"/>
      <c r="P3061" s="73"/>
      <c r="Q3061" s="73"/>
      <c r="R3061" s="176"/>
      <c r="S3061" s="176"/>
      <c r="T3061" s="176"/>
      <c r="U3061" s="400"/>
      <c r="V3061" s="400"/>
      <c r="W3061" s="732"/>
      <c r="X3061" s="167"/>
      <c r="Y3061" s="509"/>
      <c r="Z3061" s="466"/>
      <c r="AA3061" s="466"/>
      <c r="AB3061" s="466"/>
      <c r="AC3061" s="466"/>
      <c r="AD3061" s="466"/>
      <c r="AE3061" s="466"/>
      <c r="AF3061" s="466"/>
      <c r="AG3061" s="466"/>
      <c r="AH3061" s="466"/>
      <c r="AI3061" s="466"/>
      <c r="AJ3061" s="466"/>
      <c r="AK3061" s="466"/>
      <c r="AL3061" s="466"/>
      <c r="AM3061" s="466"/>
      <c r="AN3061" s="466"/>
      <c r="AO3061" s="466"/>
      <c r="AP3061" s="466"/>
      <c r="AQ3061" s="466"/>
      <c r="AR3061" s="466"/>
      <c r="AS3061" s="466"/>
      <c r="AT3061" s="466"/>
      <c r="AU3061" s="466"/>
      <c r="AV3061" s="466"/>
      <c r="AW3061" s="466"/>
      <c r="AX3061" s="466"/>
      <c r="AY3061" s="466"/>
      <c r="AZ3061" s="466"/>
      <c r="BA3061" s="466"/>
      <c r="BB3061" s="466"/>
      <c r="BC3061" s="466"/>
      <c r="BD3061" s="466"/>
      <c r="BE3061" s="467"/>
      <c r="BF3061" s="467"/>
      <c r="BG3061" s="466"/>
      <c r="BH3061" s="466"/>
      <c r="BI3061" s="467"/>
      <c r="BJ3061" s="467"/>
      <c r="BK3061" s="467"/>
      <c r="BL3061" s="467"/>
      <c r="BM3061" s="467"/>
      <c r="BN3061" s="467"/>
      <c r="BO3061" s="467"/>
      <c r="BP3061" s="467"/>
      <c r="BQ3061" s="467"/>
      <c r="BR3061" s="467"/>
      <c r="BS3061" s="467"/>
      <c r="BT3061" s="467"/>
      <c r="BU3061" s="467"/>
      <c r="BV3061" s="467"/>
      <c r="BW3061" s="467"/>
      <c r="BX3061" s="769"/>
      <c r="BY3061" s="769"/>
      <c r="BZ3061" s="769"/>
      <c r="CA3061" s="769"/>
      <c r="CB3061" s="769"/>
      <c r="CC3061" s="769"/>
      <c r="CD3061" s="769"/>
      <c r="CE3061" s="769"/>
      <c r="CF3061" s="769"/>
      <c r="CG3061" s="73"/>
      <c r="CH3061" s="438"/>
      <c r="CI3061" s="416"/>
      <c r="CJ3061" s="73"/>
      <c r="CK3061" s="650"/>
      <c r="CL3061" s="499"/>
      <c r="CM3061" s="650"/>
      <c r="CR3061" s="416"/>
      <c r="CS3061" s="650"/>
      <c r="CU3061" s="73"/>
      <c r="CV3061" s="73"/>
      <c r="CW3061" s="73"/>
      <c r="CX3061" s="73"/>
      <c r="DA3061" s="650"/>
    </row>
    <row r="3062" spans="1:105" s="45" customFormat="1" x14ac:dyDescent="0.2">
      <c r="A3062" s="650"/>
      <c r="B3062" s="438"/>
      <c r="D3062" s="73"/>
      <c r="E3062" s="650"/>
      <c r="F3062" s="650"/>
      <c r="G3062" s="73"/>
      <c r="I3062" s="111"/>
      <c r="J3062" s="81"/>
      <c r="K3062" s="81"/>
      <c r="L3062" s="499"/>
      <c r="M3062" s="73"/>
      <c r="N3062" s="499"/>
      <c r="O3062" s="73"/>
      <c r="P3062" s="73"/>
      <c r="Q3062" s="73"/>
      <c r="R3062" s="176"/>
      <c r="S3062" s="176"/>
      <c r="T3062" s="176"/>
      <c r="U3062" s="400"/>
      <c r="V3062" s="400"/>
      <c r="W3062" s="732"/>
      <c r="X3062" s="167"/>
      <c r="Y3062" s="509"/>
      <c r="Z3062" s="466"/>
      <c r="AA3062" s="466"/>
      <c r="AB3062" s="466"/>
      <c r="AC3062" s="466"/>
      <c r="AD3062" s="466"/>
      <c r="AE3062" s="466"/>
      <c r="AF3062" s="466"/>
      <c r="AG3062" s="466"/>
      <c r="AH3062" s="466"/>
      <c r="AI3062" s="466"/>
      <c r="AJ3062" s="466"/>
      <c r="AK3062" s="466"/>
      <c r="AL3062" s="466"/>
      <c r="AM3062" s="466"/>
      <c r="AN3062" s="466"/>
      <c r="AO3062" s="466"/>
      <c r="AP3062" s="466"/>
      <c r="AQ3062" s="466"/>
      <c r="AR3062" s="466"/>
      <c r="AS3062" s="466"/>
      <c r="AT3062" s="466"/>
      <c r="AU3062" s="466"/>
      <c r="AV3062" s="466"/>
      <c r="AW3062" s="466"/>
      <c r="AX3062" s="466"/>
      <c r="AY3062" s="466"/>
      <c r="AZ3062" s="466"/>
      <c r="BA3062" s="466"/>
      <c r="BB3062" s="466"/>
      <c r="BC3062" s="466"/>
      <c r="BD3062" s="466"/>
      <c r="BE3062" s="467"/>
      <c r="BF3062" s="467"/>
      <c r="BG3062" s="466"/>
      <c r="BH3062" s="466"/>
      <c r="BI3062" s="467"/>
      <c r="BJ3062" s="467"/>
      <c r="BK3062" s="467"/>
      <c r="BL3062" s="467"/>
      <c r="BM3062" s="467"/>
      <c r="BN3062" s="467"/>
      <c r="BO3062" s="467"/>
      <c r="BP3062" s="467"/>
      <c r="BQ3062" s="467"/>
      <c r="BR3062" s="467"/>
      <c r="BS3062" s="467"/>
      <c r="BT3062" s="467"/>
      <c r="BU3062" s="467"/>
      <c r="BV3062" s="467"/>
      <c r="BW3062" s="467"/>
      <c r="BX3062" s="769"/>
      <c r="BY3062" s="769"/>
      <c r="BZ3062" s="769"/>
      <c r="CA3062" s="769"/>
      <c r="CB3062" s="769"/>
      <c r="CC3062" s="769"/>
      <c r="CD3062" s="769"/>
      <c r="CE3062" s="769"/>
      <c r="CF3062" s="769"/>
      <c r="CG3062" s="73"/>
      <c r="CH3062" s="438"/>
      <c r="CI3062" s="416"/>
      <c r="CJ3062" s="73"/>
      <c r="CK3062" s="650"/>
      <c r="CL3062" s="499"/>
      <c r="CM3062" s="650"/>
      <c r="CR3062" s="416"/>
      <c r="CS3062" s="650"/>
      <c r="CU3062" s="73"/>
      <c r="CV3062" s="73"/>
      <c r="CW3062" s="73"/>
      <c r="CX3062" s="73"/>
      <c r="DA3062" s="650"/>
    </row>
    <row r="3063" spans="1:105" s="45" customFormat="1" x14ac:dyDescent="0.2">
      <c r="A3063" s="650"/>
      <c r="B3063" s="438"/>
      <c r="D3063" s="73"/>
      <c r="E3063" s="650"/>
      <c r="F3063" s="650"/>
      <c r="G3063" s="73"/>
      <c r="I3063" s="111"/>
      <c r="J3063" s="81"/>
      <c r="K3063" s="81"/>
      <c r="L3063" s="499"/>
      <c r="M3063" s="73"/>
      <c r="N3063" s="499"/>
      <c r="O3063" s="73"/>
      <c r="P3063" s="73"/>
      <c r="Q3063" s="73"/>
      <c r="R3063" s="176"/>
      <c r="S3063" s="176"/>
      <c r="T3063" s="176"/>
      <c r="U3063" s="400"/>
      <c r="V3063" s="400"/>
      <c r="W3063" s="732"/>
      <c r="X3063" s="167"/>
      <c r="Y3063" s="509"/>
      <c r="Z3063" s="466"/>
      <c r="AA3063" s="466"/>
      <c r="AB3063" s="466"/>
      <c r="AC3063" s="466"/>
      <c r="AD3063" s="466"/>
      <c r="AE3063" s="466"/>
      <c r="AF3063" s="466"/>
      <c r="AG3063" s="466"/>
      <c r="AH3063" s="466"/>
      <c r="AI3063" s="466"/>
      <c r="AJ3063" s="466"/>
      <c r="AK3063" s="466"/>
      <c r="AL3063" s="466"/>
      <c r="AM3063" s="466"/>
      <c r="AN3063" s="466"/>
      <c r="AO3063" s="466"/>
      <c r="AP3063" s="466"/>
      <c r="AQ3063" s="466"/>
      <c r="AR3063" s="466"/>
      <c r="AS3063" s="466"/>
      <c r="AT3063" s="466"/>
      <c r="AU3063" s="466"/>
      <c r="AV3063" s="466"/>
      <c r="AW3063" s="466"/>
      <c r="AX3063" s="466"/>
      <c r="AY3063" s="466"/>
      <c r="AZ3063" s="466"/>
      <c r="BA3063" s="466"/>
      <c r="BB3063" s="466"/>
      <c r="BC3063" s="466"/>
      <c r="BD3063" s="466"/>
      <c r="BE3063" s="467"/>
      <c r="BF3063" s="467"/>
      <c r="BG3063" s="466"/>
      <c r="BH3063" s="466"/>
      <c r="BI3063" s="467"/>
      <c r="BJ3063" s="467"/>
      <c r="BK3063" s="467"/>
      <c r="BL3063" s="467"/>
      <c r="BM3063" s="467"/>
      <c r="BN3063" s="467"/>
      <c r="BO3063" s="467"/>
      <c r="BP3063" s="467"/>
      <c r="BQ3063" s="467"/>
      <c r="BR3063" s="467"/>
      <c r="BS3063" s="467"/>
      <c r="BT3063" s="467"/>
      <c r="BU3063" s="467"/>
      <c r="BV3063" s="467"/>
      <c r="BW3063" s="467"/>
      <c r="BX3063" s="769"/>
      <c r="BY3063" s="769"/>
      <c r="BZ3063" s="769"/>
      <c r="CA3063" s="769"/>
      <c r="CB3063" s="769"/>
      <c r="CC3063" s="769"/>
      <c r="CD3063" s="769"/>
      <c r="CE3063" s="769"/>
      <c r="CF3063" s="769"/>
      <c r="CG3063" s="73"/>
      <c r="CH3063" s="438"/>
      <c r="CI3063" s="416"/>
      <c r="CJ3063" s="73"/>
      <c r="CK3063" s="650"/>
      <c r="CL3063" s="499"/>
      <c r="CM3063" s="650"/>
      <c r="CR3063" s="416"/>
      <c r="CS3063" s="650"/>
      <c r="CU3063" s="73"/>
      <c r="CV3063" s="73"/>
      <c r="CW3063" s="73"/>
      <c r="CX3063" s="73"/>
      <c r="DA3063" s="650"/>
    </row>
    <row r="3064" spans="1:105" s="45" customFormat="1" x14ac:dyDescent="0.2">
      <c r="A3064" s="650"/>
      <c r="B3064" s="438"/>
      <c r="D3064" s="73"/>
      <c r="E3064" s="650"/>
      <c r="F3064" s="650"/>
      <c r="G3064" s="73"/>
      <c r="I3064" s="111"/>
      <c r="J3064" s="81"/>
      <c r="K3064" s="81"/>
      <c r="L3064" s="499"/>
      <c r="M3064" s="73"/>
      <c r="N3064" s="499"/>
      <c r="O3064" s="73"/>
      <c r="P3064" s="73"/>
      <c r="Q3064" s="73"/>
      <c r="R3064" s="176"/>
      <c r="S3064" s="176"/>
      <c r="T3064" s="176"/>
      <c r="U3064" s="400"/>
      <c r="V3064" s="400"/>
      <c r="W3064" s="732"/>
      <c r="X3064" s="167"/>
      <c r="Y3064" s="509"/>
      <c r="Z3064" s="466"/>
      <c r="AA3064" s="466"/>
      <c r="AB3064" s="466"/>
      <c r="AC3064" s="466"/>
      <c r="AD3064" s="466"/>
      <c r="AE3064" s="466"/>
      <c r="AF3064" s="466"/>
      <c r="AG3064" s="466"/>
      <c r="AH3064" s="466"/>
      <c r="AI3064" s="466"/>
      <c r="AJ3064" s="466"/>
      <c r="AK3064" s="466"/>
      <c r="AL3064" s="466"/>
      <c r="AM3064" s="466"/>
      <c r="AN3064" s="466"/>
      <c r="AO3064" s="466"/>
      <c r="AP3064" s="466"/>
      <c r="AQ3064" s="466"/>
      <c r="AR3064" s="466"/>
      <c r="AS3064" s="466"/>
      <c r="AT3064" s="466"/>
      <c r="AU3064" s="466"/>
      <c r="AV3064" s="466"/>
      <c r="AW3064" s="466"/>
      <c r="AX3064" s="466"/>
      <c r="AY3064" s="466"/>
      <c r="AZ3064" s="466"/>
      <c r="BA3064" s="466"/>
      <c r="BB3064" s="466"/>
      <c r="BC3064" s="466"/>
      <c r="BD3064" s="466"/>
      <c r="BE3064" s="467"/>
      <c r="BF3064" s="467"/>
      <c r="BG3064" s="466"/>
      <c r="BH3064" s="466"/>
      <c r="BI3064" s="467"/>
      <c r="BJ3064" s="467"/>
      <c r="BK3064" s="467"/>
      <c r="BL3064" s="467"/>
      <c r="BM3064" s="467"/>
      <c r="BN3064" s="467"/>
      <c r="BO3064" s="467"/>
      <c r="BP3064" s="467"/>
      <c r="BQ3064" s="467"/>
      <c r="BR3064" s="467"/>
      <c r="BS3064" s="467"/>
      <c r="BT3064" s="467"/>
      <c r="BU3064" s="467"/>
      <c r="BV3064" s="467"/>
      <c r="BW3064" s="467"/>
      <c r="BX3064" s="769"/>
      <c r="BY3064" s="769"/>
      <c r="BZ3064" s="769"/>
      <c r="CA3064" s="769"/>
      <c r="CB3064" s="769"/>
      <c r="CC3064" s="769"/>
      <c r="CD3064" s="769"/>
      <c r="CE3064" s="769"/>
      <c r="CF3064" s="769"/>
      <c r="CG3064" s="73"/>
      <c r="CH3064" s="438"/>
      <c r="CI3064" s="416"/>
      <c r="CJ3064" s="73"/>
      <c r="CK3064" s="650"/>
      <c r="CL3064" s="499"/>
      <c r="CM3064" s="650"/>
      <c r="CR3064" s="416"/>
      <c r="CS3064" s="650"/>
      <c r="CU3064" s="73"/>
      <c r="CV3064" s="73"/>
      <c r="CW3064" s="73"/>
      <c r="CX3064" s="73"/>
      <c r="DA3064" s="650"/>
    </row>
    <row r="3065" spans="1:105" s="45" customFormat="1" x14ac:dyDescent="0.2">
      <c r="A3065" s="650"/>
      <c r="B3065" s="438"/>
      <c r="D3065" s="73"/>
      <c r="E3065" s="650"/>
      <c r="F3065" s="650"/>
      <c r="G3065" s="73"/>
      <c r="I3065" s="111"/>
      <c r="J3065" s="81"/>
      <c r="K3065" s="81"/>
      <c r="L3065" s="499"/>
      <c r="M3065" s="73"/>
      <c r="N3065" s="499"/>
      <c r="O3065" s="73"/>
      <c r="P3065" s="73"/>
      <c r="Q3065" s="73"/>
      <c r="R3065" s="176"/>
      <c r="S3065" s="176"/>
      <c r="T3065" s="176"/>
      <c r="U3065" s="400"/>
      <c r="V3065" s="400"/>
      <c r="W3065" s="732"/>
      <c r="X3065" s="167"/>
      <c r="Y3065" s="509"/>
      <c r="Z3065" s="466"/>
      <c r="AA3065" s="466"/>
      <c r="AB3065" s="466"/>
      <c r="AC3065" s="466"/>
      <c r="AD3065" s="466"/>
      <c r="AE3065" s="466"/>
      <c r="AF3065" s="466"/>
      <c r="AG3065" s="466"/>
      <c r="AH3065" s="466"/>
      <c r="AI3065" s="466"/>
      <c r="AJ3065" s="466"/>
      <c r="AK3065" s="466"/>
      <c r="AL3065" s="466"/>
      <c r="AM3065" s="466"/>
      <c r="AN3065" s="466"/>
      <c r="AO3065" s="466"/>
      <c r="AP3065" s="466"/>
      <c r="AQ3065" s="466"/>
      <c r="AR3065" s="466"/>
      <c r="AS3065" s="466"/>
      <c r="AT3065" s="466"/>
      <c r="AU3065" s="466"/>
      <c r="AV3065" s="466"/>
      <c r="AW3065" s="466"/>
      <c r="AX3065" s="466"/>
      <c r="AY3065" s="466"/>
      <c r="AZ3065" s="466"/>
      <c r="BA3065" s="466"/>
      <c r="BB3065" s="466"/>
      <c r="BC3065" s="466"/>
      <c r="BD3065" s="466"/>
      <c r="BE3065" s="467"/>
      <c r="BF3065" s="467"/>
      <c r="BG3065" s="466"/>
      <c r="BH3065" s="466"/>
      <c r="BI3065" s="467"/>
      <c r="BJ3065" s="467"/>
      <c r="BK3065" s="467"/>
      <c r="BL3065" s="467"/>
      <c r="BM3065" s="467"/>
      <c r="BN3065" s="467"/>
      <c r="BO3065" s="467"/>
      <c r="BP3065" s="467"/>
      <c r="BQ3065" s="467"/>
      <c r="BR3065" s="467"/>
      <c r="BS3065" s="467"/>
      <c r="BT3065" s="467"/>
      <c r="BU3065" s="467"/>
      <c r="BV3065" s="467"/>
      <c r="BW3065" s="467"/>
      <c r="BX3065" s="769"/>
      <c r="BY3065" s="769"/>
      <c r="BZ3065" s="769"/>
      <c r="CA3065" s="769"/>
      <c r="CB3065" s="769"/>
      <c r="CC3065" s="769"/>
      <c r="CD3065" s="769"/>
      <c r="CE3065" s="769"/>
      <c r="CF3065" s="769"/>
      <c r="CG3065" s="73"/>
      <c r="CH3065" s="438"/>
      <c r="CI3065" s="416"/>
      <c r="CJ3065" s="73"/>
      <c r="CK3065" s="650"/>
      <c r="CL3065" s="499"/>
      <c r="CM3065" s="650"/>
      <c r="CR3065" s="416"/>
      <c r="CS3065" s="650"/>
      <c r="CU3065" s="73"/>
      <c r="CV3065" s="73"/>
      <c r="CW3065" s="73"/>
      <c r="CX3065" s="73"/>
      <c r="DA3065" s="650"/>
    </row>
    <row r="3066" spans="1:105" s="45" customFormat="1" x14ac:dyDescent="0.2">
      <c r="A3066" s="650"/>
      <c r="B3066" s="438"/>
      <c r="D3066" s="73"/>
      <c r="E3066" s="650"/>
      <c r="F3066" s="650"/>
      <c r="G3066" s="73"/>
      <c r="I3066" s="111"/>
      <c r="J3066" s="81"/>
      <c r="K3066" s="81"/>
      <c r="L3066" s="499"/>
      <c r="M3066" s="73"/>
      <c r="N3066" s="499"/>
      <c r="O3066" s="73"/>
      <c r="P3066" s="73"/>
      <c r="Q3066" s="73"/>
      <c r="R3066" s="176"/>
      <c r="S3066" s="176"/>
      <c r="T3066" s="176"/>
      <c r="U3066" s="400"/>
      <c r="V3066" s="400"/>
      <c r="W3066" s="732"/>
      <c r="X3066" s="167"/>
      <c r="Y3066" s="509"/>
      <c r="Z3066" s="466"/>
      <c r="AA3066" s="466"/>
      <c r="AB3066" s="466"/>
      <c r="AC3066" s="466"/>
      <c r="AD3066" s="466"/>
      <c r="AE3066" s="466"/>
      <c r="AF3066" s="466"/>
      <c r="AG3066" s="466"/>
      <c r="AH3066" s="466"/>
      <c r="AI3066" s="466"/>
      <c r="AJ3066" s="466"/>
      <c r="AK3066" s="466"/>
      <c r="AL3066" s="466"/>
      <c r="AM3066" s="466"/>
      <c r="AN3066" s="466"/>
      <c r="AO3066" s="466"/>
      <c r="AP3066" s="466"/>
      <c r="AQ3066" s="466"/>
      <c r="AR3066" s="466"/>
      <c r="AS3066" s="466"/>
      <c r="AT3066" s="466"/>
      <c r="AU3066" s="466"/>
      <c r="AV3066" s="466"/>
      <c r="AW3066" s="466"/>
      <c r="AX3066" s="466"/>
      <c r="AY3066" s="466"/>
      <c r="AZ3066" s="466"/>
      <c r="BA3066" s="466"/>
      <c r="BB3066" s="466"/>
      <c r="BC3066" s="466"/>
      <c r="BD3066" s="466"/>
      <c r="BE3066" s="467"/>
      <c r="BF3066" s="467"/>
      <c r="BG3066" s="466"/>
      <c r="BH3066" s="466"/>
      <c r="BI3066" s="467"/>
      <c r="BJ3066" s="467"/>
      <c r="BK3066" s="467"/>
      <c r="BL3066" s="467"/>
      <c r="BM3066" s="467"/>
      <c r="BN3066" s="467"/>
      <c r="BO3066" s="467"/>
      <c r="BP3066" s="467"/>
      <c r="BQ3066" s="467"/>
      <c r="BR3066" s="467"/>
      <c r="BS3066" s="467"/>
      <c r="BT3066" s="467"/>
      <c r="BU3066" s="467"/>
      <c r="BV3066" s="467"/>
      <c r="BW3066" s="467"/>
      <c r="BX3066" s="769"/>
      <c r="BY3066" s="769"/>
      <c r="BZ3066" s="769"/>
      <c r="CA3066" s="769"/>
      <c r="CB3066" s="769"/>
      <c r="CC3066" s="769"/>
      <c r="CD3066" s="769"/>
      <c r="CE3066" s="769"/>
      <c r="CF3066" s="769"/>
      <c r="CG3066" s="73"/>
      <c r="CH3066" s="438"/>
      <c r="CI3066" s="416"/>
      <c r="CJ3066" s="73"/>
      <c r="CK3066" s="650"/>
      <c r="CL3066" s="499"/>
      <c r="CM3066" s="650"/>
      <c r="CR3066" s="416"/>
      <c r="CS3066" s="650"/>
      <c r="CU3066" s="73"/>
      <c r="CV3066" s="73"/>
      <c r="CW3066" s="73"/>
      <c r="CX3066" s="73"/>
      <c r="DA3066" s="650"/>
    </row>
    <row r="3067" spans="1:105" s="45" customFormat="1" x14ac:dyDescent="0.2">
      <c r="A3067" s="650"/>
      <c r="B3067" s="438"/>
      <c r="D3067" s="73"/>
      <c r="E3067" s="650"/>
      <c r="F3067" s="650"/>
      <c r="G3067" s="73"/>
      <c r="I3067" s="111"/>
      <c r="J3067" s="81"/>
      <c r="K3067" s="81"/>
      <c r="L3067" s="499"/>
      <c r="M3067" s="73"/>
      <c r="N3067" s="499"/>
      <c r="O3067" s="73"/>
      <c r="P3067" s="73"/>
      <c r="Q3067" s="73"/>
      <c r="R3067" s="176"/>
      <c r="S3067" s="176"/>
      <c r="T3067" s="176"/>
      <c r="U3067" s="400"/>
      <c r="V3067" s="400"/>
      <c r="W3067" s="732"/>
      <c r="X3067" s="167"/>
      <c r="Y3067" s="509"/>
      <c r="Z3067" s="466"/>
      <c r="AA3067" s="466"/>
      <c r="AB3067" s="466"/>
      <c r="AC3067" s="466"/>
      <c r="AD3067" s="466"/>
      <c r="AE3067" s="466"/>
      <c r="AF3067" s="466"/>
      <c r="AG3067" s="466"/>
      <c r="AH3067" s="466"/>
      <c r="AI3067" s="466"/>
      <c r="AJ3067" s="466"/>
      <c r="AK3067" s="466"/>
      <c r="AL3067" s="466"/>
      <c r="AM3067" s="466"/>
      <c r="AN3067" s="466"/>
      <c r="AO3067" s="466"/>
      <c r="AP3067" s="466"/>
      <c r="AQ3067" s="466"/>
      <c r="AR3067" s="466"/>
      <c r="AS3067" s="466"/>
      <c r="AT3067" s="466"/>
      <c r="AU3067" s="466"/>
      <c r="AV3067" s="466"/>
      <c r="AW3067" s="466"/>
      <c r="AX3067" s="466"/>
      <c r="AY3067" s="466"/>
      <c r="AZ3067" s="466"/>
      <c r="BA3067" s="466"/>
      <c r="BB3067" s="466"/>
      <c r="BC3067" s="466"/>
      <c r="BD3067" s="466"/>
      <c r="BE3067" s="467"/>
      <c r="BF3067" s="467"/>
      <c r="BG3067" s="466"/>
      <c r="BH3067" s="466"/>
      <c r="BI3067" s="467"/>
      <c r="BJ3067" s="467"/>
      <c r="BK3067" s="467"/>
      <c r="BL3067" s="467"/>
      <c r="BM3067" s="467"/>
      <c r="BN3067" s="467"/>
      <c r="BO3067" s="467"/>
      <c r="BP3067" s="467"/>
      <c r="BQ3067" s="467"/>
      <c r="BR3067" s="467"/>
      <c r="BS3067" s="467"/>
      <c r="BT3067" s="467"/>
      <c r="BU3067" s="467"/>
      <c r="BV3067" s="467"/>
      <c r="BW3067" s="467"/>
      <c r="BX3067" s="769"/>
      <c r="BY3067" s="769"/>
      <c r="BZ3067" s="769"/>
      <c r="CA3067" s="769"/>
      <c r="CB3067" s="769"/>
      <c r="CC3067" s="769"/>
      <c r="CD3067" s="769"/>
      <c r="CE3067" s="769"/>
      <c r="CF3067" s="769"/>
      <c r="CG3067" s="73"/>
      <c r="CH3067" s="438"/>
      <c r="CI3067" s="416"/>
      <c r="CJ3067" s="73"/>
      <c r="CK3067" s="650"/>
      <c r="CL3067" s="499"/>
      <c r="CM3067" s="650"/>
      <c r="CR3067" s="416"/>
      <c r="CS3067" s="650"/>
      <c r="CU3067" s="73"/>
      <c r="CV3067" s="73"/>
      <c r="CW3067" s="73"/>
      <c r="CX3067" s="73"/>
      <c r="DA3067" s="650"/>
    </row>
    <row r="3068" spans="1:105" s="45" customFormat="1" x14ac:dyDescent="0.2">
      <c r="A3068" s="650"/>
      <c r="B3068" s="438"/>
      <c r="D3068" s="73"/>
      <c r="E3068" s="650"/>
      <c r="F3068" s="650"/>
      <c r="G3068" s="73"/>
      <c r="I3068" s="111"/>
      <c r="J3068" s="81"/>
      <c r="K3068" s="81"/>
      <c r="L3068" s="499"/>
      <c r="M3068" s="73"/>
      <c r="N3068" s="499"/>
      <c r="O3068" s="73"/>
      <c r="P3068" s="73"/>
      <c r="Q3068" s="73"/>
      <c r="R3068" s="176"/>
      <c r="S3068" s="176"/>
      <c r="T3068" s="176"/>
      <c r="U3068" s="400"/>
      <c r="V3068" s="400"/>
      <c r="W3068" s="732"/>
      <c r="X3068" s="167"/>
      <c r="Y3068" s="509"/>
      <c r="Z3068" s="466"/>
      <c r="AA3068" s="466"/>
      <c r="AB3068" s="466"/>
      <c r="AC3068" s="466"/>
      <c r="AD3068" s="466"/>
      <c r="AE3068" s="466"/>
      <c r="AF3068" s="466"/>
      <c r="AG3068" s="466"/>
      <c r="AH3068" s="466"/>
      <c r="AI3068" s="466"/>
      <c r="AJ3068" s="466"/>
      <c r="AK3068" s="466"/>
      <c r="AL3068" s="466"/>
      <c r="AM3068" s="466"/>
      <c r="AN3068" s="466"/>
      <c r="AO3068" s="466"/>
      <c r="AP3068" s="466"/>
      <c r="AQ3068" s="466"/>
      <c r="AR3068" s="466"/>
      <c r="AS3068" s="466"/>
      <c r="AT3068" s="466"/>
      <c r="AU3068" s="466"/>
      <c r="AV3068" s="466"/>
      <c r="AW3068" s="466"/>
      <c r="AX3068" s="466"/>
      <c r="AY3068" s="466"/>
      <c r="AZ3068" s="466"/>
      <c r="BA3068" s="466"/>
      <c r="BB3068" s="466"/>
      <c r="BC3068" s="466"/>
      <c r="BD3068" s="466"/>
      <c r="BE3068" s="467"/>
      <c r="BF3068" s="467"/>
      <c r="BG3068" s="466"/>
      <c r="BH3068" s="466"/>
      <c r="BI3068" s="467"/>
      <c r="BJ3068" s="467"/>
      <c r="BK3068" s="467"/>
      <c r="BL3068" s="467"/>
      <c r="BM3068" s="467"/>
      <c r="BN3068" s="467"/>
      <c r="BO3068" s="467"/>
      <c r="BP3068" s="467"/>
      <c r="BQ3068" s="467"/>
      <c r="BR3068" s="467"/>
      <c r="BS3068" s="467"/>
      <c r="BT3068" s="467"/>
      <c r="BU3068" s="467"/>
      <c r="BV3068" s="467"/>
      <c r="BW3068" s="467"/>
      <c r="BX3068" s="769"/>
      <c r="BY3068" s="769"/>
      <c r="BZ3068" s="769"/>
      <c r="CA3068" s="769"/>
      <c r="CB3068" s="769"/>
      <c r="CC3068" s="769"/>
      <c r="CD3068" s="769"/>
      <c r="CE3068" s="769"/>
      <c r="CF3068" s="769"/>
      <c r="CG3068" s="73"/>
      <c r="CH3068" s="438"/>
      <c r="CI3068" s="416"/>
      <c r="CJ3068" s="73"/>
      <c r="CK3068" s="650"/>
      <c r="CL3068" s="499"/>
      <c r="CM3068" s="650"/>
      <c r="CR3068" s="416"/>
      <c r="CS3068" s="650"/>
      <c r="CU3068" s="73"/>
      <c r="CV3068" s="73"/>
      <c r="CW3068" s="73"/>
      <c r="CX3068" s="73"/>
      <c r="DA3068" s="650"/>
    </row>
    <row r="3069" spans="1:105" s="45" customFormat="1" x14ac:dyDescent="0.2">
      <c r="A3069" s="650"/>
      <c r="B3069" s="438"/>
      <c r="D3069" s="73"/>
      <c r="E3069" s="650"/>
      <c r="F3069" s="650"/>
      <c r="G3069" s="73"/>
      <c r="I3069" s="111"/>
      <c r="J3069" s="81"/>
      <c r="K3069" s="81"/>
      <c r="L3069" s="499"/>
      <c r="M3069" s="73"/>
      <c r="N3069" s="499"/>
      <c r="O3069" s="73"/>
      <c r="P3069" s="73"/>
      <c r="Q3069" s="73"/>
      <c r="R3069" s="176"/>
      <c r="S3069" s="176"/>
      <c r="T3069" s="176"/>
      <c r="U3069" s="400"/>
      <c r="V3069" s="400"/>
      <c r="W3069" s="732"/>
      <c r="X3069" s="167"/>
      <c r="Y3069" s="509"/>
      <c r="Z3069" s="466"/>
      <c r="AA3069" s="466"/>
      <c r="AB3069" s="466"/>
      <c r="AC3069" s="466"/>
      <c r="AD3069" s="466"/>
      <c r="AE3069" s="466"/>
      <c r="AF3069" s="466"/>
      <c r="AG3069" s="466"/>
      <c r="AH3069" s="466"/>
      <c r="AI3069" s="466"/>
      <c r="AJ3069" s="466"/>
      <c r="AK3069" s="466"/>
      <c r="AL3069" s="466"/>
      <c r="AM3069" s="466"/>
      <c r="AN3069" s="466"/>
      <c r="AO3069" s="466"/>
      <c r="AP3069" s="466"/>
      <c r="AQ3069" s="466"/>
      <c r="AR3069" s="466"/>
      <c r="AS3069" s="466"/>
      <c r="AT3069" s="466"/>
      <c r="AU3069" s="466"/>
      <c r="AV3069" s="466"/>
      <c r="AW3069" s="466"/>
      <c r="AX3069" s="466"/>
      <c r="AY3069" s="466"/>
      <c r="AZ3069" s="466"/>
      <c r="BA3069" s="466"/>
      <c r="BB3069" s="466"/>
      <c r="BC3069" s="466"/>
      <c r="BD3069" s="466"/>
      <c r="BE3069" s="467"/>
      <c r="BF3069" s="467"/>
      <c r="BG3069" s="466"/>
      <c r="BH3069" s="466"/>
      <c r="BI3069" s="467"/>
      <c r="BJ3069" s="467"/>
      <c r="BK3069" s="467"/>
      <c r="BL3069" s="467"/>
      <c r="BM3069" s="467"/>
      <c r="BN3069" s="467"/>
      <c r="BO3069" s="467"/>
      <c r="BP3069" s="467"/>
      <c r="BQ3069" s="467"/>
      <c r="BR3069" s="467"/>
      <c r="BS3069" s="467"/>
      <c r="BT3069" s="467"/>
      <c r="BU3069" s="467"/>
      <c r="BV3069" s="467"/>
      <c r="BW3069" s="467"/>
      <c r="BX3069" s="769"/>
      <c r="BY3069" s="769"/>
      <c r="BZ3069" s="769"/>
      <c r="CA3069" s="769"/>
      <c r="CB3069" s="769"/>
      <c r="CC3069" s="769"/>
      <c r="CD3069" s="769"/>
      <c r="CE3069" s="769"/>
      <c r="CF3069" s="769"/>
      <c r="CG3069" s="73"/>
      <c r="CH3069" s="438"/>
      <c r="CI3069" s="416"/>
      <c r="CJ3069" s="73"/>
      <c r="CK3069" s="650"/>
      <c r="CL3069" s="499"/>
      <c r="CM3069" s="650"/>
      <c r="CR3069" s="416"/>
      <c r="CS3069" s="650"/>
      <c r="CU3069" s="73"/>
      <c r="CV3069" s="73"/>
      <c r="CW3069" s="73"/>
      <c r="CX3069" s="73"/>
      <c r="DA3069" s="650"/>
    </row>
    <row r="3070" spans="1:105" s="45" customFormat="1" x14ac:dyDescent="0.2">
      <c r="A3070" s="650"/>
      <c r="B3070" s="438"/>
      <c r="D3070" s="73"/>
      <c r="E3070" s="650"/>
      <c r="F3070" s="650"/>
      <c r="G3070" s="73"/>
      <c r="I3070" s="111"/>
      <c r="J3070" s="81"/>
      <c r="K3070" s="81"/>
      <c r="L3070" s="499"/>
      <c r="M3070" s="73"/>
      <c r="N3070" s="499"/>
      <c r="O3070" s="73"/>
      <c r="P3070" s="73"/>
      <c r="Q3070" s="73"/>
      <c r="R3070" s="176"/>
      <c r="S3070" s="176"/>
      <c r="T3070" s="176"/>
      <c r="U3070" s="400"/>
      <c r="V3070" s="400"/>
      <c r="W3070" s="732"/>
      <c r="X3070" s="167"/>
      <c r="Y3070" s="509"/>
      <c r="Z3070" s="466"/>
      <c r="AA3070" s="466"/>
      <c r="AB3070" s="466"/>
      <c r="AC3070" s="466"/>
      <c r="AD3070" s="466"/>
      <c r="AE3070" s="466"/>
      <c r="AF3070" s="466"/>
      <c r="AG3070" s="466"/>
      <c r="AH3070" s="466"/>
      <c r="AI3070" s="466"/>
      <c r="AJ3070" s="466"/>
      <c r="AK3070" s="466"/>
      <c r="AL3070" s="466"/>
      <c r="AM3070" s="466"/>
      <c r="AN3070" s="466"/>
      <c r="AO3070" s="466"/>
      <c r="AP3070" s="466"/>
      <c r="AQ3070" s="466"/>
      <c r="AR3070" s="466"/>
      <c r="AS3070" s="466"/>
      <c r="AT3070" s="466"/>
      <c r="AU3070" s="466"/>
      <c r="AV3070" s="466"/>
      <c r="AW3070" s="466"/>
      <c r="AX3070" s="466"/>
      <c r="AY3070" s="466"/>
      <c r="AZ3070" s="466"/>
      <c r="BA3070" s="466"/>
      <c r="BB3070" s="466"/>
      <c r="BC3070" s="466"/>
      <c r="BD3070" s="466"/>
      <c r="BE3070" s="467"/>
      <c r="BF3070" s="467"/>
      <c r="BG3070" s="466"/>
      <c r="BH3070" s="466"/>
      <c r="BI3070" s="467"/>
      <c r="BJ3070" s="467"/>
      <c r="BK3070" s="467"/>
      <c r="BL3070" s="467"/>
      <c r="BM3070" s="467"/>
      <c r="BN3070" s="467"/>
      <c r="BO3070" s="467"/>
      <c r="BP3070" s="467"/>
      <c r="BQ3070" s="467"/>
      <c r="BR3070" s="467"/>
      <c r="BS3070" s="467"/>
      <c r="BT3070" s="467"/>
      <c r="BU3070" s="467"/>
      <c r="BV3070" s="467"/>
      <c r="BW3070" s="467"/>
      <c r="BX3070" s="769"/>
      <c r="BY3070" s="769"/>
      <c r="BZ3070" s="769"/>
      <c r="CA3070" s="769"/>
      <c r="CB3070" s="769"/>
      <c r="CC3070" s="769"/>
      <c r="CD3070" s="769"/>
      <c r="CE3070" s="769"/>
      <c r="CF3070" s="769"/>
      <c r="CG3070" s="73"/>
      <c r="CH3070" s="438"/>
      <c r="CI3070" s="416"/>
      <c r="CJ3070" s="73"/>
      <c r="CK3070" s="650"/>
      <c r="CL3070" s="499"/>
      <c r="CM3070" s="650"/>
      <c r="CR3070" s="416"/>
      <c r="CS3070" s="650"/>
      <c r="CU3070" s="73"/>
      <c r="CV3070" s="73"/>
      <c r="CW3070" s="73"/>
      <c r="CX3070" s="73"/>
      <c r="DA3070" s="650"/>
    </row>
    <row r="3071" spans="1:105" s="45" customFormat="1" x14ac:dyDescent="0.2">
      <c r="A3071" s="650"/>
      <c r="B3071" s="438"/>
      <c r="D3071" s="73"/>
      <c r="E3071" s="650"/>
      <c r="F3071" s="650"/>
      <c r="G3071" s="73"/>
      <c r="I3071" s="111"/>
      <c r="J3071" s="81"/>
      <c r="K3071" s="81"/>
      <c r="L3071" s="499"/>
      <c r="M3071" s="73"/>
      <c r="N3071" s="499"/>
      <c r="O3071" s="73"/>
      <c r="P3071" s="73"/>
      <c r="Q3071" s="73"/>
      <c r="R3071" s="176"/>
      <c r="S3071" s="176"/>
      <c r="T3071" s="176"/>
      <c r="U3071" s="400"/>
      <c r="V3071" s="400"/>
      <c r="W3071" s="732"/>
      <c r="X3071" s="167"/>
      <c r="Y3071" s="509"/>
      <c r="Z3071" s="466"/>
      <c r="AA3071" s="466"/>
      <c r="AB3071" s="466"/>
      <c r="AC3071" s="466"/>
      <c r="AD3071" s="466"/>
      <c r="AE3071" s="466"/>
      <c r="AF3071" s="466"/>
      <c r="AG3071" s="466"/>
      <c r="AH3071" s="466"/>
      <c r="AI3071" s="466"/>
      <c r="AJ3071" s="466"/>
      <c r="AK3071" s="466"/>
      <c r="AL3071" s="466"/>
      <c r="AM3071" s="466"/>
      <c r="AN3071" s="466"/>
      <c r="AO3071" s="466"/>
      <c r="AP3071" s="466"/>
      <c r="AQ3071" s="466"/>
      <c r="AR3071" s="466"/>
      <c r="AS3071" s="466"/>
      <c r="AT3071" s="466"/>
      <c r="AU3071" s="466"/>
      <c r="AV3071" s="466"/>
      <c r="AW3071" s="466"/>
      <c r="AX3071" s="466"/>
      <c r="AY3071" s="466"/>
      <c r="AZ3071" s="466"/>
      <c r="BA3071" s="466"/>
      <c r="BB3071" s="466"/>
      <c r="BC3071" s="466"/>
      <c r="BD3071" s="466"/>
      <c r="BE3071" s="467"/>
      <c r="BF3071" s="467"/>
      <c r="BG3071" s="466"/>
      <c r="BH3071" s="466"/>
      <c r="BI3071" s="467"/>
      <c r="BJ3071" s="467"/>
      <c r="BK3071" s="467"/>
      <c r="BL3071" s="467"/>
      <c r="BM3071" s="467"/>
      <c r="BN3071" s="467"/>
      <c r="BO3071" s="467"/>
      <c r="BP3071" s="467"/>
      <c r="BQ3071" s="467"/>
      <c r="BR3071" s="467"/>
      <c r="BS3071" s="467"/>
      <c r="BT3071" s="467"/>
      <c r="BU3071" s="467"/>
      <c r="BV3071" s="467"/>
      <c r="BW3071" s="467"/>
      <c r="BX3071" s="769"/>
      <c r="BY3071" s="769"/>
      <c r="BZ3071" s="769"/>
      <c r="CA3071" s="769"/>
      <c r="CB3071" s="769"/>
      <c r="CC3071" s="769"/>
      <c r="CD3071" s="769"/>
      <c r="CE3071" s="769"/>
      <c r="CF3071" s="769"/>
      <c r="CG3071" s="73"/>
      <c r="CH3071" s="438"/>
      <c r="CI3071" s="416"/>
      <c r="CJ3071" s="73"/>
      <c r="CK3071" s="650"/>
      <c r="CL3071" s="499"/>
      <c r="CM3071" s="650"/>
      <c r="CR3071" s="416"/>
      <c r="CS3071" s="650"/>
      <c r="CU3071" s="73"/>
      <c r="CV3071" s="73"/>
      <c r="CW3071" s="73"/>
      <c r="CX3071" s="73"/>
      <c r="DA3071" s="650"/>
    </row>
    <row r="3072" spans="1:105" s="45" customFormat="1" x14ac:dyDescent="0.2">
      <c r="A3072" s="650"/>
      <c r="B3072" s="438"/>
      <c r="D3072" s="73"/>
      <c r="E3072" s="650"/>
      <c r="F3072" s="650"/>
      <c r="G3072" s="73"/>
      <c r="I3072" s="111"/>
      <c r="J3072" s="81"/>
      <c r="K3072" s="81"/>
      <c r="L3072" s="499"/>
      <c r="M3072" s="73"/>
      <c r="N3072" s="499"/>
      <c r="O3072" s="73"/>
      <c r="P3072" s="73"/>
      <c r="Q3072" s="73"/>
      <c r="R3072" s="176"/>
      <c r="S3072" s="176"/>
      <c r="T3072" s="176"/>
      <c r="U3072" s="400"/>
      <c r="V3072" s="400"/>
      <c r="W3072" s="732"/>
      <c r="X3072" s="167"/>
      <c r="Y3072" s="509"/>
      <c r="Z3072" s="466"/>
      <c r="AA3072" s="466"/>
      <c r="AB3072" s="466"/>
      <c r="AC3072" s="466"/>
      <c r="AD3072" s="466"/>
      <c r="AE3072" s="466"/>
      <c r="AF3072" s="466"/>
      <c r="AG3072" s="466"/>
      <c r="AH3072" s="466"/>
      <c r="AI3072" s="466"/>
      <c r="AJ3072" s="466"/>
      <c r="AK3072" s="466"/>
      <c r="AL3072" s="466"/>
      <c r="AM3072" s="466"/>
      <c r="AN3072" s="466"/>
      <c r="AO3072" s="466"/>
      <c r="AP3072" s="466"/>
      <c r="AQ3072" s="466"/>
      <c r="AR3072" s="466"/>
      <c r="AS3072" s="466"/>
      <c r="AT3072" s="466"/>
      <c r="AU3072" s="466"/>
      <c r="AV3072" s="466"/>
      <c r="AW3072" s="466"/>
      <c r="AX3072" s="466"/>
      <c r="AY3072" s="466"/>
      <c r="AZ3072" s="466"/>
      <c r="BA3072" s="466"/>
      <c r="BB3072" s="466"/>
      <c r="BC3072" s="466"/>
      <c r="BD3072" s="466"/>
      <c r="BE3072" s="467"/>
      <c r="BF3072" s="467"/>
      <c r="BG3072" s="466"/>
      <c r="BH3072" s="466"/>
      <c r="BI3072" s="467"/>
      <c r="BJ3072" s="467"/>
      <c r="BK3072" s="467"/>
      <c r="BL3072" s="467"/>
      <c r="BM3072" s="467"/>
      <c r="BN3072" s="467"/>
      <c r="BO3072" s="467"/>
      <c r="BP3072" s="467"/>
      <c r="BQ3072" s="467"/>
      <c r="BR3072" s="467"/>
      <c r="BS3072" s="467"/>
      <c r="BT3072" s="467"/>
      <c r="BU3072" s="467"/>
      <c r="BV3072" s="467"/>
      <c r="BW3072" s="467"/>
      <c r="BX3072" s="769"/>
      <c r="BY3072" s="769"/>
      <c r="BZ3072" s="769"/>
      <c r="CA3072" s="769"/>
      <c r="CB3072" s="769"/>
      <c r="CC3072" s="769"/>
      <c r="CD3072" s="769"/>
      <c r="CE3072" s="769"/>
      <c r="CF3072" s="769"/>
      <c r="CG3072" s="73"/>
      <c r="CH3072" s="438"/>
      <c r="CI3072" s="416"/>
      <c r="CJ3072" s="73"/>
      <c r="CK3072" s="650"/>
      <c r="CL3072" s="499"/>
      <c r="CM3072" s="650"/>
      <c r="CR3072" s="416"/>
      <c r="CS3072" s="650"/>
      <c r="CU3072" s="73"/>
      <c r="CV3072" s="73"/>
      <c r="CW3072" s="73"/>
      <c r="CX3072" s="73"/>
      <c r="DA3072" s="650"/>
    </row>
    <row r="3073" spans="1:105" s="45" customFormat="1" x14ac:dyDescent="0.2">
      <c r="A3073" s="650"/>
      <c r="B3073" s="438"/>
      <c r="D3073" s="73"/>
      <c r="E3073" s="650"/>
      <c r="F3073" s="650"/>
      <c r="G3073" s="73"/>
      <c r="I3073" s="111"/>
      <c r="J3073" s="81"/>
      <c r="K3073" s="81"/>
      <c r="L3073" s="499"/>
      <c r="M3073" s="73"/>
      <c r="N3073" s="499"/>
      <c r="O3073" s="73"/>
      <c r="P3073" s="73"/>
      <c r="Q3073" s="73"/>
      <c r="R3073" s="176"/>
      <c r="S3073" s="176"/>
      <c r="T3073" s="176"/>
      <c r="U3073" s="400"/>
      <c r="V3073" s="400"/>
      <c r="W3073" s="732"/>
      <c r="X3073" s="167"/>
      <c r="Y3073" s="509"/>
      <c r="Z3073" s="466"/>
      <c r="AA3073" s="466"/>
      <c r="AB3073" s="466"/>
      <c r="AC3073" s="466"/>
      <c r="AD3073" s="466"/>
      <c r="AE3073" s="466"/>
      <c r="AF3073" s="466"/>
      <c r="AG3073" s="466"/>
      <c r="AH3073" s="466"/>
      <c r="AI3073" s="466"/>
      <c r="AJ3073" s="466"/>
      <c r="AK3073" s="466"/>
      <c r="AL3073" s="466"/>
      <c r="AM3073" s="466"/>
      <c r="AN3073" s="466"/>
      <c r="AO3073" s="466"/>
      <c r="AP3073" s="466"/>
      <c r="AQ3073" s="466"/>
      <c r="AR3073" s="466"/>
      <c r="AS3073" s="466"/>
      <c r="AT3073" s="466"/>
      <c r="AU3073" s="466"/>
      <c r="AV3073" s="466"/>
      <c r="AW3073" s="466"/>
      <c r="AX3073" s="466"/>
      <c r="AY3073" s="466"/>
      <c r="AZ3073" s="466"/>
      <c r="BA3073" s="466"/>
      <c r="BB3073" s="466"/>
      <c r="BC3073" s="466"/>
      <c r="BD3073" s="466"/>
      <c r="BE3073" s="467"/>
      <c r="BF3073" s="467"/>
      <c r="BG3073" s="466"/>
      <c r="BH3073" s="466"/>
      <c r="BI3073" s="467"/>
      <c r="BJ3073" s="467"/>
      <c r="BK3073" s="467"/>
      <c r="BL3073" s="467"/>
      <c r="BM3073" s="467"/>
      <c r="BN3073" s="467"/>
      <c r="BO3073" s="467"/>
      <c r="BP3073" s="467"/>
      <c r="BQ3073" s="467"/>
      <c r="BR3073" s="467"/>
      <c r="BS3073" s="467"/>
      <c r="BT3073" s="467"/>
      <c r="BU3073" s="467"/>
      <c r="BV3073" s="467"/>
      <c r="BW3073" s="467"/>
      <c r="BX3073" s="769"/>
      <c r="BY3073" s="769"/>
      <c r="BZ3073" s="769"/>
      <c r="CA3073" s="769"/>
      <c r="CB3073" s="769"/>
      <c r="CC3073" s="769"/>
      <c r="CD3073" s="769"/>
      <c r="CE3073" s="769"/>
      <c r="CF3073" s="769"/>
      <c r="CG3073" s="73"/>
      <c r="CH3073" s="438"/>
      <c r="CI3073" s="416"/>
      <c r="CJ3073" s="73"/>
      <c r="CK3073" s="650"/>
      <c r="CL3073" s="499"/>
      <c r="CM3073" s="650"/>
      <c r="CR3073" s="416"/>
      <c r="CS3073" s="650"/>
      <c r="CU3073" s="73"/>
      <c r="CV3073" s="73"/>
      <c r="CW3073" s="73"/>
      <c r="CX3073" s="73"/>
      <c r="DA3073" s="650"/>
    </row>
    <row r="3074" spans="1:105" s="45" customFormat="1" x14ac:dyDescent="0.2">
      <c r="A3074" s="650"/>
      <c r="B3074" s="438"/>
      <c r="D3074" s="73"/>
      <c r="E3074" s="650"/>
      <c r="F3074" s="650"/>
      <c r="G3074" s="73"/>
      <c r="I3074" s="111"/>
      <c r="J3074" s="81"/>
      <c r="K3074" s="81"/>
      <c r="L3074" s="499"/>
      <c r="M3074" s="73"/>
      <c r="N3074" s="499"/>
      <c r="O3074" s="73"/>
      <c r="P3074" s="73"/>
      <c r="Q3074" s="73"/>
      <c r="R3074" s="176"/>
      <c r="S3074" s="176"/>
      <c r="T3074" s="176"/>
      <c r="U3074" s="400"/>
      <c r="V3074" s="400"/>
      <c r="W3074" s="732"/>
      <c r="X3074" s="167"/>
      <c r="Y3074" s="509"/>
      <c r="Z3074" s="466"/>
      <c r="AA3074" s="466"/>
      <c r="AB3074" s="466"/>
      <c r="AC3074" s="466"/>
      <c r="AD3074" s="466"/>
      <c r="AE3074" s="466"/>
      <c r="AF3074" s="466"/>
      <c r="AG3074" s="466"/>
      <c r="AH3074" s="466"/>
      <c r="AI3074" s="466"/>
      <c r="AJ3074" s="466"/>
      <c r="AK3074" s="466"/>
      <c r="AL3074" s="466"/>
      <c r="AM3074" s="466"/>
      <c r="AN3074" s="466"/>
      <c r="AO3074" s="466"/>
      <c r="AP3074" s="466"/>
      <c r="AQ3074" s="466"/>
      <c r="AR3074" s="466"/>
      <c r="AS3074" s="466"/>
      <c r="AT3074" s="466"/>
      <c r="AU3074" s="466"/>
      <c r="AV3074" s="466"/>
      <c r="AW3074" s="466"/>
      <c r="AX3074" s="466"/>
      <c r="AY3074" s="466"/>
      <c r="AZ3074" s="466"/>
      <c r="BA3074" s="466"/>
      <c r="BB3074" s="466"/>
      <c r="BC3074" s="466"/>
      <c r="BD3074" s="466"/>
      <c r="BE3074" s="467"/>
      <c r="BF3074" s="467"/>
      <c r="BG3074" s="466"/>
      <c r="BH3074" s="466"/>
      <c r="BI3074" s="467"/>
      <c r="BJ3074" s="467"/>
      <c r="BK3074" s="467"/>
      <c r="BL3074" s="467"/>
      <c r="BM3074" s="467"/>
      <c r="BN3074" s="467"/>
      <c r="BO3074" s="467"/>
      <c r="BP3074" s="467"/>
      <c r="BQ3074" s="467"/>
      <c r="BR3074" s="467"/>
      <c r="BS3074" s="467"/>
      <c r="BT3074" s="467"/>
      <c r="BU3074" s="467"/>
      <c r="BV3074" s="467"/>
      <c r="BW3074" s="467"/>
      <c r="BX3074" s="769"/>
      <c r="BY3074" s="769"/>
      <c r="BZ3074" s="769"/>
      <c r="CA3074" s="769"/>
      <c r="CB3074" s="769"/>
      <c r="CC3074" s="769"/>
      <c r="CD3074" s="769"/>
      <c r="CE3074" s="769"/>
      <c r="CF3074" s="769"/>
      <c r="CG3074" s="73"/>
      <c r="CH3074" s="438"/>
      <c r="CI3074" s="416"/>
      <c r="CJ3074" s="73"/>
      <c r="CK3074" s="650"/>
      <c r="CL3074" s="499"/>
      <c r="CM3074" s="650"/>
      <c r="CR3074" s="416"/>
      <c r="CS3074" s="650"/>
      <c r="CU3074" s="73"/>
      <c r="CV3074" s="73"/>
      <c r="CW3074" s="73"/>
      <c r="CX3074" s="73"/>
      <c r="DA3074" s="650"/>
    </row>
    <row r="3075" spans="1:105" s="45" customFormat="1" x14ac:dyDescent="0.2">
      <c r="A3075" s="650"/>
      <c r="B3075" s="438"/>
      <c r="D3075" s="73"/>
      <c r="E3075" s="650"/>
      <c r="F3075" s="650"/>
      <c r="G3075" s="73"/>
      <c r="I3075" s="111"/>
      <c r="J3075" s="81"/>
      <c r="K3075" s="81"/>
      <c r="L3075" s="499"/>
      <c r="M3075" s="73"/>
      <c r="N3075" s="499"/>
      <c r="O3075" s="73"/>
      <c r="P3075" s="73"/>
      <c r="Q3075" s="73"/>
      <c r="R3075" s="176"/>
      <c r="S3075" s="176"/>
      <c r="T3075" s="176"/>
      <c r="U3075" s="400"/>
      <c r="V3075" s="400"/>
      <c r="W3075" s="732"/>
      <c r="X3075" s="167"/>
      <c r="Y3075" s="509"/>
      <c r="Z3075" s="466"/>
      <c r="AA3075" s="466"/>
      <c r="AB3075" s="466"/>
      <c r="AC3075" s="466"/>
      <c r="AD3075" s="466"/>
      <c r="AE3075" s="466"/>
      <c r="AF3075" s="466"/>
      <c r="AG3075" s="466"/>
      <c r="AH3075" s="466"/>
      <c r="AI3075" s="466"/>
      <c r="AJ3075" s="466"/>
      <c r="AK3075" s="466"/>
      <c r="AL3075" s="466"/>
      <c r="AM3075" s="466"/>
      <c r="AN3075" s="466"/>
      <c r="AO3075" s="466"/>
      <c r="AP3075" s="466"/>
      <c r="AQ3075" s="466"/>
      <c r="AR3075" s="466"/>
      <c r="AS3075" s="466"/>
      <c r="AT3075" s="466"/>
      <c r="AU3075" s="466"/>
      <c r="AV3075" s="466"/>
      <c r="AW3075" s="466"/>
      <c r="AX3075" s="466"/>
      <c r="AY3075" s="466"/>
      <c r="AZ3075" s="466"/>
      <c r="BA3075" s="466"/>
      <c r="BB3075" s="466"/>
      <c r="BC3075" s="466"/>
      <c r="BD3075" s="466"/>
      <c r="BE3075" s="467"/>
      <c r="BF3075" s="467"/>
      <c r="BG3075" s="466"/>
      <c r="BH3075" s="466"/>
      <c r="BI3075" s="467"/>
      <c r="BJ3075" s="467"/>
      <c r="BK3075" s="467"/>
      <c r="BL3075" s="467"/>
      <c r="BM3075" s="467"/>
      <c r="BN3075" s="467"/>
      <c r="BO3075" s="467"/>
      <c r="BP3075" s="467"/>
      <c r="BQ3075" s="467"/>
      <c r="BR3075" s="467"/>
      <c r="BS3075" s="467"/>
      <c r="BT3075" s="467"/>
      <c r="BU3075" s="467"/>
      <c r="BV3075" s="467"/>
      <c r="BW3075" s="467"/>
      <c r="BX3075" s="769"/>
      <c r="BY3075" s="769"/>
      <c r="BZ3075" s="769"/>
      <c r="CA3075" s="769"/>
      <c r="CB3075" s="769"/>
      <c r="CC3075" s="769"/>
      <c r="CD3075" s="769"/>
      <c r="CE3075" s="769"/>
      <c r="CF3075" s="769"/>
      <c r="CG3075" s="73"/>
      <c r="CH3075" s="438"/>
      <c r="CI3075" s="416"/>
      <c r="CJ3075" s="73"/>
      <c r="CK3075" s="650"/>
      <c r="CL3075" s="499"/>
      <c r="CM3075" s="650"/>
      <c r="CR3075" s="416"/>
      <c r="CS3075" s="650"/>
      <c r="CU3075" s="73"/>
      <c r="CV3075" s="73"/>
      <c r="CW3075" s="73"/>
      <c r="CX3075" s="73"/>
      <c r="DA3075" s="650"/>
    </row>
    <row r="3076" spans="1:105" s="45" customFormat="1" x14ac:dyDescent="0.2">
      <c r="A3076" s="650"/>
      <c r="B3076" s="438"/>
      <c r="D3076" s="73"/>
      <c r="E3076" s="650"/>
      <c r="F3076" s="650"/>
      <c r="G3076" s="73"/>
      <c r="I3076" s="111"/>
      <c r="J3076" s="81"/>
      <c r="K3076" s="81"/>
      <c r="L3076" s="499"/>
      <c r="M3076" s="73"/>
      <c r="N3076" s="499"/>
      <c r="O3076" s="73"/>
      <c r="P3076" s="73"/>
      <c r="Q3076" s="73"/>
      <c r="R3076" s="176"/>
      <c r="S3076" s="176"/>
      <c r="T3076" s="176"/>
      <c r="U3076" s="400"/>
      <c r="V3076" s="400"/>
      <c r="W3076" s="732"/>
      <c r="X3076" s="167"/>
      <c r="Y3076" s="509"/>
      <c r="Z3076" s="466"/>
      <c r="AA3076" s="466"/>
      <c r="AB3076" s="466"/>
      <c r="AC3076" s="466"/>
      <c r="AD3076" s="466"/>
      <c r="AE3076" s="466"/>
      <c r="AF3076" s="466"/>
      <c r="AG3076" s="466"/>
      <c r="AH3076" s="466"/>
      <c r="AI3076" s="466"/>
      <c r="AJ3076" s="466"/>
      <c r="AK3076" s="466"/>
      <c r="AL3076" s="466"/>
      <c r="AM3076" s="466"/>
      <c r="AN3076" s="466"/>
      <c r="AO3076" s="466"/>
      <c r="AP3076" s="466"/>
      <c r="AQ3076" s="466"/>
      <c r="AR3076" s="466"/>
      <c r="AS3076" s="466"/>
      <c r="AT3076" s="466"/>
      <c r="AU3076" s="466"/>
      <c r="AV3076" s="466"/>
      <c r="AW3076" s="466"/>
      <c r="AX3076" s="466"/>
      <c r="AY3076" s="466"/>
      <c r="AZ3076" s="466"/>
      <c r="BA3076" s="466"/>
      <c r="BB3076" s="466"/>
      <c r="BC3076" s="466"/>
      <c r="BD3076" s="466"/>
      <c r="BE3076" s="467"/>
      <c r="BF3076" s="467"/>
      <c r="BG3076" s="466"/>
      <c r="BH3076" s="466"/>
      <c r="BI3076" s="467"/>
      <c r="BJ3076" s="467"/>
      <c r="BK3076" s="467"/>
      <c r="BL3076" s="467"/>
      <c r="BM3076" s="467"/>
      <c r="BN3076" s="467"/>
      <c r="BO3076" s="467"/>
      <c r="BP3076" s="467"/>
      <c r="BQ3076" s="467"/>
      <c r="BR3076" s="467"/>
      <c r="BS3076" s="467"/>
      <c r="BT3076" s="467"/>
      <c r="BU3076" s="467"/>
      <c r="BV3076" s="467"/>
      <c r="BW3076" s="467"/>
      <c r="BX3076" s="769"/>
      <c r="BY3076" s="769"/>
      <c r="BZ3076" s="769"/>
      <c r="CA3076" s="769"/>
      <c r="CB3076" s="769"/>
      <c r="CC3076" s="769"/>
      <c r="CD3076" s="769"/>
      <c r="CE3076" s="769"/>
      <c r="CF3076" s="769"/>
      <c r="CG3076" s="73"/>
      <c r="CH3076" s="438"/>
      <c r="CI3076" s="416"/>
      <c r="CJ3076" s="73"/>
      <c r="CK3076" s="650"/>
      <c r="CL3076" s="499"/>
      <c r="CM3076" s="650"/>
      <c r="CR3076" s="416"/>
      <c r="CS3076" s="650"/>
      <c r="CU3076" s="73"/>
      <c r="CV3076" s="73"/>
      <c r="CW3076" s="73"/>
      <c r="CX3076" s="73"/>
      <c r="DA3076" s="650"/>
    </row>
    <row r="3077" spans="1:105" s="45" customFormat="1" x14ac:dyDescent="0.2">
      <c r="A3077" s="650"/>
      <c r="B3077" s="438"/>
      <c r="D3077" s="73"/>
      <c r="E3077" s="650"/>
      <c r="F3077" s="650"/>
      <c r="G3077" s="73"/>
      <c r="I3077" s="111"/>
      <c r="J3077" s="81"/>
      <c r="K3077" s="81"/>
      <c r="L3077" s="499"/>
      <c r="M3077" s="73"/>
      <c r="N3077" s="499"/>
      <c r="O3077" s="73"/>
      <c r="P3077" s="73"/>
      <c r="Q3077" s="73"/>
      <c r="R3077" s="176"/>
      <c r="S3077" s="176"/>
      <c r="T3077" s="176"/>
      <c r="U3077" s="400"/>
      <c r="V3077" s="400"/>
      <c r="W3077" s="732"/>
      <c r="X3077" s="167"/>
      <c r="Y3077" s="509"/>
      <c r="Z3077" s="466"/>
      <c r="AA3077" s="466"/>
      <c r="AB3077" s="466"/>
      <c r="AC3077" s="466"/>
      <c r="AD3077" s="466"/>
      <c r="AE3077" s="466"/>
      <c r="AF3077" s="466"/>
      <c r="AG3077" s="466"/>
      <c r="AH3077" s="466"/>
      <c r="AI3077" s="466"/>
      <c r="AJ3077" s="466"/>
      <c r="AK3077" s="466"/>
      <c r="AL3077" s="466"/>
      <c r="AM3077" s="466"/>
      <c r="AN3077" s="466"/>
      <c r="AO3077" s="466"/>
      <c r="AP3077" s="466"/>
      <c r="AQ3077" s="466"/>
      <c r="AR3077" s="466"/>
      <c r="AS3077" s="466"/>
      <c r="AT3077" s="466"/>
      <c r="AU3077" s="466"/>
      <c r="AV3077" s="466"/>
      <c r="AW3077" s="466"/>
      <c r="AX3077" s="466"/>
      <c r="AY3077" s="466"/>
      <c r="AZ3077" s="466"/>
      <c r="BA3077" s="466"/>
      <c r="BB3077" s="466"/>
      <c r="BC3077" s="466"/>
      <c r="BD3077" s="466"/>
      <c r="BE3077" s="467"/>
      <c r="BF3077" s="467"/>
      <c r="BG3077" s="466"/>
      <c r="BH3077" s="466"/>
      <c r="BI3077" s="467"/>
      <c r="BJ3077" s="467"/>
      <c r="BK3077" s="467"/>
      <c r="BL3077" s="467"/>
      <c r="BM3077" s="467"/>
      <c r="BN3077" s="467"/>
      <c r="BO3077" s="467"/>
      <c r="BP3077" s="467"/>
      <c r="BQ3077" s="467"/>
      <c r="BR3077" s="467"/>
      <c r="BS3077" s="467"/>
      <c r="BT3077" s="467"/>
      <c r="BU3077" s="467"/>
      <c r="BV3077" s="467"/>
      <c r="BW3077" s="467"/>
      <c r="BX3077" s="769"/>
      <c r="BY3077" s="769"/>
      <c r="BZ3077" s="769"/>
      <c r="CA3077" s="769"/>
      <c r="CB3077" s="769"/>
      <c r="CC3077" s="769"/>
      <c r="CD3077" s="769"/>
      <c r="CE3077" s="769"/>
      <c r="CF3077" s="769"/>
      <c r="CG3077" s="73"/>
      <c r="CH3077" s="438"/>
      <c r="CI3077" s="416"/>
      <c r="CJ3077" s="73"/>
      <c r="CK3077" s="650"/>
      <c r="CL3077" s="499"/>
      <c r="CM3077" s="650"/>
      <c r="CR3077" s="416"/>
      <c r="CS3077" s="650"/>
      <c r="CU3077" s="73"/>
      <c r="CV3077" s="73"/>
      <c r="CW3077" s="73"/>
      <c r="CX3077" s="73"/>
      <c r="DA3077" s="650"/>
    </row>
    <row r="3078" spans="1:105" s="45" customFormat="1" x14ac:dyDescent="0.2">
      <c r="A3078" s="650"/>
      <c r="B3078" s="438"/>
      <c r="D3078" s="73"/>
      <c r="E3078" s="650"/>
      <c r="F3078" s="650"/>
      <c r="G3078" s="73"/>
      <c r="I3078" s="111"/>
      <c r="J3078" s="81"/>
      <c r="K3078" s="81"/>
      <c r="L3078" s="499"/>
      <c r="M3078" s="73"/>
      <c r="N3078" s="499"/>
      <c r="O3078" s="73"/>
      <c r="P3078" s="73"/>
      <c r="Q3078" s="73"/>
      <c r="R3078" s="176"/>
      <c r="S3078" s="176"/>
      <c r="T3078" s="176"/>
      <c r="U3078" s="400"/>
      <c r="V3078" s="400"/>
      <c r="W3078" s="732"/>
      <c r="X3078" s="167"/>
      <c r="Y3078" s="509"/>
      <c r="Z3078" s="466"/>
      <c r="AA3078" s="466"/>
      <c r="AB3078" s="466"/>
      <c r="AC3078" s="466"/>
      <c r="AD3078" s="466"/>
      <c r="AE3078" s="466"/>
      <c r="AF3078" s="466"/>
      <c r="AG3078" s="466"/>
      <c r="AH3078" s="466"/>
      <c r="AI3078" s="466"/>
      <c r="AJ3078" s="466"/>
      <c r="AK3078" s="466"/>
      <c r="AL3078" s="466"/>
      <c r="AM3078" s="466"/>
      <c r="AN3078" s="466"/>
      <c r="AO3078" s="466"/>
      <c r="AP3078" s="466"/>
      <c r="AQ3078" s="466"/>
      <c r="AR3078" s="466"/>
      <c r="AS3078" s="466"/>
      <c r="AT3078" s="466"/>
      <c r="AU3078" s="466"/>
      <c r="AV3078" s="466"/>
      <c r="AW3078" s="466"/>
      <c r="AX3078" s="466"/>
      <c r="AY3078" s="466"/>
      <c r="AZ3078" s="466"/>
      <c r="BA3078" s="466"/>
      <c r="BB3078" s="466"/>
      <c r="BC3078" s="466"/>
      <c r="BD3078" s="466"/>
      <c r="BE3078" s="467"/>
      <c r="BF3078" s="467"/>
      <c r="BG3078" s="466"/>
      <c r="BH3078" s="466"/>
      <c r="BI3078" s="467"/>
      <c r="BJ3078" s="467"/>
      <c r="BK3078" s="467"/>
      <c r="BL3078" s="467"/>
      <c r="BM3078" s="467"/>
      <c r="BN3078" s="467"/>
      <c r="BO3078" s="467"/>
      <c r="BP3078" s="467"/>
      <c r="BQ3078" s="467"/>
      <c r="BR3078" s="467"/>
      <c r="BS3078" s="467"/>
      <c r="BT3078" s="467"/>
      <c r="BU3078" s="467"/>
      <c r="BV3078" s="467"/>
      <c r="BW3078" s="467"/>
      <c r="BX3078" s="769"/>
      <c r="BY3078" s="769"/>
      <c r="BZ3078" s="769"/>
      <c r="CA3078" s="769"/>
      <c r="CB3078" s="769"/>
      <c r="CC3078" s="769"/>
      <c r="CD3078" s="769"/>
      <c r="CE3078" s="769"/>
      <c r="CF3078" s="769"/>
      <c r="CG3078" s="73"/>
      <c r="CH3078" s="438"/>
      <c r="CI3078" s="416"/>
      <c r="CJ3078" s="73"/>
      <c r="CK3078" s="650"/>
      <c r="CL3078" s="499"/>
      <c r="CM3078" s="650"/>
      <c r="CR3078" s="416"/>
      <c r="CS3078" s="650"/>
      <c r="CU3078" s="73"/>
      <c r="CV3078" s="73"/>
      <c r="CW3078" s="73"/>
      <c r="CX3078" s="73"/>
      <c r="DA3078" s="650"/>
    </row>
    <row r="3079" spans="1:105" s="45" customFormat="1" x14ac:dyDescent="0.2">
      <c r="A3079" s="650"/>
      <c r="B3079" s="438"/>
      <c r="D3079" s="73"/>
      <c r="E3079" s="650"/>
      <c r="F3079" s="650"/>
      <c r="G3079" s="73"/>
      <c r="I3079" s="111"/>
      <c r="J3079" s="81"/>
      <c r="K3079" s="81"/>
      <c r="L3079" s="499"/>
      <c r="M3079" s="73"/>
      <c r="N3079" s="499"/>
      <c r="O3079" s="73"/>
      <c r="P3079" s="73"/>
      <c r="Q3079" s="73"/>
      <c r="R3079" s="176"/>
      <c r="S3079" s="176"/>
      <c r="T3079" s="176"/>
      <c r="U3079" s="400"/>
      <c r="V3079" s="400"/>
      <c r="W3079" s="732"/>
      <c r="X3079" s="167"/>
      <c r="Y3079" s="509"/>
      <c r="Z3079" s="466"/>
      <c r="AA3079" s="466"/>
      <c r="AB3079" s="466"/>
      <c r="AC3079" s="466"/>
      <c r="AD3079" s="466"/>
      <c r="AE3079" s="466"/>
      <c r="AF3079" s="466"/>
      <c r="AG3079" s="466"/>
      <c r="AH3079" s="466"/>
      <c r="AI3079" s="466"/>
      <c r="AJ3079" s="466"/>
      <c r="AK3079" s="466"/>
      <c r="AL3079" s="466"/>
      <c r="AM3079" s="466"/>
      <c r="AN3079" s="466"/>
      <c r="AO3079" s="466"/>
      <c r="AP3079" s="466"/>
      <c r="AQ3079" s="466"/>
      <c r="AR3079" s="466"/>
      <c r="AS3079" s="466"/>
      <c r="AT3079" s="466"/>
      <c r="AU3079" s="466"/>
      <c r="AV3079" s="466"/>
      <c r="AW3079" s="466"/>
      <c r="AX3079" s="466"/>
      <c r="AY3079" s="466"/>
      <c r="AZ3079" s="466"/>
      <c r="BA3079" s="466"/>
      <c r="BB3079" s="466"/>
      <c r="BC3079" s="466"/>
      <c r="BD3079" s="466"/>
      <c r="BE3079" s="467"/>
      <c r="BF3079" s="467"/>
      <c r="BG3079" s="466"/>
      <c r="BH3079" s="466"/>
      <c r="BI3079" s="467"/>
      <c r="BJ3079" s="467"/>
      <c r="BK3079" s="467"/>
      <c r="BL3079" s="467"/>
      <c r="BM3079" s="467"/>
      <c r="BN3079" s="467"/>
      <c r="BO3079" s="467"/>
      <c r="BP3079" s="467"/>
      <c r="BQ3079" s="467"/>
      <c r="BR3079" s="467"/>
      <c r="BS3079" s="467"/>
      <c r="BT3079" s="467"/>
      <c r="BU3079" s="467"/>
      <c r="BV3079" s="467"/>
      <c r="BW3079" s="467"/>
      <c r="BX3079" s="769"/>
      <c r="BY3079" s="769"/>
      <c r="BZ3079" s="769"/>
      <c r="CA3079" s="769"/>
      <c r="CB3079" s="769"/>
      <c r="CC3079" s="769"/>
      <c r="CD3079" s="769"/>
      <c r="CE3079" s="769"/>
      <c r="CF3079" s="769"/>
      <c r="CG3079" s="73"/>
      <c r="CH3079" s="438"/>
      <c r="CI3079" s="416"/>
      <c r="CJ3079" s="73"/>
      <c r="CK3079" s="650"/>
      <c r="CL3079" s="499"/>
      <c r="CM3079" s="650"/>
      <c r="CR3079" s="416"/>
      <c r="CS3079" s="650"/>
      <c r="CU3079" s="73"/>
      <c r="CV3079" s="73"/>
      <c r="CW3079" s="73"/>
      <c r="CX3079" s="73"/>
      <c r="DA3079" s="650"/>
    </row>
    <row r="3080" spans="1:105" s="45" customFormat="1" x14ac:dyDescent="0.2">
      <c r="A3080" s="650"/>
      <c r="B3080" s="438"/>
      <c r="D3080" s="73"/>
      <c r="E3080" s="650"/>
      <c r="F3080" s="650"/>
      <c r="G3080" s="73"/>
      <c r="I3080" s="111"/>
      <c r="J3080" s="81"/>
      <c r="K3080" s="81"/>
      <c r="L3080" s="499"/>
      <c r="M3080" s="73"/>
      <c r="N3080" s="499"/>
      <c r="O3080" s="73"/>
      <c r="P3080" s="73"/>
      <c r="Q3080" s="73"/>
      <c r="R3080" s="176"/>
      <c r="S3080" s="176"/>
      <c r="T3080" s="176"/>
      <c r="U3080" s="400"/>
      <c r="V3080" s="400"/>
      <c r="W3080" s="732"/>
      <c r="X3080" s="167"/>
      <c r="Y3080" s="509"/>
      <c r="Z3080" s="466"/>
      <c r="AA3080" s="466"/>
      <c r="AB3080" s="466"/>
      <c r="AC3080" s="466"/>
      <c r="AD3080" s="466"/>
      <c r="AE3080" s="466"/>
      <c r="AF3080" s="466"/>
      <c r="AG3080" s="466"/>
      <c r="AH3080" s="466"/>
      <c r="AI3080" s="466"/>
      <c r="AJ3080" s="466"/>
      <c r="AK3080" s="466"/>
      <c r="AL3080" s="466"/>
      <c r="AM3080" s="466"/>
      <c r="AN3080" s="466"/>
      <c r="AO3080" s="466"/>
      <c r="AP3080" s="466"/>
      <c r="AQ3080" s="466"/>
      <c r="AR3080" s="466"/>
      <c r="AS3080" s="466"/>
      <c r="AT3080" s="466"/>
      <c r="AU3080" s="466"/>
      <c r="AV3080" s="466"/>
      <c r="AW3080" s="466"/>
      <c r="AX3080" s="466"/>
      <c r="AY3080" s="466"/>
      <c r="AZ3080" s="466"/>
      <c r="BA3080" s="466"/>
      <c r="BB3080" s="466"/>
      <c r="BC3080" s="466"/>
      <c r="BD3080" s="466"/>
      <c r="BE3080" s="467"/>
      <c r="BF3080" s="467"/>
      <c r="BG3080" s="466"/>
      <c r="BH3080" s="466"/>
      <c r="BI3080" s="467"/>
      <c r="BJ3080" s="467"/>
      <c r="BK3080" s="467"/>
      <c r="BL3080" s="467"/>
      <c r="BM3080" s="467"/>
      <c r="BN3080" s="467"/>
      <c r="BO3080" s="467"/>
      <c r="BP3080" s="467"/>
      <c r="BQ3080" s="467"/>
      <c r="BR3080" s="467"/>
      <c r="BS3080" s="467"/>
      <c r="BT3080" s="467"/>
      <c r="BU3080" s="467"/>
      <c r="BV3080" s="467"/>
      <c r="BW3080" s="467"/>
      <c r="BX3080" s="769"/>
      <c r="BY3080" s="769"/>
      <c r="BZ3080" s="769"/>
      <c r="CA3080" s="769"/>
      <c r="CB3080" s="769"/>
      <c r="CC3080" s="769"/>
      <c r="CD3080" s="769"/>
      <c r="CE3080" s="769"/>
      <c r="CF3080" s="769"/>
      <c r="CG3080" s="73"/>
      <c r="CH3080" s="438"/>
      <c r="CI3080" s="416"/>
      <c r="CJ3080" s="73"/>
      <c r="CK3080" s="650"/>
      <c r="CL3080" s="499"/>
      <c r="CM3080" s="650"/>
      <c r="CR3080" s="416"/>
      <c r="CS3080" s="650"/>
      <c r="CU3080" s="73"/>
      <c r="CV3080" s="73"/>
      <c r="CW3080" s="73"/>
      <c r="CX3080" s="73"/>
      <c r="DA3080" s="650"/>
    </row>
    <row r="3081" spans="1:105" s="45" customFormat="1" x14ac:dyDescent="0.2">
      <c r="A3081" s="650"/>
      <c r="B3081" s="438"/>
      <c r="D3081" s="73"/>
      <c r="E3081" s="650"/>
      <c r="F3081" s="650"/>
      <c r="G3081" s="73"/>
      <c r="I3081" s="111"/>
      <c r="J3081" s="81"/>
      <c r="K3081" s="81"/>
      <c r="L3081" s="499"/>
      <c r="M3081" s="73"/>
      <c r="N3081" s="499"/>
      <c r="O3081" s="73"/>
      <c r="P3081" s="73"/>
      <c r="Q3081" s="73"/>
      <c r="R3081" s="176"/>
      <c r="S3081" s="176"/>
      <c r="T3081" s="176"/>
      <c r="U3081" s="400"/>
      <c r="V3081" s="400"/>
      <c r="W3081" s="732"/>
      <c r="X3081" s="167"/>
      <c r="Y3081" s="509"/>
      <c r="Z3081" s="466"/>
      <c r="AA3081" s="466"/>
      <c r="AB3081" s="466"/>
      <c r="AC3081" s="466"/>
      <c r="AD3081" s="466"/>
      <c r="AE3081" s="466"/>
      <c r="AF3081" s="466"/>
      <c r="AG3081" s="466"/>
      <c r="AH3081" s="466"/>
      <c r="AI3081" s="466"/>
      <c r="AJ3081" s="466"/>
      <c r="AK3081" s="466"/>
      <c r="AL3081" s="466"/>
      <c r="AM3081" s="466"/>
      <c r="AN3081" s="466"/>
      <c r="AO3081" s="466"/>
      <c r="AP3081" s="466"/>
      <c r="AQ3081" s="466"/>
      <c r="AR3081" s="466"/>
      <c r="AS3081" s="466"/>
      <c r="AT3081" s="466"/>
      <c r="AU3081" s="466"/>
      <c r="AV3081" s="466"/>
      <c r="AW3081" s="466"/>
      <c r="AX3081" s="466"/>
      <c r="AY3081" s="466"/>
      <c r="AZ3081" s="466"/>
      <c r="BA3081" s="466"/>
      <c r="BB3081" s="466"/>
      <c r="BC3081" s="466"/>
      <c r="BD3081" s="466"/>
      <c r="BE3081" s="467"/>
      <c r="BF3081" s="467"/>
      <c r="BG3081" s="466"/>
      <c r="BH3081" s="466"/>
      <c r="BI3081" s="467"/>
      <c r="BJ3081" s="467"/>
      <c r="BK3081" s="467"/>
      <c r="BL3081" s="467"/>
      <c r="BM3081" s="467"/>
      <c r="BN3081" s="467"/>
      <c r="BO3081" s="467"/>
      <c r="BP3081" s="467"/>
      <c r="BQ3081" s="467"/>
      <c r="BR3081" s="467"/>
      <c r="BS3081" s="467"/>
      <c r="BT3081" s="467"/>
      <c r="BU3081" s="467"/>
      <c r="BV3081" s="467"/>
      <c r="BW3081" s="467"/>
      <c r="BX3081" s="769"/>
      <c r="BY3081" s="769"/>
      <c r="BZ3081" s="769"/>
      <c r="CA3081" s="769"/>
      <c r="CB3081" s="769"/>
      <c r="CC3081" s="769"/>
      <c r="CD3081" s="769"/>
      <c r="CE3081" s="769"/>
      <c r="CF3081" s="769"/>
      <c r="CG3081" s="73"/>
      <c r="CH3081" s="438"/>
      <c r="CI3081" s="416"/>
      <c r="CJ3081" s="73"/>
      <c r="CK3081" s="650"/>
      <c r="CL3081" s="499"/>
      <c r="CM3081" s="650"/>
      <c r="CR3081" s="416"/>
      <c r="CS3081" s="650"/>
      <c r="CU3081" s="73"/>
      <c r="CV3081" s="73"/>
      <c r="CW3081" s="73"/>
      <c r="CX3081" s="73"/>
      <c r="DA3081" s="650"/>
    </row>
    <row r="3082" spans="1:105" s="45" customFormat="1" x14ac:dyDescent="0.2">
      <c r="A3082" s="650"/>
      <c r="B3082" s="438"/>
      <c r="D3082" s="73"/>
      <c r="E3082" s="650"/>
      <c r="F3082" s="650"/>
      <c r="G3082" s="73"/>
      <c r="I3082" s="111"/>
      <c r="J3082" s="81"/>
      <c r="K3082" s="81"/>
      <c r="L3082" s="499"/>
      <c r="M3082" s="73"/>
      <c r="N3082" s="499"/>
      <c r="O3082" s="73"/>
      <c r="P3082" s="73"/>
      <c r="Q3082" s="73"/>
      <c r="R3082" s="176"/>
      <c r="S3082" s="176"/>
      <c r="T3082" s="176"/>
      <c r="U3082" s="400"/>
      <c r="V3082" s="400"/>
      <c r="W3082" s="732"/>
      <c r="X3082" s="167"/>
      <c r="Y3082" s="509"/>
      <c r="Z3082" s="466"/>
      <c r="AA3082" s="466"/>
      <c r="AB3082" s="466"/>
      <c r="AC3082" s="466"/>
      <c r="AD3082" s="466"/>
      <c r="AE3082" s="466"/>
      <c r="AF3082" s="466"/>
      <c r="AG3082" s="466"/>
      <c r="AH3082" s="466"/>
      <c r="AI3082" s="466"/>
      <c r="AJ3082" s="466"/>
      <c r="AK3082" s="466"/>
      <c r="AL3082" s="466"/>
      <c r="AM3082" s="466"/>
      <c r="AN3082" s="466"/>
      <c r="AO3082" s="466"/>
      <c r="AP3082" s="466"/>
      <c r="AQ3082" s="466"/>
      <c r="AR3082" s="466"/>
      <c r="AS3082" s="466"/>
      <c r="AT3082" s="466"/>
      <c r="AU3082" s="466"/>
      <c r="AV3082" s="466"/>
      <c r="AW3082" s="466"/>
      <c r="AX3082" s="466"/>
      <c r="AY3082" s="466"/>
      <c r="AZ3082" s="466"/>
      <c r="BA3082" s="466"/>
      <c r="BB3082" s="466"/>
      <c r="BC3082" s="466"/>
      <c r="BD3082" s="466"/>
      <c r="BE3082" s="467"/>
      <c r="BF3082" s="467"/>
      <c r="BG3082" s="466"/>
      <c r="BH3082" s="466"/>
      <c r="BI3082" s="467"/>
      <c r="BJ3082" s="467"/>
      <c r="BK3082" s="467"/>
      <c r="BL3082" s="467"/>
      <c r="BM3082" s="467"/>
      <c r="BN3082" s="467"/>
      <c r="BO3082" s="467"/>
      <c r="BP3082" s="467"/>
      <c r="BQ3082" s="467"/>
      <c r="BR3082" s="467"/>
      <c r="BS3082" s="467"/>
      <c r="BT3082" s="467"/>
      <c r="BU3082" s="467"/>
      <c r="BV3082" s="467"/>
      <c r="BW3082" s="467"/>
      <c r="BX3082" s="769"/>
      <c r="BY3082" s="769"/>
      <c r="BZ3082" s="769"/>
      <c r="CA3082" s="769"/>
      <c r="CB3082" s="769"/>
      <c r="CC3082" s="769"/>
      <c r="CD3082" s="769"/>
      <c r="CE3082" s="769"/>
      <c r="CF3082" s="769"/>
      <c r="CG3082" s="73"/>
      <c r="CH3082" s="438"/>
      <c r="CI3082" s="416"/>
      <c r="CJ3082" s="73"/>
      <c r="CK3082" s="650"/>
      <c r="CL3082" s="499"/>
      <c r="CM3082" s="650"/>
      <c r="CR3082" s="416"/>
      <c r="CS3082" s="650"/>
      <c r="CU3082" s="73"/>
      <c r="CV3082" s="73"/>
      <c r="CW3082" s="73"/>
      <c r="CX3082" s="73"/>
      <c r="DA3082" s="650"/>
    </row>
    <row r="3083" spans="1:105" s="45" customFormat="1" x14ac:dyDescent="0.2">
      <c r="A3083" s="650"/>
      <c r="B3083" s="438"/>
      <c r="D3083" s="73"/>
      <c r="E3083" s="650"/>
      <c r="F3083" s="650"/>
      <c r="G3083" s="73"/>
      <c r="I3083" s="111"/>
      <c r="J3083" s="81"/>
      <c r="K3083" s="81"/>
      <c r="L3083" s="499"/>
      <c r="M3083" s="73"/>
      <c r="N3083" s="499"/>
      <c r="O3083" s="73"/>
      <c r="P3083" s="73"/>
      <c r="Q3083" s="73"/>
      <c r="R3083" s="176"/>
      <c r="S3083" s="176"/>
      <c r="T3083" s="176"/>
      <c r="U3083" s="400"/>
      <c r="V3083" s="400"/>
      <c r="W3083" s="732"/>
      <c r="X3083" s="167"/>
      <c r="Y3083" s="509"/>
      <c r="Z3083" s="466"/>
      <c r="AA3083" s="466"/>
      <c r="AB3083" s="466"/>
      <c r="AC3083" s="466"/>
      <c r="AD3083" s="466"/>
      <c r="AE3083" s="466"/>
      <c r="AF3083" s="466"/>
      <c r="AG3083" s="466"/>
      <c r="AH3083" s="466"/>
      <c r="AI3083" s="466"/>
      <c r="AJ3083" s="466"/>
      <c r="AK3083" s="466"/>
      <c r="AL3083" s="466"/>
      <c r="AM3083" s="466"/>
      <c r="AN3083" s="466"/>
      <c r="AO3083" s="466"/>
      <c r="AP3083" s="466"/>
      <c r="AQ3083" s="466"/>
      <c r="AR3083" s="466"/>
      <c r="AS3083" s="466"/>
      <c r="AT3083" s="466"/>
      <c r="AU3083" s="466"/>
      <c r="AV3083" s="466"/>
      <c r="AW3083" s="466"/>
      <c r="AX3083" s="466"/>
      <c r="AY3083" s="466"/>
      <c r="AZ3083" s="466"/>
      <c r="BA3083" s="466"/>
      <c r="BB3083" s="466"/>
      <c r="BC3083" s="466"/>
      <c r="BD3083" s="466"/>
      <c r="BE3083" s="467"/>
      <c r="BF3083" s="467"/>
      <c r="BG3083" s="466"/>
      <c r="BH3083" s="466"/>
      <c r="BI3083" s="467"/>
      <c r="BJ3083" s="467"/>
      <c r="BK3083" s="467"/>
      <c r="BL3083" s="467"/>
      <c r="BM3083" s="467"/>
      <c r="BN3083" s="467"/>
      <c r="BO3083" s="467"/>
      <c r="BP3083" s="467"/>
      <c r="BQ3083" s="467"/>
      <c r="BR3083" s="467"/>
      <c r="BS3083" s="467"/>
      <c r="BT3083" s="467"/>
      <c r="BU3083" s="467"/>
      <c r="BV3083" s="467"/>
      <c r="BW3083" s="467"/>
      <c r="BX3083" s="769"/>
      <c r="BY3083" s="769"/>
      <c r="BZ3083" s="769"/>
      <c r="CA3083" s="769"/>
      <c r="CB3083" s="769"/>
      <c r="CC3083" s="769"/>
      <c r="CD3083" s="769"/>
      <c r="CE3083" s="769"/>
      <c r="CF3083" s="769"/>
      <c r="CG3083" s="73"/>
      <c r="CH3083" s="438"/>
      <c r="CI3083" s="416"/>
      <c r="CJ3083" s="73"/>
      <c r="CK3083" s="650"/>
      <c r="CL3083" s="499"/>
      <c r="CM3083" s="650"/>
      <c r="CR3083" s="416"/>
      <c r="CS3083" s="650"/>
      <c r="CU3083" s="73"/>
      <c r="CV3083" s="73"/>
      <c r="CW3083" s="73"/>
      <c r="CX3083" s="73"/>
      <c r="DA3083" s="650"/>
    </row>
    <row r="3084" spans="1:105" s="45" customFormat="1" x14ac:dyDescent="0.2">
      <c r="A3084" s="650"/>
      <c r="B3084" s="438"/>
      <c r="D3084" s="73"/>
      <c r="E3084" s="650"/>
      <c r="F3084" s="650"/>
      <c r="G3084" s="73"/>
      <c r="I3084" s="111"/>
      <c r="J3084" s="81"/>
      <c r="K3084" s="81"/>
      <c r="L3084" s="499"/>
      <c r="M3084" s="73"/>
      <c r="N3084" s="499"/>
      <c r="O3084" s="73"/>
      <c r="P3084" s="73"/>
      <c r="Q3084" s="73"/>
      <c r="R3084" s="176"/>
      <c r="S3084" s="176"/>
      <c r="T3084" s="176"/>
      <c r="U3084" s="400"/>
      <c r="V3084" s="400"/>
      <c r="W3084" s="732"/>
      <c r="X3084" s="167"/>
      <c r="Y3084" s="509"/>
      <c r="Z3084" s="466"/>
      <c r="AA3084" s="466"/>
      <c r="AB3084" s="466"/>
      <c r="AC3084" s="466"/>
      <c r="AD3084" s="466"/>
      <c r="AE3084" s="466"/>
      <c r="AF3084" s="466"/>
      <c r="AG3084" s="466"/>
      <c r="AH3084" s="466"/>
      <c r="AI3084" s="466"/>
      <c r="AJ3084" s="466"/>
      <c r="AK3084" s="466"/>
      <c r="AL3084" s="466"/>
      <c r="AM3084" s="466"/>
      <c r="AN3084" s="466"/>
      <c r="AO3084" s="466"/>
      <c r="AP3084" s="466"/>
      <c r="AQ3084" s="466"/>
      <c r="AR3084" s="466"/>
      <c r="AS3084" s="466"/>
      <c r="AT3084" s="466"/>
      <c r="AU3084" s="466"/>
      <c r="AV3084" s="466"/>
      <c r="AW3084" s="466"/>
      <c r="AX3084" s="466"/>
      <c r="AY3084" s="466"/>
      <c r="AZ3084" s="466"/>
      <c r="BA3084" s="466"/>
      <c r="BB3084" s="466"/>
      <c r="BC3084" s="466"/>
      <c r="BD3084" s="466"/>
      <c r="BE3084" s="467"/>
      <c r="BF3084" s="467"/>
      <c r="BG3084" s="466"/>
      <c r="BH3084" s="466"/>
      <c r="BI3084" s="467"/>
      <c r="BJ3084" s="467"/>
      <c r="BK3084" s="467"/>
      <c r="BL3084" s="467"/>
      <c r="BM3084" s="467"/>
      <c r="BN3084" s="467"/>
      <c r="BO3084" s="467"/>
      <c r="BP3084" s="467"/>
      <c r="BQ3084" s="467"/>
      <c r="BR3084" s="467"/>
      <c r="BS3084" s="467"/>
      <c r="BT3084" s="467"/>
      <c r="BU3084" s="467"/>
      <c r="BV3084" s="467"/>
      <c r="BW3084" s="467"/>
      <c r="BX3084" s="769"/>
      <c r="BY3084" s="769"/>
      <c r="BZ3084" s="769"/>
      <c r="CA3084" s="769"/>
      <c r="CB3084" s="769"/>
      <c r="CC3084" s="769"/>
      <c r="CD3084" s="769"/>
      <c r="CE3084" s="769"/>
      <c r="CF3084" s="769"/>
      <c r="CG3084" s="73"/>
      <c r="CH3084" s="438"/>
      <c r="CI3084" s="416"/>
      <c r="CJ3084" s="73"/>
      <c r="CK3084" s="650"/>
      <c r="CL3084" s="499"/>
      <c r="CM3084" s="650"/>
      <c r="CR3084" s="416"/>
      <c r="CS3084" s="650"/>
      <c r="CU3084" s="73"/>
      <c r="CV3084" s="73"/>
      <c r="CW3084" s="73"/>
      <c r="CX3084" s="73"/>
      <c r="DA3084" s="650"/>
    </row>
    <row r="3085" spans="1:105" s="45" customFormat="1" x14ac:dyDescent="0.2">
      <c r="A3085" s="650"/>
      <c r="B3085" s="438"/>
      <c r="D3085" s="73"/>
      <c r="E3085" s="650"/>
      <c r="F3085" s="650"/>
      <c r="G3085" s="73"/>
      <c r="I3085" s="111"/>
      <c r="J3085" s="81"/>
      <c r="K3085" s="81"/>
      <c r="L3085" s="499"/>
      <c r="M3085" s="73"/>
      <c r="N3085" s="499"/>
      <c r="O3085" s="73"/>
      <c r="P3085" s="73"/>
      <c r="Q3085" s="73"/>
      <c r="R3085" s="176"/>
      <c r="S3085" s="176"/>
      <c r="T3085" s="176"/>
      <c r="U3085" s="400"/>
      <c r="V3085" s="400"/>
      <c r="W3085" s="732"/>
      <c r="X3085" s="167"/>
      <c r="Y3085" s="509"/>
      <c r="Z3085" s="466"/>
      <c r="AA3085" s="466"/>
      <c r="AB3085" s="466"/>
      <c r="AC3085" s="466"/>
      <c r="AD3085" s="466"/>
      <c r="AE3085" s="466"/>
      <c r="AF3085" s="466"/>
      <c r="AG3085" s="466"/>
      <c r="AH3085" s="466"/>
      <c r="AI3085" s="466"/>
      <c r="AJ3085" s="466"/>
      <c r="AK3085" s="466"/>
      <c r="AL3085" s="466"/>
      <c r="AM3085" s="466"/>
      <c r="AN3085" s="466"/>
      <c r="AO3085" s="466"/>
      <c r="AP3085" s="466"/>
      <c r="AQ3085" s="466"/>
      <c r="AR3085" s="466"/>
      <c r="AS3085" s="466"/>
      <c r="AT3085" s="466"/>
      <c r="AU3085" s="466"/>
      <c r="AV3085" s="466"/>
      <c r="AW3085" s="466"/>
      <c r="AX3085" s="466"/>
      <c r="AY3085" s="466"/>
      <c r="AZ3085" s="466"/>
      <c r="BA3085" s="466"/>
      <c r="BB3085" s="466"/>
      <c r="BC3085" s="466"/>
      <c r="BD3085" s="466"/>
      <c r="BE3085" s="467"/>
      <c r="BF3085" s="467"/>
      <c r="BG3085" s="466"/>
      <c r="BH3085" s="466"/>
      <c r="BI3085" s="467"/>
      <c r="BJ3085" s="467"/>
      <c r="BK3085" s="467"/>
      <c r="BL3085" s="467"/>
      <c r="BM3085" s="467"/>
      <c r="BN3085" s="467"/>
      <c r="BO3085" s="467"/>
      <c r="BP3085" s="467"/>
      <c r="BQ3085" s="467"/>
      <c r="BR3085" s="467"/>
      <c r="BS3085" s="467"/>
      <c r="BT3085" s="467"/>
      <c r="BU3085" s="467"/>
      <c r="BV3085" s="467"/>
      <c r="BW3085" s="467"/>
      <c r="BX3085" s="769"/>
      <c r="BY3085" s="769"/>
      <c r="BZ3085" s="769"/>
      <c r="CA3085" s="769"/>
      <c r="CB3085" s="769"/>
      <c r="CC3085" s="769"/>
      <c r="CD3085" s="769"/>
      <c r="CE3085" s="769"/>
      <c r="CF3085" s="769"/>
      <c r="CG3085" s="73"/>
      <c r="CH3085" s="438"/>
      <c r="CI3085" s="416"/>
      <c r="CJ3085" s="73"/>
      <c r="CK3085" s="650"/>
      <c r="CL3085" s="499"/>
      <c r="CM3085" s="650"/>
      <c r="CR3085" s="416"/>
      <c r="CS3085" s="650"/>
      <c r="CU3085" s="73"/>
      <c r="CV3085" s="73"/>
      <c r="CW3085" s="73"/>
      <c r="CX3085" s="73"/>
      <c r="DA3085" s="650"/>
    </row>
    <row r="3086" spans="1:105" s="45" customFormat="1" x14ac:dyDescent="0.2">
      <c r="A3086" s="650"/>
      <c r="B3086" s="438"/>
      <c r="D3086" s="73"/>
      <c r="E3086" s="650"/>
      <c r="F3086" s="650"/>
      <c r="G3086" s="73"/>
      <c r="I3086" s="111"/>
      <c r="J3086" s="81"/>
      <c r="K3086" s="81"/>
      <c r="L3086" s="499"/>
      <c r="M3086" s="73"/>
      <c r="N3086" s="499"/>
      <c r="O3086" s="73"/>
      <c r="P3086" s="73"/>
      <c r="Q3086" s="73"/>
      <c r="R3086" s="176"/>
      <c r="S3086" s="176"/>
      <c r="T3086" s="176"/>
      <c r="U3086" s="400"/>
      <c r="V3086" s="400"/>
      <c r="W3086" s="732"/>
      <c r="X3086" s="167"/>
      <c r="Y3086" s="509"/>
      <c r="Z3086" s="466"/>
      <c r="AA3086" s="466"/>
      <c r="AB3086" s="466"/>
      <c r="AC3086" s="466"/>
      <c r="AD3086" s="466"/>
      <c r="AE3086" s="466"/>
      <c r="AF3086" s="466"/>
      <c r="AG3086" s="466"/>
      <c r="AH3086" s="466"/>
      <c r="AI3086" s="466"/>
      <c r="AJ3086" s="466"/>
      <c r="AK3086" s="466"/>
      <c r="AL3086" s="466"/>
      <c r="AM3086" s="466"/>
      <c r="AN3086" s="466"/>
      <c r="AO3086" s="466"/>
      <c r="AP3086" s="466"/>
      <c r="AQ3086" s="466"/>
      <c r="AR3086" s="466"/>
      <c r="AS3086" s="466"/>
      <c r="AT3086" s="466"/>
      <c r="AU3086" s="466"/>
      <c r="AV3086" s="466"/>
      <c r="AW3086" s="466"/>
      <c r="AX3086" s="466"/>
      <c r="AY3086" s="466"/>
      <c r="AZ3086" s="466"/>
      <c r="BA3086" s="466"/>
      <c r="BB3086" s="466"/>
      <c r="BC3086" s="466"/>
      <c r="BD3086" s="466"/>
      <c r="BE3086" s="467"/>
      <c r="BF3086" s="467"/>
      <c r="BG3086" s="466"/>
      <c r="BH3086" s="466"/>
      <c r="BI3086" s="467"/>
      <c r="BJ3086" s="467"/>
      <c r="BK3086" s="467"/>
      <c r="BL3086" s="467"/>
      <c r="BM3086" s="467"/>
      <c r="BN3086" s="467"/>
      <c r="BO3086" s="467"/>
      <c r="BP3086" s="467"/>
      <c r="BQ3086" s="467"/>
      <c r="BR3086" s="467"/>
      <c r="BS3086" s="467"/>
      <c r="BT3086" s="467"/>
      <c r="BU3086" s="467"/>
      <c r="BV3086" s="467"/>
      <c r="BW3086" s="467"/>
      <c r="BX3086" s="769"/>
      <c r="BY3086" s="769"/>
      <c r="BZ3086" s="769"/>
      <c r="CA3086" s="769"/>
      <c r="CB3086" s="769"/>
      <c r="CC3086" s="769"/>
      <c r="CD3086" s="769"/>
      <c r="CE3086" s="769"/>
      <c r="CF3086" s="769"/>
      <c r="CG3086" s="73"/>
      <c r="CH3086" s="438"/>
      <c r="CI3086" s="416"/>
      <c r="CJ3086" s="73"/>
      <c r="CK3086" s="650"/>
      <c r="CL3086" s="499"/>
      <c r="CM3086" s="650"/>
      <c r="CR3086" s="416"/>
      <c r="CS3086" s="650"/>
      <c r="CU3086" s="73"/>
      <c r="CV3086" s="73"/>
      <c r="CW3086" s="73"/>
      <c r="CX3086" s="73"/>
      <c r="DA3086" s="650"/>
    </row>
    <row r="3087" spans="1:105" s="45" customFormat="1" x14ac:dyDescent="0.2">
      <c r="A3087" s="650"/>
      <c r="B3087" s="438"/>
      <c r="D3087" s="73"/>
      <c r="E3087" s="650"/>
      <c r="F3087" s="650"/>
      <c r="G3087" s="73"/>
      <c r="I3087" s="111"/>
      <c r="J3087" s="81"/>
      <c r="K3087" s="81"/>
      <c r="L3087" s="499"/>
      <c r="M3087" s="73"/>
      <c r="N3087" s="499"/>
      <c r="O3087" s="73"/>
      <c r="P3087" s="73"/>
      <c r="Q3087" s="73"/>
      <c r="R3087" s="176"/>
      <c r="S3087" s="176"/>
      <c r="T3087" s="176"/>
      <c r="U3087" s="400"/>
      <c r="V3087" s="400"/>
      <c r="W3087" s="732"/>
      <c r="X3087" s="167"/>
      <c r="Y3087" s="509"/>
      <c r="Z3087" s="466"/>
      <c r="AA3087" s="466"/>
      <c r="AB3087" s="466"/>
      <c r="AC3087" s="466"/>
      <c r="AD3087" s="466"/>
      <c r="AE3087" s="466"/>
      <c r="AF3087" s="466"/>
      <c r="AG3087" s="466"/>
      <c r="AH3087" s="466"/>
      <c r="AI3087" s="466"/>
      <c r="AJ3087" s="466"/>
      <c r="AK3087" s="466"/>
      <c r="AL3087" s="466"/>
      <c r="AM3087" s="466"/>
      <c r="AN3087" s="466"/>
      <c r="AO3087" s="466"/>
      <c r="AP3087" s="466"/>
      <c r="AQ3087" s="466"/>
      <c r="AR3087" s="466"/>
      <c r="AS3087" s="466"/>
      <c r="AT3087" s="466"/>
      <c r="AU3087" s="466"/>
      <c r="AV3087" s="466"/>
      <c r="AW3087" s="466"/>
      <c r="AX3087" s="466"/>
      <c r="AY3087" s="466"/>
      <c r="AZ3087" s="466"/>
      <c r="BA3087" s="466"/>
      <c r="BB3087" s="466"/>
      <c r="BC3087" s="466"/>
      <c r="BD3087" s="466"/>
      <c r="BE3087" s="467"/>
      <c r="BF3087" s="467"/>
      <c r="BG3087" s="466"/>
      <c r="BH3087" s="466"/>
      <c r="BI3087" s="467"/>
      <c r="BJ3087" s="467"/>
      <c r="BK3087" s="467"/>
      <c r="BL3087" s="467"/>
      <c r="BM3087" s="467"/>
      <c r="BN3087" s="467"/>
      <c r="BO3087" s="467"/>
      <c r="BP3087" s="467"/>
      <c r="BQ3087" s="467"/>
      <c r="BR3087" s="467"/>
      <c r="BS3087" s="467"/>
      <c r="BT3087" s="467"/>
      <c r="BU3087" s="467"/>
      <c r="BV3087" s="467"/>
      <c r="BW3087" s="467"/>
      <c r="BX3087" s="769"/>
      <c r="BY3087" s="769"/>
      <c r="BZ3087" s="769"/>
      <c r="CA3087" s="769"/>
      <c r="CB3087" s="769"/>
      <c r="CC3087" s="769"/>
      <c r="CD3087" s="769"/>
      <c r="CE3087" s="769"/>
      <c r="CF3087" s="769"/>
      <c r="CG3087" s="73"/>
      <c r="CH3087" s="438"/>
      <c r="CI3087" s="416"/>
      <c r="CJ3087" s="73"/>
      <c r="CK3087" s="650"/>
      <c r="CL3087" s="499"/>
      <c r="CM3087" s="650"/>
      <c r="CR3087" s="416"/>
      <c r="CS3087" s="650"/>
      <c r="CU3087" s="73"/>
      <c r="CV3087" s="73"/>
      <c r="CW3087" s="73"/>
      <c r="CX3087" s="73"/>
      <c r="DA3087" s="650"/>
    </row>
    <row r="3088" spans="1:105" s="45" customFormat="1" x14ac:dyDescent="0.2">
      <c r="A3088" s="650"/>
      <c r="B3088" s="438"/>
      <c r="D3088" s="73"/>
      <c r="E3088" s="650"/>
      <c r="F3088" s="650"/>
      <c r="G3088" s="73"/>
      <c r="I3088" s="111"/>
      <c r="J3088" s="81"/>
      <c r="K3088" s="81"/>
      <c r="L3088" s="499"/>
      <c r="M3088" s="73"/>
      <c r="N3088" s="499"/>
      <c r="O3088" s="73"/>
      <c r="P3088" s="73"/>
      <c r="Q3088" s="73"/>
      <c r="R3088" s="176"/>
      <c r="S3088" s="176"/>
      <c r="T3088" s="176"/>
      <c r="U3088" s="400"/>
      <c r="V3088" s="400"/>
      <c r="W3088" s="732"/>
      <c r="X3088" s="167"/>
      <c r="Y3088" s="509"/>
      <c r="Z3088" s="466"/>
      <c r="AA3088" s="466"/>
      <c r="AB3088" s="466"/>
      <c r="AC3088" s="466"/>
      <c r="AD3088" s="466"/>
      <c r="AE3088" s="466"/>
      <c r="AF3088" s="466"/>
      <c r="AG3088" s="466"/>
      <c r="AH3088" s="466"/>
      <c r="AI3088" s="466"/>
      <c r="AJ3088" s="466"/>
      <c r="AK3088" s="466"/>
      <c r="AL3088" s="466"/>
      <c r="AM3088" s="466"/>
      <c r="AN3088" s="466"/>
      <c r="AO3088" s="466"/>
      <c r="AP3088" s="466"/>
      <c r="AQ3088" s="466"/>
      <c r="AR3088" s="466"/>
      <c r="AS3088" s="466"/>
      <c r="AT3088" s="466"/>
      <c r="AU3088" s="466"/>
      <c r="AV3088" s="466"/>
      <c r="AW3088" s="466"/>
      <c r="AX3088" s="466"/>
      <c r="AY3088" s="466"/>
      <c r="AZ3088" s="466"/>
      <c r="BA3088" s="466"/>
      <c r="BB3088" s="466"/>
      <c r="BC3088" s="466"/>
      <c r="BD3088" s="466"/>
      <c r="BE3088" s="467"/>
      <c r="BF3088" s="467"/>
      <c r="BG3088" s="466"/>
      <c r="BH3088" s="466"/>
      <c r="BI3088" s="467"/>
      <c r="BJ3088" s="467"/>
      <c r="BK3088" s="467"/>
      <c r="BL3088" s="467"/>
      <c r="BM3088" s="467"/>
      <c r="BN3088" s="467"/>
      <c r="BO3088" s="467"/>
      <c r="BP3088" s="467"/>
      <c r="BQ3088" s="467"/>
      <c r="BR3088" s="467"/>
      <c r="BS3088" s="467"/>
      <c r="BT3088" s="467"/>
      <c r="BU3088" s="467"/>
      <c r="BV3088" s="467"/>
      <c r="BW3088" s="467"/>
      <c r="BX3088" s="769"/>
      <c r="BY3088" s="769"/>
      <c r="BZ3088" s="769"/>
      <c r="CA3088" s="769"/>
      <c r="CB3088" s="769"/>
      <c r="CC3088" s="769"/>
      <c r="CD3088" s="769"/>
      <c r="CE3088" s="769"/>
      <c r="CF3088" s="769"/>
      <c r="CG3088" s="73"/>
      <c r="CH3088" s="438"/>
      <c r="CI3088" s="416"/>
      <c r="CJ3088" s="73"/>
      <c r="CK3088" s="650"/>
      <c r="CL3088" s="499"/>
      <c r="CM3088" s="650"/>
      <c r="CR3088" s="416"/>
      <c r="CS3088" s="650"/>
      <c r="CU3088" s="73"/>
      <c r="CV3088" s="73"/>
      <c r="CW3088" s="73"/>
      <c r="CX3088" s="73"/>
      <c r="DA3088" s="650"/>
    </row>
    <row r="3089" spans="1:105" s="45" customFormat="1" x14ac:dyDescent="0.2">
      <c r="A3089" s="650"/>
      <c r="B3089" s="438"/>
      <c r="D3089" s="73"/>
      <c r="E3089" s="650"/>
      <c r="F3089" s="650"/>
      <c r="G3089" s="73"/>
      <c r="I3089" s="111"/>
      <c r="J3089" s="81"/>
      <c r="K3089" s="81"/>
      <c r="L3089" s="499"/>
      <c r="M3089" s="73"/>
      <c r="N3089" s="499"/>
      <c r="O3089" s="73"/>
      <c r="P3089" s="73"/>
      <c r="Q3089" s="73"/>
      <c r="R3089" s="176"/>
      <c r="S3089" s="176"/>
      <c r="T3089" s="176"/>
      <c r="U3089" s="400"/>
      <c r="V3089" s="400"/>
      <c r="W3089" s="732"/>
      <c r="X3089" s="167"/>
      <c r="Y3089" s="509"/>
      <c r="Z3089" s="466"/>
      <c r="AA3089" s="466"/>
      <c r="AB3089" s="466"/>
      <c r="AC3089" s="466"/>
      <c r="AD3089" s="466"/>
      <c r="AE3089" s="466"/>
      <c r="AF3089" s="466"/>
      <c r="AG3089" s="466"/>
      <c r="AH3089" s="466"/>
      <c r="AI3089" s="466"/>
      <c r="AJ3089" s="466"/>
      <c r="AK3089" s="466"/>
      <c r="AL3089" s="466"/>
      <c r="AM3089" s="466"/>
      <c r="AN3089" s="466"/>
      <c r="AO3089" s="466"/>
      <c r="AP3089" s="466"/>
      <c r="AQ3089" s="466"/>
      <c r="AR3089" s="466"/>
      <c r="AS3089" s="466"/>
      <c r="AT3089" s="466"/>
      <c r="AU3089" s="466"/>
      <c r="AV3089" s="466"/>
      <c r="AW3089" s="466"/>
      <c r="AX3089" s="466"/>
      <c r="AY3089" s="466"/>
      <c r="AZ3089" s="466"/>
      <c r="BA3089" s="466"/>
      <c r="BB3089" s="466"/>
      <c r="BC3089" s="466"/>
      <c r="BD3089" s="466"/>
      <c r="BE3089" s="467"/>
      <c r="BF3089" s="467"/>
      <c r="BG3089" s="466"/>
      <c r="BH3089" s="466"/>
      <c r="BI3089" s="467"/>
      <c r="BJ3089" s="467"/>
      <c r="BK3089" s="467"/>
      <c r="BL3089" s="467"/>
      <c r="BM3089" s="467"/>
      <c r="BN3089" s="467"/>
      <c r="BO3089" s="467"/>
      <c r="BP3089" s="467"/>
      <c r="BQ3089" s="467"/>
      <c r="BR3089" s="467"/>
      <c r="BS3089" s="467"/>
      <c r="BT3089" s="467"/>
      <c r="BU3089" s="467"/>
      <c r="BV3089" s="467"/>
      <c r="BW3089" s="467"/>
      <c r="BX3089" s="769"/>
      <c r="BY3089" s="769"/>
      <c r="BZ3089" s="769"/>
      <c r="CA3089" s="769"/>
      <c r="CB3089" s="769"/>
      <c r="CC3089" s="769"/>
      <c r="CD3089" s="769"/>
      <c r="CE3089" s="769"/>
      <c r="CF3089" s="769"/>
      <c r="CG3089" s="73"/>
      <c r="CH3089" s="438"/>
      <c r="CI3089" s="416"/>
      <c r="CJ3089" s="73"/>
      <c r="CK3089" s="650"/>
      <c r="CL3089" s="499"/>
      <c r="CM3089" s="650"/>
      <c r="CR3089" s="416"/>
      <c r="CS3089" s="650"/>
      <c r="CU3089" s="73"/>
      <c r="CV3089" s="73"/>
      <c r="CW3089" s="73"/>
      <c r="CX3089" s="73"/>
      <c r="DA3089" s="650"/>
    </row>
    <row r="3090" spans="1:105" s="45" customFormat="1" x14ac:dyDescent="0.2">
      <c r="A3090" s="650"/>
      <c r="B3090" s="438"/>
      <c r="D3090" s="73"/>
      <c r="E3090" s="650"/>
      <c r="F3090" s="650"/>
      <c r="G3090" s="73"/>
      <c r="I3090" s="111"/>
      <c r="J3090" s="81"/>
      <c r="K3090" s="81"/>
      <c r="L3090" s="499"/>
      <c r="M3090" s="73"/>
      <c r="N3090" s="499"/>
      <c r="O3090" s="73"/>
      <c r="P3090" s="73"/>
      <c r="Q3090" s="73"/>
      <c r="R3090" s="176"/>
      <c r="S3090" s="176"/>
      <c r="T3090" s="176"/>
      <c r="U3090" s="400"/>
      <c r="V3090" s="400"/>
      <c r="W3090" s="732"/>
      <c r="X3090" s="167"/>
      <c r="Y3090" s="509"/>
      <c r="Z3090" s="466"/>
      <c r="AA3090" s="466"/>
      <c r="AB3090" s="466"/>
      <c r="AC3090" s="466"/>
      <c r="AD3090" s="466"/>
      <c r="AE3090" s="466"/>
      <c r="AF3090" s="466"/>
      <c r="AG3090" s="466"/>
      <c r="AH3090" s="466"/>
      <c r="AI3090" s="466"/>
      <c r="AJ3090" s="466"/>
      <c r="AK3090" s="466"/>
      <c r="AL3090" s="466"/>
      <c r="AM3090" s="466"/>
      <c r="AN3090" s="466"/>
      <c r="AO3090" s="466"/>
      <c r="AP3090" s="466"/>
      <c r="AQ3090" s="466"/>
      <c r="AR3090" s="466"/>
      <c r="AS3090" s="466"/>
      <c r="AT3090" s="466"/>
      <c r="AU3090" s="466"/>
      <c r="AV3090" s="466"/>
      <c r="AW3090" s="466"/>
      <c r="AX3090" s="466"/>
      <c r="AY3090" s="466"/>
      <c r="AZ3090" s="466"/>
      <c r="BA3090" s="466"/>
      <c r="BB3090" s="466"/>
      <c r="BC3090" s="466"/>
      <c r="BD3090" s="466"/>
      <c r="BE3090" s="467"/>
      <c r="BF3090" s="467"/>
      <c r="BG3090" s="466"/>
      <c r="BH3090" s="466"/>
      <c r="BI3090" s="467"/>
      <c r="BJ3090" s="467"/>
      <c r="BK3090" s="467"/>
      <c r="BL3090" s="467"/>
      <c r="BM3090" s="467"/>
      <c r="BN3090" s="467"/>
      <c r="BO3090" s="467"/>
      <c r="BP3090" s="467"/>
      <c r="BQ3090" s="467"/>
      <c r="BR3090" s="467"/>
      <c r="BS3090" s="467"/>
      <c r="BT3090" s="467"/>
      <c r="BU3090" s="467"/>
      <c r="BV3090" s="467"/>
      <c r="BW3090" s="467"/>
      <c r="BX3090" s="769"/>
      <c r="BY3090" s="769"/>
      <c r="BZ3090" s="769"/>
      <c r="CA3090" s="769"/>
      <c r="CB3090" s="769"/>
      <c r="CC3090" s="769"/>
      <c r="CD3090" s="769"/>
      <c r="CE3090" s="769"/>
      <c r="CF3090" s="769"/>
      <c r="CG3090" s="73"/>
      <c r="CH3090" s="438"/>
      <c r="CI3090" s="416"/>
      <c r="CJ3090" s="73"/>
      <c r="CK3090" s="650"/>
      <c r="CL3090" s="499"/>
      <c r="CM3090" s="650"/>
      <c r="CR3090" s="416"/>
      <c r="CS3090" s="650"/>
      <c r="CU3090" s="73"/>
      <c r="CV3090" s="73"/>
      <c r="CW3090" s="73"/>
      <c r="CX3090" s="73"/>
      <c r="DA3090" s="650"/>
    </row>
    <row r="3091" spans="1:105" s="45" customFormat="1" x14ac:dyDescent="0.2">
      <c r="A3091" s="650"/>
      <c r="B3091" s="438"/>
      <c r="D3091" s="73"/>
      <c r="E3091" s="650"/>
      <c r="F3091" s="650"/>
      <c r="G3091" s="73"/>
      <c r="I3091" s="111"/>
      <c r="J3091" s="81"/>
      <c r="K3091" s="81"/>
      <c r="L3091" s="499"/>
      <c r="M3091" s="73"/>
      <c r="N3091" s="499"/>
      <c r="O3091" s="73"/>
      <c r="P3091" s="73"/>
      <c r="Q3091" s="73"/>
      <c r="R3091" s="176"/>
      <c r="S3091" s="176"/>
      <c r="T3091" s="176"/>
      <c r="U3091" s="400"/>
      <c r="V3091" s="400"/>
      <c r="W3091" s="732"/>
      <c r="X3091" s="167"/>
      <c r="Y3091" s="509"/>
      <c r="Z3091" s="466"/>
      <c r="AA3091" s="466"/>
      <c r="AB3091" s="466"/>
      <c r="AC3091" s="466"/>
      <c r="AD3091" s="466"/>
      <c r="AE3091" s="466"/>
      <c r="AF3091" s="466"/>
      <c r="AG3091" s="466"/>
      <c r="AH3091" s="466"/>
      <c r="AI3091" s="466"/>
      <c r="AJ3091" s="466"/>
      <c r="AK3091" s="466"/>
      <c r="AL3091" s="466"/>
      <c r="AM3091" s="466"/>
      <c r="AN3091" s="466"/>
      <c r="AO3091" s="466"/>
      <c r="AP3091" s="466"/>
      <c r="AQ3091" s="466"/>
      <c r="AR3091" s="466"/>
      <c r="AS3091" s="466"/>
      <c r="AT3091" s="466"/>
      <c r="AU3091" s="466"/>
      <c r="AV3091" s="466"/>
      <c r="AW3091" s="466"/>
      <c r="AX3091" s="466"/>
      <c r="AY3091" s="466"/>
      <c r="AZ3091" s="466"/>
      <c r="BA3091" s="466"/>
      <c r="BB3091" s="466"/>
      <c r="BC3091" s="466"/>
      <c r="BD3091" s="466"/>
      <c r="BE3091" s="467"/>
      <c r="BF3091" s="467"/>
      <c r="BG3091" s="466"/>
      <c r="BH3091" s="466"/>
      <c r="BI3091" s="467"/>
      <c r="BJ3091" s="467"/>
      <c r="BK3091" s="467"/>
      <c r="BL3091" s="467"/>
      <c r="BM3091" s="467"/>
      <c r="BN3091" s="467"/>
      <c r="BO3091" s="467"/>
      <c r="BP3091" s="467"/>
      <c r="BQ3091" s="467"/>
      <c r="BR3091" s="467"/>
      <c r="BS3091" s="467"/>
      <c r="BT3091" s="467"/>
      <c r="BU3091" s="467"/>
      <c r="BV3091" s="467"/>
      <c r="BW3091" s="467"/>
      <c r="BX3091" s="769"/>
      <c r="BY3091" s="769"/>
      <c r="BZ3091" s="769"/>
      <c r="CA3091" s="769"/>
      <c r="CB3091" s="769"/>
      <c r="CC3091" s="769"/>
      <c r="CD3091" s="769"/>
      <c r="CE3091" s="769"/>
      <c r="CF3091" s="769"/>
      <c r="CG3091" s="73"/>
      <c r="CH3091" s="438"/>
      <c r="CI3091" s="416"/>
      <c r="CJ3091" s="73"/>
      <c r="CK3091" s="650"/>
      <c r="CL3091" s="499"/>
      <c r="CM3091" s="650"/>
      <c r="CR3091" s="416"/>
      <c r="CS3091" s="650"/>
      <c r="CU3091" s="73"/>
      <c r="CV3091" s="73"/>
      <c r="CW3091" s="73"/>
      <c r="CX3091" s="73"/>
      <c r="DA3091" s="650"/>
    </row>
    <row r="3092" spans="1:105" s="45" customFormat="1" x14ac:dyDescent="0.2">
      <c r="A3092" s="650"/>
      <c r="B3092" s="438"/>
      <c r="D3092" s="73"/>
      <c r="E3092" s="650"/>
      <c r="F3092" s="650"/>
      <c r="G3092" s="73"/>
      <c r="I3092" s="111"/>
      <c r="J3092" s="81"/>
      <c r="K3092" s="81"/>
      <c r="L3092" s="499"/>
      <c r="M3092" s="73"/>
      <c r="N3092" s="499"/>
      <c r="O3092" s="73"/>
      <c r="P3092" s="73"/>
      <c r="Q3092" s="73"/>
      <c r="R3092" s="176"/>
      <c r="S3092" s="176"/>
      <c r="T3092" s="176"/>
      <c r="U3092" s="400"/>
      <c r="V3092" s="400"/>
      <c r="W3092" s="732"/>
      <c r="X3092" s="167"/>
      <c r="Y3092" s="509"/>
      <c r="Z3092" s="466"/>
      <c r="AA3092" s="466"/>
      <c r="AB3092" s="466"/>
      <c r="AC3092" s="466"/>
      <c r="AD3092" s="466"/>
      <c r="AE3092" s="466"/>
      <c r="AF3092" s="466"/>
      <c r="AG3092" s="466"/>
      <c r="AH3092" s="466"/>
      <c r="AI3092" s="466"/>
      <c r="AJ3092" s="466"/>
      <c r="AK3092" s="466"/>
      <c r="AL3092" s="466"/>
      <c r="AM3092" s="466"/>
      <c r="AN3092" s="466"/>
      <c r="AO3092" s="466"/>
      <c r="AP3092" s="466"/>
      <c r="AQ3092" s="466"/>
      <c r="AR3092" s="466"/>
      <c r="AS3092" s="466"/>
      <c r="AT3092" s="466"/>
      <c r="AU3092" s="466"/>
      <c r="AV3092" s="466"/>
      <c r="AW3092" s="466"/>
      <c r="AX3092" s="466"/>
      <c r="AY3092" s="466"/>
      <c r="AZ3092" s="466"/>
      <c r="BA3092" s="466"/>
      <c r="BB3092" s="466"/>
      <c r="BC3092" s="466"/>
      <c r="BD3092" s="466"/>
      <c r="BE3092" s="467"/>
      <c r="BF3092" s="467"/>
      <c r="BG3092" s="466"/>
      <c r="BH3092" s="466"/>
      <c r="BI3092" s="467"/>
      <c r="BJ3092" s="467"/>
      <c r="BK3092" s="467"/>
      <c r="BL3092" s="467"/>
      <c r="BM3092" s="467"/>
      <c r="BN3092" s="467"/>
      <c r="BO3092" s="467"/>
      <c r="BP3092" s="467"/>
      <c r="BQ3092" s="467"/>
      <c r="BR3092" s="467"/>
      <c r="BS3092" s="467"/>
      <c r="BT3092" s="467"/>
      <c r="BU3092" s="467"/>
      <c r="BV3092" s="467"/>
      <c r="BW3092" s="467"/>
      <c r="BX3092" s="769"/>
      <c r="BY3092" s="769"/>
      <c r="BZ3092" s="769"/>
      <c r="CA3092" s="769"/>
      <c r="CB3092" s="769"/>
      <c r="CC3092" s="769"/>
      <c r="CD3092" s="769"/>
      <c r="CE3092" s="769"/>
      <c r="CF3092" s="769"/>
      <c r="CG3092" s="73"/>
      <c r="CH3092" s="438"/>
      <c r="CI3092" s="416"/>
      <c r="CJ3092" s="73"/>
      <c r="CK3092" s="650"/>
      <c r="CL3092" s="499"/>
      <c r="CM3092" s="650"/>
      <c r="CR3092" s="416"/>
      <c r="CS3092" s="650"/>
      <c r="CU3092" s="73"/>
      <c r="CV3092" s="73"/>
      <c r="CW3092" s="73"/>
      <c r="CX3092" s="73"/>
      <c r="DA3092" s="650"/>
    </row>
    <row r="3093" spans="1:105" s="45" customFormat="1" x14ac:dyDescent="0.2">
      <c r="A3093" s="650"/>
      <c r="B3093" s="438"/>
      <c r="D3093" s="73"/>
      <c r="E3093" s="650"/>
      <c r="F3093" s="650"/>
      <c r="G3093" s="73"/>
      <c r="I3093" s="111"/>
      <c r="J3093" s="81"/>
      <c r="K3093" s="81"/>
      <c r="L3093" s="499"/>
      <c r="M3093" s="73"/>
      <c r="N3093" s="499"/>
      <c r="O3093" s="73"/>
      <c r="P3093" s="73"/>
      <c r="Q3093" s="73"/>
      <c r="R3093" s="176"/>
      <c r="S3093" s="176"/>
      <c r="T3093" s="176"/>
      <c r="U3093" s="400"/>
      <c r="V3093" s="400"/>
      <c r="W3093" s="732"/>
      <c r="X3093" s="167"/>
      <c r="Y3093" s="509"/>
      <c r="Z3093" s="466"/>
      <c r="AA3093" s="466"/>
      <c r="AB3093" s="466"/>
      <c r="AC3093" s="466"/>
      <c r="AD3093" s="466"/>
      <c r="AE3093" s="466"/>
      <c r="AF3093" s="466"/>
      <c r="AG3093" s="466"/>
      <c r="AH3093" s="466"/>
      <c r="AI3093" s="466"/>
      <c r="AJ3093" s="466"/>
      <c r="AK3093" s="466"/>
      <c r="AL3093" s="466"/>
      <c r="AM3093" s="466"/>
      <c r="AN3093" s="466"/>
      <c r="AO3093" s="466"/>
      <c r="AP3093" s="466"/>
      <c r="AQ3093" s="466"/>
      <c r="AR3093" s="466"/>
      <c r="AS3093" s="466"/>
      <c r="AT3093" s="466"/>
      <c r="AU3093" s="466"/>
      <c r="AV3093" s="466"/>
      <c r="AW3093" s="466"/>
      <c r="AX3093" s="466"/>
      <c r="AY3093" s="466"/>
      <c r="AZ3093" s="466"/>
      <c r="BA3093" s="466"/>
      <c r="BB3093" s="466"/>
      <c r="BC3093" s="466"/>
      <c r="BD3093" s="466"/>
      <c r="BE3093" s="467"/>
      <c r="BF3093" s="467"/>
      <c r="BG3093" s="466"/>
      <c r="BH3093" s="466"/>
      <c r="BI3093" s="467"/>
      <c r="BJ3093" s="467"/>
      <c r="BK3093" s="467"/>
      <c r="BL3093" s="467"/>
      <c r="BM3093" s="467"/>
      <c r="BN3093" s="467"/>
      <c r="BO3093" s="467"/>
      <c r="BP3093" s="467"/>
      <c r="BQ3093" s="467"/>
      <c r="BR3093" s="467"/>
      <c r="BS3093" s="467"/>
      <c r="BT3093" s="467"/>
      <c r="BU3093" s="467"/>
      <c r="BV3093" s="467"/>
      <c r="BW3093" s="467"/>
      <c r="BX3093" s="769"/>
      <c r="BY3093" s="769"/>
      <c r="BZ3093" s="769"/>
      <c r="CA3093" s="769"/>
      <c r="CB3093" s="769"/>
      <c r="CC3093" s="769"/>
      <c r="CD3093" s="769"/>
      <c r="CE3093" s="769"/>
      <c r="CF3093" s="769"/>
      <c r="CG3093" s="73"/>
      <c r="CH3093" s="438"/>
      <c r="CI3093" s="416"/>
      <c r="CJ3093" s="73"/>
      <c r="CK3093" s="650"/>
      <c r="CL3093" s="499"/>
      <c r="CM3093" s="650"/>
      <c r="CR3093" s="416"/>
      <c r="CS3093" s="650"/>
      <c r="CU3093" s="73"/>
      <c r="CV3093" s="73"/>
      <c r="CW3093" s="73"/>
      <c r="CX3093" s="73"/>
      <c r="DA3093" s="650"/>
    </row>
    <row r="3094" spans="1:105" s="45" customFormat="1" x14ac:dyDescent="0.2">
      <c r="A3094" s="650"/>
      <c r="B3094" s="438"/>
      <c r="D3094" s="73"/>
      <c r="E3094" s="650"/>
      <c r="F3094" s="650"/>
      <c r="G3094" s="73"/>
      <c r="I3094" s="111"/>
      <c r="J3094" s="81"/>
      <c r="K3094" s="81"/>
      <c r="L3094" s="499"/>
      <c r="M3094" s="73"/>
      <c r="N3094" s="499"/>
      <c r="O3094" s="73"/>
      <c r="P3094" s="73"/>
      <c r="Q3094" s="73"/>
      <c r="R3094" s="176"/>
      <c r="S3094" s="176"/>
      <c r="T3094" s="176"/>
      <c r="U3094" s="400"/>
      <c r="V3094" s="400"/>
      <c r="W3094" s="732"/>
      <c r="X3094" s="167"/>
      <c r="Y3094" s="509"/>
      <c r="Z3094" s="466"/>
      <c r="AA3094" s="466"/>
      <c r="AB3094" s="466"/>
      <c r="AC3094" s="466"/>
      <c r="AD3094" s="466"/>
      <c r="AE3094" s="466"/>
      <c r="AF3094" s="466"/>
      <c r="AG3094" s="466"/>
      <c r="AH3094" s="466"/>
      <c r="AI3094" s="466"/>
      <c r="AJ3094" s="466"/>
      <c r="AK3094" s="466"/>
      <c r="AL3094" s="466"/>
      <c r="AM3094" s="466"/>
      <c r="AN3094" s="466"/>
      <c r="AO3094" s="466"/>
      <c r="AP3094" s="466"/>
      <c r="AQ3094" s="466"/>
      <c r="AR3094" s="466"/>
      <c r="AS3094" s="466"/>
      <c r="AT3094" s="466"/>
      <c r="AU3094" s="466"/>
      <c r="AV3094" s="466"/>
      <c r="AW3094" s="466"/>
      <c r="AX3094" s="466"/>
      <c r="AY3094" s="466"/>
      <c r="AZ3094" s="466"/>
      <c r="BA3094" s="466"/>
      <c r="BB3094" s="466"/>
      <c r="BC3094" s="466"/>
      <c r="BD3094" s="466"/>
      <c r="BE3094" s="467"/>
      <c r="BF3094" s="467"/>
      <c r="BG3094" s="466"/>
      <c r="BH3094" s="466"/>
      <c r="BI3094" s="467"/>
      <c r="BJ3094" s="467"/>
      <c r="BK3094" s="467"/>
      <c r="BL3094" s="467"/>
      <c r="BM3094" s="467"/>
      <c r="BN3094" s="467"/>
      <c r="BO3094" s="467"/>
      <c r="BP3094" s="467"/>
      <c r="BQ3094" s="467"/>
      <c r="BR3094" s="467"/>
      <c r="BS3094" s="467"/>
      <c r="BT3094" s="467"/>
      <c r="BU3094" s="467"/>
      <c r="BV3094" s="467"/>
      <c r="BW3094" s="467"/>
      <c r="BX3094" s="769"/>
      <c r="BY3094" s="769"/>
      <c r="BZ3094" s="769"/>
      <c r="CA3094" s="769"/>
      <c r="CB3094" s="769"/>
      <c r="CC3094" s="769"/>
      <c r="CD3094" s="769"/>
      <c r="CE3094" s="769"/>
      <c r="CF3094" s="769"/>
      <c r="CG3094" s="73"/>
      <c r="CH3094" s="438"/>
      <c r="CI3094" s="416"/>
      <c r="CJ3094" s="73"/>
      <c r="CK3094" s="650"/>
      <c r="CL3094" s="499"/>
      <c r="CM3094" s="650"/>
      <c r="CR3094" s="416"/>
      <c r="CS3094" s="650"/>
      <c r="CU3094" s="73"/>
      <c r="CV3094" s="73"/>
      <c r="CW3094" s="73"/>
      <c r="CX3094" s="73"/>
      <c r="DA3094" s="650"/>
    </row>
    <row r="3095" spans="1:105" s="45" customFormat="1" x14ac:dyDescent="0.2">
      <c r="A3095" s="650"/>
      <c r="B3095" s="438"/>
      <c r="D3095" s="73"/>
      <c r="E3095" s="650"/>
      <c r="F3095" s="650"/>
      <c r="G3095" s="73"/>
      <c r="I3095" s="111"/>
      <c r="J3095" s="81"/>
      <c r="K3095" s="81"/>
      <c r="L3095" s="499"/>
      <c r="M3095" s="73"/>
      <c r="N3095" s="499"/>
      <c r="O3095" s="73"/>
      <c r="P3095" s="73"/>
      <c r="Q3095" s="73"/>
      <c r="R3095" s="176"/>
      <c r="S3095" s="176"/>
      <c r="T3095" s="176"/>
      <c r="U3095" s="400"/>
      <c r="V3095" s="400"/>
      <c r="W3095" s="732"/>
      <c r="X3095" s="167"/>
      <c r="Y3095" s="509"/>
      <c r="Z3095" s="466"/>
      <c r="AA3095" s="466"/>
      <c r="AB3095" s="466"/>
      <c r="AC3095" s="466"/>
      <c r="AD3095" s="466"/>
      <c r="AE3095" s="466"/>
      <c r="AF3095" s="466"/>
      <c r="AG3095" s="466"/>
      <c r="AH3095" s="466"/>
      <c r="AI3095" s="466"/>
      <c r="AJ3095" s="466"/>
      <c r="AK3095" s="466"/>
      <c r="AL3095" s="466"/>
      <c r="AM3095" s="466"/>
      <c r="AN3095" s="466"/>
      <c r="AO3095" s="466"/>
      <c r="AP3095" s="466"/>
      <c r="AQ3095" s="466"/>
      <c r="AR3095" s="466"/>
      <c r="AS3095" s="466"/>
      <c r="AT3095" s="466"/>
      <c r="AU3095" s="466"/>
      <c r="AV3095" s="466"/>
      <c r="AW3095" s="466"/>
      <c r="AX3095" s="466"/>
      <c r="AY3095" s="466"/>
      <c r="AZ3095" s="466"/>
      <c r="BA3095" s="466"/>
      <c r="BB3095" s="466"/>
      <c r="BC3095" s="466"/>
      <c r="BD3095" s="466"/>
      <c r="BE3095" s="467"/>
      <c r="BF3095" s="467"/>
      <c r="BG3095" s="466"/>
      <c r="BH3095" s="466"/>
      <c r="BI3095" s="467"/>
      <c r="BJ3095" s="467"/>
      <c r="BK3095" s="467"/>
      <c r="BL3095" s="467"/>
      <c r="BM3095" s="467"/>
      <c r="BN3095" s="467"/>
      <c r="BO3095" s="467"/>
      <c r="BP3095" s="467"/>
      <c r="BQ3095" s="467"/>
      <c r="BR3095" s="467"/>
      <c r="BS3095" s="467"/>
      <c r="BT3095" s="467"/>
      <c r="BU3095" s="467"/>
      <c r="BV3095" s="467"/>
      <c r="BW3095" s="467"/>
      <c r="BX3095" s="769"/>
      <c r="BY3095" s="769"/>
      <c r="BZ3095" s="769"/>
      <c r="CA3095" s="769"/>
      <c r="CB3095" s="769"/>
      <c r="CC3095" s="769"/>
      <c r="CD3095" s="769"/>
      <c r="CE3095" s="769"/>
      <c r="CF3095" s="769"/>
      <c r="CG3095" s="73"/>
      <c r="CH3095" s="438"/>
      <c r="CI3095" s="416"/>
      <c r="CJ3095" s="73"/>
      <c r="CK3095" s="650"/>
      <c r="CL3095" s="499"/>
      <c r="CM3095" s="650"/>
      <c r="CR3095" s="416"/>
      <c r="CS3095" s="650"/>
      <c r="CU3095" s="73"/>
      <c r="CV3095" s="73"/>
      <c r="CW3095" s="73"/>
      <c r="CX3095" s="73"/>
      <c r="DA3095" s="650"/>
    </row>
    <row r="3096" spans="1:105" s="45" customFormat="1" x14ac:dyDescent="0.2">
      <c r="A3096" s="650"/>
      <c r="B3096" s="438"/>
      <c r="D3096" s="73"/>
      <c r="E3096" s="650"/>
      <c r="F3096" s="650"/>
      <c r="G3096" s="73"/>
      <c r="I3096" s="111"/>
      <c r="J3096" s="81"/>
      <c r="K3096" s="81"/>
      <c r="L3096" s="499"/>
      <c r="M3096" s="73"/>
      <c r="N3096" s="499"/>
      <c r="O3096" s="73"/>
      <c r="P3096" s="73"/>
      <c r="Q3096" s="73"/>
      <c r="R3096" s="176"/>
      <c r="S3096" s="176"/>
      <c r="T3096" s="176"/>
      <c r="U3096" s="400"/>
      <c r="V3096" s="400"/>
      <c r="W3096" s="732"/>
      <c r="X3096" s="167"/>
      <c r="Y3096" s="509"/>
      <c r="Z3096" s="466"/>
      <c r="AA3096" s="466"/>
      <c r="AB3096" s="466"/>
      <c r="AC3096" s="466"/>
      <c r="AD3096" s="466"/>
      <c r="AE3096" s="466"/>
      <c r="AF3096" s="466"/>
      <c r="AG3096" s="466"/>
      <c r="AH3096" s="466"/>
      <c r="AI3096" s="466"/>
      <c r="AJ3096" s="466"/>
      <c r="AK3096" s="466"/>
      <c r="AL3096" s="466"/>
      <c r="AM3096" s="466"/>
      <c r="AN3096" s="466"/>
      <c r="AO3096" s="466"/>
      <c r="AP3096" s="466"/>
      <c r="AQ3096" s="466"/>
      <c r="AR3096" s="466"/>
      <c r="AS3096" s="466"/>
      <c r="AT3096" s="466"/>
      <c r="AU3096" s="466"/>
      <c r="AV3096" s="466"/>
      <c r="AW3096" s="466"/>
      <c r="AX3096" s="466"/>
      <c r="AY3096" s="466"/>
      <c r="AZ3096" s="466"/>
      <c r="BA3096" s="466"/>
      <c r="BB3096" s="466"/>
      <c r="BC3096" s="466"/>
      <c r="BD3096" s="466"/>
      <c r="BE3096" s="467"/>
      <c r="BF3096" s="467"/>
      <c r="BG3096" s="466"/>
      <c r="BH3096" s="466"/>
      <c r="BI3096" s="467"/>
      <c r="BJ3096" s="467"/>
      <c r="BK3096" s="467"/>
      <c r="BL3096" s="467"/>
      <c r="BM3096" s="467"/>
      <c r="BN3096" s="467"/>
      <c r="BO3096" s="467"/>
      <c r="BP3096" s="467"/>
      <c r="BQ3096" s="467"/>
      <c r="BR3096" s="467"/>
      <c r="BS3096" s="467"/>
      <c r="BT3096" s="467"/>
      <c r="BU3096" s="467"/>
      <c r="BV3096" s="467"/>
      <c r="BW3096" s="467"/>
      <c r="BX3096" s="769"/>
      <c r="BY3096" s="769"/>
      <c r="BZ3096" s="769"/>
      <c r="CA3096" s="769"/>
      <c r="CB3096" s="769"/>
      <c r="CC3096" s="769"/>
      <c r="CD3096" s="769"/>
      <c r="CE3096" s="769"/>
      <c r="CF3096" s="769"/>
      <c r="CG3096" s="73"/>
      <c r="CH3096" s="438"/>
      <c r="CI3096" s="416"/>
      <c r="CJ3096" s="73"/>
      <c r="CK3096" s="650"/>
      <c r="CL3096" s="499"/>
      <c r="CM3096" s="650"/>
      <c r="CR3096" s="416"/>
      <c r="CS3096" s="650"/>
      <c r="CU3096" s="73"/>
      <c r="CV3096" s="73"/>
      <c r="CW3096" s="73"/>
      <c r="CX3096" s="73"/>
      <c r="DA3096" s="650"/>
    </row>
    <row r="3097" spans="1:105" s="45" customFormat="1" x14ac:dyDescent="0.2">
      <c r="A3097" s="650"/>
      <c r="B3097" s="438"/>
      <c r="D3097" s="73"/>
      <c r="E3097" s="650"/>
      <c r="F3097" s="650"/>
      <c r="G3097" s="73"/>
      <c r="I3097" s="111"/>
      <c r="J3097" s="81"/>
      <c r="K3097" s="81"/>
      <c r="L3097" s="499"/>
      <c r="M3097" s="73"/>
      <c r="N3097" s="499"/>
      <c r="O3097" s="73"/>
      <c r="P3097" s="73"/>
      <c r="Q3097" s="73"/>
      <c r="R3097" s="176"/>
      <c r="S3097" s="176"/>
      <c r="T3097" s="176"/>
      <c r="U3097" s="400"/>
      <c r="V3097" s="400"/>
      <c r="W3097" s="732"/>
      <c r="X3097" s="167"/>
      <c r="Y3097" s="509"/>
      <c r="Z3097" s="466"/>
      <c r="AA3097" s="466"/>
      <c r="AB3097" s="466"/>
      <c r="AC3097" s="466"/>
      <c r="AD3097" s="466"/>
      <c r="AE3097" s="466"/>
      <c r="AF3097" s="466"/>
      <c r="AG3097" s="466"/>
      <c r="AH3097" s="466"/>
      <c r="AI3097" s="466"/>
      <c r="AJ3097" s="466"/>
      <c r="AK3097" s="466"/>
      <c r="AL3097" s="466"/>
      <c r="AM3097" s="466"/>
      <c r="AN3097" s="466"/>
      <c r="AO3097" s="466"/>
      <c r="AP3097" s="466"/>
      <c r="AQ3097" s="466"/>
      <c r="AR3097" s="466"/>
      <c r="AS3097" s="466"/>
      <c r="AT3097" s="466"/>
      <c r="AU3097" s="466"/>
      <c r="AV3097" s="466"/>
      <c r="AW3097" s="466"/>
      <c r="AX3097" s="466"/>
      <c r="AY3097" s="466"/>
      <c r="AZ3097" s="466"/>
      <c r="BA3097" s="466"/>
      <c r="BB3097" s="466"/>
      <c r="BC3097" s="466"/>
      <c r="BD3097" s="466"/>
      <c r="BE3097" s="467"/>
      <c r="BF3097" s="467"/>
      <c r="BG3097" s="466"/>
      <c r="BH3097" s="466"/>
      <c r="BI3097" s="467"/>
      <c r="BJ3097" s="467"/>
      <c r="BK3097" s="467"/>
      <c r="BL3097" s="467"/>
      <c r="BM3097" s="467"/>
      <c r="BN3097" s="467"/>
      <c r="BO3097" s="467"/>
      <c r="BP3097" s="467"/>
      <c r="BQ3097" s="467"/>
      <c r="BR3097" s="467"/>
      <c r="BS3097" s="467"/>
      <c r="BT3097" s="467"/>
      <c r="BU3097" s="467"/>
      <c r="BV3097" s="467"/>
      <c r="BW3097" s="467"/>
      <c r="BX3097" s="769"/>
      <c r="BY3097" s="769"/>
      <c r="BZ3097" s="769"/>
      <c r="CA3097" s="769"/>
      <c r="CB3097" s="769"/>
      <c r="CC3097" s="769"/>
      <c r="CD3097" s="769"/>
      <c r="CE3097" s="769"/>
      <c r="CF3097" s="769"/>
      <c r="CG3097" s="73"/>
      <c r="CH3097" s="438"/>
      <c r="CI3097" s="416"/>
      <c r="CJ3097" s="73"/>
      <c r="CK3097" s="650"/>
      <c r="CL3097" s="499"/>
      <c r="CM3097" s="650"/>
      <c r="CR3097" s="416"/>
      <c r="CS3097" s="650"/>
      <c r="CU3097" s="73"/>
      <c r="CV3097" s="73"/>
      <c r="CW3097" s="73"/>
      <c r="CX3097" s="73"/>
      <c r="DA3097" s="650"/>
    </row>
    <row r="3098" spans="1:105" s="45" customFormat="1" x14ac:dyDescent="0.2">
      <c r="A3098" s="650"/>
      <c r="B3098" s="438"/>
      <c r="D3098" s="73"/>
      <c r="E3098" s="650"/>
      <c r="F3098" s="650"/>
      <c r="G3098" s="73"/>
      <c r="I3098" s="111"/>
      <c r="J3098" s="81"/>
      <c r="K3098" s="81"/>
      <c r="L3098" s="499"/>
      <c r="M3098" s="73"/>
      <c r="N3098" s="499"/>
      <c r="O3098" s="73"/>
      <c r="P3098" s="73"/>
      <c r="Q3098" s="73"/>
      <c r="R3098" s="176"/>
      <c r="S3098" s="176"/>
      <c r="T3098" s="176"/>
      <c r="U3098" s="400"/>
      <c r="V3098" s="400"/>
      <c r="W3098" s="732"/>
      <c r="X3098" s="167"/>
      <c r="Y3098" s="509"/>
      <c r="Z3098" s="466"/>
      <c r="AA3098" s="466"/>
      <c r="AB3098" s="466"/>
      <c r="AC3098" s="466"/>
      <c r="AD3098" s="466"/>
      <c r="AE3098" s="466"/>
      <c r="AF3098" s="466"/>
      <c r="AG3098" s="466"/>
      <c r="AH3098" s="466"/>
      <c r="AI3098" s="466"/>
      <c r="AJ3098" s="466"/>
      <c r="AK3098" s="466"/>
      <c r="AL3098" s="466"/>
      <c r="AM3098" s="466"/>
      <c r="AN3098" s="466"/>
      <c r="AO3098" s="466"/>
      <c r="AP3098" s="466"/>
      <c r="AQ3098" s="466"/>
      <c r="AR3098" s="466"/>
      <c r="AS3098" s="466"/>
      <c r="AT3098" s="466"/>
      <c r="AU3098" s="466"/>
      <c r="AV3098" s="466"/>
      <c r="AW3098" s="466"/>
      <c r="AX3098" s="466"/>
      <c r="AY3098" s="466"/>
      <c r="AZ3098" s="466"/>
      <c r="BA3098" s="466"/>
      <c r="BB3098" s="466"/>
      <c r="BC3098" s="466"/>
      <c r="BD3098" s="466"/>
      <c r="BE3098" s="467"/>
      <c r="BF3098" s="467"/>
      <c r="BG3098" s="466"/>
      <c r="BH3098" s="466"/>
      <c r="BI3098" s="467"/>
      <c r="BJ3098" s="467"/>
      <c r="BK3098" s="467"/>
      <c r="BL3098" s="467"/>
      <c r="BM3098" s="467"/>
      <c r="BN3098" s="467"/>
      <c r="BO3098" s="467"/>
      <c r="BP3098" s="467"/>
      <c r="BQ3098" s="467"/>
      <c r="BR3098" s="467"/>
      <c r="BS3098" s="467"/>
      <c r="BT3098" s="467"/>
      <c r="BU3098" s="467"/>
      <c r="BV3098" s="467"/>
      <c r="BW3098" s="467"/>
      <c r="BX3098" s="769"/>
      <c r="BY3098" s="769"/>
      <c r="BZ3098" s="769"/>
      <c r="CA3098" s="769"/>
      <c r="CB3098" s="769"/>
      <c r="CC3098" s="769"/>
      <c r="CD3098" s="769"/>
      <c r="CE3098" s="769"/>
      <c r="CF3098" s="769"/>
      <c r="CG3098" s="73"/>
      <c r="CH3098" s="438"/>
      <c r="CI3098" s="416"/>
      <c r="CJ3098" s="73"/>
      <c r="CK3098" s="650"/>
      <c r="CL3098" s="499"/>
      <c r="CM3098" s="650"/>
      <c r="CR3098" s="416"/>
      <c r="CS3098" s="650"/>
      <c r="CU3098" s="73"/>
      <c r="CV3098" s="73"/>
      <c r="CW3098" s="73"/>
      <c r="CX3098" s="73"/>
      <c r="DA3098" s="650"/>
    </row>
    <row r="3099" spans="1:105" s="45" customFormat="1" x14ac:dyDescent="0.2">
      <c r="A3099" s="650"/>
      <c r="B3099" s="438"/>
      <c r="D3099" s="73"/>
      <c r="E3099" s="650"/>
      <c r="F3099" s="650"/>
      <c r="G3099" s="73"/>
      <c r="I3099" s="111"/>
      <c r="J3099" s="81"/>
      <c r="K3099" s="81"/>
      <c r="L3099" s="499"/>
      <c r="M3099" s="73"/>
      <c r="N3099" s="499"/>
      <c r="O3099" s="73"/>
      <c r="P3099" s="73"/>
      <c r="Q3099" s="73"/>
      <c r="R3099" s="176"/>
      <c r="S3099" s="176"/>
      <c r="T3099" s="176"/>
      <c r="U3099" s="400"/>
      <c r="V3099" s="400"/>
      <c r="W3099" s="732"/>
      <c r="X3099" s="167"/>
      <c r="Y3099" s="509"/>
      <c r="Z3099" s="466"/>
      <c r="AA3099" s="466"/>
      <c r="AB3099" s="466"/>
      <c r="AC3099" s="466"/>
      <c r="AD3099" s="466"/>
      <c r="AE3099" s="466"/>
      <c r="AF3099" s="466"/>
      <c r="AG3099" s="466"/>
      <c r="AH3099" s="466"/>
      <c r="AI3099" s="466"/>
      <c r="AJ3099" s="466"/>
      <c r="AK3099" s="466"/>
      <c r="AL3099" s="466"/>
      <c r="AM3099" s="466"/>
      <c r="AN3099" s="466"/>
      <c r="AO3099" s="466"/>
      <c r="AP3099" s="466"/>
      <c r="AQ3099" s="466"/>
      <c r="AR3099" s="466"/>
      <c r="AS3099" s="466"/>
      <c r="AT3099" s="466"/>
      <c r="AU3099" s="466"/>
      <c r="AV3099" s="466"/>
      <c r="AW3099" s="466"/>
      <c r="AX3099" s="466"/>
      <c r="AY3099" s="466"/>
      <c r="AZ3099" s="466"/>
      <c r="BA3099" s="466"/>
      <c r="BB3099" s="466"/>
      <c r="BC3099" s="466"/>
      <c r="BD3099" s="466"/>
      <c r="BE3099" s="467"/>
      <c r="BF3099" s="467"/>
      <c r="BG3099" s="466"/>
      <c r="BH3099" s="466"/>
      <c r="BI3099" s="467"/>
      <c r="BJ3099" s="467"/>
      <c r="BK3099" s="467"/>
      <c r="BL3099" s="467"/>
      <c r="BM3099" s="467"/>
      <c r="BN3099" s="467"/>
      <c r="BO3099" s="467"/>
      <c r="BP3099" s="467"/>
      <c r="BQ3099" s="467"/>
      <c r="BR3099" s="467"/>
      <c r="BS3099" s="467"/>
      <c r="BT3099" s="467"/>
      <c r="BU3099" s="467"/>
      <c r="BV3099" s="467"/>
      <c r="BW3099" s="467"/>
      <c r="BX3099" s="769"/>
      <c r="BY3099" s="769"/>
      <c r="BZ3099" s="769"/>
      <c r="CA3099" s="769"/>
      <c r="CB3099" s="769"/>
      <c r="CC3099" s="769"/>
      <c r="CD3099" s="769"/>
      <c r="CE3099" s="769"/>
      <c r="CF3099" s="769"/>
      <c r="CG3099" s="73"/>
      <c r="CH3099" s="438"/>
      <c r="CI3099" s="416"/>
      <c r="CJ3099" s="73"/>
      <c r="CK3099" s="650"/>
      <c r="CL3099" s="499"/>
      <c r="CM3099" s="650"/>
      <c r="CR3099" s="416"/>
      <c r="CS3099" s="650"/>
      <c r="CU3099" s="73"/>
      <c r="CV3099" s="73"/>
      <c r="CW3099" s="73"/>
      <c r="CX3099" s="73"/>
      <c r="DA3099" s="650"/>
    </row>
    <row r="3100" spans="1:105" s="45" customFormat="1" x14ac:dyDescent="0.2">
      <c r="A3100" s="650"/>
      <c r="B3100" s="438"/>
      <c r="D3100" s="73"/>
      <c r="E3100" s="650"/>
      <c r="F3100" s="650"/>
      <c r="G3100" s="73"/>
      <c r="I3100" s="111"/>
      <c r="J3100" s="81"/>
      <c r="K3100" s="81"/>
      <c r="L3100" s="499"/>
      <c r="M3100" s="73"/>
      <c r="N3100" s="499"/>
      <c r="O3100" s="73"/>
      <c r="P3100" s="73"/>
      <c r="Q3100" s="73"/>
      <c r="R3100" s="176"/>
      <c r="S3100" s="176"/>
      <c r="T3100" s="176"/>
      <c r="U3100" s="400"/>
      <c r="V3100" s="400"/>
      <c r="W3100" s="732"/>
      <c r="X3100" s="167"/>
      <c r="Y3100" s="509"/>
      <c r="Z3100" s="466"/>
      <c r="AA3100" s="466"/>
      <c r="AB3100" s="466"/>
      <c r="AC3100" s="466"/>
      <c r="AD3100" s="466"/>
      <c r="AE3100" s="466"/>
      <c r="AF3100" s="466"/>
      <c r="AG3100" s="466"/>
      <c r="AH3100" s="466"/>
      <c r="AI3100" s="466"/>
      <c r="AJ3100" s="466"/>
      <c r="AK3100" s="466"/>
      <c r="AL3100" s="466"/>
      <c r="AM3100" s="466"/>
      <c r="AN3100" s="466"/>
      <c r="AO3100" s="466"/>
      <c r="AP3100" s="466"/>
      <c r="AQ3100" s="466"/>
      <c r="AR3100" s="466"/>
      <c r="AS3100" s="466"/>
      <c r="AT3100" s="466"/>
      <c r="AU3100" s="466"/>
      <c r="AV3100" s="466"/>
      <c r="AW3100" s="466"/>
      <c r="AX3100" s="466"/>
      <c r="AY3100" s="466"/>
      <c r="AZ3100" s="466"/>
      <c r="BA3100" s="466"/>
      <c r="BB3100" s="466"/>
      <c r="BC3100" s="466"/>
      <c r="BD3100" s="466"/>
      <c r="BE3100" s="467"/>
      <c r="BF3100" s="467"/>
      <c r="BG3100" s="466"/>
      <c r="BH3100" s="466"/>
      <c r="BI3100" s="467"/>
      <c r="BJ3100" s="467"/>
      <c r="BK3100" s="467"/>
      <c r="BL3100" s="467"/>
      <c r="BM3100" s="467"/>
      <c r="BN3100" s="467"/>
      <c r="BO3100" s="467"/>
      <c r="BP3100" s="467"/>
      <c r="BQ3100" s="467"/>
      <c r="BR3100" s="467"/>
      <c r="BS3100" s="467"/>
      <c r="BT3100" s="467"/>
      <c r="BU3100" s="467"/>
      <c r="BV3100" s="467"/>
      <c r="BW3100" s="467"/>
      <c r="BX3100" s="769"/>
      <c r="BY3100" s="769"/>
      <c r="BZ3100" s="769"/>
      <c r="CA3100" s="769"/>
      <c r="CB3100" s="769"/>
      <c r="CC3100" s="769"/>
      <c r="CD3100" s="769"/>
      <c r="CE3100" s="769"/>
      <c r="CF3100" s="769"/>
      <c r="CG3100" s="73"/>
      <c r="CH3100" s="438"/>
      <c r="CI3100" s="416"/>
      <c r="CJ3100" s="73"/>
      <c r="CK3100" s="650"/>
      <c r="CL3100" s="499"/>
      <c r="CM3100" s="650"/>
      <c r="CR3100" s="416"/>
      <c r="CS3100" s="650"/>
      <c r="CU3100" s="73"/>
      <c r="CV3100" s="73"/>
      <c r="CW3100" s="73"/>
      <c r="CX3100" s="73"/>
      <c r="DA3100" s="650"/>
    </row>
    <row r="3101" spans="1:105" s="45" customFormat="1" x14ac:dyDescent="0.2">
      <c r="A3101" s="650"/>
      <c r="B3101" s="438"/>
      <c r="D3101" s="73"/>
      <c r="E3101" s="650"/>
      <c r="F3101" s="650"/>
      <c r="G3101" s="73"/>
      <c r="I3101" s="111"/>
      <c r="J3101" s="81"/>
      <c r="K3101" s="81"/>
      <c r="L3101" s="499"/>
      <c r="M3101" s="73"/>
      <c r="N3101" s="499"/>
      <c r="O3101" s="73"/>
      <c r="P3101" s="73"/>
      <c r="Q3101" s="73"/>
      <c r="R3101" s="176"/>
      <c r="S3101" s="176"/>
      <c r="T3101" s="176"/>
      <c r="U3101" s="400"/>
      <c r="V3101" s="400"/>
      <c r="W3101" s="732"/>
      <c r="X3101" s="167"/>
      <c r="Y3101" s="509"/>
      <c r="Z3101" s="466"/>
      <c r="AA3101" s="466"/>
      <c r="AB3101" s="466"/>
      <c r="AC3101" s="466"/>
      <c r="AD3101" s="466"/>
      <c r="AE3101" s="466"/>
      <c r="AF3101" s="466"/>
      <c r="AG3101" s="466"/>
      <c r="AH3101" s="466"/>
      <c r="AI3101" s="466"/>
      <c r="AJ3101" s="466"/>
      <c r="AK3101" s="466"/>
      <c r="AL3101" s="466"/>
      <c r="AM3101" s="466"/>
      <c r="AN3101" s="466"/>
      <c r="AO3101" s="466"/>
      <c r="AP3101" s="466"/>
      <c r="AQ3101" s="466"/>
      <c r="AR3101" s="466"/>
      <c r="AS3101" s="466"/>
      <c r="AT3101" s="466"/>
      <c r="AU3101" s="466"/>
      <c r="AV3101" s="466"/>
      <c r="AW3101" s="466"/>
      <c r="AX3101" s="466"/>
      <c r="AY3101" s="466"/>
      <c r="AZ3101" s="466"/>
      <c r="BA3101" s="466"/>
      <c r="BB3101" s="466"/>
      <c r="BC3101" s="466"/>
      <c r="BD3101" s="466"/>
      <c r="BE3101" s="467"/>
      <c r="BF3101" s="467"/>
      <c r="BG3101" s="466"/>
      <c r="BH3101" s="466"/>
      <c r="BI3101" s="467"/>
      <c r="BJ3101" s="467"/>
      <c r="BK3101" s="467"/>
      <c r="BL3101" s="467"/>
      <c r="BM3101" s="467"/>
      <c r="BN3101" s="467"/>
      <c r="BO3101" s="467"/>
      <c r="BP3101" s="467"/>
      <c r="BQ3101" s="467"/>
      <c r="BR3101" s="467"/>
      <c r="BS3101" s="467"/>
      <c r="BT3101" s="467"/>
      <c r="BU3101" s="467"/>
      <c r="BV3101" s="467"/>
      <c r="BW3101" s="467"/>
      <c r="BX3101" s="769"/>
      <c r="BY3101" s="769"/>
      <c r="BZ3101" s="769"/>
      <c r="CA3101" s="769"/>
      <c r="CB3101" s="769"/>
      <c r="CC3101" s="769"/>
      <c r="CD3101" s="769"/>
      <c r="CE3101" s="769"/>
      <c r="CF3101" s="769"/>
      <c r="CG3101" s="73"/>
      <c r="CH3101" s="438"/>
      <c r="CI3101" s="416"/>
      <c r="CJ3101" s="73"/>
      <c r="CK3101" s="650"/>
      <c r="CL3101" s="499"/>
      <c r="CM3101" s="650"/>
      <c r="CR3101" s="416"/>
      <c r="CS3101" s="650"/>
      <c r="CU3101" s="73"/>
      <c r="CV3101" s="73"/>
      <c r="CW3101" s="73"/>
      <c r="CX3101" s="73"/>
      <c r="DA3101" s="650"/>
    </row>
    <row r="3102" spans="1:105" s="45" customFormat="1" x14ac:dyDescent="0.2">
      <c r="A3102" s="650"/>
      <c r="B3102" s="438"/>
      <c r="D3102" s="73"/>
      <c r="E3102" s="650"/>
      <c r="F3102" s="650"/>
      <c r="G3102" s="73"/>
      <c r="I3102" s="111"/>
      <c r="J3102" s="81"/>
      <c r="K3102" s="81"/>
      <c r="L3102" s="499"/>
      <c r="M3102" s="73"/>
      <c r="N3102" s="499"/>
      <c r="O3102" s="73"/>
      <c r="P3102" s="73"/>
      <c r="Q3102" s="73"/>
      <c r="R3102" s="176"/>
      <c r="S3102" s="176"/>
      <c r="T3102" s="176"/>
      <c r="U3102" s="400"/>
      <c r="V3102" s="400"/>
      <c r="W3102" s="732"/>
      <c r="X3102" s="167"/>
      <c r="Y3102" s="509"/>
      <c r="Z3102" s="466"/>
      <c r="AA3102" s="466"/>
      <c r="AB3102" s="466"/>
      <c r="AC3102" s="466"/>
      <c r="AD3102" s="466"/>
      <c r="AE3102" s="466"/>
      <c r="AF3102" s="466"/>
      <c r="AG3102" s="466"/>
      <c r="AH3102" s="466"/>
      <c r="AI3102" s="466"/>
      <c r="AJ3102" s="466"/>
      <c r="AK3102" s="466"/>
      <c r="AL3102" s="466"/>
      <c r="AM3102" s="466"/>
      <c r="AN3102" s="466"/>
      <c r="AO3102" s="466"/>
      <c r="AP3102" s="466"/>
      <c r="AQ3102" s="466"/>
      <c r="AR3102" s="466"/>
      <c r="AS3102" s="466"/>
      <c r="AT3102" s="466"/>
      <c r="AU3102" s="466"/>
      <c r="AV3102" s="466"/>
      <c r="AW3102" s="466"/>
      <c r="AX3102" s="466"/>
      <c r="AY3102" s="466"/>
      <c r="AZ3102" s="466"/>
      <c r="BA3102" s="466"/>
      <c r="BB3102" s="466"/>
      <c r="BC3102" s="466"/>
      <c r="BD3102" s="466"/>
      <c r="BE3102" s="467"/>
      <c r="BF3102" s="467"/>
      <c r="BG3102" s="466"/>
      <c r="BH3102" s="466"/>
      <c r="BI3102" s="467"/>
      <c r="BJ3102" s="467"/>
      <c r="BK3102" s="467"/>
      <c r="BL3102" s="467"/>
      <c r="BM3102" s="467"/>
      <c r="BN3102" s="467"/>
      <c r="BO3102" s="467"/>
      <c r="BP3102" s="467"/>
      <c r="BQ3102" s="467"/>
      <c r="BR3102" s="467"/>
      <c r="BS3102" s="467"/>
      <c r="BT3102" s="467"/>
      <c r="BU3102" s="467"/>
      <c r="BV3102" s="467"/>
      <c r="BW3102" s="467"/>
      <c r="BX3102" s="769"/>
      <c r="BY3102" s="769"/>
      <c r="BZ3102" s="769"/>
      <c r="CA3102" s="769"/>
      <c r="CB3102" s="769"/>
      <c r="CC3102" s="769"/>
      <c r="CD3102" s="769"/>
      <c r="CE3102" s="769"/>
      <c r="CF3102" s="769"/>
      <c r="CG3102" s="73"/>
      <c r="CH3102" s="438"/>
      <c r="CI3102" s="416"/>
      <c r="CJ3102" s="73"/>
      <c r="CK3102" s="650"/>
      <c r="CL3102" s="499"/>
      <c r="CM3102" s="650"/>
      <c r="CR3102" s="416"/>
      <c r="CS3102" s="650"/>
      <c r="CU3102" s="73"/>
      <c r="CV3102" s="73"/>
      <c r="CW3102" s="73"/>
      <c r="CX3102" s="73"/>
      <c r="DA3102" s="650"/>
    </row>
    <row r="3103" spans="1:105" s="45" customFormat="1" x14ac:dyDescent="0.2">
      <c r="A3103" s="650"/>
      <c r="B3103" s="438"/>
      <c r="D3103" s="73"/>
      <c r="E3103" s="650"/>
      <c r="F3103" s="650"/>
      <c r="G3103" s="73"/>
      <c r="I3103" s="111"/>
      <c r="J3103" s="81"/>
      <c r="K3103" s="81"/>
      <c r="L3103" s="499"/>
      <c r="M3103" s="73"/>
      <c r="N3103" s="499"/>
      <c r="O3103" s="73"/>
      <c r="P3103" s="73"/>
      <c r="Q3103" s="73"/>
      <c r="R3103" s="176"/>
      <c r="S3103" s="176"/>
      <c r="T3103" s="176"/>
      <c r="U3103" s="400"/>
      <c r="V3103" s="400"/>
      <c r="W3103" s="732"/>
      <c r="X3103" s="167"/>
      <c r="Y3103" s="509"/>
      <c r="Z3103" s="466"/>
      <c r="AA3103" s="466"/>
      <c r="AB3103" s="466"/>
      <c r="AC3103" s="466"/>
      <c r="AD3103" s="466"/>
      <c r="AE3103" s="466"/>
      <c r="AF3103" s="466"/>
      <c r="AG3103" s="466"/>
      <c r="AH3103" s="466"/>
      <c r="AI3103" s="466"/>
      <c r="AJ3103" s="466"/>
      <c r="AK3103" s="466"/>
      <c r="AL3103" s="466"/>
      <c r="AM3103" s="466"/>
      <c r="AN3103" s="466"/>
      <c r="AO3103" s="466"/>
      <c r="AP3103" s="466"/>
      <c r="AQ3103" s="466"/>
      <c r="AR3103" s="466"/>
      <c r="AS3103" s="466"/>
      <c r="AT3103" s="466"/>
      <c r="AU3103" s="466"/>
      <c r="AV3103" s="466"/>
      <c r="AW3103" s="466"/>
      <c r="AX3103" s="466"/>
      <c r="AY3103" s="466"/>
      <c r="AZ3103" s="466"/>
      <c r="BA3103" s="466"/>
      <c r="BB3103" s="466"/>
      <c r="BC3103" s="466"/>
      <c r="BD3103" s="466"/>
      <c r="BE3103" s="467"/>
      <c r="BF3103" s="467"/>
      <c r="BG3103" s="466"/>
      <c r="BH3103" s="466"/>
      <c r="BI3103" s="467"/>
      <c r="BJ3103" s="467"/>
      <c r="BK3103" s="467"/>
      <c r="BL3103" s="467"/>
      <c r="BM3103" s="467"/>
      <c r="BN3103" s="467"/>
      <c r="BO3103" s="467"/>
      <c r="BP3103" s="467"/>
      <c r="BQ3103" s="467"/>
      <c r="BR3103" s="467"/>
      <c r="BS3103" s="467"/>
      <c r="BT3103" s="467"/>
      <c r="BU3103" s="467"/>
      <c r="BV3103" s="467"/>
      <c r="BW3103" s="467"/>
      <c r="BX3103" s="769"/>
      <c r="BY3103" s="769"/>
      <c r="BZ3103" s="769"/>
      <c r="CA3103" s="769"/>
      <c r="CB3103" s="769"/>
      <c r="CC3103" s="769"/>
      <c r="CD3103" s="769"/>
      <c r="CE3103" s="769"/>
      <c r="CF3103" s="769"/>
      <c r="CG3103" s="73"/>
      <c r="CH3103" s="438"/>
      <c r="CI3103" s="416"/>
      <c r="CJ3103" s="73"/>
      <c r="CK3103" s="650"/>
      <c r="CL3103" s="499"/>
      <c r="CM3103" s="650"/>
      <c r="CR3103" s="416"/>
      <c r="CS3103" s="650"/>
      <c r="CU3103" s="73"/>
      <c r="CV3103" s="73"/>
      <c r="CW3103" s="73"/>
      <c r="CX3103" s="73"/>
      <c r="DA3103" s="650"/>
    </row>
    <row r="3104" spans="1:105" s="45" customFormat="1" x14ac:dyDescent="0.2">
      <c r="A3104" s="650"/>
      <c r="B3104" s="438"/>
      <c r="D3104" s="73"/>
      <c r="E3104" s="650"/>
      <c r="F3104" s="650"/>
      <c r="G3104" s="73"/>
      <c r="I3104" s="111"/>
      <c r="J3104" s="81"/>
      <c r="K3104" s="81"/>
      <c r="L3104" s="499"/>
      <c r="M3104" s="73"/>
      <c r="N3104" s="499"/>
      <c r="O3104" s="73"/>
      <c r="P3104" s="73"/>
      <c r="Q3104" s="73"/>
      <c r="R3104" s="176"/>
      <c r="S3104" s="176"/>
      <c r="T3104" s="176"/>
      <c r="U3104" s="400"/>
      <c r="V3104" s="400"/>
      <c r="W3104" s="732"/>
      <c r="X3104" s="167"/>
      <c r="Y3104" s="509"/>
      <c r="Z3104" s="466"/>
      <c r="AA3104" s="466"/>
      <c r="AB3104" s="466"/>
      <c r="AC3104" s="466"/>
      <c r="AD3104" s="466"/>
      <c r="AE3104" s="466"/>
      <c r="AF3104" s="466"/>
      <c r="AG3104" s="466"/>
      <c r="AH3104" s="466"/>
      <c r="AI3104" s="466"/>
      <c r="AJ3104" s="466"/>
      <c r="AK3104" s="466"/>
      <c r="AL3104" s="466"/>
      <c r="AM3104" s="466"/>
      <c r="AN3104" s="466"/>
      <c r="AO3104" s="466"/>
      <c r="AP3104" s="466"/>
      <c r="AQ3104" s="466"/>
      <c r="AR3104" s="466"/>
      <c r="AS3104" s="466"/>
      <c r="AT3104" s="466"/>
      <c r="AU3104" s="466"/>
      <c r="AV3104" s="466"/>
      <c r="AW3104" s="466"/>
      <c r="AX3104" s="466"/>
      <c r="AY3104" s="466"/>
      <c r="AZ3104" s="466"/>
      <c r="BA3104" s="466"/>
      <c r="BB3104" s="466"/>
      <c r="BC3104" s="466"/>
      <c r="BD3104" s="466"/>
      <c r="BE3104" s="467"/>
      <c r="BF3104" s="467"/>
      <c r="BG3104" s="466"/>
      <c r="BH3104" s="466"/>
      <c r="BI3104" s="467"/>
      <c r="BJ3104" s="467"/>
      <c r="BK3104" s="467"/>
      <c r="BL3104" s="467"/>
      <c r="BM3104" s="467"/>
      <c r="BN3104" s="467"/>
      <c r="BO3104" s="467"/>
      <c r="BP3104" s="467"/>
      <c r="BQ3104" s="467"/>
      <c r="BR3104" s="467"/>
      <c r="BS3104" s="467"/>
      <c r="BT3104" s="467"/>
      <c r="BU3104" s="467"/>
      <c r="BV3104" s="467"/>
      <c r="BW3104" s="467"/>
      <c r="BX3104" s="769"/>
      <c r="BY3104" s="769"/>
      <c r="BZ3104" s="769"/>
      <c r="CA3104" s="769"/>
      <c r="CB3104" s="769"/>
      <c r="CC3104" s="769"/>
      <c r="CD3104" s="769"/>
      <c r="CE3104" s="769"/>
      <c r="CF3104" s="769"/>
      <c r="CG3104" s="73"/>
      <c r="CH3104" s="438"/>
      <c r="CI3104" s="416"/>
      <c r="CJ3104" s="73"/>
      <c r="CK3104" s="650"/>
      <c r="CL3104" s="499"/>
      <c r="CM3104" s="650"/>
      <c r="CR3104" s="416"/>
      <c r="CS3104" s="650"/>
      <c r="CU3104" s="73"/>
      <c r="CV3104" s="73"/>
      <c r="CW3104" s="73"/>
      <c r="CX3104" s="73"/>
      <c r="DA3104" s="650"/>
    </row>
    <row r="3105" spans="1:105" s="45" customFormat="1" x14ac:dyDescent="0.2">
      <c r="A3105" s="650"/>
      <c r="B3105" s="438"/>
      <c r="D3105" s="73"/>
      <c r="E3105" s="650"/>
      <c r="F3105" s="650"/>
      <c r="G3105" s="73"/>
      <c r="I3105" s="111"/>
      <c r="J3105" s="81"/>
      <c r="K3105" s="81"/>
      <c r="L3105" s="499"/>
      <c r="M3105" s="73"/>
      <c r="N3105" s="499"/>
      <c r="O3105" s="73"/>
      <c r="P3105" s="73"/>
      <c r="Q3105" s="73"/>
      <c r="R3105" s="176"/>
      <c r="S3105" s="176"/>
      <c r="T3105" s="176"/>
      <c r="U3105" s="400"/>
      <c r="V3105" s="400"/>
      <c r="W3105" s="732"/>
      <c r="X3105" s="167"/>
      <c r="Y3105" s="509"/>
      <c r="Z3105" s="466"/>
      <c r="AA3105" s="466"/>
      <c r="AB3105" s="466"/>
      <c r="AC3105" s="466"/>
      <c r="AD3105" s="466"/>
      <c r="AE3105" s="466"/>
      <c r="AF3105" s="466"/>
      <c r="AG3105" s="466"/>
      <c r="AH3105" s="466"/>
      <c r="AI3105" s="466"/>
      <c r="AJ3105" s="466"/>
      <c r="AK3105" s="466"/>
      <c r="AL3105" s="466"/>
      <c r="AM3105" s="466"/>
      <c r="AN3105" s="466"/>
      <c r="AO3105" s="466"/>
      <c r="AP3105" s="466"/>
      <c r="AQ3105" s="466"/>
      <c r="AR3105" s="466"/>
      <c r="AS3105" s="466"/>
      <c r="AT3105" s="466"/>
      <c r="AU3105" s="466"/>
      <c r="AV3105" s="466"/>
      <c r="AW3105" s="466"/>
      <c r="AX3105" s="466"/>
      <c r="AY3105" s="466"/>
      <c r="AZ3105" s="466"/>
      <c r="BA3105" s="466"/>
      <c r="BB3105" s="466"/>
      <c r="BC3105" s="466"/>
      <c r="BD3105" s="466"/>
      <c r="BE3105" s="467"/>
      <c r="BF3105" s="467"/>
      <c r="BG3105" s="466"/>
      <c r="BH3105" s="466"/>
      <c r="BI3105" s="467"/>
      <c r="BJ3105" s="467"/>
      <c r="BK3105" s="467"/>
      <c r="BL3105" s="467"/>
      <c r="BM3105" s="467"/>
      <c r="BN3105" s="467"/>
      <c r="BO3105" s="467"/>
      <c r="BP3105" s="467"/>
      <c r="BQ3105" s="467"/>
      <c r="BR3105" s="467"/>
      <c r="BS3105" s="467"/>
      <c r="BT3105" s="467"/>
      <c r="BU3105" s="467"/>
      <c r="BV3105" s="467"/>
      <c r="BW3105" s="467"/>
      <c r="BX3105" s="769"/>
      <c r="BY3105" s="769"/>
      <c r="BZ3105" s="769"/>
      <c r="CA3105" s="769"/>
      <c r="CB3105" s="769"/>
      <c r="CC3105" s="769"/>
      <c r="CD3105" s="769"/>
      <c r="CE3105" s="769"/>
      <c r="CF3105" s="769"/>
      <c r="CG3105" s="73"/>
      <c r="CH3105" s="438"/>
      <c r="CI3105" s="416"/>
      <c r="CJ3105" s="73"/>
      <c r="CK3105" s="650"/>
      <c r="CL3105" s="499"/>
      <c r="CM3105" s="650"/>
      <c r="CR3105" s="416"/>
      <c r="CS3105" s="650"/>
      <c r="CU3105" s="73"/>
      <c r="CV3105" s="73"/>
      <c r="CW3105" s="73"/>
      <c r="CX3105" s="73"/>
      <c r="DA3105" s="650"/>
    </row>
    <row r="3106" spans="1:105" s="45" customFormat="1" x14ac:dyDescent="0.2">
      <c r="A3106" s="650"/>
      <c r="B3106" s="438"/>
      <c r="D3106" s="73"/>
      <c r="E3106" s="650"/>
      <c r="F3106" s="650"/>
      <c r="G3106" s="73"/>
      <c r="I3106" s="111"/>
      <c r="J3106" s="81"/>
      <c r="K3106" s="81"/>
      <c r="L3106" s="499"/>
      <c r="M3106" s="73"/>
      <c r="N3106" s="499"/>
      <c r="O3106" s="73"/>
      <c r="P3106" s="73"/>
      <c r="Q3106" s="73"/>
      <c r="R3106" s="176"/>
      <c r="S3106" s="176"/>
      <c r="T3106" s="176"/>
      <c r="U3106" s="400"/>
      <c r="V3106" s="400"/>
      <c r="W3106" s="732"/>
      <c r="X3106" s="167"/>
      <c r="Y3106" s="509"/>
      <c r="Z3106" s="466"/>
      <c r="AA3106" s="466"/>
      <c r="AB3106" s="466"/>
      <c r="AC3106" s="466"/>
      <c r="AD3106" s="466"/>
      <c r="AE3106" s="466"/>
      <c r="AF3106" s="466"/>
      <c r="AG3106" s="466"/>
      <c r="AH3106" s="466"/>
      <c r="AI3106" s="466"/>
      <c r="AJ3106" s="466"/>
      <c r="AK3106" s="466"/>
      <c r="AL3106" s="466"/>
      <c r="AM3106" s="466"/>
      <c r="AN3106" s="466"/>
      <c r="AO3106" s="466"/>
      <c r="AP3106" s="466"/>
      <c r="AQ3106" s="466"/>
      <c r="AR3106" s="466"/>
      <c r="AS3106" s="466"/>
      <c r="AT3106" s="466"/>
      <c r="AU3106" s="466"/>
      <c r="AV3106" s="466"/>
      <c r="AW3106" s="466"/>
      <c r="AX3106" s="466"/>
      <c r="AY3106" s="466"/>
      <c r="AZ3106" s="466"/>
      <c r="BA3106" s="466"/>
      <c r="BB3106" s="466"/>
      <c r="BC3106" s="466"/>
      <c r="BD3106" s="466"/>
      <c r="BE3106" s="467"/>
      <c r="BF3106" s="467"/>
      <c r="BG3106" s="466"/>
      <c r="BH3106" s="466"/>
      <c r="BI3106" s="467"/>
      <c r="BJ3106" s="467"/>
      <c r="BK3106" s="467"/>
      <c r="BL3106" s="467"/>
      <c r="BM3106" s="467"/>
      <c r="BN3106" s="467"/>
      <c r="BO3106" s="467"/>
      <c r="BP3106" s="467"/>
      <c r="BQ3106" s="467"/>
      <c r="BR3106" s="467"/>
      <c r="BS3106" s="467"/>
      <c r="BT3106" s="467"/>
      <c r="BU3106" s="467"/>
      <c r="BV3106" s="467"/>
      <c r="BW3106" s="467"/>
      <c r="BX3106" s="769"/>
      <c r="BY3106" s="769"/>
      <c r="BZ3106" s="769"/>
      <c r="CA3106" s="769"/>
      <c r="CB3106" s="769"/>
      <c r="CC3106" s="769"/>
      <c r="CD3106" s="769"/>
      <c r="CE3106" s="769"/>
      <c r="CF3106" s="769"/>
      <c r="CG3106" s="73"/>
      <c r="CH3106" s="438"/>
      <c r="CI3106" s="416"/>
      <c r="CJ3106" s="73"/>
      <c r="CK3106" s="650"/>
      <c r="CL3106" s="499"/>
      <c r="CM3106" s="650"/>
      <c r="CR3106" s="416"/>
      <c r="CS3106" s="650"/>
      <c r="CU3106" s="73"/>
      <c r="CV3106" s="73"/>
      <c r="CW3106" s="73"/>
      <c r="CX3106" s="73"/>
      <c r="DA3106" s="650"/>
    </row>
    <row r="3107" spans="1:105" s="45" customFormat="1" x14ac:dyDescent="0.2">
      <c r="A3107" s="650"/>
      <c r="B3107" s="438"/>
      <c r="D3107" s="73"/>
      <c r="E3107" s="650"/>
      <c r="F3107" s="650"/>
      <c r="G3107" s="73"/>
      <c r="I3107" s="111"/>
      <c r="J3107" s="81"/>
      <c r="K3107" s="81"/>
      <c r="L3107" s="499"/>
      <c r="M3107" s="73"/>
      <c r="N3107" s="499"/>
      <c r="O3107" s="73"/>
      <c r="P3107" s="73"/>
      <c r="Q3107" s="73"/>
      <c r="R3107" s="176"/>
      <c r="S3107" s="176"/>
      <c r="T3107" s="176"/>
      <c r="U3107" s="400"/>
      <c r="V3107" s="400"/>
      <c r="W3107" s="732"/>
      <c r="X3107" s="167"/>
      <c r="Y3107" s="509"/>
      <c r="Z3107" s="466"/>
      <c r="AA3107" s="466"/>
      <c r="AB3107" s="466"/>
      <c r="AC3107" s="466"/>
      <c r="AD3107" s="466"/>
      <c r="AE3107" s="466"/>
      <c r="AF3107" s="466"/>
      <c r="AG3107" s="466"/>
      <c r="AH3107" s="466"/>
      <c r="AI3107" s="466"/>
      <c r="AJ3107" s="466"/>
      <c r="AK3107" s="466"/>
      <c r="AL3107" s="466"/>
      <c r="AM3107" s="466"/>
      <c r="AN3107" s="466"/>
      <c r="AO3107" s="466"/>
      <c r="AP3107" s="466"/>
      <c r="AQ3107" s="466"/>
      <c r="AR3107" s="466"/>
      <c r="AS3107" s="466"/>
      <c r="AT3107" s="466"/>
      <c r="AU3107" s="466"/>
      <c r="AV3107" s="466"/>
      <c r="AW3107" s="466"/>
      <c r="AX3107" s="466"/>
      <c r="AY3107" s="466"/>
      <c r="AZ3107" s="466"/>
      <c r="BA3107" s="466"/>
      <c r="BB3107" s="466"/>
      <c r="BC3107" s="466"/>
      <c r="BD3107" s="466"/>
      <c r="BE3107" s="467"/>
      <c r="BF3107" s="467"/>
      <c r="BG3107" s="466"/>
      <c r="BH3107" s="466"/>
      <c r="BI3107" s="467"/>
      <c r="BJ3107" s="467"/>
      <c r="BK3107" s="467"/>
      <c r="BL3107" s="467"/>
      <c r="BM3107" s="467"/>
      <c r="BN3107" s="467"/>
      <c r="BO3107" s="467"/>
      <c r="BP3107" s="467"/>
      <c r="BQ3107" s="467"/>
      <c r="BR3107" s="467"/>
      <c r="BS3107" s="467"/>
      <c r="BT3107" s="467"/>
      <c r="BU3107" s="467"/>
      <c r="BV3107" s="467"/>
      <c r="BW3107" s="467"/>
      <c r="BX3107" s="769"/>
      <c r="BY3107" s="769"/>
      <c r="BZ3107" s="769"/>
      <c r="CA3107" s="769"/>
      <c r="CB3107" s="769"/>
      <c r="CC3107" s="769"/>
      <c r="CD3107" s="769"/>
      <c r="CE3107" s="769"/>
      <c r="CF3107" s="769"/>
      <c r="CG3107" s="73"/>
      <c r="CH3107" s="438"/>
      <c r="CI3107" s="416"/>
      <c r="CJ3107" s="73"/>
      <c r="CK3107" s="650"/>
      <c r="CL3107" s="499"/>
      <c r="CM3107" s="650"/>
      <c r="CR3107" s="416"/>
      <c r="CS3107" s="650"/>
      <c r="CU3107" s="73"/>
      <c r="CV3107" s="73"/>
      <c r="CW3107" s="73"/>
      <c r="CX3107" s="73"/>
      <c r="DA3107" s="650"/>
    </row>
    <row r="3108" spans="1:105" s="45" customFormat="1" x14ac:dyDescent="0.2">
      <c r="A3108" s="650"/>
      <c r="B3108" s="438"/>
      <c r="D3108" s="73"/>
      <c r="E3108" s="650"/>
      <c r="F3108" s="650"/>
      <c r="G3108" s="73"/>
      <c r="I3108" s="111"/>
      <c r="J3108" s="81"/>
      <c r="K3108" s="81"/>
      <c r="L3108" s="499"/>
      <c r="M3108" s="73"/>
      <c r="N3108" s="499"/>
      <c r="O3108" s="73"/>
      <c r="P3108" s="73"/>
      <c r="Q3108" s="73"/>
      <c r="R3108" s="176"/>
      <c r="S3108" s="176"/>
      <c r="T3108" s="176"/>
      <c r="U3108" s="400"/>
      <c r="V3108" s="400"/>
      <c r="W3108" s="732"/>
      <c r="X3108" s="167"/>
      <c r="Y3108" s="509"/>
      <c r="Z3108" s="466"/>
      <c r="AA3108" s="466"/>
      <c r="AB3108" s="466"/>
      <c r="AC3108" s="466"/>
      <c r="AD3108" s="466"/>
      <c r="AE3108" s="466"/>
      <c r="AF3108" s="466"/>
      <c r="AG3108" s="466"/>
      <c r="AH3108" s="466"/>
      <c r="AI3108" s="466"/>
      <c r="AJ3108" s="466"/>
      <c r="AK3108" s="466"/>
      <c r="AL3108" s="466"/>
      <c r="AM3108" s="466"/>
      <c r="AN3108" s="466"/>
      <c r="AO3108" s="466"/>
      <c r="AP3108" s="466"/>
      <c r="AQ3108" s="466"/>
      <c r="AR3108" s="466"/>
      <c r="AS3108" s="466"/>
      <c r="AT3108" s="466"/>
      <c r="AU3108" s="466"/>
      <c r="AV3108" s="466"/>
      <c r="AW3108" s="466"/>
      <c r="AX3108" s="466"/>
      <c r="AY3108" s="466"/>
      <c r="AZ3108" s="466"/>
      <c r="BA3108" s="466"/>
      <c r="BB3108" s="466"/>
      <c r="BC3108" s="466"/>
      <c r="BD3108" s="466"/>
      <c r="BE3108" s="467"/>
      <c r="BF3108" s="467"/>
      <c r="BG3108" s="466"/>
      <c r="BH3108" s="466"/>
      <c r="BI3108" s="467"/>
      <c r="BJ3108" s="467"/>
      <c r="BK3108" s="467"/>
      <c r="BL3108" s="467"/>
      <c r="BM3108" s="467"/>
      <c r="BN3108" s="467"/>
      <c r="BO3108" s="467"/>
      <c r="BP3108" s="467"/>
      <c r="BQ3108" s="467"/>
      <c r="BR3108" s="467"/>
      <c r="BS3108" s="467"/>
      <c r="BT3108" s="467"/>
      <c r="BU3108" s="467"/>
      <c r="BV3108" s="467"/>
      <c r="BW3108" s="467"/>
      <c r="BX3108" s="769"/>
      <c r="BY3108" s="769"/>
      <c r="BZ3108" s="769"/>
      <c r="CA3108" s="769"/>
      <c r="CB3108" s="769"/>
      <c r="CC3108" s="769"/>
      <c r="CD3108" s="769"/>
      <c r="CE3108" s="769"/>
      <c r="CF3108" s="769"/>
      <c r="CG3108" s="73"/>
      <c r="CH3108" s="438"/>
      <c r="CI3108" s="416"/>
      <c r="CJ3108" s="73"/>
      <c r="CK3108" s="650"/>
      <c r="CL3108" s="499"/>
      <c r="CM3108" s="650"/>
      <c r="CR3108" s="416"/>
      <c r="CS3108" s="650"/>
      <c r="CU3108" s="73"/>
      <c r="CV3108" s="73"/>
      <c r="CW3108" s="73"/>
      <c r="CX3108" s="73"/>
      <c r="DA3108" s="650"/>
    </row>
    <row r="3109" spans="1:105" s="45" customFormat="1" x14ac:dyDescent="0.2">
      <c r="A3109" s="650"/>
      <c r="B3109" s="438"/>
      <c r="D3109" s="73"/>
      <c r="E3109" s="650"/>
      <c r="F3109" s="650"/>
      <c r="G3109" s="73"/>
      <c r="I3109" s="111"/>
      <c r="J3109" s="81"/>
      <c r="K3109" s="81"/>
      <c r="L3109" s="499"/>
      <c r="M3109" s="73"/>
      <c r="N3109" s="499"/>
      <c r="O3109" s="73"/>
      <c r="P3109" s="73"/>
      <c r="Q3109" s="73"/>
      <c r="R3109" s="176"/>
      <c r="S3109" s="176"/>
      <c r="T3109" s="176"/>
      <c r="U3109" s="400"/>
      <c r="V3109" s="400"/>
      <c r="W3109" s="732"/>
      <c r="X3109" s="167"/>
      <c r="Y3109" s="509"/>
      <c r="Z3109" s="466"/>
      <c r="AA3109" s="466"/>
      <c r="AB3109" s="466"/>
      <c r="AC3109" s="466"/>
      <c r="AD3109" s="466"/>
      <c r="AE3109" s="466"/>
      <c r="AF3109" s="466"/>
      <c r="AG3109" s="466"/>
      <c r="AH3109" s="466"/>
      <c r="AI3109" s="466"/>
      <c r="AJ3109" s="466"/>
      <c r="AK3109" s="466"/>
      <c r="AL3109" s="466"/>
      <c r="AM3109" s="466"/>
      <c r="AN3109" s="466"/>
      <c r="AO3109" s="466"/>
      <c r="AP3109" s="466"/>
      <c r="AQ3109" s="466"/>
      <c r="AR3109" s="466"/>
      <c r="AS3109" s="466"/>
      <c r="AT3109" s="466"/>
      <c r="AU3109" s="466"/>
      <c r="AV3109" s="466"/>
      <c r="AW3109" s="466"/>
      <c r="AX3109" s="466"/>
      <c r="AY3109" s="466"/>
      <c r="AZ3109" s="466"/>
      <c r="BA3109" s="466"/>
      <c r="BB3109" s="466"/>
      <c r="BC3109" s="466"/>
      <c r="BD3109" s="466"/>
      <c r="BE3109" s="467"/>
      <c r="BF3109" s="467"/>
      <c r="BG3109" s="466"/>
      <c r="BH3109" s="466"/>
      <c r="BI3109" s="467"/>
      <c r="BJ3109" s="467"/>
      <c r="BK3109" s="467"/>
      <c r="BL3109" s="467"/>
      <c r="BM3109" s="467"/>
      <c r="BN3109" s="467"/>
      <c r="BO3109" s="467"/>
      <c r="BP3109" s="467"/>
      <c r="BQ3109" s="467"/>
      <c r="BR3109" s="467"/>
      <c r="BS3109" s="467"/>
      <c r="BT3109" s="467"/>
      <c r="BU3109" s="467"/>
      <c r="BV3109" s="467"/>
      <c r="BW3109" s="467"/>
      <c r="BX3109" s="769"/>
      <c r="BY3109" s="769"/>
      <c r="BZ3109" s="769"/>
      <c r="CA3109" s="769"/>
      <c r="CB3109" s="769"/>
      <c r="CC3109" s="769"/>
      <c r="CD3109" s="769"/>
      <c r="CE3109" s="769"/>
      <c r="CF3109" s="769"/>
      <c r="CG3109" s="73"/>
      <c r="CH3109" s="438"/>
      <c r="CI3109" s="416"/>
      <c r="CJ3109" s="73"/>
      <c r="CK3109" s="650"/>
      <c r="CL3109" s="499"/>
      <c r="CM3109" s="650"/>
      <c r="CR3109" s="416"/>
      <c r="CS3109" s="650"/>
      <c r="CU3109" s="73"/>
      <c r="CV3109" s="73"/>
      <c r="CW3109" s="73"/>
      <c r="CX3109" s="73"/>
      <c r="DA3109" s="650"/>
    </row>
    <row r="3110" spans="1:105" s="45" customFormat="1" x14ac:dyDescent="0.2">
      <c r="A3110" s="650"/>
      <c r="B3110" s="438"/>
      <c r="D3110" s="73"/>
      <c r="E3110" s="650"/>
      <c r="F3110" s="650"/>
      <c r="G3110" s="73"/>
      <c r="I3110" s="111"/>
      <c r="J3110" s="81"/>
      <c r="K3110" s="81"/>
      <c r="L3110" s="499"/>
      <c r="M3110" s="73"/>
      <c r="N3110" s="499"/>
      <c r="O3110" s="73"/>
      <c r="P3110" s="73"/>
      <c r="Q3110" s="73"/>
      <c r="R3110" s="176"/>
      <c r="S3110" s="176"/>
      <c r="T3110" s="176"/>
      <c r="U3110" s="400"/>
      <c r="V3110" s="400"/>
      <c r="W3110" s="732"/>
      <c r="X3110" s="167"/>
      <c r="Y3110" s="509"/>
      <c r="Z3110" s="466"/>
      <c r="AA3110" s="466"/>
      <c r="AB3110" s="466"/>
      <c r="AC3110" s="466"/>
      <c r="AD3110" s="466"/>
      <c r="AE3110" s="466"/>
      <c r="AF3110" s="466"/>
      <c r="AG3110" s="466"/>
      <c r="AH3110" s="466"/>
      <c r="AI3110" s="466"/>
      <c r="AJ3110" s="466"/>
      <c r="AK3110" s="466"/>
      <c r="AL3110" s="466"/>
      <c r="AM3110" s="466"/>
      <c r="AN3110" s="466"/>
      <c r="AO3110" s="466"/>
      <c r="AP3110" s="466"/>
      <c r="AQ3110" s="466"/>
      <c r="AR3110" s="466"/>
      <c r="AS3110" s="466"/>
      <c r="AT3110" s="466"/>
      <c r="AU3110" s="466"/>
      <c r="AV3110" s="466"/>
      <c r="AW3110" s="466"/>
      <c r="AX3110" s="466"/>
      <c r="AY3110" s="466"/>
      <c r="AZ3110" s="466"/>
      <c r="BA3110" s="466"/>
      <c r="BB3110" s="466"/>
      <c r="BC3110" s="466"/>
      <c r="BD3110" s="466"/>
      <c r="BE3110" s="467"/>
      <c r="BF3110" s="467"/>
      <c r="BG3110" s="466"/>
      <c r="BH3110" s="466"/>
      <c r="BI3110" s="467"/>
      <c r="BJ3110" s="467"/>
      <c r="BK3110" s="467"/>
      <c r="BL3110" s="467"/>
      <c r="BM3110" s="467"/>
      <c r="BN3110" s="467"/>
      <c r="BO3110" s="467"/>
      <c r="BP3110" s="467"/>
      <c r="BQ3110" s="467"/>
      <c r="BR3110" s="467"/>
      <c r="BS3110" s="467"/>
      <c r="BT3110" s="467"/>
      <c r="BU3110" s="467"/>
      <c r="BV3110" s="467"/>
      <c r="BW3110" s="467"/>
      <c r="BX3110" s="769"/>
      <c r="BY3110" s="769"/>
      <c r="BZ3110" s="769"/>
      <c r="CA3110" s="769"/>
      <c r="CB3110" s="769"/>
      <c r="CC3110" s="769"/>
      <c r="CD3110" s="769"/>
      <c r="CE3110" s="769"/>
      <c r="CF3110" s="769"/>
      <c r="CG3110" s="73"/>
      <c r="CH3110" s="438"/>
      <c r="CI3110" s="416"/>
      <c r="CJ3110" s="73"/>
      <c r="CK3110" s="650"/>
      <c r="CL3110" s="499"/>
      <c r="CM3110" s="650"/>
      <c r="CR3110" s="416"/>
      <c r="CS3110" s="650"/>
      <c r="CU3110" s="73"/>
      <c r="CV3110" s="73"/>
      <c r="CW3110" s="73"/>
      <c r="CX3110" s="73"/>
      <c r="DA3110" s="650"/>
    </row>
    <row r="3111" spans="1:105" s="45" customFormat="1" x14ac:dyDescent="0.2">
      <c r="A3111" s="650"/>
      <c r="B3111" s="438"/>
      <c r="D3111" s="73"/>
      <c r="E3111" s="650"/>
      <c r="F3111" s="650"/>
      <c r="G3111" s="73"/>
      <c r="I3111" s="111"/>
      <c r="J3111" s="81"/>
      <c r="K3111" s="81"/>
      <c r="L3111" s="499"/>
      <c r="M3111" s="73"/>
      <c r="N3111" s="499"/>
      <c r="O3111" s="73"/>
      <c r="P3111" s="73"/>
      <c r="Q3111" s="73"/>
      <c r="R3111" s="176"/>
      <c r="S3111" s="176"/>
      <c r="T3111" s="176"/>
      <c r="U3111" s="400"/>
      <c r="V3111" s="400"/>
      <c r="W3111" s="732"/>
      <c r="X3111" s="167"/>
      <c r="Y3111" s="509"/>
      <c r="Z3111" s="466"/>
      <c r="AA3111" s="466"/>
      <c r="AB3111" s="466"/>
      <c r="AC3111" s="466"/>
      <c r="AD3111" s="466"/>
      <c r="AE3111" s="466"/>
      <c r="AF3111" s="466"/>
      <c r="AG3111" s="466"/>
      <c r="AH3111" s="466"/>
      <c r="AI3111" s="466"/>
      <c r="AJ3111" s="466"/>
      <c r="AK3111" s="466"/>
      <c r="AL3111" s="466"/>
      <c r="AM3111" s="466"/>
      <c r="AN3111" s="466"/>
      <c r="AO3111" s="466"/>
      <c r="AP3111" s="466"/>
      <c r="AQ3111" s="466"/>
      <c r="AR3111" s="466"/>
      <c r="AS3111" s="466"/>
      <c r="AT3111" s="466"/>
      <c r="AU3111" s="466"/>
      <c r="AV3111" s="466"/>
      <c r="AW3111" s="466"/>
      <c r="AX3111" s="466"/>
      <c r="AY3111" s="466"/>
      <c r="AZ3111" s="466"/>
      <c r="BA3111" s="466"/>
      <c r="BB3111" s="466"/>
      <c r="BC3111" s="466"/>
      <c r="BD3111" s="466"/>
      <c r="BE3111" s="467"/>
      <c r="BF3111" s="467"/>
      <c r="BG3111" s="466"/>
      <c r="BH3111" s="466"/>
      <c r="BI3111" s="467"/>
      <c r="BJ3111" s="467"/>
      <c r="BK3111" s="467"/>
      <c r="BL3111" s="467"/>
      <c r="BM3111" s="467"/>
      <c r="BN3111" s="467"/>
      <c r="BO3111" s="467"/>
      <c r="BP3111" s="467"/>
      <c r="BQ3111" s="467"/>
      <c r="BR3111" s="467"/>
      <c r="BS3111" s="467"/>
      <c r="BT3111" s="467"/>
      <c r="BU3111" s="467"/>
      <c r="BV3111" s="467"/>
      <c r="BW3111" s="467"/>
      <c r="BX3111" s="769"/>
      <c r="BY3111" s="769"/>
      <c r="BZ3111" s="769"/>
      <c r="CA3111" s="769"/>
      <c r="CB3111" s="769"/>
      <c r="CC3111" s="769"/>
      <c r="CD3111" s="769"/>
      <c r="CE3111" s="769"/>
      <c r="CF3111" s="769"/>
      <c r="CG3111" s="73"/>
      <c r="CH3111" s="438"/>
      <c r="CI3111" s="416"/>
      <c r="CJ3111" s="73"/>
      <c r="CK3111" s="650"/>
      <c r="CL3111" s="499"/>
      <c r="CM3111" s="650"/>
      <c r="CR3111" s="416"/>
      <c r="CS3111" s="650"/>
      <c r="CU3111" s="73"/>
      <c r="CV3111" s="73"/>
      <c r="CW3111" s="73"/>
      <c r="CX3111" s="73"/>
      <c r="DA3111" s="650"/>
    </row>
    <row r="3112" spans="1:105" s="45" customFormat="1" x14ac:dyDescent="0.2">
      <c r="A3112" s="650"/>
      <c r="B3112" s="438"/>
      <c r="D3112" s="73"/>
      <c r="E3112" s="650"/>
      <c r="F3112" s="650"/>
      <c r="G3112" s="73"/>
      <c r="I3112" s="111"/>
      <c r="J3112" s="81"/>
      <c r="K3112" s="81"/>
      <c r="L3112" s="499"/>
      <c r="M3112" s="73"/>
      <c r="N3112" s="499"/>
      <c r="O3112" s="73"/>
      <c r="P3112" s="73"/>
      <c r="Q3112" s="73"/>
      <c r="R3112" s="176"/>
      <c r="S3112" s="176"/>
      <c r="T3112" s="176"/>
      <c r="U3112" s="400"/>
      <c r="V3112" s="400"/>
      <c r="W3112" s="732"/>
      <c r="X3112" s="167"/>
      <c r="Y3112" s="509"/>
      <c r="Z3112" s="466"/>
      <c r="AA3112" s="466"/>
      <c r="AB3112" s="466"/>
      <c r="AC3112" s="466"/>
      <c r="AD3112" s="466"/>
      <c r="AE3112" s="466"/>
      <c r="AF3112" s="466"/>
      <c r="AG3112" s="466"/>
      <c r="AH3112" s="466"/>
      <c r="AI3112" s="466"/>
      <c r="AJ3112" s="466"/>
      <c r="AK3112" s="466"/>
      <c r="AL3112" s="466"/>
      <c r="AM3112" s="466"/>
      <c r="AN3112" s="466"/>
      <c r="AO3112" s="466"/>
      <c r="AP3112" s="466"/>
      <c r="AQ3112" s="466"/>
      <c r="AR3112" s="466"/>
      <c r="AS3112" s="466"/>
      <c r="AT3112" s="466"/>
      <c r="AU3112" s="466"/>
      <c r="AV3112" s="466"/>
      <c r="AW3112" s="466"/>
      <c r="AX3112" s="466"/>
      <c r="AY3112" s="466"/>
      <c r="AZ3112" s="466"/>
      <c r="BA3112" s="466"/>
      <c r="BB3112" s="466"/>
      <c r="BC3112" s="466"/>
      <c r="BD3112" s="466"/>
      <c r="BE3112" s="467"/>
      <c r="BF3112" s="467"/>
      <c r="BG3112" s="466"/>
      <c r="BH3112" s="466"/>
      <c r="BI3112" s="467"/>
      <c r="BJ3112" s="467"/>
      <c r="BK3112" s="467"/>
      <c r="BL3112" s="467"/>
      <c r="BM3112" s="467"/>
      <c r="BN3112" s="467"/>
      <c r="BO3112" s="467"/>
      <c r="BP3112" s="467"/>
      <c r="BQ3112" s="467"/>
      <c r="BR3112" s="467"/>
      <c r="BS3112" s="467"/>
      <c r="BT3112" s="467"/>
      <c r="BU3112" s="467"/>
      <c r="BV3112" s="467"/>
      <c r="BW3112" s="467"/>
      <c r="BX3112" s="769"/>
      <c r="BY3112" s="769"/>
      <c r="BZ3112" s="769"/>
      <c r="CA3112" s="769"/>
      <c r="CB3112" s="769"/>
      <c r="CC3112" s="769"/>
      <c r="CD3112" s="769"/>
      <c r="CE3112" s="769"/>
      <c r="CF3112" s="769"/>
      <c r="CG3112" s="73"/>
      <c r="CH3112" s="438"/>
      <c r="CI3112" s="416"/>
      <c r="CJ3112" s="73"/>
      <c r="CK3112" s="650"/>
      <c r="CL3112" s="499"/>
      <c r="CM3112" s="650"/>
      <c r="CR3112" s="416"/>
      <c r="CS3112" s="650"/>
      <c r="CU3112" s="73"/>
      <c r="CV3112" s="73"/>
      <c r="CW3112" s="73"/>
      <c r="CX3112" s="73"/>
      <c r="DA3112" s="650"/>
    </row>
    <row r="3113" spans="1:105" s="45" customFormat="1" x14ac:dyDescent="0.2">
      <c r="A3113" s="650"/>
      <c r="B3113" s="438"/>
      <c r="D3113" s="73"/>
      <c r="E3113" s="650"/>
      <c r="F3113" s="650"/>
      <c r="G3113" s="73"/>
      <c r="I3113" s="111"/>
      <c r="J3113" s="81"/>
      <c r="K3113" s="81"/>
      <c r="L3113" s="499"/>
      <c r="M3113" s="73"/>
      <c r="N3113" s="499"/>
      <c r="O3113" s="73"/>
      <c r="P3113" s="73"/>
      <c r="Q3113" s="73"/>
      <c r="R3113" s="176"/>
      <c r="S3113" s="176"/>
      <c r="T3113" s="176"/>
      <c r="U3113" s="400"/>
      <c r="V3113" s="400"/>
      <c r="W3113" s="732"/>
      <c r="X3113" s="167"/>
      <c r="Y3113" s="509"/>
      <c r="Z3113" s="466"/>
      <c r="AA3113" s="466"/>
      <c r="AB3113" s="466"/>
      <c r="AC3113" s="466"/>
      <c r="AD3113" s="466"/>
      <c r="AE3113" s="466"/>
      <c r="AF3113" s="466"/>
      <c r="AG3113" s="466"/>
      <c r="AH3113" s="466"/>
      <c r="AI3113" s="466"/>
      <c r="AJ3113" s="466"/>
      <c r="AK3113" s="466"/>
      <c r="AL3113" s="466"/>
      <c r="AM3113" s="466"/>
      <c r="AN3113" s="466"/>
      <c r="AO3113" s="466"/>
      <c r="AP3113" s="466"/>
      <c r="AQ3113" s="466"/>
      <c r="AR3113" s="466"/>
      <c r="AS3113" s="466"/>
      <c r="AT3113" s="466"/>
      <c r="AU3113" s="466"/>
      <c r="AV3113" s="466"/>
      <c r="AW3113" s="466"/>
      <c r="AX3113" s="466"/>
      <c r="AY3113" s="466"/>
      <c r="AZ3113" s="466"/>
      <c r="BA3113" s="466"/>
      <c r="BB3113" s="466"/>
      <c r="BC3113" s="466"/>
      <c r="BD3113" s="466"/>
      <c r="BE3113" s="467"/>
      <c r="BF3113" s="467"/>
      <c r="BG3113" s="466"/>
      <c r="BH3113" s="466"/>
      <c r="BI3113" s="467"/>
      <c r="BJ3113" s="467"/>
      <c r="BK3113" s="467"/>
      <c r="BL3113" s="467"/>
      <c r="BM3113" s="467"/>
      <c r="BN3113" s="467"/>
      <c r="BO3113" s="467"/>
      <c r="BP3113" s="467"/>
      <c r="BQ3113" s="467"/>
      <c r="BR3113" s="467"/>
      <c r="BS3113" s="467"/>
      <c r="BT3113" s="467"/>
      <c r="BU3113" s="467"/>
      <c r="BV3113" s="467"/>
      <c r="BW3113" s="467"/>
      <c r="BX3113" s="769"/>
      <c r="BY3113" s="769"/>
      <c r="BZ3113" s="769"/>
      <c r="CA3113" s="769"/>
      <c r="CB3113" s="769"/>
      <c r="CC3113" s="769"/>
      <c r="CD3113" s="769"/>
      <c r="CE3113" s="769"/>
      <c r="CF3113" s="769"/>
      <c r="CG3113" s="73"/>
      <c r="CH3113" s="438"/>
      <c r="CI3113" s="416"/>
      <c r="CJ3113" s="73"/>
      <c r="CK3113" s="650"/>
      <c r="CL3113" s="499"/>
      <c r="CM3113" s="650"/>
      <c r="CR3113" s="416"/>
      <c r="CS3113" s="650"/>
      <c r="CU3113" s="73"/>
      <c r="CV3113" s="73"/>
      <c r="CW3113" s="73"/>
      <c r="CX3113" s="73"/>
      <c r="DA3113" s="650"/>
    </row>
    <row r="3114" spans="1:105" s="45" customFormat="1" x14ac:dyDescent="0.2">
      <c r="A3114" s="650"/>
      <c r="B3114" s="438"/>
      <c r="D3114" s="73"/>
      <c r="E3114" s="650"/>
      <c r="F3114" s="650"/>
      <c r="G3114" s="73"/>
      <c r="I3114" s="111"/>
      <c r="J3114" s="81"/>
      <c r="K3114" s="81"/>
      <c r="L3114" s="499"/>
      <c r="M3114" s="73"/>
      <c r="N3114" s="499"/>
      <c r="O3114" s="73"/>
      <c r="P3114" s="73"/>
      <c r="Q3114" s="73"/>
      <c r="R3114" s="176"/>
      <c r="S3114" s="176"/>
      <c r="T3114" s="176"/>
      <c r="U3114" s="400"/>
      <c r="V3114" s="400"/>
      <c r="W3114" s="732"/>
      <c r="X3114" s="167"/>
      <c r="Y3114" s="509"/>
      <c r="Z3114" s="466"/>
      <c r="AA3114" s="466"/>
      <c r="AB3114" s="466"/>
      <c r="AC3114" s="466"/>
      <c r="AD3114" s="466"/>
      <c r="AE3114" s="466"/>
      <c r="AF3114" s="466"/>
      <c r="AG3114" s="466"/>
      <c r="AH3114" s="466"/>
      <c r="AI3114" s="466"/>
      <c r="AJ3114" s="466"/>
      <c r="AK3114" s="466"/>
      <c r="AL3114" s="466"/>
      <c r="AM3114" s="466"/>
      <c r="AN3114" s="466"/>
      <c r="AO3114" s="466"/>
      <c r="AP3114" s="466"/>
      <c r="AQ3114" s="466"/>
      <c r="AR3114" s="466"/>
      <c r="AS3114" s="466"/>
      <c r="AT3114" s="466"/>
      <c r="AU3114" s="466"/>
      <c r="AV3114" s="466"/>
      <c r="AW3114" s="466"/>
      <c r="AX3114" s="466"/>
      <c r="AY3114" s="466"/>
      <c r="AZ3114" s="466"/>
      <c r="BA3114" s="466"/>
      <c r="BB3114" s="466"/>
      <c r="BC3114" s="466"/>
      <c r="BD3114" s="466"/>
      <c r="BE3114" s="467"/>
      <c r="BF3114" s="467"/>
      <c r="BG3114" s="466"/>
      <c r="BH3114" s="466"/>
      <c r="BI3114" s="467"/>
      <c r="BJ3114" s="467"/>
      <c r="BK3114" s="467"/>
      <c r="BL3114" s="467"/>
      <c r="BM3114" s="467"/>
      <c r="BN3114" s="467"/>
      <c r="BO3114" s="467"/>
      <c r="BP3114" s="467"/>
      <c r="BQ3114" s="467"/>
      <c r="BR3114" s="467"/>
      <c r="BS3114" s="467"/>
      <c r="BT3114" s="467"/>
      <c r="BU3114" s="467"/>
      <c r="BV3114" s="467"/>
      <c r="BW3114" s="467"/>
      <c r="BX3114" s="769"/>
      <c r="BY3114" s="769"/>
      <c r="BZ3114" s="769"/>
      <c r="CA3114" s="769"/>
      <c r="CB3114" s="769"/>
      <c r="CC3114" s="769"/>
      <c r="CD3114" s="769"/>
      <c r="CE3114" s="769"/>
      <c r="CF3114" s="769"/>
      <c r="CG3114" s="73"/>
      <c r="CH3114" s="438"/>
      <c r="CI3114" s="416"/>
      <c r="CJ3114" s="73"/>
      <c r="CK3114" s="650"/>
      <c r="CL3114" s="499"/>
      <c r="CM3114" s="650"/>
      <c r="CR3114" s="416"/>
      <c r="CS3114" s="650"/>
      <c r="CU3114" s="73"/>
      <c r="CV3114" s="73"/>
      <c r="CW3114" s="73"/>
      <c r="CX3114" s="73"/>
      <c r="DA3114" s="650"/>
    </row>
    <row r="3115" spans="1:105" s="45" customFormat="1" x14ac:dyDescent="0.2">
      <c r="A3115" s="650"/>
      <c r="B3115" s="438"/>
      <c r="D3115" s="73"/>
      <c r="E3115" s="650"/>
      <c r="F3115" s="650"/>
      <c r="G3115" s="73"/>
      <c r="I3115" s="111"/>
      <c r="J3115" s="81"/>
      <c r="K3115" s="81"/>
      <c r="L3115" s="499"/>
      <c r="M3115" s="73"/>
      <c r="N3115" s="499"/>
      <c r="O3115" s="73"/>
      <c r="P3115" s="73"/>
      <c r="Q3115" s="73"/>
      <c r="R3115" s="176"/>
      <c r="S3115" s="176"/>
      <c r="T3115" s="176"/>
      <c r="U3115" s="400"/>
      <c r="V3115" s="400"/>
      <c r="W3115" s="732"/>
      <c r="X3115" s="167"/>
      <c r="Y3115" s="509"/>
      <c r="Z3115" s="466"/>
      <c r="AA3115" s="466"/>
      <c r="AB3115" s="466"/>
      <c r="AC3115" s="466"/>
      <c r="AD3115" s="466"/>
      <c r="AE3115" s="466"/>
      <c r="AF3115" s="466"/>
      <c r="AG3115" s="466"/>
      <c r="AH3115" s="466"/>
      <c r="AI3115" s="466"/>
      <c r="AJ3115" s="466"/>
      <c r="AK3115" s="466"/>
      <c r="AL3115" s="466"/>
      <c r="AM3115" s="466"/>
      <c r="AN3115" s="466"/>
      <c r="AO3115" s="466"/>
      <c r="AP3115" s="466"/>
      <c r="AQ3115" s="466"/>
      <c r="AR3115" s="466"/>
      <c r="AS3115" s="466"/>
      <c r="AT3115" s="466"/>
      <c r="AU3115" s="466"/>
      <c r="AV3115" s="466"/>
      <c r="AW3115" s="466"/>
      <c r="AX3115" s="466"/>
      <c r="AY3115" s="466"/>
      <c r="AZ3115" s="466"/>
      <c r="BA3115" s="466"/>
      <c r="BB3115" s="466"/>
      <c r="BC3115" s="466"/>
      <c r="BD3115" s="466"/>
      <c r="BE3115" s="467"/>
      <c r="BF3115" s="467"/>
      <c r="BG3115" s="466"/>
      <c r="BH3115" s="466"/>
      <c r="BI3115" s="467"/>
      <c r="BJ3115" s="467"/>
      <c r="BK3115" s="467"/>
      <c r="BL3115" s="467"/>
      <c r="BM3115" s="467"/>
      <c r="BN3115" s="467"/>
      <c r="BO3115" s="467"/>
      <c r="BP3115" s="467"/>
      <c r="BQ3115" s="467"/>
      <c r="BR3115" s="467"/>
      <c r="BS3115" s="467"/>
      <c r="BT3115" s="467"/>
      <c r="BU3115" s="467"/>
      <c r="BV3115" s="467"/>
      <c r="BW3115" s="467"/>
      <c r="BX3115" s="769"/>
      <c r="BY3115" s="769"/>
      <c r="BZ3115" s="769"/>
      <c r="CA3115" s="769"/>
      <c r="CB3115" s="769"/>
      <c r="CC3115" s="769"/>
      <c r="CD3115" s="769"/>
      <c r="CE3115" s="769"/>
      <c r="CF3115" s="769"/>
      <c r="CG3115" s="73"/>
      <c r="CH3115" s="438"/>
      <c r="CI3115" s="416"/>
      <c r="CJ3115" s="73"/>
      <c r="CK3115" s="650"/>
      <c r="CL3115" s="499"/>
      <c r="CM3115" s="650"/>
      <c r="CR3115" s="416"/>
      <c r="CS3115" s="650"/>
      <c r="CU3115" s="73"/>
      <c r="CV3115" s="73"/>
      <c r="CW3115" s="73"/>
      <c r="CX3115" s="73"/>
      <c r="DA3115" s="650"/>
    </row>
    <row r="3116" spans="1:105" s="45" customFormat="1" x14ac:dyDescent="0.2">
      <c r="A3116" s="650"/>
      <c r="B3116" s="438"/>
      <c r="D3116" s="73"/>
      <c r="E3116" s="650"/>
      <c r="F3116" s="650"/>
      <c r="G3116" s="73"/>
      <c r="I3116" s="111"/>
      <c r="J3116" s="81"/>
      <c r="K3116" s="81"/>
      <c r="L3116" s="499"/>
      <c r="M3116" s="73"/>
      <c r="N3116" s="499"/>
      <c r="O3116" s="73"/>
      <c r="P3116" s="73"/>
      <c r="Q3116" s="73"/>
      <c r="R3116" s="176"/>
      <c r="S3116" s="176"/>
      <c r="T3116" s="176"/>
      <c r="U3116" s="400"/>
      <c r="V3116" s="400"/>
      <c r="W3116" s="732"/>
      <c r="X3116" s="167"/>
      <c r="Y3116" s="509"/>
      <c r="Z3116" s="466"/>
      <c r="AA3116" s="466"/>
      <c r="AB3116" s="466"/>
      <c r="AC3116" s="466"/>
      <c r="AD3116" s="466"/>
      <c r="AE3116" s="466"/>
      <c r="AF3116" s="466"/>
      <c r="AG3116" s="466"/>
      <c r="AH3116" s="466"/>
      <c r="AI3116" s="466"/>
      <c r="AJ3116" s="466"/>
      <c r="AK3116" s="466"/>
      <c r="AL3116" s="466"/>
      <c r="AM3116" s="466"/>
      <c r="AN3116" s="466"/>
      <c r="AO3116" s="466"/>
      <c r="AP3116" s="466"/>
      <c r="AQ3116" s="466"/>
      <c r="AR3116" s="466"/>
      <c r="AS3116" s="466"/>
      <c r="AT3116" s="466"/>
      <c r="AU3116" s="466"/>
      <c r="AV3116" s="466"/>
      <c r="AW3116" s="466"/>
      <c r="AX3116" s="466"/>
      <c r="AY3116" s="466"/>
      <c r="AZ3116" s="466"/>
      <c r="BA3116" s="466"/>
      <c r="BB3116" s="466"/>
      <c r="BC3116" s="466"/>
      <c r="BD3116" s="466"/>
      <c r="BE3116" s="467"/>
      <c r="BF3116" s="467"/>
      <c r="BG3116" s="466"/>
      <c r="BH3116" s="466"/>
      <c r="BI3116" s="467"/>
      <c r="BJ3116" s="467"/>
      <c r="BK3116" s="467"/>
      <c r="BL3116" s="467"/>
      <c r="BM3116" s="467"/>
      <c r="BN3116" s="467"/>
      <c r="BO3116" s="467"/>
      <c r="BP3116" s="467"/>
      <c r="BQ3116" s="467"/>
      <c r="BR3116" s="467"/>
      <c r="BS3116" s="467"/>
      <c r="BT3116" s="467"/>
      <c r="BU3116" s="467"/>
      <c r="BV3116" s="467"/>
      <c r="BW3116" s="467"/>
      <c r="BX3116" s="769"/>
      <c r="BY3116" s="769"/>
      <c r="BZ3116" s="769"/>
      <c r="CA3116" s="769"/>
      <c r="CB3116" s="769"/>
      <c r="CC3116" s="769"/>
      <c r="CD3116" s="769"/>
      <c r="CE3116" s="769"/>
      <c r="CF3116" s="769"/>
      <c r="CG3116" s="73"/>
      <c r="CH3116" s="438"/>
      <c r="CI3116" s="416"/>
      <c r="CJ3116" s="73"/>
      <c r="CK3116" s="650"/>
      <c r="CL3116" s="499"/>
      <c r="CM3116" s="650"/>
      <c r="CR3116" s="416"/>
      <c r="CS3116" s="650"/>
      <c r="CU3116" s="73"/>
      <c r="CV3116" s="73"/>
      <c r="CW3116" s="73"/>
      <c r="CX3116" s="73"/>
      <c r="DA3116" s="650"/>
    </row>
    <row r="3117" spans="1:105" s="45" customFormat="1" x14ac:dyDescent="0.2">
      <c r="A3117" s="650"/>
      <c r="B3117" s="438"/>
      <c r="D3117" s="73"/>
      <c r="E3117" s="650"/>
      <c r="F3117" s="650"/>
      <c r="G3117" s="73"/>
      <c r="I3117" s="111"/>
      <c r="J3117" s="81"/>
      <c r="K3117" s="81"/>
      <c r="L3117" s="499"/>
      <c r="M3117" s="73"/>
      <c r="N3117" s="499"/>
      <c r="O3117" s="73"/>
      <c r="P3117" s="73"/>
      <c r="Q3117" s="73"/>
      <c r="R3117" s="176"/>
      <c r="S3117" s="176"/>
      <c r="T3117" s="176"/>
      <c r="U3117" s="400"/>
      <c r="V3117" s="400"/>
      <c r="W3117" s="732"/>
      <c r="X3117" s="167"/>
      <c r="Y3117" s="509"/>
      <c r="Z3117" s="466"/>
      <c r="AA3117" s="466"/>
      <c r="AB3117" s="466"/>
      <c r="AC3117" s="466"/>
      <c r="AD3117" s="466"/>
      <c r="AE3117" s="466"/>
      <c r="AF3117" s="466"/>
      <c r="AG3117" s="466"/>
      <c r="AH3117" s="466"/>
      <c r="AI3117" s="466"/>
      <c r="AJ3117" s="466"/>
      <c r="AK3117" s="466"/>
      <c r="AL3117" s="466"/>
      <c r="AM3117" s="466"/>
      <c r="AN3117" s="466"/>
      <c r="AO3117" s="466"/>
      <c r="AP3117" s="466"/>
      <c r="AQ3117" s="466"/>
      <c r="AR3117" s="466"/>
      <c r="AS3117" s="466"/>
      <c r="AT3117" s="466"/>
      <c r="AU3117" s="466"/>
      <c r="AV3117" s="466"/>
      <c r="AW3117" s="466"/>
      <c r="AX3117" s="466"/>
      <c r="AY3117" s="466"/>
      <c r="AZ3117" s="466"/>
      <c r="BA3117" s="466"/>
      <c r="BB3117" s="466"/>
      <c r="BC3117" s="466"/>
      <c r="BD3117" s="466"/>
      <c r="BE3117" s="467"/>
      <c r="BF3117" s="467"/>
      <c r="BG3117" s="466"/>
      <c r="BH3117" s="466"/>
      <c r="BI3117" s="467"/>
      <c r="BJ3117" s="467"/>
      <c r="BK3117" s="467"/>
      <c r="BL3117" s="467"/>
      <c r="BM3117" s="467"/>
      <c r="BN3117" s="467"/>
      <c r="BO3117" s="467"/>
      <c r="BP3117" s="467"/>
      <c r="BQ3117" s="467"/>
      <c r="BR3117" s="467"/>
      <c r="BS3117" s="467"/>
      <c r="BT3117" s="467"/>
      <c r="BU3117" s="467"/>
      <c r="BV3117" s="467"/>
      <c r="BW3117" s="467"/>
      <c r="BX3117" s="769"/>
      <c r="BY3117" s="769"/>
      <c r="BZ3117" s="769"/>
      <c r="CA3117" s="769"/>
      <c r="CB3117" s="769"/>
      <c r="CC3117" s="769"/>
      <c r="CD3117" s="769"/>
      <c r="CE3117" s="769"/>
      <c r="CF3117" s="769"/>
      <c r="CG3117" s="73"/>
      <c r="CH3117" s="438"/>
      <c r="CI3117" s="416"/>
      <c r="CJ3117" s="73"/>
      <c r="CK3117" s="650"/>
      <c r="CL3117" s="499"/>
      <c r="CM3117" s="650"/>
      <c r="CR3117" s="416"/>
      <c r="CS3117" s="650"/>
      <c r="CU3117" s="73"/>
      <c r="CV3117" s="73"/>
      <c r="CW3117" s="73"/>
      <c r="CX3117" s="73"/>
      <c r="DA3117" s="650"/>
    </row>
    <row r="3118" spans="1:105" s="45" customFormat="1" x14ac:dyDescent="0.2">
      <c r="A3118" s="650"/>
      <c r="B3118" s="438"/>
      <c r="D3118" s="73"/>
      <c r="E3118" s="650"/>
      <c r="F3118" s="650"/>
      <c r="G3118" s="73"/>
      <c r="I3118" s="111"/>
      <c r="J3118" s="81"/>
      <c r="K3118" s="81"/>
      <c r="L3118" s="499"/>
      <c r="M3118" s="73"/>
      <c r="N3118" s="499"/>
      <c r="O3118" s="73"/>
      <c r="P3118" s="73"/>
      <c r="Q3118" s="73"/>
      <c r="R3118" s="176"/>
      <c r="S3118" s="176"/>
      <c r="T3118" s="176"/>
      <c r="U3118" s="400"/>
      <c r="V3118" s="400"/>
      <c r="W3118" s="732"/>
      <c r="X3118" s="167"/>
      <c r="Y3118" s="509"/>
      <c r="Z3118" s="466"/>
      <c r="AA3118" s="466"/>
      <c r="AB3118" s="466"/>
      <c r="AC3118" s="466"/>
      <c r="AD3118" s="466"/>
      <c r="AE3118" s="466"/>
      <c r="AF3118" s="466"/>
      <c r="AG3118" s="466"/>
      <c r="AH3118" s="466"/>
      <c r="AI3118" s="466"/>
      <c r="AJ3118" s="466"/>
      <c r="AK3118" s="466"/>
      <c r="AL3118" s="466"/>
      <c r="AM3118" s="466"/>
      <c r="AN3118" s="466"/>
      <c r="AO3118" s="466"/>
      <c r="AP3118" s="466"/>
      <c r="AQ3118" s="466"/>
      <c r="AR3118" s="466"/>
      <c r="AS3118" s="466"/>
      <c r="AT3118" s="466"/>
      <c r="AU3118" s="466"/>
      <c r="AV3118" s="466"/>
      <c r="AW3118" s="466"/>
      <c r="AX3118" s="466"/>
      <c r="AY3118" s="466"/>
      <c r="AZ3118" s="466"/>
      <c r="BA3118" s="466"/>
      <c r="BB3118" s="466"/>
      <c r="BC3118" s="466"/>
      <c r="BD3118" s="466"/>
      <c r="BE3118" s="467"/>
      <c r="BF3118" s="467"/>
      <c r="BG3118" s="466"/>
      <c r="BH3118" s="466"/>
      <c r="BI3118" s="467"/>
      <c r="BJ3118" s="467"/>
      <c r="BK3118" s="467"/>
      <c r="BL3118" s="467"/>
      <c r="BM3118" s="467"/>
      <c r="BN3118" s="467"/>
      <c r="BO3118" s="467"/>
      <c r="BP3118" s="467"/>
      <c r="BQ3118" s="467"/>
      <c r="BR3118" s="467"/>
      <c r="BS3118" s="467"/>
      <c r="BT3118" s="467"/>
      <c r="BU3118" s="467"/>
      <c r="BV3118" s="467"/>
      <c r="BW3118" s="467"/>
      <c r="BX3118" s="769"/>
      <c r="BY3118" s="769"/>
      <c r="BZ3118" s="769"/>
      <c r="CA3118" s="769"/>
      <c r="CB3118" s="769"/>
      <c r="CC3118" s="769"/>
      <c r="CD3118" s="769"/>
      <c r="CE3118" s="769"/>
      <c r="CF3118" s="769"/>
      <c r="CG3118" s="73"/>
      <c r="CH3118" s="438"/>
      <c r="CI3118" s="416"/>
      <c r="CJ3118" s="73"/>
      <c r="CK3118" s="650"/>
      <c r="CL3118" s="499"/>
      <c r="CM3118" s="650"/>
      <c r="CR3118" s="416"/>
      <c r="CS3118" s="650"/>
      <c r="CU3118" s="73"/>
      <c r="CV3118" s="73"/>
      <c r="CW3118" s="73"/>
      <c r="CX3118" s="73"/>
      <c r="DA3118" s="650"/>
    </row>
    <row r="3119" spans="1:105" s="45" customFormat="1" x14ac:dyDescent="0.2">
      <c r="A3119" s="650"/>
      <c r="B3119" s="438"/>
      <c r="D3119" s="73"/>
      <c r="E3119" s="650"/>
      <c r="F3119" s="650"/>
      <c r="G3119" s="73"/>
      <c r="I3119" s="111"/>
      <c r="J3119" s="81"/>
      <c r="K3119" s="81"/>
      <c r="L3119" s="499"/>
      <c r="M3119" s="73"/>
      <c r="N3119" s="499"/>
      <c r="O3119" s="73"/>
      <c r="P3119" s="73"/>
      <c r="Q3119" s="73"/>
      <c r="R3119" s="176"/>
      <c r="S3119" s="176"/>
      <c r="T3119" s="176"/>
      <c r="U3119" s="400"/>
      <c r="V3119" s="400"/>
      <c r="W3119" s="732"/>
      <c r="X3119" s="167"/>
      <c r="Y3119" s="509"/>
      <c r="Z3119" s="466"/>
      <c r="AA3119" s="466"/>
      <c r="AB3119" s="466"/>
      <c r="AC3119" s="466"/>
      <c r="AD3119" s="466"/>
      <c r="AE3119" s="466"/>
      <c r="AF3119" s="466"/>
      <c r="AG3119" s="466"/>
      <c r="AH3119" s="466"/>
      <c r="AI3119" s="466"/>
      <c r="AJ3119" s="466"/>
      <c r="AK3119" s="466"/>
      <c r="AL3119" s="466"/>
      <c r="AM3119" s="466"/>
      <c r="AN3119" s="466"/>
      <c r="AO3119" s="466"/>
      <c r="AP3119" s="466"/>
      <c r="AQ3119" s="466"/>
      <c r="AR3119" s="466"/>
      <c r="AS3119" s="466"/>
      <c r="AT3119" s="466"/>
      <c r="AU3119" s="466"/>
      <c r="AV3119" s="466"/>
      <c r="AW3119" s="466"/>
      <c r="AX3119" s="466"/>
      <c r="AY3119" s="466"/>
      <c r="AZ3119" s="466"/>
      <c r="BA3119" s="466"/>
      <c r="BB3119" s="466"/>
      <c r="BC3119" s="466"/>
      <c r="BD3119" s="466"/>
      <c r="BE3119" s="467"/>
      <c r="BF3119" s="467"/>
      <c r="BG3119" s="466"/>
      <c r="BH3119" s="466"/>
      <c r="BI3119" s="467"/>
      <c r="BJ3119" s="467"/>
      <c r="BK3119" s="467"/>
      <c r="BL3119" s="467"/>
      <c r="BM3119" s="467"/>
      <c r="BN3119" s="467"/>
      <c r="BO3119" s="467"/>
      <c r="BP3119" s="467"/>
      <c r="BQ3119" s="467"/>
      <c r="BR3119" s="467"/>
      <c r="BS3119" s="467"/>
      <c r="BT3119" s="467"/>
      <c r="BU3119" s="467"/>
      <c r="BV3119" s="467"/>
      <c r="BW3119" s="467"/>
      <c r="BX3119" s="769"/>
      <c r="BY3119" s="769"/>
      <c r="BZ3119" s="769"/>
      <c r="CA3119" s="769"/>
      <c r="CB3119" s="769"/>
      <c r="CC3119" s="769"/>
      <c r="CD3119" s="769"/>
      <c r="CE3119" s="769"/>
      <c r="CF3119" s="769"/>
      <c r="CG3119" s="73"/>
      <c r="CH3119" s="438"/>
      <c r="CI3119" s="416"/>
      <c r="CJ3119" s="73"/>
      <c r="CK3119" s="650"/>
      <c r="CL3119" s="499"/>
      <c r="CM3119" s="650"/>
      <c r="CR3119" s="416"/>
      <c r="CS3119" s="650"/>
      <c r="CU3119" s="73"/>
      <c r="CV3119" s="73"/>
      <c r="CW3119" s="73"/>
      <c r="CX3119" s="73"/>
      <c r="DA3119" s="650"/>
    </row>
    <row r="3120" spans="1:105" s="45" customFormat="1" x14ac:dyDescent="0.2">
      <c r="A3120" s="650"/>
      <c r="B3120" s="438"/>
      <c r="D3120" s="73"/>
      <c r="E3120" s="650"/>
      <c r="F3120" s="650"/>
      <c r="G3120" s="73"/>
      <c r="I3120" s="111"/>
      <c r="J3120" s="81"/>
      <c r="K3120" s="81"/>
      <c r="L3120" s="499"/>
      <c r="M3120" s="73"/>
      <c r="N3120" s="499"/>
      <c r="O3120" s="73"/>
      <c r="P3120" s="73"/>
      <c r="Q3120" s="73"/>
      <c r="R3120" s="176"/>
      <c r="S3120" s="176"/>
      <c r="T3120" s="176"/>
      <c r="U3120" s="400"/>
      <c r="V3120" s="400"/>
      <c r="W3120" s="732"/>
      <c r="X3120" s="167"/>
      <c r="Y3120" s="509"/>
      <c r="Z3120" s="466"/>
      <c r="AA3120" s="466"/>
      <c r="AB3120" s="466"/>
      <c r="AC3120" s="466"/>
      <c r="AD3120" s="466"/>
      <c r="AE3120" s="466"/>
      <c r="AF3120" s="466"/>
      <c r="AG3120" s="466"/>
      <c r="AH3120" s="466"/>
      <c r="AI3120" s="466"/>
      <c r="AJ3120" s="466"/>
      <c r="AK3120" s="466"/>
      <c r="AL3120" s="466"/>
      <c r="AM3120" s="466"/>
      <c r="AN3120" s="466"/>
      <c r="AO3120" s="466"/>
      <c r="AP3120" s="466"/>
      <c r="AQ3120" s="466"/>
      <c r="AR3120" s="466"/>
      <c r="AS3120" s="466"/>
      <c r="AT3120" s="466"/>
      <c r="AU3120" s="466"/>
      <c r="AV3120" s="466"/>
      <c r="AW3120" s="466"/>
      <c r="AX3120" s="466"/>
      <c r="AY3120" s="466"/>
      <c r="AZ3120" s="466"/>
      <c r="BA3120" s="466"/>
      <c r="BB3120" s="466"/>
      <c r="BC3120" s="466"/>
      <c r="BD3120" s="466"/>
      <c r="BE3120" s="467"/>
      <c r="BF3120" s="467"/>
      <c r="BG3120" s="466"/>
      <c r="BH3120" s="466"/>
      <c r="BI3120" s="467"/>
      <c r="BJ3120" s="467"/>
      <c r="BK3120" s="467"/>
      <c r="BL3120" s="467"/>
      <c r="BM3120" s="467"/>
      <c r="BN3120" s="467"/>
      <c r="BO3120" s="467"/>
      <c r="BP3120" s="467"/>
      <c r="BQ3120" s="467"/>
      <c r="BR3120" s="467"/>
      <c r="BS3120" s="467"/>
      <c r="BT3120" s="467"/>
      <c r="BU3120" s="467"/>
      <c r="BV3120" s="467"/>
      <c r="BW3120" s="467"/>
      <c r="BX3120" s="769"/>
      <c r="BY3120" s="769"/>
      <c r="BZ3120" s="769"/>
      <c r="CA3120" s="769"/>
      <c r="CB3120" s="769"/>
      <c r="CC3120" s="769"/>
      <c r="CD3120" s="769"/>
      <c r="CE3120" s="769"/>
      <c r="CF3120" s="769"/>
      <c r="CG3120" s="73"/>
      <c r="CH3120" s="438"/>
      <c r="CI3120" s="416"/>
      <c r="CJ3120" s="73"/>
      <c r="CK3120" s="650"/>
      <c r="CL3120" s="499"/>
      <c r="CM3120" s="650"/>
      <c r="CR3120" s="416"/>
      <c r="CS3120" s="650"/>
      <c r="CU3120" s="73"/>
      <c r="CV3120" s="73"/>
      <c r="CW3120" s="73"/>
      <c r="CX3120" s="73"/>
      <c r="DA3120" s="650"/>
    </row>
    <row r="3121" spans="1:105" s="45" customFormat="1" x14ac:dyDescent="0.2">
      <c r="A3121" s="650"/>
      <c r="B3121" s="438"/>
      <c r="D3121" s="73"/>
      <c r="E3121" s="650"/>
      <c r="F3121" s="650"/>
      <c r="G3121" s="73"/>
      <c r="I3121" s="111"/>
      <c r="J3121" s="81"/>
      <c r="K3121" s="81"/>
      <c r="L3121" s="499"/>
      <c r="M3121" s="73"/>
      <c r="N3121" s="499"/>
      <c r="O3121" s="73"/>
      <c r="P3121" s="73"/>
      <c r="Q3121" s="73"/>
      <c r="R3121" s="176"/>
      <c r="S3121" s="176"/>
      <c r="T3121" s="176"/>
      <c r="U3121" s="400"/>
      <c r="V3121" s="400"/>
      <c r="W3121" s="732"/>
      <c r="X3121" s="167"/>
      <c r="Y3121" s="509"/>
      <c r="Z3121" s="466"/>
      <c r="AA3121" s="466"/>
      <c r="AB3121" s="466"/>
      <c r="AC3121" s="466"/>
      <c r="AD3121" s="466"/>
      <c r="AE3121" s="466"/>
      <c r="AF3121" s="466"/>
      <c r="AG3121" s="466"/>
      <c r="AH3121" s="466"/>
      <c r="AI3121" s="466"/>
      <c r="AJ3121" s="466"/>
      <c r="AK3121" s="466"/>
      <c r="AL3121" s="466"/>
      <c r="AM3121" s="466"/>
      <c r="AN3121" s="466"/>
      <c r="AO3121" s="466"/>
      <c r="AP3121" s="466"/>
      <c r="AQ3121" s="466"/>
      <c r="AR3121" s="466"/>
      <c r="AS3121" s="466"/>
      <c r="AT3121" s="466"/>
      <c r="AU3121" s="466"/>
      <c r="AV3121" s="466"/>
      <c r="AW3121" s="466"/>
      <c r="AX3121" s="466"/>
      <c r="AY3121" s="466"/>
      <c r="AZ3121" s="466"/>
      <c r="BA3121" s="466"/>
      <c r="BB3121" s="466"/>
      <c r="BC3121" s="466"/>
      <c r="BD3121" s="466"/>
      <c r="BE3121" s="467"/>
      <c r="BF3121" s="467"/>
      <c r="BG3121" s="466"/>
      <c r="BH3121" s="466"/>
      <c r="BI3121" s="467"/>
      <c r="BJ3121" s="467"/>
      <c r="BK3121" s="467"/>
      <c r="BL3121" s="467"/>
      <c r="BM3121" s="467"/>
      <c r="BN3121" s="467"/>
      <c r="BO3121" s="467"/>
      <c r="BP3121" s="467"/>
      <c r="BQ3121" s="467"/>
      <c r="BR3121" s="467"/>
      <c r="BS3121" s="467"/>
      <c r="BT3121" s="467"/>
      <c r="BU3121" s="467"/>
      <c r="BV3121" s="467"/>
      <c r="BW3121" s="467"/>
      <c r="BX3121" s="769"/>
      <c r="BY3121" s="769"/>
      <c r="BZ3121" s="769"/>
      <c r="CA3121" s="769"/>
      <c r="CB3121" s="769"/>
      <c r="CC3121" s="769"/>
      <c r="CD3121" s="769"/>
      <c r="CE3121" s="769"/>
      <c r="CF3121" s="769"/>
      <c r="CG3121" s="73"/>
      <c r="CH3121" s="438"/>
      <c r="CI3121" s="416"/>
      <c r="CJ3121" s="73"/>
      <c r="CK3121" s="650"/>
      <c r="CL3121" s="499"/>
      <c r="CM3121" s="650"/>
      <c r="CR3121" s="416"/>
      <c r="CS3121" s="650"/>
      <c r="CU3121" s="73"/>
      <c r="CV3121" s="73"/>
      <c r="CW3121" s="73"/>
      <c r="CX3121" s="73"/>
      <c r="DA3121" s="650"/>
    </row>
    <row r="3122" spans="1:105" s="45" customFormat="1" x14ac:dyDescent="0.2">
      <c r="A3122" s="650"/>
      <c r="B3122" s="438"/>
      <c r="D3122" s="73"/>
      <c r="E3122" s="650"/>
      <c r="F3122" s="650"/>
      <c r="G3122" s="73"/>
      <c r="I3122" s="111"/>
      <c r="J3122" s="81"/>
      <c r="K3122" s="81"/>
      <c r="L3122" s="499"/>
      <c r="M3122" s="73"/>
      <c r="N3122" s="499"/>
      <c r="O3122" s="73"/>
      <c r="P3122" s="73"/>
      <c r="Q3122" s="73"/>
      <c r="R3122" s="176"/>
      <c r="S3122" s="176"/>
      <c r="T3122" s="176"/>
      <c r="U3122" s="400"/>
      <c r="V3122" s="400"/>
      <c r="W3122" s="732"/>
      <c r="X3122" s="167"/>
      <c r="Y3122" s="509"/>
      <c r="Z3122" s="466"/>
      <c r="AA3122" s="466"/>
      <c r="AB3122" s="466"/>
      <c r="AC3122" s="466"/>
      <c r="AD3122" s="466"/>
      <c r="AE3122" s="466"/>
      <c r="AF3122" s="466"/>
      <c r="AG3122" s="466"/>
      <c r="AH3122" s="466"/>
      <c r="AI3122" s="466"/>
      <c r="AJ3122" s="466"/>
      <c r="AK3122" s="466"/>
      <c r="AL3122" s="466"/>
      <c r="AM3122" s="466"/>
      <c r="AN3122" s="466"/>
      <c r="AO3122" s="466"/>
      <c r="AP3122" s="466"/>
      <c r="AQ3122" s="466"/>
      <c r="AR3122" s="466"/>
      <c r="AS3122" s="466"/>
      <c r="AT3122" s="466"/>
      <c r="AU3122" s="466"/>
      <c r="AV3122" s="466"/>
      <c r="AW3122" s="466"/>
      <c r="AX3122" s="466"/>
      <c r="AY3122" s="466"/>
      <c r="AZ3122" s="466"/>
      <c r="BA3122" s="466"/>
      <c r="BB3122" s="466"/>
      <c r="BC3122" s="466"/>
      <c r="BD3122" s="466"/>
      <c r="BE3122" s="467"/>
      <c r="BF3122" s="467"/>
      <c r="BG3122" s="466"/>
      <c r="BH3122" s="466"/>
      <c r="BI3122" s="467"/>
      <c r="BJ3122" s="467"/>
      <c r="BK3122" s="467"/>
      <c r="BL3122" s="467"/>
      <c r="BM3122" s="467"/>
      <c r="BN3122" s="467"/>
      <c r="BO3122" s="467"/>
      <c r="BP3122" s="467"/>
      <c r="BQ3122" s="467"/>
      <c r="BR3122" s="467"/>
      <c r="BS3122" s="467"/>
      <c r="BT3122" s="467"/>
      <c r="BU3122" s="467"/>
      <c r="BV3122" s="467"/>
      <c r="BW3122" s="467"/>
      <c r="BX3122" s="769"/>
      <c r="BY3122" s="769"/>
      <c r="BZ3122" s="769"/>
      <c r="CA3122" s="769"/>
      <c r="CB3122" s="769"/>
      <c r="CC3122" s="769"/>
      <c r="CD3122" s="769"/>
      <c r="CE3122" s="769"/>
      <c r="CF3122" s="769"/>
      <c r="CG3122" s="73"/>
      <c r="CH3122" s="438"/>
      <c r="CI3122" s="416"/>
      <c r="CJ3122" s="73"/>
      <c r="CK3122" s="650"/>
      <c r="CL3122" s="499"/>
      <c r="CM3122" s="650"/>
      <c r="CR3122" s="416"/>
      <c r="CS3122" s="650"/>
      <c r="CU3122" s="73"/>
      <c r="CV3122" s="73"/>
      <c r="CW3122" s="73"/>
      <c r="CX3122" s="73"/>
      <c r="DA3122" s="650"/>
    </row>
    <row r="3123" spans="1:105" s="45" customFormat="1" x14ac:dyDescent="0.2">
      <c r="A3123" s="650"/>
      <c r="B3123" s="438"/>
      <c r="D3123" s="73"/>
      <c r="E3123" s="650"/>
      <c r="F3123" s="650"/>
      <c r="G3123" s="73"/>
      <c r="I3123" s="111"/>
      <c r="J3123" s="81"/>
      <c r="K3123" s="81"/>
      <c r="L3123" s="499"/>
      <c r="M3123" s="73"/>
      <c r="N3123" s="499"/>
      <c r="O3123" s="73"/>
      <c r="P3123" s="73"/>
      <c r="Q3123" s="73"/>
      <c r="R3123" s="176"/>
      <c r="S3123" s="176"/>
      <c r="T3123" s="176"/>
      <c r="U3123" s="400"/>
      <c r="V3123" s="400"/>
      <c r="W3123" s="732"/>
      <c r="X3123" s="167"/>
      <c r="Y3123" s="509"/>
      <c r="Z3123" s="466"/>
      <c r="AA3123" s="466"/>
      <c r="AB3123" s="466"/>
      <c r="AC3123" s="466"/>
      <c r="AD3123" s="466"/>
      <c r="AE3123" s="466"/>
      <c r="AF3123" s="466"/>
      <c r="AG3123" s="466"/>
      <c r="AH3123" s="466"/>
      <c r="AI3123" s="466"/>
      <c r="AJ3123" s="466"/>
      <c r="AK3123" s="466"/>
      <c r="AL3123" s="466"/>
      <c r="AM3123" s="466"/>
      <c r="AN3123" s="466"/>
      <c r="AO3123" s="466"/>
      <c r="AP3123" s="466"/>
      <c r="AQ3123" s="466"/>
      <c r="AR3123" s="466"/>
      <c r="AS3123" s="466"/>
      <c r="AT3123" s="466"/>
      <c r="AU3123" s="466"/>
      <c r="AV3123" s="466"/>
      <c r="AW3123" s="466"/>
      <c r="AX3123" s="466"/>
      <c r="AY3123" s="466"/>
      <c r="AZ3123" s="466"/>
      <c r="BA3123" s="466"/>
      <c r="BB3123" s="466"/>
      <c r="BC3123" s="466"/>
      <c r="BD3123" s="466"/>
      <c r="BE3123" s="467"/>
      <c r="BF3123" s="467"/>
      <c r="BG3123" s="466"/>
      <c r="BH3123" s="466"/>
      <c r="BI3123" s="467"/>
      <c r="BJ3123" s="467"/>
      <c r="BK3123" s="467"/>
      <c r="BL3123" s="467"/>
      <c r="BM3123" s="467"/>
      <c r="BN3123" s="467"/>
      <c r="BO3123" s="467"/>
      <c r="BP3123" s="467"/>
      <c r="BQ3123" s="467"/>
      <c r="BR3123" s="467"/>
      <c r="BS3123" s="467"/>
      <c r="BT3123" s="467"/>
      <c r="BU3123" s="467"/>
      <c r="BV3123" s="467"/>
      <c r="BW3123" s="467"/>
      <c r="BX3123" s="769"/>
      <c r="BY3123" s="769"/>
      <c r="BZ3123" s="769"/>
      <c r="CA3123" s="769"/>
      <c r="CB3123" s="769"/>
      <c r="CC3123" s="769"/>
      <c r="CD3123" s="769"/>
      <c r="CE3123" s="769"/>
      <c r="CF3123" s="769"/>
      <c r="CG3123" s="73"/>
      <c r="CH3123" s="438"/>
      <c r="CI3123" s="416"/>
      <c r="CJ3123" s="73"/>
      <c r="CK3123" s="650"/>
      <c r="CL3123" s="499"/>
      <c r="CM3123" s="650"/>
      <c r="CR3123" s="416"/>
      <c r="CS3123" s="650"/>
      <c r="CU3123" s="73"/>
      <c r="CV3123" s="73"/>
      <c r="CW3123" s="73"/>
      <c r="CX3123" s="73"/>
      <c r="DA3123" s="650"/>
    </row>
    <row r="3124" spans="1:105" s="45" customFormat="1" x14ac:dyDescent="0.2">
      <c r="A3124" s="650"/>
      <c r="B3124" s="438"/>
      <c r="D3124" s="73"/>
      <c r="E3124" s="650"/>
      <c r="F3124" s="650"/>
      <c r="G3124" s="73"/>
      <c r="I3124" s="111"/>
      <c r="J3124" s="81"/>
      <c r="K3124" s="81"/>
      <c r="L3124" s="499"/>
      <c r="M3124" s="73"/>
      <c r="N3124" s="499"/>
      <c r="O3124" s="73"/>
      <c r="P3124" s="73"/>
      <c r="Q3124" s="73"/>
      <c r="R3124" s="176"/>
      <c r="S3124" s="176"/>
      <c r="T3124" s="176"/>
      <c r="U3124" s="400"/>
      <c r="V3124" s="400"/>
      <c r="W3124" s="732"/>
      <c r="X3124" s="167"/>
      <c r="Y3124" s="509"/>
      <c r="Z3124" s="466"/>
      <c r="AA3124" s="466"/>
      <c r="AB3124" s="466"/>
      <c r="AC3124" s="466"/>
      <c r="AD3124" s="466"/>
      <c r="AE3124" s="466"/>
      <c r="AF3124" s="466"/>
      <c r="AG3124" s="466"/>
      <c r="AH3124" s="466"/>
      <c r="AI3124" s="466"/>
      <c r="AJ3124" s="466"/>
      <c r="AK3124" s="466"/>
      <c r="AL3124" s="466"/>
      <c r="AM3124" s="466"/>
      <c r="AN3124" s="466"/>
      <c r="AO3124" s="466"/>
      <c r="AP3124" s="466"/>
      <c r="AQ3124" s="466"/>
      <c r="AR3124" s="466"/>
      <c r="AS3124" s="466"/>
      <c r="AT3124" s="466"/>
      <c r="AU3124" s="466"/>
      <c r="AV3124" s="466"/>
      <c r="AW3124" s="466"/>
      <c r="AX3124" s="466"/>
      <c r="AY3124" s="466"/>
      <c r="AZ3124" s="466"/>
      <c r="BA3124" s="466"/>
      <c r="BB3124" s="466"/>
      <c r="BC3124" s="466"/>
      <c r="BD3124" s="466"/>
      <c r="BE3124" s="467"/>
      <c r="BF3124" s="467"/>
      <c r="BG3124" s="466"/>
      <c r="BH3124" s="466"/>
      <c r="BI3124" s="467"/>
      <c r="BJ3124" s="467"/>
      <c r="BK3124" s="467"/>
      <c r="BL3124" s="467"/>
      <c r="BM3124" s="467"/>
      <c r="BN3124" s="467"/>
      <c r="BO3124" s="467"/>
      <c r="BP3124" s="467"/>
      <c r="BQ3124" s="467"/>
      <c r="BR3124" s="467"/>
      <c r="BS3124" s="467"/>
      <c r="BT3124" s="467"/>
      <c r="BU3124" s="467"/>
      <c r="BV3124" s="467"/>
      <c r="BW3124" s="467"/>
      <c r="BX3124" s="769"/>
      <c r="BY3124" s="769"/>
      <c r="BZ3124" s="769"/>
      <c r="CA3124" s="769"/>
      <c r="CB3124" s="769"/>
      <c r="CC3124" s="769"/>
      <c r="CD3124" s="769"/>
      <c r="CE3124" s="769"/>
      <c r="CF3124" s="769"/>
      <c r="CG3124" s="73"/>
      <c r="CH3124" s="438"/>
      <c r="CI3124" s="416"/>
      <c r="CJ3124" s="73"/>
      <c r="CK3124" s="650"/>
      <c r="CL3124" s="499"/>
      <c r="CM3124" s="650"/>
      <c r="CR3124" s="416"/>
      <c r="CS3124" s="650"/>
      <c r="CU3124" s="73"/>
      <c r="CV3124" s="73"/>
      <c r="CW3124" s="73"/>
      <c r="CX3124" s="73"/>
      <c r="DA3124" s="650"/>
    </row>
    <row r="3125" spans="1:105" s="45" customFormat="1" x14ac:dyDescent="0.2">
      <c r="A3125" s="650"/>
      <c r="B3125" s="438"/>
      <c r="D3125" s="73"/>
      <c r="E3125" s="650"/>
      <c r="F3125" s="650"/>
      <c r="G3125" s="73"/>
      <c r="I3125" s="111"/>
      <c r="J3125" s="81"/>
      <c r="K3125" s="81"/>
      <c r="L3125" s="499"/>
      <c r="M3125" s="73"/>
      <c r="N3125" s="499"/>
      <c r="O3125" s="73"/>
      <c r="P3125" s="73"/>
      <c r="Q3125" s="73"/>
      <c r="R3125" s="176"/>
      <c r="S3125" s="176"/>
      <c r="T3125" s="176"/>
      <c r="U3125" s="400"/>
      <c r="V3125" s="400"/>
      <c r="W3125" s="732"/>
      <c r="X3125" s="167"/>
      <c r="Y3125" s="509"/>
      <c r="Z3125" s="466"/>
      <c r="AA3125" s="466"/>
      <c r="AB3125" s="466"/>
      <c r="AC3125" s="466"/>
      <c r="AD3125" s="466"/>
      <c r="AE3125" s="466"/>
      <c r="AF3125" s="466"/>
      <c r="AG3125" s="466"/>
      <c r="AH3125" s="466"/>
      <c r="AI3125" s="466"/>
      <c r="AJ3125" s="466"/>
      <c r="AK3125" s="466"/>
      <c r="AL3125" s="466"/>
      <c r="AM3125" s="466"/>
      <c r="AN3125" s="466"/>
      <c r="AO3125" s="466"/>
      <c r="AP3125" s="466"/>
      <c r="AQ3125" s="466"/>
      <c r="AR3125" s="466"/>
      <c r="AS3125" s="466"/>
      <c r="AT3125" s="466"/>
      <c r="AU3125" s="466"/>
      <c r="AV3125" s="466"/>
      <c r="AW3125" s="466"/>
      <c r="AX3125" s="466"/>
      <c r="AY3125" s="466"/>
      <c r="AZ3125" s="466"/>
      <c r="BA3125" s="466"/>
      <c r="BB3125" s="466"/>
      <c r="BC3125" s="466"/>
      <c r="BD3125" s="466"/>
      <c r="BE3125" s="467"/>
      <c r="BF3125" s="467"/>
      <c r="BG3125" s="466"/>
      <c r="BH3125" s="466"/>
      <c r="BI3125" s="467"/>
      <c r="BJ3125" s="467"/>
      <c r="BK3125" s="467"/>
      <c r="BL3125" s="467"/>
      <c r="BM3125" s="467"/>
      <c r="BN3125" s="467"/>
      <c r="BO3125" s="467"/>
      <c r="BP3125" s="467"/>
      <c r="BQ3125" s="467"/>
      <c r="BR3125" s="467"/>
      <c r="BS3125" s="467"/>
      <c r="BT3125" s="467"/>
      <c r="BU3125" s="467"/>
      <c r="BV3125" s="467"/>
      <c r="BW3125" s="467"/>
      <c r="BX3125" s="769"/>
      <c r="BY3125" s="769"/>
      <c r="BZ3125" s="769"/>
      <c r="CA3125" s="769"/>
      <c r="CB3125" s="769"/>
      <c r="CC3125" s="769"/>
      <c r="CD3125" s="769"/>
      <c r="CE3125" s="769"/>
      <c r="CF3125" s="769"/>
      <c r="CG3125" s="73"/>
      <c r="CH3125" s="438"/>
      <c r="CI3125" s="416"/>
      <c r="CJ3125" s="73"/>
      <c r="CK3125" s="650"/>
      <c r="CL3125" s="499"/>
      <c r="CM3125" s="650"/>
      <c r="CR3125" s="416"/>
      <c r="CS3125" s="650"/>
      <c r="CU3125" s="73"/>
      <c r="CV3125" s="73"/>
      <c r="CW3125" s="73"/>
      <c r="CX3125" s="73"/>
      <c r="DA3125" s="650"/>
    </row>
    <row r="3126" spans="1:105" s="45" customFormat="1" x14ac:dyDescent="0.2">
      <c r="A3126" s="650"/>
      <c r="B3126" s="438"/>
      <c r="D3126" s="73"/>
      <c r="E3126" s="650"/>
      <c r="F3126" s="650"/>
      <c r="G3126" s="73"/>
      <c r="I3126" s="111"/>
      <c r="J3126" s="81"/>
      <c r="K3126" s="81"/>
      <c r="L3126" s="499"/>
      <c r="M3126" s="73"/>
      <c r="N3126" s="499"/>
      <c r="O3126" s="73"/>
      <c r="P3126" s="73"/>
      <c r="Q3126" s="73"/>
      <c r="R3126" s="176"/>
      <c r="S3126" s="176"/>
      <c r="T3126" s="176"/>
      <c r="U3126" s="400"/>
      <c r="V3126" s="400"/>
      <c r="W3126" s="732"/>
      <c r="X3126" s="167"/>
      <c r="Y3126" s="509"/>
      <c r="Z3126" s="466"/>
      <c r="AA3126" s="466"/>
      <c r="AB3126" s="466"/>
      <c r="AC3126" s="466"/>
      <c r="AD3126" s="466"/>
      <c r="AE3126" s="466"/>
      <c r="AF3126" s="466"/>
      <c r="AG3126" s="466"/>
      <c r="AH3126" s="466"/>
      <c r="AI3126" s="466"/>
      <c r="AJ3126" s="466"/>
      <c r="AK3126" s="466"/>
      <c r="AL3126" s="466"/>
      <c r="AM3126" s="466"/>
      <c r="AN3126" s="466"/>
      <c r="AO3126" s="466"/>
      <c r="AP3126" s="466"/>
      <c r="AQ3126" s="466"/>
      <c r="AR3126" s="466"/>
      <c r="AS3126" s="466"/>
      <c r="AT3126" s="466"/>
      <c r="AU3126" s="466"/>
      <c r="AV3126" s="466"/>
      <c r="AW3126" s="466"/>
      <c r="AX3126" s="466"/>
      <c r="AY3126" s="466"/>
      <c r="AZ3126" s="466"/>
      <c r="BA3126" s="466"/>
      <c r="BB3126" s="466"/>
      <c r="BC3126" s="466"/>
      <c r="BD3126" s="466"/>
      <c r="BE3126" s="467"/>
      <c r="BF3126" s="467"/>
      <c r="BG3126" s="466"/>
      <c r="BH3126" s="466"/>
      <c r="BI3126" s="467"/>
      <c r="BJ3126" s="467"/>
      <c r="BK3126" s="467"/>
      <c r="BL3126" s="467"/>
      <c r="BM3126" s="467"/>
      <c r="BN3126" s="467"/>
      <c r="BO3126" s="467"/>
      <c r="BP3126" s="467"/>
      <c r="BQ3126" s="467"/>
      <c r="BR3126" s="467"/>
      <c r="BS3126" s="467"/>
      <c r="BT3126" s="467"/>
      <c r="BU3126" s="467"/>
      <c r="BV3126" s="467"/>
      <c r="BW3126" s="467"/>
      <c r="BX3126" s="769"/>
      <c r="BY3126" s="769"/>
      <c r="BZ3126" s="769"/>
      <c r="CA3126" s="769"/>
      <c r="CB3126" s="769"/>
      <c r="CC3126" s="769"/>
      <c r="CD3126" s="769"/>
      <c r="CE3126" s="769"/>
      <c r="CF3126" s="769"/>
      <c r="CG3126" s="73"/>
      <c r="CH3126" s="438"/>
      <c r="CI3126" s="416"/>
      <c r="CJ3126" s="73"/>
      <c r="CK3126" s="650"/>
      <c r="CL3126" s="499"/>
      <c r="CM3126" s="650"/>
      <c r="CR3126" s="416"/>
      <c r="CS3126" s="650"/>
      <c r="CU3126" s="73"/>
      <c r="CV3126" s="73"/>
      <c r="CW3126" s="73"/>
      <c r="CX3126" s="73"/>
      <c r="DA3126" s="650"/>
    </row>
    <row r="3127" spans="1:105" s="45" customFormat="1" x14ac:dyDescent="0.2">
      <c r="A3127" s="650"/>
      <c r="B3127" s="438"/>
      <c r="D3127" s="73"/>
      <c r="E3127" s="650"/>
      <c r="F3127" s="650"/>
      <c r="G3127" s="73"/>
      <c r="I3127" s="111"/>
      <c r="J3127" s="81"/>
      <c r="K3127" s="81"/>
      <c r="L3127" s="499"/>
      <c r="M3127" s="73"/>
      <c r="N3127" s="499"/>
      <c r="O3127" s="73"/>
      <c r="P3127" s="73"/>
      <c r="Q3127" s="73"/>
      <c r="R3127" s="176"/>
      <c r="S3127" s="176"/>
      <c r="T3127" s="176"/>
      <c r="U3127" s="400"/>
      <c r="V3127" s="400"/>
      <c r="W3127" s="732"/>
      <c r="X3127" s="167"/>
      <c r="Y3127" s="509"/>
      <c r="Z3127" s="466"/>
      <c r="AA3127" s="466"/>
      <c r="AB3127" s="466"/>
      <c r="AC3127" s="466"/>
      <c r="AD3127" s="466"/>
      <c r="AE3127" s="466"/>
      <c r="AF3127" s="466"/>
      <c r="AG3127" s="466"/>
      <c r="AH3127" s="466"/>
      <c r="AI3127" s="466"/>
      <c r="AJ3127" s="466"/>
      <c r="AK3127" s="466"/>
      <c r="AL3127" s="466"/>
      <c r="AM3127" s="466"/>
      <c r="AN3127" s="466"/>
      <c r="AO3127" s="466"/>
      <c r="AP3127" s="466"/>
      <c r="AQ3127" s="466"/>
      <c r="AR3127" s="466"/>
      <c r="AS3127" s="466"/>
      <c r="AT3127" s="466"/>
      <c r="AU3127" s="466"/>
      <c r="AV3127" s="466"/>
      <c r="AW3127" s="466"/>
      <c r="AX3127" s="466"/>
      <c r="AY3127" s="466"/>
      <c r="AZ3127" s="466"/>
      <c r="BA3127" s="466"/>
      <c r="BB3127" s="466"/>
      <c r="BC3127" s="466"/>
      <c r="BD3127" s="466"/>
      <c r="BE3127" s="467"/>
      <c r="BF3127" s="467"/>
      <c r="BG3127" s="466"/>
      <c r="BH3127" s="466"/>
      <c r="BI3127" s="467"/>
      <c r="BJ3127" s="467"/>
      <c r="BK3127" s="467"/>
      <c r="BL3127" s="467"/>
      <c r="BM3127" s="467"/>
      <c r="BN3127" s="467"/>
      <c r="BO3127" s="467"/>
      <c r="BP3127" s="467"/>
      <c r="BQ3127" s="467"/>
      <c r="BR3127" s="467"/>
      <c r="BS3127" s="467"/>
      <c r="BT3127" s="467"/>
      <c r="BU3127" s="467"/>
      <c r="BV3127" s="467"/>
      <c r="BW3127" s="467"/>
      <c r="BX3127" s="769"/>
      <c r="BY3127" s="769"/>
      <c r="BZ3127" s="769"/>
      <c r="CA3127" s="769"/>
      <c r="CB3127" s="769"/>
      <c r="CC3127" s="769"/>
      <c r="CD3127" s="769"/>
      <c r="CE3127" s="769"/>
      <c r="CF3127" s="769"/>
      <c r="CG3127" s="73"/>
      <c r="CH3127" s="438"/>
      <c r="CI3127" s="416"/>
      <c r="CJ3127" s="73"/>
      <c r="CK3127" s="650"/>
      <c r="CL3127" s="499"/>
      <c r="CM3127" s="650"/>
      <c r="CR3127" s="416"/>
      <c r="CS3127" s="650"/>
      <c r="CU3127" s="73"/>
      <c r="CV3127" s="73"/>
      <c r="CW3127" s="73"/>
      <c r="CX3127" s="73"/>
      <c r="DA3127" s="650"/>
    </row>
    <row r="3128" spans="1:105" s="45" customFormat="1" x14ac:dyDescent="0.2">
      <c r="A3128" s="650"/>
      <c r="B3128" s="438"/>
      <c r="D3128" s="73"/>
      <c r="E3128" s="650"/>
      <c r="F3128" s="650"/>
      <c r="G3128" s="73"/>
      <c r="I3128" s="111"/>
      <c r="J3128" s="81"/>
      <c r="K3128" s="81"/>
      <c r="L3128" s="499"/>
      <c r="M3128" s="73"/>
      <c r="N3128" s="499"/>
      <c r="O3128" s="73"/>
      <c r="P3128" s="73"/>
      <c r="Q3128" s="73"/>
      <c r="R3128" s="176"/>
      <c r="S3128" s="176"/>
      <c r="T3128" s="176"/>
      <c r="U3128" s="400"/>
      <c r="V3128" s="400"/>
      <c r="W3128" s="732"/>
      <c r="X3128" s="167"/>
      <c r="Y3128" s="509"/>
      <c r="Z3128" s="466"/>
      <c r="AA3128" s="466"/>
      <c r="AB3128" s="466"/>
      <c r="AC3128" s="466"/>
      <c r="AD3128" s="466"/>
      <c r="AE3128" s="466"/>
      <c r="AF3128" s="466"/>
      <c r="AG3128" s="466"/>
      <c r="AH3128" s="466"/>
      <c r="AI3128" s="466"/>
      <c r="AJ3128" s="466"/>
      <c r="AK3128" s="466"/>
      <c r="AL3128" s="466"/>
      <c r="AM3128" s="466"/>
      <c r="AN3128" s="466"/>
      <c r="AO3128" s="466"/>
      <c r="AP3128" s="466"/>
      <c r="AQ3128" s="466"/>
      <c r="AR3128" s="466"/>
      <c r="AS3128" s="466"/>
      <c r="AT3128" s="466"/>
      <c r="AU3128" s="466"/>
      <c r="AV3128" s="466"/>
      <c r="AW3128" s="466"/>
      <c r="AX3128" s="466"/>
      <c r="AY3128" s="466"/>
      <c r="AZ3128" s="466"/>
      <c r="BA3128" s="466"/>
      <c r="BB3128" s="466"/>
      <c r="BC3128" s="466"/>
      <c r="BD3128" s="466"/>
      <c r="BE3128" s="467"/>
      <c r="BF3128" s="467"/>
      <c r="BG3128" s="466"/>
      <c r="BH3128" s="466"/>
      <c r="BI3128" s="467"/>
      <c r="BJ3128" s="467"/>
      <c r="BK3128" s="467"/>
      <c r="BL3128" s="467"/>
      <c r="BM3128" s="467"/>
      <c r="BN3128" s="467"/>
      <c r="BO3128" s="467"/>
      <c r="BP3128" s="467"/>
      <c r="BQ3128" s="467"/>
      <c r="BR3128" s="467"/>
      <c r="BS3128" s="467"/>
      <c r="BT3128" s="467"/>
      <c r="BU3128" s="467"/>
      <c r="BV3128" s="467"/>
      <c r="BW3128" s="467"/>
      <c r="BX3128" s="769"/>
      <c r="BY3128" s="769"/>
      <c r="BZ3128" s="769"/>
      <c r="CA3128" s="769"/>
      <c r="CB3128" s="769"/>
      <c r="CC3128" s="769"/>
      <c r="CD3128" s="769"/>
      <c r="CE3128" s="769"/>
      <c r="CF3128" s="769"/>
      <c r="CG3128" s="73"/>
      <c r="CH3128" s="438"/>
      <c r="CI3128" s="416"/>
      <c r="CJ3128" s="73"/>
      <c r="CK3128" s="650"/>
      <c r="CL3128" s="499"/>
      <c r="CM3128" s="650"/>
      <c r="CR3128" s="416"/>
      <c r="CS3128" s="650"/>
      <c r="CU3128" s="73"/>
      <c r="CV3128" s="73"/>
      <c r="CW3128" s="73"/>
      <c r="CX3128" s="73"/>
      <c r="DA3128" s="650"/>
    </row>
    <row r="3129" spans="1:105" s="45" customFormat="1" x14ac:dyDescent="0.2">
      <c r="A3129" s="650"/>
      <c r="B3129" s="438"/>
      <c r="D3129" s="73"/>
      <c r="E3129" s="650"/>
      <c r="F3129" s="650"/>
      <c r="G3129" s="73"/>
      <c r="I3129" s="111"/>
      <c r="J3129" s="81"/>
      <c r="K3129" s="81"/>
      <c r="L3129" s="499"/>
      <c r="M3129" s="73"/>
      <c r="N3129" s="499"/>
      <c r="O3129" s="73"/>
      <c r="P3129" s="73"/>
      <c r="Q3129" s="73"/>
      <c r="R3129" s="176"/>
      <c r="S3129" s="176"/>
      <c r="T3129" s="176"/>
      <c r="U3129" s="400"/>
      <c r="V3129" s="400"/>
      <c r="W3129" s="732"/>
      <c r="X3129" s="167"/>
      <c r="Y3129" s="509"/>
      <c r="Z3129" s="466"/>
      <c r="AA3129" s="466"/>
      <c r="AB3129" s="466"/>
      <c r="AC3129" s="466"/>
      <c r="AD3129" s="466"/>
      <c r="AE3129" s="466"/>
      <c r="AF3129" s="466"/>
      <c r="AG3129" s="466"/>
      <c r="AH3129" s="466"/>
      <c r="AI3129" s="466"/>
      <c r="AJ3129" s="466"/>
      <c r="AK3129" s="466"/>
      <c r="AL3129" s="466"/>
      <c r="AM3129" s="466"/>
      <c r="AN3129" s="466"/>
      <c r="AO3129" s="466"/>
      <c r="AP3129" s="466"/>
      <c r="AQ3129" s="466"/>
      <c r="AR3129" s="466"/>
      <c r="AS3129" s="466"/>
      <c r="AT3129" s="466"/>
      <c r="AU3129" s="466"/>
      <c r="AV3129" s="466"/>
      <c r="AW3129" s="466"/>
      <c r="AX3129" s="466"/>
      <c r="AY3129" s="466"/>
      <c r="AZ3129" s="466"/>
      <c r="BA3129" s="466"/>
      <c r="BB3129" s="466"/>
      <c r="BC3129" s="466"/>
      <c r="BD3129" s="466"/>
      <c r="BE3129" s="467"/>
      <c r="BF3129" s="467"/>
      <c r="BG3129" s="466"/>
      <c r="BH3129" s="466"/>
      <c r="BI3129" s="467"/>
      <c r="BJ3129" s="467"/>
      <c r="BK3129" s="467"/>
      <c r="BL3129" s="467"/>
      <c r="BM3129" s="467"/>
      <c r="BN3129" s="467"/>
      <c r="BO3129" s="467"/>
      <c r="BP3129" s="467"/>
      <c r="BQ3129" s="467"/>
      <c r="BR3129" s="467"/>
      <c r="BS3129" s="467"/>
      <c r="BT3129" s="467"/>
      <c r="BU3129" s="467"/>
      <c r="BV3129" s="467"/>
      <c r="BW3129" s="467"/>
      <c r="BX3129" s="769"/>
      <c r="BY3129" s="769"/>
      <c r="BZ3129" s="769"/>
      <c r="CA3129" s="769"/>
      <c r="CB3129" s="769"/>
      <c r="CC3129" s="769"/>
      <c r="CD3129" s="769"/>
      <c r="CE3129" s="769"/>
      <c r="CF3129" s="769"/>
      <c r="CG3129" s="73"/>
      <c r="CH3129" s="438"/>
      <c r="CI3129" s="416"/>
      <c r="CJ3129" s="73"/>
      <c r="CK3129" s="650"/>
      <c r="CL3129" s="499"/>
      <c r="CM3129" s="650"/>
      <c r="CR3129" s="416"/>
      <c r="CS3129" s="650"/>
      <c r="CU3129" s="73"/>
      <c r="CV3129" s="73"/>
      <c r="CW3129" s="73"/>
      <c r="CX3129" s="73"/>
      <c r="DA3129" s="650"/>
    </row>
    <row r="3130" spans="1:105" s="45" customFormat="1" x14ac:dyDescent="0.2">
      <c r="A3130" s="650"/>
      <c r="B3130" s="438"/>
      <c r="D3130" s="73"/>
      <c r="E3130" s="650"/>
      <c r="F3130" s="650"/>
      <c r="G3130" s="73"/>
      <c r="I3130" s="111"/>
      <c r="J3130" s="81"/>
      <c r="K3130" s="81"/>
      <c r="L3130" s="499"/>
      <c r="M3130" s="73"/>
      <c r="N3130" s="499"/>
      <c r="O3130" s="73"/>
      <c r="P3130" s="73"/>
      <c r="Q3130" s="73"/>
      <c r="R3130" s="176"/>
      <c r="S3130" s="176"/>
      <c r="T3130" s="176"/>
      <c r="U3130" s="400"/>
      <c r="V3130" s="400"/>
      <c r="W3130" s="732"/>
      <c r="X3130" s="167"/>
      <c r="Y3130" s="509"/>
      <c r="Z3130" s="466"/>
      <c r="AA3130" s="466"/>
      <c r="AB3130" s="466"/>
      <c r="AC3130" s="466"/>
      <c r="AD3130" s="466"/>
      <c r="AE3130" s="466"/>
      <c r="AF3130" s="466"/>
      <c r="AG3130" s="466"/>
      <c r="AH3130" s="466"/>
      <c r="AI3130" s="466"/>
      <c r="AJ3130" s="466"/>
      <c r="AK3130" s="466"/>
      <c r="AL3130" s="466"/>
      <c r="AM3130" s="466"/>
      <c r="AN3130" s="466"/>
      <c r="AO3130" s="466"/>
      <c r="AP3130" s="466"/>
      <c r="AQ3130" s="466"/>
      <c r="AR3130" s="466"/>
      <c r="AS3130" s="466"/>
      <c r="AT3130" s="466"/>
      <c r="AU3130" s="466"/>
      <c r="AV3130" s="466"/>
      <c r="AW3130" s="466"/>
      <c r="AX3130" s="466"/>
      <c r="AY3130" s="466"/>
      <c r="AZ3130" s="466"/>
      <c r="BA3130" s="466"/>
      <c r="BB3130" s="466"/>
      <c r="BC3130" s="466"/>
      <c r="BD3130" s="466"/>
      <c r="BE3130" s="467"/>
      <c r="BF3130" s="467"/>
      <c r="BG3130" s="466"/>
      <c r="BH3130" s="466"/>
      <c r="BI3130" s="467"/>
      <c r="BJ3130" s="467"/>
      <c r="BK3130" s="467"/>
      <c r="BL3130" s="467"/>
      <c r="BM3130" s="467"/>
      <c r="BN3130" s="467"/>
      <c r="BO3130" s="467"/>
      <c r="BP3130" s="467"/>
      <c r="BQ3130" s="467"/>
      <c r="BR3130" s="467"/>
      <c r="BS3130" s="467"/>
      <c r="BT3130" s="467"/>
      <c r="BU3130" s="467"/>
      <c r="BV3130" s="467"/>
      <c r="BW3130" s="467"/>
      <c r="BX3130" s="769"/>
      <c r="BY3130" s="769"/>
      <c r="BZ3130" s="769"/>
      <c r="CA3130" s="769"/>
      <c r="CB3130" s="769"/>
      <c r="CC3130" s="769"/>
      <c r="CD3130" s="769"/>
      <c r="CE3130" s="769"/>
      <c r="CF3130" s="769"/>
      <c r="CG3130" s="73"/>
      <c r="CH3130" s="438"/>
      <c r="CI3130" s="416"/>
      <c r="CJ3130" s="73"/>
      <c r="CK3130" s="650"/>
      <c r="CL3130" s="499"/>
      <c r="CM3130" s="650"/>
      <c r="CR3130" s="416"/>
      <c r="CS3130" s="650"/>
      <c r="CU3130" s="73"/>
      <c r="CV3130" s="73"/>
      <c r="CW3130" s="73"/>
      <c r="CX3130" s="73"/>
      <c r="DA3130" s="650"/>
    </row>
    <row r="3131" spans="1:105" s="45" customFormat="1" x14ac:dyDescent="0.2">
      <c r="A3131" s="650"/>
      <c r="B3131" s="438"/>
      <c r="D3131" s="73"/>
      <c r="E3131" s="650"/>
      <c r="F3131" s="650"/>
      <c r="G3131" s="73"/>
      <c r="I3131" s="111"/>
      <c r="J3131" s="81"/>
      <c r="K3131" s="81"/>
      <c r="L3131" s="499"/>
      <c r="M3131" s="73"/>
      <c r="N3131" s="499"/>
      <c r="O3131" s="73"/>
      <c r="P3131" s="73"/>
      <c r="Q3131" s="73"/>
      <c r="R3131" s="176"/>
      <c r="S3131" s="176"/>
      <c r="T3131" s="176"/>
      <c r="U3131" s="400"/>
      <c r="V3131" s="400"/>
      <c r="W3131" s="732"/>
      <c r="X3131" s="167"/>
      <c r="Y3131" s="509"/>
      <c r="Z3131" s="466"/>
      <c r="AA3131" s="466"/>
      <c r="AB3131" s="466"/>
      <c r="AC3131" s="466"/>
      <c r="AD3131" s="466"/>
      <c r="AE3131" s="466"/>
      <c r="AF3131" s="466"/>
      <c r="AG3131" s="466"/>
      <c r="AH3131" s="466"/>
      <c r="AI3131" s="466"/>
      <c r="AJ3131" s="466"/>
      <c r="AK3131" s="466"/>
      <c r="AL3131" s="466"/>
      <c r="AM3131" s="466"/>
      <c r="AN3131" s="466"/>
      <c r="AO3131" s="466"/>
      <c r="AP3131" s="466"/>
      <c r="AQ3131" s="466"/>
      <c r="AR3131" s="466"/>
      <c r="AS3131" s="466"/>
      <c r="AT3131" s="466"/>
      <c r="AU3131" s="466"/>
      <c r="AV3131" s="466"/>
      <c r="AW3131" s="466"/>
      <c r="AX3131" s="466"/>
      <c r="AY3131" s="466"/>
      <c r="AZ3131" s="466"/>
      <c r="BA3131" s="466"/>
      <c r="BB3131" s="466"/>
      <c r="BC3131" s="466"/>
      <c r="BD3131" s="466"/>
      <c r="BE3131" s="467"/>
      <c r="BF3131" s="467"/>
      <c r="BG3131" s="466"/>
      <c r="BH3131" s="466"/>
      <c r="BI3131" s="467"/>
      <c r="BJ3131" s="467"/>
      <c r="BK3131" s="467"/>
      <c r="BL3131" s="467"/>
      <c r="BM3131" s="467"/>
      <c r="BN3131" s="467"/>
      <c r="BO3131" s="467"/>
      <c r="BP3131" s="467"/>
      <c r="BQ3131" s="467"/>
      <c r="BR3131" s="467"/>
      <c r="BS3131" s="467"/>
      <c r="BT3131" s="467"/>
      <c r="BU3131" s="467"/>
      <c r="BV3131" s="467"/>
      <c r="BW3131" s="467"/>
      <c r="BX3131" s="769"/>
      <c r="BY3131" s="769"/>
      <c r="BZ3131" s="769"/>
      <c r="CA3131" s="769"/>
      <c r="CB3131" s="769"/>
      <c r="CC3131" s="769"/>
      <c r="CD3131" s="769"/>
      <c r="CE3131" s="769"/>
      <c r="CF3131" s="769"/>
      <c r="CG3131" s="73"/>
      <c r="CH3131" s="438"/>
      <c r="CI3131" s="416"/>
      <c r="CJ3131" s="73"/>
      <c r="CK3131" s="650"/>
      <c r="CL3131" s="499"/>
      <c r="CM3131" s="650"/>
      <c r="CR3131" s="416"/>
      <c r="CS3131" s="650"/>
      <c r="CU3131" s="73"/>
      <c r="CV3131" s="73"/>
      <c r="CW3131" s="73"/>
      <c r="CX3131" s="73"/>
      <c r="DA3131" s="650"/>
    </row>
    <row r="3132" spans="1:105" s="45" customFormat="1" x14ac:dyDescent="0.2">
      <c r="A3132" s="650"/>
      <c r="B3132" s="438"/>
      <c r="D3132" s="73"/>
      <c r="E3132" s="650"/>
      <c r="F3132" s="650"/>
      <c r="G3132" s="73"/>
      <c r="I3132" s="111"/>
      <c r="J3132" s="81"/>
      <c r="K3132" s="81"/>
      <c r="L3132" s="499"/>
      <c r="M3132" s="73"/>
      <c r="N3132" s="499"/>
      <c r="O3132" s="73"/>
      <c r="P3132" s="73"/>
      <c r="Q3132" s="73"/>
      <c r="R3132" s="176"/>
      <c r="S3132" s="176"/>
      <c r="T3132" s="176"/>
      <c r="U3132" s="400"/>
      <c r="V3132" s="400"/>
      <c r="W3132" s="732"/>
      <c r="X3132" s="167"/>
      <c r="Y3132" s="509"/>
      <c r="Z3132" s="466"/>
      <c r="AA3132" s="466"/>
      <c r="AB3132" s="466"/>
      <c r="AC3132" s="466"/>
      <c r="AD3132" s="466"/>
      <c r="AE3132" s="466"/>
      <c r="AF3132" s="466"/>
      <c r="AG3132" s="466"/>
      <c r="AH3132" s="466"/>
      <c r="AI3132" s="466"/>
      <c r="AJ3132" s="466"/>
      <c r="AK3132" s="466"/>
      <c r="AL3132" s="466"/>
      <c r="AM3132" s="466"/>
      <c r="AN3132" s="466"/>
      <c r="AO3132" s="466"/>
      <c r="AP3132" s="466"/>
      <c r="AQ3132" s="466"/>
      <c r="AR3132" s="466"/>
      <c r="AS3132" s="466"/>
      <c r="AT3132" s="466"/>
      <c r="AU3132" s="466"/>
      <c r="AV3132" s="466"/>
      <c r="AW3132" s="466"/>
      <c r="AX3132" s="466"/>
      <c r="AY3132" s="466"/>
      <c r="AZ3132" s="466"/>
      <c r="BA3132" s="466"/>
      <c r="BB3132" s="466"/>
      <c r="BC3132" s="466"/>
      <c r="BD3132" s="466"/>
      <c r="BE3132" s="467"/>
      <c r="BF3132" s="467"/>
      <c r="BG3132" s="466"/>
      <c r="BH3132" s="466"/>
      <c r="BI3132" s="467"/>
      <c r="BJ3132" s="467"/>
      <c r="BK3132" s="467"/>
      <c r="BL3132" s="467"/>
      <c r="BM3132" s="467"/>
      <c r="BN3132" s="467"/>
      <c r="BO3132" s="467"/>
      <c r="BP3132" s="467"/>
      <c r="BQ3132" s="467"/>
      <c r="BR3132" s="467"/>
      <c r="BS3132" s="467"/>
      <c r="BT3132" s="467"/>
      <c r="BU3132" s="467"/>
      <c r="BV3132" s="467"/>
      <c r="BW3132" s="467"/>
      <c r="BX3132" s="769"/>
      <c r="BY3132" s="769"/>
      <c r="BZ3132" s="769"/>
      <c r="CA3132" s="769"/>
      <c r="CB3132" s="769"/>
      <c r="CC3132" s="769"/>
      <c r="CD3132" s="769"/>
      <c r="CE3132" s="769"/>
      <c r="CF3132" s="769"/>
      <c r="CG3132" s="73"/>
      <c r="CH3132" s="438"/>
      <c r="CI3132" s="416"/>
      <c r="CJ3132" s="73"/>
      <c r="CK3132" s="650"/>
      <c r="CL3132" s="499"/>
      <c r="CM3132" s="650"/>
      <c r="CR3132" s="416"/>
      <c r="CS3132" s="650"/>
      <c r="CU3132" s="73"/>
      <c r="CV3132" s="73"/>
      <c r="CW3132" s="73"/>
      <c r="CX3132" s="73"/>
      <c r="DA3132" s="650"/>
    </row>
    <row r="3133" spans="1:105" s="45" customFormat="1" x14ac:dyDescent="0.2">
      <c r="A3133" s="650"/>
      <c r="B3133" s="438"/>
      <c r="D3133" s="73"/>
      <c r="E3133" s="650"/>
      <c r="F3133" s="650"/>
      <c r="G3133" s="73"/>
      <c r="I3133" s="111"/>
      <c r="J3133" s="81"/>
      <c r="K3133" s="81"/>
      <c r="L3133" s="499"/>
      <c r="M3133" s="73"/>
      <c r="N3133" s="499"/>
      <c r="O3133" s="73"/>
      <c r="P3133" s="73"/>
      <c r="Q3133" s="73"/>
      <c r="R3133" s="176"/>
      <c r="S3133" s="176"/>
      <c r="T3133" s="176"/>
      <c r="U3133" s="400"/>
      <c r="V3133" s="400"/>
      <c r="W3133" s="732"/>
      <c r="X3133" s="167"/>
      <c r="Y3133" s="509"/>
      <c r="Z3133" s="466"/>
      <c r="AA3133" s="466"/>
      <c r="AB3133" s="466"/>
      <c r="AC3133" s="466"/>
      <c r="AD3133" s="466"/>
      <c r="AE3133" s="466"/>
      <c r="AF3133" s="466"/>
      <c r="AG3133" s="466"/>
      <c r="AH3133" s="466"/>
      <c r="AI3133" s="466"/>
      <c r="AJ3133" s="466"/>
      <c r="AK3133" s="466"/>
      <c r="AL3133" s="466"/>
      <c r="AM3133" s="466"/>
      <c r="AN3133" s="466"/>
      <c r="AO3133" s="466"/>
      <c r="AP3133" s="466"/>
      <c r="AQ3133" s="466"/>
      <c r="AR3133" s="466"/>
      <c r="AS3133" s="466"/>
      <c r="AT3133" s="466"/>
      <c r="AU3133" s="466"/>
      <c r="AV3133" s="466"/>
      <c r="AW3133" s="466"/>
      <c r="AX3133" s="466"/>
      <c r="AY3133" s="466"/>
      <c r="AZ3133" s="466"/>
      <c r="BA3133" s="466"/>
      <c r="BB3133" s="466"/>
      <c r="BC3133" s="466"/>
      <c r="BD3133" s="466"/>
      <c r="BE3133" s="467"/>
      <c r="BF3133" s="467"/>
      <c r="BG3133" s="466"/>
      <c r="BH3133" s="466"/>
      <c r="BI3133" s="467"/>
      <c r="BJ3133" s="467"/>
      <c r="BK3133" s="467"/>
      <c r="BL3133" s="467"/>
      <c r="BM3133" s="467"/>
      <c r="BN3133" s="467"/>
      <c r="BO3133" s="467"/>
      <c r="BP3133" s="467"/>
      <c r="BQ3133" s="467"/>
      <c r="BR3133" s="467"/>
      <c r="BS3133" s="467"/>
      <c r="BT3133" s="467"/>
      <c r="BU3133" s="467"/>
      <c r="BV3133" s="467"/>
      <c r="BW3133" s="467"/>
      <c r="BX3133" s="769"/>
      <c r="BY3133" s="769"/>
      <c r="BZ3133" s="769"/>
      <c r="CA3133" s="769"/>
      <c r="CB3133" s="769"/>
      <c r="CC3133" s="769"/>
      <c r="CD3133" s="769"/>
      <c r="CE3133" s="769"/>
      <c r="CF3133" s="769"/>
      <c r="CG3133" s="73"/>
      <c r="CH3133" s="438"/>
      <c r="CI3133" s="416"/>
      <c r="CJ3133" s="73"/>
      <c r="CK3133" s="650"/>
      <c r="CL3133" s="499"/>
      <c r="CM3133" s="650"/>
      <c r="CR3133" s="416"/>
      <c r="CS3133" s="650"/>
      <c r="CU3133" s="73"/>
      <c r="CV3133" s="73"/>
      <c r="CW3133" s="73"/>
      <c r="CX3133" s="73"/>
      <c r="DA3133" s="650"/>
    </row>
    <row r="3134" spans="1:105" s="45" customFormat="1" x14ac:dyDescent="0.2">
      <c r="A3134" s="650"/>
      <c r="B3134" s="438"/>
      <c r="D3134" s="73"/>
      <c r="E3134" s="650"/>
      <c r="F3134" s="650"/>
      <c r="G3134" s="73"/>
      <c r="I3134" s="111"/>
      <c r="J3134" s="81"/>
      <c r="K3134" s="81"/>
      <c r="L3134" s="499"/>
      <c r="M3134" s="73"/>
      <c r="N3134" s="499"/>
      <c r="O3134" s="73"/>
      <c r="P3134" s="73"/>
      <c r="Q3134" s="73"/>
      <c r="R3134" s="176"/>
      <c r="S3134" s="176"/>
      <c r="T3134" s="176"/>
      <c r="U3134" s="400"/>
      <c r="V3134" s="400"/>
      <c r="W3134" s="732"/>
      <c r="X3134" s="167"/>
      <c r="Y3134" s="509"/>
      <c r="Z3134" s="466"/>
      <c r="AA3134" s="466"/>
      <c r="AB3134" s="466"/>
      <c r="AC3134" s="466"/>
      <c r="AD3134" s="466"/>
      <c r="AE3134" s="466"/>
      <c r="AF3134" s="466"/>
      <c r="AG3134" s="466"/>
      <c r="AH3134" s="466"/>
      <c r="AI3134" s="466"/>
      <c r="AJ3134" s="466"/>
      <c r="AK3134" s="466"/>
      <c r="AL3134" s="466"/>
      <c r="AM3134" s="466"/>
      <c r="AN3134" s="466"/>
      <c r="AO3134" s="466"/>
      <c r="AP3134" s="466"/>
      <c r="AQ3134" s="466"/>
      <c r="AR3134" s="466"/>
      <c r="AS3134" s="466"/>
      <c r="AT3134" s="466"/>
      <c r="AU3134" s="466"/>
      <c r="AV3134" s="466"/>
      <c r="AW3134" s="466"/>
      <c r="AX3134" s="466"/>
      <c r="AY3134" s="466"/>
      <c r="AZ3134" s="466"/>
      <c r="BA3134" s="466"/>
      <c r="BB3134" s="466"/>
      <c r="BC3134" s="466"/>
      <c r="BD3134" s="466"/>
      <c r="BE3134" s="467"/>
      <c r="BF3134" s="467"/>
      <c r="BG3134" s="466"/>
      <c r="BH3134" s="466"/>
      <c r="BI3134" s="467"/>
      <c r="BJ3134" s="467"/>
      <c r="BK3134" s="467"/>
      <c r="BL3134" s="467"/>
      <c r="BM3134" s="467"/>
      <c r="BN3134" s="467"/>
      <c r="BO3134" s="467"/>
      <c r="BP3134" s="467"/>
      <c r="BQ3134" s="467"/>
      <c r="BR3134" s="467"/>
      <c r="BS3134" s="467"/>
      <c r="BT3134" s="467"/>
      <c r="BU3134" s="467"/>
      <c r="BV3134" s="467"/>
      <c r="BW3134" s="467"/>
      <c r="BX3134" s="769"/>
      <c r="BY3134" s="769"/>
      <c r="BZ3134" s="769"/>
      <c r="CA3134" s="769"/>
      <c r="CB3134" s="769"/>
      <c r="CC3134" s="769"/>
      <c r="CD3134" s="769"/>
      <c r="CE3134" s="769"/>
      <c r="CF3134" s="769"/>
      <c r="CG3134" s="73"/>
      <c r="CH3134" s="438"/>
      <c r="CI3134" s="416"/>
      <c r="CJ3134" s="73"/>
      <c r="CK3134" s="650"/>
      <c r="CL3134" s="499"/>
      <c r="CM3134" s="650"/>
      <c r="CR3134" s="416"/>
      <c r="CS3134" s="650"/>
      <c r="CU3134" s="73"/>
      <c r="CV3134" s="73"/>
      <c r="CW3134" s="73"/>
      <c r="CX3134" s="73"/>
      <c r="DA3134" s="650"/>
    </row>
    <row r="3135" spans="1:105" s="45" customFormat="1" x14ac:dyDescent="0.2">
      <c r="A3135" s="650"/>
      <c r="B3135" s="438"/>
      <c r="D3135" s="73"/>
      <c r="E3135" s="650"/>
      <c r="F3135" s="650"/>
      <c r="G3135" s="73"/>
      <c r="I3135" s="111"/>
      <c r="J3135" s="81"/>
      <c r="K3135" s="81"/>
      <c r="L3135" s="499"/>
      <c r="M3135" s="73"/>
      <c r="N3135" s="499"/>
      <c r="O3135" s="73"/>
      <c r="P3135" s="73"/>
      <c r="Q3135" s="73"/>
      <c r="R3135" s="176"/>
      <c r="S3135" s="176"/>
      <c r="T3135" s="176"/>
      <c r="U3135" s="400"/>
      <c r="V3135" s="400"/>
      <c r="W3135" s="732"/>
      <c r="X3135" s="167"/>
      <c r="Y3135" s="509"/>
      <c r="Z3135" s="466"/>
      <c r="AA3135" s="466"/>
      <c r="AB3135" s="466"/>
      <c r="AC3135" s="466"/>
      <c r="AD3135" s="466"/>
      <c r="AE3135" s="466"/>
      <c r="AF3135" s="466"/>
      <c r="AG3135" s="466"/>
      <c r="AH3135" s="466"/>
      <c r="AI3135" s="466"/>
      <c r="AJ3135" s="466"/>
      <c r="AK3135" s="466"/>
      <c r="AL3135" s="466"/>
      <c r="AM3135" s="466"/>
      <c r="AN3135" s="466"/>
      <c r="AO3135" s="466"/>
      <c r="AP3135" s="466"/>
      <c r="AQ3135" s="466"/>
      <c r="AR3135" s="466"/>
      <c r="AS3135" s="466"/>
      <c r="AT3135" s="466"/>
      <c r="AU3135" s="466"/>
      <c r="AV3135" s="466"/>
      <c r="AW3135" s="466"/>
      <c r="AX3135" s="466"/>
      <c r="AY3135" s="466"/>
      <c r="AZ3135" s="466"/>
      <c r="BA3135" s="466"/>
      <c r="BB3135" s="466"/>
      <c r="BC3135" s="466"/>
      <c r="BD3135" s="466"/>
      <c r="BE3135" s="467"/>
      <c r="BF3135" s="467"/>
      <c r="BG3135" s="466"/>
      <c r="BH3135" s="466"/>
      <c r="BI3135" s="467"/>
      <c r="BJ3135" s="467"/>
      <c r="BK3135" s="467"/>
      <c r="BL3135" s="467"/>
      <c r="BM3135" s="467"/>
      <c r="BN3135" s="467"/>
      <c r="BO3135" s="467"/>
      <c r="BP3135" s="467"/>
      <c r="BQ3135" s="467"/>
      <c r="BR3135" s="467"/>
      <c r="BS3135" s="467"/>
      <c r="BT3135" s="467"/>
      <c r="BU3135" s="467"/>
      <c r="BV3135" s="467"/>
      <c r="BW3135" s="467"/>
      <c r="BX3135" s="769"/>
      <c r="BY3135" s="769"/>
      <c r="BZ3135" s="769"/>
      <c r="CA3135" s="769"/>
      <c r="CB3135" s="769"/>
      <c r="CC3135" s="769"/>
      <c r="CD3135" s="769"/>
      <c r="CE3135" s="769"/>
      <c r="CF3135" s="769"/>
      <c r="CG3135" s="73"/>
      <c r="CH3135" s="438"/>
      <c r="CI3135" s="416"/>
      <c r="CJ3135" s="73"/>
      <c r="CK3135" s="650"/>
      <c r="CL3135" s="499"/>
      <c r="CM3135" s="650"/>
      <c r="CR3135" s="416"/>
      <c r="CS3135" s="650"/>
      <c r="CU3135" s="73"/>
      <c r="CV3135" s="73"/>
      <c r="CW3135" s="73"/>
      <c r="CX3135" s="73"/>
      <c r="DA3135" s="650"/>
    </row>
    <row r="3136" spans="1:105" s="45" customFormat="1" x14ac:dyDescent="0.2">
      <c r="A3136" s="650"/>
      <c r="B3136" s="438"/>
      <c r="D3136" s="73"/>
      <c r="E3136" s="650"/>
      <c r="F3136" s="650"/>
      <c r="G3136" s="73"/>
      <c r="I3136" s="111"/>
      <c r="J3136" s="81"/>
      <c r="K3136" s="81"/>
      <c r="L3136" s="499"/>
      <c r="M3136" s="73"/>
      <c r="N3136" s="499"/>
      <c r="O3136" s="73"/>
      <c r="P3136" s="73"/>
      <c r="Q3136" s="73"/>
      <c r="R3136" s="176"/>
      <c r="S3136" s="176"/>
      <c r="T3136" s="176"/>
      <c r="U3136" s="400"/>
      <c r="V3136" s="400"/>
      <c r="W3136" s="732"/>
      <c r="X3136" s="167"/>
      <c r="Y3136" s="509"/>
      <c r="Z3136" s="466"/>
      <c r="AA3136" s="466"/>
      <c r="AB3136" s="466"/>
      <c r="AC3136" s="466"/>
      <c r="AD3136" s="466"/>
      <c r="AE3136" s="466"/>
      <c r="AF3136" s="466"/>
      <c r="AG3136" s="466"/>
      <c r="AH3136" s="466"/>
      <c r="AI3136" s="466"/>
      <c r="AJ3136" s="466"/>
      <c r="AK3136" s="466"/>
      <c r="AL3136" s="466"/>
      <c r="AM3136" s="466"/>
      <c r="AN3136" s="466"/>
      <c r="AO3136" s="466"/>
      <c r="AP3136" s="466"/>
      <c r="AQ3136" s="466"/>
      <c r="AR3136" s="466"/>
      <c r="AS3136" s="466"/>
      <c r="AT3136" s="466"/>
      <c r="AU3136" s="466"/>
      <c r="AV3136" s="466"/>
      <c r="AW3136" s="466"/>
      <c r="AX3136" s="466"/>
      <c r="AY3136" s="466"/>
      <c r="AZ3136" s="466"/>
      <c r="BA3136" s="466"/>
      <c r="BB3136" s="466"/>
      <c r="BC3136" s="466"/>
      <c r="BD3136" s="466"/>
      <c r="BE3136" s="467"/>
      <c r="BF3136" s="467"/>
      <c r="BG3136" s="466"/>
      <c r="BH3136" s="466"/>
      <c r="BI3136" s="467"/>
      <c r="BJ3136" s="467"/>
      <c r="BK3136" s="467"/>
      <c r="BL3136" s="467"/>
      <c r="BM3136" s="467"/>
      <c r="BN3136" s="467"/>
      <c r="BO3136" s="467"/>
      <c r="BP3136" s="467"/>
      <c r="BQ3136" s="467"/>
      <c r="BR3136" s="467"/>
      <c r="BS3136" s="467"/>
      <c r="BT3136" s="467"/>
      <c r="BU3136" s="467"/>
      <c r="BV3136" s="467"/>
      <c r="BW3136" s="467"/>
      <c r="BX3136" s="769"/>
      <c r="BY3136" s="769"/>
      <c r="BZ3136" s="769"/>
      <c r="CA3136" s="769"/>
      <c r="CB3136" s="769"/>
      <c r="CC3136" s="769"/>
      <c r="CD3136" s="769"/>
      <c r="CE3136" s="769"/>
      <c r="CF3136" s="769"/>
      <c r="CG3136" s="73"/>
      <c r="CH3136" s="438"/>
      <c r="CI3136" s="416"/>
      <c r="CJ3136" s="73"/>
      <c r="CK3136" s="650"/>
      <c r="CL3136" s="499"/>
      <c r="CM3136" s="650"/>
      <c r="CR3136" s="416"/>
      <c r="CS3136" s="650"/>
      <c r="CU3136" s="73"/>
      <c r="CV3136" s="73"/>
      <c r="CW3136" s="73"/>
      <c r="CX3136" s="73"/>
      <c r="DA3136" s="650"/>
    </row>
    <row r="3137" spans="1:105" s="45" customFormat="1" x14ac:dyDescent="0.2">
      <c r="A3137" s="650"/>
      <c r="B3137" s="438"/>
      <c r="D3137" s="73"/>
      <c r="E3137" s="650"/>
      <c r="F3137" s="650"/>
      <c r="G3137" s="73"/>
      <c r="I3137" s="111"/>
      <c r="J3137" s="81"/>
      <c r="K3137" s="81"/>
      <c r="L3137" s="499"/>
      <c r="M3137" s="73"/>
      <c r="N3137" s="499"/>
      <c r="O3137" s="73"/>
      <c r="P3137" s="73"/>
      <c r="Q3137" s="73"/>
      <c r="R3137" s="176"/>
      <c r="S3137" s="176"/>
      <c r="T3137" s="176"/>
      <c r="U3137" s="400"/>
      <c r="V3137" s="400"/>
      <c r="W3137" s="732"/>
      <c r="X3137" s="167"/>
      <c r="Y3137" s="509"/>
      <c r="Z3137" s="466"/>
      <c r="AA3137" s="466"/>
      <c r="AB3137" s="466"/>
      <c r="AC3137" s="466"/>
      <c r="AD3137" s="466"/>
      <c r="AE3137" s="466"/>
      <c r="AF3137" s="466"/>
      <c r="AG3137" s="466"/>
      <c r="AH3137" s="466"/>
      <c r="AI3137" s="466"/>
      <c r="AJ3137" s="466"/>
      <c r="AK3137" s="466"/>
      <c r="AL3137" s="466"/>
      <c r="AM3137" s="466"/>
      <c r="AN3137" s="466"/>
      <c r="AO3137" s="466"/>
      <c r="AP3137" s="466"/>
      <c r="AQ3137" s="466"/>
      <c r="AR3137" s="466"/>
      <c r="AS3137" s="466"/>
      <c r="AT3137" s="466"/>
      <c r="AU3137" s="466"/>
      <c r="AV3137" s="466"/>
      <c r="AW3137" s="466"/>
      <c r="AX3137" s="466"/>
      <c r="AY3137" s="466"/>
      <c r="AZ3137" s="466"/>
      <c r="BA3137" s="466"/>
      <c r="BB3137" s="466"/>
      <c r="BC3137" s="466"/>
      <c r="BD3137" s="466"/>
      <c r="BE3137" s="467"/>
      <c r="BF3137" s="467"/>
      <c r="BG3137" s="466"/>
      <c r="BH3137" s="466"/>
      <c r="BI3137" s="467"/>
      <c r="BJ3137" s="467"/>
      <c r="BK3137" s="467"/>
      <c r="BL3137" s="467"/>
      <c r="BM3137" s="467"/>
      <c r="BN3137" s="467"/>
      <c r="BO3137" s="467"/>
      <c r="BP3137" s="467"/>
      <c r="BQ3137" s="467"/>
      <c r="BR3137" s="467"/>
      <c r="BS3137" s="467"/>
      <c r="BT3137" s="467"/>
      <c r="BU3137" s="467"/>
      <c r="BV3137" s="467"/>
      <c r="BW3137" s="467"/>
      <c r="BX3137" s="769"/>
      <c r="BY3137" s="769"/>
      <c r="BZ3137" s="769"/>
      <c r="CA3137" s="769"/>
      <c r="CB3137" s="769"/>
      <c r="CC3137" s="769"/>
      <c r="CD3137" s="769"/>
      <c r="CE3137" s="769"/>
      <c r="CF3137" s="769"/>
      <c r="CG3137" s="73"/>
      <c r="CH3137" s="438"/>
      <c r="CI3137" s="416"/>
      <c r="CJ3137" s="73"/>
      <c r="CK3137" s="650"/>
      <c r="CL3137" s="499"/>
      <c r="CM3137" s="650"/>
      <c r="CR3137" s="416"/>
      <c r="CS3137" s="650"/>
      <c r="CU3137" s="73"/>
      <c r="CV3137" s="73"/>
      <c r="CW3137" s="73"/>
      <c r="CX3137" s="73"/>
      <c r="DA3137" s="650"/>
    </row>
    <row r="3138" spans="1:105" s="45" customFormat="1" x14ac:dyDescent="0.2">
      <c r="A3138" s="650"/>
      <c r="B3138" s="438"/>
      <c r="D3138" s="73"/>
      <c r="E3138" s="650"/>
      <c r="F3138" s="650"/>
      <c r="G3138" s="73"/>
      <c r="I3138" s="111"/>
      <c r="J3138" s="81"/>
      <c r="K3138" s="81"/>
      <c r="L3138" s="499"/>
      <c r="M3138" s="73"/>
      <c r="N3138" s="499"/>
      <c r="O3138" s="73"/>
      <c r="P3138" s="73"/>
      <c r="Q3138" s="73"/>
      <c r="R3138" s="176"/>
      <c r="S3138" s="176"/>
      <c r="T3138" s="176"/>
      <c r="U3138" s="400"/>
      <c r="V3138" s="400"/>
      <c r="W3138" s="732"/>
      <c r="X3138" s="167"/>
      <c r="Y3138" s="509"/>
      <c r="Z3138" s="466"/>
      <c r="AA3138" s="466"/>
      <c r="AB3138" s="466"/>
      <c r="AC3138" s="466"/>
      <c r="AD3138" s="466"/>
      <c r="AE3138" s="466"/>
      <c r="AF3138" s="466"/>
      <c r="AG3138" s="466"/>
      <c r="AH3138" s="466"/>
      <c r="AI3138" s="466"/>
      <c r="AJ3138" s="466"/>
      <c r="AK3138" s="466"/>
      <c r="AL3138" s="466"/>
      <c r="AM3138" s="466"/>
      <c r="AN3138" s="466"/>
      <c r="AO3138" s="466"/>
      <c r="AP3138" s="466"/>
      <c r="AQ3138" s="466"/>
      <c r="AR3138" s="466"/>
      <c r="AS3138" s="466"/>
      <c r="AT3138" s="466"/>
      <c r="AU3138" s="466"/>
      <c r="AV3138" s="466"/>
      <c r="AW3138" s="466"/>
      <c r="AX3138" s="466"/>
      <c r="AY3138" s="466"/>
      <c r="AZ3138" s="466"/>
      <c r="BA3138" s="466"/>
      <c r="BB3138" s="466"/>
      <c r="BC3138" s="466"/>
      <c r="BD3138" s="466"/>
      <c r="BE3138" s="467"/>
      <c r="BF3138" s="467"/>
      <c r="BG3138" s="466"/>
      <c r="BH3138" s="466"/>
      <c r="BI3138" s="467"/>
      <c r="BJ3138" s="467"/>
      <c r="BK3138" s="467"/>
      <c r="BL3138" s="467"/>
      <c r="BM3138" s="467"/>
      <c r="BN3138" s="467"/>
      <c r="BO3138" s="467"/>
      <c r="BP3138" s="467"/>
      <c r="BQ3138" s="467"/>
      <c r="BR3138" s="467"/>
      <c r="BS3138" s="467"/>
      <c r="BT3138" s="467"/>
      <c r="BU3138" s="467"/>
      <c r="BV3138" s="467"/>
      <c r="BW3138" s="467"/>
      <c r="BX3138" s="769"/>
      <c r="BY3138" s="769"/>
      <c r="BZ3138" s="769"/>
      <c r="CA3138" s="769"/>
      <c r="CB3138" s="769"/>
      <c r="CC3138" s="769"/>
      <c r="CD3138" s="769"/>
      <c r="CE3138" s="769"/>
      <c r="CF3138" s="769"/>
      <c r="CG3138" s="73"/>
      <c r="CH3138" s="438"/>
      <c r="CI3138" s="416"/>
      <c r="CJ3138" s="73"/>
      <c r="CK3138" s="650"/>
      <c r="CL3138" s="499"/>
      <c r="CM3138" s="650"/>
      <c r="CR3138" s="416"/>
      <c r="CS3138" s="650"/>
      <c r="CU3138" s="73"/>
      <c r="CV3138" s="73"/>
      <c r="CW3138" s="73"/>
      <c r="CX3138" s="73"/>
      <c r="DA3138" s="650"/>
    </row>
    <row r="3139" spans="1:105" s="45" customFormat="1" x14ac:dyDescent="0.2">
      <c r="A3139" s="650"/>
      <c r="B3139" s="438"/>
      <c r="D3139" s="73"/>
      <c r="E3139" s="650"/>
      <c r="F3139" s="650"/>
      <c r="G3139" s="73"/>
      <c r="I3139" s="111"/>
      <c r="J3139" s="81"/>
      <c r="K3139" s="81"/>
      <c r="L3139" s="499"/>
      <c r="M3139" s="73"/>
      <c r="N3139" s="499"/>
      <c r="O3139" s="73"/>
      <c r="P3139" s="73"/>
      <c r="Q3139" s="73"/>
      <c r="R3139" s="176"/>
      <c r="S3139" s="176"/>
      <c r="T3139" s="176"/>
      <c r="U3139" s="400"/>
      <c r="V3139" s="400"/>
      <c r="W3139" s="732"/>
      <c r="X3139" s="167"/>
      <c r="Y3139" s="509"/>
      <c r="Z3139" s="466"/>
      <c r="AA3139" s="466"/>
      <c r="AB3139" s="466"/>
      <c r="AC3139" s="466"/>
      <c r="AD3139" s="466"/>
      <c r="AE3139" s="466"/>
      <c r="AF3139" s="466"/>
      <c r="AG3139" s="466"/>
      <c r="AH3139" s="466"/>
      <c r="AI3139" s="466"/>
      <c r="AJ3139" s="466"/>
      <c r="AK3139" s="466"/>
      <c r="AL3139" s="466"/>
      <c r="AM3139" s="466"/>
      <c r="AN3139" s="466"/>
      <c r="AO3139" s="466"/>
      <c r="AP3139" s="466"/>
      <c r="AQ3139" s="466"/>
      <c r="AR3139" s="466"/>
      <c r="AS3139" s="466"/>
      <c r="AT3139" s="466"/>
      <c r="AU3139" s="466"/>
      <c r="AV3139" s="466"/>
      <c r="AW3139" s="466"/>
      <c r="AX3139" s="466"/>
      <c r="AY3139" s="466"/>
      <c r="AZ3139" s="466"/>
      <c r="BA3139" s="466"/>
      <c r="BB3139" s="466"/>
      <c r="BC3139" s="466"/>
      <c r="BD3139" s="466"/>
      <c r="BE3139" s="467"/>
      <c r="BF3139" s="467"/>
      <c r="BG3139" s="466"/>
      <c r="BH3139" s="466"/>
      <c r="BI3139" s="467"/>
      <c r="BJ3139" s="467"/>
      <c r="BK3139" s="467"/>
      <c r="BL3139" s="467"/>
      <c r="BM3139" s="467"/>
      <c r="BN3139" s="467"/>
      <c r="BO3139" s="467"/>
      <c r="BP3139" s="467"/>
      <c r="BQ3139" s="467"/>
      <c r="BR3139" s="467"/>
      <c r="BS3139" s="467"/>
      <c r="BT3139" s="467"/>
      <c r="BU3139" s="467"/>
      <c r="BV3139" s="467"/>
      <c r="BW3139" s="467"/>
      <c r="BX3139" s="769"/>
      <c r="BY3139" s="769"/>
      <c r="BZ3139" s="769"/>
      <c r="CA3139" s="769"/>
      <c r="CB3139" s="769"/>
      <c r="CC3139" s="769"/>
      <c r="CD3139" s="769"/>
      <c r="CE3139" s="769"/>
      <c r="CF3139" s="769"/>
      <c r="CG3139" s="73"/>
      <c r="CH3139" s="438"/>
      <c r="CI3139" s="416"/>
      <c r="CJ3139" s="73"/>
      <c r="CK3139" s="650"/>
      <c r="CL3139" s="499"/>
      <c r="CM3139" s="650"/>
      <c r="CR3139" s="416"/>
      <c r="CS3139" s="650"/>
      <c r="CU3139" s="73"/>
      <c r="CV3139" s="73"/>
      <c r="CW3139" s="73"/>
      <c r="CX3139" s="73"/>
      <c r="DA3139" s="650"/>
    </row>
    <row r="3140" spans="1:105" s="45" customFormat="1" x14ac:dyDescent="0.2">
      <c r="A3140" s="650"/>
      <c r="B3140" s="438"/>
      <c r="D3140" s="73"/>
      <c r="E3140" s="650"/>
      <c r="F3140" s="650"/>
      <c r="G3140" s="73"/>
      <c r="I3140" s="111"/>
      <c r="J3140" s="81"/>
      <c r="K3140" s="81"/>
      <c r="L3140" s="499"/>
      <c r="M3140" s="73"/>
      <c r="N3140" s="499"/>
      <c r="O3140" s="73"/>
      <c r="P3140" s="73"/>
      <c r="Q3140" s="73"/>
      <c r="R3140" s="176"/>
      <c r="S3140" s="176"/>
      <c r="T3140" s="176"/>
      <c r="U3140" s="400"/>
      <c r="V3140" s="400"/>
      <c r="W3140" s="732"/>
      <c r="X3140" s="167"/>
      <c r="Y3140" s="509"/>
      <c r="Z3140" s="466"/>
      <c r="AA3140" s="466"/>
      <c r="AB3140" s="466"/>
      <c r="AC3140" s="466"/>
      <c r="AD3140" s="466"/>
      <c r="AE3140" s="466"/>
      <c r="AF3140" s="466"/>
      <c r="AG3140" s="466"/>
      <c r="AH3140" s="466"/>
      <c r="AI3140" s="466"/>
      <c r="AJ3140" s="466"/>
      <c r="AK3140" s="466"/>
      <c r="AL3140" s="466"/>
      <c r="AM3140" s="466"/>
      <c r="AN3140" s="466"/>
      <c r="AO3140" s="466"/>
      <c r="AP3140" s="466"/>
      <c r="AQ3140" s="466"/>
      <c r="AR3140" s="466"/>
      <c r="AS3140" s="466"/>
      <c r="AT3140" s="466"/>
      <c r="AU3140" s="466"/>
      <c r="AV3140" s="466"/>
      <c r="AW3140" s="466"/>
      <c r="AX3140" s="466"/>
      <c r="AY3140" s="466"/>
      <c r="AZ3140" s="466"/>
      <c r="BA3140" s="466"/>
      <c r="BB3140" s="466"/>
      <c r="BC3140" s="466"/>
      <c r="BD3140" s="466"/>
      <c r="BE3140" s="467"/>
      <c r="BF3140" s="467"/>
      <c r="BG3140" s="466"/>
      <c r="BH3140" s="466"/>
      <c r="BI3140" s="467"/>
      <c r="BJ3140" s="467"/>
      <c r="BK3140" s="467"/>
      <c r="BL3140" s="467"/>
      <c r="BM3140" s="467"/>
      <c r="BN3140" s="467"/>
      <c r="BO3140" s="467"/>
      <c r="BP3140" s="467"/>
      <c r="BQ3140" s="467"/>
      <c r="BR3140" s="467"/>
      <c r="BS3140" s="467"/>
      <c r="BT3140" s="467"/>
      <c r="BU3140" s="467"/>
      <c r="BV3140" s="467"/>
      <c r="BW3140" s="467"/>
      <c r="BX3140" s="769"/>
      <c r="BY3140" s="769"/>
      <c r="BZ3140" s="769"/>
      <c r="CA3140" s="769"/>
      <c r="CB3140" s="769"/>
      <c r="CC3140" s="769"/>
      <c r="CD3140" s="769"/>
      <c r="CE3140" s="769"/>
      <c r="CF3140" s="769"/>
      <c r="CG3140" s="73"/>
      <c r="CH3140" s="438"/>
      <c r="CI3140" s="416"/>
      <c r="CJ3140" s="73"/>
      <c r="CK3140" s="650"/>
      <c r="CL3140" s="499"/>
      <c r="CM3140" s="650"/>
      <c r="CR3140" s="416"/>
      <c r="CS3140" s="650"/>
      <c r="CU3140" s="73"/>
      <c r="CV3140" s="73"/>
      <c r="CW3140" s="73"/>
      <c r="CX3140" s="73"/>
      <c r="DA3140" s="650"/>
    </row>
    <row r="3141" spans="1:105" s="45" customFormat="1" x14ac:dyDescent="0.2">
      <c r="A3141" s="650"/>
      <c r="B3141" s="438"/>
      <c r="D3141" s="73"/>
      <c r="E3141" s="650"/>
      <c r="F3141" s="650"/>
      <c r="G3141" s="73"/>
      <c r="I3141" s="111"/>
      <c r="J3141" s="81"/>
      <c r="K3141" s="81"/>
      <c r="L3141" s="499"/>
      <c r="M3141" s="73"/>
      <c r="N3141" s="499"/>
      <c r="O3141" s="73"/>
      <c r="P3141" s="73"/>
      <c r="Q3141" s="73"/>
      <c r="R3141" s="176"/>
      <c r="S3141" s="176"/>
      <c r="T3141" s="176"/>
      <c r="U3141" s="400"/>
      <c r="V3141" s="400"/>
      <c r="W3141" s="732"/>
      <c r="X3141" s="167"/>
      <c r="Y3141" s="509"/>
      <c r="Z3141" s="466"/>
      <c r="AA3141" s="466"/>
      <c r="AB3141" s="466"/>
      <c r="AC3141" s="466"/>
      <c r="AD3141" s="466"/>
      <c r="AE3141" s="466"/>
      <c r="AF3141" s="466"/>
      <c r="AG3141" s="466"/>
      <c r="AH3141" s="466"/>
      <c r="AI3141" s="466"/>
      <c r="AJ3141" s="466"/>
      <c r="AK3141" s="466"/>
      <c r="AL3141" s="466"/>
      <c r="AM3141" s="466"/>
      <c r="AN3141" s="466"/>
      <c r="AO3141" s="466"/>
      <c r="AP3141" s="466"/>
      <c r="AQ3141" s="466"/>
      <c r="AR3141" s="466"/>
      <c r="AS3141" s="466"/>
      <c r="AT3141" s="466"/>
      <c r="AU3141" s="466"/>
      <c r="AV3141" s="466"/>
      <c r="AW3141" s="466"/>
      <c r="AX3141" s="466"/>
      <c r="AY3141" s="466"/>
      <c r="AZ3141" s="466"/>
      <c r="BA3141" s="466"/>
      <c r="BB3141" s="466"/>
      <c r="BC3141" s="466"/>
      <c r="BD3141" s="466"/>
      <c r="BE3141" s="467"/>
      <c r="BF3141" s="467"/>
      <c r="BG3141" s="466"/>
      <c r="BH3141" s="466"/>
      <c r="BI3141" s="467"/>
      <c r="BJ3141" s="467"/>
      <c r="BK3141" s="467"/>
      <c r="BL3141" s="467"/>
      <c r="BM3141" s="467"/>
      <c r="BN3141" s="467"/>
      <c r="BO3141" s="467"/>
      <c r="BP3141" s="467"/>
      <c r="BQ3141" s="467"/>
      <c r="BR3141" s="467"/>
      <c r="BS3141" s="467"/>
      <c r="BT3141" s="467"/>
      <c r="BU3141" s="467"/>
      <c r="BV3141" s="467"/>
      <c r="BW3141" s="467"/>
      <c r="BX3141" s="769"/>
      <c r="BY3141" s="769"/>
      <c r="BZ3141" s="769"/>
      <c r="CA3141" s="769"/>
      <c r="CB3141" s="769"/>
      <c r="CC3141" s="769"/>
      <c r="CD3141" s="769"/>
      <c r="CE3141" s="769"/>
      <c r="CF3141" s="769"/>
      <c r="CG3141" s="73"/>
      <c r="CH3141" s="438"/>
      <c r="CI3141" s="416"/>
      <c r="CJ3141" s="73"/>
      <c r="CK3141" s="650"/>
      <c r="CL3141" s="499"/>
      <c r="CM3141" s="650"/>
      <c r="CR3141" s="416"/>
      <c r="CS3141" s="650"/>
      <c r="CU3141" s="73"/>
      <c r="CV3141" s="73"/>
      <c r="CW3141" s="73"/>
      <c r="CX3141" s="73"/>
      <c r="DA3141" s="650"/>
    </row>
    <row r="3142" spans="1:105" s="45" customFormat="1" x14ac:dyDescent="0.2">
      <c r="A3142" s="650"/>
      <c r="B3142" s="438"/>
      <c r="D3142" s="73"/>
      <c r="E3142" s="650"/>
      <c r="F3142" s="650"/>
      <c r="G3142" s="73"/>
      <c r="I3142" s="111"/>
      <c r="J3142" s="81"/>
      <c r="K3142" s="81"/>
      <c r="L3142" s="499"/>
      <c r="M3142" s="73"/>
      <c r="N3142" s="499"/>
      <c r="O3142" s="73"/>
      <c r="P3142" s="73"/>
      <c r="Q3142" s="73"/>
      <c r="R3142" s="176"/>
      <c r="S3142" s="176"/>
      <c r="T3142" s="176"/>
      <c r="U3142" s="400"/>
      <c r="V3142" s="400"/>
      <c r="W3142" s="732"/>
      <c r="X3142" s="167"/>
      <c r="Y3142" s="509"/>
      <c r="Z3142" s="466"/>
      <c r="AA3142" s="466"/>
      <c r="AB3142" s="466"/>
      <c r="AC3142" s="466"/>
      <c r="AD3142" s="466"/>
      <c r="AE3142" s="466"/>
      <c r="AF3142" s="466"/>
      <c r="AG3142" s="466"/>
      <c r="AH3142" s="466"/>
      <c r="AI3142" s="466"/>
      <c r="AJ3142" s="466"/>
      <c r="AK3142" s="466"/>
      <c r="AL3142" s="466"/>
      <c r="AM3142" s="466"/>
      <c r="AN3142" s="466"/>
      <c r="AO3142" s="466"/>
      <c r="AP3142" s="466"/>
      <c r="AQ3142" s="466"/>
      <c r="AR3142" s="466"/>
      <c r="AS3142" s="466"/>
      <c r="AT3142" s="466"/>
      <c r="AU3142" s="466"/>
      <c r="AV3142" s="466"/>
      <c r="AW3142" s="466"/>
      <c r="AX3142" s="466"/>
      <c r="AY3142" s="466"/>
      <c r="AZ3142" s="466"/>
      <c r="BA3142" s="466"/>
      <c r="BB3142" s="466"/>
      <c r="BC3142" s="466"/>
      <c r="BD3142" s="466"/>
      <c r="BE3142" s="467"/>
      <c r="BF3142" s="467"/>
      <c r="BG3142" s="466"/>
      <c r="BH3142" s="466"/>
      <c r="BI3142" s="467"/>
      <c r="BJ3142" s="467"/>
      <c r="BK3142" s="467"/>
      <c r="BL3142" s="467"/>
      <c r="BM3142" s="467"/>
      <c r="BN3142" s="467"/>
      <c r="BO3142" s="467"/>
      <c r="BP3142" s="467"/>
      <c r="BQ3142" s="467"/>
      <c r="BR3142" s="467"/>
      <c r="BS3142" s="467"/>
      <c r="BT3142" s="467"/>
      <c r="BU3142" s="467"/>
      <c r="BV3142" s="467"/>
      <c r="BW3142" s="467"/>
      <c r="BX3142" s="769"/>
      <c r="BY3142" s="769"/>
      <c r="BZ3142" s="769"/>
      <c r="CA3142" s="769"/>
      <c r="CB3142" s="769"/>
      <c r="CC3142" s="769"/>
      <c r="CD3142" s="769"/>
      <c r="CE3142" s="769"/>
      <c r="CF3142" s="769"/>
      <c r="CG3142" s="73"/>
      <c r="CH3142" s="438"/>
      <c r="CI3142" s="416"/>
      <c r="CJ3142" s="73"/>
      <c r="CK3142" s="650"/>
      <c r="CL3142" s="499"/>
      <c r="CM3142" s="650"/>
      <c r="CR3142" s="416"/>
      <c r="CS3142" s="650"/>
      <c r="CU3142" s="73"/>
      <c r="CV3142" s="73"/>
      <c r="CW3142" s="73"/>
      <c r="CX3142" s="73"/>
      <c r="DA3142" s="650"/>
    </row>
    <row r="3143" spans="1:105" s="45" customFormat="1" x14ac:dyDescent="0.2">
      <c r="A3143" s="650"/>
      <c r="B3143" s="438"/>
      <c r="D3143" s="73"/>
      <c r="E3143" s="650"/>
      <c r="F3143" s="650"/>
      <c r="G3143" s="73"/>
      <c r="I3143" s="111"/>
      <c r="J3143" s="81"/>
      <c r="K3143" s="81"/>
      <c r="L3143" s="499"/>
      <c r="M3143" s="73"/>
      <c r="N3143" s="499"/>
      <c r="O3143" s="73"/>
      <c r="P3143" s="73"/>
      <c r="Q3143" s="73"/>
      <c r="R3143" s="176"/>
      <c r="S3143" s="176"/>
      <c r="T3143" s="176"/>
      <c r="U3143" s="400"/>
      <c r="V3143" s="400"/>
      <c r="W3143" s="732"/>
      <c r="X3143" s="167"/>
      <c r="Y3143" s="509"/>
      <c r="Z3143" s="466"/>
      <c r="AA3143" s="466"/>
      <c r="AB3143" s="466"/>
      <c r="AC3143" s="466"/>
      <c r="AD3143" s="466"/>
      <c r="AE3143" s="466"/>
      <c r="AF3143" s="466"/>
      <c r="AG3143" s="466"/>
      <c r="AH3143" s="466"/>
      <c r="AI3143" s="466"/>
      <c r="AJ3143" s="466"/>
      <c r="AK3143" s="466"/>
      <c r="AL3143" s="466"/>
      <c r="AM3143" s="466"/>
      <c r="AN3143" s="466"/>
      <c r="AO3143" s="466"/>
      <c r="AP3143" s="466"/>
      <c r="AQ3143" s="466"/>
      <c r="AR3143" s="466"/>
      <c r="AS3143" s="466"/>
      <c r="AT3143" s="466"/>
      <c r="AU3143" s="466"/>
      <c r="AV3143" s="466"/>
      <c r="AW3143" s="466"/>
      <c r="AX3143" s="466"/>
      <c r="AY3143" s="466"/>
      <c r="AZ3143" s="466"/>
      <c r="BA3143" s="466"/>
      <c r="BB3143" s="466"/>
      <c r="BC3143" s="466"/>
      <c r="BD3143" s="466"/>
      <c r="BE3143" s="467"/>
      <c r="BF3143" s="467"/>
      <c r="BG3143" s="466"/>
      <c r="BH3143" s="466"/>
      <c r="BI3143" s="467"/>
      <c r="BJ3143" s="467"/>
      <c r="BK3143" s="467"/>
      <c r="BL3143" s="467"/>
      <c r="BM3143" s="467"/>
      <c r="BN3143" s="467"/>
      <c r="BO3143" s="467"/>
      <c r="BP3143" s="467"/>
      <c r="BQ3143" s="467"/>
      <c r="BR3143" s="467"/>
      <c r="BS3143" s="467"/>
      <c r="BT3143" s="467"/>
      <c r="BU3143" s="467"/>
      <c r="BV3143" s="467"/>
      <c r="BW3143" s="467"/>
      <c r="BX3143" s="769"/>
      <c r="BY3143" s="769"/>
      <c r="BZ3143" s="769"/>
      <c r="CA3143" s="769"/>
      <c r="CB3143" s="769"/>
      <c r="CC3143" s="769"/>
      <c r="CD3143" s="769"/>
      <c r="CE3143" s="769"/>
      <c r="CF3143" s="769"/>
      <c r="CG3143" s="73"/>
      <c r="CH3143" s="438"/>
      <c r="CI3143" s="416"/>
      <c r="CJ3143" s="73"/>
      <c r="CK3143" s="650"/>
      <c r="CL3143" s="499"/>
      <c r="CM3143" s="650"/>
      <c r="CR3143" s="416"/>
      <c r="CS3143" s="650"/>
      <c r="CU3143" s="73"/>
      <c r="CV3143" s="73"/>
      <c r="CW3143" s="73"/>
      <c r="CX3143" s="73"/>
      <c r="DA3143" s="650"/>
    </row>
    <row r="3144" spans="1:105" s="45" customFormat="1" x14ac:dyDescent="0.2">
      <c r="A3144" s="650"/>
      <c r="B3144" s="438"/>
      <c r="D3144" s="73"/>
      <c r="E3144" s="650"/>
      <c r="F3144" s="650"/>
      <c r="G3144" s="73"/>
      <c r="I3144" s="111"/>
      <c r="J3144" s="81"/>
      <c r="K3144" s="81"/>
      <c r="L3144" s="499"/>
      <c r="M3144" s="73"/>
      <c r="N3144" s="499"/>
      <c r="O3144" s="73"/>
      <c r="P3144" s="73"/>
      <c r="Q3144" s="73"/>
      <c r="R3144" s="176"/>
      <c r="S3144" s="176"/>
      <c r="T3144" s="176"/>
      <c r="U3144" s="400"/>
      <c r="V3144" s="400"/>
      <c r="W3144" s="732"/>
      <c r="X3144" s="167"/>
      <c r="Y3144" s="509"/>
      <c r="Z3144" s="466"/>
      <c r="AA3144" s="466"/>
      <c r="AB3144" s="466"/>
      <c r="AC3144" s="466"/>
      <c r="AD3144" s="466"/>
      <c r="AE3144" s="466"/>
      <c r="AF3144" s="466"/>
      <c r="AG3144" s="466"/>
      <c r="AH3144" s="466"/>
      <c r="AI3144" s="466"/>
      <c r="AJ3144" s="466"/>
      <c r="AK3144" s="466"/>
      <c r="AL3144" s="466"/>
      <c r="AM3144" s="466"/>
      <c r="AN3144" s="466"/>
      <c r="AO3144" s="466"/>
      <c r="AP3144" s="466"/>
      <c r="AQ3144" s="466"/>
      <c r="AR3144" s="466"/>
      <c r="AS3144" s="466"/>
      <c r="AT3144" s="466"/>
      <c r="AU3144" s="466"/>
      <c r="AV3144" s="466"/>
      <c r="AW3144" s="466"/>
      <c r="AX3144" s="466"/>
      <c r="AY3144" s="466"/>
      <c r="AZ3144" s="466"/>
      <c r="BA3144" s="466"/>
      <c r="BB3144" s="466"/>
      <c r="BC3144" s="466"/>
      <c r="BD3144" s="466"/>
      <c r="BE3144" s="467"/>
      <c r="BF3144" s="467"/>
      <c r="BG3144" s="466"/>
      <c r="BH3144" s="466"/>
      <c r="BI3144" s="467"/>
      <c r="BJ3144" s="467"/>
      <c r="BK3144" s="467"/>
      <c r="BL3144" s="467"/>
      <c r="BM3144" s="467"/>
      <c r="BN3144" s="467"/>
      <c r="BO3144" s="467"/>
      <c r="BP3144" s="467"/>
      <c r="BQ3144" s="467"/>
      <c r="BR3144" s="467"/>
      <c r="BS3144" s="467"/>
      <c r="BT3144" s="467"/>
      <c r="BU3144" s="467"/>
      <c r="BV3144" s="467"/>
      <c r="BW3144" s="467"/>
      <c r="BX3144" s="769"/>
      <c r="BY3144" s="769"/>
      <c r="BZ3144" s="769"/>
      <c r="CA3144" s="769"/>
      <c r="CB3144" s="769"/>
      <c r="CC3144" s="769"/>
      <c r="CD3144" s="769"/>
      <c r="CE3144" s="769"/>
      <c r="CF3144" s="769"/>
      <c r="CG3144" s="73"/>
      <c r="CH3144" s="438"/>
      <c r="CI3144" s="416"/>
      <c r="CJ3144" s="73"/>
      <c r="CK3144" s="650"/>
      <c r="CL3144" s="499"/>
      <c r="CM3144" s="650"/>
      <c r="CR3144" s="416"/>
      <c r="CS3144" s="650"/>
      <c r="CU3144" s="73"/>
      <c r="CV3144" s="73"/>
      <c r="CW3144" s="73"/>
      <c r="CX3144" s="73"/>
      <c r="DA3144" s="650"/>
    </row>
    <row r="3145" spans="1:105" s="45" customFormat="1" x14ac:dyDescent="0.2">
      <c r="A3145" s="650"/>
      <c r="B3145" s="438"/>
      <c r="D3145" s="73"/>
      <c r="E3145" s="650"/>
      <c r="F3145" s="650"/>
      <c r="G3145" s="73"/>
      <c r="I3145" s="111"/>
      <c r="J3145" s="81"/>
      <c r="K3145" s="81"/>
      <c r="L3145" s="499"/>
      <c r="M3145" s="73"/>
      <c r="N3145" s="499"/>
      <c r="O3145" s="73"/>
      <c r="P3145" s="73"/>
      <c r="Q3145" s="73"/>
      <c r="R3145" s="176"/>
      <c r="S3145" s="176"/>
      <c r="T3145" s="176"/>
      <c r="U3145" s="400"/>
      <c r="V3145" s="400"/>
      <c r="W3145" s="732"/>
      <c r="X3145" s="167"/>
      <c r="Y3145" s="509"/>
      <c r="Z3145" s="466"/>
      <c r="AA3145" s="466"/>
      <c r="AB3145" s="466"/>
      <c r="AC3145" s="466"/>
      <c r="AD3145" s="466"/>
      <c r="AE3145" s="466"/>
      <c r="AF3145" s="466"/>
      <c r="AG3145" s="466"/>
      <c r="AH3145" s="466"/>
      <c r="AI3145" s="466"/>
      <c r="AJ3145" s="466"/>
      <c r="AK3145" s="466"/>
      <c r="AL3145" s="466"/>
      <c r="AM3145" s="466"/>
      <c r="AN3145" s="466"/>
      <c r="AO3145" s="466"/>
      <c r="AP3145" s="466"/>
      <c r="AQ3145" s="466"/>
      <c r="AR3145" s="466"/>
      <c r="AS3145" s="466"/>
      <c r="AT3145" s="466"/>
      <c r="AU3145" s="466"/>
      <c r="AV3145" s="466"/>
      <c r="AW3145" s="466"/>
      <c r="AX3145" s="466"/>
      <c r="AY3145" s="466"/>
      <c r="AZ3145" s="466"/>
      <c r="BA3145" s="466"/>
      <c r="BB3145" s="466"/>
      <c r="BC3145" s="466"/>
      <c r="BD3145" s="466"/>
      <c r="BE3145" s="467"/>
      <c r="BF3145" s="467"/>
      <c r="BG3145" s="466"/>
      <c r="BH3145" s="466"/>
      <c r="BI3145" s="467"/>
      <c r="BJ3145" s="467"/>
      <c r="BK3145" s="467"/>
      <c r="BL3145" s="467"/>
      <c r="BM3145" s="467"/>
      <c r="BN3145" s="467"/>
      <c r="BO3145" s="467"/>
      <c r="BP3145" s="467"/>
      <c r="BQ3145" s="467"/>
      <c r="BR3145" s="467"/>
      <c r="BS3145" s="467"/>
      <c r="BT3145" s="467"/>
      <c r="BU3145" s="467"/>
      <c r="BV3145" s="467"/>
      <c r="BW3145" s="467"/>
      <c r="BX3145" s="769"/>
      <c r="BY3145" s="769"/>
      <c r="BZ3145" s="769"/>
      <c r="CA3145" s="769"/>
      <c r="CB3145" s="769"/>
      <c r="CC3145" s="769"/>
      <c r="CD3145" s="769"/>
      <c r="CE3145" s="769"/>
      <c r="CF3145" s="769"/>
      <c r="CG3145" s="73"/>
      <c r="CH3145" s="438"/>
      <c r="CI3145" s="416"/>
      <c r="CJ3145" s="73"/>
      <c r="CK3145" s="650"/>
      <c r="CL3145" s="499"/>
      <c r="CM3145" s="650"/>
      <c r="CR3145" s="416"/>
      <c r="CS3145" s="650"/>
      <c r="CU3145" s="73"/>
      <c r="CV3145" s="73"/>
      <c r="CW3145" s="73"/>
      <c r="CX3145" s="73"/>
      <c r="DA3145" s="650"/>
    </row>
    <row r="3146" spans="1:105" s="45" customFormat="1" x14ac:dyDescent="0.2">
      <c r="A3146" s="650"/>
      <c r="B3146" s="438"/>
      <c r="D3146" s="73"/>
      <c r="E3146" s="650"/>
      <c r="F3146" s="650"/>
      <c r="G3146" s="73"/>
      <c r="I3146" s="111"/>
      <c r="J3146" s="81"/>
      <c r="K3146" s="81"/>
      <c r="L3146" s="499"/>
      <c r="M3146" s="73"/>
      <c r="N3146" s="499"/>
      <c r="O3146" s="73"/>
      <c r="P3146" s="73"/>
      <c r="Q3146" s="73"/>
      <c r="R3146" s="176"/>
      <c r="S3146" s="176"/>
      <c r="T3146" s="176"/>
      <c r="U3146" s="400"/>
      <c r="V3146" s="400"/>
      <c r="W3146" s="732"/>
      <c r="X3146" s="167"/>
      <c r="Y3146" s="509"/>
      <c r="Z3146" s="466"/>
      <c r="AA3146" s="466"/>
      <c r="AB3146" s="466"/>
      <c r="AC3146" s="466"/>
      <c r="AD3146" s="466"/>
      <c r="AE3146" s="466"/>
      <c r="AF3146" s="466"/>
      <c r="AG3146" s="466"/>
      <c r="AH3146" s="466"/>
      <c r="AI3146" s="466"/>
      <c r="AJ3146" s="466"/>
      <c r="AK3146" s="466"/>
      <c r="AL3146" s="466"/>
      <c r="AM3146" s="466"/>
      <c r="AN3146" s="466"/>
      <c r="AO3146" s="466"/>
      <c r="AP3146" s="466"/>
      <c r="AQ3146" s="466"/>
      <c r="AR3146" s="466"/>
      <c r="AS3146" s="466"/>
      <c r="AT3146" s="466"/>
      <c r="AU3146" s="466"/>
      <c r="AV3146" s="466"/>
      <c r="AW3146" s="466"/>
      <c r="AX3146" s="466"/>
      <c r="AY3146" s="466"/>
      <c r="AZ3146" s="466"/>
      <c r="BA3146" s="466"/>
      <c r="BB3146" s="466"/>
      <c r="BC3146" s="466"/>
      <c r="BD3146" s="466"/>
      <c r="BE3146" s="467"/>
      <c r="BF3146" s="467"/>
      <c r="BG3146" s="466"/>
      <c r="BH3146" s="466"/>
      <c r="BI3146" s="467"/>
      <c r="BJ3146" s="467"/>
      <c r="BK3146" s="467"/>
      <c r="BL3146" s="467"/>
      <c r="BM3146" s="467"/>
      <c r="BN3146" s="467"/>
      <c r="BO3146" s="467"/>
      <c r="BP3146" s="467"/>
      <c r="BQ3146" s="467"/>
      <c r="BR3146" s="467"/>
      <c r="BS3146" s="467"/>
      <c r="BT3146" s="467"/>
      <c r="BU3146" s="467"/>
      <c r="BV3146" s="467"/>
      <c r="BW3146" s="467"/>
      <c r="BX3146" s="769"/>
      <c r="BY3146" s="769"/>
      <c r="BZ3146" s="769"/>
      <c r="CA3146" s="769"/>
      <c r="CB3146" s="769"/>
      <c r="CC3146" s="769"/>
      <c r="CD3146" s="769"/>
      <c r="CE3146" s="769"/>
      <c r="CF3146" s="769"/>
      <c r="CG3146" s="73"/>
      <c r="CH3146" s="438"/>
      <c r="CI3146" s="416"/>
      <c r="CJ3146" s="73"/>
      <c r="CK3146" s="650"/>
      <c r="CL3146" s="499"/>
      <c r="CM3146" s="650"/>
      <c r="CR3146" s="416"/>
      <c r="CS3146" s="650"/>
      <c r="CU3146" s="73"/>
      <c r="CV3146" s="73"/>
      <c r="CW3146" s="73"/>
      <c r="CX3146" s="73"/>
      <c r="DA3146" s="650"/>
    </row>
    <row r="3147" spans="1:105" s="45" customFormat="1" x14ac:dyDescent="0.2">
      <c r="A3147" s="650"/>
      <c r="B3147" s="438"/>
      <c r="D3147" s="73"/>
      <c r="E3147" s="650"/>
      <c r="F3147" s="650"/>
      <c r="G3147" s="73"/>
      <c r="I3147" s="111"/>
      <c r="J3147" s="81"/>
      <c r="K3147" s="81"/>
      <c r="L3147" s="499"/>
      <c r="M3147" s="73"/>
      <c r="N3147" s="499"/>
      <c r="O3147" s="73"/>
      <c r="P3147" s="73"/>
      <c r="Q3147" s="73"/>
      <c r="R3147" s="176"/>
      <c r="S3147" s="176"/>
      <c r="T3147" s="176"/>
      <c r="U3147" s="400"/>
      <c r="V3147" s="400"/>
      <c r="W3147" s="732"/>
      <c r="X3147" s="167"/>
      <c r="Y3147" s="509"/>
      <c r="Z3147" s="466"/>
      <c r="AA3147" s="466"/>
      <c r="AB3147" s="466"/>
      <c r="AC3147" s="466"/>
      <c r="AD3147" s="466"/>
      <c r="AE3147" s="466"/>
      <c r="AF3147" s="466"/>
      <c r="AG3147" s="466"/>
      <c r="AH3147" s="466"/>
      <c r="AI3147" s="466"/>
      <c r="AJ3147" s="466"/>
      <c r="AK3147" s="466"/>
      <c r="AL3147" s="466"/>
      <c r="AM3147" s="466"/>
      <c r="AN3147" s="466"/>
      <c r="AO3147" s="466"/>
      <c r="AP3147" s="466"/>
      <c r="AQ3147" s="466"/>
      <c r="AR3147" s="466"/>
      <c r="AS3147" s="466"/>
      <c r="AT3147" s="466"/>
      <c r="AU3147" s="466"/>
      <c r="AV3147" s="466"/>
      <c r="AW3147" s="466"/>
      <c r="AX3147" s="466"/>
      <c r="AY3147" s="466"/>
      <c r="AZ3147" s="466"/>
      <c r="BA3147" s="466"/>
      <c r="BB3147" s="466"/>
      <c r="BC3147" s="466"/>
      <c r="BD3147" s="466"/>
      <c r="BE3147" s="467"/>
      <c r="BF3147" s="467"/>
      <c r="BG3147" s="466"/>
      <c r="BH3147" s="466"/>
      <c r="BI3147" s="467"/>
      <c r="BJ3147" s="467"/>
      <c r="BK3147" s="467"/>
      <c r="BL3147" s="467"/>
      <c r="BM3147" s="467"/>
      <c r="BN3147" s="467"/>
      <c r="BO3147" s="467"/>
      <c r="BP3147" s="467"/>
      <c r="BQ3147" s="467"/>
      <c r="BR3147" s="467"/>
      <c r="BS3147" s="467"/>
      <c r="BT3147" s="467"/>
      <c r="BU3147" s="467"/>
      <c r="BV3147" s="467"/>
      <c r="BW3147" s="467"/>
      <c r="BX3147" s="769"/>
      <c r="BY3147" s="769"/>
      <c r="BZ3147" s="769"/>
      <c r="CA3147" s="769"/>
      <c r="CB3147" s="769"/>
      <c r="CC3147" s="769"/>
      <c r="CD3147" s="769"/>
      <c r="CE3147" s="769"/>
      <c r="CF3147" s="769"/>
      <c r="CG3147" s="73"/>
      <c r="CH3147" s="438"/>
      <c r="CI3147" s="416"/>
      <c r="CJ3147" s="73"/>
      <c r="CK3147" s="650"/>
      <c r="CL3147" s="499"/>
      <c r="CM3147" s="650"/>
      <c r="CR3147" s="416"/>
      <c r="CS3147" s="650"/>
      <c r="CU3147" s="73"/>
      <c r="CV3147" s="73"/>
      <c r="CW3147" s="73"/>
      <c r="CX3147" s="73"/>
      <c r="DA3147" s="650"/>
    </row>
    <row r="3148" spans="1:105" s="45" customFormat="1" x14ac:dyDescent="0.2">
      <c r="A3148" s="650"/>
      <c r="B3148" s="438"/>
      <c r="D3148" s="73"/>
      <c r="E3148" s="650"/>
      <c r="F3148" s="650"/>
      <c r="G3148" s="73"/>
      <c r="I3148" s="111"/>
      <c r="J3148" s="81"/>
      <c r="K3148" s="81"/>
      <c r="L3148" s="499"/>
      <c r="M3148" s="73"/>
      <c r="N3148" s="499"/>
      <c r="O3148" s="73"/>
      <c r="P3148" s="73"/>
      <c r="Q3148" s="73"/>
      <c r="R3148" s="176"/>
      <c r="S3148" s="176"/>
      <c r="T3148" s="176"/>
      <c r="U3148" s="400"/>
      <c r="V3148" s="400"/>
      <c r="W3148" s="732"/>
      <c r="X3148" s="167"/>
      <c r="Y3148" s="509"/>
      <c r="Z3148" s="466"/>
      <c r="AA3148" s="466"/>
      <c r="AB3148" s="466"/>
      <c r="AC3148" s="466"/>
      <c r="AD3148" s="466"/>
      <c r="AE3148" s="466"/>
      <c r="AF3148" s="466"/>
      <c r="AG3148" s="466"/>
      <c r="AH3148" s="466"/>
      <c r="AI3148" s="466"/>
      <c r="AJ3148" s="466"/>
      <c r="AK3148" s="466"/>
      <c r="AL3148" s="466"/>
      <c r="AM3148" s="466"/>
      <c r="AN3148" s="466"/>
      <c r="AO3148" s="466"/>
      <c r="AP3148" s="466"/>
      <c r="AQ3148" s="466"/>
      <c r="AR3148" s="466"/>
      <c r="AS3148" s="466"/>
      <c r="AT3148" s="466"/>
      <c r="AU3148" s="466"/>
      <c r="AV3148" s="466"/>
      <c r="AW3148" s="466"/>
      <c r="AX3148" s="466"/>
      <c r="AY3148" s="466"/>
      <c r="AZ3148" s="466"/>
      <c r="BA3148" s="466"/>
      <c r="BB3148" s="466"/>
      <c r="BC3148" s="466"/>
      <c r="BD3148" s="466"/>
      <c r="BE3148" s="467"/>
      <c r="BF3148" s="467"/>
      <c r="BG3148" s="466"/>
      <c r="BH3148" s="466"/>
      <c r="BI3148" s="467"/>
      <c r="BJ3148" s="467"/>
      <c r="BK3148" s="467"/>
      <c r="BL3148" s="467"/>
      <c r="BM3148" s="467"/>
      <c r="BN3148" s="467"/>
      <c r="BO3148" s="467"/>
      <c r="BP3148" s="467"/>
      <c r="BQ3148" s="467"/>
      <c r="BR3148" s="467"/>
      <c r="BS3148" s="467"/>
      <c r="BT3148" s="467"/>
      <c r="BU3148" s="467"/>
      <c r="BV3148" s="467"/>
      <c r="BW3148" s="467"/>
      <c r="BX3148" s="769"/>
      <c r="BY3148" s="769"/>
      <c r="BZ3148" s="769"/>
      <c r="CA3148" s="769"/>
      <c r="CB3148" s="769"/>
      <c r="CC3148" s="769"/>
      <c r="CD3148" s="769"/>
      <c r="CE3148" s="769"/>
      <c r="CF3148" s="769"/>
      <c r="CG3148" s="73"/>
      <c r="CH3148" s="438"/>
      <c r="CI3148" s="416"/>
      <c r="CJ3148" s="73"/>
      <c r="CK3148" s="650"/>
      <c r="CL3148" s="499"/>
      <c r="CM3148" s="650"/>
      <c r="CR3148" s="416"/>
      <c r="CS3148" s="650"/>
      <c r="CU3148" s="73"/>
      <c r="CV3148" s="73"/>
      <c r="CW3148" s="73"/>
      <c r="CX3148" s="73"/>
      <c r="DA3148" s="650"/>
    </row>
    <row r="3149" spans="1:105" s="45" customFormat="1" x14ac:dyDescent="0.2">
      <c r="A3149" s="650"/>
      <c r="B3149" s="438"/>
      <c r="D3149" s="73"/>
      <c r="E3149" s="650"/>
      <c r="F3149" s="650"/>
      <c r="G3149" s="73"/>
      <c r="I3149" s="111"/>
      <c r="J3149" s="81"/>
      <c r="K3149" s="81"/>
      <c r="L3149" s="499"/>
      <c r="M3149" s="73"/>
      <c r="N3149" s="499"/>
      <c r="O3149" s="73"/>
      <c r="P3149" s="73"/>
      <c r="Q3149" s="73"/>
      <c r="R3149" s="176"/>
      <c r="S3149" s="176"/>
      <c r="T3149" s="176"/>
      <c r="U3149" s="400"/>
      <c r="V3149" s="400"/>
      <c r="W3149" s="732"/>
      <c r="X3149" s="167"/>
      <c r="Y3149" s="509"/>
      <c r="Z3149" s="466"/>
      <c r="AA3149" s="466"/>
      <c r="AB3149" s="466"/>
      <c r="AC3149" s="466"/>
      <c r="AD3149" s="466"/>
      <c r="AE3149" s="466"/>
      <c r="AF3149" s="466"/>
      <c r="AG3149" s="466"/>
      <c r="AH3149" s="466"/>
      <c r="AI3149" s="466"/>
      <c r="AJ3149" s="466"/>
      <c r="AK3149" s="466"/>
      <c r="AL3149" s="466"/>
      <c r="AM3149" s="466"/>
      <c r="AN3149" s="466"/>
      <c r="AO3149" s="466"/>
      <c r="AP3149" s="466"/>
      <c r="AQ3149" s="466"/>
      <c r="AR3149" s="466"/>
      <c r="AS3149" s="466"/>
      <c r="AT3149" s="466"/>
      <c r="AU3149" s="466"/>
      <c r="AV3149" s="466"/>
      <c r="AW3149" s="466"/>
      <c r="AX3149" s="466"/>
      <c r="AY3149" s="466"/>
      <c r="AZ3149" s="466"/>
      <c r="BA3149" s="466"/>
      <c r="BB3149" s="466"/>
      <c r="BC3149" s="466"/>
      <c r="BD3149" s="466"/>
      <c r="BE3149" s="467"/>
      <c r="BF3149" s="467"/>
      <c r="BG3149" s="466"/>
      <c r="BH3149" s="466"/>
      <c r="BI3149" s="467"/>
      <c r="BJ3149" s="467"/>
      <c r="BK3149" s="467"/>
      <c r="BL3149" s="467"/>
      <c r="BM3149" s="467"/>
      <c r="BN3149" s="467"/>
      <c r="BO3149" s="467"/>
      <c r="BP3149" s="467"/>
      <c r="BQ3149" s="467"/>
      <c r="BR3149" s="467"/>
      <c r="BS3149" s="467"/>
      <c r="BT3149" s="467"/>
      <c r="BU3149" s="467"/>
      <c r="BV3149" s="467"/>
      <c r="BW3149" s="467"/>
      <c r="BX3149" s="769"/>
      <c r="BY3149" s="769"/>
      <c r="BZ3149" s="769"/>
      <c r="CA3149" s="769"/>
      <c r="CB3149" s="769"/>
      <c r="CC3149" s="769"/>
      <c r="CD3149" s="769"/>
      <c r="CE3149" s="769"/>
      <c r="CF3149" s="769"/>
      <c r="CG3149" s="73"/>
      <c r="CH3149" s="438"/>
      <c r="CI3149" s="416"/>
      <c r="CJ3149" s="73"/>
      <c r="CK3149" s="650"/>
      <c r="CL3149" s="499"/>
      <c r="CM3149" s="650"/>
      <c r="CR3149" s="416"/>
      <c r="CS3149" s="650"/>
      <c r="CU3149" s="73"/>
      <c r="CV3149" s="73"/>
      <c r="CW3149" s="73"/>
      <c r="CX3149" s="73"/>
      <c r="DA3149" s="650"/>
    </row>
    <row r="3150" spans="1:105" s="45" customFormat="1" x14ac:dyDescent="0.2">
      <c r="A3150" s="650"/>
      <c r="B3150" s="438"/>
      <c r="D3150" s="73"/>
      <c r="E3150" s="650"/>
      <c r="F3150" s="650"/>
      <c r="G3150" s="73"/>
      <c r="I3150" s="111"/>
      <c r="J3150" s="81"/>
      <c r="K3150" s="81"/>
      <c r="L3150" s="499"/>
      <c r="M3150" s="73"/>
      <c r="N3150" s="499"/>
      <c r="O3150" s="73"/>
      <c r="P3150" s="73"/>
      <c r="Q3150" s="73"/>
      <c r="R3150" s="176"/>
      <c r="S3150" s="176"/>
      <c r="T3150" s="176"/>
      <c r="U3150" s="400"/>
      <c r="V3150" s="400"/>
      <c r="W3150" s="732"/>
      <c r="X3150" s="167"/>
      <c r="Y3150" s="509"/>
      <c r="Z3150" s="466"/>
      <c r="AA3150" s="466"/>
      <c r="AB3150" s="466"/>
      <c r="AC3150" s="466"/>
      <c r="AD3150" s="466"/>
      <c r="AE3150" s="466"/>
      <c r="AF3150" s="466"/>
      <c r="AG3150" s="466"/>
      <c r="AH3150" s="466"/>
      <c r="AI3150" s="466"/>
      <c r="AJ3150" s="466"/>
      <c r="AK3150" s="466"/>
      <c r="AL3150" s="466"/>
      <c r="AM3150" s="466"/>
      <c r="AN3150" s="466"/>
      <c r="AO3150" s="466"/>
      <c r="AP3150" s="466"/>
      <c r="AQ3150" s="466"/>
      <c r="AR3150" s="466"/>
      <c r="AS3150" s="466"/>
      <c r="AT3150" s="466"/>
      <c r="AU3150" s="466"/>
      <c r="AV3150" s="466"/>
      <c r="AW3150" s="466"/>
      <c r="AX3150" s="466"/>
      <c r="AY3150" s="466"/>
      <c r="AZ3150" s="466"/>
      <c r="BA3150" s="466"/>
      <c r="BB3150" s="466"/>
      <c r="BC3150" s="466"/>
      <c r="BD3150" s="466"/>
      <c r="BE3150" s="467"/>
      <c r="BF3150" s="467"/>
      <c r="BG3150" s="466"/>
      <c r="BH3150" s="466"/>
      <c r="BI3150" s="467"/>
      <c r="BJ3150" s="467"/>
      <c r="BK3150" s="467"/>
      <c r="BL3150" s="467"/>
      <c r="BM3150" s="467"/>
      <c r="BN3150" s="467"/>
      <c r="BO3150" s="467"/>
      <c r="BP3150" s="467"/>
      <c r="BQ3150" s="467"/>
      <c r="BR3150" s="467"/>
      <c r="BS3150" s="467"/>
      <c r="BT3150" s="467"/>
      <c r="BU3150" s="467"/>
      <c r="BV3150" s="467"/>
      <c r="BW3150" s="467"/>
      <c r="BX3150" s="769"/>
      <c r="BY3150" s="769"/>
      <c r="BZ3150" s="769"/>
      <c r="CA3150" s="769"/>
      <c r="CB3150" s="769"/>
      <c r="CC3150" s="769"/>
      <c r="CD3150" s="769"/>
      <c r="CE3150" s="769"/>
      <c r="CF3150" s="769"/>
      <c r="CG3150" s="73"/>
      <c r="CH3150" s="438"/>
      <c r="CI3150" s="416"/>
      <c r="CJ3150" s="73"/>
      <c r="CK3150" s="650"/>
      <c r="CL3150" s="499"/>
      <c r="CM3150" s="650"/>
      <c r="CR3150" s="416"/>
      <c r="CS3150" s="650"/>
      <c r="CU3150" s="73"/>
      <c r="CV3150" s="73"/>
      <c r="CW3150" s="73"/>
      <c r="CX3150" s="73"/>
      <c r="DA3150" s="650"/>
    </row>
    <row r="3151" spans="1:105" s="45" customFormat="1" x14ac:dyDescent="0.2">
      <c r="A3151" s="650"/>
      <c r="B3151" s="438"/>
      <c r="D3151" s="73"/>
      <c r="E3151" s="650"/>
      <c r="F3151" s="650"/>
      <c r="G3151" s="73"/>
      <c r="I3151" s="111"/>
      <c r="J3151" s="81"/>
      <c r="K3151" s="81"/>
      <c r="L3151" s="499"/>
      <c r="M3151" s="73"/>
      <c r="N3151" s="499"/>
      <c r="O3151" s="73"/>
      <c r="P3151" s="73"/>
      <c r="Q3151" s="73"/>
      <c r="R3151" s="176"/>
      <c r="S3151" s="176"/>
      <c r="T3151" s="176"/>
      <c r="U3151" s="400"/>
      <c r="V3151" s="400"/>
      <c r="W3151" s="732"/>
      <c r="X3151" s="167"/>
      <c r="Y3151" s="509"/>
      <c r="Z3151" s="466"/>
      <c r="AA3151" s="466"/>
      <c r="AB3151" s="466"/>
      <c r="AC3151" s="466"/>
      <c r="AD3151" s="466"/>
      <c r="AE3151" s="466"/>
      <c r="AF3151" s="466"/>
      <c r="AG3151" s="466"/>
      <c r="AH3151" s="466"/>
      <c r="AI3151" s="466"/>
      <c r="AJ3151" s="466"/>
      <c r="AK3151" s="466"/>
      <c r="AL3151" s="466"/>
      <c r="AM3151" s="466"/>
      <c r="AN3151" s="466"/>
      <c r="AO3151" s="466"/>
      <c r="AP3151" s="466"/>
      <c r="AQ3151" s="466"/>
      <c r="AR3151" s="466"/>
      <c r="AS3151" s="466"/>
      <c r="AT3151" s="466"/>
      <c r="AU3151" s="466"/>
      <c r="AV3151" s="466"/>
      <c r="AW3151" s="466"/>
      <c r="AX3151" s="466"/>
      <c r="AY3151" s="466"/>
      <c r="AZ3151" s="466"/>
      <c r="BA3151" s="466"/>
      <c r="BB3151" s="466"/>
      <c r="BC3151" s="466"/>
      <c r="BD3151" s="466"/>
      <c r="BE3151" s="467"/>
      <c r="BF3151" s="467"/>
      <c r="BG3151" s="466"/>
      <c r="BH3151" s="466"/>
      <c r="BI3151" s="467"/>
      <c r="BJ3151" s="467"/>
      <c r="BK3151" s="467"/>
      <c r="BL3151" s="467"/>
      <c r="BM3151" s="467"/>
      <c r="BN3151" s="467"/>
      <c r="BO3151" s="467"/>
      <c r="BP3151" s="467"/>
      <c r="BQ3151" s="467"/>
      <c r="BR3151" s="467"/>
      <c r="BS3151" s="467"/>
      <c r="BT3151" s="467"/>
      <c r="BU3151" s="467"/>
      <c r="BV3151" s="467"/>
      <c r="BW3151" s="467"/>
      <c r="BX3151" s="769"/>
      <c r="BY3151" s="769"/>
      <c r="BZ3151" s="769"/>
      <c r="CA3151" s="769"/>
      <c r="CB3151" s="769"/>
      <c r="CC3151" s="769"/>
      <c r="CD3151" s="769"/>
      <c r="CE3151" s="769"/>
      <c r="CF3151" s="769"/>
      <c r="CG3151" s="73"/>
      <c r="CH3151" s="438"/>
      <c r="CI3151" s="416"/>
      <c r="CJ3151" s="73"/>
      <c r="CK3151" s="650"/>
      <c r="CL3151" s="499"/>
      <c r="CM3151" s="650"/>
      <c r="CR3151" s="416"/>
      <c r="CS3151" s="650"/>
      <c r="CU3151" s="73"/>
      <c r="CV3151" s="73"/>
      <c r="CW3151" s="73"/>
      <c r="CX3151" s="73"/>
      <c r="DA3151" s="650"/>
    </row>
    <row r="3152" spans="1:105" s="45" customFormat="1" x14ac:dyDescent="0.2">
      <c r="A3152" s="650"/>
      <c r="B3152" s="438"/>
      <c r="D3152" s="73"/>
      <c r="E3152" s="650"/>
      <c r="F3152" s="650"/>
      <c r="G3152" s="73"/>
      <c r="I3152" s="111"/>
      <c r="J3152" s="81"/>
      <c r="K3152" s="81"/>
      <c r="L3152" s="499"/>
      <c r="M3152" s="73"/>
      <c r="N3152" s="499"/>
      <c r="O3152" s="73"/>
      <c r="P3152" s="73"/>
      <c r="Q3152" s="73"/>
      <c r="R3152" s="176"/>
      <c r="S3152" s="176"/>
      <c r="T3152" s="176"/>
      <c r="U3152" s="400"/>
      <c r="V3152" s="400"/>
      <c r="W3152" s="732"/>
      <c r="X3152" s="167"/>
      <c r="Y3152" s="509"/>
      <c r="Z3152" s="466"/>
      <c r="AA3152" s="466"/>
      <c r="AB3152" s="466"/>
      <c r="AC3152" s="466"/>
      <c r="AD3152" s="466"/>
      <c r="AE3152" s="466"/>
      <c r="AF3152" s="466"/>
      <c r="AG3152" s="466"/>
      <c r="AH3152" s="466"/>
      <c r="AI3152" s="466"/>
      <c r="AJ3152" s="466"/>
      <c r="AK3152" s="466"/>
      <c r="AL3152" s="466"/>
      <c r="AM3152" s="466"/>
      <c r="AN3152" s="466"/>
      <c r="AO3152" s="466"/>
      <c r="AP3152" s="466"/>
      <c r="AQ3152" s="466"/>
      <c r="AR3152" s="466"/>
      <c r="AS3152" s="466"/>
      <c r="AT3152" s="466"/>
      <c r="AU3152" s="466"/>
      <c r="AV3152" s="466"/>
      <c r="AW3152" s="466"/>
      <c r="AX3152" s="466"/>
      <c r="AY3152" s="466"/>
      <c r="AZ3152" s="466"/>
      <c r="BA3152" s="466"/>
      <c r="BB3152" s="466"/>
      <c r="BC3152" s="466"/>
      <c r="BD3152" s="466"/>
      <c r="BE3152" s="467"/>
      <c r="BF3152" s="467"/>
      <c r="BG3152" s="466"/>
      <c r="BH3152" s="466"/>
      <c r="BI3152" s="467"/>
      <c r="BJ3152" s="467"/>
      <c r="BK3152" s="467"/>
      <c r="BL3152" s="467"/>
      <c r="BM3152" s="467"/>
      <c r="BN3152" s="467"/>
      <c r="BO3152" s="467"/>
      <c r="BP3152" s="467"/>
      <c r="BQ3152" s="467"/>
      <c r="BR3152" s="467"/>
      <c r="BS3152" s="467"/>
      <c r="BT3152" s="467"/>
      <c r="BU3152" s="467"/>
      <c r="BV3152" s="467"/>
      <c r="BW3152" s="467"/>
      <c r="BX3152" s="769"/>
      <c r="BY3152" s="769"/>
      <c r="BZ3152" s="769"/>
      <c r="CA3152" s="769"/>
      <c r="CB3152" s="769"/>
      <c r="CC3152" s="769"/>
      <c r="CD3152" s="769"/>
      <c r="CE3152" s="769"/>
      <c r="CF3152" s="769"/>
      <c r="CG3152" s="73"/>
      <c r="CH3152" s="438"/>
      <c r="CI3152" s="416"/>
      <c r="CJ3152" s="73"/>
      <c r="CK3152" s="650"/>
      <c r="CL3152" s="499"/>
      <c r="CM3152" s="650"/>
      <c r="CR3152" s="416"/>
      <c r="CS3152" s="650"/>
      <c r="CU3152" s="73"/>
      <c r="CV3152" s="73"/>
      <c r="CW3152" s="73"/>
      <c r="CX3152" s="73"/>
      <c r="DA3152" s="650"/>
    </row>
    <row r="3153" spans="1:105" s="45" customFormat="1" x14ac:dyDescent="0.2">
      <c r="A3153" s="650"/>
      <c r="B3153" s="438"/>
      <c r="D3153" s="73"/>
      <c r="E3153" s="650"/>
      <c r="F3153" s="650"/>
      <c r="G3153" s="73"/>
      <c r="I3153" s="111"/>
      <c r="J3153" s="81"/>
      <c r="K3153" s="81"/>
      <c r="L3153" s="499"/>
      <c r="M3153" s="73"/>
      <c r="N3153" s="499"/>
      <c r="O3153" s="73"/>
      <c r="P3153" s="73"/>
      <c r="Q3153" s="73"/>
      <c r="R3153" s="176"/>
      <c r="S3153" s="176"/>
      <c r="T3153" s="176"/>
      <c r="U3153" s="400"/>
      <c r="V3153" s="400"/>
      <c r="W3153" s="732"/>
      <c r="X3153" s="167"/>
      <c r="Y3153" s="509"/>
      <c r="Z3153" s="466"/>
      <c r="AA3153" s="466"/>
      <c r="AB3153" s="466"/>
      <c r="AC3153" s="466"/>
      <c r="AD3153" s="466"/>
      <c r="AE3153" s="466"/>
      <c r="AF3153" s="466"/>
      <c r="AG3153" s="466"/>
      <c r="AH3153" s="466"/>
      <c r="AI3153" s="466"/>
      <c r="AJ3153" s="466"/>
      <c r="AK3153" s="466"/>
      <c r="AL3153" s="466"/>
      <c r="AM3153" s="466"/>
      <c r="AN3153" s="466"/>
      <c r="AO3153" s="466"/>
      <c r="AP3153" s="466"/>
      <c r="AQ3153" s="466"/>
      <c r="AR3153" s="466"/>
      <c r="AS3153" s="466"/>
      <c r="AT3153" s="466"/>
      <c r="AU3153" s="466"/>
      <c r="AV3153" s="466"/>
      <c r="AW3153" s="466"/>
      <c r="AX3153" s="466"/>
      <c r="AY3153" s="466"/>
      <c r="AZ3153" s="466"/>
      <c r="BA3153" s="466"/>
      <c r="BB3153" s="466"/>
      <c r="BC3153" s="466"/>
      <c r="BD3153" s="466"/>
      <c r="BE3153" s="467"/>
      <c r="BF3153" s="467"/>
      <c r="BG3153" s="466"/>
      <c r="BH3153" s="466"/>
      <c r="BI3153" s="467"/>
      <c r="BJ3153" s="467"/>
      <c r="BK3153" s="467"/>
      <c r="BL3153" s="467"/>
      <c r="BM3153" s="467"/>
      <c r="BN3153" s="467"/>
      <c r="BO3153" s="467"/>
      <c r="BP3153" s="467"/>
      <c r="BQ3153" s="467"/>
      <c r="BR3153" s="467"/>
      <c r="BS3153" s="467"/>
      <c r="BT3153" s="467"/>
      <c r="BU3153" s="467"/>
      <c r="BV3153" s="467"/>
      <c r="BW3153" s="467"/>
      <c r="BX3153" s="769"/>
      <c r="BY3153" s="769"/>
      <c r="BZ3153" s="769"/>
      <c r="CA3153" s="769"/>
      <c r="CB3153" s="769"/>
      <c r="CC3153" s="769"/>
      <c r="CD3153" s="769"/>
      <c r="CE3153" s="769"/>
      <c r="CF3153" s="769"/>
      <c r="CG3153" s="73"/>
      <c r="CH3153" s="438"/>
      <c r="CI3153" s="416"/>
      <c r="CJ3153" s="73"/>
      <c r="CK3153" s="650"/>
      <c r="CL3153" s="499"/>
      <c r="CM3153" s="650"/>
      <c r="CR3153" s="416"/>
      <c r="CS3153" s="650"/>
      <c r="CU3153" s="73"/>
      <c r="CV3153" s="73"/>
      <c r="CW3153" s="73"/>
      <c r="CX3153" s="73"/>
      <c r="DA3153" s="650"/>
    </row>
    <row r="3154" spans="1:105" s="45" customFormat="1" x14ac:dyDescent="0.2">
      <c r="A3154" s="650"/>
      <c r="B3154" s="438"/>
      <c r="D3154" s="73"/>
      <c r="E3154" s="650"/>
      <c r="F3154" s="650"/>
      <c r="G3154" s="73"/>
      <c r="I3154" s="111"/>
      <c r="J3154" s="81"/>
      <c r="K3154" s="81"/>
      <c r="L3154" s="499"/>
      <c r="M3154" s="73"/>
      <c r="N3154" s="499"/>
      <c r="O3154" s="73"/>
      <c r="P3154" s="73"/>
      <c r="Q3154" s="73"/>
      <c r="R3154" s="176"/>
      <c r="S3154" s="176"/>
      <c r="T3154" s="176"/>
      <c r="U3154" s="400"/>
      <c r="V3154" s="400"/>
      <c r="W3154" s="732"/>
      <c r="X3154" s="167"/>
      <c r="Y3154" s="509"/>
      <c r="Z3154" s="466"/>
      <c r="AA3154" s="466"/>
      <c r="AB3154" s="466"/>
      <c r="AC3154" s="466"/>
      <c r="AD3154" s="466"/>
      <c r="AE3154" s="466"/>
      <c r="AF3154" s="466"/>
      <c r="AG3154" s="466"/>
      <c r="AH3154" s="466"/>
      <c r="AI3154" s="466"/>
      <c r="AJ3154" s="466"/>
      <c r="AK3154" s="466"/>
      <c r="AL3154" s="466"/>
      <c r="AM3154" s="466"/>
      <c r="AN3154" s="466"/>
      <c r="AO3154" s="466"/>
      <c r="AP3154" s="466"/>
      <c r="AQ3154" s="466"/>
      <c r="AR3154" s="466"/>
      <c r="AS3154" s="466"/>
      <c r="AT3154" s="466"/>
      <c r="AU3154" s="466"/>
      <c r="AV3154" s="466"/>
      <c r="AW3154" s="466"/>
      <c r="AX3154" s="466"/>
      <c r="AY3154" s="466"/>
      <c r="AZ3154" s="466"/>
      <c r="BA3154" s="466"/>
      <c r="BB3154" s="466"/>
      <c r="BC3154" s="466"/>
      <c r="BD3154" s="466"/>
      <c r="BE3154" s="467"/>
      <c r="BF3154" s="467"/>
      <c r="BG3154" s="466"/>
      <c r="BH3154" s="466"/>
      <c r="BI3154" s="467"/>
      <c r="BJ3154" s="467"/>
      <c r="BK3154" s="467"/>
      <c r="BL3154" s="467"/>
      <c r="BM3154" s="467"/>
      <c r="BN3154" s="467"/>
      <c r="BO3154" s="467"/>
      <c r="BP3154" s="467"/>
      <c r="BQ3154" s="467"/>
      <c r="BR3154" s="467"/>
      <c r="BS3154" s="467"/>
      <c r="BT3154" s="467"/>
      <c r="BU3154" s="467"/>
      <c r="BV3154" s="467"/>
      <c r="BW3154" s="467"/>
      <c r="BX3154" s="769"/>
      <c r="BY3154" s="769"/>
      <c r="BZ3154" s="769"/>
      <c r="CA3154" s="769"/>
      <c r="CB3154" s="769"/>
      <c r="CC3154" s="769"/>
      <c r="CD3154" s="769"/>
      <c r="CE3154" s="769"/>
      <c r="CF3154" s="769"/>
      <c r="CG3154" s="73"/>
      <c r="CH3154" s="438"/>
      <c r="CI3154" s="416"/>
      <c r="CJ3154" s="73"/>
      <c r="CK3154" s="650"/>
      <c r="CL3154" s="499"/>
      <c r="CM3154" s="650"/>
      <c r="CR3154" s="416"/>
      <c r="CS3154" s="650"/>
      <c r="CU3154" s="73"/>
      <c r="CV3154" s="73"/>
      <c r="CW3154" s="73"/>
      <c r="CX3154" s="73"/>
      <c r="DA3154" s="650"/>
    </row>
    <row r="3155" spans="1:105" s="45" customFormat="1" x14ac:dyDescent="0.2">
      <c r="A3155" s="650"/>
      <c r="B3155" s="438"/>
      <c r="D3155" s="73"/>
      <c r="E3155" s="650"/>
      <c r="F3155" s="650"/>
      <c r="G3155" s="73"/>
      <c r="I3155" s="111"/>
      <c r="J3155" s="81"/>
      <c r="K3155" s="81"/>
      <c r="L3155" s="499"/>
      <c r="M3155" s="73"/>
      <c r="N3155" s="499"/>
      <c r="O3155" s="73"/>
      <c r="P3155" s="73"/>
      <c r="Q3155" s="73"/>
      <c r="R3155" s="176"/>
      <c r="S3155" s="176"/>
      <c r="T3155" s="176"/>
      <c r="U3155" s="400"/>
      <c r="V3155" s="400"/>
      <c r="W3155" s="732"/>
      <c r="X3155" s="167"/>
      <c r="Y3155" s="509"/>
      <c r="Z3155" s="466"/>
      <c r="AA3155" s="466"/>
      <c r="AB3155" s="466"/>
      <c r="AC3155" s="466"/>
      <c r="AD3155" s="466"/>
      <c r="AE3155" s="466"/>
      <c r="AF3155" s="466"/>
      <c r="AG3155" s="466"/>
      <c r="AH3155" s="466"/>
      <c r="AI3155" s="466"/>
      <c r="AJ3155" s="466"/>
      <c r="AK3155" s="466"/>
      <c r="AL3155" s="466"/>
      <c r="AM3155" s="466"/>
      <c r="AN3155" s="466"/>
      <c r="AO3155" s="466"/>
      <c r="AP3155" s="466"/>
      <c r="AQ3155" s="466"/>
      <c r="AR3155" s="466"/>
      <c r="AS3155" s="466"/>
      <c r="AT3155" s="466"/>
      <c r="AU3155" s="466"/>
      <c r="AV3155" s="466"/>
      <c r="AW3155" s="466"/>
      <c r="AX3155" s="466"/>
      <c r="AY3155" s="466"/>
      <c r="AZ3155" s="466"/>
      <c r="BA3155" s="466"/>
      <c r="BB3155" s="466"/>
      <c r="BC3155" s="466"/>
      <c r="BD3155" s="466"/>
      <c r="BE3155" s="467"/>
      <c r="BF3155" s="467"/>
      <c r="BG3155" s="466"/>
      <c r="BH3155" s="466"/>
      <c r="BI3155" s="467"/>
      <c r="BJ3155" s="467"/>
      <c r="BK3155" s="467"/>
      <c r="BL3155" s="467"/>
      <c r="BM3155" s="467"/>
      <c r="BN3155" s="467"/>
      <c r="BO3155" s="467"/>
      <c r="BP3155" s="467"/>
      <c r="BQ3155" s="467"/>
      <c r="BR3155" s="467"/>
      <c r="BS3155" s="467"/>
      <c r="BT3155" s="467"/>
      <c r="BU3155" s="467"/>
      <c r="BV3155" s="467"/>
      <c r="BW3155" s="467"/>
      <c r="BX3155" s="769"/>
      <c r="BY3155" s="769"/>
      <c r="BZ3155" s="769"/>
      <c r="CA3155" s="769"/>
      <c r="CB3155" s="769"/>
      <c r="CC3155" s="769"/>
      <c r="CD3155" s="769"/>
      <c r="CE3155" s="769"/>
      <c r="CF3155" s="769"/>
      <c r="CG3155" s="73"/>
      <c r="CH3155" s="438"/>
      <c r="CI3155" s="416"/>
      <c r="CJ3155" s="73"/>
      <c r="CK3155" s="650"/>
      <c r="CL3155" s="499"/>
      <c r="CM3155" s="650"/>
      <c r="CR3155" s="416"/>
      <c r="CS3155" s="650"/>
      <c r="CU3155" s="73"/>
      <c r="CV3155" s="73"/>
      <c r="CW3155" s="73"/>
      <c r="CX3155" s="73"/>
      <c r="DA3155" s="650"/>
    </row>
    <row r="3156" spans="1:105" s="45" customFormat="1" x14ac:dyDescent="0.2">
      <c r="A3156" s="650"/>
      <c r="B3156" s="438"/>
      <c r="D3156" s="73"/>
      <c r="E3156" s="650"/>
      <c r="F3156" s="650"/>
      <c r="G3156" s="73"/>
      <c r="I3156" s="111"/>
      <c r="J3156" s="81"/>
      <c r="K3156" s="81"/>
      <c r="L3156" s="499"/>
      <c r="M3156" s="73"/>
      <c r="N3156" s="499"/>
      <c r="O3156" s="73"/>
      <c r="P3156" s="73"/>
      <c r="Q3156" s="73"/>
      <c r="R3156" s="176"/>
      <c r="S3156" s="176"/>
      <c r="T3156" s="176"/>
      <c r="U3156" s="400"/>
      <c r="V3156" s="400"/>
      <c r="W3156" s="732"/>
      <c r="X3156" s="167"/>
      <c r="Y3156" s="509"/>
      <c r="Z3156" s="466"/>
      <c r="AA3156" s="466"/>
      <c r="AB3156" s="466"/>
      <c r="AC3156" s="466"/>
      <c r="AD3156" s="466"/>
      <c r="AE3156" s="466"/>
      <c r="AF3156" s="466"/>
      <c r="AG3156" s="466"/>
      <c r="AH3156" s="466"/>
      <c r="AI3156" s="466"/>
      <c r="AJ3156" s="466"/>
      <c r="AK3156" s="466"/>
      <c r="AL3156" s="466"/>
      <c r="AM3156" s="466"/>
      <c r="AN3156" s="466"/>
      <c r="AO3156" s="466"/>
      <c r="AP3156" s="466"/>
      <c r="AQ3156" s="466"/>
      <c r="AR3156" s="466"/>
      <c r="AS3156" s="466"/>
      <c r="AT3156" s="466"/>
      <c r="AU3156" s="466"/>
      <c r="AV3156" s="466"/>
      <c r="AW3156" s="466"/>
      <c r="AX3156" s="466"/>
      <c r="AY3156" s="466"/>
      <c r="AZ3156" s="466"/>
      <c r="BA3156" s="466"/>
      <c r="BB3156" s="466"/>
      <c r="BC3156" s="466"/>
      <c r="BD3156" s="466"/>
      <c r="BE3156" s="467"/>
      <c r="BF3156" s="467"/>
      <c r="BG3156" s="466"/>
      <c r="BH3156" s="466"/>
      <c r="BI3156" s="467"/>
      <c r="BJ3156" s="467"/>
      <c r="BK3156" s="467"/>
      <c r="BL3156" s="467"/>
      <c r="BM3156" s="467"/>
      <c r="BN3156" s="467"/>
      <c r="BO3156" s="467"/>
      <c r="BP3156" s="467"/>
      <c r="BQ3156" s="467"/>
      <c r="BR3156" s="467"/>
      <c r="BS3156" s="467"/>
      <c r="BT3156" s="467"/>
      <c r="BU3156" s="467"/>
      <c r="BV3156" s="467"/>
      <c r="BW3156" s="467"/>
      <c r="BX3156" s="769"/>
      <c r="BY3156" s="769"/>
      <c r="BZ3156" s="769"/>
      <c r="CA3156" s="769"/>
      <c r="CB3156" s="769"/>
      <c r="CC3156" s="769"/>
      <c r="CD3156" s="769"/>
      <c r="CE3156" s="769"/>
      <c r="CF3156" s="769"/>
      <c r="CG3156" s="73"/>
      <c r="CH3156" s="438"/>
      <c r="CI3156" s="416"/>
      <c r="CJ3156" s="73"/>
      <c r="CK3156" s="650"/>
      <c r="CL3156" s="499"/>
      <c r="CM3156" s="650"/>
      <c r="CR3156" s="416"/>
      <c r="CS3156" s="650"/>
      <c r="CU3156" s="73"/>
      <c r="CV3156" s="73"/>
      <c r="CW3156" s="73"/>
      <c r="CX3156" s="73"/>
      <c r="DA3156" s="650"/>
    </row>
    <row r="3157" spans="1:105" s="45" customFormat="1" x14ac:dyDescent="0.2">
      <c r="A3157" s="650"/>
      <c r="B3157" s="438"/>
      <c r="D3157" s="73"/>
      <c r="E3157" s="650"/>
      <c r="F3157" s="650"/>
      <c r="G3157" s="73"/>
      <c r="I3157" s="111"/>
      <c r="J3157" s="81"/>
      <c r="K3157" s="81"/>
      <c r="L3157" s="499"/>
      <c r="M3157" s="73"/>
      <c r="N3157" s="499"/>
      <c r="O3157" s="73"/>
      <c r="P3157" s="73"/>
      <c r="Q3157" s="73"/>
      <c r="R3157" s="176"/>
      <c r="S3157" s="176"/>
      <c r="T3157" s="176"/>
      <c r="U3157" s="400"/>
      <c r="V3157" s="400"/>
      <c r="W3157" s="732"/>
      <c r="X3157" s="167"/>
      <c r="Y3157" s="509"/>
      <c r="Z3157" s="466"/>
      <c r="AA3157" s="466"/>
      <c r="AB3157" s="466"/>
      <c r="AC3157" s="466"/>
      <c r="AD3157" s="466"/>
      <c r="AE3157" s="466"/>
      <c r="AF3157" s="466"/>
      <c r="AG3157" s="466"/>
      <c r="AH3157" s="466"/>
      <c r="AI3157" s="466"/>
      <c r="AJ3157" s="466"/>
      <c r="AK3157" s="466"/>
      <c r="AL3157" s="466"/>
      <c r="AM3157" s="466"/>
      <c r="AN3157" s="466"/>
      <c r="AO3157" s="466"/>
      <c r="AP3157" s="466"/>
      <c r="AQ3157" s="466"/>
      <c r="AR3157" s="466"/>
      <c r="AS3157" s="466"/>
      <c r="AT3157" s="466"/>
      <c r="AU3157" s="466"/>
      <c r="AV3157" s="466"/>
      <c r="AW3157" s="466"/>
      <c r="AX3157" s="466"/>
      <c r="AY3157" s="466"/>
      <c r="AZ3157" s="466"/>
      <c r="BA3157" s="466"/>
      <c r="BB3157" s="466"/>
      <c r="BC3157" s="466"/>
      <c r="BD3157" s="466"/>
      <c r="BE3157" s="467"/>
      <c r="BF3157" s="467"/>
      <c r="BG3157" s="466"/>
      <c r="BH3157" s="466"/>
      <c r="BI3157" s="467"/>
      <c r="BJ3157" s="467"/>
      <c r="BK3157" s="467"/>
      <c r="BL3157" s="467"/>
      <c r="BM3157" s="467"/>
      <c r="BN3157" s="467"/>
      <c r="BO3157" s="467"/>
      <c r="BP3157" s="467"/>
      <c r="BQ3157" s="467"/>
      <c r="BR3157" s="467"/>
      <c r="BS3157" s="467"/>
      <c r="BT3157" s="467"/>
      <c r="BU3157" s="467"/>
      <c r="BV3157" s="467"/>
      <c r="BW3157" s="467"/>
      <c r="BX3157" s="769"/>
      <c r="BY3157" s="769"/>
      <c r="BZ3157" s="769"/>
      <c r="CA3157" s="769"/>
      <c r="CB3157" s="769"/>
      <c r="CC3157" s="769"/>
      <c r="CD3157" s="769"/>
      <c r="CE3157" s="769"/>
      <c r="CF3157" s="769"/>
      <c r="CG3157" s="73"/>
      <c r="CH3157" s="438"/>
      <c r="CI3157" s="416"/>
      <c r="CJ3157" s="73"/>
      <c r="CK3157" s="650"/>
      <c r="CL3157" s="499"/>
      <c r="CM3157" s="650"/>
      <c r="CR3157" s="416"/>
      <c r="CS3157" s="650"/>
      <c r="CU3157" s="73"/>
      <c r="CV3157" s="73"/>
      <c r="CW3157" s="73"/>
      <c r="CX3157" s="73"/>
      <c r="DA3157" s="650"/>
    </row>
    <row r="3158" spans="1:105" s="45" customFormat="1" x14ac:dyDescent="0.2">
      <c r="A3158" s="650"/>
      <c r="B3158" s="438"/>
      <c r="D3158" s="73"/>
      <c r="E3158" s="650"/>
      <c r="F3158" s="650"/>
      <c r="G3158" s="73"/>
      <c r="I3158" s="111"/>
      <c r="J3158" s="81"/>
      <c r="K3158" s="81"/>
      <c r="L3158" s="499"/>
      <c r="M3158" s="73"/>
      <c r="N3158" s="499"/>
      <c r="O3158" s="73"/>
      <c r="P3158" s="73"/>
      <c r="Q3158" s="73"/>
      <c r="R3158" s="176"/>
      <c r="S3158" s="176"/>
      <c r="T3158" s="176"/>
      <c r="U3158" s="400"/>
      <c r="V3158" s="400"/>
      <c r="W3158" s="732"/>
      <c r="X3158" s="167"/>
      <c r="Y3158" s="509"/>
      <c r="Z3158" s="466"/>
      <c r="AA3158" s="466"/>
      <c r="AB3158" s="466"/>
      <c r="AC3158" s="466"/>
      <c r="AD3158" s="466"/>
      <c r="AE3158" s="466"/>
      <c r="AF3158" s="466"/>
      <c r="AG3158" s="466"/>
      <c r="AH3158" s="466"/>
      <c r="AI3158" s="466"/>
      <c r="AJ3158" s="466"/>
      <c r="AK3158" s="466"/>
      <c r="AL3158" s="466"/>
      <c r="AM3158" s="466"/>
      <c r="AN3158" s="466"/>
      <c r="AO3158" s="466"/>
      <c r="AP3158" s="466"/>
      <c r="AQ3158" s="466"/>
      <c r="AR3158" s="466"/>
      <c r="AS3158" s="466"/>
      <c r="AT3158" s="466"/>
      <c r="AU3158" s="466"/>
      <c r="AV3158" s="466"/>
      <c r="AW3158" s="466"/>
      <c r="AX3158" s="466"/>
      <c r="AY3158" s="466"/>
      <c r="AZ3158" s="466"/>
      <c r="BA3158" s="466"/>
      <c r="BB3158" s="466"/>
      <c r="BC3158" s="466"/>
      <c r="BD3158" s="466"/>
      <c r="BE3158" s="467"/>
      <c r="BF3158" s="467"/>
      <c r="BG3158" s="466"/>
      <c r="BH3158" s="466"/>
      <c r="BI3158" s="467"/>
      <c r="BJ3158" s="467"/>
      <c r="BK3158" s="467"/>
      <c r="BL3158" s="467"/>
      <c r="BM3158" s="467"/>
      <c r="BN3158" s="467"/>
      <c r="BO3158" s="467"/>
      <c r="BP3158" s="467"/>
      <c r="BQ3158" s="467"/>
      <c r="BR3158" s="467"/>
      <c r="BS3158" s="467"/>
      <c r="BT3158" s="467"/>
      <c r="BU3158" s="467"/>
      <c r="BV3158" s="467"/>
      <c r="BW3158" s="467"/>
      <c r="BX3158" s="769"/>
      <c r="BY3158" s="769"/>
      <c r="BZ3158" s="769"/>
      <c r="CA3158" s="769"/>
      <c r="CB3158" s="769"/>
      <c r="CC3158" s="769"/>
      <c r="CD3158" s="769"/>
      <c r="CE3158" s="769"/>
      <c r="CF3158" s="769"/>
      <c r="CG3158" s="73"/>
      <c r="CH3158" s="438"/>
      <c r="CI3158" s="416"/>
      <c r="CJ3158" s="73"/>
      <c r="CK3158" s="650"/>
      <c r="CL3158" s="499"/>
      <c r="CM3158" s="650"/>
      <c r="CR3158" s="416"/>
      <c r="CS3158" s="650"/>
      <c r="CU3158" s="73"/>
      <c r="CV3158" s="73"/>
      <c r="CW3158" s="73"/>
      <c r="CX3158" s="73"/>
      <c r="DA3158" s="650"/>
    </row>
    <row r="3159" spans="1:105" s="45" customFormat="1" x14ac:dyDescent="0.2">
      <c r="A3159" s="650"/>
      <c r="B3159" s="438"/>
      <c r="D3159" s="73"/>
      <c r="E3159" s="650"/>
      <c r="F3159" s="650"/>
      <c r="G3159" s="73"/>
      <c r="I3159" s="111"/>
      <c r="J3159" s="81"/>
      <c r="K3159" s="81"/>
      <c r="L3159" s="499"/>
      <c r="M3159" s="73"/>
      <c r="N3159" s="499"/>
      <c r="O3159" s="73"/>
      <c r="P3159" s="73"/>
      <c r="Q3159" s="73"/>
      <c r="R3159" s="176"/>
      <c r="S3159" s="176"/>
      <c r="T3159" s="176"/>
      <c r="U3159" s="400"/>
      <c r="V3159" s="400"/>
      <c r="W3159" s="732"/>
      <c r="X3159" s="167"/>
      <c r="Y3159" s="509"/>
      <c r="Z3159" s="466"/>
      <c r="AA3159" s="466"/>
      <c r="AB3159" s="466"/>
      <c r="AC3159" s="466"/>
      <c r="AD3159" s="466"/>
      <c r="AE3159" s="466"/>
      <c r="AF3159" s="466"/>
      <c r="AG3159" s="466"/>
      <c r="AH3159" s="466"/>
      <c r="AI3159" s="466"/>
      <c r="AJ3159" s="466"/>
      <c r="AK3159" s="466"/>
      <c r="AL3159" s="466"/>
      <c r="AM3159" s="466"/>
      <c r="AN3159" s="466"/>
      <c r="AO3159" s="466"/>
      <c r="AP3159" s="466"/>
      <c r="AQ3159" s="466"/>
      <c r="AR3159" s="466"/>
      <c r="AS3159" s="466"/>
      <c r="AT3159" s="466"/>
      <c r="AU3159" s="466"/>
      <c r="AV3159" s="466"/>
      <c r="AW3159" s="466"/>
      <c r="AX3159" s="466"/>
      <c r="AY3159" s="466"/>
      <c r="AZ3159" s="466"/>
      <c r="BA3159" s="466"/>
      <c r="BB3159" s="466"/>
      <c r="BC3159" s="466"/>
      <c r="BD3159" s="466"/>
      <c r="BE3159" s="467"/>
      <c r="BF3159" s="467"/>
      <c r="BG3159" s="466"/>
      <c r="BH3159" s="466"/>
      <c r="BI3159" s="467"/>
      <c r="BJ3159" s="467"/>
      <c r="BK3159" s="467"/>
      <c r="BL3159" s="467"/>
      <c r="BM3159" s="467"/>
      <c r="BN3159" s="467"/>
      <c r="BO3159" s="467"/>
      <c r="BP3159" s="467"/>
      <c r="BQ3159" s="467"/>
      <c r="BR3159" s="467"/>
      <c r="BS3159" s="467"/>
      <c r="BT3159" s="467"/>
      <c r="BU3159" s="467"/>
      <c r="BV3159" s="467"/>
      <c r="BW3159" s="467"/>
      <c r="BX3159" s="769"/>
      <c r="BY3159" s="769"/>
      <c r="BZ3159" s="769"/>
      <c r="CA3159" s="769"/>
      <c r="CB3159" s="769"/>
      <c r="CC3159" s="769"/>
      <c r="CD3159" s="769"/>
      <c r="CE3159" s="769"/>
      <c r="CF3159" s="769"/>
      <c r="CG3159" s="73"/>
      <c r="CH3159" s="438"/>
      <c r="CI3159" s="416"/>
      <c r="CJ3159" s="73"/>
      <c r="CK3159" s="650"/>
      <c r="CL3159" s="499"/>
      <c r="CM3159" s="650"/>
      <c r="CR3159" s="416"/>
      <c r="CS3159" s="650"/>
      <c r="CU3159" s="73"/>
      <c r="CV3159" s="73"/>
      <c r="CW3159" s="73"/>
      <c r="CX3159" s="73"/>
      <c r="DA3159" s="650"/>
    </row>
    <row r="3160" spans="1:105" s="45" customFormat="1" x14ac:dyDescent="0.2">
      <c r="A3160" s="650"/>
      <c r="B3160" s="438"/>
      <c r="D3160" s="73"/>
      <c r="E3160" s="650"/>
      <c r="F3160" s="650"/>
      <c r="G3160" s="73"/>
      <c r="I3160" s="111"/>
      <c r="J3160" s="81"/>
      <c r="K3160" s="81"/>
      <c r="L3160" s="499"/>
      <c r="M3160" s="73"/>
      <c r="N3160" s="499"/>
      <c r="O3160" s="73"/>
      <c r="P3160" s="73"/>
      <c r="Q3160" s="73"/>
      <c r="R3160" s="176"/>
      <c r="S3160" s="176"/>
      <c r="T3160" s="176"/>
      <c r="U3160" s="400"/>
      <c r="V3160" s="400"/>
      <c r="W3160" s="732"/>
      <c r="X3160" s="167"/>
      <c r="Y3160" s="509"/>
      <c r="Z3160" s="466"/>
      <c r="AA3160" s="466"/>
      <c r="AB3160" s="466"/>
      <c r="AC3160" s="466"/>
      <c r="AD3160" s="466"/>
      <c r="AE3160" s="466"/>
      <c r="AF3160" s="466"/>
      <c r="AG3160" s="466"/>
      <c r="AH3160" s="466"/>
      <c r="AI3160" s="466"/>
      <c r="AJ3160" s="466"/>
      <c r="AK3160" s="466"/>
      <c r="AL3160" s="466"/>
      <c r="AM3160" s="466"/>
      <c r="AN3160" s="466"/>
      <c r="AO3160" s="466"/>
      <c r="AP3160" s="466"/>
      <c r="AQ3160" s="466"/>
      <c r="AR3160" s="466"/>
      <c r="AS3160" s="466"/>
      <c r="AT3160" s="466"/>
      <c r="AU3160" s="466"/>
      <c r="AV3160" s="466"/>
      <c r="AW3160" s="466"/>
      <c r="AX3160" s="466"/>
      <c r="AY3160" s="466"/>
      <c r="AZ3160" s="466"/>
      <c r="BA3160" s="466"/>
      <c r="BB3160" s="466"/>
      <c r="BC3160" s="466"/>
      <c r="BD3160" s="466"/>
      <c r="BE3160" s="467"/>
      <c r="BF3160" s="467"/>
      <c r="BG3160" s="466"/>
      <c r="BH3160" s="466"/>
      <c r="BI3160" s="467"/>
      <c r="BJ3160" s="467"/>
      <c r="BK3160" s="467"/>
      <c r="BL3160" s="467"/>
      <c r="BM3160" s="467"/>
      <c r="BN3160" s="467"/>
      <c r="BO3160" s="467"/>
      <c r="BP3160" s="467"/>
      <c r="BQ3160" s="467"/>
      <c r="BR3160" s="467"/>
      <c r="BS3160" s="467"/>
      <c r="BT3160" s="467"/>
      <c r="BU3160" s="467"/>
      <c r="BV3160" s="467"/>
      <c r="BW3160" s="467"/>
      <c r="BX3160" s="769"/>
      <c r="BY3160" s="769"/>
      <c r="BZ3160" s="769"/>
      <c r="CA3160" s="769"/>
      <c r="CB3160" s="769"/>
      <c r="CC3160" s="769"/>
      <c r="CD3160" s="769"/>
      <c r="CE3160" s="769"/>
      <c r="CF3160" s="769"/>
      <c r="CG3160" s="73"/>
      <c r="CH3160" s="438"/>
      <c r="CI3160" s="416"/>
      <c r="CJ3160" s="73"/>
      <c r="CK3160" s="650"/>
      <c r="CL3160" s="499"/>
      <c r="CM3160" s="650"/>
      <c r="CR3160" s="416"/>
      <c r="CS3160" s="650"/>
      <c r="CU3160" s="73"/>
      <c r="CV3160" s="73"/>
      <c r="CW3160" s="73"/>
      <c r="CX3160" s="73"/>
      <c r="DA3160" s="650"/>
    </row>
    <row r="3161" spans="1:105" s="45" customFormat="1" x14ac:dyDescent="0.2">
      <c r="A3161" s="650"/>
      <c r="B3161" s="438"/>
      <c r="D3161" s="73"/>
      <c r="E3161" s="650"/>
      <c r="F3161" s="650"/>
      <c r="G3161" s="73"/>
      <c r="I3161" s="111"/>
      <c r="J3161" s="81"/>
      <c r="K3161" s="81"/>
      <c r="L3161" s="499"/>
      <c r="M3161" s="73"/>
      <c r="N3161" s="499"/>
      <c r="O3161" s="73"/>
      <c r="P3161" s="73"/>
      <c r="Q3161" s="73"/>
      <c r="R3161" s="176"/>
      <c r="S3161" s="176"/>
      <c r="T3161" s="176"/>
      <c r="U3161" s="400"/>
      <c r="V3161" s="400"/>
      <c r="W3161" s="732"/>
      <c r="X3161" s="167"/>
      <c r="Y3161" s="509"/>
      <c r="Z3161" s="466"/>
      <c r="AA3161" s="466"/>
      <c r="AB3161" s="466"/>
      <c r="AC3161" s="466"/>
      <c r="AD3161" s="466"/>
      <c r="AE3161" s="466"/>
      <c r="AF3161" s="466"/>
      <c r="AG3161" s="466"/>
      <c r="AH3161" s="466"/>
      <c r="AI3161" s="466"/>
      <c r="AJ3161" s="466"/>
      <c r="AK3161" s="466"/>
      <c r="AL3161" s="466"/>
      <c r="AM3161" s="466"/>
      <c r="AN3161" s="466"/>
      <c r="AO3161" s="466"/>
      <c r="AP3161" s="466"/>
      <c r="AQ3161" s="466"/>
      <c r="AR3161" s="466"/>
      <c r="AS3161" s="466"/>
      <c r="AT3161" s="466"/>
      <c r="AU3161" s="466"/>
      <c r="AV3161" s="466"/>
      <c r="AW3161" s="466"/>
      <c r="AX3161" s="466"/>
      <c r="AY3161" s="466"/>
      <c r="AZ3161" s="466"/>
      <c r="BA3161" s="466"/>
      <c r="BB3161" s="466"/>
      <c r="BC3161" s="466"/>
      <c r="BD3161" s="466"/>
      <c r="BE3161" s="467"/>
      <c r="BF3161" s="467"/>
      <c r="BG3161" s="466"/>
      <c r="BH3161" s="466"/>
      <c r="BI3161" s="467"/>
      <c r="BJ3161" s="467"/>
      <c r="BK3161" s="467"/>
      <c r="BL3161" s="467"/>
      <c r="BM3161" s="467"/>
      <c r="BN3161" s="467"/>
      <c r="BO3161" s="467"/>
      <c r="BP3161" s="467"/>
      <c r="BQ3161" s="467"/>
      <c r="BR3161" s="467"/>
      <c r="BS3161" s="467"/>
      <c r="BT3161" s="467"/>
      <c r="BU3161" s="467"/>
      <c r="BV3161" s="467"/>
      <c r="BW3161" s="467"/>
      <c r="BX3161" s="769"/>
      <c r="BY3161" s="769"/>
      <c r="BZ3161" s="769"/>
      <c r="CA3161" s="769"/>
      <c r="CB3161" s="769"/>
      <c r="CC3161" s="769"/>
      <c r="CD3161" s="769"/>
      <c r="CE3161" s="769"/>
      <c r="CF3161" s="769"/>
      <c r="CG3161" s="73"/>
      <c r="CH3161" s="438"/>
      <c r="CI3161" s="416"/>
      <c r="CJ3161" s="73"/>
      <c r="CK3161" s="650"/>
      <c r="CL3161" s="499"/>
      <c r="CM3161" s="650"/>
      <c r="CR3161" s="416"/>
      <c r="CS3161" s="650"/>
      <c r="CU3161" s="73"/>
      <c r="CV3161" s="73"/>
      <c r="CW3161" s="73"/>
      <c r="CX3161" s="73"/>
      <c r="DA3161" s="650"/>
    </row>
    <row r="3162" spans="1:105" s="45" customFormat="1" x14ac:dyDescent="0.2">
      <c r="A3162" s="650"/>
      <c r="B3162" s="438"/>
      <c r="D3162" s="73"/>
      <c r="E3162" s="650"/>
      <c r="F3162" s="650"/>
      <c r="G3162" s="73"/>
      <c r="I3162" s="111"/>
      <c r="J3162" s="81"/>
      <c r="K3162" s="81"/>
      <c r="L3162" s="499"/>
      <c r="M3162" s="73"/>
      <c r="N3162" s="499"/>
      <c r="O3162" s="73"/>
      <c r="P3162" s="73"/>
      <c r="Q3162" s="73"/>
      <c r="R3162" s="176"/>
      <c r="S3162" s="176"/>
      <c r="T3162" s="176"/>
      <c r="U3162" s="400"/>
      <c r="V3162" s="400"/>
      <c r="W3162" s="732"/>
      <c r="X3162" s="167"/>
      <c r="Y3162" s="509"/>
      <c r="Z3162" s="466"/>
      <c r="AA3162" s="466"/>
      <c r="AB3162" s="466"/>
      <c r="AC3162" s="466"/>
      <c r="AD3162" s="466"/>
      <c r="AE3162" s="466"/>
      <c r="AF3162" s="466"/>
      <c r="AG3162" s="466"/>
      <c r="AH3162" s="466"/>
      <c r="AI3162" s="466"/>
      <c r="AJ3162" s="466"/>
      <c r="AK3162" s="466"/>
      <c r="AL3162" s="466"/>
      <c r="AM3162" s="466"/>
      <c r="AN3162" s="466"/>
      <c r="AO3162" s="466"/>
      <c r="AP3162" s="466"/>
      <c r="AQ3162" s="466"/>
      <c r="AR3162" s="466"/>
      <c r="AS3162" s="466"/>
      <c r="AT3162" s="466"/>
      <c r="AU3162" s="466"/>
      <c r="AV3162" s="466"/>
      <c r="AW3162" s="466"/>
      <c r="AX3162" s="466"/>
      <c r="AY3162" s="466"/>
      <c r="AZ3162" s="466"/>
      <c r="BA3162" s="466"/>
      <c r="BB3162" s="466"/>
      <c r="BC3162" s="466"/>
      <c r="BD3162" s="466"/>
      <c r="BE3162" s="467"/>
      <c r="BF3162" s="467"/>
      <c r="BG3162" s="466"/>
      <c r="BH3162" s="466"/>
      <c r="BI3162" s="467"/>
      <c r="BJ3162" s="467"/>
      <c r="BK3162" s="467"/>
      <c r="BL3162" s="467"/>
      <c r="BM3162" s="467"/>
      <c r="BN3162" s="467"/>
      <c r="BO3162" s="467"/>
      <c r="BP3162" s="467"/>
      <c r="BQ3162" s="467"/>
      <c r="BR3162" s="467"/>
      <c r="BS3162" s="467"/>
      <c r="BT3162" s="467"/>
      <c r="BU3162" s="467"/>
      <c r="BV3162" s="467"/>
      <c r="BW3162" s="467"/>
      <c r="BX3162" s="769"/>
      <c r="BY3162" s="769"/>
      <c r="BZ3162" s="769"/>
      <c r="CA3162" s="769"/>
      <c r="CB3162" s="769"/>
      <c r="CC3162" s="769"/>
      <c r="CD3162" s="769"/>
      <c r="CE3162" s="769"/>
      <c r="CF3162" s="769"/>
      <c r="CG3162" s="73"/>
      <c r="CH3162" s="438"/>
      <c r="CI3162" s="416"/>
      <c r="CJ3162" s="73"/>
      <c r="CK3162" s="650"/>
      <c r="CL3162" s="499"/>
      <c r="CM3162" s="650"/>
      <c r="CR3162" s="416"/>
      <c r="CS3162" s="650"/>
      <c r="CU3162" s="73"/>
      <c r="CV3162" s="73"/>
      <c r="CW3162" s="73"/>
      <c r="CX3162" s="73"/>
      <c r="DA3162" s="650"/>
    </row>
    <row r="3163" spans="1:105" s="45" customFormat="1" x14ac:dyDescent="0.2">
      <c r="A3163" s="650"/>
      <c r="B3163" s="438"/>
      <c r="D3163" s="73"/>
      <c r="E3163" s="650"/>
      <c r="F3163" s="650"/>
      <c r="G3163" s="73"/>
      <c r="I3163" s="111"/>
      <c r="J3163" s="81"/>
      <c r="K3163" s="81"/>
      <c r="L3163" s="499"/>
      <c r="M3163" s="73"/>
      <c r="N3163" s="499"/>
      <c r="O3163" s="73"/>
      <c r="P3163" s="73"/>
      <c r="Q3163" s="73"/>
      <c r="R3163" s="176"/>
      <c r="S3163" s="176"/>
      <c r="T3163" s="176"/>
      <c r="U3163" s="400"/>
      <c r="V3163" s="400"/>
      <c r="W3163" s="732"/>
      <c r="X3163" s="167"/>
      <c r="Y3163" s="509"/>
      <c r="Z3163" s="466"/>
      <c r="AA3163" s="466"/>
      <c r="AB3163" s="466"/>
      <c r="AC3163" s="466"/>
      <c r="AD3163" s="466"/>
      <c r="AE3163" s="466"/>
      <c r="AF3163" s="466"/>
      <c r="AG3163" s="466"/>
      <c r="AH3163" s="466"/>
      <c r="AI3163" s="466"/>
      <c r="AJ3163" s="466"/>
      <c r="AK3163" s="466"/>
      <c r="AL3163" s="466"/>
      <c r="AM3163" s="466"/>
      <c r="AN3163" s="466"/>
      <c r="AO3163" s="466"/>
      <c r="AP3163" s="466"/>
      <c r="AQ3163" s="466"/>
      <c r="AR3163" s="466"/>
      <c r="AS3163" s="466"/>
      <c r="AT3163" s="466"/>
      <c r="AU3163" s="466"/>
      <c r="AV3163" s="466"/>
      <c r="AW3163" s="466"/>
      <c r="AX3163" s="466"/>
      <c r="AY3163" s="466"/>
      <c r="AZ3163" s="466"/>
      <c r="BA3163" s="466"/>
      <c r="BB3163" s="466"/>
      <c r="BC3163" s="466"/>
      <c r="BD3163" s="466"/>
      <c r="BE3163" s="467"/>
      <c r="BF3163" s="467"/>
      <c r="BG3163" s="466"/>
      <c r="BH3163" s="466"/>
      <c r="BI3163" s="467"/>
      <c r="BJ3163" s="467"/>
      <c r="BK3163" s="467"/>
      <c r="BL3163" s="467"/>
      <c r="BM3163" s="467"/>
      <c r="BN3163" s="467"/>
      <c r="BO3163" s="467"/>
      <c r="BP3163" s="467"/>
      <c r="BQ3163" s="467"/>
      <c r="BR3163" s="467"/>
      <c r="BS3163" s="467"/>
      <c r="BT3163" s="467"/>
      <c r="BU3163" s="467"/>
      <c r="BV3163" s="467"/>
      <c r="BW3163" s="467"/>
      <c r="BX3163" s="769"/>
      <c r="BY3163" s="769"/>
      <c r="BZ3163" s="769"/>
      <c r="CA3163" s="769"/>
      <c r="CB3163" s="769"/>
      <c r="CC3163" s="769"/>
      <c r="CD3163" s="769"/>
      <c r="CE3163" s="769"/>
      <c r="CF3163" s="769"/>
      <c r="CG3163" s="73"/>
      <c r="CH3163" s="438"/>
      <c r="CI3163" s="416"/>
      <c r="CJ3163" s="73"/>
      <c r="CK3163" s="650"/>
      <c r="CL3163" s="499"/>
      <c r="CM3163" s="650"/>
      <c r="CR3163" s="416"/>
      <c r="CS3163" s="650"/>
      <c r="CU3163" s="73"/>
      <c r="CV3163" s="73"/>
      <c r="CW3163" s="73"/>
      <c r="CX3163" s="73"/>
      <c r="DA3163" s="650"/>
    </row>
    <row r="3164" spans="1:105" s="45" customFormat="1" x14ac:dyDescent="0.2">
      <c r="A3164" s="650"/>
      <c r="B3164" s="438"/>
      <c r="D3164" s="73"/>
      <c r="E3164" s="650"/>
      <c r="F3164" s="650"/>
      <c r="G3164" s="73"/>
      <c r="I3164" s="111"/>
      <c r="J3164" s="81"/>
      <c r="K3164" s="81"/>
      <c r="L3164" s="499"/>
      <c r="M3164" s="73"/>
      <c r="N3164" s="499"/>
      <c r="O3164" s="73"/>
      <c r="P3164" s="73"/>
      <c r="Q3164" s="73"/>
      <c r="R3164" s="176"/>
      <c r="S3164" s="176"/>
      <c r="T3164" s="176"/>
      <c r="U3164" s="400"/>
      <c r="V3164" s="400"/>
      <c r="W3164" s="732"/>
      <c r="X3164" s="167"/>
      <c r="Y3164" s="509"/>
      <c r="Z3164" s="466"/>
      <c r="AA3164" s="466"/>
      <c r="AB3164" s="466"/>
      <c r="AC3164" s="466"/>
      <c r="AD3164" s="466"/>
      <c r="AE3164" s="466"/>
      <c r="AF3164" s="466"/>
      <c r="AG3164" s="466"/>
      <c r="AH3164" s="466"/>
      <c r="AI3164" s="466"/>
      <c r="AJ3164" s="466"/>
      <c r="AK3164" s="466"/>
      <c r="AL3164" s="466"/>
      <c r="AM3164" s="466"/>
      <c r="AN3164" s="466"/>
      <c r="AO3164" s="466"/>
      <c r="AP3164" s="466"/>
      <c r="AQ3164" s="466"/>
      <c r="AR3164" s="466"/>
      <c r="AS3164" s="466"/>
      <c r="AT3164" s="466"/>
      <c r="AU3164" s="466"/>
      <c r="AV3164" s="466"/>
      <c r="AW3164" s="466"/>
      <c r="AX3164" s="466"/>
      <c r="AY3164" s="466"/>
      <c r="AZ3164" s="466"/>
      <c r="BA3164" s="466"/>
      <c r="BB3164" s="466"/>
      <c r="BC3164" s="466"/>
      <c r="BD3164" s="466"/>
      <c r="BE3164" s="467"/>
      <c r="BF3164" s="467"/>
      <c r="BG3164" s="466"/>
      <c r="BH3164" s="466"/>
      <c r="BI3164" s="467"/>
      <c r="BJ3164" s="467"/>
      <c r="BK3164" s="467"/>
      <c r="BL3164" s="467"/>
      <c r="BM3164" s="467"/>
      <c r="BN3164" s="467"/>
      <c r="BO3164" s="467"/>
      <c r="BP3164" s="467"/>
      <c r="BQ3164" s="467"/>
      <c r="BR3164" s="467"/>
      <c r="BS3164" s="467"/>
      <c r="BT3164" s="467"/>
      <c r="BU3164" s="467"/>
      <c r="BV3164" s="467"/>
      <c r="BW3164" s="467"/>
      <c r="BX3164" s="769"/>
      <c r="BY3164" s="769"/>
      <c r="BZ3164" s="769"/>
      <c r="CA3164" s="769"/>
      <c r="CB3164" s="769"/>
      <c r="CC3164" s="769"/>
      <c r="CD3164" s="769"/>
      <c r="CE3164" s="769"/>
      <c r="CF3164" s="769"/>
      <c r="CG3164" s="73"/>
      <c r="CH3164" s="438"/>
      <c r="CI3164" s="416"/>
      <c r="CJ3164" s="73"/>
      <c r="CK3164" s="650"/>
      <c r="CL3164" s="499"/>
      <c r="CM3164" s="650"/>
      <c r="CR3164" s="416"/>
      <c r="CS3164" s="650"/>
      <c r="CU3164" s="73"/>
      <c r="CV3164" s="73"/>
      <c r="CW3164" s="73"/>
      <c r="CX3164" s="73"/>
      <c r="DA3164" s="650"/>
    </row>
    <row r="3165" spans="1:105" s="45" customFormat="1" x14ac:dyDescent="0.2">
      <c r="A3165" s="650"/>
      <c r="B3165" s="438"/>
      <c r="D3165" s="73"/>
      <c r="E3165" s="650"/>
      <c r="F3165" s="650"/>
      <c r="G3165" s="73"/>
      <c r="I3165" s="111"/>
      <c r="J3165" s="81"/>
      <c r="K3165" s="81"/>
      <c r="L3165" s="499"/>
      <c r="M3165" s="73"/>
      <c r="N3165" s="499"/>
      <c r="O3165" s="73"/>
      <c r="P3165" s="73"/>
      <c r="Q3165" s="73"/>
      <c r="R3165" s="176"/>
      <c r="S3165" s="176"/>
      <c r="T3165" s="176"/>
      <c r="U3165" s="400"/>
      <c r="V3165" s="400"/>
      <c r="W3165" s="732"/>
      <c r="X3165" s="167"/>
      <c r="Y3165" s="509"/>
      <c r="Z3165" s="466"/>
      <c r="AA3165" s="466"/>
      <c r="AB3165" s="466"/>
      <c r="AC3165" s="466"/>
      <c r="AD3165" s="466"/>
      <c r="AE3165" s="466"/>
      <c r="AF3165" s="466"/>
      <c r="AG3165" s="466"/>
      <c r="AH3165" s="466"/>
      <c r="AI3165" s="466"/>
      <c r="AJ3165" s="466"/>
      <c r="AK3165" s="466"/>
      <c r="AL3165" s="466"/>
      <c r="AM3165" s="466"/>
      <c r="AN3165" s="466"/>
      <c r="AO3165" s="466"/>
      <c r="AP3165" s="466"/>
      <c r="AQ3165" s="466"/>
      <c r="AR3165" s="466"/>
      <c r="AS3165" s="466"/>
      <c r="AT3165" s="466"/>
      <c r="AU3165" s="466"/>
      <c r="AV3165" s="466"/>
      <c r="AW3165" s="466"/>
      <c r="AX3165" s="466"/>
      <c r="AY3165" s="466"/>
      <c r="AZ3165" s="466"/>
      <c r="BA3165" s="466"/>
      <c r="BB3165" s="466"/>
      <c r="BC3165" s="466"/>
      <c r="BD3165" s="466"/>
      <c r="BE3165" s="467"/>
      <c r="BF3165" s="467"/>
      <c r="BG3165" s="466"/>
      <c r="BH3165" s="466"/>
      <c r="BI3165" s="467"/>
      <c r="BJ3165" s="467"/>
      <c r="BK3165" s="467"/>
      <c r="BL3165" s="467"/>
      <c r="BM3165" s="467"/>
      <c r="BN3165" s="467"/>
      <c r="BO3165" s="467"/>
      <c r="BP3165" s="467"/>
      <c r="BQ3165" s="467"/>
      <c r="BR3165" s="467"/>
      <c r="BS3165" s="467"/>
      <c r="BT3165" s="467"/>
      <c r="BU3165" s="467"/>
      <c r="BV3165" s="467"/>
      <c r="BW3165" s="467"/>
      <c r="BX3165" s="769"/>
      <c r="BY3165" s="769"/>
      <c r="BZ3165" s="769"/>
      <c r="CA3165" s="769"/>
      <c r="CB3165" s="769"/>
      <c r="CC3165" s="769"/>
      <c r="CD3165" s="769"/>
      <c r="CE3165" s="769"/>
      <c r="CF3165" s="769"/>
      <c r="CG3165" s="73"/>
      <c r="CH3165" s="438"/>
      <c r="CI3165" s="416"/>
      <c r="CJ3165" s="73"/>
      <c r="CK3165" s="650"/>
      <c r="CL3165" s="499"/>
      <c r="CM3165" s="650"/>
      <c r="CR3165" s="416"/>
      <c r="CS3165" s="650"/>
      <c r="CU3165" s="73"/>
      <c r="CV3165" s="73"/>
      <c r="CW3165" s="73"/>
      <c r="CX3165" s="73"/>
      <c r="DA3165" s="650"/>
    </row>
    <row r="3166" spans="1:105" s="45" customFormat="1" x14ac:dyDescent="0.2">
      <c r="A3166" s="650"/>
      <c r="B3166" s="438"/>
      <c r="D3166" s="73"/>
      <c r="E3166" s="650"/>
      <c r="F3166" s="650"/>
      <c r="G3166" s="73"/>
      <c r="I3166" s="111"/>
      <c r="J3166" s="81"/>
      <c r="K3166" s="81"/>
      <c r="L3166" s="499"/>
      <c r="M3166" s="73"/>
      <c r="N3166" s="499"/>
      <c r="O3166" s="73"/>
      <c r="P3166" s="73"/>
      <c r="Q3166" s="73"/>
      <c r="R3166" s="176"/>
      <c r="S3166" s="176"/>
      <c r="T3166" s="176"/>
      <c r="U3166" s="400"/>
      <c r="V3166" s="400"/>
      <c r="W3166" s="732"/>
      <c r="X3166" s="167"/>
      <c r="Y3166" s="509"/>
      <c r="Z3166" s="466"/>
      <c r="AA3166" s="466"/>
      <c r="AB3166" s="466"/>
      <c r="AC3166" s="466"/>
      <c r="AD3166" s="466"/>
      <c r="AE3166" s="466"/>
      <c r="AF3166" s="466"/>
      <c r="AG3166" s="466"/>
      <c r="AH3166" s="466"/>
      <c r="AI3166" s="466"/>
      <c r="AJ3166" s="466"/>
      <c r="AK3166" s="466"/>
      <c r="AL3166" s="466"/>
      <c r="AM3166" s="466"/>
      <c r="AN3166" s="466"/>
      <c r="AO3166" s="466"/>
      <c r="AP3166" s="466"/>
      <c r="AQ3166" s="466"/>
      <c r="AR3166" s="466"/>
      <c r="AS3166" s="466"/>
      <c r="AT3166" s="466"/>
      <c r="AU3166" s="466"/>
      <c r="AV3166" s="466"/>
      <c r="AW3166" s="466"/>
      <c r="AX3166" s="466"/>
      <c r="AY3166" s="466"/>
      <c r="AZ3166" s="466"/>
      <c r="BA3166" s="466"/>
      <c r="BB3166" s="466"/>
      <c r="BC3166" s="466"/>
      <c r="BD3166" s="466"/>
      <c r="BE3166" s="467"/>
      <c r="BF3166" s="467"/>
      <c r="BG3166" s="466"/>
      <c r="BH3166" s="466"/>
      <c r="BI3166" s="467"/>
      <c r="BJ3166" s="467"/>
      <c r="BK3166" s="467"/>
      <c r="BL3166" s="467"/>
      <c r="BM3166" s="467"/>
      <c r="BN3166" s="467"/>
      <c r="BO3166" s="467"/>
      <c r="BP3166" s="467"/>
      <c r="BQ3166" s="467"/>
      <c r="BR3166" s="467"/>
      <c r="BS3166" s="467"/>
      <c r="BT3166" s="467"/>
      <c r="BU3166" s="467"/>
      <c r="BV3166" s="467"/>
      <c r="BW3166" s="467"/>
      <c r="BX3166" s="769"/>
      <c r="BY3166" s="769"/>
      <c r="BZ3166" s="769"/>
      <c r="CA3166" s="769"/>
      <c r="CB3166" s="769"/>
      <c r="CC3166" s="769"/>
      <c r="CD3166" s="769"/>
      <c r="CE3166" s="769"/>
      <c r="CF3166" s="769"/>
      <c r="CG3166" s="73"/>
      <c r="CH3166" s="438"/>
      <c r="CI3166" s="416"/>
      <c r="CJ3166" s="73"/>
      <c r="CK3166" s="650"/>
      <c r="CL3166" s="499"/>
      <c r="CM3166" s="650"/>
      <c r="CR3166" s="416"/>
      <c r="CS3166" s="650"/>
      <c r="CU3166" s="73"/>
      <c r="CV3166" s="73"/>
      <c r="CW3166" s="73"/>
      <c r="CX3166" s="73"/>
      <c r="DA3166" s="650"/>
    </row>
    <row r="3167" spans="1:105" s="45" customFormat="1" x14ac:dyDescent="0.2">
      <c r="A3167" s="650"/>
      <c r="B3167" s="438"/>
      <c r="D3167" s="73"/>
      <c r="E3167" s="650"/>
      <c r="F3167" s="650"/>
      <c r="G3167" s="73"/>
      <c r="I3167" s="111"/>
      <c r="J3167" s="81"/>
      <c r="K3167" s="81"/>
      <c r="L3167" s="499"/>
      <c r="M3167" s="73"/>
      <c r="N3167" s="499"/>
      <c r="O3167" s="73"/>
      <c r="P3167" s="73"/>
      <c r="Q3167" s="73"/>
      <c r="R3167" s="176"/>
      <c r="S3167" s="176"/>
      <c r="T3167" s="176"/>
      <c r="U3167" s="400"/>
      <c r="V3167" s="400"/>
      <c r="W3167" s="732"/>
      <c r="X3167" s="167"/>
      <c r="Y3167" s="509"/>
      <c r="Z3167" s="466"/>
      <c r="AA3167" s="466"/>
      <c r="AB3167" s="466"/>
      <c r="AC3167" s="466"/>
      <c r="AD3167" s="466"/>
      <c r="AE3167" s="466"/>
      <c r="AF3167" s="466"/>
      <c r="AG3167" s="466"/>
      <c r="AH3167" s="466"/>
      <c r="AI3167" s="466"/>
      <c r="AJ3167" s="466"/>
      <c r="AK3167" s="466"/>
      <c r="AL3167" s="466"/>
      <c r="AM3167" s="466"/>
      <c r="AN3167" s="466"/>
      <c r="AO3167" s="466"/>
      <c r="AP3167" s="466"/>
      <c r="AQ3167" s="466"/>
      <c r="AR3167" s="466"/>
      <c r="AS3167" s="466"/>
      <c r="AT3167" s="466"/>
      <c r="AU3167" s="466"/>
      <c r="AV3167" s="466"/>
      <c r="AW3167" s="466"/>
      <c r="AX3167" s="466"/>
      <c r="AY3167" s="466"/>
      <c r="AZ3167" s="466"/>
      <c r="BA3167" s="466"/>
      <c r="BB3167" s="466"/>
      <c r="BC3167" s="466"/>
      <c r="BD3167" s="466"/>
      <c r="BE3167" s="467"/>
      <c r="BF3167" s="467"/>
      <c r="BG3167" s="466"/>
      <c r="BH3167" s="466"/>
      <c r="BI3167" s="467"/>
      <c r="BJ3167" s="467"/>
      <c r="BK3167" s="467"/>
      <c r="BL3167" s="467"/>
      <c r="BM3167" s="467"/>
      <c r="BN3167" s="467"/>
      <c r="BO3167" s="467"/>
      <c r="BP3167" s="467"/>
      <c r="BQ3167" s="467"/>
      <c r="BR3167" s="467"/>
      <c r="BS3167" s="467"/>
      <c r="BT3167" s="467"/>
      <c r="BU3167" s="467"/>
      <c r="BV3167" s="467"/>
      <c r="BW3167" s="467"/>
      <c r="BX3167" s="769"/>
      <c r="BY3167" s="769"/>
      <c r="BZ3167" s="769"/>
      <c r="CA3167" s="769"/>
      <c r="CB3167" s="769"/>
      <c r="CC3167" s="769"/>
      <c r="CD3167" s="769"/>
      <c r="CE3167" s="769"/>
      <c r="CF3167" s="769"/>
      <c r="CG3167" s="73"/>
      <c r="CH3167" s="438"/>
      <c r="CI3167" s="416"/>
      <c r="CJ3167" s="73"/>
      <c r="CK3167" s="650"/>
      <c r="CL3167" s="499"/>
      <c r="CM3167" s="650"/>
      <c r="CR3167" s="416"/>
      <c r="CS3167" s="650"/>
      <c r="CU3167" s="73"/>
      <c r="CV3167" s="73"/>
      <c r="CW3167" s="73"/>
      <c r="CX3167" s="73"/>
      <c r="DA3167" s="650"/>
    </row>
    <row r="3168" spans="1:105" s="45" customFormat="1" x14ac:dyDescent="0.2">
      <c r="A3168" s="650"/>
      <c r="B3168" s="438"/>
      <c r="D3168" s="73"/>
      <c r="E3168" s="650"/>
      <c r="F3168" s="650"/>
      <c r="G3168" s="73"/>
      <c r="I3168" s="111"/>
      <c r="J3168" s="81"/>
      <c r="K3168" s="81"/>
      <c r="L3168" s="499"/>
      <c r="M3168" s="73"/>
      <c r="N3168" s="499"/>
      <c r="O3168" s="73"/>
      <c r="P3168" s="73"/>
      <c r="Q3168" s="73"/>
      <c r="R3168" s="176"/>
      <c r="S3168" s="176"/>
      <c r="T3168" s="176"/>
      <c r="U3168" s="400"/>
      <c r="V3168" s="400"/>
      <c r="W3168" s="732"/>
      <c r="X3168" s="167"/>
      <c r="Y3168" s="509"/>
      <c r="Z3168" s="466"/>
      <c r="AA3168" s="466"/>
      <c r="AB3168" s="466"/>
      <c r="AC3168" s="466"/>
      <c r="AD3168" s="466"/>
      <c r="AE3168" s="466"/>
      <c r="AF3168" s="466"/>
      <c r="AG3168" s="466"/>
      <c r="AH3168" s="466"/>
      <c r="AI3168" s="466"/>
      <c r="AJ3168" s="466"/>
      <c r="AK3168" s="466"/>
      <c r="AL3168" s="466"/>
      <c r="AM3168" s="466"/>
      <c r="AN3168" s="466"/>
      <c r="AO3168" s="466"/>
      <c r="AP3168" s="466"/>
      <c r="AQ3168" s="466"/>
      <c r="AR3168" s="466"/>
      <c r="AS3168" s="466"/>
      <c r="AT3168" s="466"/>
      <c r="AU3168" s="466"/>
      <c r="AV3168" s="466"/>
      <c r="AW3168" s="466"/>
      <c r="AX3168" s="466"/>
      <c r="AY3168" s="466"/>
      <c r="AZ3168" s="466"/>
      <c r="BA3168" s="466"/>
      <c r="BB3168" s="466"/>
      <c r="BC3168" s="466"/>
      <c r="BD3168" s="466"/>
      <c r="BE3168" s="467"/>
      <c r="BF3168" s="467"/>
      <c r="BG3168" s="466"/>
      <c r="BH3168" s="466"/>
      <c r="BI3168" s="467"/>
      <c r="BJ3168" s="467"/>
      <c r="BK3168" s="467"/>
      <c r="BL3168" s="467"/>
      <c r="BM3168" s="467"/>
      <c r="BN3168" s="467"/>
      <c r="BO3168" s="467"/>
      <c r="BP3168" s="467"/>
      <c r="BQ3168" s="467"/>
      <c r="BR3168" s="467"/>
      <c r="BS3168" s="467"/>
      <c r="BT3168" s="467"/>
      <c r="BU3168" s="467"/>
      <c r="BV3168" s="467"/>
      <c r="BW3168" s="467"/>
      <c r="BX3168" s="769"/>
      <c r="BY3168" s="769"/>
      <c r="BZ3168" s="769"/>
      <c r="CA3168" s="769"/>
      <c r="CB3168" s="769"/>
      <c r="CC3168" s="769"/>
      <c r="CD3168" s="769"/>
      <c r="CE3168" s="769"/>
      <c r="CF3168" s="769"/>
      <c r="CG3168" s="73"/>
      <c r="CH3168" s="438"/>
      <c r="CI3168" s="416"/>
      <c r="CJ3168" s="73"/>
      <c r="CK3168" s="650"/>
      <c r="CL3168" s="499"/>
      <c r="CM3168" s="650"/>
      <c r="CR3168" s="416"/>
      <c r="CS3168" s="650"/>
      <c r="CU3168" s="73"/>
      <c r="CV3168" s="73"/>
      <c r="CW3168" s="73"/>
      <c r="CX3168" s="73"/>
      <c r="DA3168" s="650"/>
    </row>
    <row r="3169" spans="1:105" s="45" customFormat="1" x14ac:dyDescent="0.2">
      <c r="A3169" s="650"/>
      <c r="B3169" s="438"/>
      <c r="D3169" s="73"/>
      <c r="E3169" s="650"/>
      <c r="F3169" s="650"/>
      <c r="G3169" s="73"/>
      <c r="I3169" s="111"/>
      <c r="J3169" s="81"/>
      <c r="K3169" s="81"/>
      <c r="L3169" s="499"/>
      <c r="M3169" s="73"/>
      <c r="N3169" s="499"/>
      <c r="O3169" s="73"/>
      <c r="P3169" s="73"/>
      <c r="Q3169" s="73"/>
      <c r="R3169" s="176"/>
      <c r="S3169" s="176"/>
      <c r="T3169" s="176"/>
      <c r="U3169" s="400"/>
      <c r="V3169" s="400"/>
      <c r="W3169" s="732"/>
      <c r="X3169" s="167"/>
      <c r="Y3169" s="509"/>
      <c r="Z3169" s="466"/>
      <c r="AA3169" s="466"/>
      <c r="AB3169" s="466"/>
      <c r="AC3169" s="466"/>
      <c r="AD3169" s="466"/>
      <c r="AE3169" s="466"/>
      <c r="AF3169" s="466"/>
      <c r="AG3169" s="466"/>
      <c r="AH3169" s="466"/>
      <c r="AI3169" s="466"/>
      <c r="AJ3169" s="466"/>
      <c r="AK3169" s="466"/>
      <c r="AL3169" s="466"/>
      <c r="AM3169" s="466"/>
      <c r="AN3169" s="466"/>
      <c r="AO3169" s="466"/>
      <c r="AP3169" s="466"/>
      <c r="AQ3169" s="466"/>
      <c r="AR3169" s="466"/>
      <c r="AS3169" s="466"/>
      <c r="AT3169" s="466"/>
      <c r="AU3169" s="466"/>
      <c r="AV3169" s="466"/>
      <c r="AW3169" s="466"/>
      <c r="AX3169" s="466"/>
      <c r="AY3169" s="466"/>
      <c r="AZ3169" s="466"/>
      <c r="BA3169" s="466"/>
      <c r="BB3169" s="466"/>
      <c r="BC3169" s="466"/>
      <c r="BD3169" s="466"/>
      <c r="BE3169" s="467"/>
      <c r="BF3169" s="467"/>
      <c r="BG3169" s="466"/>
      <c r="BH3169" s="466"/>
      <c r="BI3169" s="467"/>
      <c r="BJ3169" s="467"/>
      <c r="BK3169" s="467"/>
      <c r="BL3169" s="467"/>
      <c r="BM3169" s="467"/>
      <c r="BN3169" s="467"/>
      <c r="BO3169" s="467"/>
      <c r="BP3169" s="467"/>
      <c r="BQ3169" s="467"/>
      <c r="BR3169" s="467"/>
      <c r="BS3169" s="467"/>
      <c r="BT3169" s="467"/>
      <c r="BU3169" s="467"/>
      <c r="BV3169" s="467"/>
      <c r="BW3169" s="467"/>
      <c r="BX3169" s="769"/>
      <c r="BY3169" s="769"/>
      <c r="BZ3169" s="769"/>
      <c r="CA3169" s="769"/>
      <c r="CB3169" s="769"/>
      <c r="CC3169" s="769"/>
      <c r="CD3169" s="769"/>
      <c r="CE3169" s="769"/>
      <c r="CF3169" s="769"/>
      <c r="CG3169" s="73"/>
      <c r="CH3169" s="438"/>
      <c r="CI3169" s="416"/>
      <c r="CJ3169" s="73"/>
      <c r="CK3169" s="650"/>
      <c r="CL3169" s="499"/>
      <c r="CM3169" s="650"/>
      <c r="CR3169" s="416"/>
      <c r="CS3169" s="650"/>
      <c r="CU3169" s="73"/>
      <c r="CV3169" s="73"/>
      <c r="CW3169" s="73"/>
      <c r="CX3169" s="73"/>
      <c r="DA3169" s="650"/>
    </row>
    <row r="3170" spans="1:105" s="45" customFormat="1" x14ac:dyDescent="0.2">
      <c r="A3170" s="650"/>
      <c r="B3170" s="438"/>
      <c r="D3170" s="73"/>
      <c r="E3170" s="650"/>
      <c r="F3170" s="650"/>
      <c r="G3170" s="73"/>
      <c r="I3170" s="111"/>
      <c r="J3170" s="81"/>
      <c r="K3170" s="81"/>
      <c r="L3170" s="499"/>
      <c r="M3170" s="73"/>
      <c r="N3170" s="499"/>
      <c r="O3170" s="73"/>
      <c r="P3170" s="73"/>
      <c r="Q3170" s="73"/>
      <c r="R3170" s="176"/>
      <c r="S3170" s="176"/>
      <c r="T3170" s="176"/>
      <c r="U3170" s="400"/>
      <c r="V3170" s="400"/>
      <c r="W3170" s="732"/>
      <c r="X3170" s="167"/>
      <c r="Y3170" s="509"/>
      <c r="Z3170" s="466"/>
      <c r="AA3170" s="466"/>
      <c r="AB3170" s="466"/>
      <c r="AC3170" s="466"/>
      <c r="AD3170" s="466"/>
      <c r="AE3170" s="466"/>
      <c r="AF3170" s="466"/>
      <c r="AG3170" s="466"/>
      <c r="AH3170" s="466"/>
      <c r="AI3170" s="466"/>
      <c r="AJ3170" s="466"/>
      <c r="AK3170" s="466"/>
      <c r="AL3170" s="466"/>
      <c r="AM3170" s="466"/>
      <c r="AN3170" s="466"/>
      <c r="AO3170" s="466"/>
      <c r="AP3170" s="466"/>
      <c r="AQ3170" s="466"/>
      <c r="AR3170" s="466"/>
      <c r="AS3170" s="466"/>
      <c r="AT3170" s="466"/>
      <c r="AU3170" s="466"/>
      <c r="AV3170" s="466"/>
      <c r="AW3170" s="466"/>
      <c r="AX3170" s="466"/>
      <c r="AY3170" s="466"/>
      <c r="AZ3170" s="466"/>
      <c r="BA3170" s="466"/>
      <c r="BB3170" s="466"/>
      <c r="BC3170" s="466"/>
      <c r="BD3170" s="466"/>
      <c r="BE3170" s="467"/>
      <c r="BF3170" s="467"/>
      <c r="BG3170" s="466"/>
      <c r="BH3170" s="466"/>
      <c r="BI3170" s="467"/>
      <c r="BJ3170" s="467"/>
      <c r="BK3170" s="467"/>
      <c r="BL3170" s="467"/>
      <c r="BM3170" s="467"/>
      <c r="BN3170" s="467"/>
      <c r="BO3170" s="467"/>
      <c r="BP3170" s="467"/>
      <c r="BQ3170" s="467"/>
      <c r="BR3170" s="467"/>
      <c r="BS3170" s="467"/>
      <c r="BT3170" s="467"/>
      <c r="BU3170" s="467"/>
      <c r="BV3170" s="467"/>
      <c r="BW3170" s="467"/>
      <c r="BX3170" s="769"/>
      <c r="BY3170" s="769"/>
      <c r="BZ3170" s="769"/>
      <c r="CA3170" s="769"/>
      <c r="CB3170" s="769"/>
      <c r="CC3170" s="769"/>
      <c r="CD3170" s="769"/>
      <c r="CE3170" s="769"/>
      <c r="CF3170" s="769"/>
      <c r="CG3170" s="73"/>
      <c r="CH3170" s="438"/>
      <c r="CI3170" s="416"/>
      <c r="CJ3170" s="73"/>
      <c r="CK3170" s="650"/>
      <c r="CL3170" s="499"/>
      <c r="CM3170" s="650"/>
      <c r="CR3170" s="416"/>
      <c r="CS3170" s="650"/>
      <c r="CU3170" s="73"/>
      <c r="CV3170" s="73"/>
      <c r="CW3170" s="73"/>
      <c r="CX3170" s="73"/>
      <c r="DA3170" s="650"/>
    </row>
    <row r="3171" spans="1:105" s="45" customFormat="1" x14ac:dyDescent="0.2">
      <c r="A3171" s="650"/>
      <c r="B3171" s="438"/>
      <c r="D3171" s="73"/>
      <c r="E3171" s="650"/>
      <c r="F3171" s="650"/>
      <c r="G3171" s="73"/>
      <c r="I3171" s="111"/>
      <c r="J3171" s="81"/>
      <c r="K3171" s="81"/>
      <c r="L3171" s="499"/>
      <c r="M3171" s="73"/>
      <c r="N3171" s="499"/>
      <c r="O3171" s="73"/>
      <c r="P3171" s="73"/>
      <c r="Q3171" s="73"/>
      <c r="R3171" s="176"/>
      <c r="S3171" s="176"/>
      <c r="T3171" s="176"/>
      <c r="U3171" s="400"/>
      <c r="V3171" s="400"/>
      <c r="W3171" s="732"/>
      <c r="X3171" s="167"/>
      <c r="Y3171" s="509"/>
      <c r="Z3171" s="466"/>
      <c r="AA3171" s="466"/>
      <c r="AB3171" s="466"/>
      <c r="AC3171" s="466"/>
      <c r="AD3171" s="466"/>
      <c r="AE3171" s="466"/>
      <c r="AF3171" s="466"/>
      <c r="AG3171" s="466"/>
      <c r="AH3171" s="466"/>
      <c r="AI3171" s="466"/>
      <c r="AJ3171" s="466"/>
      <c r="AK3171" s="466"/>
      <c r="AL3171" s="466"/>
      <c r="AM3171" s="466"/>
      <c r="AN3171" s="466"/>
      <c r="AO3171" s="466"/>
      <c r="AP3171" s="466"/>
      <c r="AQ3171" s="466"/>
      <c r="AR3171" s="466"/>
      <c r="AS3171" s="466"/>
      <c r="AT3171" s="466"/>
      <c r="AU3171" s="466"/>
      <c r="AV3171" s="466"/>
      <c r="AW3171" s="466"/>
      <c r="AX3171" s="466"/>
      <c r="AY3171" s="466"/>
      <c r="AZ3171" s="466"/>
      <c r="BA3171" s="466"/>
      <c r="BB3171" s="466"/>
      <c r="BC3171" s="466"/>
      <c r="BD3171" s="466"/>
      <c r="BE3171" s="467"/>
      <c r="BF3171" s="467"/>
      <c r="BG3171" s="466"/>
      <c r="BH3171" s="466"/>
      <c r="BI3171" s="467"/>
      <c r="BJ3171" s="467"/>
      <c r="BK3171" s="467"/>
      <c r="BL3171" s="467"/>
      <c r="BM3171" s="467"/>
      <c r="BN3171" s="467"/>
      <c r="BO3171" s="467"/>
      <c r="BP3171" s="467"/>
      <c r="BQ3171" s="467"/>
      <c r="BR3171" s="467"/>
      <c r="BS3171" s="467"/>
      <c r="BT3171" s="467"/>
      <c r="BU3171" s="467"/>
      <c r="BV3171" s="467"/>
      <c r="BW3171" s="467"/>
      <c r="BX3171" s="769"/>
      <c r="BY3171" s="769"/>
      <c r="BZ3171" s="769"/>
      <c r="CA3171" s="769"/>
      <c r="CB3171" s="769"/>
      <c r="CC3171" s="769"/>
      <c r="CD3171" s="769"/>
      <c r="CE3171" s="769"/>
      <c r="CF3171" s="769"/>
      <c r="CG3171" s="73"/>
      <c r="CH3171" s="438"/>
      <c r="CI3171" s="416"/>
      <c r="CJ3171" s="73"/>
      <c r="CK3171" s="650"/>
      <c r="CL3171" s="499"/>
      <c r="CM3171" s="650"/>
      <c r="CR3171" s="416"/>
      <c r="CS3171" s="650"/>
      <c r="CU3171" s="73"/>
      <c r="CV3171" s="73"/>
      <c r="CW3171" s="73"/>
      <c r="CX3171" s="73"/>
      <c r="DA3171" s="650"/>
    </row>
    <row r="3172" spans="1:105" s="45" customFormat="1" x14ac:dyDescent="0.2">
      <c r="A3172" s="650"/>
      <c r="B3172" s="438"/>
      <c r="D3172" s="73"/>
      <c r="E3172" s="650"/>
      <c r="F3172" s="650"/>
      <c r="G3172" s="73"/>
      <c r="I3172" s="111"/>
      <c r="J3172" s="81"/>
      <c r="K3172" s="81"/>
      <c r="L3172" s="499"/>
      <c r="M3172" s="73"/>
      <c r="N3172" s="499"/>
      <c r="O3172" s="73"/>
      <c r="P3172" s="73"/>
      <c r="Q3172" s="73"/>
      <c r="R3172" s="176"/>
      <c r="S3172" s="176"/>
      <c r="T3172" s="176"/>
      <c r="U3172" s="400"/>
      <c r="V3172" s="400"/>
      <c r="W3172" s="732"/>
      <c r="X3172" s="167"/>
      <c r="Y3172" s="509"/>
      <c r="Z3172" s="466"/>
      <c r="AA3172" s="466"/>
      <c r="AB3172" s="466"/>
      <c r="AC3172" s="466"/>
      <c r="AD3172" s="466"/>
      <c r="AE3172" s="466"/>
      <c r="AF3172" s="466"/>
      <c r="AG3172" s="466"/>
      <c r="AH3172" s="466"/>
      <c r="AI3172" s="466"/>
      <c r="AJ3172" s="466"/>
      <c r="AK3172" s="466"/>
      <c r="AL3172" s="466"/>
      <c r="AM3172" s="466"/>
      <c r="AN3172" s="466"/>
      <c r="AO3172" s="466"/>
      <c r="AP3172" s="466"/>
      <c r="AQ3172" s="466"/>
      <c r="AR3172" s="466"/>
      <c r="AS3172" s="466"/>
      <c r="AT3172" s="466"/>
      <c r="AU3172" s="466"/>
      <c r="AV3172" s="466"/>
      <c r="AW3172" s="466"/>
      <c r="AX3172" s="466"/>
      <c r="AY3172" s="466"/>
      <c r="AZ3172" s="466"/>
      <c r="BA3172" s="466"/>
      <c r="BB3172" s="466"/>
      <c r="BC3172" s="466"/>
      <c r="BD3172" s="466"/>
      <c r="BE3172" s="467"/>
      <c r="BF3172" s="467"/>
      <c r="BG3172" s="466"/>
      <c r="BH3172" s="466"/>
      <c r="BI3172" s="467"/>
      <c r="BJ3172" s="467"/>
      <c r="BK3172" s="467"/>
      <c r="BL3172" s="467"/>
      <c r="BM3172" s="467"/>
      <c r="BN3172" s="467"/>
      <c r="BO3172" s="467"/>
      <c r="BP3172" s="467"/>
      <c r="BQ3172" s="467"/>
      <c r="BR3172" s="467"/>
      <c r="BS3172" s="467"/>
      <c r="BT3172" s="467"/>
      <c r="BU3172" s="467"/>
      <c r="BV3172" s="467"/>
      <c r="BW3172" s="467"/>
      <c r="BX3172" s="769"/>
      <c r="BY3172" s="769"/>
      <c r="BZ3172" s="769"/>
      <c r="CA3172" s="769"/>
      <c r="CB3172" s="769"/>
      <c r="CC3172" s="769"/>
      <c r="CD3172" s="769"/>
      <c r="CE3172" s="769"/>
      <c r="CF3172" s="769"/>
      <c r="CG3172" s="73"/>
      <c r="CH3172" s="438"/>
      <c r="CI3172" s="416"/>
      <c r="CJ3172" s="73"/>
      <c r="CK3172" s="650"/>
      <c r="CL3172" s="499"/>
      <c r="CM3172" s="650"/>
      <c r="CR3172" s="416"/>
      <c r="CS3172" s="650"/>
      <c r="CU3172" s="73"/>
      <c r="CV3172" s="73"/>
      <c r="CW3172" s="73"/>
      <c r="CX3172" s="73"/>
      <c r="DA3172" s="650"/>
    </row>
    <row r="3173" spans="1:105" s="45" customFormat="1" x14ac:dyDescent="0.2">
      <c r="A3173" s="650"/>
      <c r="B3173" s="438"/>
      <c r="D3173" s="73"/>
      <c r="E3173" s="650"/>
      <c r="F3173" s="650"/>
      <c r="G3173" s="73"/>
      <c r="I3173" s="111"/>
      <c r="J3173" s="81"/>
      <c r="K3173" s="81"/>
      <c r="L3173" s="499"/>
      <c r="M3173" s="73"/>
      <c r="N3173" s="499"/>
      <c r="O3173" s="73"/>
      <c r="P3173" s="73"/>
      <c r="Q3173" s="73"/>
      <c r="R3173" s="176"/>
      <c r="S3173" s="176"/>
      <c r="T3173" s="176"/>
      <c r="U3173" s="400"/>
      <c r="V3173" s="400"/>
      <c r="W3173" s="732"/>
      <c r="X3173" s="167"/>
      <c r="Y3173" s="509"/>
      <c r="Z3173" s="466"/>
      <c r="AA3173" s="466"/>
      <c r="AB3173" s="466"/>
      <c r="AC3173" s="466"/>
      <c r="AD3173" s="466"/>
      <c r="AE3173" s="466"/>
      <c r="AF3173" s="466"/>
      <c r="AG3173" s="466"/>
      <c r="AH3173" s="466"/>
      <c r="AI3173" s="466"/>
      <c r="AJ3173" s="466"/>
      <c r="AK3173" s="466"/>
      <c r="AL3173" s="466"/>
      <c r="AM3173" s="466"/>
      <c r="AN3173" s="466"/>
      <c r="AO3173" s="466"/>
      <c r="AP3173" s="466"/>
      <c r="AQ3173" s="466"/>
      <c r="AR3173" s="466"/>
      <c r="AS3173" s="466"/>
      <c r="AT3173" s="466"/>
      <c r="AU3173" s="466"/>
      <c r="AV3173" s="466"/>
      <c r="AW3173" s="466"/>
      <c r="AX3173" s="466"/>
      <c r="AY3173" s="466"/>
      <c r="AZ3173" s="466"/>
      <c r="BA3173" s="466"/>
      <c r="BB3173" s="466"/>
      <c r="BC3173" s="466"/>
      <c r="BD3173" s="466"/>
      <c r="BE3173" s="467"/>
      <c r="BF3173" s="467"/>
      <c r="BG3173" s="466"/>
      <c r="BH3173" s="466"/>
      <c r="BI3173" s="467"/>
      <c r="BJ3173" s="467"/>
      <c r="BK3173" s="467"/>
      <c r="BL3173" s="467"/>
      <c r="BM3173" s="467"/>
      <c r="BN3173" s="467"/>
      <c r="BO3173" s="467"/>
      <c r="BP3173" s="467"/>
      <c r="BQ3173" s="467"/>
      <c r="BR3173" s="467"/>
      <c r="BS3173" s="467"/>
      <c r="BT3173" s="467"/>
      <c r="BU3173" s="467"/>
      <c r="BV3173" s="467"/>
      <c r="BW3173" s="467"/>
      <c r="BX3173" s="769"/>
      <c r="BY3173" s="769"/>
      <c r="BZ3173" s="769"/>
      <c r="CA3173" s="769"/>
      <c r="CB3173" s="769"/>
      <c r="CC3173" s="769"/>
      <c r="CD3173" s="769"/>
      <c r="CE3173" s="769"/>
      <c r="CF3173" s="769"/>
      <c r="CG3173" s="73"/>
      <c r="CH3173" s="438"/>
      <c r="CI3173" s="416"/>
      <c r="CJ3173" s="73"/>
      <c r="CK3173" s="650"/>
      <c r="CL3173" s="499"/>
      <c r="CM3173" s="650"/>
      <c r="CR3173" s="416"/>
      <c r="CS3173" s="650"/>
      <c r="CU3173" s="73"/>
      <c r="CV3173" s="73"/>
      <c r="CW3173" s="73"/>
      <c r="CX3173" s="73"/>
      <c r="DA3173" s="650"/>
    </row>
    <row r="3174" spans="1:105" s="45" customFormat="1" x14ac:dyDescent="0.2">
      <c r="A3174" s="650"/>
      <c r="B3174" s="438"/>
      <c r="D3174" s="73"/>
      <c r="E3174" s="650"/>
      <c r="F3174" s="650"/>
      <c r="G3174" s="73"/>
      <c r="I3174" s="111"/>
      <c r="J3174" s="81"/>
      <c r="K3174" s="81"/>
      <c r="L3174" s="499"/>
      <c r="M3174" s="73"/>
      <c r="N3174" s="499"/>
      <c r="O3174" s="73"/>
      <c r="P3174" s="73"/>
      <c r="Q3174" s="73"/>
      <c r="R3174" s="176"/>
      <c r="S3174" s="176"/>
      <c r="T3174" s="176"/>
      <c r="U3174" s="400"/>
      <c r="V3174" s="400"/>
      <c r="W3174" s="732"/>
      <c r="X3174" s="167"/>
      <c r="Y3174" s="509"/>
      <c r="Z3174" s="466"/>
      <c r="AA3174" s="466"/>
      <c r="AB3174" s="466"/>
      <c r="AC3174" s="466"/>
      <c r="AD3174" s="466"/>
      <c r="AE3174" s="466"/>
      <c r="AF3174" s="466"/>
      <c r="AG3174" s="466"/>
      <c r="AH3174" s="466"/>
      <c r="AI3174" s="466"/>
      <c r="AJ3174" s="466"/>
      <c r="AK3174" s="466"/>
      <c r="AL3174" s="466"/>
      <c r="AM3174" s="466"/>
      <c r="AN3174" s="466"/>
      <c r="AO3174" s="466"/>
      <c r="AP3174" s="466"/>
      <c r="AQ3174" s="466"/>
      <c r="AR3174" s="466"/>
      <c r="AS3174" s="466"/>
      <c r="AT3174" s="466"/>
      <c r="AU3174" s="466"/>
      <c r="AV3174" s="466"/>
      <c r="AW3174" s="466"/>
      <c r="AX3174" s="466"/>
      <c r="AY3174" s="466"/>
      <c r="AZ3174" s="466"/>
      <c r="BA3174" s="466"/>
      <c r="BB3174" s="466"/>
      <c r="BC3174" s="466"/>
      <c r="BD3174" s="466"/>
      <c r="BE3174" s="467"/>
      <c r="BF3174" s="467"/>
      <c r="BG3174" s="466"/>
      <c r="BH3174" s="466"/>
      <c r="BI3174" s="467"/>
      <c r="BJ3174" s="467"/>
      <c r="BK3174" s="467"/>
      <c r="BL3174" s="467"/>
      <c r="BM3174" s="467"/>
      <c r="BN3174" s="467"/>
      <c r="BO3174" s="467"/>
      <c r="BP3174" s="467"/>
      <c r="BQ3174" s="467"/>
      <c r="BR3174" s="467"/>
      <c r="BS3174" s="467"/>
      <c r="BT3174" s="467"/>
      <c r="BU3174" s="467"/>
      <c r="BV3174" s="467"/>
      <c r="BW3174" s="467"/>
      <c r="BX3174" s="769"/>
      <c r="BY3174" s="769"/>
      <c r="BZ3174" s="769"/>
      <c r="CA3174" s="769"/>
      <c r="CB3174" s="769"/>
      <c r="CC3174" s="769"/>
      <c r="CD3174" s="769"/>
      <c r="CE3174" s="769"/>
      <c r="CF3174" s="769"/>
      <c r="CG3174" s="73"/>
      <c r="CH3174" s="438"/>
      <c r="CI3174" s="416"/>
      <c r="CJ3174" s="73"/>
      <c r="CK3174" s="650"/>
      <c r="CL3174" s="499"/>
      <c r="CM3174" s="650"/>
      <c r="CR3174" s="416"/>
      <c r="CS3174" s="650"/>
      <c r="CU3174" s="73"/>
      <c r="CV3174" s="73"/>
      <c r="CW3174" s="73"/>
      <c r="CX3174" s="73"/>
      <c r="DA3174" s="650"/>
    </row>
    <row r="3175" spans="1:105" s="45" customFormat="1" x14ac:dyDescent="0.2">
      <c r="A3175" s="650"/>
      <c r="B3175" s="438"/>
      <c r="D3175" s="73"/>
      <c r="E3175" s="650"/>
      <c r="F3175" s="650"/>
      <c r="G3175" s="73"/>
      <c r="I3175" s="111"/>
      <c r="J3175" s="81"/>
      <c r="K3175" s="81"/>
      <c r="L3175" s="499"/>
      <c r="M3175" s="73"/>
      <c r="N3175" s="499"/>
      <c r="O3175" s="73"/>
      <c r="P3175" s="73"/>
      <c r="Q3175" s="73"/>
      <c r="R3175" s="176"/>
      <c r="S3175" s="176"/>
      <c r="T3175" s="176"/>
      <c r="U3175" s="400"/>
      <c r="V3175" s="400"/>
      <c r="W3175" s="732"/>
      <c r="X3175" s="167"/>
      <c r="Y3175" s="509"/>
      <c r="Z3175" s="466"/>
      <c r="AA3175" s="466"/>
      <c r="AB3175" s="466"/>
      <c r="AC3175" s="466"/>
      <c r="AD3175" s="466"/>
      <c r="AE3175" s="466"/>
      <c r="AF3175" s="466"/>
      <c r="AG3175" s="466"/>
      <c r="AH3175" s="466"/>
      <c r="AI3175" s="466"/>
      <c r="AJ3175" s="466"/>
      <c r="AK3175" s="466"/>
      <c r="AL3175" s="466"/>
      <c r="AM3175" s="466"/>
      <c r="AN3175" s="466"/>
      <c r="AO3175" s="466"/>
      <c r="AP3175" s="466"/>
      <c r="AQ3175" s="466"/>
      <c r="AR3175" s="466"/>
      <c r="AS3175" s="466"/>
      <c r="AT3175" s="466"/>
      <c r="AU3175" s="466"/>
      <c r="AV3175" s="466"/>
      <c r="AW3175" s="466"/>
      <c r="AX3175" s="466"/>
      <c r="AY3175" s="466"/>
      <c r="AZ3175" s="466"/>
      <c r="BA3175" s="466"/>
      <c r="BB3175" s="466"/>
      <c r="BC3175" s="466"/>
      <c r="BD3175" s="466"/>
      <c r="BE3175" s="467"/>
      <c r="BF3175" s="467"/>
      <c r="BG3175" s="466"/>
      <c r="BH3175" s="466"/>
      <c r="BI3175" s="467"/>
      <c r="BJ3175" s="467"/>
      <c r="BK3175" s="467"/>
      <c r="BL3175" s="467"/>
      <c r="BM3175" s="467"/>
      <c r="BN3175" s="467"/>
      <c r="BO3175" s="467"/>
      <c r="BP3175" s="467"/>
      <c r="BQ3175" s="467"/>
      <c r="BR3175" s="467"/>
      <c r="BS3175" s="467"/>
      <c r="BT3175" s="467"/>
      <c r="BU3175" s="467"/>
      <c r="BV3175" s="467"/>
      <c r="BW3175" s="467"/>
      <c r="BX3175" s="769"/>
      <c r="BY3175" s="769"/>
      <c r="BZ3175" s="769"/>
      <c r="CA3175" s="769"/>
      <c r="CB3175" s="769"/>
      <c r="CC3175" s="769"/>
      <c r="CD3175" s="769"/>
      <c r="CE3175" s="769"/>
      <c r="CF3175" s="769"/>
      <c r="CG3175" s="73"/>
      <c r="CH3175" s="438"/>
      <c r="CI3175" s="416"/>
      <c r="CJ3175" s="73"/>
      <c r="CK3175" s="650"/>
      <c r="CL3175" s="499"/>
      <c r="CM3175" s="650"/>
      <c r="CR3175" s="416"/>
      <c r="CS3175" s="650"/>
      <c r="CU3175" s="73"/>
      <c r="CV3175" s="73"/>
      <c r="CW3175" s="73"/>
      <c r="CX3175" s="73"/>
      <c r="DA3175" s="650"/>
    </row>
    <row r="3176" spans="1:105" s="45" customFormat="1" x14ac:dyDescent="0.2">
      <c r="A3176" s="650"/>
      <c r="B3176" s="438"/>
      <c r="D3176" s="73"/>
      <c r="E3176" s="650"/>
      <c r="F3176" s="650"/>
      <c r="G3176" s="73"/>
      <c r="I3176" s="111"/>
      <c r="J3176" s="81"/>
      <c r="K3176" s="81"/>
      <c r="L3176" s="499"/>
      <c r="M3176" s="73"/>
      <c r="N3176" s="499"/>
      <c r="O3176" s="73"/>
      <c r="P3176" s="73"/>
      <c r="Q3176" s="73"/>
      <c r="R3176" s="176"/>
      <c r="S3176" s="176"/>
      <c r="T3176" s="176"/>
      <c r="U3176" s="400"/>
      <c r="V3176" s="400"/>
      <c r="W3176" s="732"/>
      <c r="X3176" s="167"/>
      <c r="Y3176" s="509"/>
      <c r="Z3176" s="466"/>
      <c r="AA3176" s="466"/>
      <c r="AB3176" s="466"/>
      <c r="AC3176" s="466"/>
      <c r="AD3176" s="466"/>
      <c r="AE3176" s="466"/>
      <c r="AF3176" s="466"/>
      <c r="AG3176" s="466"/>
      <c r="AH3176" s="466"/>
      <c r="AI3176" s="466"/>
      <c r="AJ3176" s="466"/>
      <c r="AK3176" s="466"/>
      <c r="AL3176" s="466"/>
      <c r="AM3176" s="466"/>
      <c r="AN3176" s="466"/>
      <c r="AO3176" s="466"/>
      <c r="AP3176" s="466"/>
      <c r="AQ3176" s="466"/>
      <c r="AR3176" s="466"/>
      <c r="AS3176" s="466"/>
      <c r="AT3176" s="466"/>
      <c r="AU3176" s="466"/>
      <c r="AV3176" s="466"/>
      <c r="AW3176" s="466"/>
      <c r="AX3176" s="466"/>
      <c r="AY3176" s="466"/>
      <c r="AZ3176" s="466"/>
      <c r="BA3176" s="466"/>
      <c r="BB3176" s="466"/>
      <c r="BC3176" s="466"/>
      <c r="BD3176" s="466"/>
      <c r="BE3176" s="467"/>
      <c r="BF3176" s="467"/>
      <c r="BG3176" s="466"/>
      <c r="BH3176" s="466"/>
      <c r="BI3176" s="467"/>
      <c r="BJ3176" s="467"/>
      <c r="BK3176" s="467"/>
      <c r="BL3176" s="467"/>
      <c r="BM3176" s="467"/>
      <c r="BN3176" s="467"/>
      <c r="BO3176" s="467"/>
      <c r="BP3176" s="467"/>
      <c r="BQ3176" s="467"/>
      <c r="BR3176" s="467"/>
      <c r="BS3176" s="467"/>
      <c r="BT3176" s="467"/>
      <c r="BU3176" s="467"/>
      <c r="BV3176" s="467"/>
      <c r="BW3176" s="467"/>
      <c r="BX3176" s="769"/>
      <c r="BY3176" s="769"/>
      <c r="BZ3176" s="769"/>
      <c r="CA3176" s="769"/>
      <c r="CB3176" s="769"/>
      <c r="CC3176" s="769"/>
      <c r="CD3176" s="769"/>
      <c r="CE3176" s="769"/>
      <c r="CF3176" s="769"/>
      <c r="CG3176" s="73"/>
      <c r="CH3176" s="438"/>
      <c r="CI3176" s="416"/>
      <c r="CJ3176" s="73"/>
      <c r="CK3176" s="650"/>
      <c r="CL3176" s="499"/>
      <c r="CM3176" s="650"/>
      <c r="CR3176" s="416"/>
      <c r="CS3176" s="650"/>
      <c r="CU3176" s="73"/>
      <c r="CV3176" s="73"/>
      <c r="CW3176" s="73"/>
      <c r="CX3176" s="73"/>
      <c r="DA3176" s="650"/>
    </row>
    <row r="3177" spans="1:105" s="45" customFormat="1" x14ac:dyDescent="0.2">
      <c r="A3177" s="650"/>
      <c r="B3177" s="438"/>
      <c r="D3177" s="73"/>
      <c r="E3177" s="650"/>
      <c r="F3177" s="650"/>
      <c r="G3177" s="73"/>
      <c r="I3177" s="111"/>
      <c r="J3177" s="81"/>
      <c r="K3177" s="81"/>
      <c r="L3177" s="499"/>
      <c r="M3177" s="73"/>
      <c r="N3177" s="499"/>
      <c r="O3177" s="73"/>
      <c r="P3177" s="73"/>
      <c r="Q3177" s="73"/>
      <c r="R3177" s="176"/>
      <c r="S3177" s="176"/>
      <c r="T3177" s="176"/>
      <c r="U3177" s="400"/>
      <c r="V3177" s="400"/>
      <c r="W3177" s="732"/>
      <c r="X3177" s="167"/>
      <c r="Y3177" s="509"/>
      <c r="Z3177" s="466"/>
      <c r="AA3177" s="466"/>
      <c r="AB3177" s="466"/>
      <c r="AC3177" s="466"/>
      <c r="AD3177" s="466"/>
      <c r="AE3177" s="466"/>
      <c r="AF3177" s="466"/>
      <c r="AG3177" s="466"/>
      <c r="AH3177" s="466"/>
      <c r="AI3177" s="466"/>
      <c r="AJ3177" s="466"/>
      <c r="AK3177" s="466"/>
      <c r="AL3177" s="466"/>
      <c r="AM3177" s="466"/>
      <c r="AN3177" s="466"/>
      <c r="AO3177" s="466"/>
      <c r="AP3177" s="466"/>
      <c r="AQ3177" s="466"/>
      <c r="AR3177" s="466"/>
      <c r="AS3177" s="466"/>
      <c r="AT3177" s="466"/>
      <c r="AU3177" s="466"/>
      <c r="AV3177" s="466"/>
      <c r="AW3177" s="466"/>
      <c r="AX3177" s="466"/>
      <c r="AY3177" s="466"/>
      <c r="AZ3177" s="466"/>
      <c r="BA3177" s="466"/>
      <c r="BB3177" s="466"/>
      <c r="BC3177" s="466"/>
      <c r="BD3177" s="466"/>
      <c r="BE3177" s="467"/>
      <c r="BF3177" s="467"/>
      <c r="BG3177" s="466"/>
      <c r="BH3177" s="466"/>
      <c r="BI3177" s="467"/>
      <c r="BJ3177" s="467"/>
      <c r="BK3177" s="467"/>
      <c r="BL3177" s="467"/>
      <c r="BM3177" s="467"/>
      <c r="BN3177" s="467"/>
      <c r="BO3177" s="467"/>
      <c r="BP3177" s="467"/>
      <c r="BQ3177" s="467"/>
      <c r="BR3177" s="467"/>
      <c r="BS3177" s="467"/>
      <c r="BT3177" s="467"/>
      <c r="BU3177" s="467"/>
      <c r="BV3177" s="467"/>
      <c r="BW3177" s="467"/>
      <c r="BX3177" s="769"/>
      <c r="BY3177" s="769"/>
      <c r="BZ3177" s="769"/>
      <c r="CA3177" s="769"/>
      <c r="CB3177" s="769"/>
      <c r="CC3177" s="769"/>
      <c r="CD3177" s="769"/>
      <c r="CE3177" s="769"/>
      <c r="CF3177" s="769"/>
      <c r="CG3177" s="73"/>
      <c r="CH3177" s="438"/>
      <c r="CI3177" s="416"/>
      <c r="CJ3177" s="73"/>
      <c r="CK3177" s="650"/>
      <c r="CL3177" s="499"/>
      <c r="CM3177" s="650"/>
      <c r="CR3177" s="416"/>
      <c r="CS3177" s="650"/>
      <c r="CU3177" s="73"/>
      <c r="CV3177" s="73"/>
      <c r="CW3177" s="73"/>
      <c r="CX3177" s="73"/>
      <c r="DA3177" s="650"/>
    </row>
    <row r="3178" spans="1:105" s="45" customFormat="1" x14ac:dyDescent="0.2">
      <c r="A3178" s="650"/>
      <c r="B3178" s="438"/>
      <c r="D3178" s="73"/>
      <c r="E3178" s="650"/>
      <c r="F3178" s="650"/>
      <c r="G3178" s="73"/>
      <c r="I3178" s="111"/>
      <c r="J3178" s="81"/>
      <c r="K3178" s="81"/>
      <c r="L3178" s="499"/>
      <c r="M3178" s="73"/>
      <c r="N3178" s="499"/>
      <c r="O3178" s="73"/>
      <c r="P3178" s="73"/>
      <c r="Q3178" s="73"/>
      <c r="R3178" s="176"/>
      <c r="S3178" s="176"/>
      <c r="T3178" s="176"/>
      <c r="U3178" s="400"/>
      <c r="V3178" s="400"/>
      <c r="W3178" s="732"/>
      <c r="X3178" s="167"/>
      <c r="Y3178" s="509"/>
      <c r="Z3178" s="466"/>
      <c r="AA3178" s="466"/>
      <c r="AB3178" s="466"/>
      <c r="AC3178" s="466"/>
      <c r="AD3178" s="466"/>
      <c r="AE3178" s="466"/>
      <c r="AF3178" s="466"/>
      <c r="AG3178" s="466"/>
      <c r="AH3178" s="466"/>
      <c r="AI3178" s="466"/>
      <c r="AJ3178" s="466"/>
      <c r="AK3178" s="466"/>
      <c r="AL3178" s="466"/>
      <c r="AM3178" s="466"/>
      <c r="AN3178" s="466"/>
      <c r="AO3178" s="466"/>
      <c r="AP3178" s="466"/>
      <c r="AQ3178" s="466"/>
      <c r="AR3178" s="466"/>
      <c r="AS3178" s="466"/>
      <c r="AT3178" s="466"/>
      <c r="AU3178" s="466"/>
      <c r="AV3178" s="466"/>
      <c r="AW3178" s="466"/>
      <c r="AX3178" s="466"/>
      <c r="AY3178" s="466"/>
      <c r="AZ3178" s="466"/>
      <c r="BA3178" s="466"/>
      <c r="BB3178" s="466"/>
      <c r="BC3178" s="466"/>
      <c r="BD3178" s="466"/>
      <c r="BE3178" s="467"/>
      <c r="BF3178" s="467"/>
      <c r="BG3178" s="466"/>
      <c r="BH3178" s="466"/>
      <c r="BI3178" s="467"/>
      <c r="BJ3178" s="467"/>
      <c r="BK3178" s="467"/>
      <c r="BL3178" s="467"/>
      <c r="BM3178" s="467"/>
      <c r="BN3178" s="467"/>
      <c r="BO3178" s="467"/>
      <c r="BP3178" s="467"/>
      <c r="BQ3178" s="467"/>
      <c r="BR3178" s="467"/>
      <c r="BS3178" s="467"/>
      <c r="BT3178" s="467"/>
      <c r="BU3178" s="467"/>
      <c r="BV3178" s="467"/>
      <c r="BW3178" s="467"/>
      <c r="BX3178" s="769"/>
      <c r="BY3178" s="769"/>
      <c r="BZ3178" s="769"/>
      <c r="CA3178" s="769"/>
      <c r="CB3178" s="769"/>
      <c r="CC3178" s="769"/>
      <c r="CD3178" s="769"/>
      <c r="CE3178" s="769"/>
      <c r="CF3178" s="769"/>
      <c r="CG3178" s="73"/>
      <c r="CH3178" s="438"/>
      <c r="CI3178" s="416"/>
      <c r="CJ3178" s="73"/>
      <c r="CK3178" s="650"/>
      <c r="CL3178" s="499"/>
      <c r="CM3178" s="650"/>
      <c r="CR3178" s="416"/>
      <c r="CS3178" s="650"/>
      <c r="CU3178" s="73"/>
      <c r="CV3178" s="73"/>
      <c r="CW3178" s="73"/>
      <c r="CX3178" s="73"/>
      <c r="DA3178" s="650"/>
    </row>
    <row r="3179" spans="1:105" s="45" customFormat="1" x14ac:dyDescent="0.2">
      <c r="A3179" s="650"/>
      <c r="B3179" s="438"/>
      <c r="D3179" s="73"/>
      <c r="E3179" s="650"/>
      <c r="F3179" s="650"/>
      <c r="G3179" s="73"/>
      <c r="I3179" s="111"/>
      <c r="J3179" s="81"/>
      <c r="K3179" s="81"/>
      <c r="L3179" s="499"/>
      <c r="M3179" s="73"/>
      <c r="N3179" s="499"/>
      <c r="O3179" s="73"/>
      <c r="P3179" s="73"/>
      <c r="Q3179" s="73"/>
      <c r="R3179" s="176"/>
      <c r="S3179" s="176"/>
      <c r="T3179" s="176"/>
      <c r="U3179" s="400"/>
      <c r="V3179" s="400"/>
      <c r="W3179" s="732"/>
      <c r="X3179" s="167"/>
      <c r="Y3179" s="509"/>
      <c r="Z3179" s="466"/>
      <c r="AA3179" s="466"/>
      <c r="AB3179" s="466"/>
      <c r="AC3179" s="466"/>
      <c r="AD3179" s="466"/>
      <c r="AE3179" s="466"/>
      <c r="AF3179" s="466"/>
      <c r="AG3179" s="466"/>
      <c r="AH3179" s="466"/>
      <c r="AI3179" s="466"/>
      <c r="AJ3179" s="466"/>
      <c r="AK3179" s="466"/>
      <c r="AL3179" s="466"/>
      <c r="AM3179" s="466"/>
      <c r="AN3179" s="466"/>
      <c r="AO3179" s="466"/>
      <c r="AP3179" s="466"/>
      <c r="AQ3179" s="466"/>
      <c r="AR3179" s="466"/>
      <c r="AS3179" s="466"/>
      <c r="AT3179" s="466"/>
      <c r="AU3179" s="466"/>
      <c r="AV3179" s="466"/>
      <c r="AW3179" s="466"/>
      <c r="AX3179" s="466"/>
      <c r="AY3179" s="466"/>
      <c r="AZ3179" s="466"/>
      <c r="BA3179" s="466"/>
      <c r="BB3179" s="466"/>
      <c r="BC3179" s="466"/>
      <c r="BD3179" s="466"/>
      <c r="BE3179" s="467"/>
      <c r="BF3179" s="467"/>
      <c r="BG3179" s="466"/>
      <c r="BH3179" s="466"/>
      <c r="BI3179" s="467"/>
      <c r="BJ3179" s="467"/>
      <c r="BK3179" s="467"/>
      <c r="BL3179" s="467"/>
      <c r="BM3179" s="467"/>
      <c r="BN3179" s="467"/>
      <c r="BO3179" s="467"/>
      <c r="BP3179" s="467"/>
      <c r="BQ3179" s="467"/>
      <c r="BR3179" s="467"/>
      <c r="BS3179" s="467"/>
      <c r="BT3179" s="467"/>
      <c r="BU3179" s="467"/>
      <c r="BV3179" s="467"/>
      <c r="BW3179" s="467"/>
      <c r="BX3179" s="769"/>
      <c r="BY3179" s="769"/>
      <c r="BZ3179" s="769"/>
      <c r="CA3179" s="769"/>
      <c r="CB3179" s="769"/>
      <c r="CC3179" s="769"/>
      <c r="CD3179" s="769"/>
      <c r="CE3179" s="769"/>
      <c r="CF3179" s="769"/>
      <c r="CG3179" s="73"/>
      <c r="CH3179" s="438"/>
      <c r="CI3179" s="416"/>
      <c r="CJ3179" s="73"/>
      <c r="CK3179" s="650"/>
      <c r="CL3179" s="499"/>
      <c r="CM3179" s="650"/>
      <c r="CR3179" s="416"/>
      <c r="CS3179" s="650"/>
      <c r="CU3179" s="73"/>
      <c r="CV3179" s="73"/>
      <c r="CW3179" s="73"/>
      <c r="CX3179" s="73"/>
      <c r="DA3179" s="650"/>
    </row>
    <row r="3180" spans="1:105" s="45" customFormat="1" x14ac:dyDescent="0.2">
      <c r="A3180" s="650"/>
      <c r="B3180" s="438"/>
      <c r="D3180" s="73"/>
      <c r="E3180" s="650"/>
      <c r="F3180" s="650"/>
      <c r="G3180" s="73"/>
      <c r="I3180" s="111"/>
      <c r="J3180" s="81"/>
      <c r="K3180" s="81"/>
      <c r="L3180" s="499"/>
      <c r="M3180" s="73"/>
      <c r="N3180" s="499"/>
      <c r="O3180" s="73"/>
      <c r="P3180" s="73"/>
      <c r="Q3180" s="73"/>
      <c r="R3180" s="176"/>
      <c r="S3180" s="176"/>
      <c r="T3180" s="176"/>
      <c r="U3180" s="400"/>
      <c r="V3180" s="400"/>
      <c r="W3180" s="732"/>
      <c r="X3180" s="167"/>
      <c r="Y3180" s="509"/>
      <c r="Z3180" s="466"/>
      <c r="AA3180" s="466"/>
      <c r="AB3180" s="466"/>
      <c r="AC3180" s="466"/>
      <c r="AD3180" s="466"/>
      <c r="AE3180" s="466"/>
      <c r="AF3180" s="466"/>
      <c r="AG3180" s="466"/>
      <c r="AH3180" s="466"/>
      <c r="AI3180" s="466"/>
      <c r="AJ3180" s="466"/>
      <c r="AK3180" s="466"/>
      <c r="AL3180" s="466"/>
      <c r="AM3180" s="466"/>
      <c r="AN3180" s="466"/>
      <c r="AO3180" s="466"/>
      <c r="AP3180" s="466"/>
      <c r="AQ3180" s="466"/>
      <c r="AR3180" s="466"/>
      <c r="AS3180" s="466"/>
      <c r="AT3180" s="466"/>
      <c r="AU3180" s="466"/>
      <c r="AV3180" s="466"/>
      <c r="AW3180" s="466"/>
      <c r="AX3180" s="466"/>
      <c r="AY3180" s="466"/>
      <c r="AZ3180" s="466"/>
      <c r="BA3180" s="466"/>
      <c r="BB3180" s="466"/>
      <c r="BC3180" s="466"/>
      <c r="BD3180" s="466"/>
      <c r="BE3180" s="467"/>
      <c r="BF3180" s="467"/>
      <c r="BG3180" s="466"/>
      <c r="BH3180" s="466"/>
      <c r="BI3180" s="467"/>
      <c r="BJ3180" s="467"/>
      <c r="BK3180" s="467"/>
      <c r="BL3180" s="467"/>
      <c r="BM3180" s="467"/>
      <c r="BN3180" s="467"/>
      <c r="BO3180" s="467"/>
      <c r="BP3180" s="467"/>
      <c r="BQ3180" s="467"/>
      <c r="BR3180" s="467"/>
      <c r="BS3180" s="467"/>
      <c r="BT3180" s="467"/>
      <c r="BU3180" s="467"/>
      <c r="BV3180" s="467"/>
      <c r="BW3180" s="467"/>
      <c r="BX3180" s="769"/>
      <c r="BY3180" s="769"/>
      <c r="BZ3180" s="769"/>
      <c r="CA3180" s="769"/>
      <c r="CB3180" s="769"/>
      <c r="CC3180" s="769"/>
      <c r="CD3180" s="769"/>
      <c r="CE3180" s="769"/>
      <c r="CF3180" s="769"/>
      <c r="CG3180" s="73"/>
      <c r="CH3180" s="438"/>
      <c r="CI3180" s="416"/>
      <c r="CJ3180" s="73"/>
      <c r="CK3180" s="650"/>
      <c r="CL3180" s="499"/>
      <c r="CM3180" s="650"/>
      <c r="CR3180" s="416"/>
      <c r="CS3180" s="650"/>
      <c r="CU3180" s="73"/>
      <c r="CV3180" s="73"/>
      <c r="CW3180" s="73"/>
      <c r="CX3180" s="73"/>
      <c r="DA3180" s="650"/>
    </row>
    <row r="3181" spans="1:105" s="45" customFormat="1" x14ac:dyDescent="0.2">
      <c r="A3181" s="650"/>
      <c r="B3181" s="438"/>
      <c r="D3181" s="73"/>
      <c r="E3181" s="650"/>
      <c r="F3181" s="650"/>
      <c r="G3181" s="73"/>
      <c r="I3181" s="111"/>
      <c r="J3181" s="81"/>
      <c r="K3181" s="81"/>
      <c r="L3181" s="499"/>
      <c r="M3181" s="73"/>
      <c r="N3181" s="499"/>
      <c r="O3181" s="73"/>
      <c r="P3181" s="73"/>
      <c r="Q3181" s="73"/>
      <c r="R3181" s="176"/>
      <c r="S3181" s="176"/>
      <c r="T3181" s="176"/>
      <c r="U3181" s="400"/>
      <c r="V3181" s="400"/>
      <c r="W3181" s="732"/>
      <c r="X3181" s="167"/>
      <c r="Y3181" s="509"/>
      <c r="Z3181" s="466"/>
      <c r="AA3181" s="466"/>
      <c r="AB3181" s="466"/>
      <c r="AC3181" s="466"/>
      <c r="AD3181" s="466"/>
      <c r="AE3181" s="466"/>
      <c r="AF3181" s="466"/>
      <c r="AG3181" s="466"/>
      <c r="AH3181" s="466"/>
      <c r="AI3181" s="466"/>
      <c r="AJ3181" s="466"/>
      <c r="AK3181" s="466"/>
      <c r="AL3181" s="466"/>
      <c r="AM3181" s="466"/>
      <c r="AN3181" s="466"/>
      <c r="AO3181" s="466"/>
      <c r="AP3181" s="466"/>
      <c r="AQ3181" s="466"/>
      <c r="AR3181" s="466"/>
      <c r="AS3181" s="466"/>
      <c r="AT3181" s="466"/>
      <c r="AU3181" s="466"/>
      <c r="AV3181" s="466"/>
      <c r="AW3181" s="466"/>
      <c r="AX3181" s="466"/>
      <c r="AY3181" s="466"/>
      <c r="AZ3181" s="466"/>
      <c r="BA3181" s="466"/>
      <c r="BB3181" s="466"/>
      <c r="BC3181" s="466"/>
      <c r="BD3181" s="466"/>
      <c r="BE3181" s="467"/>
      <c r="BF3181" s="467"/>
      <c r="BG3181" s="466"/>
      <c r="BH3181" s="466"/>
      <c r="BI3181" s="467"/>
      <c r="BJ3181" s="467"/>
      <c r="BK3181" s="467"/>
      <c r="BL3181" s="467"/>
      <c r="BM3181" s="467"/>
      <c r="BN3181" s="467"/>
      <c r="BO3181" s="467"/>
      <c r="BP3181" s="467"/>
      <c r="BQ3181" s="467"/>
      <c r="BR3181" s="467"/>
      <c r="BS3181" s="467"/>
      <c r="BT3181" s="467"/>
      <c r="BU3181" s="467"/>
      <c r="BV3181" s="467"/>
      <c r="BW3181" s="467"/>
      <c r="BX3181" s="769"/>
      <c r="BY3181" s="769"/>
      <c r="BZ3181" s="769"/>
      <c r="CA3181" s="769"/>
      <c r="CB3181" s="769"/>
      <c r="CC3181" s="769"/>
      <c r="CD3181" s="769"/>
      <c r="CE3181" s="769"/>
      <c r="CF3181" s="769"/>
      <c r="CG3181" s="73"/>
      <c r="CH3181" s="438"/>
      <c r="CI3181" s="416"/>
      <c r="CJ3181" s="73"/>
      <c r="CK3181" s="650"/>
      <c r="CL3181" s="499"/>
      <c r="CM3181" s="650"/>
      <c r="CR3181" s="416"/>
      <c r="CS3181" s="650"/>
      <c r="CU3181" s="73"/>
      <c r="CV3181" s="73"/>
      <c r="CW3181" s="73"/>
      <c r="CX3181" s="73"/>
      <c r="DA3181" s="650"/>
    </row>
    <row r="3182" spans="1:105" s="45" customFormat="1" x14ac:dyDescent="0.2">
      <c r="A3182" s="650"/>
      <c r="B3182" s="438"/>
      <c r="D3182" s="73"/>
      <c r="E3182" s="650"/>
      <c r="F3182" s="650"/>
      <c r="G3182" s="73"/>
      <c r="I3182" s="111"/>
      <c r="J3182" s="81"/>
      <c r="K3182" s="81"/>
      <c r="L3182" s="499"/>
      <c r="M3182" s="73"/>
      <c r="N3182" s="499"/>
      <c r="O3182" s="73"/>
      <c r="P3182" s="73"/>
      <c r="Q3182" s="73"/>
      <c r="R3182" s="176"/>
      <c r="S3182" s="176"/>
      <c r="T3182" s="176"/>
      <c r="U3182" s="400"/>
      <c r="V3182" s="400"/>
      <c r="W3182" s="732"/>
      <c r="X3182" s="167"/>
      <c r="Y3182" s="509"/>
      <c r="Z3182" s="466"/>
      <c r="AA3182" s="466"/>
      <c r="AB3182" s="466"/>
      <c r="AC3182" s="466"/>
      <c r="AD3182" s="466"/>
      <c r="AE3182" s="466"/>
      <c r="AF3182" s="466"/>
      <c r="AG3182" s="466"/>
      <c r="AH3182" s="466"/>
      <c r="AI3182" s="466"/>
      <c r="AJ3182" s="466"/>
      <c r="AK3182" s="466"/>
      <c r="AL3182" s="466"/>
      <c r="AM3182" s="466"/>
      <c r="AN3182" s="466"/>
      <c r="AO3182" s="466"/>
      <c r="AP3182" s="466"/>
      <c r="AQ3182" s="466"/>
      <c r="AR3182" s="466"/>
      <c r="AS3182" s="466"/>
      <c r="AT3182" s="466"/>
      <c r="AU3182" s="466"/>
      <c r="AV3182" s="466"/>
      <c r="AW3182" s="466"/>
      <c r="AX3182" s="466"/>
      <c r="AY3182" s="466"/>
      <c r="AZ3182" s="466"/>
      <c r="BA3182" s="466"/>
      <c r="BB3182" s="466"/>
      <c r="BC3182" s="466"/>
      <c r="BD3182" s="466"/>
      <c r="BE3182" s="467"/>
      <c r="BF3182" s="467"/>
      <c r="BG3182" s="466"/>
      <c r="BH3182" s="466"/>
      <c r="BI3182" s="467"/>
      <c r="BJ3182" s="467"/>
      <c r="BK3182" s="467"/>
      <c r="BL3182" s="467"/>
      <c r="BM3182" s="467"/>
      <c r="BN3182" s="467"/>
      <c r="BO3182" s="467"/>
      <c r="BP3182" s="467"/>
      <c r="BQ3182" s="467"/>
      <c r="BR3182" s="467"/>
      <c r="BS3182" s="467"/>
      <c r="BT3182" s="467"/>
      <c r="BU3182" s="467"/>
      <c r="BV3182" s="467"/>
      <c r="BW3182" s="467"/>
      <c r="BX3182" s="769"/>
      <c r="BY3182" s="769"/>
      <c r="BZ3182" s="769"/>
      <c r="CA3182" s="769"/>
      <c r="CB3182" s="769"/>
      <c r="CC3182" s="769"/>
      <c r="CD3182" s="769"/>
      <c r="CE3182" s="769"/>
      <c r="CF3182" s="769"/>
      <c r="CG3182" s="73"/>
      <c r="CH3182" s="438"/>
      <c r="CI3182" s="416"/>
      <c r="CJ3182" s="73"/>
      <c r="CK3182" s="650"/>
      <c r="CL3182" s="499"/>
      <c r="CM3182" s="650"/>
      <c r="CR3182" s="416"/>
      <c r="CS3182" s="650"/>
      <c r="CU3182" s="73"/>
      <c r="CV3182" s="73"/>
      <c r="CW3182" s="73"/>
      <c r="CX3182" s="73"/>
      <c r="DA3182" s="650"/>
    </row>
    <row r="3183" spans="1:105" s="45" customFormat="1" x14ac:dyDescent="0.2">
      <c r="A3183" s="650"/>
      <c r="B3183" s="438"/>
      <c r="D3183" s="73"/>
      <c r="E3183" s="650"/>
      <c r="F3183" s="650"/>
      <c r="G3183" s="73"/>
      <c r="I3183" s="111"/>
      <c r="J3183" s="81"/>
      <c r="K3183" s="81"/>
      <c r="L3183" s="499"/>
      <c r="M3183" s="73"/>
      <c r="N3183" s="499"/>
      <c r="O3183" s="73"/>
      <c r="P3183" s="73"/>
      <c r="Q3183" s="73"/>
      <c r="R3183" s="176"/>
      <c r="S3183" s="176"/>
      <c r="T3183" s="176"/>
      <c r="U3183" s="400"/>
      <c r="V3183" s="400"/>
      <c r="W3183" s="732"/>
      <c r="X3183" s="167"/>
      <c r="Y3183" s="509"/>
      <c r="Z3183" s="466"/>
      <c r="AA3183" s="466"/>
      <c r="AB3183" s="466"/>
      <c r="AC3183" s="466"/>
      <c r="AD3183" s="466"/>
      <c r="AE3183" s="466"/>
      <c r="AF3183" s="466"/>
      <c r="AG3183" s="466"/>
      <c r="AH3183" s="466"/>
      <c r="AI3183" s="466"/>
      <c r="AJ3183" s="466"/>
      <c r="AK3183" s="466"/>
      <c r="AL3183" s="466"/>
      <c r="AM3183" s="466"/>
      <c r="AN3183" s="466"/>
      <c r="AO3183" s="466"/>
      <c r="AP3183" s="466"/>
      <c r="AQ3183" s="466"/>
      <c r="AR3183" s="466"/>
      <c r="AS3183" s="466"/>
      <c r="AT3183" s="466"/>
      <c r="AU3183" s="466"/>
      <c r="AV3183" s="466"/>
      <c r="AW3183" s="466"/>
      <c r="AX3183" s="466"/>
      <c r="AY3183" s="466"/>
      <c r="AZ3183" s="466"/>
      <c r="BA3183" s="466"/>
      <c r="BB3183" s="466"/>
      <c r="BC3183" s="466"/>
      <c r="BD3183" s="466"/>
      <c r="BE3183" s="467"/>
      <c r="BF3183" s="467"/>
      <c r="BG3183" s="466"/>
      <c r="BH3183" s="466"/>
      <c r="BI3183" s="467"/>
      <c r="BJ3183" s="467"/>
      <c r="BK3183" s="467"/>
      <c r="BL3183" s="467"/>
      <c r="BM3183" s="467"/>
      <c r="BN3183" s="467"/>
      <c r="BO3183" s="467"/>
      <c r="BP3183" s="467"/>
      <c r="BQ3183" s="467"/>
      <c r="BR3183" s="467"/>
      <c r="BS3183" s="467"/>
      <c r="BT3183" s="467"/>
      <c r="BU3183" s="467"/>
      <c r="BV3183" s="467"/>
      <c r="BW3183" s="467"/>
      <c r="BX3183" s="769"/>
      <c r="BY3183" s="769"/>
      <c r="BZ3183" s="769"/>
      <c r="CA3183" s="769"/>
      <c r="CB3183" s="769"/>
      <c r="CC3183" s="769"/>
      <c r="CD3183" s="769"/>
      <c r="CE3183" s="769"/>
      <c r="CF3183" s="769"/>
      <c r="CG3183" s="73"/>
      <c r="CH3183" s="438"/>
      <c r="CI3183" s="416"/>
      <c r="CJ3183" s="73"/>
      <c r="CK3183" s="650"/>
      <c r="CL3183" s="499"/>
      <c r="CM3183" s="650"/>
      <c r="CR3183" s="416"/>
      <c r="CS3183" s="650"/>
      <c r="CU3183" s="73"/>
      <c r="CV3183" s="73"/>
      <c r="CW3183" s="73"/>
      <c r="CX3183" s="73"/>
      <c r="DA3183" s="650"/>
    </row>
    <row r="3184" spans="1:105" s="45" customFormat="1" x14ac:dyDescent="0.2">
      <c r="A3184" s="650"/>
      <c r="B3184" s="438"/>
      <c r="D3184" s="73"/>
      <c r="E3184" s="650"/>
      <c r="F3184" s="650"/>
      <c r="G3184" s="73"/>
      <c r="I3184" s="111"/>
      <c r="J3184" s="81"/>
      <c r="K3184" s="81"/>
      <c r="L3184" s="499"/>
      <c r="M3184" s="73"/>
      <c r="N3184" s="499"/>
      <c r="O3184" s="73"/>
      <c r="P3184" s="73"/>
      <c r="Q3184" s="73"/>
      <c r="R3184" s="176"/>
      <c r="S3184" s="176"/>
      <c r="T3184" s="176"/>
      <c r="U3184" s="400"/>
      <c r="V3184" s="400"/>
      <c r="W3184" s="732"/>
      <c r="X3184" s="167"/>
      <c r="Y3184" s="509"/>
      <c r="Z3184" s="466"/>
      <c r="AA3184" s="466"/>
      <c r="AB3184" s="466"/>
      <c r="AC3184" s="466"/>
      <c r="AD3184" s="466"/>
      <c r="AE3184" s="466"/>
      <c r="AF3184" s="466"/>
      <c r="AG3184" s="466"/>
      <c r="AH3184" s="466"/>
      <c r="AI3184" s="466"/>
      <c r="AJ3184" s="466"/>
      <c r="AK3184" s="466"/>
      <c r="AL3184" s="466"/>
      <c r="AM3184" s="466"/>
      <c r="AN3184" s="466"/>
      <c r="AO3184" s="466"/>
      <c r="AP3184" s="466"/>
      <c r="AQ3184" s="466"/>
      <c r="AR3184" s="466"/>
      <c r="AS3184" s="466"/>
      <c r="AT3184" s="466"/>
      <c r="AU3184" s="466"/>
      <c r="AV3184" s="466"/>
      <c r="AW3184" s="466"/>
      <c r="AX3184" s="466"/>
      <c r="AY3184" s="466"/>
      <c r="AZ3184" s="466"/>
      <c r="BA3184" s="466"/>
      <c r="BB3184" s="466"/>
      <c r="BC3184" s="466"/>
      <c r="BD3184" s="466"/>
      <c r="BE3184" s="467"/>
      <c r="BF3184" s="467"/>
      <c r="BG3184" s="466"/>
      <c r="BH3184" s="466"/>
      <c r="BI3184" s="467"/>
      <c r="BJ3184" s="467"/>
      <c r="BK3184" s="467"/>
      <c r="BL3184" s="467"/>
      <c r="BM3184" s="467"/>
      <c r="BN3184" s="467"/>
      <c r="BO3184" s="467"/>
      <c r="BP3184" s="467"/>
      <c r="BQ3184" s="467"/>
      <c r="BR3184" s="467"/>
      <c r="BS3184" s="467"/>
      <c r="BT3184" s="467"/>
      <c r="BU3184" s="467"/>
      <c r="BV3184" s="467"/>
      <c r="BW3184" s="467"/>
      <c r="BX3184" s="769"/>
      <c r="BY3184" s="769"/>
      <c r="BZ3184" s="769"/>
      <c r="CA3184" s="769"/>
      <c r="CB3184" s="769"/>
      <c r="CC3184" s="769"/>
      <c r="CD3184" s="769"/>
      <c r="CE3184" s="769"/>
      <c r="CF3184" s="769"/>
      <c r="CG3184" s="73"/>
      <c r="CH3184" s="438"/>
      <c r="CI3184" s="416"/>
      <c r="CJ3184" s="73"/>
      <c r="CK3184" s="650"/>
      <c r="CL3184" s="499"/>
      <c r="CM3184" s="650"/>
      <c r="CR3184" s="416"/>
      <c r="CS3184" s="650"/>
      <c r="CU3184" s="73"/>
      <c r="CV3184" s="73"/>
      <c r="CW3184" s="73"/>
      <c r="CX3184" s="73"/>
      <c r="DA3184" s="650"/>
    </row>
    <row r="3185" spans="1:105" s="45" customFormat="1" x14ac:dyDescent="0.2">
      <c r="A3185" s="650"/>
      <c r="B3185" s="438"/>
      <c r="D3185" s="73"/>
      <c r="E3185" s="650"/>
      <c r="F3185" s="650"/>
      <c r="G3185" s="73"/>
      <c r="I3185" s="111"/>
      <c r="J3185" s="81"/>
      <c r="K3185" s="81"/>
      <c r="L3185" s="499"/>
      <c r="M3185" s="73"/>
      <c r="N3185" s="499"/>
      <c r="O3185" s="73"/>
      <c r="P3185" s="73"/>
      <c r="Q3185" s="73"/>
      <c r="R3185" s="176"/>
      <c r="S3185" s="176"/>
      <c r="T3185" s="176"/>
      <c r="U3185" s="400"/>
      <c r="V3185" s="400"/>
      <c r="W3185" s="732"/>
      <c r="X3185" s="167"/>
      <c r="Y3185" s="509"/>
      <c r="Z3185" s="466"/>
      <c r="AA3185" s="466"/>
      <c r="AB3185" s="466"/>
      <c r="AC3185" s="466"/>
      <c r="AD3185" s="466"/>
      <c r="AE3185" s="466"/>
      <c r="AF3185" s="466"/>
      <c r="AG3185" s="466"/>
      <c r="AH3185" s="466"/>
      <c r="AI3185" s="466"/>
      <c r="AJ3185" s="466"/>
      <c r="AK3185" s="466"/>
      <c r="AL3185" s="466"/>
      <c r="AM3185" s="466"/>
      <c r="AN3185" s="466"/>
      <c r="AO3185" s="466"/>
      <c r="AP3185" s="466"/>
      <c r="AQ3185" s="466"/>
      <c r="AR3185" s="466"/>
      <c r="AS3185" s="466"/>
      <c r="AT3185" s="466"/>
      <c r="AU3185" s="466"/>
      <c r="AV3185" s="466"/>
      <c r="AW3185" s="466"/>
      <c r="AX3185" s="466"/>
      <c r="AY3185" s="466"/>
      <c r="AZ3185" s="466"/>
      <c r="BA3185" s="466"/>
      <c r="BB3185" s="466"/>
      <c r="BC3185" s="466"/>
      <c r="BD3185" s="466"/>
      <c r="BE3185" s="467"/>
      <c r="BF3185" s="467"/>
      <c r="BG3185" s="466"/>
      <c r="BH3185" s="466"/>
      <c r="BI3185" s="467"/>
      <c r="BJ3185" s="467"/>
      <c r="BK3185" s="467"/>
      <c r="BL3185" s="467"/>
      <c r="BM3185" s="467"/>
      <c r="BN3185" s="467"/>
      <c r="BO3185" s="467"/>
      <c r="BP3185" s="467"/>
      <c r="BQ3185" s="467"/>
      <c r="BR3185" s="467"/>
      <c r="BS3185" s="467"/>
      <c r="BT3185" s="467"/>
      <c r="BU3185" s="467"/>
      <c r="BV3185" s="467"/>
      <c r="BW3185" s="467"/>
      <c r="BX3185" s="769"/>
      <c r="BY3185" s="769"/>
      <c r="BZ3185" s="769"/>
      <c r="CA3185" s="769"/>
      <c r="CB3185" s="769"/>
      <c r="CC3185" s="769"/>
      <c r="CD3185" s="769"/>
      <c r="CE3185" s="769"/>
      <c r="CF3185" s="769"/>
      <c r="CG3185" s="73"/>
      <c r="CH3185" s="438"/>
      <c r="CI3185" s="416"/>
      <c r="CJ3185" s="73"/>
      <c r="CK3185" s="650"/>
      <c r="CL3185" s="499"/>
      <c r="CM3185" s="650"/>
      <c r="CR3185" s="416"/>
      <c r="CS3185" s="650"/>
      <c r="CU3185" s="73"/>
      <c r="CV3185" s="73"/>
      <c r="CW3185" s="73"/>
      <c r="CX3185" s="73"/>
      <c r="DA3185" s="650"/>
    </row>
    <row r="3186" spans="1:105" s="45" customFormat="1" x14ac:dyDescent="0.2">
      <c r="A3186" s="650"/>
      <c r="B3186" s="438"/>
      <c r="D3186" s="73"/>
      <c r="E3186" s="650"/>
      <c r="F3186" s="650"/>
      <c r="G3186" s="73"/>
      <c r="I3186" s="111"/>
      <c r="J3186" s="81"/>
      <c r="K3186" s="81"/>
      <c r="L3186" s="499"/>
      <c r="M3186" s="73"/>
      <c r="N3186" s="499"/>
      <c r="O3186" s="73"/>
      <c r="P3186" s="73"/>
      <c r="Q3186" s="73"/>
      <c r="R3186" s="176"/>
      <c r="S3186" s="176"/>
      <c r="T3186" s="176"/>
      <c r="U3186" s="400"/>
      <c r="V3186" s="400"/>
      <c r="W3186" s="732"/>
      <c r="X3186" s="167"/>
      <c r="Y3186" s="509"/>
      <c r="Z3186" s="466"/>
      <c r="AA3186" s="466"/>
      <c r="AB3186" s="466"/>
      <c r="AC3186" s="466"/>
      <c r="AD3186" s="466"/>
      <c r="AE3186" s="466"/>
      <c r="AF3186" s="466"/>
      <c r="AG3186" s="466"/>
      <c r="AH3186" s="466"/>
      <c r="AI3186" s="466"/>
      <c r="AJ3186" s="466"/>
      <c r="AK3186" s="466"/>
      <c r="AL3186" s="466"/>
      <c r="AM3186" s="466"/>
      <c r="AN3186" s="466"/>
      <c r="AO3186" s="466"/>
      <c r="AP3186" s="466"/>
      <c r="AQ3186" s="466"/>
      <c r="AR3186" s="466"/>
      <c r="AS3186" s="466"/>
      <c r="AT3186" s="466"/>
      <c r="AU3186" s="466"/>
      <c r="AV3186" s="466"/>
      <c r="AW3186" s="466"/>
      <c r="AX3186" s="466"/>
      <c r="AY3186" s="466"/>
      <c r="AZ3186" s="466"/>
      <c r="BA3186" s="466"/>
      <c r="BB3186" s="466"/>
      <c r="BC3186" s="466"/>
      <c r="BD3186" s="466"/>
      <c r="BE3186" s="467"/>
      <c r="BF3186" s="467"/>
      <c r="BG3186" s="466"/>
      <c r="BH3186" s="466"/>
      <c r="BI3186" s="467"/>
      <c r="BJ3186" s="467"/>
      <c r="BK3186" s="467"/>
      <c r="BL3186" s="467"/>
      <c r="BM3186" s="467"/>
      <c r="BN3186" s="467"/>
      <c r="BO3186" s="467"/>
      <c r="BP3186" s="467"/>
      <c r="BQ3186" s="467"/>
      <c r="BR3186" s="467"/>
      <c r="BS3186" s="467"/>
      <c r="BT3186" s="467"/>
      <c r="BU3186" s="467"/>
      <c r="BV3186" s="467"/>
      <c r="BW3186" s="467"/>
      <c r="BX3186" s="769"/>
      <c r="BY3186" s="769"/>
      <c r="BZ3186" s="769"/>
      <c r="CA3186" s="769"/>
      <c r="CB3186" s="769"/>
      <c r="CC3186" s="769"/>
      <c r="CD3186" s="769"/>
      <c r="CE3186" s="769"/>
      <c r="CF3186" s="769"/>
      <c r="CG3186" s="73"/>
      <c r="CH3186" s="438"/>
      <c r="CI3186" s="416"/>
      <c r="CJ3186" s="73"/>
      <c r="CK3186" s="650"/>
      <c r="CL3186" s="499"/>
      <c r="CM3186" s="650"/>
      <c r="CR3186" s="416"/>
      <c r="CS3186" s="650"/>
      <c r="CU3186" s="73"/>
      <c r="CV3186" s="73"/>
      <c r="CW3186" s="73"/>
      <c r="CX3186" s="73"/>
      <c r="DA3186" s="650"/>
    </row>
    <row r="3187" spans="1:105" s="45" customFormat="1" x14ac:dyDescent="0.2">
      <c r="A3187" s="650"/>
      <c r="B3187" s="438"/>
      <c r="D3187" s="73"/>
      <c r="E3187" s="650"/>
      <c r="F3187" s="650"/>
      <c r="G3187" s="73"/>
      <c r="I3187" s="111"/>
      <c r="J3187" s="81"/>
      <c r="K3187" s="81"/>
      <c r="L3187" s="499"/>
      <c r="M3187" s="73"/>
      <c r="N3187" s="499"/>
      <c r="O3187" s="73"/>
      <c r="P3187" s="73"/>
      <c r="Q3187" s="73"/>
      <c r="R3187" s="176"/>
      <c r="S3187" s="176"/>
      <c r="T3187" s="176"/>
      <c r="U3187" s="400"/>
      <c r="V3187" s="400"/>
      <c r="W3187" s="732"/>
      <c r="X3187" s="167"/>
      <c r="Y3187" s="509"/>
      <c r="Z3187" s="466"/>
      <c r="AA3187" s="466"/>
      <c r="AB3187" s="466"/>
      <c r="AC3187" s="466"/>
      <c r="AD3187" s="466"/>
      <c r="AE3187" s="466"/>
      <c r="AF3187" s="466"/>
      <c r="AG3187" s="466"/>
      <c r="AH3187" s="466"/>
      <c r="AI3187" s="466"/>
      <c r="AJ3187" s="466"/>
      <c r="AK3187" s="466"/>
      <c r="AL3187" s="466"/>
      <c r="AM3187" s="466"/>
      <c r="AN3187" s="466"/>
      <c r="AO3187" s="466"/>
      <c r="AP3187" s="466"/>
      <c r="AQ3187" s="466"/>
      <c r="AR3187" s="466"/>
      <c r="AS3187" s="466"/>
      <c r="AT3187" s="466"/>
      <c r="AU3187" s="466"/>
      <c r="AV3187" s="466"/>
      <c r="AW3187" s="466"/>
      <c r="AX3187" s="466"/>
      <c r="AY3187" s="466"/>
      <c r="AZ3187" s="466"/>
      <c r="BA3187" s="466"/>
      <c r="BB3187" s="466"/>
      <c r="BC3187" s="466"/>
      <c r="BD3187" s="466"/>
      <c r="BE3187" s="467"/>
      <c r="BF3187" s="467"/>
      <c r="BG3187" s="466"/>
      <c r="BH3187" s="466"/>
      <c r="BI3187" s="467"/>
      <c r="BJ3187" s="467"/>
      <c r="BK3187" s="467"/>
      <c r="BL3187" s="467"/>
      <c r="BM3187" s="467"/>
      <c r="BN3187" s="467"/>
      <c r="BO3187" s="467"/>
      <c r="BP3187" s="467"/>
      <c r="BQ3187" s="467"/>
      <c r="BR3187" s="467"/>
      <c r="BS3187" s="467"/>
      <c r="BT3187" s="467"/>
      <c r="BU3187" s="467"/>
      <c r="BV3187" s="467"/>
      <c r="BW3187" s="467"/>
      <c r="BX3187" s="769"/>
      <c r="BY3187" s="769"/>
      <c r="BZ3187" s="769"/>
      <c r="CA3187" s="769"/>
      <c r="CB3187" s="769"/>
      <c r="CC3187" s="769"/>
      <c r="CD3187" s="769"/>
      <c r="CE3187" s="769"/>
      <c r="CF3187" s="769"/>
      <c r="CG3187" s="73"/>
      <c r="CH3187" s="438"/>
      <c r="CI3187" s="416"/>
      <c r="CJ3187" s="73"/>
      <c r="CK3187" s="650"/>
      <c r="CL3187" s="499"/>
      <c r="CM3187" s="650"/>
      <c r="CR3187" s="416"/>
      <c r="CS3187" s="650"/>
      <c r="CU3187" s="73"/>
      <c r="CV3187" s="73"/>
      <c r="CW3187" s="73"/>
      <c r="CX3187" s="73"/>
      <c r="DA3187" s="650"/>
    </row>
    <row r="3188" spans="1:105" s="45" customFormat="1" x14ac:dyDescent="0.2">
      <c r="A3188" s="650"/>
      <c r="B3188" s="438"/>
      <c r="D3188" s="73"/>
      <c r="E3188" s="650"/>
      <c r="F3188" s="650"/>
      <c r="G3188" s="73"/>
      <c r="I3188" s="111"/>
      <c r="J3188" s="81"/>
      <c r="K3188" s="81"/>
      <c r="L3188" s="499"/>
      <c r="M3188" s="73"/>
      <c r="N3188" s="499"/>
      <c r="O3188" s="73"/>
      <c r="P3188" s="73"/>
      <c r="Q3188" s="73"/>
      <c r="R3188" s="176"/>
      <c r="S3188" s="176"/>
      <c r="T3188" s="176"/>
      <c r="U3188" s="400"/>
      <c r="V3188" s="400"/>
      <c r="W3188" s="732"/>
      <c r="X3188" s="167"/>
      <c r="Y3188" s="509"/>
      <c r="Z3188" s="466"/>
      <c r="AA3188" s="466"/>
      <c r="AB3188" s="466"/>
      <c r="AC3188" s="466"/>
      <c r="AD3188" s="466"/>
      <c r="AE3188" s="466"/>
      <c r="AF3188" s="466"/>
      <c r="AG3188" s="466"/>
      <c r="AH3188" s="466"/>
      <c r="AI3188" s="466"/>
      <c r="AJ3188" s="466"/>
      <c r="AK3188" s="466"/>
      <c r="AL3188" s="466"/>
      <c r="AM3188" s="466"/>
      <c r="AN3188" s="466"/>
      <c r="AO3188" s="466"/>
      <c r="AP3188" s="466"/>
      <c r="AQ3188" s="466"/>
      <c r="AR3188" s="466"/>
      <c r="AS3188" s="466"/>
      <c r="AT3188" s="466"/>
      <c r="AU3188" s="466"/>
      <c r="AV3188" s="466"/>
      <c r="AW3188" s="466"/>
      <c r="AX3188" s="466"/>
      <c r="AY3188" s="466"/>
      <c r="AZ3188" s="466"/>
      <c r="BA3188" s="466"/>
      <c r="BB3188" s="466"/>
      <c r="BC3188" s="466"/>
      <c r="BD3188" s="466"/>
      <c r="BE3188" s="467"/>
      <c r="BF3188" s="467"/>
      <c r="BG3188" s="466"/>
      <c r="BH3188" s="466"/>
      <c r="BI3188" s="467"/>
      <c r="BJ3188" s="467"/>
      <c r="BK3188" s="467"/>
      <c r="BL3188" s="467"/>
      <c r="BM3188" s="467"/>
      <c r="BN3188" s="467"/>
      <c r="BO3188" s="467"/>
      <c r="BP3188" s="467"/>
      <c r="BQ3188" s="467"/>
      <c r="BR3188" s="467"/>
      <c r="BS3188" s="467"/>
      <c r="BT3188" s="467"/>
      <c r="BU3188" s="467"/>
      <c r="BV3188" s="467"/>
      <c r="BW3188" s="467"/>
      <c r="BX3188" s="769"/>
      <c r="BY3188" s="769"/>
      <c r="BZ3188" s="769"/>
      <c r="CA3188" s="769"/>
      <c r="CB3188" s="769"/>
      <c r="CC3188" s="769"/>
      <c r="CD3188" s="769"/>
      <c r="CE3188" s="769"/>
      <c r="CF3188" s="769"/>
      <c r="CG3188" s="73"/>
      <c r="CH3188" s="438"/>
      <c r="CI3188" s="416"/>
      <c r="CJ3188" s="73"/>
      <c r="CK3188" s="650"/>
      <c r="CL3188" s="499"/>
      <c r="CM3188" s="650"/>
      <c r="CR3188" s="416"/>
      <c r="CS3188" s="650"/>
      <c r="CU3188" s="73"/>
      <c r="CV3188" s="73"/>
      <c r="CW3188" s="73"/>
      <c r="CX3188" s="73"/>
      <c r="DA3188" s="650"/>
    </row>
    <row r="3189" spans="1:105" s="45" customFormat="1" x14ac:dyDescent="0.2">
      <c r="A3189" s="650"/>
      <c r="B3189" s="438"/>
      <c r="D3189" s="73"/>
      <c r="E3189" s="650"/>
      <c r="F3189" s="650"/>
      <c r="G3189" s="73"/>
      <c r="I3189" s="111"/>
      <c r="J3189" s="81"/>
      <c r="K3189" s="81"/>
      <c r="L3189" s="499"/>
      <c r="M3189" s="73"/>
      <c r="N3189" s="499"/>
      <c r="O3189" s="73"/>
      <c r="P3189" s="73"/>
      <c r="Q3189" s="73"/>
      <c r="R3189" s="176"/>
      <c r="S3189" s="176"/>
      <c r="T3189" s="176"/>
      <c r="U3189" s="400"/>
      <c r="V3189" s="400"/>
      <c r="W3189" s="732"/>
      <c r="X3189" s="167"/>
      <c r="Y3189" s="509"/>
      <c r="Z3189" s="466"/>
      <c r="AA3189" s="466"/>
      <c r="AB3189" s="466"/>
      <c r="AC3189" s="466"/>
      <c r="AD3189" s="466"/>
      <c r="AE3189" s="466"/>
      <c r="AF3189" s="466"/>
      <c r="AG3189" s="466"/>
      <c r="AH3189" s="466"/>
      <c r="AI3189" s="466"/>
      <c r="AJ3189" s="466"/>
      <c r="AK3189" s="466"/>
      <c r="AL3189" s="466"/>
      <c r="AM3189" s="466"/>
      <c r="AN3189" s="466"/>
      <c r="AO3189" s="466"/>
      <c r="AP3189" s="466"/>
      <c r="AQ3189" s="466"/>
      <c r="AR3189" s="466"/>
      <c r="AS3189" s="466"/>
      <c r="AT3189" s="466"/>
      <c r="AU3189" s="466"/>
      <c r="AV3189" s="466"/>
      <c r="AW3189" s="466"/>
      <c r="AX3189" s="466"/>
      <c r="AY3189" s="466"/>
      <c r="AZ3189" s="466"/>
      <c r="BA3189" s="466"/>
      <c r="BB3189" s="466"/>
      <c r="BC3189" s="466"/>
      <c r="BD3189" s="466"/>
      <c r="BE3189" s="467"/>
      <c r="BF3189" s="467"/>
      <c r="BG3189" s="466"/>
      <c r="BH3189" s="466"/>
      <c r="BI3189" s="467"/>
      <c r="BJ3189" s="467"/>
      <c r="BK3189" s="467"/>
      <c r="BL3189" s="467"/>
      <c r="BM3189" s="467"/>
      <c r="BN3189" s="467"/>
      <c r="BO3189" s="467"/>
      <c r="BP3189" s="467"/>
      <c r="BQ3189" s="467"/>
      <c r="BR3189" s="467"/>
      <c r="BS3189" s="467"/>
      <c r="BT3189" s="467"/>
      <c r="BU3189" s="467"/>
      <c r="BV3189" s="467"/>
      <c r="BW3189" s="467"/>
      <c r="BX3189" s="769"/>
      <c r="BY3189" s="769"/>
      <c r="BZ3189" s="769"/>
      <c r="CA3189" s="769"/>
      <c r="CB3189" s="769"/>
      <c r="CC3189" s="769"/>
      <c r="CD3189" s="769"/>
      <c r="CE3189" s="769"/>
      <c r="CF3189" s="769"/>
      <c r="CG3189" s="73"/>
      <c r="CH3189" s="438"/>
      <c r="CI3189" s="416"/>
      <c r="CJ3189" s="73"/>
      <c r="CK3189" s="650"/>
      <c r="CL3189" s="499"/>
      <c r="CM3189" s="650"/>
      <c r="CR3189" s="416"/>
      <c r="CS3189" s="650"/>
      <c r="CU3189" s="73"/>
      <c r="CV3189" s="73"/>
      <c r="CW3189" s="73"/>
      <c r="CX3189" s="73"/>
      <c r="DA3189" s="650"/>
    </row>
    <row r="3190" spans="1:105" s="45" customFormat="1" x14ac:dyDescent="0.2">
      <c r="A3190" s="650"/>
      <c r="B3190" s="438"/>
      <c r="D3190" s="73"/>
      <c r="E3190" s="650"/>
      <c r="F3190" s="650"/>
      <c r="G3190" s="73"/>
      <c r="I3190" s="111"/>
      <c r="J3190" s="81"/>
      <c r="K3190" s="81"/>
      <c r="L3190" s="499"/>
      <c r="M3190" s="73"/>
      <c r="N3190" s="499"/>
      <c r="O3190" s="73"/>
      <c r="P3190" s="73"/>
      <c r="Q3190" s="73"/>
      <c r="R3190" s="176"/>
      <c r="S3190" s="176"/>
      <c r="T3190" s="176"/>
      <c r="U3190" s="400"/>
      <c r="V3190" s="400"/>
      <c r="W3190" s="732"/>
      <c r="X3190" s="167"/>
      <c r="Y3190" s="509"/>
      <c r="Z3190" s="466"/>
      <c r="AA3190" s="466"/>
      <c r="AB3190" s="466"/>
      <c r="AC3190" s="466"/>
      <c r="AD3190" s="466"/>
      <c r="AE3190" s="466"/>
      <c r="AF3190" s="466"/>
      <c r="AG3190" s="466"/>
      <c r="AH3190" s="466"/>
      <c r="AI3190" s="466"/>
      <c r="AJ3190" s="466"/>
      <c r="AK3190" s="466"/>
      <c r="AL3190" s="466"/>
      <c r="AM3190" s="466"/>
      <c r="AN3190" s="466"/>
      <c r="AO3190" s="466"/>
      <c r="AP3190" s="466"/>
      <c r="AQ3190" s="466"/>
      <c r="AR3190" s="466"/>
      <c r="AS3190" s="466"/>
      <c r="AT3190" s="466"/>
      <c r="AU3190" s="466"/>
      <c r="AV3190" s="466"/>
      <c r="AW3190" s="466"/>
      <c r="AX3190" s="466"/>
      <c r="AY3190" s="466"/>
      <c r="AZ3190" s="466"/>
      <c r="BA3190" s="466"/>
      <c r="BB3190" s="466"/>
      <c r="BC3190" s="466"/>
      <c r="BD3190" s="466"/>
      <c r="BE3190" s="467"/>
      <c r="BF3190" s="467"/>
      <c r="BG3190" s="466"/>
      <c r="BH3190" s="466"/>
      <c r="BI3190" s="467"/>
      <c r="BJ3190" s="467"/>
      <c r="BK3190" s="467"/>
      <c r="BL3190" s="467"/>
      <c r="BM3190" s="467"/>
      <c r="BN3190" s="467"/>
      <c r="BO3190" s="467"/>
      <c r="BP3190" s="467"/>
      <c r="BQ3190" s="467"/>
      <c r="BR3190" s="467"/>
      <c r="BS3190" s="467"/>
      <c r="BT3190" s="467"/>
      <c r="BU3190" s="467"/>
      <c r="BV3190" s="467"/>
      <c r="BW3190" s="467"/>
      <c r="BX3190" s="769"/>
      <c r="BY3190" s="769"/>
      <c r="BZ3190" s="769"/>
      <c r="CA3190" s="769"/>
      <c r="CB3190" s="769"/>
      <c r="CC3190" s="769"/>
      <c r="CD3190" s="769"/>
      <c r="CE3190" s="769"/>
      <c r="CF3190" s="769"/>
      <c r="CG3190" s="73"/>
      <c r="CH3190" s="438"/>
      <c r="CI3190" s="416"/>
      <c r="CJ3190" s="73"/>
      <c r="CK3190" s="650"/>
      <c r="CL3190" s="499"/>
      <c r="CM3190" s="650"/>
      <c r="CR3190" s="416"/>
      <c r="CS3190" s="650"/>
      <c r="CU3190" s="73"/>
      <c r="CV3190" s="73"/>
      <c r="CW3190" s="73"/>
      <c r="CX3190" s="73"/>
      <c r="DA3190" s="650"/>
    </row>
    <row r="3191" spans="1:105" s="45" customFormat="1" x14ac:dyDescent="0.2">
      <c r="A3191" s="650"/>
      <c r="B3191" s="438"/>
      <c r="D3191" s="73"/>
      <c r="E3191" s="650"/>
      <c r="F3191" s="650"/>
      <c r="G3191" s="73"/>
      <c r="I3191" s="111"/>
      <c r="J3191" s="81"/>
      <c r="K3191" s="81"/>
      <c r="L3191" s="499"/>
      <c r="M3191" s="73"/>
      <c r="N3191" s="499"/>
      <c r="O3191" s="73"/>
      <c r="P3191" s="73"/>
      <c r="Q3191" s="73"/>
      <c r="R3191" s="176"/>
      <c r="S3191" s="176"/>
      <c r="T3191" s="176"/>
      <c r="U3191" s="400"/>
      <c r="V3191" s="400"/>
      <c r="W3191" s="732"/>
      <c r="X3191" s="167"/>
      <c r="Y3191" s="509"/>
      <c r="Z3191" s="466"/>
      <c r="AA3191" s="466"/>
      <c r="AB3191" s="466"/>
      <c r="AC3191" s="466"/>
      <c r="AD3191" s="466"/>
      <c r="AE3191" s="466"/>
      <c r="AF3191" s="466"/>
      <c r="AG3191" s="466"/>
      <c r="AH3191" s="466"/>
      <c r="AI3191" s="466"/>
      <c r="AJ3191" s="466"/>
      <c r="AK3191" s="466"/>
      <c r="AL3191" s="466"/>
      <c r="AM3191" s="466"/>
      <c r="AN3191" s="466"/>
      <c r="AO3191" s="466"/>
      <c r="AP3191" s="466"/>
      <c r="AQ3191" s="466"/>
      <c r="AR3191" s="466"/>
      <c r="AS3191" s="466"/>
      <c r="AT3191" s="466"/>
      <c r="AU3191" s="466"/>
      <c r="AV3191" s="466"/>
      <c r="AW3191" s="466"/>
      <c r="AX3191" s="466"/>
      <c r="AY3191" s="466"/>
      <c r="AZ3191" s="466"/>
      <c r="BA3191" s="466"/>
      <c r="BB3191" s="466"/>
      <c r="BC3191" s="466"/>
      <c r="BD3191" s="466"/>
      <c r="BE3191" s="467"/>
      <c r="BF3191" s="467"/>
      <c r="BG3191" s="466"/>
      <c r="BH3191" s="466"/>
      <c r="BI3191" s="467"/>
      <c r="BJ3191" s="467"/>
      <c r="BK3191" s="467"/>
      <c r="BL3191" s="467"/>
      <c r="BM3191" s="467"/>
      <c r="BN3191" s="467"/>
      <c r="BO3191" s="467"/>
      <c r="BP3191" s="467"/>
      <c r="BQ3191" s="467"/>
      <c r="BR3191" s="467"/>
      <c r="BS3191" s="467"/>
      <c r="BT3191" s="467"/>
      <c r="BU3191" s="467"/>
      <c r="BV3191" s="467"/>
      <c r="BW3191" s="467"/>
      <c r="BX3191" s="769"/>
      <c r="BY3191" s="769"/>
      <c r="BZ3191" s="769"/>
      <c r="CA3191" s="769"/>
      <c r="CB3191" s="769"/>
      <c r="CC3191" s="769"/>
      <c r="CD3191" s="769"/>
      <c r="CE3191" s="769"/>
      <c r="CF3191" s="769"/>
      <c r="CG3191" s="73"/>
      <c r="CH3191" s="438"/>
      <c r="CI3191" s="416"/>
      <c r="CJ3191" s="73"/>
      <c r="CK3191" s="650"/>
      <c r="CL3191" s="499"/>
      <c r="CM3191" s="650"/>
      <c r="CR3191" s="416"/>
      <c r="CS3191" s="650"/>
      <c r="CU3191" s="73"/>
      <c r="CV3191" s="73"/>
      <c r="CW3191" s="73"/>
      <c r="CX3191" s="73"/>
      <c r="DA3191" s="650"/>
    </row>
    <row r="3192" spans="1:105" s="45" customFormat="1" x14ac:dyDescent="0.2">
      <c r="A3192" s="650"/>
      <c r="B3192" s="438"/>
      <c r="D3192" s="73"/>
      <c r="E3192" s="650"/>
      <c r="F3192" s="650"/>
      <c r="G3192" s="73"/>
      <c r="I3192" s="111"/>
      <c r="J3192" s="81"/>
      <c r="K3192" s="81"/>
      <c r="L3192" s="499"/>
      <c r="M3192" s="73"/>
      <c r="N3192" s="499"/>
      <c r="O3192" s="73"/>
      <c r="P3192" s="73"/>
      <c r="Q3192" s="73"/>
      <c r="R3192" s="176"/>
      <c r="S3192" s="176"/>
      <c r="T3192" s="176"/>
      <c r="U3192" s="400"/>
      <c r="V3192" s="400"/>
      <c r="W3192" s="732"/>
      <c r="X3192" s="167"/>
      <c r="Y3192" s="509"/>
      <c r="Z3192" s="466"/>
      <c r="AA3192" s="466"/>
      <c r="AB3192" s="466"/>
      <c r="AC3192" s="466"/>
      <c r="AD3192" s="466"/>
      <c r="AE3192" s="466"/>
      <c r="AF3192" s="466"/>
      <c r="AG3192" s="466"/>
      <c r="AH3192" s="466"/>
      <c r="AI3192" s="466"/>
      <c r="AJ3192" s="466"/>
      <c r="AK3192" s="466"/>
      <c r="AL3192" s="466"/>
      <c r="AM3192" s="466"/>
      <c r="AN3192" s="466"/>
      <c r="AO3192" s="466"/>
      <c r="AP3192" s="466"/>
      <c r="AQ3192" s="466"/>
      <c r="AR3192" s="466"/>
      <c r="AS3192" s="466"/>
      <c r="AT3192" s="466"/>
      <c r="AU3192" s="466"/>
      <c r="AV3192" s="466"/>
      <c r="AW3192" s="466"/>
      <c r="AX3192" s="466"/>
      <c r="AY3192" s="466"/>
      <c r="AZ3192" s="466"/>
      <c r="BA3192" s="466"/>
      <c r="BB3192" s="466"/>
      <c r="BC3192" s="466"/>
      <c r="BD3192" s="466"/>
      <c r="BE3192" s="467"/>
      <c r="BF3192" s="467"/>
      <c r="BG3192" s="466"/>
      <c r="BH3192" s="466"/>
      <c r="BI3192" s="467"/>
      <c r="BJ3192" s="467"/>
      <c r="BK3192" s="467"/>
      <c r="BL3192" s="467"/>
      <c r="BM3192" s="467"/>
      <c r="BN3192" s="467"/>
      <c r="BO3192" s="467"/>
      <c r="BP3192" s="467"/>
      <c r="BQ3192" s="467"/>
      <c r="BR3192" s="467"/>
      <c r="BS3192" s="467"/>
      <c r="BT3192" s="467"/>
      <c r="BU3192" s="467"/>
      <c r="BV3192" s="467"/>
      <c r="BW3192" s="467"/>
      <c r="BX3192" s="769"/>
      <c r="BY3192" s="769"/>
      <c r="BZ3192" s="769"/>
      <c r="CA3192" s="769"/>
      <c r="CB3192" s="769"/>
      <c r="CC3192" s="769"/>
      <c r="CD3192" s="769"/>
      <c r="CE3192" s="769"/>
      <c r="CF3192" s="769"/>
      <c r="CG3192" s="73"/>
      <c r="CH3192" s="438"/>
      <c r="CI3192" s="416"/>
      <c r="CJ3192" s="73"/>
      <c r="CK3192" s="650"/>
      <c r="CL3192" s="499"/>
      <c r="CM3192" s="650"/>
      <c r="CR3192" s="416"/>
      <c r="CS3192" s="650"/>
      <c r="CU3192" s="73"/>
      <c r="CV3192" s="73"/>
      <c r="CW3192" s="73"/>
      <c r="CX3192" s="73"/>
      <c r="DA3192" s="650"/>
    </row>
    <row r="3193" spans="1:105" s="45" customFormat="1" x14ac:dyDescent="0.2">
      <c r="A3193" s="650"/>
      <c r="B3193" s="438"/>
      <c r="D3193" s="73"/>
      <c r="E3193" s="650"/>
      <c r="F3193" s="650"/>
      <c r="G3193" s="73"/>
      <c r="I3193" s="111"/>
      <c r="J3193" s="81"/>
      <c r="K3193" s="81"/>
      <c r="L3193" s="499"/>
      <c r="M3193" s="73"/>
      <c r="N3193" s="499"/>
      <c r="O3193" s="73"/>
      <c r="P3193" s="73"/>
      <c r="Q3193" s="73"/>
      <c r="R3193" s="176"/>
      <c r="S3193" s="176"/>
      <c r="T3193" s="176"/>
      <c r="U3193" s="400"/>
      <c r="V3193" s="400"/>
      <c r="W3193" s="732"/>
      <c r="X3193" s="167"/>
      <c r="Y3193" s="509"/>
      <c r="Z3193" s="466"/>
      <c r="AA3193" s="466"/>
      <c r="AB3193" s="466"/>
      <c r="AC3193" s="466"/>
      <c r="AD3193" s="466"/>
      <c r="AE3193" s="466"/>
      <c r="AF3193" s="466"/>
      <c r="AG3193" s="466"/>
      <c r="AH3193" s="466"/>
      <c r="AI3193" s="466"/>
      <c r="AJ3193" s="466"/>
      <c r="AK3193" s="466"/>
      <c r="AL3193" s="466"/>
      <c r="AM3193" s="466"/>
      <c r="AN3193" s="466"/>
      <c r="AO3193" s="466"/>
      <c r="AP3193" s="466"/>
      <c r="AQ3193" s="466"/>
      <c r="AR3193" s="466"/>
      <c r="AS3193" s="466"/>
      <c r="AT3193" s="466"/>
      <c r="AU3193" s="466"/>
      <c r="AV3193" s="466"/>
      <c r="AW3193" s="466"/>
      <c r="AX3193" s="466"/>
      <c r="AY3193" s="466"/>
      <c r="AZ3193" s="466"/>
      <c r="BA3193" s="466"/>
      <c r="BB3193" s="466"/>
      <c r="BC3193" s="466"/>
      <c r="BD3193" s="466"/>
      <c r="BE3193" s="467"/>
      <c r="BF3193" s="467"/>
      <c r="BG3193" s="466"/>
      <c r="BH3193" s="466"/>
      <c r="BI3193" s="467"/>
      <c r="BJ3193" s="467"/>
      <c r="BK3193" s="467"/>
      <c r="BL3193" s="467"/>
      <c r="BM3193" s="467"/>
      <c r="BN3193" s="467"/>
      <c r="BO3193" s="467"/>
      <c r="BP3193" s="467"/>
      <c r="BQ3193" s="467"/>
      <c r="BR3193" s="467"/>
      <c r="BS3193" s="467"/>
      <c r="BT3193" s="467"/>
      <c r="BU3193" s="467"/>
      <c r="BV3193" s="467"/>
      <c r="BW3193" s="467"/>
      <c r="BX3193" s="769"/>
      <c r="BY3193" s="769"/>
      <c r="BZ3193" s="769"/>
      <c r="CA3193" s="769"/>
      <c r="CB3193" s="769"/>
      <c r="CC3193" s="769"/>
      <c r="CD3193" s="769"/>
      <c r="CE3193" s="769"/>
      <c r="CF3193" s="769"/>
      <c r="CG3193" s="73"/>
      <c r="CH3193" s="438"/>
      <c r="CI3193" s="416"/>
      <c r="CJ3193" s="73"/>
      <c r="CK3193" s="650"/>
      <c r="CL3193" s="499"/>
      <c r="CM3193" s="650"/>
      <c r="CR3193" s="416"/>
      <c r="CS3193" s="650"/>
      <c r="CU3193" s="73"/>
      <c r="CV3193" s="73"/>
      <c r="CW3193" s="73"/>
      <c r="CX3193" s="73"/>
      <c r="DA3193" s="650"/>
    </row>
    <row r="3194" spans="1:105" s="45" customFormat="1" x14ac:dyDescent="0.2">
      <c r="A3194" s="650"/>
      <c r="B3194" s="438"/>
      <c r="D3194" s="73"/>
      <c r="E3194" s="650"/>
      <c r="F3194" s="650"/>
      <c r="G3194" s="73"/>
      <c r="I3194" s="111"/>
      <c r="J3194" s="81"/>
      <c r="K3194" s="81"/>
      <c r="L3194" s="499"/>
      <c r="M3194" s="73"/>
      <c r="N3194" s="499"/>
      <c r="O3194" s="73"/>
      <c r="P3194" s="73"/>
      <c r="Q3194" s="73"/>
      <c r="R3194" s="176"/>
      <c r="S3194" s="176"/>
      <c r="T3194" s="176"/>
      <c r="U3194" s="400"/>
      <c r="V3194" s="400"/>
      <c r="W3194" s="732"/>
      <c r="X3194" s="167"/>
      <c r="Y3194" s="509"/>
      <c r="Z3194" s="466"/>
      <c r="AA3194" s="466"/>
      <c r="AB3194" s="466"/>
      <c r="AC3194" s="466"/>
      <c r="AD3194" s="466"/>
      <c r="AE3194" s="466"/>
      <c r="AF3194" s="466"/>
      <c r="AG3194" s="466"/>
      <c r="AH3194" s="466"/>
      <c r="AI3194" s="466"/>
      <c r="AJ3194" s="466"/>
      <c r="AK3194" s="466"/>
      <c r="AL3194" s="466"/>
      <c r="AM3194" s="466"/>
      <c r="AN3194" s="466"/>
      <c r="AO3194" s="466"/>
      <c r="AP3194" s="466"/>
      <c r="AQ3194" s="466"/>
      <c r="AR3194" s="466"/>
      <c r="AS3194" s="466"/>
      <c r="AT3194" s="466"/>
      <c r="AU3194" s="466"/>
      <c r="AV3194" s="466"/>
      <c r="AW3194" s="466"/>
      <c r="AX3194" s="466"/>
      <c r="AY3194" s="466"/>
      <c r="AZ3194" s="466"/>
      <c r="BA3194" s="466"/>
      <c r="BB3194" s="466"/>
      <c r="BC3194" s="466"/>
      <c r="BD3194" s="466"/>
      <c r="BE3194" s="467"/>
      <c r="BF3194" s="467"/>
      <c r="BG3194" s="466"/>
      <c r="BH3194" s="466"/>
      <c r="BI3194" s="467"/>
      <c r="BJ3194" s="467"/>
      <c r="BK3194" s="467"/>
      <c r="BL3194" s="467"/>
      <c r="BM3194" s="467"/>
      <c r="BN3194" s="467"/>
      <c r="BO3194" s="467"/>
      <c r="BP3194" s="467"/>
      <c r="BQ3194" s="467"/>
      <c r="BR3194" s="467"/>
      <c r="BS3194" s="467"/>
      <c r="BT3194" s="467"/>
      <c r="BU3194" s="467"/>
      <c r="BV3194" s="467"/>
      <c r="BW3194" s="467"/>
      <c r="BX3194" s="769"/>
      <c r="BY3194" s="769"/>
      <c r="BZ3194" s="769"/>
      <c r="CA3194" s="769"/>
      <c r="CB3194" s="769"/>
      <c r="CC3194" s="769"/>
      <c r="CD3194" s="769"/>
      <c r="CE3194" s="769"/>
      <c r="CF3194" s="769"/>
      <c r="CG3194" s="73"/>
      <c r="CH3194" s="438"/>
      <c r="CI3194" s="416"/>
      <c r="CJ3194" s="73"/>
      <c r="CK3194" s="650"/>
      <c r="CL3194" s="499"/>
      <c r="CM3194" s="650"/>
      <c r="CR3194" s="416"/>
      <c r="CS3194" s="650"/>
      <c r="CU3194" s="73"/>
      <c r="CV3194" s="73"/>
      <c r="CW3194" s="73"/>
      <c r="CX3194" s="73"/>
      <c r="DA3194" s="650"/>
    </row>
    <row r="3195" spans="1:105" s="45" customFormat="1" x14ac:dyDescent="0.2">
      <c r="A3195" s="650"/>
      <c r="B3195" s="438"/>
      <c r="D3195" s="73"/>
      <c r="E3195" s="650"/>
      <c r="F3195" s="650"/>
      <c r="G3195" s="73"/>
      <c r="I3195" s="111"/>
      <c r="J3195" s="81"/>
      <c r="K3195" s="81"/>
      <c r="L3195" s="499"/>
      <c r="M3195" s="73"/>
      <c r="N3195" s="499"/>
      <c r="O3195" s="73"/>
      <c r="P3195" s="73"/>
      <c r="Q3195" s="73"/>
      <c r="R3195" s="176"/>
      <c r="S3195" s="176"/>
      <c r="T3195" s="176"/>
      <c r="U3195" s="400"/>
      <c r="V3195" s="400"/>
      <c r="W3195" s="732"/>
      <c r="X3195" s="167"/>
      <c r="Y3195" s="509"/>
      <c r="Z3195" s="466"/>
      <c r="AA3195" s="466"/>
      <c r="AB3195" s="466"/>
      <c r="AC3195" s="466"/>
      <c r="AD3195" s="466"/>
      <c r="AE3195" s="466"/>
      <c r="AF3195" s="466"/>
      <c r="AG3195" s="466"/>
      <c r="AH3195" s="466"/>
      <c r="AI3195" s="466"/>
      <c r="AJ3195" s="466"/>
      <c r="AK3195" s="466"/>
      <c r="AL3195" s="466"/>
      <c r="AM3195" s="466"/>
      <c r="AN3195" s="466"/>
      <c r="AO3195" s="466"/>
      <c r="AP3195" s="466"/>
      <c r="AQ3195" s="466"/>
      <c r="AR3195" s="466"/>
      <c r="AS3195" s="466"/>
      <c r="AT3195" s="466"/>
      <c r="AU3195" s="466"/>
      <c r="AV3195" s="466"/>
      <c r="AW3195" s="466"/>
      <c r="AX3195" s="466"/>
      <c r="AY3195" s="466"/>
      <c r="AZ3195" s="466"/>
      <c r="BA3195" s="466"/>
      <c r="BB3195" s="466"/>
      <c r="BC3195" s="466"/>
      <c r="BD3195" s="466"/>
      <c r="BE3195" s="467"/>
      <c r="BF3195" s="467"/>
      <c r="BG3195" s="466"/>
      <c r="BH3195" s="466"/>
      <c r="BI3195" s="467"/>
      <c r="BJ3195" s="467"/>
      <c r="BK3195" s="467"/>
      <c r="BL3195" s="467"/>
      <c r="BM3195" s="467"/>
      <c r="BN3195" s="467"/>
      <c r="BO3195" s="467"/>
      <c r="BP3195" s="467"/>
      <c r="BQ3195" s="467"/>
      <c r="BR3195" s="467"/>
      <c r="BS3195" s="467"/>
      <c r="BT3195" s="467"/>
      <c r="BU3195" s="467"/>
      <c r="BV3195" s="467"/>
      <c r="BW3195" s="467"/>
      <c r="BX3195" s="769"/>
      <c r="BY3195" s="769"/>
      <c r="BZ3195" s="769"/>
      <c r="CA3195" s="769"/>
      <c r="CB3195" s="769"/>
      <c r="CC3195" s="769"/>
      <c r="CD3195" s="769"/>
      <c r="CE3195" s="769"/>
      <c r="CF3195" s="769"/>
      <c r="CG3195" s="73"/>
      <c r="CH3195" s="438"/>
      <c r="CI3195" s="416"/>
      <c r="CJ3195" s="73"/>
      <c r="CK3195" s="650"/>
      <c r="CL3195" s="499"/>
      <c r="CM3195" s="650"/>
      <c r="CR3195" s="416"/>
      <c r="CS3195" s="650"/>
      <c r="CU3195" s="73"/>
      <c r="CV3195" s="73"/>
      <c r="CW3195" s="73"/>
      <c r="CX3195" s="73"/>
      <c r="DA3195" s="650"/>
    </row>
    <row r="3196" spans="1:105" s="45" customFormat="1" x14ac:dyDescent="0.2">
      <c r="A3196" s="650"/>
      <c r="B3196" s="438"/>
      <c r="D3196" s="73"/>
      <c r="E3196" s="650"/>
      <c r="F3196" s="650"/>
      <c r="G3196" s="73"/>
      <c r="I3196" s="111"/>
      <c r="J3196" s="81"/>
      <c r="K3196" s="81"/>
      <c r="L3196" s="499"/>
      <c r="M3196" s="73"/>
      <c r="N3196" s="499"/>
      <c r="O3196" s="73"/>
      <c r="P3196" s="73"/>
      <c r="Q3196" s="73"/>
      <c r="R3196" s="176"/>
      <c r="S3196" s="176"/>
      <c r="T3196" s="176"/>
      <c r="U3196" s="400"/>
      <c r="V3196" s="400"/>
      <c r="W3196" s="732"/>
      <c r="X3196" s="167"/>
      <c r="Y3196" s="509"/>
      <c r="Z3196" s="466"/>
      <c r="AA3196" s="466"/>
      <c r="AB3196" s="466"/>
      <c r="AC3196" s="466"/>
      <c r="AD3196" s="466"/>
      <c r="AE3196" s="466"/>
      <c r="AF3196" s="466"/>
      <c r="AG3196" s="466"/>
      <c r="AH3196" s="466"/>
      <c r="AI3196" s="466"/>
      <c r="AJ3196" s="466"/>
      <c r="AK3196" s="466"/>
      <c r="AL3196" s="466"/>
      <c r="AM3196" s="466"/>
      <c r="AN3196" s="466"/>
      <c r="AO3196" s="466"/>
      <c r="AP3196" s="466"/>
      <c r="AQ3196" s="466"/>
      <c r="AR3196" s="466"/>
      <c r="AS3196" s="466"/>
      <c r="AT3196" s="466"/>
      <c r="AU3196" s="466"/>
      <c r="AV3196" s="466"/>
      <c r="AW3196" s="466"/>
      <c r="AX3196" s="466"/>
      <c r="AY3196" s="466"/>
      <c r="AZ3196" s="466"/>
      <c r="BA3196" s="466"/>
      <c r="BB3196" s="466"/>
      <c r="BC3196" s="466"/>
      <c r="BD3196" s="466"/>
      <c r="BE3196" s="467"/>
      <c r="BF3196" s="467"/>
      <c r="BG3196" s="466"/>
      <c r="BH3196" s="466"/>
      <c r="BI3196" s="467"/>
      <c r="BJ3196" s="467"/>
      <c r="BK3196" s="467"/>
      <c r="BL3196" s="467"/>
      <c r="BM3196" s="467"/>
      <c r="BN3196" s="467"/>
      <c r="BO3196" s="467"/>
      <c r="BP3196" s="467"/>
      <c r="BQ3196" s="467"/>
      <c r="BR3196" s="467"/>
      <c r="BS3196" s="467"/>
      <c r="BT3196" s="467"/>
      <c r="BU3196" s="467"/>
      <c r="BV3196" s="467"/>
      <c r="BW3196" s="467"/>
      <c r="BX3196" s="769"/>
      <c r="BY3196" s="769"/>
      <c r="BZ3196" s="769"/>
      <c r="CA3196" s="769"/>
      <c r="CB3196" s="769"/>
      <c r="CC3196" s="769"/>
      <c r="CD3196" s="769"/>
      <c r="CE3196" s="769"/>
      <c r="CF3196" s="769"/>
      <c r="CG3196" s="73"/>
      <c r="CH3196" s="438"/>
      <c r="CI3196" s="416"/>
      <c r="CJ3196" s="73"/>
      <c r="CK3196" s="650"/>
      <c r="CL3196" s="499"/>
      <c r="CM3196" s="650"/>
      <c r="CR3196" s="416"/>
      <c r="CS3196" s="650"/>
      <c r="CU3196" s="73"/>
      <c r="CV3196" s="73"/>
      <c r="CW3196" s="73"/>
      <c r="CX3196" s="73"/>
      <c r="DA3196" s="650"/>
    </row>
    <row r="3197" spans="1:105" s="45" customFormat="1" x14ac:dyDescent="0.2">
      <c r="A3197" s="650"/>
      <c r="B3197" s="438"/>
      <c r="D3197" s="73"/>
      <c r="E3197" s="650"/>
      <c r="F3197" s="650"/>
      <c r="G3197" s="73"/>
      <c r="I3197" s="111"/>
      <c r="J3197" s="81"/>
      <c r="K3197" s="81"/>
      <c r="L3197" s="499"/>
      <c r="M3197" s="73"/>
      <c r="N3197" s="499"/>
      <c r="O3197" s="73"/>
      <c r="P3197" s="73"/>
      <c r="Q3197" s="73"/>
      <c r="R3197" s="176"/>
      <c r="S3197" s="176"/>
      <c r="T3197" s="176"/>
      <c r="U3197" s="400"/>
      <c r="V3197" s="400"/>
      <c r="W3197" s="732"/>
      <c r="X3197" s="167"/>
      <c r="Y3197" s="509"/>
      <c r="Z3197" s="466"/>
      <c r="AA3197" s="466"/>
      <c r="AB3197" s="466"/>
      <c r="AC3197" s="466"/>
      <c r="AD3197" s="466"/>
      <c r="AE3197" s="466"/>
      <c r="AF3197" s="466"/>
      <c r="AG3197" s="466"/>
      <c r="AH3197" s="466"/>
      <c r="AI3197" s="466"/>
      <c r="AJ3197" s="466"/>
      <c r="AK3197" s="466"/>
      <c r="AL3197" s="466"/>
      <c r="AM3197" s="466"/>
      <c r="AN3197" s="466"/>
      <c r="AO3197" s="466"/>
      <c r="AP3197" s="466"/>
      <c r="AQ3197" s="466"/>
      <c r="AR3197" s="466"/>
      <c r="AS3197" s="466"/>
      <c r="AT3197" s="466"/>
      <c r="AU3197" s="466"/>
      <c r="AV3197" s="466"/>
      <c r="AW3197" s="466"/>
      <c r="AX3197" s="466"/>
      <c r="AY3197" s="466"/>
      <c r="AZ3197" s="466"/>
      <c r="BA3197" s="466"/>
      <c r="BB3197" s="466"/>
      <c r="BC3197" s="466"/>
      <c r="BD3197" s="466"/>
      <c r="BE3197" s="467"/>
      <c r="BF3197" s="467"/>
      <c r="BG3197" s="466"/>
      <c r="BH3197" s="466"/>
      <c r="BI3197" s="467"/>
      <c r="BJ3197" s="467"/>
      <c r="BK3197" s="467"/>
      <c r="BL3197" s="467"/>
      <c r="BM3197" s="467"/>
      <c r="BN3197" s="467"/>
      <c r="BO3197" s="467"/>
      <c r="BP3197" s="467"/>
      <c r="BQ3197" s="467"/>
      <c r="BR3197" s="467"/>
      <c r="BS3197" s="467"/>
      <c r="BT3197" s="467"/>
      <c r="BU3197" s="467"/>
      <c r="BV3197" s="467"/>
      <c r="BW3197" s="467"/>
      <c r="BX3197" s="769"/>
      <c r="BY3197" s="769"/>
      <c r="BZ3197" s="769"/>
      <c r="CA3197" s="769"/>
      <c r="CB3197" s="769"/>
      <c r="CC3197" s="769"/>
      <c r="CD3197" s="769"/>
      <c r="CE3197" s="769"/>
      <c r="CF3197" s="769"/>
      <c r="CG3197" s="73"/>
      <c r="CH3197" s="438"/>
      <c r="CI3197" s="416"/>
      <c r="CJ3197" s="73"/>
      <c r="CK3197" s="650"/>
      <c r="CL3197" s="499"/>
      <c r="CM3197" s="650"/>
      <c r="CR3197" s="416"/>
      <c r="CS3197" s="650"/>
      <c r="CU3197" s="73"/>
      <c r="CV3197" s="73"/>
      <c r="CW3197" s="73"/>
      <c r="CX3197" s="73"/>
      <c r="DA3197" s="650"/>
    </row>
    <row r="3198" spans="1:105" s="45" customFormat="1" x14ac:dyDescent="0.2">
      <c r="A3198" s="650"/>
      <c r="B3198" s="438"/>
      <c r="D3198" s="73"/>
      <c r="E3198" s="650"/>
      <c r="F3198" s="650"/>
      <c r="G3198" s="73"/>
      <c r="I3198" s="111"/>
      <c r="J3198" s="81"/>
      <c r="K3198" s="81"/>
      <c r="L3198" s="499"/>
      <c r="M3198" s="73"/>
      <c r="N3198" s="499"/>
      <c r="O3198" s="73"/>
      <c r="P3198" s="73"/>
      <c r="Q3198" s="73"/>
      <c r="R3198" s="176"/>
      <c r="S3198" s="176"/>
      <c r="T3198" s="176"/>
      <c r="U3198" s="400"/>
      <c r="V3198" s="400"/>
      <c r="W3198" s="732"/>
      <c r="X3198" s="167"/>
      <c r="Y3198" s="509"/>
      <c r="Z3198" s="466"/>
      <c r="AA3198" s="466"/>
      <c r="AB3198" s="466"/>
      <c r="AC3198" s="466"/>
      <c r="AD3198" s="466"/>
      <c r="AE3198" s="466"/>
      <c r="AF3198" s="466"/>
      <c r="AG3198" s="466"/>
      <c r="AH3198" s="466"/>
      <c r="AI3198" s="466"/>
      <c r="AJ3198" s="466"/>
      <c r="AK3198" s="466"/>
      <c r="AL3198" s="466"/>
      <c r="AM3198" s="466"/>
      <c r="AN3198" s="466"/>
      <c r="AO3198" s="466"/>
      <c r="AP3198" s="466"/>
      <c r="AQ3198" s="466"/>
      <c r="AR3198" s="466"/>
      <c r="AS3198" s="466"/>
      <c r="AT3198" s="466"/>
      <c r="AU3198" s="466"/>
      <c r="AV3198" s="466"/>
      <c r="AW3198" s="466"/>
      <c r="AX3198" s="466"/>
      <c r="AY3198" s="466"/>
      <c r="AZ3198" s="466"/>
      <c r="BA3198" s="466"/>
      <c r="BB3198" s="466"/>
      <c r="BC3198" s="466"/>
      <c r="BD3198" s="466"/>
      <c r="BE3198" s="467"/>
      <c r="BF3198" s="467"/>
      <c r="BG3198" s="466"/>
      <c r="BH3198" s="466"/>
      <c r="BI3198" s="467"/>
      <c r="BJ3198" s="467"/>
      <c r="BK3198" s="467"/>
      <c r="BL3198" s="467"/>
      <c r="BM3198" s="467"/>
      <c r="BN3198" s="467"/>
      <c r="BO3198" s="467"/>
      <c r="BP3198" s="467"/>
      <c r="BQ3198" s="467"/>
      <c r="BR3198" s="467"/>
      <c r="BS3198" s="467"/>
      <c r="BT3198" s="467"/>
      <c r="BU3198" s="467"/>
      <c r="BV3198" s="467"/>
      <c r="BW3198" s="467"/>
      <c r="BX3198" s="769"/>
      <c r="BY3198" s="769"/>
      <c r="BZ3198" s="769"/>
      <c r="CA3198" s="769"/>
      <c r="CB3198" s="769"/>
      <c r="CC3198" s="769"/>
      <c r="CD3198" s="769"/>
      <c r="CE3198" s="769"/>
      <c r="CF3198" s="769"/>
      <c r="CG3198" s="73"/>
      <c r="CH3198" s="438"/>
      <c r="CI3198" s="416"/>
      <c r="CJ3198" s="73"/>
      <c r="CK3198" s="650"/>
      <c r="CL3198" s="499"/>
      <c r="CM3198" s="650"/>
      <c r="CR3198" s="416"/>
      <c r="CS3198" s="650"/>
      <c r="CU3198" s="73"/>
      <c r="CV3198" s="73"/>
      <c r="CW3198" s="73"/>
      <c r="CX3198" s="73"/>
      <c r="DA3198" s="650"/>
    </row>
    <row r="3199" spans="1:105" s="45" customFormat="1" x14ac:dyDescent="0.2">
      <c r="A3199" s="650"/>
      <c r="B3199" s="438"/>
      <c r="D3199" s="73"/>
      <c r="E3199" s="650"/>
      <c r="F3199" s="650"/>
      <c r="G3199" s="73"/>
      <c r="I3199" s="111"/>
      <c r="J3199" s="81"/>
      <c r="K3199" s="81"/>
      <c r="L3199" s="499"/>
      <c r="M3199" s="73"/>
      <c r="N3199" s="499"/>
      <c r="O3199" s="73"/>
      <c r="P3199" s="73"/>
      <c r="Q3199" s="73"/>
      <c r="R3199" s="176"/>
      <c r="S3199" s="176"/>
      <c r="T3199" s="176"/>
      <c r="U3199" s="400"/>
      <c r="V3199" s="400"/>
      <c r="W3199" s="732"/>
      <c r="X3199" s="167"/>
      <c r="Y3199" s="509"/>
      <c r="Z3199" s="466"/>
      <c r="AA3199" s="466"/>
      <c r="AB3199" s="466"/>
      <c r="AC3199" s="466"/>
      <c r="AD3199" s="466"/>
      <c r="AE3199" s="466"/>
      <c r="AF3199" s="466"/>
      <c r="AG3199" s="466"/>
      <c r="AH3199" s="466"/>
      <c r="AI3199" s="466"/>
      <c r="AJ3199" s="466"/>
      <c r="AK3199" s="466"/>
      <c r="AL3199" s="466"/>
      <c r="AM3199" s="466"/>
      <c r="AN3199" s="466"/>
      <c r="AO3199" s="466"/>
      <c r="AP3199" s="466"/>
      <c r="AQ3199" s="466"/>
      <c r="AR3199" s="466"/>
      <c r="AS3199" s="466"/>
      <c r="AT3199" s="466"/>
      <c r="AU3199" s="466"/>
      <c r="AV3199" s="466"/>
      <c r="AW3199" s="466"/>
      <c r="AX3199" s="466"/>
      <c r="AY3199" s="466"/>
      <c r="AZ3199" s="466"/>
      <c r="BA3199" s="466"/>
      <c r="BB3199" s="466"/>
      <c r="BC3199" s="466"/>
      <c r="BD3199" s="466"/>
      <c r="BE3199" s="467"/>
      <c r="BF3199" s="467"/>
      <c r="BG3199" s="466"/>
      <c r="BH3199" s="466"/>
      <c r="BI3199" s="467"/>
      <c r="BJ3199" s="467"/>
      <c r="BK3199" s="467"/>
      <c r="BL3199" s="467"/>
      <c r="BM3199" s="467"/>
      <c r="BN3199" s="467"/>
      <c r="BO3199" s="467"/>
      <c r="BP3199" s="467"/>
      <c r="BQ3199" s="467"/>
      <c r="BR3199" s="467"/>
      <c r="BS3199" s="467"/>
      <c r="BT3199" s="467"/>
      <c r="BU3199" s="467"/>
      <c r="BV3199" s="467"/>
      <c r="BW3199" s="467"/>
      <c r="BX3199" s="769"/>
      <c r="BY3199" s="769"/>
      <c r="BZ3199" s="769"/>
      <c r="CA3199" s="769"/>
      <c r="CB3199" s="769"/>
      <c r="CC3199" s="769"/>
      <c r="CD3199" s="769"/>
      <c r="CE3199" s="769"/>
      <c r="CF3199" s="769"/>
      <c r="CG3199" s="73"/>
      <c r="CH3199" s="438"/>
      <c r="CI3199" s="416"/>
      <c r="CJ3199" s="73"/>
      <c r="CK3199" s="650"/>
      <c r="CL3199" s="499"/>
      <c r="CM3199" s="650"/>
      <c r="CR3199" s="416"/>
      <c r="CS3199" s="650"/>
      <c r="CU3199" s="73"/>
      <c r="CV3199" s="73"/>
      <c r="CW3199" s="73"/>
      <c r="CX3199" s="73"/>
      <c r="DA3199" s="650"/>
    </row>
    <row r="3200" spans="1:105" s="45" customFormat="1" x14ac:dyDescent="0.2">
      <c r="A3200" s="650"/>
      <c r="B3200" s="438"/>
      <c r="D3200" s="73"/>
      <c r="E3200" s="650"/>
      <c r="F3200" s="650"/>
      <c r="G3200" s="73"/>
      <c r="I3200" s="111"/>
      <c r="J3200" s="81"/>
      <c r="K3200" s="81"/>
      <c r="L3200" s="499"/>
      <c r="M3200" s="73"/>
      <c r="N3200" s="499"/>
      <c r="O3200" s="73"/>
      <c r="P3200" s="73"/>
      <c r="Q3200" s="73"/>
      <c r="R3200" s="176"/>
      <c r="S3200" s="176"/>
      <c r="T3200" s="176"/>
      <c r="U3200" s="400"/>
      <c r="V3200" s="400"/>
      <c r="W3200" s="732"/>
      <c r="X3200" s="167"/>
      <c r="Y3200" s="509"/>
      <c r="Z3200" s="466"/>
      <c r="AA3200" s="466"/>
      <c r="AB3200" s="466"/>
      <c r="AC3200" s="466"/>
      <c r="AD3200" s="466"/>
      <c r="AE3200" s="466"/>
      <c r="AF3200" s="466"/>
      <c r="AG3200" s="466"/>
      <c r="AH3200" s="466"/>
      <c r="AI3200" s="466"/>
      <c r="AJ3200" s="466"/>
      <c r="AK3200" s="466"/>
      <c r="AL3200" s="466"/>
      <c r="AM3200" s="466"/>
      <c r="AN3200" s="466"/>
      <c r="AO3200" s="466"/>
      <c r="AP3200" s="466"/>
      <c r="AQ3200" s="466"/>
      <c r="AR3200" s="466"/>
      <c r="AS3200" s="466"/>
      <c r="AT3200" s="466"/>
      <c r="AU3200" s="466"/>
      <c r="AV3200" s="466"/>
      <c r="AW3200" s="466"/>
      <c r="AX3200" s="466"/>
      <c r="AY3200" s="466"/>
      <c r="AZ3200" s="466"/>
      <c r="BA3200" s="466"/>
      <c r="BB3200" s="466"/>
      <c r="BC3200" s="466"/>
      <c r="BD3200" s="466"/>
      <c r="BE3200" s="467"/>
      <c r="BF3200" s="467"/>
      <c r="BG3200" s="466"/>
      <c r="BH3200" s="466"/>
      <c r="BI3200" s="467"/>
      <c r="BJ3200" s="467"/>
      <c r="BK3200" s="467"/>
      <c r="BL3200" s="467"/>
      <c r="BM3200" s="467"/>
      <c r="BN3200" s="467"/>
      <c r="BO3200" s="467"/>
      <c r="BP3200" s="467"/>
      <c r="BQ3200" s="467"/>
      <c r="BR3200" s="467"/>
      <c r="BS3200" s="467"/>
      <c r="BT3200" s="467"/>
      <c r="BU3200" s="467"/>
      <c r="BV3200" s="467"/>
      <c r="BW3200" s="467"/>
      <c r="BX3200" s="769"/>
      <c r="BY3200" s="769"/>
      <c r="BZ3200" s="769"/>
      <c r="CA3200" s="769"/>
      <c r="CB3200" s="769"/>
      <c r="CC3200" s="769"/>
      <c r="CD3200" s="769"/>
      <c r="CE3200" s="769"/>
      <c r="CF3200" s="769"/>
      <c r="CG3200" s="73"/>
      <c r="CH3200" s="438"/>
      <c r="CI3200" s="416"/>
      <c r="CJ3200" s="73"/>
      <c r="CK3200" s="650"/>
      <c r="CL3200" s="499"/>
      <c r="CM3200" s="650"/>
      <c r="CR3200" s="416"/>
      <c r="CS3200" s="650"/>
      <c r="CU3200" s="73"/>
      <c r="CV3200" s="73"/>
      <c r="CW3200" s="73"/>
      <c r="CX3200" s="73"/>
      <c r="DA3200" s="650"/>
    </row>
    <row r="3201" spans="1:105" s="45" customFormat="1" x14ac:dyDescent="0.2">
      <c r="A3201" s="650"/>
      <c r="B3201" s="438"/>
      <c r="D3201" s="73"/>
      <c r="E3201" s="650"/>
      <c r="F3201" s="650"/>
      <c r="G3201" s="73"/>
      <c r="I3201" s="111"/>
      <c r="J3201" s="81"/>
      <c r="K3201" s="81"/>
      <c r="L3201" s="499"/>
      <c r="M3201" s="73"/>
      <c r="N3201" s="499"/>
      <c r="O3201" s="73"/>
      <c r="P3201" s="73"/>
      <c r="Q3201" s="73"/>
      <c r="R3201" s="176"/>
      <c r="S3201" s="176"/>
      <c r="T3201" s="176"/>
      <c r="U3201" s="400"/>
      <c r="V3201" s="400"/>
      <c r="W3201" s="732"/>
      <c r="X3201" s="167"/>
      <c r="Y3201" s="509"/>
      <c r="Z3201" s="466"/>
      <c r="AA3201" s="466"/>
      <c r="AB3201" s="466"/>
      <c r="AC3201" s="466"/>
      <c r="AD3201" s="466"/>
      <c r="AE3201" s="466"/>
      <c r="AF3201" s="466"/>
      <c r="AG3201" s="466"/>
      <c r="AH3201" s="466"/>
      <c r="AI3201" s="466"/>
      <c r="AJ3201" s="466"/>
      <c r="AK3201" s="466"/>
      <c r="AL3201" s="466"/>
      <c r="AM3201" s="466"/>
      <c r="AN3201" s="466"/>
      <c r="AO3201" s="466"/>
      <c r="AP3201" s="466"/>
      <c r="AQ3201" s="466"/>
      <c r="AR3201" s="466"/>
      <c r="AS3201" s="466"/>
      <c r="AT3201" s="466"/>
      <c r="AU3201" s="466"/>
      <c r="AV3201" s="466"/>
      <c r="AW3201" s="466"/>
      <c r="AX3201" s="466"/>
      <c r="AY3201" s="466"/>
      <c r="AZ3201" s="466"/>
      <c r="BA3201" s="466"/>
      <c r="BB3201" s="466"/>
      <c r="BC3201" s="466"/>
      <c r="BD3201" s="466"/>
      <c r="BE3201" s="467"/>
      <c r="BF3201" s="467"/>
      <c r="BG3201" s="466"/>
      <c r="BH3201" s="466"/>
      <c r="BI3201" s="467"/>
      <c r="BJ3201" s="467"/>
      <c r="BK3201" s="467"/>
      <c r="BL3201" s="467"/>
      <c r="BM3201" s="467"/>
      <c r="BN3201" s="467"/>
      <c r="BO3201" s="467"/>
      <c r="BP3201" s="467"/>
      <c r="BQ3201" s="467"/>
      <c r="BR3201" s="467"/>
      <c r="BS3201" s="467"/>
      <c r="BT3201" s="467"/>
      <c r="BU3201" s="467"/>
      <c r="BV3201" s="467"/>
      <c r="BW3201" s="467"/>
      <c r="BX3201" s="769"/>
      <c r="BY3201" s="769"/>
      <c r="BZ3201" s="769"/>
      <c r="CA3201" s="769"/>
      <c r="CB3201" s="769"/>
      <c r="CC3201" s="769"/>
      <c r="CD3201" s="769"/>
      <c r="CE3201" s="769"/>
      <c r="CF3201" s="769"/>
      <c r="CG3201" s="73"/>
      <c r="CH3201" s="438"/>
      <c r="CI3201" s="416"/>
      <c r="CJ3201" s="73"/>
      <c r="CK3201" s="650"/>
      <c r="CL3201" s="499"/>
      <c r="CM3201" s="650"/>
      <c r="CR3201" s="416"/>
      <c r="CS3201" s="650"/>
      <c r="CU3201" s="73"/>
      <c r="CV3201" s="73"/>
      <c r="CW3201" s="73"/>
      <c r="CX3201" s="73"/>
      <c r="DA3201" s="650"/>
    </row>
    <row r="3202" spans="1:105" s="45" customFormat="1" x14ac:dyDescent="0.2">
      <c r="A3202" s="650"/>
      <c r="B3202" s="438"/>
      <c r="D3202" s="73"/>
      <c r="E3202" s="650"/>
      <c r="F3202" s="650"/>
      <c r="G3202" s="73"/>
      <c r="I3202" s="111"/>
      <c r="J3202" s="81"/>
      <c r="K3202" s="81"/>
      <c r="L3202" s="499"/>
      <c r="M3202" s="73"/>
      <c r="N3202" s="499"/>
      <c r="O3202" s="73"/>
      <c r="P3202" s="73"/>
      <c r="Q3202" s="73"/>
      <c r="R3202" s="176"/>
      <c r="S3202" s="176"/>
      <c r="T3202" s="176"/>
      <c r="U3202" s="400"/>
      <c r="V3202" s="400"/>
      <c r="W3202" s="732"/>
      <c r="X3202" s="167"/>
      <c r="Y3202" s="509"/>
      <c r="Z3202" s="466"/>
      <c r="AA3202" s="466"/>
      <c r="AB3202" s="466"/>
      <c r="AC3202" s="466"/>
      <c r="AD3202" s="466"/>
      <c r="AE3202" s="466"/>
      <c r="AF3202" s="466"/>
      <c r="AG3202" s="466"/>
      <c r="AH3202" s="466"/>
      <c r="AI3202" s="466"/>
      <c r="AJ3202" s="466"/>
      <c r="AK3202" s="466"/>
      <c r="AL3202" s="466"/>
      <c r="AM3202" s="466"/>
      <c r="AN3202" s="466"/>
      <c r="AO3202" s="466"/>
      <c r="AP3202" s="466"/>
      <c r="AQ3202" s="466"/>
      <c r="AR3202" s="466"/>
      <c r="AS3202" s="466"/>
      <c r="AT3202" s="466"/>
      <c r="AU3202" s="466"/>
      <c r="AV3202" s="466"/>
      <c r="AW3202" s="466"/>
      <c r="AX3202" s="466"/>
      <c r="AY3202" s="466"/>
      <c r="AZ3202" s="466"/>
      <c r="BA3202" s="466"/>
      <c r="BB3202" s="466"/>
      <c r="BC3202" s="466"/>
      <c r="BD3202" s="466"/>
      <c r="BE3202" s="467"/>
      <c r="BF3202" s="467"/>
      <c r="BG3202" s="466"/>
      <c r="BH3202" s="466"/>
      <c r="BI3202" s="467"/>
      <c r="BJ3202" s="467"/>
      <c r="BK3202" s="467"/>
      <c r="BL3202" s="467"/>
      <c r="BM3202" s="467"/>
      <c r="BN3202" s="467"/>
      <c r="BO3202" s="467"/>
      <c r="BP3202" s="467"/>
      <c r="BQ3202" s="467"/>
      <c r="BR3202" s="467"/>
      <c r="BS3202" s="467"/>
      <c r="BT3202" s="467"/>
      <c r="BU3202" s="467"/>
      <c r="BV3202" s="467"/>
      <c r="BW3202" s="467"/>
      <c r="BX3202" s="769"/>
      <c r="BY3202" s="769"/>
      <c r="BZ3202" s="769"/>
      <c r="CA3202" s="769"/>
      <c r="CB3202" s="769"/>
      <c r="CC3202" s="769"/>
      <c r="CD3202" s="769"/>
      <c r="CE3202" s="769"/>
      <c r="CF3202" s="769"/>
      <c r="CG3202" s="73"/>
      <c r="CH3202" s="438"/>
      <c r="CI3202" s="416"/>
      <c r="CJ3202" s="73"/>
      <c r="CK3202" s="650"/>
      <c r="CL3202" s="499"/>
      <c r="CM3202" s="650"/>
      <c r="CR3202" s="416"/>
      <c r="CS3202" s="650"/>
      <c r="CU3202" s="73"/>
      <c r="CV3202" s="73"/>
      <c r="CW3202" s="73"/>
      <c r="CX3202" s="73"/>
      <c r="DA3202" s="650"/>
    </row>
    <row r="3203" spans="1:105" s="45" customFormat="1" x14ac:dyDescent="0.2">
      <c r="A3203" s="650"/>
      <c r="B3203" s="438"/>
      <c r="D3203" s="73"/>
      <c r="E3203" s="650"/>
      <c r="F3203" s="650"/>
      <c r="G3203" s="73"/>
      <c r="I3203" s="111"/>
      <c r="J3203" s="81"/>
      <c r="K3203" s="81"/>
      <c r="L3203" s="499"/>
      <c r="M3203" s="73"/>
      <c r="N3203" s="499"/>
      <c r="O3203" s="73"/>
      <c r="P3203" s="73"/>
      <c r="Q3203" s="73"/>
      <c r="R3203" s="176"/>
      <c r="S3203" s="176"/>
      <c r="T3203" s="176"/>
      <c r="U3203" s="400"/>
      <c r="V3203" s="400"/>
      <c r="W3203" s="732"/>
      <c r="X3203" s="167"/>
      <c r="Y3203" s="509"/>
      <c r="Z3203" s="466"/>
      <c r="AA3203" s="466"/>
      <c r="AB3203" s="466"/>
      <c r="AC3203" s="466"/>
      <c r="AD3203" s="466"/>
      <c r="AE3203" s="466"/>
      <c r="AF3203" s="466"/>
      <c r="AG3203" s="466"/>
      <c r="AH3203" s="466"/>
      <c r="AI3203" s="466"/>
      <c r="AJ3203" s="466"/>
      <c r="AK3203" s="466"/>
      <c r="AL3203" s="466"/>
      <c r="AM3203" s="466"/>
      <c r="AN3203" s="466"/>
      <c r="AO3203" s="466"/>
      <c r="AP3203" s="466"/>
      <c r="AQ3203" s="466"/>
      <c r="AR3203" s="466"/>
      <c r="AS3203" s="466"/>
      <c r="AT3203" s="466"/>
      <c r="AU3203" s="466"/>
      <c r="AV3203" s="466"/>
      <c r="AW3203" s="466"/>
      <c r="AX3203" s="466"/>
      <c r="AY3203" s="466"/>
      <c r="AZ3203" s="466"/>
      <c r="BA3203" s="466"/>
      <c r="BB3203" s="466"/>
      <c r="BC3203" s="466"/>
      <c r="BD3203" s="466"/>
      <c r="BE3203" s="467"/>
      <c r="BF3203" s="467"/>
      <c r="BG3203" s="466"/>
      <c r="BH3203" s="466"/>
      <c r="BI3203" s="467"/>
      <c r="BJ3203" s="467"/>
      <c r="BK3203" s="467"/>
      <c r="BL3203" s="467"/>
      <c r="BM3203" s="467"/>
      <c r="BN3203" s="467"/>
      <c r="BO3203" s="467"/>
      <c r="BP3203" s="467"/>
      <c r="BQ3203" s="467"/>
      <c r="BR3203" s="467"/>
      <c r="BS3203" s="467"/>
      <c r="BT3203" s="467"/>
      <c r="BU3203" s="467"/>
      <c r="BV3203" s="467"/>
      <c r="BW3203" s="467"/>
      <c r="BX3203" s="769"/>
      <c r="BY3203" s="769"/>
      <c r="BZ3203" s="769"/>
      <c r="CA3203" s="769"/>
      <c r="CB3203" s="769"/>
      <c r="CC3203" s="769"/>
      <c r="CD3203" s="769"/>
      <c r="CE3203" s="769"/>
      <c r="CF3203" s="769"/>
      <c r="CG3203" s="73"/>
      <c r="CH3203" s="438"/>
      <c r="CI3203" s="416"/>
      <c r="CJ3203" s="73"/>
      <c r="CK3203" s="650"/>
      <c r="CL3203" s="499"/>
      <c r="CM3203" s="650"/>
      <c r="CR3203" s="416"/>
      <c r="CS3203" s="650"/>
      <c r="CU3203" s="73"/>
      <c r="CV3203" s="73"/>
      <c r="CW3203" s="73"/>
      <c r="CX3203" s="73"/>
      <c r="DA3203" s="650"/>
    </row>
    <row r="3204" spans="1:105" s="45" customFormat="1" x14ac:dyDescent="0.2">
      <c r="A3204" s="650"/>
      <c r="B3204" s="438"/>
      <c r="D3204" s="73"/>
      <c r="E3204" s="650"/>
      <c r="F3204" s="650"/>
      <c r="G3204" s="73"/>
      <c r="I3204" s="111"/>
      <c r="J3204" s="81"/>
      <c r="K3204" s="81"/>
      <c r="L3204" s="499"/>
      <c r="M3204" s="73"/>
      <c r="N3204" s="499"/>
      <c r="O3204" s="73"/>
      <c r="P3204" s="73"/>
      <c r="Q3204" s="73"/>
      <c r="R3204" s="176"/>
      <c r="S3204" s="176"/>
      <c r="T3204" s="176"/>
      <c r="U3204" s="400"/>
      <c r="V3204" s="400"/>
      <c r="W3204" s="732"/>
      <c r="X3204" s="167"/>
      <c r="Y3204" s="509"/>
      <c r="Z3204" s="466"/>
      <c r="AA3204" s="466"/>
      <c r="AB3204" s="466"/>
      <c r="AC3204" s="466"/>
      <c r="AD3204" s="466"/>
      <c r="AE3204" s="466"/>
      <c r="AF3204" s="466"/>
      <c r="AG3204" s="466"/>
      <c r="AH3204" s="466"/>
      <c r="AI3204" s="466"/>
      <c r="AJ3204" s="466"/>
      <c r="AK3204" s="466"/>
      <c r="AL3204" s="466"/>
      <c r="AM3204" s="466"/>
      <c r="AN3204" s="466"/>
      <c r="AO3204" s="466"/>
      <c r="AP3204" s="466"/>
      <c r="AQ3204" s="466"/>
      <c r="AR3204" s="466"/>
      <c r="AS3204" s="466"/>
      <c r="AT3204" s="466"/>
      <c r="AU3204" s="466"/>
      <c r="AV3204" s="466"/>
      <c r="AW3204" s="466"/>
      <c r="AX3204" s="466"/>
      <c r="AY3204" s="466"/>
      <c r="AZ3204" s="466"/>
      <c r="BA3204" s="466"/>
      <c r="BB3204" s="466"/>
      <c r="BC3204" s="466"/>
      <c r="BD3204" s="466"/>
      <c r="BE3204" s="467"/>
      <c r="BF3204" s="467"/>
      <c r="BG3204" s="466"/>
      <c r="BH3204" s="466"/>
      <c r="BI3204" s="467"/>
      <c r="BJ3204" s="467"/>
      <c r="BK3204" s="467"/>
      <c r="BL3204" s="467"/>
      <c r="BM3204" s="467"/>
      <c r="BN3204" s="467"/>
      <c r="BO3204" s="467"/>
      <c r="BP3204" s="467"/>
      <c r="BQ3204" s="467"/>
      <c r="BR3204" s="467"/>
      <c r="BS3204" s="467"/>
      <c r="BT3204" s="467"/>
      <c r="BU3204" s="467"/>
      <c r="BV3204" s="467"/>
      <c r="BW3204" s="467"/>
      <c r="BX3204" s="769"/>
      <c r="BY3204" s="769"/>
      <c r="BZ3204" s="769"/>
      <c r="CA3204" s="769"/>
      <c r="CB3204" s="769"/>
      <c r="CC3204" s="769"/>
      <c r="CD3204" s="769"/>
      <c r="CE3204" s="769"/>
      <c r="CF3204" s="769"/>
      <c r="CG3204" s="73"/>
      <c r="CH3204" s="438"/>
      <c r="CI3204" s="416"/>
      <c r="CJ3204" s="73"/>
      <c r="CK3204" s="650"/>
      <c r="CL3204" s="499"/>
      <c r="CM3204" s="650"/>
      <c r="CR3204" s="416"/>
      <c r="CS3204" s="650"/>
      <c r="CU3204" s="73"/>
      <c r="CV3204" s="73"/>
      <c r="CW3204" s="73"/>
      <c r="CX3204" s="73"/>
      <c r="DA3204" s="650"/>
    </row>
    <row r="3205" spans="1:105" s="45" customFormat="1" x14ac:dyDescent="0.2">
      <c r="A3205" s="650"/>
      <c r="B3205" s="438"/>
      <c r="D3205" s="73"/>
      <c r="E3205" s="650"/>
      <c r="F3205" s="650"/>
      <c r="G3205" s="73"/>
      <c r="I3205" s="111"/>
      <c r="J3205" s="81"/>
      <c r="K3205" s="81"/>
      <c r="L3205" s="499"/>
      <c r="M3205" s="73"/>
      <c r="N3205" s="499"/>
      <c r="O3205" s="73"/>
      <c r="P3205" s="73"/>
      <c r="Q3205" s="73"/>
      <c r="R3205" s="176"/>
      <c r="S3205" s="176"/>
      <c r="T3205" s="176"/>
      <c r="U3205" s="400"/>
      <c r="V3205" s="400"/>
      <c r="W3205" s="732"/>
      <c r="X3205" s="167"/>
      <c r="Y3205" s="509"/>
      <c r="Z3205" s="466"/>
      <c r="AA3205" s="466"/>
      <c r="AB3205" s="466"/>
      <c r="AC3205" s="466"/>
      <c r="AD3205" s="466"/>
      <c r="AE3205" s="466"/>
      <c r="AF3205" s="466"/>
      <c r="AG3205" s="466"/>
      <c r="AH3205" s="466"/>
      <c r="AI3205" s="466"/>
      <c r="AJ3205" s="466"/>
      <c r="AK3205" s="466"/>
      <c r="AL3205" s="466"/>
      <c r="AM3205" s="466"/>
      <c r="AN3205" s="466"/>
      <c r="AO3205" s="466"/>
      <c r="AP3205" s="466"/>
      <c r="AQ3205" s="466"/>
      <c r="AR3205" s="466"/>
      <c r="AS3205" s="466"/>
      <c r="AT3205" s="466"/>
      <c r="AU3205" s="466"/>
      <c r="AV3205" s="466"/>
      <c r="AW3205" s="466"/>
      <c r="AX3205" s="466"/>
      <c r="AY3205" s="466"/>
      <c r="AZ3205" s="466"/>
      <c r="BA3205" s="466"/>
      <c r="BB3205" s="466"/>
      <c r="BC3205" s="466"/>
      <c r="BD3205" s="466"/>
      <c r="BE3205" s="467"/>
      <c r="BF3205" s="467"/>
      <c r="BG3205" s="466"/>
      <c r="BH3205" s="466"/>
      <c r="BI3205" s="467"/>
      <c r="BJ3205" s="467"/>
      <c r="BK3205" s="467"/>
      <c r="BL3205" s="467"/>
      <c r="BM3205" s="467"/>
      <c r="BN3205" s="467"/>
      <c r="BO3205" s="467"/>
      <c r="BP3205" s="467"/>
      <c r="BQ3205" s="467"/>
      <c r="BR3205" s="467"/>
      <c r="BS3205" s="467"/>
      <c r="BT3205" s="467"/>
      <c r="BU3205" s="467"/>
      <c r="BV3205" s="467"/>
      <c r="BW3205" s="467"/>
      <c r="BX3205" s="769"/>
      <c r="BY3205" s="769"/>
      <c r="BZ3205" s="769"/>
      <c r="CA3205" s="769"/>
      <c r="CB3205" s="769"/>
      <c r="CC3205" s="769"/>
      <c r="CD3205" s="769"/>
      <c r="CE3205" s="769"/>
      <c r="CF3205" s="769"/>
      <c r="CG3205" s="73"/>
      <c r="CH3205" s="438"/>
      <c r="CI3205" s="416"/>
      <c r="CJ3205" s="73"/>
      <c r="CK3205" s="650"/>
      <c r="CL3205" s="499"/>
      <c r="CM3205" s="650"/>
      <c r="CR3205" s="416"/>
      <c r="CS3205" s="650"/>
      <c r="CU3205" s="73"/>
      <c r="CV3205" s="73"/>
      <c r="CW3205" s="73"/>
      <c r="CX3205" s="73"/>
      <c r="DA3205" s="650"/>
    </row>
    <row r="3206" spans="1:105" s="45" customFormat="1" x14ac:dyDescent="0.2">
      <c r="A3206" s="650"/>
      <c r="B3206" s="438"/>
      <c r="D3206" s="73"/>
      <c r="E3206" s="650"/>
      <c r="F3206" s="650"/>
      <c r="G3206" s="73"/>
      <c r="I3206" s="111"/>
      <c r="J3206" s="81"/>
      <c r="K3206" s="81"/>
      <c r="L3206" s="499"/>
      <c r="M3206" s="73"/>
      <c r="N3206" s="499"/>
      <c r="O3206" s="73"/>
      <c r="P3206" s="73"/>
      <c r="Q3206" s="73"/>
      <c r="R3206" s="176"/>
      <c r="S3206" s="176"/>
      <c r="T3206" s="176"/>
      <c r="U3206" s="400"/>
      <c r="V3206" s="400"/>
      <c r="W3206" s="732"/>
      <c r="X3206" s="167"/>
      <c r="Y3206" s="509"/>
      <c r="Z3206" s="466"/>
      <c r="AA3206" s="466"/>
      <c r="AB3206" s="466"/>
      <c r="AC3206" s="466"/>
      <c r="AD3206" s="466"/>
      <c r="AE3206" s="466"/>
      <c r="AF3206" s="466"/>
      <c r="AG3206" s="466"/>
      <c r="AH3206" s="466"/>
      <c r="AI3206" s="466"/>
      <c r="AJ3206" s="466"/>
      <c r="AK3206" s="466"/>
      <c r="AL3206" s="466"/>
      <c r="AM3206" s="466"/>
      <c r="AN3206" s="466"/>
      <c r="AO3206" s="466"/>
      <c r="AP3206" s="466"/>
      <c r="AQ3206" s="466"/>
      <c r="AR3206" s="466"/>
      <c r="AS3206" s="466"/>
      <c r="AT3206" s="466"/>
      <c r="AU3206" s="466"/>
      <c r="AV3206" s="466"/>
      <c r="AW3206" s="466"/>
      <c r="AX3206" s="466"/>
      <c r="AY3206" s="466"/>
      <c r="AZ3206" s="466"/>
      <c r="BA3206" s="466"/>
      <c r="BB3206" s="466"/>
      <c r="BC3206" s="466"/>
      <c r="BD3206" s="466"/>
      <c r="BE3206" s="467"/>
      <c r="BF3206" s="467"/>
      <c r="BG3206" s="466"/>
      <c r="BH3206" s="466"/>
      <c r="BI3206" s="467"/>
      <c r="BJ3206" s="467"/>
      <c r="BK3206" s="467"/>
      <c r="BL3206" s="467"/>
      <c r="BM3206" s="467"/>
      <c r="BN3206" s="467"/>
      <c r="BO3206" s="467"/>
      <c r="BP3206" s="467"/>
      <c r="BQ3206" s="467"/>
      <c r="BR3206" s="467"/>
      <c r="BS3206" s="467"/>
      <c r="BT3206" s="467"/>
      <c r="BU3206" s="467"/>
      <c r="BV3206" s="467"/>
      <c r="BW3206" s="467"/>
      <c r="BX3206" s="769"/>
      <c r="BY3206" s="769"/>
      <c r="BZ3206" s="769"/>
      <c r="CA3206" s="769"/>
      <c r="CB3206" s="769"/>
      <c r="CC3206" s="769"/>
      <c r="CD3206" s="769"/>
      <c r="CE3206" s="769"/>
      <c r="CF3206" s="769"/>
      <c r="CG3206" s="73"/>
      <c r="CH3206" s="438"/>
      <c r="CI3206" s="416"/>
      <c r="CJ3206" s="73"/>
      <c r="CK3206" s="650"/>
      <c r="CL3206" s="499"/>
      <c r="CM3206" s="650"/>
      <c r="CR3206" s="416"/>
      <c r="CS3206" s="650"/>
      <c r="CU3206" s="73"/>
      <c r="CV3206" s="73"/>
      <c r="CW3206" s="73"/>
      <c r="CX3206" s="73"/>
      <c r="DA3206" s="650"/>
    </row>
    <row r="3207" spans="1:105" s="45" customFormat="1" x14ac:dyDescent="0.2">
      <c r="A3207" s="650"/>
      <c r="B3207" s="438"/>
      <c r="D3207" s="73"/>
      <c r="E3207" s="650"/>
      <c r="F3207" s="650"/>
      <c r="G3207" s="73"/>
      <c r="I3207" s="111"/>
      <c r="J3207" s="81"/>
      <c r="K3207" s="81"/>
      <c r="L3207" s="499"/>
      <c r="M3207" s="73"/>
      <c r="N3207" s="499"/>
      <c r="O3207" s="73"/>
      <c r="P3207" s="73"/>
      <c r="Q3207" s="73"/>
      <c r="R3207" s="176"/>
      <c r="S3207" s="176"/>
      <c r="T3207" s="176"/>
      <c r="U3207" s="400"/>
      <c r="V3207" s="400"/>
      <c r="W3207" s="732"/>
      <c r="X3207" s="167"/>
      <c r="Y3207" s="509"/>
      <c r="Z3207" s="466"/>
      <c r="AA3207" s="466"/>
      <c r="AB3207" s="466"/>
      <c r="AC3207" s="466"/>
      <c r="AD3207" s="466"/>
      <c r="AE3207" s="466"/>
      <c r="AF3207" s="466"/>
      <c r="AG3207" s="466"/>
      <c r="AH3207" s="466"/>
      <c r="AI3207" s="466"/>
      <c r="AJ3207" s="466"/>
      <c r="AK3207" s="466"/>
      <c r="AL3207" s="466"/>
      <c r="AM3207" s="466"/>
      <c r="AN3207" s="466"/>
      <c r="AO3207" s="466"/>
      <c r="AP3207" s="466"/>
      <c r="AQ3207" s="466"/>
      <c r="AR3207" s="466"/>
      <c r="AS3207" s="466"/>
      <c r="AT3207" s="466"/>
      <c r="AU3207" s="466"/>
      <c r="AV3207" s="466"/>
      <c r="AW3207" s="466"/>
      <c r="AX3207" s="466"/>
      <c r="AY3207" s="466"/>
      <c r="AZ3207" s="466"/>
      <c r="BA3207" s="466"/>
      <c r="BB3207" s="466"/>
      <c r="BC3207" s="466"/>
      <c r="BD3207" s="466"/>
      <c r="BE3207" s="467"/>
      <c r="BF3207" s="467"/>
      <c r="BG3207" s="466"/>
      <c r="BH3207" s="466"/>
      <c r="BI3207" s="467"/>
      <c r="BJ3207" s="467"/>
      <c r="BK3207" s="467"/>
      <c r="BL3207" s="467"/>
      <c r="BM3207" s="467"/>
      <c r="BN3207" s="467"/>
      <c r="BO3207" s="467"/>
      <c r="BP3207" s="467"/>
      <c r="BQ3207" s="467"/>
      <c r="BR3207" s="467"/>
      <c r="BS3207" s="467"/>
      <c r="BT3207" s="467"/>
      <c r="BU3207" s="467"/>
      <c r="BV3207" s="467"/>
      <c r="BW3207" s="467"/>
      <c r="BX3207" s="769"/>
      <c r="BY3207" s="769"/>
      <c r="BZ3207" s="769"/>
      <c r="CA3207" s="769"/>
      <c r="CB3207" s="769"/>
      <c r="CC3207" s="769"/>
      <c r="CD3207" s="769"/>
      <c r="CE3207" s="769"/>
      <c r="CF3207" s="769"/>
      <c r="CG3207" s="73"/>
      <c r="CH3207" s="438"/>
      <c r="CI3207" s="416"/>
      <c r="CJ3207" s="73"/>
      <c r="CK3207" s="650"/>
      <c r="CL3207" s="499"/>
      <c r="CM3207" s="650"/>
      <c r="CR3207" s="416"/>
      <c r="CS3207" s="650"/>
      <c r="CU3207" s="73"/>
      <c r="CV3207" s="73"/>
      <c r="CW3207" s="73"/>
      <c r="CX3207" s="73"/>
      <c r="DA3207" s="650"/>
    </row>
    <row r="3208" spans="1:105" s="45" customFormat="1" x14ac:dyDescent="0.2">
      <c r="A3208" s="650"/>
      <c r="B3208" s="438"/>
      <c r="D3208" s="73"/>
      <c r="E3208" s="650"/>
      <c r="F3208" s="650"/>
      <c r="G3208" s="73"/>
      <c r="I3208" s="111"/>
      <c r="J3208" s="81"/>
      <c r="K3208" s="81"/>
      <c r="L3208" s="499"/>
      <c r="M3208" s="73"/>
      <c r="N3208" s="499"/>
      <c r="O3208" s="73"/>
      <c r="P3208" s="73"/>
      <c r="Q3208" s="73"/>
      <c r="R3208" s="176"/>
      <c r="S3208" s="176"/>
      <c r="T3208" s="176"/>
      <c r="U3208" s="400"/>
      <c r="V3208" s="400"/>
      <c r="W3208" s="732"/>
      <c r="X3208" s="167"/>
      <c r="Y3208" s="509"/>
      <c r="Z3208" s="466"/>
      <c r="AA3208" s="466"/>
      <c r="AB3208" s="466"/>
      <c r="AC3208" s="466"/>
      <c r="AD3208" s="466"/>
      <c r="AE3208" s="466"/>
      <c r="AF3208" s="466"/>
      <c r="AG3208" s="466"/>
      <c r="AH3208" s="466"/>
      <c r="AI3208" s="466"/>
      <c r="AJ3208" s="466"/>
      <c r="AK3208" s="466"/>
      <c r="AL3208" s="466"/>
      <c r="AM3208" s="466"/>
      <c r="AN3208" s="466"/>
      <c r="AO3208" s="466"/>
      <c r="AP3208" s="466"/>
      <c r="AQ3208" s="466"/>
      <c r="AR3208" s="466"/>
      <c r="AS3208" s="466"/>
      <c r="AT3208" s="466"/>
      <c r="AU3208" s="466"/>
      <c r="AV3208" s="466"/>
      <c r="AW3208" s="466"/>
      <c r="AX3208" s="466"/>
      <c r="AY3208" s="466"/>
      <c r="AZ3208" s="466"/>
      <c r="BA3208" s="466"/>
      <c r="BB3208" s="466"/>
      <c r="BC3208" s="466"/>
      <c r="BD3208" s="466"/>
      <c r="BE3208" s="467"/>
      <c r="BF3208" s="467"/>
      <c r="BG3208" s="466"/>
      <c r="BH3208" s="466"/>
      <c r="BI3208" s="467"/>
      <c r="BJ3208" s="467"/>
      <c r="BK3208" s="467"/>
      <c r="BL3208" s="467"/>
      <c r="BM3208" s="467"/>
      <c r="BN3208" s="467"/>
      <c r="BO3208" s="467"/>
      <c r="BP3208" s="467"/>
      <c r="BQ3208" s="467"/>
      <c r="BR3208" s="467"/>
      <c r="BS3208" s="467"/>
      <c r="BT3208" s="467"/>
      <c r="BU3208" s="467"/>
      <c r="BV3208" s="467"/>
      <c r="BW3208" s="467"/>
      <c r="BX3208" s="769"/>
      <c r="BY3208" s="769"/>
      <c r="BZ3208" s="769"/>
      <c r="CA3208" s="769"/>
      <c r="CB3208" s="769"/>
      <c r="CC3208" s="769"/>
      <c r="CD3208" s="769"/>
      <c r="CE3208" s="769"/>
      <c r="CF3208" s="769"/>
      <c r="CG3208" s="73"/>
      <c r="CH3208" s="438"/>
      <c r="CI3208" s="416"/>
      <c r="CJ3208" s="73"/>
      <c r="CK3208" s="650"/>
      <c r="CL3208" s="499"/>
      <c r="CM3208" s="650"/>
      <c r="CR3208" s="416"/>
      <c r="CS3208" s="650"/>
      <c r="CU3208" s="73"/>
      <c r="CV3208" s="73"/>
      <c r="CW3208" s="73"/>
      <c r="CX3208" s="73"/>
      <c r="DA3208" s="650"/>
    </row>
    <row r="3209" spans="1:105" s="45" customFormat="1" x14ac:dyDescent="0.2">
      <c r="A3209" s="650"/>
      <c r="B3209" s="438"/>
      <c r="D3209" s="73"/>
      <c r="E3209" s="650"/>
      <c r="F3209" s="650"/>
      <c r="G3209" s="73"/>
      <c r="I3209" s="111"/>
      <c r="J3209" s="81"/>
      <c r="K3209" s="81"/>
      <c r="L3209" s="499"/>
      <c r="M3209" s="73"/>
      <c r="N3209" s="499"/>
      <c r="O3209" s="73"/>
      <c r="P3209" s="73"/>
      <c r="Q3209" s="73"/>
      <c r="R3209" s="176"/>
      <c r="S3209" s="176"/>
      <c r="T3209" s="176"/>
      <c r="U3209" s="400"/>
      <c r="V3209" s="400"/>
      <c r="W3209" s="732"/>
      <c r="X3209" s="167"/>
      <c r="Y3209" s="509"/>
      <c r="Z3209" s="466"/>
      <c r="AA3209" s="466"/>
      <c r="AB3209" s="466"/>
      <c r="AC3209" s="466"/>
      <c r="AD3209" s="466"/>
      <c r="AE3209" s="466"/>
      <c r="AF3209" s="466"/>
      <c r="AG3209" s="466"/>
      <c r="AH3209" s="466"/>
      <c r="AI3209" s="466"/>
      <c r="AJ3209" s="466"/>
      <c r="AK3209" s="466"/>
      <c r="AL3209" s="466"/>
      <c r="AM3209" s="466"/>
      <c r="AN3209" s="466"/>
      <c r="AO3209" s="466"/>
      <c r="AP3209" s="466"/>
      <c r="AQ3209" s="466"/>
      <c r="AR3209" s="466"/>
      <c r="AS3209" s="466"/>
      <c r="AT3209" s="466"/>
      <c r="AU3209" s="466"/>
      <c r="AV3209" s="466"/>
      <c r="AW3209" s="466"/>
      <c r="AX3209" s="466"/>
      <c r="AY3209" s="466"/>
      <c r="AZ3209" s="466"/>
      <c r="BA3209" s="466"/>
      <c r="BB3209" s="466"/>
      <c r="BC3209" s="466"/>
      <c r="BD3209" s="466"/>
      <c r="BE3209" s="467"/>
      <c r="BF3209" s="467"/>
      <c r="BG3209" s="466"/>
      <c r="BH3209" s="466"/>
      <c r="BI3209" s="467"/>
      <c r="BJ3209" s="467"/>
      <c r="BK3209" s="467"/>
      <c r="BL3209" s="467"/>
      <c r="BM3209" s="467"/>
      <c r="BN3209" s="467"/>
      <c r="BO3209" s="467"/>
      <c r="BP3209" s="467"/>
      <c r="BQ3209" s="467"/>
      <c r="BR3209" s="467"/>
      <c r="BS3209" s="467"/>
      <c r="BT3209" s="467"/>
      <c r="BU3209" s="467"/>
      <c r="BV3209" s="467"/>
      <c r="BW3209" s="467"/>
      <c r="BX3209" s="769"/>
      <c r="BY3209" s="769"/>
      <c r="BZ3209" s="769"/>
      <c r="CA3209" s="769"/>
      <c r="CB3209" s="769"/>
      <c r="CC3209" s="769"/>
      <c r="CD3209" s="769"/>
      <c r="CE3209" s="769"/>
      <c r="CF3209" s="769"/>
      <c r="CG3209" s="73"/>
      <c r="CH3209" s="438"/>
      <c r="CI3209" s="416"/>
      <c r="CJ3209" s="73"/>
      <c r="CK3209" s="650"/>
      <c r="CL3209" s="499"/>
      <c r="CM3209" s="650"/>
      <c r="CR3209" s="416"/>
      <c r="CS3209" s="650"/>
      <c r="CU3209" s="73"/>
      <c r="CV3209" s="73"/>
      <c r="CW3209" s="73"/>
      <c r="CX3209" s="73"/>
      <c r="DA3209" s="650"/>
    </row>
    <row r="3210" spans="1:105" s="45" customFormat="1" x14ac:dyDescent="0.2">
      <c r="A3210" s="650"/>
      <c r="B3210" s="438"/>
      <c r="D3210" s="73"/>
      <c r="E3210" s="650"/>
      <c r="F3210" s="650"/>
      <c r="G3210" s="73"/>
      <c r="I3210" s="111"/>
      <c r="J3210" s="81"/>
      <c r="K3210" s="81"/>
      <c r="L3210" s="499"/>
      <c r="M3210" s="73"/>
      <c r="N3210" s="499"/>
      <c r="O3210" s="73"/>
      <c r="P3210" s="73"/>
      <c r="Q3210" s="73"/>
      <c r="R3210" s="176"/>
      <c r="S3210" s="176"/>
      <c r="T3210" s="176"/>
      <c r="U3210" s="400"/>
      <c r="V3210" s="400"/>
      <c r="W3210" s="732"/>
      <c r="X3210" s="167"/>
      <c r="Y3210" s="509"/>
      <c r="Z3210" s="466"/>
      <c r="AA3210" s="466"/>
      <c r="AB3210" s="466"/>
      <c r="AC3210" s="466"/>
      <c r="AD3210" s="466"/>
      <c r="AE3210" s="466"/>
      <c r="AF3210" s="466"/>
      <c r="AG3210" s="466"/>
      <c r="AH3210" s="466"/>
      <c r="AI3210" s="466"/>
      <c r="AJ3210" s="466"/>
      <c r="AK3210" s="466"/>
      <c r="AL3210" s="466"/>
      <c r="AM3210" s="466"/>
      <c r="AN3210" s="466"/>
      <c r="AO3210" s="466"/>
      <c r="AP3210" s="466"/>
      <c r="AQ3210" s="466"/>
      <c r="AR3210" s="466"/>
      <c r="AS3210" s="466"/>
      <c r="AT3210" s="466"/>
      <c r="AU3210" s="466"/>
      <c r="AV3210" s="466"/>
      <c r="AW3210" s="466"/>
      <c r="AX3210" s="466"/>
      <c r="AY3210" s="466"/>
      <c r="AZ3210" s="466"/>
      <c r="BA3210" s="466"/>
      <c r="BB3210" s="466"/>
      <c r="BC3210" s="466"/>
      <c r="BD3210" s="466"/>
      <c r="BE3210" s="467"/>
      <c r="BF3210" s="467"/>
      <c r="BG3210" s="466"/>
      <c r="BH3210" s="466"/>
      <c r="BI3210" s="467"/>
      <c r="BJ3210" s="467"/>
      <c r="BK3210" s="467"/>
      <c r="BL3210" s="467"/>
      <c r="BM3210" s="467"/>
      <c r="BN3210" s="467"/>
      <c r="BO3210" s="467"/>
      <c r="BP3210" s="467"/>
      <c r="BQ3210" s="467"/>
      <c r="BR3210" s="467"/>
      <c r="BS3210" s="467"/>
      <c r="BT3210" s="467"/>
      <c r="BU3210" s="467"/>
      <c r="BV3210" s="467"/>
      <c r="BW3210" s="467"/>
      <c r="BX3210" s="769"/>
      <c r="BY3210" s="769"/>
      <c r="BZ3210" s="769"/>
      <c r="CA3210" s="769"/>
      <c r="CB3210" s="769"/>
      <c r="CC3210" s="769"/>
      <c r="CD3210" s="769"/>
      <c r="CE3210" s="769"/>
      <c r="CF3210" s="769"/>
      <c r="CG3210" s="73"/>
      <c r="CH3210" s="438"/>
      <c r="CI3210" s="416"/>
      <c r="CJ3210" s="73"/>
      <c r="CK3210" s="650"/>
      <c r="CL3210" s="499"/>
      <c r="CM3210" s="650"/>
      <c r="CR3210" s="416"/>
      <c r="CS3210" s="650"/>
      <c r="CU3210" s="73"/>
      <c r="CV3210" s="73"/>
      <c r="CW3210" s="73"/>
      <c r="CX3210" s="73"/>
      <c r="DA3210" s="650"/>
    </row>
    <row r="3211" spans="1:105" s="45" customFormat="1" x14ac:dyDescent="0.2">
      <c r="A3211" s="650"/>
      <c r="B3211" s="438"/>
      <c r="D3211" s="73"/>
      <c r="E3211" s="650"/>
      <c r="F3211" s="650"/>
      <c r="G3211" s="73"/>
      <c r="I3211" s="111"/>
      <c r="J3211" s="81"/>
      <c r="K3211" s="81"/>
      <c r="L3211" s="499"/>
      <c r="M3211" s="73"/>
      <c r="N3211" s="499"/>
      <c r="O3211" s="73"/>
      <c r="P3211" s="73"/>
      <c r="Q3211" s="73"/>
      <c r="R3211" s="176"/>
      <c r="S3211" s="176"/>
      <c r="T3211" s="176"/>
      <c r="U3211" s="400"/>
      <c r="V3211" s="400"/>
      <c r="W3211" s="732"/>
      <c r="X3211" s="167"/>
      <c r="Y3211" s="509"/>
      <c r="Z3211" s="466"/>
      <c r="AA3211" s="466"/>
      <c r="AB3211" s="466"/>
      <c r="AC3211" s="466"/>
      <c r="AD3211" s="466"/>
      <c r="AE3211" s="466"/>
      <c r="AF3211" s="466"/>
      <c r="AG3211" s="466"/>
      <c r="AH3211" s="466"/>
      <c r="AI3211" s="466"/>
      <c r="AJ3211" s="466"/>
      <c r="AK3211" s="466"/>
      <c r="AL3211" s="466"/>
      <c r="AM3211" s="466"/>
      <c r="AN3211" s="466"/>
      <c r="AO3211" s="466"/>
      <c r="AP3211" s="466"/>
      <c r="AQ3211" s="466"/>
      <c r="AR3211" s="466"/>
      <c r="AS3211" s="466"/>
      <c r="AT3211" s="466"/>
      <c r="AU3211" s="466"/>
      <c r="AV3211" s="466"/>
      <c r="AW3211" s="466"/>
      <c r="AX3211" s="466"/>
      <c r="AY3211" s="466"/>
      <c r="AZ3211" s="466"/>
      <c r="BA3211" s="466"/>
      <c r="BB3211" s="466"/>
      <c r="BC3211" s="466"/>
      <c r="BD3211" s="466"/>
      <c r="BE3211" s="467"/>
      <c r="BF3211" s="467"/>
      <c r="BG3211" s="466"/>
      <c r="BH3211" s="466"/>
      <c r="BI3211" s="467"/>
      <c r="BJ3211" s="467"/>
      <c r="BK3211" s="467"/>
      <c r="BL3211" s="467"/>
      <c r="BM3211" s="467"/>
      <c r="BN3211" s="467"/>
      <c r="BO3211" s="467"/>
      <c r="BP3211" s="467"/>
      <c r="BQ3211" s="467"/>
      <c r="BR3211" s="467"/>
      <c r="BS3211" s="467"/>
      <c r="BT3211" s="467"/>
      <c r="BU3211" s="467"/>
      <c r="BV3211" s="467"/>
      <c r="BW3211" s="467"/>
      <c r="BX3211" s="769"/>
      <c r="BY3211" s="769"/>
      <c r="BZ3211" s="769"/>
      <c r="CA3211" s="769"/>
      <c r="CB3211" s="769"/>
      <c r="CC3211" s="769"/>
      <c r="CD3211" s="769"/>
      <c r="CE3211" s="769"/>
      <c r="CF3211" s="769"/>
      <c r="CG3211" s="73"/>
      <c r="CH3211" s="438"/>
      <c r="CI3211" s="416"/>
      <c r="CJ3211" s="73"/>
      <c r="CK3211" s="650"/>
      <c r="CL3211" s="499"/>
      <c r="CM3211" s="650"/>
      <c r="CR3211" s="416"/>
      <c r="CS3211" s="650"/>
      <c r="CU3211" s="73"/>
      <c r="CV3211" s="73"/>
      <c r="CW3211" s="73"/>
      <c r="CX3211" s="73"/>
      <c r="DA3211" s="650"/>
    </row>
    <row r="3212" spans="1:105" s="45" customFormat="1" x14ac:dyDescent="0.2">
      <c r="A3212" s="650"/>
      <c r="B3212" s="438"/>
      <c r="D3212" s="73"/>
      <c r="E3212" s="650"/>
      <c r="F3212" s="650"/>
      <c r="G3212" s="73"/>
      <c r="I3212" s="111"/>
      <c r="J3212" s="81"/>
      <c r="K3212" s="81"/>
      <c r="L3212" s="499"/>
      <c r="M3212" s="73"/>
      <c r="N3212" s="499"/>
      <c r="O3212" s="73"/>
      <c r="P3212" s="73"/>
      <c r="Q3212" s="73"/>
      <c r="R3212" s="176"/>
      <c r="S3212" s="176"/>
      <c r="T3212" s="176"/>
      <c r="U3212" s="400"/>
      <c r="V3212" s="400"/>
      <c r="W3212" s="732"/>
      <c r="X3212" s="167"/>
      <c r="Y3212" s="509"/>
      <c r="Z3212" s="466"/>
      <c r="AA3212" s="466"/>
      <c r="AB3212" s="466"/>
      <c r="AC3212" s="466"/>
      <c r="AD3212" s="466"/>
      <c r="AE3212" s="466"/>
      <c r="AF3212" s="466"/>
      <c r="AG3212" s="466"/>
      <c r="AH3212" s="466"/>
      <c r="AI3212" s="466"/>
      <c r="AJ3212" s="466"/>
      <c r="AK3212" s="466"/>
      <c r="AL3212" s="466"/>
      <c r="AM3212" s="466"/>
      <c r="AN3212" s="466"/>
      <c r="AO3212" s="466"/>
      <c r="AP3212" s="466"/>
      <c r="AQ3212" s="466"/>
      <c r="AR3212" s="466"/>
      <c r="AS3212" s="466"/>
      <c r="AT3212" s="466"/>
      <c r="AU3212" s="466"/>
      <c r="AV3212" s="466"/>
      <c r="AW3212" s="466"/>
      <c r="AX3212" s="466"/>
      <c r="AY3212" s="466"/>
      <c r="AZ3212" s="466"/>
      <c r="BA3212" s="466"/>
      <c r="BB3212" s="466"/>
      <c r="BC3212" s="466"/>
      <c r="BD3212" s="466"/>
      <c r="BE3212" s="467"/>
      <c r="BF3212" s="467"/>
      <c r="BG3212" s="466"/>
      <c r="BH3212" s="466"/>
      <c r="BI3212" s="467"/>
      <c r="BJ3212" s="467"/>
      <c r="BK3212" s="467"/>
      <c r="BL3212" s="467"/>
      <c r="BM3212" s="467"/>
      <c r="BN3212" s="467"/>
      <c r="BO3212" s="467"/>
      <c r="BP3212" s="467"/>
      <c r="BQ3212" s="467"/>
      <c r="BR3212" s="467"/>
      <c r="BS3212" s="467"/>
      <c r="BT3212" s="467"/>
      <c r="BU3212" s="467"/>
      <c r="BV3212" s="467"/>
      <c r="BW3212" s="467"/>
      <c r="BX3212" s="769"/>
      <c r="BY3212" s="769"/>
      <c r="BZ3212" s="769"/>
      <c r="CA3212" s="769"/>
      <c r="CB3212" s="769"/>
      <c r="CC3212" s="769"/>
      <c r="CD3212" s="769"/>
      <c r="CE3212" s="769"/>
      <c r="CF3212" s="769"/>
      <c r="CG3212" s="73"/>
      <c r="CH3212" s="438"/>
      <c r="CI3212" s="416"/>
      <c r="CJ3212" s="73"/>
      <c r="CK3212" s="650"/>
      <c r="CL3212" s="499"/>
      <c r="CM3212" s="650"/>
      <c r="CR3212" s="416"/>
      <c r="CS3212" s="650"/>
      <c r="CU3212" s="73"/>
      <c r="CV3212" s="73"/>
      <c r="CW3212" s="73"/>
      <c r="CX3212" s="73"/>
      <c r="DA3212" s="650"/>
    </row>
    <row r="3213" spans="1:105" s="45" customFormat="1" x14ac:dyDescent="0.2">
      <c r="A3213" s="650"/>
      <c r="B3213" s="438"/>
      <c r="D3213" s="73"/>
      <c r="E3213" s="650"/>
      <c r="F3213" s="650"/>
      <c r="G3213" s="73"/>
      <c r="I3213" s="111"/>
      <c r="J3213" s="81"/>
      <c r="K3213" s="81"/>
      <c r="L3213" s="499"/>
      <c r="M3213" s="73"/>
      <c r="N3213" s="499"/>
      <c r="O3213" s="73"/>
      <c r="P3213" s="73"/>
      <c r="Q3213" s="73"/>
      <c r="R3213" s="176"/>
      <c r="S3213" s="176"/>
      <c r="T3213" s="176"/>
      <c r="U3213" s="400"/>
      <c r="V3213" s="400"/>
      <c r="W3213" s="732"/>
      <c r="X3213" s="167"/>
      <c r="Y3213" s="509"/>
      <c r="Z3213" s="466"/>
      <c r="AA3213" s="466"/>
      <c r="AB3213" s="466"/>
      <c r="AC3213" s="466"/>
      <c r="AD3213" s="466"/>
      <c r="AE3213" s="466"/>
      <c r="AF3213" s="466"/>
      <c r="AG3213" s="466"/>
      <c r="AH3213" s="466"/>
      <c r="AI3213" s="466"/>
      <c r="AJ3213" s="466"/>
      <c r="AK3213" s="466"/>
      <c r="AL3213" s="466"/>
      <c r="AM3213" s="466"/>
      <c r="AN3213" s="466"/>
      <c r="AO3213" s="466"/>
      <c r="AP3213" s="466"/>
      <c r="AQ3213" s="466"/>
      <c r="AR3213" s="466"/>
      <c r="AS3213" s="466"/>
      <c r="AT3213" s="466"/>
      <c r="AU3213" s="466"/>
      <c r="AV3213" s="466"/>
      <c r="AW3213" s="466"/>
      <c r="AX3213" s="466"/>
      <c r="AY3213" s="466"/>
      <c r="AZ3213" s="466"/>
      <c r="BA3213" s="466"/>
      <c r="BB3213" s="466"/>
      <c r="BC3213" s="466"/>
      <c r="BD3213" s="466"/>
      <c r="BE3213" s="467"/>
      <c r="BF3213" s="467"/>
      <c r="BG3213" s="466"/>
      <c r="BH3213" s="466"/>
      <c r="BI3213" s="467"/>
      <c r="BJ3213" s="467"/>
      <c r="BK3213" s="467"/>
      <c r="BL3213" s="467"/>
      <c r="BM3213" s="467"/>
      <c r="BN3213" s="467"/>
      <c r="BO3213" s="467"/>
      <c r="BP3213" s="467"/>
      <c r="BQ3213" s="467"/>
      <c r="BR3213" s="467"/>
      <c r="BS3213" s="467"/>
      <c r="BT3213" s="467"/>
      <c r="BU3213" s="467"/>
      <c r="BV3213" s="467"/>
      <c r="BW3213" s="467"/>
      <c r="BX3213" s="769"/>
      <c r="BY3213" s="769"/>
      <c r="BZ3213" s="769"/>
      <c r="CA3213" s="769"/>
      <c r="CB3213" s="769"/>
      <c r="CC3213" s="769"/>
      <c r="CD3213" s="769"/>
      <c r="CE3213" s="769"/>
      <c r="CF3213" s="769"/>
      <c r="CG3213" s="73"/>
      <c r="CH3213" s="438"/>
      <c r="CI3213" s="416"/>
      <c r="CJ3213" s="73"/>
      <c r="CK3213" s="650"/>
      <c r="CL3213" s="499"/>
      <c r="CM3213" s="650"/>
      <c r="CR3213" s="416"/>
      <c r="CS3213" s="650"/>
      <c r="CU3213" s="73"/>
      <c r="CV3213" s="73"/>
      <c r="CW3213" s="73"/>
      <c r="CX3213" s="73"/>
      <c r="DA3213" s="650"/>
    </row>
    <row r="3214" spans="1:105" s="45" customFormat="1" x14ac:dyDescent="0.2">
      <c r="A3214" s="650"/>
      <c r="B3214" s="438"/>
      <c r="D3214" s="73"/>
      <c r="E3214" s="650"/>
      <c r="F3214" s="650"/>
      <c r="G3214" s="73"/>
      <c r="I3214" s="111"/>
      <c r="J3214" s="81"/>
      <c r="K3214" s="81"/>
      <c r="L3214" s="499"/>
      <c r="M3214" s="73"/>
      <c r="N3214" s="499"/>
      <c r="O3214" s="73"/>
      <c r="P3214" s="73"/>
      <c r="Q3214" s="73"/>
      <c r="R3214" s="176"/>
      <c r="S3214" s="176"/>
      <c r="T3214" s="176"/>
      <c r="U3214" s="400"/>
      <c r="V3214" s="400"/>
      <c r="W3214" s="732"/>
      <c r="X3214" s="167"/>
      <c r="Y3214" s="509"/>
      <c r="Z3214" s="466"/>
      <c r="AA3214" s="466"/>
      <c r="AB3214" s="466"/>
      <c r="AC3214" s="466"/>
      <c r="AD3214" s="466"/>
      <c r="AE3214" s="466"/>
      <c r="AF3214" s="466"/>
      <c r="AG3214" s="466"/>
      <c r="AH3214" s="466"/>
      <c r="AI3214" s="466"/>
      <c r="AJ3214" s="466"/>
      <c r="AK3214" s="466"/>
      <c r="AL3214" s="466"/>
      <c r="AM3214" s="466"/>
      <c r="AN3214" s="466"/>
      <c r="AO3214" s="466"/>
      <c r="AP3214" s="466"/>
      <c r="AQ3214" s="466"/>
      <c r="AR3214" s="466"/>
      <c r="AS3214" s="466"/>
      <c r="AT3214" s="466"/>
      <c r="AU3214" s="466"/>
      <c r="AV3214" s="466"/>
      <c r="AW3214" s="466"/>
      <c r="AX3214" s="466"/>
      <c r="AY3214" s="466"/>
      <c r="AZ3214" s="466"/>
      <c r="BA3214" s="466"/>
      <c r="BB3214" s="466"/>
      <c r="BC3214" s="466"/>
      <c r="BD3214" s="466"/>
      <c r="BE3214" s="467"/>
      <c r="BF3214" s="467"/>
      <c r="BG3214" s="466"/>
      <c r="BH3214" s="466"/>
      <c r="BI3214" s="467"/>
      <c r="BJ3214" s="467"/>
      <c r="BK3214" s="467"/>
      <c r="BL3214" s="467"/>
      <c r="BM3214" s="467"/>
      <c r="BN3214" s="467"/>
      <c r="BO3214" s="467"/>
      <c r="BP3214" s="467"/>
      <c r="BQ3214" s="467"/>
      <c r="BR3214" s="467"/>
      <c r="BS3214" s="467"/>
      <c r="BT3214" s="467"/>
      <c r="BU3214" s="467"/>
      <c r="BV3214" s="467"/>
      <c r="BW3214" s="467"/>
      <c r="BX3214" s="769"/>
      <c r="BY3214" s="769"/>
      <c r="BZ3214" s="769"/>
      <c r="CA3214" s="769"/>
      <c r="CB3214" s="769"/>
      <c r="CC3214" s="769"/>
      <c r="CD3214" s="769"/>
      <c r="CE3214" s="769"/>
      <c r="CF3214" s="769"/>
      <c r="CG3214" s="73"/>
      <c r="CH3214" s="438"/>
      <c r="CI3214" s="416"/>
      <c r="CJ3214" s="73"/>
      <c r="CK3214" s="650"/>
      <c r="CL3214" s="499"/>
      <c r="CM3214" s="650"/>
      <c r="CR3214" s="416"/>
      <c r="CS3214" s="650"/>
      <c r="CU3214" s="73"/>
      <c r="CV3214" s="73"/>
      <c r="CW3214" s="73"/>
      <c r="CX3214" s="73"/>
      <c r="DA3214" s="650"/>
    </row>
    <row r="3215" spans="1:105" s="45" customFormat="1" x14ac:dyDescent="0.2">
      <c r="A3215" s="650"/>
      <c r="B3215" s="438"/>
      <c r="D3215" s="73"/>
      <c r="E3215" s="650"/>
      <c r="F3215" s="650"/>
      <c r="G3215" s="73"/>
      <c r="I3215" s="111"/>
      <c r="J3215" s="81"/>
      <c r="K3215" s="81"/>
      <c r="L3215" s="499"/>
      <c r="M3215" s="73"/>
      <c r="N3215" s="499"/>
      <c r="O3215" s="73"/>
      <c r="P3215" s="73"/>
      <c r="Q3215" s="73"/>
      <c r="R3215" s="176"/>
      <c r="S3215" s="176"/>
      <c r="T3215" s="176"/>
      <c r="U3215" s="400"/>
      <c r="V3215" s="400"/>
      <c r="W3215" s="732"/>
      <c r="X3215" s="167"/>
      <c r="Y3215" s="509"/>
      <c r="Z3215" s="466"/>
      <c r="AA3215" s="466"/>
      <c r="AB3215" s="466"/>
      <c r="AC3215" s="466"/>
      <c r="AD3215" s="466"/>
      <c r="AE3215" s="466"/>
      <c r="AF3215" s="466"/>
      <c r="AG3215" s="466"/>
      <c r="AH3215" s="466"/>
      <c r="AI3215" s="466"/>
      <c r="AJ3215" s="466"/>
      <c r="AK3215" s="466"/>
      <c r="AL3215" s="466"/>
      <c r="AM3215" s="466"/>
      <c r="AN3215" s="466"/>
      <c r="AO3215" s="466"/>
      <c r="AP3215" s="466"/>
      <c r="AQ3215" s="466"/>
      <c r="AR3215" s="466"/>
      <c r="AS3215" s="466"/>
      <c r="AT3215" s="466"/>
      <c r="AU3215" s="466"/>
      <c r="AV3215" s="466"/>
      <c r="AW3215" s="466"/>
      <c r="AX3215" s="466"/>
      <c r="AY3215" s="466"/>
      <c r="AZ3215" s="466"/>
      <c r="BA3215" s="466"/>
      <c r="BB3215" s="466"/>
      <c r="BC3215" s="466"/>
      <c r="BD3215" s="466"/>
      <c r="BE3215" s="467"/>
      <c r="BF3215" s="467"/>
      <c r="BG3215" s="466"/>
      <c r="BH3215" s="466"/>
      <c r="BI3215" s="467"/>
      <c r="BJ3215" s="467"/>
      <c r="BK3215" s="467"/>
      <c r="BL3215" s="467"/>
      <c r="BM3215" s="467"/>
      <c r="BN3215" s="467"/>
      <c r="BO3215" s="467"/>
      <c r="BP3215" s="467"/>
      <c r="BQ3215" s="467"/>
      <c r="BR3215" s="467"/>
      <c r="BS3215" s="467"/>
      <c r="BT3215" s="467"/>
      <c r="BU3215" s="467"/>
      <c r="BV3215" s="467"/>
      <c r="BW3215" s="467"/>
      <c r="BX3215" s="769"/>
      <c r="BY3215" s="769"/>
      <c r="BZ3215" s="769"/>
      <c r="CA3215" s="769"/>
      <c r="CB3215" s="769"/>
      <c r="CC3215" s="769"/>
      <c r="CD3215" s="769"/>
      <c r="CE3215" s="769"/>
      <c r="CF3215" s="769"/>
      <c r="CG3215" s="73"/>
      <c r="CH3215" s="438"/>
      <c r="CI3215" s="416"/>
      <c r="CJ3215" s="73"/>
      <c r="CK3215" s="650"/>
      <c r="CL3215" s="499"/>
      <c r="CM3215" s="650"/>
      <c r="CR3215" s="416"/>
      <c r="CS3215" s="650"/>
      <c r="CU3215" s="73"/>
      <c r="CV3215" s="73"/>
      <c r="CW3215" s="73"/>
      <c r="CX3215" s="73"/>
      <c r="DA3215" s="650"/>
    </row>
    <row r="3216" spans="1:105" s="45" customFormat="1" x14ac:dyDescent="0.2">
      <c r="A3216" s="650"/>
      <c r="B3216" s="438"/>
      <c r="D3216" s="73"/>
      <c r="E3216" s="650"/>
      <c r="F3216" s="650"/>
      <c r="G3216" s="73"/>
      <c r="I3216" s="111"/>
      <c r="J3216" s="81"/>
      <c r="K3216" s="81"/>
      <c r="L3216" s="499"/>
      <c r="M3216" s="73"/>
      <c r="N3216" s="499"/>
      <c r="O3216" s="73"/>
      <c r="P3216" s="73"/>
      <c r="Q3216" s="73"/>
      <c r="R3216" s="176"/>
      <c r="S3216" s="176"/>
      <c r="T3216" s="176"/>
      <c r="U3216" s="400"/>
      <c r="V3216" s="400"/>
      <c r="W3216" s="732"/>
      <c r="X3216" s="167"/>
      <c r="Y3216" s="509"/>
      <c r="Z3216" s="466"/>
      <c r="AA3216" s="466"/>
      <c r="AB3216" s="466"/>
      <c r="AC3216" s="466"/>
      <c r="AD3216" s="466"/>
      <c r="AE3216" s="466"/>
      <c r="AF3216" s="466"/>
      <c r="AG3216" s="466"/>
      <c r="AH3216" s="466"/>
      <c r="AI3216" s="466"/>
      <c r="AJ3216" s="466"/>
      <c r="AK3216" s="466"/>
      <c r="AL3216" s="466"/>
      <c r="AM3216" s="466"/>
      <c r="AN3216" s="466"/>
      <c r="AO3216" s="466"/>
      <c r="AP3216" s="466"/>
      <c r="AQ3216" s="466"/>
      <c r="AR3216" s="466"/>
      <c r="AS3216" s="466"/>
      <c r="AT3216" s="466"/>
      <c r="AU3216" s="466"/>
      <c r="AV3216" s="466"/>
      <c r="AW3216" s="466"/>
      <c r="AX3216" s="466"/>
      <c r="AY3216" s="466"/>
      <c r="AZ3216" s="466"/>
      <c r="BA3216" s="466"/>
      <c r="BB3216" s="466"/>
      <c r="BC3216" s="466"/>
      <c r="BD3216" s="466"/>
      <c r="BE3216" s="467"/>
      <c r="BF3216" s="467"/>
      <c r="BG3216" s="466"/>
      <c r="BH3216" s="466"/>
      <c r="BI3216" s="467"/>
      <c r="BJ3216" s="467"/>
      <c r="BK3216" s="467"/>
      <c r="BL3216" s="467"/>
      <c r="BM3216" s="467"/>
      <c r="BN3216" s="467"/>
      <c r="BO3216" s="467"/>
      <c r="BP3216" s="467"/>
      <c r="BQ3216" s="467"/>
      <c r="BR3216" s="467"/>
      <c r="BS3216" s="467"/>
      <c r="BT3216" s="467"/>
      <c r="BU3216" s="467"/>
      <c r="BV3216" s="467"/>
      <c r="BW3216" s="467"/>
      <c r="BX3216" s="769"/>
      <c r="BY3216" s="769"/>
      <c r="BZ3216" s="769"/>
      <c r="CA3216" s="769"/>
      <c r="CB3216" s="769"/>
      <c r="CC3216" s="769"/>
      <c r="CD3216" s="769"/>
      <c r="CE3216" s="769"/>
      <c r="CF3216" s="769"/>
      <c r="CG3216" s="73"/>
      <c r="CH3216" s="438"/>
      <c r="CI3216" s="416"/>
      <c r="CJ3216" s="73"/>
      <c r="CK3216" s="650"/>
      <c r="CL3216" s="499"/>
      <c r="CM3216" s="650"/>
      <c r="CR3216" s="416"/>
      <c r="CS3216" s="650"/>
      <c r="CU3216" s="73"/>
      <c r="CV3216" s="73"/>
      <c r="CW3216" s="73"/>
      <c r="CX3216" s="73"/>
      <c r="DA3216" s="650"/>
    </row>
    <row r="3217" spans="1:105" s="45" customFormat="1" x14ac:dyDescent="0.2">
      <c r="A3217" s="650"/>
      <c r="B3217" s="438"/>
      <c r="D3217" s="73"/>
      <c r="E3217" s="650"/>
      <c r="F3217" s="650"/>
      <c r="G3217" s="73"/>
      <c r="I3217" s="111"/>
      <c r="J3217" s="81"/>
      <c r="K3217" s="81"/>
      <c r="L3217" s="499"/>
      <c r="M3217" s="73"/>
      <c r="N3217" s="499"/>
      <c r="O3217" s="73"/>
      <c r="P3217" s="73"/>
      <c r="Q3217" s="73"/>
      <c r="R3217" s="176"/>
      <c r="S3217" s="176"/>
      <c r="T3217" s="176"/>
      <c r="U3217" s="400"/>
      <c r="V3217" s="400"/>
      <c r="W3217" s="732"/>
      <c r="X3217" s="167"/>
      <c r="Y3217" s="509"/>
      <c r="Z3217" s="466"/>
      <c r="AA3217" s="466"/>
      <c r="AB3217" s="466"/>
      <c r="AC3217" s="466"/>
      <c r="AD3217" s="466"/>
      <c r="AE3217" s="466"/>
      <c r="AF3217" s="466"/>
      <c r="AG3217" s="466"/>
      <c r="AH3217" s="466"/>
      <c r="AI3217" s="466"/>
      <c r="AJ3217" s="466"/>
      <c r="AK3217" s="466"/>
      <c r="AL3217" s="466"/>
      <c r="AM3217" s="466"/>
      <c r="AN3217" s="466"/>
      <c r="AO3217" s="466"/>
      <c r="AP3217" s="466"/>
      <c r="AQ3217" s="466"/>
      <c r="AR3217" s="466"/>
      <c r="AS3217" s="466"/>
      <c r="AT3217" s="466"/>
      <c r="AU3217" s="466"/>
      <c r="AV3217" s="466"/>
      <c r="AW3217" s="466"/>
      <c r="AX3217" s="466"/>
      <c r="AY3217" s="466"/>
      <c r="AZ3217" s="466"/>
      <c r="BA3217" s="466"/>
      <c r="BB3217" s="466"/>
      <c r="BC3217" s="466"/>
      <c r="BD3217" s="466"/>
      <c r="BE3217" s="467"/>
      <c r="BF3217" s="467"/>
      <c r="BG3217" s="466"/>
      <c r="BH3217" s="466"/>
      <c r="BI3217" s="467"/>
      <c r="BJ3217" s="467"/>
      <c r="BK3217" s="467"/>
      <c r="BL3217" s="467"/>
      <c r="BM3217" s="467"/>
      <c r="BN3217" s="467"/>
      <c r="BO3217" s="467"/>
      <c r="BP3217" s="467"/>
      <c r="BQ3217" s="467"/>
      <c r="BR3217" s="467"/>
      <c r="BS3217" s="467"/>
      <c r="BT3217" s="467"/>
      <c r="BU3217" s="467"/>
      <c r="BV3217" s="467"/>
      <c r="BW3217" s="467"/>
      <c r="BX3217" s="769"/>
      <c r="BY3217" s="769"/>
      <c r="BZ3217" s="769"/>
      <c r="CA3217" s="769"/>
      <c r="CB3217" s="769"/>
      <c r="CC3217" s="769"/>
      <c r="CD3217" s="769"/>
      <c r="CE3217" s="769"/>
      <c r="CF3217" s="769"/>
      <c r="CG3217" s="73"/>
      <c r="CH3217" s="438"/>
      <c r="CI3217" s="416"/>
      <c r="CJ3217" s="73"/>
      <c r="CK3217" s="650"/>
      <c r="CL3217" s="499"/>
      <c r="CM3217" s="650"/>
      <c r="CR3217" s="416"/>
      <c r="CS3217" s="650"/>
      <c r="CU3217" s="73"/>
      <c r="CV3217" s="73"/>
      <c r="CW3217" s="73"/>
      <c r="CX3217" s="73"/>
      <c r="DA3217" s="650"/>
    </row>
    <row r="3218" spans="1:105" s="45" customFormat="1" x14ac:dyDescent="0.2">
      <c r="A3218" s="650"/>
      <c r="B3218" s="438"/>
      <c r="D3218" s="73"/>
      <c r="E3218" s="650"/>
      <c r="F3218" s="650"/>
      <c r="G3218" s="73"/>
      <c r="I3218" s="111"/>
      <c r="J3218" s="81"/>
      <c r="K3218" s="81"/>
      <c r="L3218" s="499"/>
      <c r="M3218" s="73"/>
      <c r="N3218" s="499"/>
      <c r="O3218" s="73"/>
      <c r="P3218" s="73"/>
      <c r="Q3218" s="73"/>
      <c r="R3218" s="176"/>
      <c r="S3218" s="176"/>
      <c r="T3218" s="176"/>
      <c r="U3218" s="400"/>
      <c r="V3218" s="400"/>
      <c r="W3218" s="732"/>
      <c r="X3218" s="167"/>
      <c r="Y3218" s="509"/>
      <c r="Z3218" s="466"/>
      <c r="AA3218" s="466"/>
      <c r="AB3218" s="466"/>
      <c r="AC3218" s="466"/>
      <c r="AD3218" s="466"/>
      <c r="AE3218" s="466"/>
      <c r="AF3218" s="466"/>
      <c r="AG3218" s="466"/>
      <c r="AH3218" s="466"/>
      <c r="AI3218" s="466"/>
      <c r="AJ3218" s="466"/>
      <c r="AK3218" s="466"/>
      <c r="AL3218" s="466"/>
      <c r="AM3218" s="466"/>
      <c r="AN3218" s="466"/>
      <c r="AO3218" s="466"/>
      <c r="AP3218" s="466"/>
      <c r="AQ3218" s="466"/>
      <c r="AR3218" s="466"/>
      <c r="AS3218" s="466"/>
      <c r="AT3218" s="466"/>
      <c r="AU3218" s="466"/>
      <c r="AV3218" s="466"/>
      <c r="AW3218" s="466"/>
      <c r="AX3218" s="466"/>
      <c r="AY3218" s="466"/>
      <c r="AZ3218" s="466"/>
      <c r="BA3218" s="466"/>
      <c r="BB3218" s="466"/>
      <c r="BC3218" s="466"/>
      <c r="BD3218" s="466"/>
      <c r="BE3218" s="467"/>
      <c r="BF3218" s="467"/>
      <c r="BG3218" s="466"/>
      <c r="BH3218" s="466"/>
      <c r="BI3218" s="467"/>
      <c r="BJ3218" s="467"/>
      <c r="BK3218" s="467"/>
      <c r="BL3218" s="467"/>
      <c r="BM3218" s="467"/>
      <c r="BN3218" s="467"/>
      <c r="BO3218" s="467"/>
      <c r="BP3218" s="467"/>
      <c r="BQ3218" s="467"/>
      <c r="BR3218" s="467"/>
      <c r="BS3218" s="467"/>
      <c r="BT3218" s="467"/>
      <c r="BU3218" s="467"/>
      <c r="BV3218" s="467"/>
      <c r="BW3218" s="467"/>
      <c r="BX3218" s="769"/>
      <c r="BY3218" s="769"/>
      <c r="BZ3218" s="769"/>
      <c r="CA3218" s="769"/>
      <c r="CB3218" s="769"/>
      <c r="CC3218" s="769"/>
      <c r="CD3218" s="769"/>
      <c r="CE3218" s="769"/>
      <c r="CF3218" s="769"/>
      <c r="CG3218" s="73"/>
      <c r="CH3218" s="438"/>
      <c r="CI3218" s="416"/>
      <c r="CJ3218" s="73"/>
      <c r="CK3218" s="650"/>
      <c r="CL3218" s="499"/>
      <c r="CM3218" s="650"/>
      <c r="CR3218" s="416"/>
      <c r="CS3218" s="650"/>
      <c r="CU3218" s="73"/>
      <c r="CV3218" s="73"/>
      <c r="CW3218" s="73"/>
      <c r="CX3218" s="73"/>
      <c r="DA3218" s="650"/>
    </row>
    <row r="3219" spans="1:105" s="45" customFormat="1" x14ac:dyDescent="0.2">
      <c r="A3219" s="650"/>
      <c r="B3219" s="438"/>
      <c r="D3219" s="73"/>
      <c r="E3219" s="650"/>
      <c r="F3219" s="650"/>
      <c r="G3219" s="73"/>
      <c r="I3219" s="111"/>
      <c r="J3219" s="81"/>
      <c r="K3219" s="81"/>
      <c r="L3219" s="499"/>
      <c r="M3219" s="73"/>
      <c r="N3219" s="499"/>
      <c r="O3219" s="73"/>
      <c r="P3219" s="73"/>
      <c r="Q3219" s="73"/>
      <c r="R3219" s="176"/>
      <c r="S3219" s="176"/>
      <c r="T3219" s="176"/>
      <c r="U3219" s="400"/>
      <c r="V3219" s="400"/>
      <c r="W3219" s="732"/>
      <c r="X3219" s="167"/>
      <c r="Y3219" s="509"/>
      <c r="Z3219" s="466"/>
      <c r="AA3219" s="466"/>
      <c r="AB3219" s="466"/>
      <c r="AC3219" s="466"/>
      <c r="AD3219" s="466"/>
      <c r="AE3219" s="466"/>
      <c r="AF3219" s="466"/>
      <c r="AG3219" s="466"/>
      <c r="AH3219" s="466"/>
      <c r="AI3219" s="466"/>
      <c r="AJ3219" s="466"/>
      <c r="AK3219" s="466"/>
      <c r="AL3219" s="466"/>
      <c r="AM3219" s="466"/>
      <c r="AN3219" s="466"/>
      <c r="AO3219" s="466"/>
      <c r="AP3219" s="466"/>
      <c r="AQ3219" s="466"/>
      <c r="AR3219" s="466"/>
      <c r="AS3219" s="466"/>
      <c r="AT3219" s="466"/>
      <c r="AU3219" s="466"/>
      <c r="AV3219" s="466"/>
      <c r="AW3219" s="466"/>
      <c r="AX3219" s="466"/>
      <c r="AY3219" s="466"/>
      <c r="AZ3219" s="466"/>
      <c r="BA3219" s="466"/>
      <c r="BB3219" s="466"/>
      <c r="BC3219" s="466"/>
      <c r="BD3219" s="466"/>
      <c r="BE3219" s="467"/>
      <c r="BF3219" s="467"/>
      <c r="BG3219" s="466"/>
      <c r="BH3219" s="466"/>
      <c r="BI3219" s="467"/>
      <c r="BJ3219" s="467"/>
      <c r="BK3219" s="467"/>
      <c r="BL3219" s="467"/>
      <c r="BM3219" s="467"/>
      <c r="BN3219" s="467"/>
      <c r="BO3219" s="467"/>
      <c r="BP3219" s="467"/>
      <c r="BQ3219" s="467"/>
      <c r="BR3219" s="467"/>
      <c r="BS3219" s="467"/>
      <c r="BT3219" s="467"/>
      <c r="BU3219" s="467"/>
      <c r="BV3219" s="467"/>
      <c r="BW3219" s="467"/>
      <c r="BX3219" s="769"/>
      <c r="BY3219" s="769"/>
      <c r="BZ3219" s="769"/>
      <c r="CA3219" s="769"/>
      <c r="CB3219" s="769"/>
      <c r="CC3219" s="769"/>
      <c r="CD3219" s="769"/>
      <c r="CE3219" s="769"/>
      <c r="CF3219" s="769"/>
      <c r="CG3219" s="73"/>
      <c r="CH3219" s="438"/>
      <c r="CI3219" s="416"/>
      <c r="CJ3219" s="73"/>
      <c r="CK3219" s="650"/>
      <c r="CL3219" s="499"/>
      <c r="CM3219" s="650"/>
      <c r="CR3219" s="416"/>
      <c r="CS3219" s="650"/>
      <c r="CU3219" s="73"/>
      <c r="CV3219" s="73"/>
      <c r="CW3219" s="73"/>
      <c r="CX3219" s="73"/>
      <c r="DA3219" s="650"/>
    </row>
    <row r="3220" spans="1:105" s="45" customFormat="1" x14ac:dyDescent="0.2">
      <c r="A3220" s="650"/>
      <c r="B3220" s="438"/>
      <c r="D3220" s="73"/>
      <c r="E3220" s="650"/>
      <c r="F3220" s="650"/>
      <c r="G3220" s="73"/>
      <c r="I3220" s="111"/>
      <c r="J3220" s="81"/>
      <c r="K3220" s="81"/>
      <c r="L3220" s="499"/>
      <c r="M3220" s="73"/>
      <c r="N3220" s="499"/>
      <c r="O3220" s="73"/>
      <c r="P3220" s="73"/>
      <c r="Q3220" s="73"/>
      <c r="R3220" s="176"/>
      <c r="S3220" s="176"/>
      <c r="T3220" s="176"/>
      <c r="U3220" s="400"/>
      <c r="V3220" s="400"/>
      <c r="W3220" s="732"/>
      <c r="X3220" s="167"/>
      <c r="Y3220" s="509"/>
      <c r="Z3220" s="466"/>
      <c r="AA3220" s="466"/>
      <c r="AB3220" s="466"/>
      <c r="AC3220" s="466"/>
      <c r="AD3220" s="466"/>
      <c r="AE3220" s="466"/>
      <c r="AF3220" s="466"/>
      <c r="AG3220" s="466"/>
      <c r="AH3220" s="466"/>
      <c r="AI3220" s="466"/>
      <c r="AJ3220" s="466"/>
      <c r="AK3220" s="466"/>
      <c r="AL3220" s="466"/>
      <c r="AM3220" s="466"/>
      <c r="AN3220" s="466"/>
      <c r="AO3220" s="466"/>
      <c r="AP3220" s="466"/>
      <c r="AQ3220" s="466"/>
      <c r="AR3220" s="466"/>
      <c r="AS3220" s="466"/>
      <c r="AT3220" s="466"/>
      <c r="AU3220" s="466"/>
      <c r="AV3220" s="466"/>
      <c r="AW3220" s="466"/>
      <c r="AX3220" s="466"/>
      <c r="AY3220" s="466"/>
      <c r="AZ3220" s="466"/>
      <c r="BA3220" s="466"/>
      <c r="BB3220" s="466"/>
      <c r="BC3220" s="466"/>
      <c r="BD3220" s="466"/>
      <c r="BE3220" s="467"/>
      <c r="BF3220" s="467"/>
      <c r="BG3220" s="466"/>
      <c r="BH3220" s="466"/>
      <c r="BI3220" s="467"/>
      <c r="BJ3220" s="467"/>
      <c r="BK3220" s="467"/>
      <c r="BL3220" s="467"/>
      <c r="BM3220" s="467"/>
      <c r="BN3220" s="467"/>
      <c r="BO3220" s="467"/>
      <c r="BP3220" s="467"/>
      <c r="BQ3220" s="467"/>
      <c r="BR3220" s="467"/>
      <c r="BS3220" s="467"/>
      <c r="BT3220" s="467"/>
      <c r="BU3220" s="467"/>
      <c r="BV3220" s="467"/>
      <c r="BW3220" s="467"/>
      <c r="BX3220" s="769"/>
      <c r="BY3220" s="769"/>
      <c r="BZ3220" s="769"/>
      <c r="CA3220" s="769"/>
      <c r="CB3220" s="769"/>
      <c r="CC3220" s="769"/>
      <c r="CD3220" s="769"/>
      <c r="CE3220" s="769"/>
      <c r="CF3220" s="769"/>
      <c r="CG3220" s="73"/>
      <c r="CH3220" s="438"/>
      <c r="CI3220" s="416"/>
      <c r="CJ3220" s="73"/>
      <c r="CK3220" s="650"/>
      <c r="CL3220" s="499"/>
      <c r="CM3220" s="650"/>
      <c r="CR3220" s="416"/>
      <c r="CS3220" s="650"/>
      <c r="CU3220" s="73"/>
      <c r="CV3220" s="73"/>
      <c r="CW3220" s="73"/>
      <c r="CX3220" s="73"/>
      <c r="DA3220" s="650"/>
    </row>
    <row r="3221" spans="1:105" s="45" customFormat="1" x14ac:dyDescent="0.2">
      <c r="A3221" s="650"/>
      <c r="B3221" s="438"/>
      <c r="D3221" s="73"/>
      <c r="E3221" s="650"/>
      <c r="F3221" s="650"/>
      <c r="G3221" s="73"/>
      <c r="I3221" s="111"/>
      <c r="J3221" s="81"/>
      <c r="K3221" s="81"/>
      <c r="L3221" s="499"/>
      <c r="M3221" s="73"/>
      <c r="N3221" s="499"/>
      <c r="O3221" s="73"/>
      <c r="P3221" s="73"/>
      <c r="Q3221" s="73"/>
      <c r="R3221" s="176"/>
      <c r="S3221" s="176"/>
      <c r="T3221" s="176"/>
      <c r="U3221" s="400"/>
      <c r="V3221" s="400"/>
      <c r="W3221" s="732"/>
      <c r="X3221" s="167"/>
      <c r="Y3221" s="509"/>
      <c r="Z3221" s="466"/>
      <c r="AA3221" s="466"/>
      <c r="AB3221" s="466"/>
      <c r="AC3221" s="466"/>
      <c r="AD3221" s="466"/>
      <c r="AE3221" s="466"/>
      <c r="AF3221" s="466"/>
      <c r="AG3221" s="466"/>
      <c r="AH3221" s="466"/>
      <c r="AI3221" s="466"/>
      <c r="AJ3221" s="466"/>
      <c r="AK3221" s="466"/>
      <c r="AL3221" s="466"/>
      <c r="AM3221" s="466"/>
      <c r="AN3221" s="466"/>
      <c r="AO3221" s="466"/>
      <c r="AP3221" s="466"/>
      <c r="AQ3221" s="466"/>
      <c r="AR3221" s="466"/>
      <c r="AS3221" s="466"/>
      <c r="AT3221" s="466"/>
      <c r="AU3221" s="466"/>
      <c r="AV3221" s="466"/>
      <c r="AW3221" s="466"/>
      <c r="AX3221" s="466"/>
      <c r="AY3221" s="466"/>
      <c r="AZ3221" s="466"/>
      <c r="BA3221" s="466"/>
      <c r="BB3221" s="466"/>
      <c r="BC3221" s="466"/>
      <c r="BD3221" s="466"/>
      <c r="BE3221" s="467"/>
      <c r="BF3221" s="467"/>
      <c r="BG3221" s="466"/>
      <c r="BH3221" s="466"/>
      <c r="BI3221" s="467"/>
      <c r="BJ3221" s="467"/>
      <c r="BK3221" s="467"/>
      <c r="BL3221" s="467"/>
      <c r="BM3221" s="467"/>
      <c r="BN3221" s="467"/>
      <c r="BO3221" s="467"/>
      <c r="BP3221" s="467"/>
      <c r="BQ3221" s="467"/>
      <c r="BR3221" s="467"/>
      <c r="BS3221" s="467"/>
      <c r="BT3221" s="467"/>
      <c r="BU3221" s="467"/>
      <c r="BV3221" s="467"/>
      <c r="BW3221" s="467"/>
      <c r="BX3221" s="769"/>
      <c r="BY3221" s="769"/>
      <c r="BZ3221" s="769"/>
      <c r="CA3221" s="769"/>
      <c r="CB3221" s="769"/>
      <c r="CC3221" s="769"/>
      <c r="CD3221" s="769"/>
      <c r="CE3221" s="769"/>
      <c r="CF3221" s="769"/>
      <c r="CG3221" s="73"/>
      <c r="CH3221" s="438"/>
      <c r="CI3221" s="416"/>
      <c r="CJ3221" s="73"/>
      <c r="CK3221" s="650"/>
      <c r="CL3221" s="499"/>
      <c r="CM3221" s="650"/>
      <c r="CR3221" s="416"/>
      <c r="CS3221" s="650"/>
      <c r="CU3221" s="73"/>
      <c r="CV3221" s="73"/>
      <c r="CW3221" s="73"/>
      <c r="CX3221" s="73"/>
      <c r="DA3221" s="650"/>
    </row>
    <row r="3222" spans="1:105" s="45" customFormat="1" x14ac:dyDescent="0.2">
      <c r="A3222" s="650"/>
      <c r="B3222" s="438"/>
      <c r="D3222" s="73"/>
      <c r="E3222" s="650"/>
      <c r="F3222" s="650"/>
      <c r="G3222" s="73"/>
      <c r="I3222" s="111"/>
      <c r="J3222" s="81"/>
      <c r="K3222" s="81"/>
      <c r="L3222" s="499"/>
      <c r="M3222" s="73"/>
      <c r="N3222" s="499"/>
      <c r="O3222" s="73"/>
      <c r="P3222" s="73"/>
      <c r="Q3222" s="73"/>
      <c r="R3222" s="176"/>
      <c r="S3222" s="176"/>
      <c r="T3222" s="176"/>
      <c r="U3222" s="400"/>
      <c r="V3222" s="400"/>
      <c r="W3222" s="732"/>
      <c r="X3222" s="167"/>
      <c r="Y3222" s="509"/>
      <c r="Z3222" s="466"/>
      <c r="AA3222" s="466"/>
      <c r="AB3222" s="466"/>
      <c r="AC3222" s="466"/>
      <c r="AD3222" s="466"/>
      <c r="AE3222" s="466"/>
      <c r="AF3222" s="466"/>
      <c r="AG3222" s="466"/>
      <c r="AH3222" s="466"/>
      <c r="AI3222" s="466"/>
      <c r="AJ3222" s="466"/>
      <c r="AK3222" s="466"/>
      <c r="AL3222" s="466"/>
      <c r="AM3222" s="466"/>
      <c r="AN3222" s="466"/>
      <c r="AO3222" s="466"/>
      <c r="AP3222" s="466"/>
      <c r="AQ3222" s="466"/>
      <c r="AR3222" s="466"/>
      <c r="AS3222" s="466"/>
      <c r="AT3222" s="466"/>
      <c r="AU3222" s="466"/>
      <c r="AV3222" s="466"/>
      <c r="AW3222" s="466"/>
      <c r="AX3222" s="466"/>
      <c r="AY3222" s="466"/>
      <c r="AZ3222" s="466"/>
      <c r="BA3222" s="466"/>
      <c r="BB3222" s="466"/>
      <c r="BC3222" s="466"/>
      <c r="BD3222" s="466"/>
      <c r="BE3222" s="467"/>
      <c r="BF3222" s="467"/>
      <c r="BG3222" s="466"/>
      <c r="BH3222" s="466"/>
      <c r="BI3222" s="467"/>
      <c r="BJ3222" s="467"/>
      <c r="BK3222" s="467"/>
      <c r="BL3222" s="467"/>
      <c r="BM3222" s="467"/>
      <c r="BN3222" s="467"/>
      <c r="BO3222" s="467"/>
      <c r="BP3222" s="467"/>
      <c r="BQ3222" s="467"/>
      <c r="BR3222" s="467"/>
      <c r="BS3222" s="467"/>
      <c r="BT3222" s="467"/>
      <c r="BU3222" s="467"/>
      <c r="BV3222" s="467"/>
      <c r="BW3222" s="467"/>
      <c r="BX3222" s="769"/>
      <c r="BY3222" s="769"/>
      <c r="BZ3222" s="769"/>
      <c r="CA3222" s="769"/>
      <c r="CB3222" s="769"/>
      <c r="CC3222" s="769"/>
      <c r="CD3222" s="769"/>
      <c r="CE3222" s="769"/>
      <c r="CF3222" s="769"/>
      <c r="CG3222" s="73"/>
      <c r="CH3222" s="438"/>
      <c r="CI3222" s="416"/>
      <c r="CJ3222" s="73"/>
      <c r="CK3222" s="650"/>
      <c r="CL3222" s="499"/>
      <c r="CM3222" s="650"/>
      <c r="CR3222" s="416"/>
      <c r="CS3222" s="650"/>
      <c r="CU3222" s="73"/>
      <c r="CV3222" s="73"/>
      <c r="CW3222" s="73"/>
      <c r="CX3222" s="73"/>
      <c r="DA3222" s="650"/>
    </row>
    <row r="3223" spans="1:105" s="45" customFormat="1" x14ac:dyDescent="0.2">
      <c r="A3223" s="650"/>
      <c r="B3223" s="438"/>
      <c r="D3223" s="73"/>
      <c r="E3223" s="650"/>
      <c r="F3223" s="650"/>
      <c r="G3223" s="73"/>
      <c r="I3223" s="111"/>
      <c r="J3223" s="81"/>
      <c r="K3223" s="81"/>
      <c r="L3223" s="499"/>
      <c r="M3223" s="73"/>
      <c r="N3223" s="499"/>
      <c r="O3223" s="73"/>
      <c r="P3223" s="73"/>
      <c r="Q3223" s="73"/>
      <c r="R3223" s="176"/>
      <c r="S3223" s="176"/>
      <c r="T3223" s="176"/>
      <c r="U3223" s="400"/>
      <c r="V3223" s="400"/>
      <c r="W3223" s="732"/>
      <c r="X3223" s="167"/>
      <c r="Y3223" s="509"/>
      <c r="Z3223" s="466"/>
      <c r="AA3223" s="466"/>
      <c r="AB3223" s="466"/>
      <c r="AC3223" s="466"/>
      <c r="AD3223" s="466"/>
      <c r="AE3223" s="466"/>
      <c r="AF3223" s="466"/>
      <c r="AG3223" s="466"/>
      <c r="AH3223" s="466"/>
      <c r="AI3223" s="466"/>
      <c r="AJ3223" s="466"/>
      <c r="AK3223" s="466"/>
      <c r="AL3223" s="466"/>
      <c r="AM3223" s="466"/>
      <c r="AN3223" s="466"/>
      <c r="AO3223" s="466"/>
      <c r="AP3223" s="466"/>
      <c r="AQ3223" s="466"/>
      <c r="AR3223" s="466"/>
      <c r="AS3223" s="466"/>
      <c r="AT3223" s="466"/>
      <c r="AU3223" s="466"/>
      <c r="AV3223" s="466"/>
      <c r="AW3223" s="466"/>
      <c r="AX3223" s="466"/>
      <c r="AY3223" s="466"/>
      <c r="AZ3223" s="466"/>
      <c r="BA3223" s="466"/>
      <c r="BB3223" s="466"/>
      <c r="BC3223" s="466"/>
      <c r="BD3223" s="466"/>
      <c r="BE3223" s="467"/>
      <c r="BF3223" s="467"/>
      <c r="BG3223" s="466"/>
      <c r="BH3223" s="466"/>
      <c r="BI3223" s="467"/>
      <c r="BJ3223" s="467"/>
      <c r="BK3223" s="467"/>
      <c r="BL3223" s="467"/>
      <c r="BM3223" s="467"/>
      <c r="BN3223" s="467"/>
      <c r="BO3223" s="467"/>
      <c r="BP3223" s="467"/>
      <c r="BQ3223" s="467"/>
      <c r="BR3223" s="467"/>
      <c r="BS3223" s="467"/>
      <c r="BT3223" s="467"/>
      <c r="BU3223" s="467"/>
      <c r="BV3223" s="467"/>
      <c r="BW3223" s="467"/>
      <c r="BX3223" s="769"/>
      <c r="BY3223" s="769"/>
      <c r="BZ3223" s="769"/>
      <c r="CA3223" s="769"/>
      <c r="CB3223" s="769"/>
      <c r="CC3223" s="769"/>
      <c r="CD3223" s="769"/>
      <c r="CE3223" s="769"/>
      <c r="CF3223" s="769"/>
      <c r="CG3223" s="73"/>
      <c r="CH3223" s="438"/>
      <c r="CI3223" s="416"/>
      <c r="CJ3223" s="73"/>
      <c r="CK3223" s="650"/>
      <c r="CL3223" s="499"/>
      <c r="CM3223" s="650"/>
      <c r="CR3223" s="416"/>
      <c r="CS3223" s="650"/>
      <c r="CU3223" s="73"/>
      <c r="CV3223" s="73"/>
      <c r="CW3223" s="73"/>
      <c r="CX3223" s="73"/>
      <c r="DA3223" s="650"/>
    </row>
    <row r="3224" spans="1:105" s="45" customFormat="1" x14ac:dyDescent="0.2">
      <c r="A3224" s="650"/>
      <c r="B3224" s="438"/>
      <c r="D3224" s="73"/>
      <c r="E3224" s="650"/>
      <c r="F3224" s="650"/>
      <c r="G3224" s="73"/>
      <c r="I3224" s="111"/>
      <c r="J3224" s="81"/>
      <c r="K3224" s="81"/>
      <c r="L3224" s="499"/>
      <c r="M3224" s="73"/>
      <c r="N3224" s="499"/>
      <c r="O3224" s="73"/>
      <c r="P3224" s="73"/>
      <c r="Q3224" s="73"/>
      <c r="R3224" s="176"/>
      <c r="S3224" s="176"/>
      <c r="T3224" s="176"/>
      <c r="U3224" s="400"/>
      <c r="V3224" s="400"/>
      <c r="W3224" s="732"/>
      <c r="X3224" s="167"/>
      <c r="Y3224" s="509"/>
      <c r="Z3224" s="466"/>
      <c r="AA3224" s="466"/>
      <c r="AB3224" s="466"/>
      <c r="AC3224" s="466"/>
      <c r="AD3224" s="466"/>
      <c r="AE3224" s="466"/>
      <c r="AF3224" s="466"/>
      <c r="AG3224" s="466"/>
      <c r="AH3224" s="466"/>
      <c r="AI3224" s="466"/>
      <c r="AJ3224" s="466"/>
      <c r="AK3224" s="466"/>
      <c r="AL3224" s="466"/>
      <c r="AM3224" s="466"/>
      <c r="AN3224" s="466"/>
      <c r="AO3224" s="466"/>
      <c r="AP3224" s="466"/>
      <c r="AQ3224" s="466"/>
      <c r="AR3224" s="466"/>
      <c r="AS3224" s="466"/>
      <c r="AT3224" s="466"/>
      <c r="AU3224" s="466"/>
      <c r="AV3224" s="466"/>
      <c r="AW3224" s="466"/>
      <c r="AX3224" s="466"/>
      <c r="AY3224" s="466"/>
      <c r="AZ3224" s="466"/>
      <c r="BA3224" s="466"/>
      <c r="BB3224" s="466"/>
      <c r="BC3224" s="466"/>
      <c r="BD3224" s="466"/>
      <c r="BE3224" s="467"/>
      <c r="BF3224" s="467"/>
      <c r="BG3224" s="466"/>
      <c r="BH3224" s="466"/>
      <c r="BI3224" s="467"/>
      <c r="BJ3224" s="467"/>
      <c r="BK3224" s="467"/>
      <c r="BL3224" s="467"/>
      <c r="BM3224" s="467"/>
      <c r="BN3224" s="467"/>
      <c r="BO3224" s="467"/>
      <c r="BP3224" s="467"/>
      <c r="BQ3224" s="467"/>
      <c r="BR3224" s="467"/>
      <c r="BS3224" s="467"/>
      <c r="BT3224" s="467"/>
      <c r="BU3224" s="467"/>
      <c r="BV3224" s="467"/>
      <c r="BW3224" s="467"/>
      <c r="BX3224" s="769"/>
      <c r="BY3224" s="769"/>
      <c r="BZ3224" s="769"/>
      <c r="CA3224" s="769"/>
      <c r="CB3224" s="769"/>
      <c r="CC3224" s="769"/>
      <c r="CD3224" s="769"/>
      <c r="CE3224" s="769"/>
      <c r="CF3224" s="769"/>
      <c r="CG3224" s="73"/>
      <c r="CH3224" s="438"/>
      <c r="CI3224" s="416"/>
      <c r="CJ3224" s="73"/>
      <c r="CK3224" s="650"/>
      <c r="CL3224" s="499"/>
      <c r="CM3224" s="650"/>
      <c r="CR3224" s="416"/>
      <c r="CS3224" s="650"/>
      <c r="CU3224" s="73"/>
      <c r="CV3224" s="73"/>
      <c r="CW3224" s="73"/>
      <c r="CX3224" s="73"/>
      <c r="DA3224" s="650"/>
    </row>
    <row r="3225" spans="1:105" s="45" customFormat="1" x14ac:dyDescent="0.2">
      <c r="A3225" s="650"/>
      <c r="B3225" s="438"/>
      <c r="D3225" s="73"/>
      <c r="E3225" s="650"/>
      <c r="F3225" s="650"/>
      <c r="G3225" s="73"/>
      <c r="I3225" s="111"/>
      <c r="J3225" s="81"/>
      <c r="K3225" s="81"/>
      <c r="L3225" s="499"/>
      <c r="M3225" s="73"/>
      <c r="N3225" s="499"/>
      <c r="O3225" s="73"/>
      <c r="P3225" s="73"/>
      <c r="Q3225" s="73"/>
      <c r="R3225" s="176"/>
      <c r="S3225" s="176"/>
      <c r="T3225" s="176"/>
      <c r="U3225" s="400"/>
      <c r="V3225" s="400"/>
      <c r="W3225" s="732"/>
      <c r="X3225" s="167"/>
      <c r="Y3225" s="509"/>
      <c r="Z3225" s="466"/>
      <c r="AA3225" s="466"/>
      <c r="AB3225" s="466"/>
      <c r="AC3225" s="466"/>
      <c r="AD3225" s="466"/>
      <c r="AE3225" s="466"/>
      <c r="AF3225" s="466"/>
      <c r="AG3225" s="466"/>
      <c r="AH3225" s="466"/>
      <c r="AI3225" s="466"/>
      <c r="AJ3225" s="466"/>
      <c r="AK3225" s="466"/>
      <c r="AL3225" s="466"/>
      <c r="AM3225" s="466"/>
      <c r="AN3225" s="466"/>
      <c r="AO3225" s="466"/>
      <c r="AP3225" s="466"/>
      <c r="AQ3225" s="466"/>
      <c r="AR3225" s="466"/>
      <c r="AS3225" s="466"/>
      <c r="AT3225" s="466"/>
      <c r="AU3225" s="466"/>
      <c r="AV3225" s="466"/>
      <c r="AW3225" s="466"/>
      <c r="AX3225" s="466"/>
      <c r="AY3225" s="466"/>
      <c r="AZ3225" s="466"/>
      <c r="BA3225" s="466"/>
      <c r="BB3225" s="466"/>
      <c r="BC3225" s="466"/>
      <c r="BD3225" s="466"/>
      <c r="BE3225" s="467"/>
      <c r="BF3225" s="467"/>
      <c r="BG3225" s="466"/>
      <c r="BH3225" s="466"/>
      <c r="BI3225" s="467"/>
      <c r="BJ3225" s="467"/>
      <c r="BK3225" s="467"/>
      <c r="BL3225" s="467"/>
      <c r="BM3225" s="467"/>
      <c r="BN3225" s="467"/>
      <c r="BO3225" s="467"/>
      <c r="BP3225" s="467"/>
      <c r="BQ3225" s="467"/>
      <c r="BR3225" s="467"/>
      <c r="BS3225" s="467"/>
      <c r="BT3225" s="467"/>
      <c r="BU3225" s="467"/>
      <c r="BV3225" s="467"/>
      <c r="BW3225" s="467"/>
      <c r="BX3225" s="769"/>
      <c r="BY3225" s="769"/>
      <c r="BZ3225" s="769"/>
      <c r="CA3225" s="769"/>
      <c r="CB3225" s="769"/>
      <c r="CC3225" s="769"/>
      <c r="CD3225" s="769"/>
      <c r="CE3225" s="769"/>
      <c r="CF3225" s="769"/>
      <c r="CG3225" s="73"/>
      <c r="CH3225" s="438"/>
      <c r="CI3225" s="416"/>
      <c r="CJ3225" s="73"/>
      <c r="CK3225" s="650"/>
      <c r="CL3225" s="499"/>
      <c r="CM3225" s="650"/>
      <c r="CR3225" s="416"/>
      <c r="CS3225" s="650"/>
      <c r="CU3225" s="73"/>
      <c r="CV3225" s="73"/>
      <c r="CW3225" s="73"/>
      <c r="CX3225" s="73"/>
      <c r="DA3225" s="650"/>
    </row>
    <row r="3226" spans="1:105" s="45" customFormat="1" x14ac:dyDescent="0.2">
      <c r="A3226" s="650"/>
      <c r="B3226" s="438"/>
      <c r="D3226" s="73"/>
      <c r="E3226" s="650"/>
      <c r="F3226" s="650"/>
      <c r="G3226" s="73"/>
      <c r="I3226" s="111"/>
      <c r="J3226" s="81"/>
      <c r="K3226" s="81"/>
      <c r="L3226" s="499"/>
      <c r="M3226" s="73"/>
      <c r="N3226" s="499"/>
      <c r="O3226" s="73"/>
      <c r="P3226" s="73"/>
      <c r="Q3226" s="73"/>
      <c r="R3226" s="176"/>
      <c r="S3226" s="176"/>
      <c r="T3226" s="176"/>
      <c r="U3226" s="400"/>
      <c r="V3226" s="400"/>
      <c r="W3226" s="732"/>
      <c r="X3226" s="167"/>
      <c r="Y3226" s="509"/>
      <c r="Z3226" s="466"/>
      <c r="AA3226" s="466"/>
      <c r="AB3226" s="466"/>
      <c r="AC3226" s="466"/>
      <c r="AD3226" s="466"/>
      <c r="AE3226" s="466"/>
      <c r="AF3226" s="466"/>
      <c r="AG3226" s="466"/>
      <c r="AH3226" s="466"/>
      <c r="AI3226" s="466"/>
      <c r="AJ3226" s="466"/>
      <c r="AK3226" s="466"/>
      <c r="AL3226" s="466"/>
      <c r="AM3226" s="466"/>
      <c r="AN3226" s="466"/>
      <c r="AO3226" s="466"/>
      <c r="AP3226" s="466"/>
      <c r="AQ3226" s="466"/>
      <c r="AR3226" s="466"/>
      <c r="AS3226" s="466"/>
      <c r="AT3226" s="466"/>
      <c r="AU3226" s="466"/>
      <c r="AV3226" s="466"/>
      <c r="AW3226" s="466"/>
      <c r="AX3226" s="466"/>
      <c r="AY3226" s="466"/>
      <c r="AZ3226" s="466"/>
      <c r="BA3226" s="466"/>
      <c r="BB3226" s="466"/>
      <c r="BC3226" s="466"/>
      <c r="BD3226" s="466"/>
      <c r="BE3226" s="467"/>
      <c r="BF3226" s="467"/>
      <c r="BG3226" s="466"/>
      <c r="BH3226" s="466"/>
      <c r="BI3226" s="467"/>
      <c r="BJ3226" s="467"/>
      <c r="BK3226" s="467"/>
      <c r="BL3226" s="467"/>
      <c r="BM3226" s="467"/>
      <c r="BN3226" s="467"/>
      <c r="BO3226" s="467"/>
      <c r="BP3226" s="467"/>
      <c r="BQ3226" s="467"/>
      <c r="BR3226" s="467"/>
      <c r="BS3226" s="467"/>
      <c r="BT3226" s="467"/>
      <c r="BU3226" s="467"/>
      <c r="BV3226" s="467"/>
      <c r="BW3226" s="467"/>
      <c r="BX3226" s="769"/>
      <c r="BY3226" s="769"/>
      <c r="BZ3226" s="769"/>
      <c r="CA3226" s="769"/>
      <c r="CB3226" s="769"/>
      <c r="CC3226" s="769"/>
      <c r="CD3226" s="769"/>
      <c r="CE3226" s="769"/>
      <c r="CF3226" s="769"/>
      <c r="CG3226" s="73"/>
      <c r="CH3226" s="438"/>
      <c r="CI3226" s="416"/>
      <c r="CJ3226" s="73"/>
      <c r="CK3226" s="650"/>
      <c r="CL3226" s="499"/>
      <c r="CM3226" s="650"/>
      <c r="CR3226" s="416"/>
      <c r="CS3226" s="650"/>
      <c r="CU3226" s="73"/>
      <c r="CV3226" s="73"/>
      <c r="CW3226" s="73"/>
      <c r="CX3226" s="73"/>
      <c r="DA3226" s="650"/>
    </row>
    <row r="3227" spans="1:105" s="45" customFormat="1" x14ac:dyDescent="0.2">
      <c r="A3227" s="650"/>
      <c r="B3227" s="438"/>
      <c r="D3227" s="73"/>
      <c r="E3227" s="650"/>
      <c r="F3227" s="650"/>
      <c r="G3227" s="73"/>
      <c r="I3227" s="111"/>
      <c r="J3227" s="81"/>
      <c r="K3227" s="81"/>
      <c r="L3227" s="499"/>
      <c r="M3227" s="73"/>
      <c r="N3227" s="499"/>
      <c r="O3227" s="73"/>
      <c r="P3227" s="73"/>
      <c r="Q3227" s="73"/>
      <c r="R3227" s="176"/>
      <c r="S3227" s="176"/>
      <c r="T3227" s="176"/>
      <c r="U3227" s="400"/>
      <c r="V3227" s="400"/>
      <c r="W3227" s="732"/>
      <c r="X3227" s="167"/>
      <c r="Y3227" s="509"/>
      <c r="Z3227" s="466"/>
      <c r="AA3227" s="466"/>
      <c r="AB3227" s="466"/>
      <c r="AC3227" s="466"/>
      <c r="AD3227" s="466"/>
      <c r="AE3227" s="466"/>
      <c r="AF3227" s="466"/>
      <c r="AG3227" s="466"/>
      <c r="AH3227" s="466"/>
      <c r="AI3227" s="466"/>
      <c r="AJ3227" s="466"/>
      <c r="AK3227" s="466"/>
      <c r="AL3227" s="466"/>
      <c r="AM3227" s="466"/>
      <c r="AN3227" s="466"/>
      <c r="AO3227" s="466"/>
      <c r="AP3227" s="466"/>
      <c r="AQ3227" s="466"/>
      <c r="AR3227" s="466"/>
      <c r="AS3227" s="466"/>
      <c r="AT3227" s="466"/>
      <c r="AU3227" s="466"/>
      <c r="AV3227" s="466"/>
      <c r="AW3227" s="466"/>
      <c r="AX3227" s="466"/>
      <c r="AY3227" s="466"/>
      <c r="AZ3227" s="466"/>
      <c r="BA3227" s="466"/>
      <c r="BB3227" s="466"/>
      <c r="BC3227" s="466"/>
      <c r="BD3227" s="466"/>
      <c r="BE3227" s="467"/>
      <c r="BF3227" s="467"/>
      <c r="BG3227" s="466"/>
      <c r="BH3227" s="466"/>
      <c r="BI3227" s="467"/>
      <c r="BJ3227" s="467"/>
      <c r="BK3227" s="467"/>
      <c r="BL3227" s="467"/>
      <c r="BM3227" s="467"/>
      <c r="BN3227" s="467"/>
      <c r="BO3227" s="467"/>
      <c r="BP3227" s="467"/>
      <c r="BQ3227" s="467"/>
      <c r="BR3227" s="467"/>
      <c r="BS3227" s="467"/>
      <c r="BT3227" s="467"/>
      <c r="BU3227" s="467"/>
      <c r="BV3227" s="467"/>
      <c r="BW3227" s="467"/>
      <c r="BX3227" s="769"/>
      <c r="BY3227" s="769"/>
      <c r="BZ3227" s="769"/>
      <c r="CA3227" s="769"/>
      <c r="CB3227" s="769"/>
      <c r="CC3227" s="769"/>
      <c r="CD3227" s="769"/>
      <c r="CE3227" s="769"/>
      <c r="CF3227" s="769"/>
      <c r="CG3227" s="73"/>
      <c r="CH3227" s="438"/>
      <c r="CI3227" s="416"/>
      <c r="CJ3227" s="73"/>
      <c r="CK3227" s="650"/>
      <c r="CL3227" s="499"/>
      <c r="CM3227" s="650"/>
      <c r="CR3227" s="416"/>
      <c r="CS3227" s="650"/>
      <c r="CU3227" s="73"/>
      <c r="CV3227" s="73"/>
      <c r="CW3227" s="73"/>
      <c r="CX3227" s="73"/>
      <c r="DA3227" s="650"/>
    </row>
    <row r="3228" spans="1:105" s="45" customFormat="1" x14ac:dyDescent="0.2">
      <c r="A3228" s="650"/>
      <c r="B3228" s="438"/>
      <c r="D3228" s="73"/>
      <c r="E3228" s="650"/>
      <c r="F3228" s="650"/>
      <c r="G3228" s="73"/>
      <c r="I3228" s="111"/>
      <c r="J3228" s="81"/>
      <c r="K3228" s="81"/>
      <c r="L3228" s="499"/>
      <c r="M3228" s="73"/>
      <c r="N3228" s="499"/>
      <c r="O3228" s="73"/>
      <c r="P3228" s="73"/>
      <c r="Q3228" s="73"/>
      <c r="R3228" s="176"/>
      <c r="S3228" s="176"/>
      <c r="T3228" s="176"/>
      <c r="U3228" s="400"/>
      <c r="V3228" s="400"/>
      <c r="W3228" s="732"/>
      <c r="X3228" s="167"/>
      <c r="Y3228" s="509"/>
      <c r="Z3228" s="466"/>
      <c r="AA3228" s="466"/>
      <c r="AB3228" s="466"/>
      <c r="AC3228" s="466"/>
      <c r="AD3228" s="466"/>
      <c r="AE3228" s="466"/>
      <c r="AF3228" s="466"/>
      <c r="AG3228" s="466"/>
      <c r="AH3228" s="466"/>
      <c r="AI3228" s="466"/>
      <c r="AJ3228" s="466"/>
      <c r="AK3228" s="466"/>
      <c r="AL3228" s="466"/>
      <c r="AM3228" s="466"/>
      <c r="AN3228" s="466"/>
      <c r="AO3228" s="466"/>
      <c r="AP3228" s="466"/>
      <c r="AQ3228" s="466"/>
      <c r="AR3228" s="466"/>
      <c r="AS3228" s="466"/>
      <c r="AT3228" s="466"/>
      <c r="AU3228" s="466"/>
      <c r="AV3228" s="466"/>
      <c r="AW3228" s="466"/>
      <c r="AX3228" s="466"/>
      <c r="AY3228" s="466"/>
      <c r="AZ3228" s="466"/>
      <c r="BA3228" s="466"/>
      <c r="BB3228" s="466"/>
      <c r="BC3228" s="466"/>
      <c r="BD3228" s="466"/>
      <c r="BE3228" s="467"/>
      <c r="BF3228" s="467"/>
      <c r="BG3228" s="466"/>
      <c r="BH3228" s="466"/>
      <c r="BI3228" s="467"/>
      <c r="BJ3228" s="467"/>
      <c r="BK3228" s="467"/>
      <c r="BL3228" s="467"/>
      <c r="BM3228" s="467"/>
      <c r="BN3228" s="467"/>
      <c r="BO3228" s="467"/>
      <c r="BP3228" s="467"/>
      <c r="BQ3228" s="467"/>
      <c r="BR3228" s="467"/>
      <c r="BS3228" s="467"/>
      <c r="BT3228" s="467"/>
      <c r="BU3228" s="467"/>
      <c r="BV3228" s="467"/>
      <c r="BW3228" s="467"/>
      <c r="BX3228" s="769"/>
      <c r="BY3228" s="769"/>
      <c r="BZ3228" s="769"/>
      <c r="CA3228" s="769"/>
      <c r="CB3228" s="769"/>
      <c r="CC3228" s="769"/>
      <c r="CD3228" s="769"/>
      <c r="CE3228" s="769"/>
      <c r="CF3228" s="769"/>
      <c r="CG3228" s="73"/>
      <c r="CH3228" s="438"/>
      <c r="CI3228" s="416"/>
      <c r="CJ3228" s="73"/>
      <c r="CK3228" s="650"/>
      <c r="CL3228" s="499"/>
      <c r="CM3228" s="650"/>
      <c r="CR3228" s="416"/>
      <c r="CS3228" s="650"/>
      <c r="CU3228" s="73"/>
      <c r="CV3228" s="73"/>
      <c r="CW3228" s="73"/>
      <c r="CX3228" s="73"/>
      <c r="DA3228" s="650"/>
    </row>
    <row r="3229" spans="1:105" s="45" customFormat="1" x14ac:dyDescent="0.2">
      <c r="A3229" s="650"/>
      <c r="B3229" s="438"/>
      <c r="D3229" s="73"/>
      <c r="E3229" s="650"/>
      <c r="F3229" s="650"/>
      <c r="G3229" s="73"/>
      <c r="I3229" s="111"/>
      <c r="J3229" s="81"/>
      <c r="K3229" s="81"/>
      <c r="L3229" s="499"/>
      <c r="M3229" s="73"/>
      <c r="N3229" s="499"/>
      <c r="O3229" s="73"/>
      <c r="P3229" s="73"/>
      <c r="Q3229" s="73"/>
      <c r="R3229" s="176"/>
      <c r="S3229" s="176"/>
      <c r="T3229" s="176"/>
      <c r="U3229" s="400"/>
      <c r="V3229" s="400"/>
      <c r="W3229" s="732"/>
      <c r="X3229" s="167"/>
      <c r="Y3229" s="509"/>
      <c r="Z3229" s="466"/>
      <c r="AA3229" s="466"/>
      <c r="AB3229" s="466"/>
      <c r="AC3229" s="466"/>
      <c r="AD3229" s="466"/>
      <c r="AE3229" s="466"/>
      <c r="AF3229" s="466"/>
      <c r="AG3229" s="466"/>
      <c r="AH3229" s="466"/>
      <c r="AI3229" s="466"/>
      <c r="AJ3229" s="466"/>
      <c r="AK3229" s="466"/>
      <c r="AL3229" s="466"/>
      <c r="AM3229" s="466"/>
      <c r="AN3229" s="466"/>
      <c r="AO3229" s="466"/>
      <c r="AP3229" s="466"/>
      <c r="AQ3229" s="466"/>
      <c r="AR3229" s="466"/>
      <c r="AS3229" s="466"/>
      <c r="AT3229" s="466"/>
      <c r="AU3229" s="466"/>
      <c r="AV3229" s="466"/>
      <c r="AW3229" s="466"/>
      <c r="AX3229" s="466"/>
      <c r="AY3229" s="466"/>
      <c r="AZ3229" s="466"/>
      <c r="BA3229" s="466"/>
      <c r="BB3229" s="466"/>
      <c r="BC3229" s="466"/>
      <c r="BD3229" s="466"/>
      <c r="BE3229" s="467"/>
      <c r="BF3229" s="467"/>
      <c r="BG3229" s="466"/>
      <c r="BH3229" s="466"/>
      <c r="BI3229" s="467"/>
      <c r="BJ3229" s="467"/>
      <c r="BK3229" s="467"/>
      <c r="BL3229" s="467"/>
      <c r="BM3229" s="467"/>
      <c r="BN3229" s="467"/>
      <c r="BO3229" s="467"/>
      <c r="BP3229" s="467"/>
      <c r="BQ3229" s="467"/>
      <c r="BR3229" s="467"/>
      <c r="BS3229" s="467"/>
      <c r="BT3229" s="467"/>
      <c r="BU3229" s="467"/>
      <c r="BV3229" s="467"/>
      <c r="BW3229" s="467"/>
      <c r="BX3229" s="769"/>
      <c r="BY3229" s="769"/>
      <c r="BZ3229" s="769"/>
      <c r="CA3229" s="769"/>
      <c r="CB3229" s="769"/>
      <c r="CC3229" s="769"/>
      <c r="CD3229" s="769"/>
      <c r="CE3229" s="769"/>
      <c r="CF3229" s="769"/>
      <c r="CG3229" s="73"/>
      <c r="CH3229" s="438"/>
      <c r="CI3229" s="416"/>
      <c r="CJ3229" s="73"/>
      <c r="CK3229" s="650"/>
      <c r="CL3229" s="499"/>
      <c r="CM3229" s="650"/>
      <c r="CR3229" s="416"/>
      <c r="CS3229" s="650"/>
      <c r="CU3229" s="73"/>
      <c r="CV3229" s="73"/>
      <c r="CW3229" s="73"/>
      <c r="CX3229" s="73"/>
      <c r="DA3229" s="650"/>
    </row>
    <row r="3230" spans="1:105" s="45" customFormat="1" x14ac:dyDescent="0.2">
      <c r="A3230" s="650"/>
      <c r="B3230" s="438"/>
      <c r="D3230" s="73"/>
      <c r="E3230" s="650"/>
      <c r="F3230" s="650"/>
      <c r="G3230" s="73"/>
      <c r="I3230" s="111"/>
      <c r="J3230" s="81"/>
      <c r="K3230" s="81"/>
      <c r="L3230" s="499"/>
      <c r="M3230" s="73"/>
      <c r="N3230" s="499"/>
      <c r="O3230" s="73"/>
      <c r="P3230" s="73"/>
      <c r="Q3230" s="73"/>
      <c r="R3230" s="176"/>
      <c r="S3230" s="176"/>
      <c r="T3230" s="176"/>
      <c r="U3230" s="400"/>
      <c r="V3230" s="400"/>
      <c r="W3230" s="732"/>
      <c r="X3230" s="167"/>
      <c r="Y3230" s="509"/>
      <c r="Z3230" s="466"/>
      <c r="AA3230" s="466"/>
      <c r="AB3230" s="466"/>
      <c r="AC3230" s="466"/>
      <c r="AD3230" s="466"/>
      <c r="AE3230" s="466"/>
      <c r="AF3230" s="466"/>
      <c r="AG3230" s="466"/>
      <c r="AH3230" s="466"/>
      <c r="AI3230" s="466"/>
      <c r="AJ3230" s="466"/>
      <c r="AK3230" s="466"/>
      <c r="AL3230" s="466"/>
      <c r="AM3230" s="466"/>
      <c r="AN3230" s="466"/>
      <c r="AO3230" s="466"/>
      <c r="AP3230" s="466"/>
      <c r="AQ3230" s="466"/>
      <c r="AR3230" s="466"/>
      <c r="AS3230" s="466"/>
      <c r="AT3230" s="466"/>
      <c r="AU3230" s="466"/>
      <c r="AV3230" s="466"/>
      <c r="AW3230" s="466"/>
      <c r="AX3230" s="466"/>
      <c r="AY3230" s="466"/>
      <c r="AZ3230" s="466"/>
      <c r="BA3230" s="466"/>
      <c r="BB3230" s="466"/>
      <c r="BC3230" s="466"/>
      <c r="BD3230" s="466"/>
      <c r="BE3230" s="467"/>
      <c r="BF3230" s="467"/>
      <c r="BG3230" s="466"/>
      <c r="BH3230" s="466"/>
      <c r="BI3230" s="467"/>
      <c r="BJ3230" s="467"/>
      <c r="BK3230" s="467"/>
      <c r="BL3230" s="467"/>
      <c r="BM3230" s="467"/>
      <c r="BN3230" s="467"/>
      <c r="BO3230" s="467"/>
      <c r="BP3230" s="467"/>
      <c r="BQ3230" s="467"/>
      <c r="BR3230" s="467"/>
      <c r="BS3230" s="467"/>
      <c r="BT3230" s="467"/>
      <c r="BU3230" s="467"/>
      <c r="BV3230" s="467"/>
      <c r="BW3230" s="467"/>
      <c r="BX3230" s="769"/>
      <c r="BY3230" s="769"/>
      <c r="BZ3230" s="769"/>
      <c r="CA3230" s="769"/>
      <c r="CB3230" s="769"/>
      <c r="CC3230" s="769"/>
      <c r="CD3230" s="769"/>
      <c r="CE3230" s="769"/>
      <c r="CF3230" s="769"/>
      <c r="CG3230" s="73"/>
      <c r="CH3230" s="438"/>
      <c r="CI3230" s="416"/>
      <c r="CJ3230" s="73"/>
      <c r="CK3230" s="650"/>
      <c r="CL3230" s="499"/>
      <c r="CM3230" s="650"/>
      <c r="CR3230" s="416"/>
      <c r="CS3230" s="650"/>
      <c r="CU3230" s="73"/>
      <c r="CV3230" s="73"/>
      <c r="CW3230" s="73"/>
      <c r="CX3230" s="73"/>
      <c r="DA3230" s="650"/>
    </row>
    <row r="3231" spans="1:105" s="45" customFormat="1" x14ac:dyDescent="0.2">
      <c r="A3231" s="650"/>
      <c r="B3231" s="438"/>
      <c r="D3231" s="73"/>
      <c r="E3231" s="650"/>
      <c r="F3231" s="650"/>
      <c r="G3231" s="73"/>
      <c r="I3231" s="111"/>
      <c r="J3231" s="81"/>
      <c r="K3231" s="81"/>
      <c r="L3231" s="499"/>
      <c r="M3231" s="73"/>
      <c r="N3231" s="499"/>
      <c r="O3231" s="73"/>
      <c r="P3231" s="73"/>
      <c r="Q3231" s="73"/>
      <c r="R3231" s="176"/>
      <c r="S3231" s="176"/>
      <c r="T3231" s="176"/>
      <c r="U3231" s="400"/>
      <c r="V3231" s="400"/>
      <c r="W3231" s="732"/>
      <c r="X3231" s="167"/>
      <c r="Y3231" s="509"/>
      <c r="Z3231" s="466"/>
      <c r="AA3231" s="466"/>
      <c r="AB3231" s="466"/>
      <c r="AC3231" s="466"/>
      <c r="AD3231" s="466"/>
      <c r="AE3231" s="466"/>
      <c r="AF3231" s="466"/>
      <c r="AG3231" s="466"/>
      <c r="AH3231" s="466"/>
      <c r="AI3231" s="466"/>
      <c r="AJ3231" s="466"/>
      <c r="AK3231" s="466"/>
      <c r="AL3231" s="466"/>
      <c r="AM3231" s="466"/>
      <c r="AN3231" s="466"/>
      <c r="AO3231" s="466"/>
      <c r="AP3231" s="466"/>
      <c r="AQ3231" s="466"/>
      <c r="AR3231" s="466"/>
      <c r="AS3231" s="466"/>
      <c r="AT3231" s="466"/>
      <c r="AU3231" s="466"/>
      <c r="AV3231" s="466"/>
      <c r="AW3231" s="466"/>
      <c r="AX3231" s="466"/>
      <c r="AY3231" s="466"/>
      <c r="AZ3231" s="466"/>
      <c r="BA3231" s="466"/>
      <c r="BB3231" s="466"/>
      <c r="BC3231" s="466"/>
      <c r="BD3231" s="466"/>
      <c r="BE3231" s="467"/>
      <c r="BF3231" s="467"/>
      <c r="BG3231" s="466"/>
      <c r="BH3231" s="466"/>
      <c r="BI3231" s="467"/>
      <c r="BJ3231" s="467"/>
      <c r="BK3231" s="467"/>
      <c r="BL3231" s="467"/>
      <c r="BM3231" s="467"/>
      <c r="BN3231" s="467"/>
      <c r="BO3231" s="467"/>
      <c r="BP3231" s="467"/>
      <c r="BQ3231" s="467"/>
      <c r="BR3231" s="467"/>
      <c r="BS3231" s="467"/>
      <c r="BT3231" s="467"/>
      <c r="BU3231" s="467"/>
      <c r="BV3231" s="467"/>
      <c r="BW3231" s="467"/>
      <c r="BX3231" s="769"/>
      <c r="BY3231" s="769"/>
      <c r="BZ3231" s="769"/>
      <c r="CA3231" s="769"/>
      <c r="CB3231" s="769"/>
      <c r="CC3231" s="769"/>
      <c r="CD3231" s="769"/>
      <c r="CE3231" s="769"/>
      <c r="CF3231" s="769"/>
      <c r="CG3231" s="73"/>
      <c r="CH3231" s="438"/>
      <c r="CI3231" s="416"/>
      <c r="CJ3231" s="73"/>
      <c r="CK3231" s="650"/>
      <c r="CL3231" s="499"/>
      <c r="CM3231" s="650"/>
      <c r="CR3231" s="416"/>
      <c r="CS3231" s="650"/>
      <c r="CU3231" s="73"/>
      <c r="CV3231" s="73"/>
      <c r="CW3231" s="73"/>
      <c r="CX3231" s="73"/>
      <c r="DA3231" s="650"/>
    </row>
    <row r="3232" spans="1:105" s="45" customFormat="1" x14ac:dyDescent="0.2">
      <c r="A3232" s="650"/>
      <c r="B3232" s="438"/>
      <c r="D3232" s="73"/>
      <c r="E3232" s="650"/>
      <c r="F3232" s="650"/>
      <c r="G3232" s="73"/>
      <c r="I3232" s="111"/>
      <c r="J3232" s="81"/>
      <c r="K3232" s="81"/>
      <c r="L3232" s="499"/>
      <c r="M3232" s="73"/>
      <c r="N3232" s="499"/>
      <c r="O3232" s="73"/>
      <c r="P3232" s="73"/>
      <c r="Q3232" s="73"/>
      <c r="R3232" s="176"/>
      <c r="S3232" s="176"/>
      <c r="T3232" s="176"/>
      <c r="U3232" s="400"/>
      <c r="V3232" s="400"/>
      <c r="W3232" s="732"/>
      <c r="X3232" s="167"/>
      <c r="Y3232" s="509"/>
      <c r="Z3232" s="466"/>
      <c r="AA3232" s="466"/>
      <c r="AB3232" s="466"/>
      <c r="AC3232" s="466"/>
      <c r="AD3232" s="466"/>
      <c r="AE3232" s="466"/>
      <c r="AF3232" s="466"/>
      <c r="AG3232" s="466"/>
      <c r="AH3232" s="466"/>
      <c r="AI3232" s="466"/>
      <c r="AJ3232" s="466"/>
      <c r="AK3232" s="466"/>
      <c r="AL3232" s="466"/>
      <c r="AM3232" s="466"/>
      <c r="AN3232" s="466"/>
      <c r="AO3232" s="466"/>
      <c r="AP3232" s="466"/>
      <c r="AQ3232" s="466"/>
      <c r="AR3232" s="466"/>
      <c r="AS3232" s="466"/>
      <c r="AT3232" s="466"/>
      <c r="AU3232" s="466"/>
      <c r="AV3232" s="466"/>
      <c r="AW3232" s="466"/>
      <c r="AX3232" s="466"/>
      <c r="AY3232" s="466"/>
      <c r="AZ3232" s="466"/>
      <c r="BA3232" s="466"/>
      <c r="BB3232" s="466"/>
      <c r="BC3232" s="466"/>
      <c r="BD3232" s="466"/>
      <c r="BE3232" s="467"/>
      <c r="BF3232" s="467"/>
      <c r="BG3232" s="466"/>
      <c r="BH3232" s="466"/>
      <c r="BI3232" s="467"/>
      <c r="BJ3232" s="467"/>
      <c r="BK3232" s="467"/>
      <c r="BL3232" s="467"/>
      <c r="BM3232" s="467"/>
      <c r="BN3232" s="467"/>
      <c r="BO3232" s="467"/>
      <c r="BP3232" s="467"/>
      <c r="BQ3232" s="467"/>
      <c r="BR3232" s="467"/>
      <c r="BS3232" s="467"/>
      <c r="BT3232" s="467"/>
      <c r="BU3232" s="467"/>
      <c r="BV3232" s="467"/>
      <c r="BW3232" s="467"/>
      <c r="BX3232" s="769"/>
      <c r="BY3232" s="769"/>
      <c r="BZ3232" s="769"/>
      <c r="CA3232" s="769"/>
      <c r="CB3232" s="769"/>
      <c r="CC3232" s="769"/>
      <c r="CD3232" s="769"/>
      <c r="CE3232" s="769"/>
      <c r="CF3232" s="769"/>
      <c r="CG3232" s="73"/>
      <c r="CH3232" s="438"/>
      <c r="CI3232" s="416"/>
      <c r="CJ3232" s="73"/>
      <c r="CK3232" s="650"/>
      <c r="CL3232" s="499"/>
      <c r="CM3232" s="650"/>
      <c r="CR3232" s="416"/>
      <c r="CS3232" s="650"/>
      <c r="CU3232" s="73"/>
      <c r="CV3232" s="73"/>
      <c r="CW3232" s="73"/>
      <c r="CX3232" s="73"/>
      <c r="DA3232" s="650"/>
    </row>
    <row r="3233" spans="1:105" s="45" customFormat="1" x14ac:dyDescent="0.2">
      <c r="A3233" s="650"/>
      <c r="B3233" s="438"/>
      <c r="D3233" s="73"/>
      <c r="E3233" s="650"/>
      <c r="F3233" s="650"/>
      <c r="G3233" s="73"/>
      <c r="I3233" s="111"/>
      <c r="J3233" s="81"/>
      <c r="K3233" s="81"/>
      <c r="L3233" s="499"/>
      <c r="M3233" s="73"/>
      <c r="N3233" s="499"/>
      <c r="O3233" s="73"/>
      <c r="P3233" s="73"/>
      <c r="Q3233" s="73"/>
      <c r="R3233" s="176"/>
      <c r="S3233" s="176"/>
      <c r="T3233" s="176"/>
      <c r="U3233" s="400"/>
      <c r="V3233" s="400"/>
      <c r="W3233" s="732"/>
      <c r="X3233" s="167"/>
      <c r="Y3233" s="509"/>
      <c r="Z3233" s="466"/>
      <c r="AA3233" s="466"/>
      <c r="AB3233" s="466"/>
      <c r="AC3233" s="466"/>
      <c r="AD3233" s="466"/>
      <c r="AE3233" s="466"/>
      <c r="AF3233" s="466"/>
      <c r="AG3233" s="466"/>
      <c r="AH3233" s="466"/>
      <c r="AI3233" s="466"/>
      <c r="AJ3233" s="466"/>
      <c r="AK3233" s="466"/>
      <c r="AL3233" s="466"/>
      <c r="AM3233" s="466"/>
      <c r="AN3233" s="466"/>
      <c r="AO3233" s="466"/>
      <c r="AP3233" s="466"/>
      <c r="AQ3233" s="466"/>
      <c r="AR3233" s="466"/>
      <c r="AS3233" s="466"/>
      <c r="AT3233" s="466"/>
      <c r="AU3233" s="466"/>
      <c r="AV3233" s="466"/>
      <c r="AW3233" s="466"/>
      <c r="AX3233" s="466"/>
      <c r="AY3233" s="466"/>
      <c r="AZ3233" s="466"/>
      <c r="BA3233" s="466"/>
      <c r="BB3233" s="466"/>
      <c r="BC3233" s="466"/>
      <c r="BD3233" s="466"/>
      <c r="BE3233" s="467"/>
      <c r="BF3233" s="467"/>
      <c r="BG3233" s="466"/>
      <c r="BH3233" s="466"/>
      <c r="BI3233" s="467"/>
      <c r="BJ3233" s="467"/>
      <c r="BK3233" s="467"/>
      <c r="BL3233" s="467"/>
      <c r="BM3233" s="467"/>
      <c r="BN3233" s="467"/>
      <c r="BO3233" s="467"/>
      <c r="BP3233" s="467"/>
      <c r="BQ3233" s="467"/>
      <c r="BR3233" s="467"/>
      <c r="BS3233" s="467"/>
      <c r="BT3233" s="467"/>
      <c r="BU3233" s="467"/>
      <c r="BV3233" s="467"/>
      <c r="BW3233" s="467"/>
      <c r="BX3233" s="769"/>
      <c r="BY3233" s="769"/>
      <c r="BZ3233" s="769"/>
      <c r="CA3233" s="769"/>
      <c r="CB3233" s="769"/>
      <c r="CC3233" s="769"/>
      <c r="CD3233" s="769"/>
      <c r="CE3233" s="769"/>
      <c r="CF3233" s="769"/>
      <c r="CG3233" s="73"/>
      <c r="CH3233" s="438"/>
      <c r="CI3233" s="416"/>
      <c r="CJ3233" s="73"/>
      <c r="CK3233" s="650"/>
      <c r="CL3233" s="499"/>
      <c r="CM3233" s="650"/>
      <c r="CR3233" s="416"/>
      <c r="CS3233" s="650"/>
      <c r="CU3233" s="73"/>
      <c r="CV3233" s="73"/>
      <c r="CW3233" s="73"/>
      <c r="CX3233" s="73"/>
      <c r="DA3233" s="650"/>
    </row>
    <row r="3234" spans="1:105" s="45" customFormat="1" x14ac:dyDescent="0.2">
      <c r="A3234" s="650"/>
      <c r="B3234" s="438"/>
      <c r="D3234" s="73"/>
      <c r="E3234" s="650"/>
      <c r="F3234" s="650"/>
      <c r="G3234" s="73"/>
      <c r="I3234" s="111"/>
      <c r="J3234" s="81"/>
      <c r="K3234" s="81"/>
      <c r="L3234" s="499"/>
      <c r="M3234" s="73"/>
      <c r="N3234" s="499"/>
      <c r="O3234" s="73"/>
      <c r="P3234" s="73"/>
      <c r="Q3234" s="73"/>
      <c r="R3234" s="176"/>
      <c r="S3234" s="176"/>
      <c r="T3234" s="176"/>
      <c r="U3234" s="400"/>
      <c r="V3234" s="400"/>
      <c r="W3234" s="732"/>
      <c r="X3234" s="167"/>
      <c r="Y3234" s="509"/>
      <c r="Z3234" s="466"/>
      <c r="AA3234" s="466"/>
      <c r="AB3234" s="466"/>
      <c r="AC3234" s="466"/>
      <c r="AD3234" s="466"/>
      <c r="AE3234" s="466"/>
      <c r="AF3234" s="466"/>
      <c r="AG3234" s="466"/>
      <c r="AH3234" s="466"/>
      <c r="AI3234" s="466"/>
      <c r="AJ3234" s="466"/>
      <c r="AK3234" s="466"/>
      <c r="AL3234" s="466"/>
      <c r="AM3234" s="466"/>
      <c r="AN3234" s="466"/>
      <c r="AO3234" s="466"/>
      <c r="AP3234" s="466"/>
      <c r="AQ3234" s="466"/>
      <c r="AR3234" s="466"/>
      <c r="AS3234" s="466"/>
      <c r="AT3234" s="466"/>
      <c r="AU3234" s="466"/>
      <c r="AV3234" s="466"/>
      <c r="AW3234" s="466"/>
      <c r="AX3234" s="466"/>
      <c r="AY3234" s="466"/>
      <c r="AZ3234" s="466"/>
      <c r="BA3234" s="466"/>
      <c r="BB3234" s="466"/>
      <c r="BC3234" s="466"/>
      <c r="BD3234" s="466"/>
      <c r="BE3234" s="467"/>
      <c r="BF3234" s="467"/>
      <c r="BG3234" s="466"/>
      <c r="BH3234" s="466"/>
      <c r="BI3234" s="467"/>
      <c r="BJ3234" s="467"/>
      <c r="BK3234" s="467"/>
      <c r="BL3234" s="467"/>
      <c r="BM3234" s="467"/>
      <c r="BN3234" s="467"/>
      <c r="BO3234" s="467"/>
      <c r="BP3234" s="467"/>
      <c r="BQ3234" s="467"/>
      <c r="BR3234" s="467"/>
      <c r="BS3234" s="467"/>
      <c r="BT3234" s="467"/>
      <c r="BU3234" s="467"/>
      <c r="BV3234" s="467"/>
      <c r="BW3234" s="467"/>
      <c r="BX3234" s="769"/>
      <c r="BY3234" s="769"/>
      <c r="BZ3234" s="769"/>
      <c r="CA3234" s="769"/>
      <c r="CB3234" s="769"/>
      <c r="CC3234" s="769"/>
      <c r="CD3234" s="769"/>
      <c r="CE3234" s="769"/>
      <c r="CF3234" s="769"/>
      <c r="CG3234" s="73"/>
      <c r="CH3234" s="438"/>
      <c r="CI3234" s="416"/>
      <c r="CJ3234" s="73"/>
      <c r="CK3234" s="650"/>
      <c r="CL3234" s="499"/>
      <c r="CM3234" s="650"/>
      <c r="CR3234" s="416"/>
      <c r="CS3234" s="650"/>
      <c r="CU3234" s="73"/>
      <c r="CV3234" s="73"/>
      <c r="CW3234" s="73"/>
      <c r="CX3234" s="73"/>
      <c r="DA3234" s="650"/>
    </row>
    <row r="3235" spans="1:105" s="45" customFormat="1" x14ac:dyDescent="0.2">
      <c r="A3235" s="650"/>
      <c r="B3235" s="438"/>
      <c r="D3235" s="73"/>
      <c r="E3235" s="650"/>
      <c r="F3235" s="650"/>
      <c r="G3235" s="73"/>
      <c r="I3235" s="111"/>
      <c r="J3235" s="81"/>
      <c r="K3235" s="81"/>
      <c r="L3235" s="499"/>
      <c r="M3235" s="73"/>
      <c r="N3235" s="499"/>
      <c r="O3235" s="73"/>
      <c r="P3235" s="73"/>
      <c r="Q3235" s="73"/>
      <c r="R3235" s="176"/>
      <c r="S3235" s="176"/>
      <c r="T3235" s="176"/>
      <c r="U3235" s="400"/>
      <c r="V3235" s="400"/>
      <c r="W3235" s="732"/>
      <c r="X3235" s="167"/>
      <c r="Y3235" s="509"/>
      <c r="Z3235" s="466"/>
      <c r="AA3235" s="466"/>
      <c r="AB3235" s="466"/>
      <c r="AC3235" s="466"/>
      <c r="AD3235" s="466"/>
      <c r="AE3235" s="466"/>
      <c r="AF3235" s="466"/>
      <c r="AG3235" s="466"/>
      <c r="AH3235" s="466"/>
      <c r="AI3235" s="466"/>
      <c r="AJ3235" s="466"/>
      <c r="AK3235" s="466"/>
      <c r="AL3235" s="466"/>
      <c r="AM3235" s="466"/>
      <c r="AN3235" s="466"/>
      <c r="AO3235" s="466"/>
      <c r="AP3235" s="466"/>
      <c r="AQ3235" s="466"/>
      <c r="AR3235" s="466"/>
      <c r="AS3235" s="466"/>
      <c r="AT3235" s="466"/>
      <c r="AU3235" s="466"/>
      <c r="AV3235" s="466"/>
      <c r="AW3235" s="466"/>
      <c r="AX3235" s="466"/>
      <c r="AY3235" s="466"/>
      <c r="AZ3235" s="466"/>
      <c r="BA3235" s="466"/>
      <c r="BB3235" s="466"/>
      <c r="BC3235" s="466"/>
      <c r="BD3235" s="466"/>
      <c r="BE3235" s="467"/>
      <c r="BF3235" s="467"/>
      <c r="BG3235" s="466"/>
      <c r="BH3235" s="466"/>
      <c r="BI3235" s="467"/>
      <c r="BJ3235" s="467"/>
      <c r="BK3235" s="467"/>
      <c r="BL3235" s="467"/>
      <c r="BM3235" s="467"/>
      <c r="BN3235" s="467"/>
      <c r="BO3235" s="467"/>
      <c r="BP3235" s="467"/>
      <c r="BQ3235" s="467"/>
      <c r="BR3235" s="467"/>
      <c r="BS3235" s="467"/>
      <c r="BT3235" s="467"/>
      <c r="BU3235" s="467"/>
      <c r="BV3235" s="467"/>
      <c r="BW3235" s="467"/>
      <c r="BX3235" s="769"/>
      <c r="BY3235" s="769"/>
      <c r="BZ3235" s="769"/>
      <c r="CA3235" s="769"/>
      <c r="CB3235" s="769"/>
      <c r="CC3235" s="769"/>
      <c r="CD3235" s="769"/>
      <c r="CE3235" s="769"/>
      <c r="CF3235" s="769"/>
      <c r="CG3235" s="73"/>
      <c r="CH3235" s="438"/>
      <c r="CI3235" s="416"/>
      <c r="CJ3235" s="73"/>
      <c r="CK3235" s="650"/>
      <c r="CL3235" s="499"/>
      <c r="CM3235" s="650"/>
      <c r="CR3235" s="416"/>
      <c r="CS3235" s="650"/>
      <c r="CU3235" s="73"/>
      <c r="CV3235" s="73"/>
      <c r="CW3235" s="73"/>
      <c r="CX3235" s="73"/>
      <c r="DA3235" s="650"/>
    </row>
    <row r="3236" spans="1:105" s="45" customFormat="1" x14ac:dyDescent="0.2">
      <c r="A3236" s="650"/>
      <c r="B3236" s="438"/>
      <c r="D3236" s="73"/>
      <c r="E3236" s="650"/>
      <c r="F3236" s="650"/>
      <c r="G3236" s="73"/>
      <c r="I3236" s="111"/>
      <c r="J3236" s="81"/>
      <c r="K3236" s="81"/>
      <c r="L3236" s="499"/>
      <c r="M3236" s="73"/>
      <c r="N3236" s="499"/>
      <c r="O3236" s="73"/>
      <c r="P3236" s="73"/>
      <c r="Q3236" s="73"/>
      <c r="R3236" s="176"/>
      <c r="S3236" s="176"/>
      <c r="T3236" s="176"/>
      <c r="U3236" s="400"/>
      <c r="V3236" s="400"/>
      <c r="W3236" s="732"/>
      <c r="X3236" s="167"/>
      <c r="Y3236" s="509"/>
      <c r="Z3236" s="466"/>
      <c r="AA3236" s="466"/>
      <c r="AB3236" s="466"/>
      <c r="AC3236" s="466"/>
      <c r="AD3236" s="466"/>
      <c r="AE3236" s="466"/>
      <c r="AF3236" s="466"/>
      <c r="AG3236" s="466"/>
      <c r="AH3236" s="466"/>
      <c r="AI3236" s="466"/>
      <c r="AJ3236" s="466"/>
      <c r="AK3236" s="466"/>
      <c r="AL3236" s="466"/>
      <c r="AM3236" s="466"/>
      <c r="AN3236" s="466"/>
      <c r="AO3236" s="466"/>
      <c r="AP3236" s="466"/>
      <c r="AQ3236" s="466"/>
      <c r="AR3236" s="466"/>
      <c r="AS3236" s="466"/>
      <c r="AT3236" s="466"/>
      <c r="AU3236" s="466"/>
      <c r="AV3236" s="466"/>
      <c r="AW3236" s="466"/>
      <c r="AX3236" s="466"/>
      <c r="AY3236" s="466"/>
      <c r="AZ3236" s="466"/>
      <c r="BA3236" s="466"/>
      <c r="BB3236" s="466"/>
      <c r="BC3236" s="466"/>
      <c r="BD3236" s="466"/>
      <c r="BE3236" s="467"/>
      <c r="BF3236" s="467"/>
      <c r="BG3236" s="466"/>
      <c r="BH3236" s="466"/>
      <c r="BI3236" s="467"/>
      <c r="BJ3236" s="467"/>
      <c r="BK3236" s="467"/>
      <c r="BL3236" s="467"/>
      <c r="BM3236" s="467"/>
      <c r="BN3236" s="467"/>
      <c r="BO3236" s="467"/>
      <c r="BP3236" s="467"/>
      <c r="BQ3236" s="467"/>
      <c r="BR3236" s="467"/>
      <c r="BS3236" s="467"/>
      <c r="BT3236" s="467"/>
      <c r="BU3236" s="467"/>
      <c r="BV3236" s="467"/>
      <c r="BW3236" s="467"/>
      <c r="BX3236" s="769"/>
      <c r="BY3236" s="769"/>
      <c r="BZ3236" s="769"/>
      <c r="CA3236" s="769"/>
      <c r="CB3236" s="769"/>
      <c r="CC3236" s="769"/>
      <c r="CD3236" s="769"/>
      <c r="CE3236" s="769"/>
      <c r="CF3236" s="769"/>
      <c r="CG3236" s="73"/>
      <c r="CH3236" s="438"/>
      <c r="CI3236" s="416"/>
      <c r="CJ3236" s="73"/>
      <c r="CK3236" s="650"/>
      <c r="CL3236" s="499"/>
      <c r="CM3236" s="650"/>
      <c r="CR3236" s="416"/>
      <c r="CS3236" s="650"/>
      <c r="CU3236" s="73"/>
      <c r="CV3236" s="73"/>
      <c r="CW3236" s="73"/>
      <c r="CX3236" s="73"/>
      <c r="DA3236" s="650"/>
    </row>
    <row r="3237" spans="1:105" s="45" customFormat="1" x14ac:dyDescent="0.2">
      <c r="A3237" s="650"/>
      <c r="B3237" s="438"/>
      <c r="D3237" s="73"/>
      <c r="E3237" s="650"/>
      <c r="F3237" s="650"/>
      <c r="G3237" s="73"/>
      <c r="I3237" s="111"/>
      <c r="J3237" s="81"/>
      <c r="K3237" s="81"/>
      <c r="L3237" s="499"/>
      <c r="M3237" s="73"/>
      <c r="N3237" s="499"/>
      <c r="O3237" s="73"/>
      <c r="P3237" s="73"/>
      <c r="Q3237" s="73"/>
      <c r="R3237" s="176"/>
      <c r="S3237" s="176"/>
      <c r="T3237" s="176"/>
      <c r="U3237" s="400"/>
      <c r="V3237" s="400"/>
      <c r="W3237" s="732"/>
      <c r="X3237" s="167"/>
      <c r="Y3237" s="509"/>
      <c r="Z3237" s="466"/>
      <c r="AA3237" s="466"/>
      <c r="AB3237" s="466"/>
      <c r="AC3237" s="466"/>
      <c r="AD3237" s="466"/>
      <c r="AE3237" s="466"/>
      <c r="AF3237" s="466"/>
      <c r="AG3237" s="466"/>
      <c r="AH3237" s="466"/>
      <c r="AI3237" s="466"/>
      <c r="AJ3237" s="466"/>
      <c r="AK3237" s="466"/>
      <c r="AL3237" s="466"/>
      <c r="AM3237" s="466"/>
      <c r="AN3237" s="466"/>
      <c r="AO3237" s="466"/>
      <c r="AP3237" s="466"/>
      <c r="AQ3237" s="466"/>
      <c r="AR3237" s="466"/>
      <c r="AS3237" s="466"/>
      <c r="AT3237" s="466"/>
      <c r="AU3237" s="466"/>
      <c r="AV3237" s="466"/>
      <c r="AW3237" s="466"/>
      <c r="AX3237" s="466"/>
      <c r="AY3237" s="466"/>
      <c r="AZ3237" s="466"/>
      <c r="BA3237" s="466"/>
      <c r="BB3237" s="466"/>
      <c r="BC3237" s="466"/>
      <c r="BD3237" s="466"/>
      <c r="BE3237" s="467"/>
      <c r="BF3237" s="467"/>
      <c r="BG3237" s="466"/>
      <c r="BH3237" s="466"/>
      <c r="BI3237" s="467"/>
      <c r="BJ3237" s="467"/>
      <c r="BK3237" s="467"/>
      <c r="BL3237" s="467"/>
      <c r="BM3237" s="467"/>
      <c r="BN3237" s="467"/>
      <c r="BO3237" s="467"/>
      <c r="BP3237" s="467"/>
      <c r="BQ3237" s="467"/>
      <c r="BR3237" s="467"/>
      <c r="BS3237" s="467"/>
      <c r="BT3237" s="467"/>
      <c r="BU3237" s="467"/>
      <c r="BV3237" s="467"/>
      <c r="BW3237" s="467"/>
      <c r="BX3237" s="769"/>
      <c r="BY3237" s="769"/>
      <c r="BZ3237" s="769"/>
      <c r="CA3237" s="769"/>
      <c r="CB3237" s="769"/>
      <c r="CC3237" s="769"/>
      <c r="CD3237" s="769"/>
      <c r="CE3237" s="769"/>
      <c r="CF3237" s="769"/>
      <c r="CG3237" s="73"/>
      <c r="CH3237" s="438"/>
      <c r="CI3237" s="416"/>
      <c r="CJ3237" s="73"/>
      <c r="CK3237" s="650"/>
      <c r="CL3237" s="499"/>
      <c r="CM3237" s="650"/>
      <c r="CR3237" s="416"/>
      <c r="CS3237" s="650"/>
      <c r="CU3237" s="73"/>
      <c r="CV3237" s="73"/>
      <c r="CW3237" s="73"/>
      <c r="CX3237" s="73"/>
      <c r="DA3237" s="650"/>
    </row>
    <row r="3238" spans="1:105" s="45" customFormat="1" x14ac:dyDescent="0.2">
      <c r="A3238" s="650"/>
      <c r="B3238" s="438"/>
      <c r="D3238" s="73"/>
      <c r="E3238" s="650"/>
      <c r="F3238" s="650"/>
      <c r="G3238" s="73"/>
      <c r="I3238" s="111"/>
      <c r="J3238" s="81"/>
      <c r="K3238" s="81"/>
      <c r="L3238" s="499"/>
      <c r="M3238" s="73"/>
      <c r="N3238" s="499"/>
      <c r="O3238" s="73"/>
      <c r="P3238" s="73"/>
      <c r="Q3238" s="73"/>
      <c r="R3238" s="176"/>
      <c r="S3238" s="176"/>
      <c r="T3238" s="176"/>
      <c r="U3238" s="400"/>
      <c r="V3238" s="400"/>
      <c r="W3238" s="732"/>
      <c r="X3238" s="167"/>
      <c r="Y3238" s="509"/>
      <c r="Z3238" s="466"/>
      <c r="AA3238" s="466"/>
      <c r="AB3238" s="466"/>
      <c r="AC3238" s="466"/>
      <c r="AD3238" s="466"/>
      <c r="AE3238" s="466"/>
      <c r="AF3238" s="466"/>
      <c r="AG3238" s="466"/>
      <c r="AH3238" s="466"/>
      <c r="AI3238" s="466"/>
      <c r="AJ3238" s="466"/>
      <c r="AK3238" s="466"/>
      <c r="AL3238" s="466"/>
      <c r="AM3238" s="466"/>
      <c r="AN3238" s="466"/>
      <c r="AO3238" s="466"/>
      <c r="AP3238" s="466"/>
      <c r="AQ3238" s="466"/>
      <c r="AR3238" s="466"/>
      <c r="AS3238" s="466"/>
      <c r="AT3238" s="466"/>
      <c r="AU3238" s="466"/>
      <c r="AV3238" s="466"/>
      <c r="AW3238" s="466"/>
      <c r="AX3238" s="466"/>
      <c r="AY3238" s="466"/>
      <c r="AZ3238" s="466"/>
      <c r="BA3238" s="466"/>
      <c r="BB3238" s="466"/>
      <c r="BC3238" s="466"/>
      <c r="BD3238" s="466"/>
      <c r="BE3238" s="467"/>
      <c r="BF3238" s="467"/>
      <c r="BG3238" s="466"/>
      <c r="BH3238" s="466"/>
      <c r="BI3238" s="467"/>
      <c r="BJ3238" s="467"/>
      <c r="BK3238" s="467"/>
      <c r="BL3238" s="467"/>
      <c r="BM3238" s="467"/>
      <c r="BN3238" s="467"/>
      <c r="BO3238" s="467"/>
      <c r="BP3238" s="467"/>
      <c r="BQ3238" s="467"/>
      <c r="BR3238" s="467"/>
      <c r="BS3238" s="467"/>
      <c r="BT3238" s="467"/>
      <c r="BU3238" s="467"/>
      <c r="BV3238" s="467"/>
      <c r="BW3238" s="467"/>
      <c r="BX3238" s="769"/>
      <c r="BY3238" s="769"/>
      <c r="BZ3238" s="769"/>
      <c r="CA3238" s="769"/>
      <c r="CB3238" s="769"/>
      <c r="CC3238" s="769"/>
      <c r="CD3238" s="769"/>
      <c r="CE3238" s="769"/>
      <c r="CF3238" s="769"/>
      <c r="CG3238" s="73"/>
      <c r="CH3238" s="438"/>
      <c r="CI3238" s="416"/>
      <c r="CJ3238" s="73"/>
      <c r="CK3238" s="650"/>
      <c r="CL3238" s="499"/>
      <c r="CM3238" s="650"/>
      <c r="CR3238" s="416"/>
      <c r="CS3238" s="650"/>
      <c r="CU3238" s="73"/>
      <c r="CV3238" s="73"/>
      <c r="CW3238" s="73"/>
      <c r="CX3238" s="73"/>
      <c r="DA3238" s="650"/>
    </row>
    <row r="3239" spans="1:105" s="45" customFormat="1" x14ac:dyDescent="0.2">
      <c r="A3239" s="650"/>
      <c r="B3239" s="438"/>
      <c r="D3239" s="73"/>
      <c r="E3239" s="650"/>
      <c r="F3239" s="650"/>
      <c r="G3239" s="73"/>
      <c r="I3239" s="111"/>
      <c r="J3239" s="81"/>
      <c r="K3239" s="81"/>
      <c r="L3239" s="499"/>
      <c r="M3239" s="73"/>
      <c r="N3239" s="499"/>
      <c r="O3239" s="73"/>
      <c r="P3239" s="73"/>
      <c r="Q3239" s="73"/>
      <c r="R3239" s="176"/>
      <c r="S3239" s="176"/>
      <c r="T3239" s="176"/>
      <c r="U3239" s="400"/>
      <c r="V3239" s="400"/>
      <c r="W3239" s="732"/>
      <c r="X3239" s="167"/>
      <c r="Y3239" s="509"/>
      <c r="Z3239" s="466"/>
      <c r="AA3239" s="466"/>
      <c r="AB3239" s="466"/>
      <c r="AC3239" s="466"/>
      <c r="AD3239" s="466"/>
      <c r="AE3239" s="466"/>
      <c r="AF3239" s="466"/>
      <c r="AG3239" s="466"/>
      <c r="AH3239" s="466"/>
      <c r="AI3239" s="466"/>
      <c r="AJ3239" s="466"/>
      <c r="AK3239" s="466"/>
      <c r="AL3239" s="466"/>
      <c r="AM3239" s="466"/>
      <c r="AN3239" s="466"/>
      <c r="AO3239" s="466"/>
      <c r="AP3239" s="466"/>
      <c r="AQ3239" s="466"/>
      <c r="AR3239" s="466"/>
      <c r="AS3239" s="466"/>
      <c r="AT3239" s="466"/>
      <c r="AU3239" s="466"/>
      <c r="AV3239" s="466"/>
      <c r="AW3239" s="466"/>
      <c r="AX3239" s="466"/>
      <c r="AY3239" s="466"/>
      <c r="AZ3239" s="466"/>
      <c r="BA3239" s="466"/>
      <c r="BB3239" s="466"/>
      <c r="BC3239" s="466"/>
      <c r="BD3239" s="466"/>
      <c r="BE3239" s="467"/>
      <c r="BF3239" s="467"/>
      <c r="BG3239" s="466"/>
      <c r="BH3239" s="466"/>
      <c r="BI3239" s="467"/>
      <c r="BJ3239" s="467"/>
      <c r="BK3239" s="467"/>
      <c r="BL3239" s="467"/>
      <c r="BM3239" s="467"/>
      <c r="BN3239" s="467"/>
      <c r="BO3239" s="467"/>
      <c r="BP3239" s="467"/>
      <c r="BQ3239" s="467"/>
      <c r="BR3239" s="467"/>
      <c r="BS3239" s="467"/>
      <c r="BT3239" s="467"/>
      <c r="BU3239" s="467"/>
      <c r="BV3239" s="467"/>
      <c r="BW3239" s="467"/>
      <c r="BX3239" s="769"/>
      <c r="BY3239" s="769"/>
      <c r="BZ3239" s="769"/>
      <c r="CA3239" s="769"/>
      <c r="CB3239" s="769"/>
      <c r="CC3239" s="769"/>
      <c r="CD3239" s="769"/>
      <c r="CE3239" s="769"/>
      <c r="CF3239" s="769"/>
      <c r="CG3239" s="73"/>
      <c r="CH3239" s="438"/>
      <c r="CI3239" s="416"/>
      <c r="CJ3239" s="73"/>
      <c r="CK3239" s="650"/>
      <c r="CL3239" s="499"/>
      <c r="CM3239" s="650"/>
      <c r="CR3239" s="416"/>
      <c r="CS3239" s="650"/>
      <c r="CU3239" s="73"/>
      <c r="CV3239" s="73"/>
      <c r="CW3239" s="73"/>
      <c r="CX3239" s="73"/>
      <c r="DA3239" s="650"/>
    </row>
    <row r="3240" spans="1:105" s="45" customFormat="1" x14ac:dyDescent="0.2">
      <c r="A3240" s="650"/>
      <c r="B3240" s="438"/>
      <c r="D3240" s="73"/>
      <c r="E3240" s="650"/>
      <c r="F3240" s="650"/>
      <c r="G3240" s="73"/>
      <c r="I3240" s="111"/>
      <c r="J3240" s="81"/>
      <c r="K3240" s="81"/>
      <c r="L3240" s="499"/>
      <c r="M3240" s="73"/>
      <c r="N3240" s="499"/>
      <c r="O3240" s="73"/>
      <c r="P3240" s="73"/>
      <c r="Q3240" s="73"/>
      <c r="R3240" s="176"/>
      <c r="S3240" s="176"/>
      <c r="T3240" s="176"/>
      <c r="U3240" s="400"/>
      <c r="V3240" s="400"/>
      <c r="W3240" s="732"/>
      <c r="X3240" s="167"/>
      <c r="Y3240" s="509"/>
      <c r="Z3240" s="466"/>
      <c r="AA3240" s="466"/>
      <c r="AB3240" s="466"/>
      <c r="AC3240" s="466"/>
      <c r="AD3240" s="466"/>
      <c r="AE3240" s="466"/>
      <c r="AF3240" s="466"/>
      <c r="AG3240" s="466"/>
      <c r="AH3240" s="466"/>
      <c r="AI3240" s="466"/>
      <c r="AJ3240" s="466"/>
      <c r="AK3240" s="466"/>
      <c r="AL3240" s="466"/>
      <c r="AM3240" s="466"/>
      <c r="AN3240" s="466"/>
      <c r="AO3240" s="466"/>
      <c r="AP3240" s="466"/>
      <c r="AQ3240" s="466"/>
      <c r="AR3240" s="466"/>
      <c r="AS3240" s="466"/>
      <c r="AT3240" s="466"/>
      <c r="AU3240" s="466"/>
      <c r="AV3240" s="466"/>
      <c r="AW3240" s="466"/>
      <c r="AX3240" s="466"/>
      <c r="AY3240" s="466"/>
      <c r="AZ3240" s="466"/>
      <c r="BA3240" s="466"/>
      <c r="BB3240" s="466"/>
      <c r="BC3240" s="466"/>
      <c r="BD3240" s="466"/>
      <c r="BE3240" s="467"/>
      <c r="BF3240" s="467"/>
      <c r="BG3240" s="466"/>
      <c r="BH3240" s="466"/>
      <c r="BI3240" s="467"/>
      <c r="BJ3240" s="467"/>
      <c r="BK3240" s="467"/>
      <c r="BL3240" s="467"/>
      <c r="BM3240" s="467"/>
      <c r="BN3240" s="467"/>
      <c r="BO3240" s="467"/>
      <c r="BP3240" s="467"/>
      <c r="BQ3240" s="467"/>
      <c r="BR3240" s="467"/>
      <c r="BS3240" s="467"/>
      <c r="BT3240" s="467"/>
      <c r="BU3240" s="467"/>
      <c r="BV3240" s="467"/>
      <c r="BW3240" s="467"/>
      <c r="BX3240" s="769"/>
      <c r="BY3240" s="769"/>
      <c r="BZ3240" s="769"/>
      <c r="CA3240" s="769"/>
      <c r="CB3240" s="769"/>
      <c r="CC3240" s="769"/>
      <c r="CD3240" s="769"/>
      <c r="CE3240" s="769"/>
      <c r="CF3240" s="769"/>
      <c r="CG3240" s="73"/>
      <c r="CH3240" s="438"/>
      <c r="CI3240" s="416"/>
      <c r="CJ3240" s="73"/>
      <c r="CK3240" s="650"/>
      <c r="CL3240" s="499"/>
      <c r="CM3240" s="650"/>
      <c r="CR3240" s="416"/>
      <c r="CS3240" s="650"/>
      <c r="CU3240" s="73"/>
      <c r="CV3240" s="73"/>
      <c r="CW3240" s="73"/>
      <c r="CX3240" s="73"/>
      <c r="DA3240" s="650"/>
    </row>
    <row r="3241" spans="1:105" s="45" customFormat="1" x14ac:dyDescent="0.2">
      <c r="A3241" s="650"/>
      <c r="B3241" s="438"/>
      <c r="D3241" s="73"/>
      <c r="E3241" s="650"/>
      <c r="F3241" s="650"/>
      <c r="G3241" s="73"/>
      <c r="I3241" s="111"/>
      <c r="J3241" s="81"/>
      <c r="K3241" s="81"/>
      <c r="L3241" s="499"/>
      <c r="M3241" s="73"/>
      <c r="N3241" s="499"/>
      <c r="O3241" s="73"/>
      <c r="P3241" s="73"/>
      <c r="Q3241" s="73"/>
      <c r="R3241" s="176"/>
      <c r="S3241" s="176"/>
      <c r="T3241" s="176"/>
      <c r="U3241" s="400"/>
      <c r="V3241" s="400"/>
      <c r="W3241" s="732"/>
      <c r="X3241" s="167"/>
      <c r="Y3241" s="509"/>
      <c r="Z3241" s="466"/>
      <c r="AA3241" s="466"/>
      <c r="AB3241" s="466"/>
      <c r="AC3241" s="466"/>
      <c r="AD3241" s="466"/>
      <c r="AE3241" s="466"/>
      <c r="AF3241" s="466"/>
      <c r="AG3241" s="466"/>
      <c r="AH3241" s="466"/>
      <c r="AI3241" s="466"/>
      <c r="AJ3241" s="466"/>
      <c r="AK3241" s="466"/>
      <c r="AL3241" s="466"/>
      <c r="AM3241" s="466"/>
      <c r="AN3241" s="466"/>
      <c r="AO3241" s="466"/>
      <c r="AP3241" s="466"/>
      <c r="AQ3241" s="466"/>
      <c r="AR3241" s="466"/>
      <c r="AS3241" s="466"/>
      <c r="AT3241" s="466"/>
      <c r="AU3241" s="466"/>
      <c r="AV3241" s="466"/>
      <c r="AW3241" s="466"/>
      <c r="AX3241" s="466"/>
      <c r="AY3241" s="466"/>
      <c r="AZ3241" s="466"/>
      <c r="BA3241" s="466"/>
      <c r="BB3241" s="466"/>
      <c r="BC3241" s="466"/>
      <c r="BD3241" s="466"/>
      <c r="BE3241" s="467"/>
      <c r="BF3241" s="467"/>
      <c r="BG3241" s="466"/>
      <c r="BH3241" s="466"/>
      <c r="BI3241" s="467"/>
      <c r="BJ3241" s="467"/>
      <c r="BK3241" s="467"/>
      <c r="BL3241" s="467"/>
      <c r="BM3241" s="467"/>
      <c r="BN3241" s="467"/>
      <c r="BO3241" s="467"/>
      <c r="BP3241" s="467"/>
      <c r="BQ3241" s="467"/>
      <c r="BR3241" s="467"/>
      <c r="BS3241" s="467"/>
      <c r="BT3241" s="467"/>
      <c r="BU3241" s="467"/>
      <c r="BV3241" s="467"/>
      <c r="BW3241" s="467"/>
      <c r="BX3241" s="769"/>
      <c r="BY3241" s="769"/>
      <c r="BZ3241" s="769"/>
      <c r="CA3241" s="769"/>
      <c r="CB3241" s="769"/>
      <c r="CC3241" s="769"/>
      <c r="CD3241" s="769"/>
      <c r="CE3241" s="769"/>
      <c r="CF3241" s="769"/>
      <c r="CG3241" s="73"/>
      <c r="CH3241" s="438"/>
      <c r="CI3241" s="416"/>
      <c r="CJ3241" s="73"/>
      <c r="CK3241" s="650"/>
      <c r="CL3241" s="499"/>
      <c r="CM3241" s="650"/>
      <c r="CR3241" s="416"/>
      <c r="CS3241" s="650"/>
      <c r="CU3241" s="73"/>
      <c r="CV3241" s="73"/>
      <c r="CW3241" s="73"/>
      <c r="CX3241" s="73"/>
      <c r="DA3241" s="650"/>
    </row>
    <row r="3242" spans="1:105" s="45" customFormat="1" x14ac:dyDescent="0.2">
      <c r="A3242" s="650"/>
      <c r="B3242" s="438"/>
      <c r="D3242" s="73"/>
      <c r="E3242" s="650"/>
      <c r="F3242" s="650"/>
      <c r="G3242" s="73"/>
      <c r="I3242" s="111"/>
      <c r="J3242" s="81"/>
      <c r="K3242" s="81"/>
      <c r="L3242" s="499"/>
      <c r="M3242" s="73"/>
      <c r="N3242" s="499"/>
      <c r="O3242" s="73"/>
      <c r="P3242" s="73"/>
      <c r="Q3242" s="73"/>
      <c r="R3242" s="176"/>
      <c r="S3242" s="176"/>
      <c r="T3242" s="176"/>
      <c r="U3242" s="400"/>
      <c r="V3242" s="400"/>
      <c r="W3242" s="732"/>
      <c r="X3242" s="167"/>
      <c r="Y3242" s="509"/>
      <c r="Z3242" s="466"/>
      <c r="AA3242" s="466"/>
      <c r="AB3242" s="466"/>
      <c r="AC3242" s="466"/>
      <c r="AD3242" s="466"/>
      <c r="AE3242" s="466"/>
      <c r="AF3242" s="466"/>
      <c r="AG3242" s="466"/>
      <c r="AH3242" s="466"/>
      <c r="AI3242" s="466"/>
      <c r="AJ3242" s="466"/>
      <c r="AK3242" s="466"/>
      <c r="AL3242" s="466"/>
      <c r="AM3242" s="466"/>
      <c r="AN3242" s="466"/>
      <c r="AO3242" s="466"/>
      <c r="AP3242" s="466"/>
      <c r="AQ3242" s="466"/>
      <c r="AR3242" s="466"/>
      <c r="AS3242" s="466"/>
      <c r="AT3242" s="466"/>
      <c r="AU3242" s="466"/>
      <c r="AV3242" s="466"/>
      <c r="AW3242" s="466"/>
      <c r="AX3242" s="466"/>
      <c r="AY3242" s="466"/>
      <c r="AZ3242" s="466"/>
      <c r="BA3242" s="466"/>
      <c r="BB3242" s="466"/>
      <c r="BC3242" s="466"/>
      <c r="BD3242" s="466"/>
      <c r="BE3242" s="467"/>
      <c r="BF3242" s="467"/>
      <c r="BG3242" s="466"/>
      <c r="BH3242" s="466"/>
      <c r="BI3242" s="467"/>
      <c r="BJ3242" s="467"/>
      <c r="BK3242" s="467"/>
      <c r="BL3242" s="467"/>
      <c r="BM3242" s="467"/>
      <c r="BN3242" s="467"/>
      <c r="BO3242" s="467"/>
      <c r="BP3242" s="467"/>
      <c r="BQ3242" s="467"/>
      <c r="BR3242" s="467"/>
      <c r="BS3242" s="467"/>
      <c r="BT3242" s="467"/>
      <c r="BU3242" s="467"/>
      <c r="BV3242" s="467"/>
      <c r="BW3242" s="467"/>
      <c r="BX3242" s="769"/>
      <c r="BY3242" s="769"/>
      <c r="BZ3242" s="769"/>
      <c r="CA3242" s="769"/>
      <c r="CB3242" s="769"/>
      <c r="CC3242" s="769"/>
      <c r="CD3242" s="769"/>
      <c r="CE3242" s="769"/>
      <c r="CF3242" s="769"/>
      <c r="CG3242" s="73"/>
      <c r="CH3242" s="438"/>
      <c r="CI3242" s="416"/>
      <c r="CJ3242" s="73"/>
      <c r="CK3242" s="650"/>
      <c r="CL3242" s="499"/>
      <c r="CM3242" s="650"/>
      <c r="CR3242" s="416"/>
      <c r="CS3242" s="650"/>
      <c r="CU3242" s="73"/>
      <c r="CV3242" s="73"/>
      <c r="CW3242" s="73"/>
      <c r="CX3242" s="73"/>
      <c r="DA3242" s="650"/>
    </row>
    <row r="3243" spans="1:105" s="45" customFormat="1" x14ac:dyDescent="0.2">
      <c r="A3243" s="650"/>
      <c r="B3243" s="438"/>
      <c r="D3243" s="73"/>
      <c r="E3243" s="650"/>
      <c r="F3243" s="650"/>
      <c r="G3243" s="73"/>
      <c r="I3243" s="111"/>
      <c r="J3243" s="81"/>
      <c r="K3243" s="81"/>
      <c r="L3243" s="499"/>
      <c r="M3243" s="73"/>
      <c r="N3243" s="499"/>
      <c r="O3243" s="73"/>
      <c r="P3243" s="73"/>
      <c r="Q3243" s="73"/>
      <c r="R3243" s="176"/>
      <c r="S3243" s="176"/>
      <c r="T3243" s="176"/>
      <c r="U3243" s="400"/>
      <c r="V3243" s="400"/>
      <c r="W3243" s="732"/>
      <c r="X3243" s="167"/>
      <c r="Y3243" s="509"/>
      <c r="Z3243" s="466"/>
      <c r="AA3243" s="466"/>
      <c r="AB3243" s="466"/>
      <c r="AC3243" s="466"/>
      <c r="AD3243" s="466"/>
      <c r="AE3243" s="466"/>
      <c r="AF3243" s="466"/>
      <c r="AG3243" s="466"/>
      <c r="AH3243" s="466"/>
      <c r="AI3243" s="466"/>
      <c r="AJ3243" s="466"/>
      <c r="AK3243" s="466"/>
      <c r="AL3243" s="466"/>
      <c r="AM3243" s="466"/>
      <c r="AN3243" s="466"/>
      <c r="AO3243" s="466"/>
      <c r="AP3243" s="466"/>
      <c r="AQ3243" s="466"/>
      <c r="AR3243" s="466"/>
      <c r="AS3243" s="466"/>
      <c r="AT3243" s="466"/>
      <c r="AU3243" s="466"/>
      <c r="AV3243" s="466"/>
      <c r="AW3243" s="466"/>
      <c r="AX3243" s="466"/>
      <c r="AY3243" s="466"/>
      <c r="AZ3243" s="466"/>
      <c r="BA3243" s="466"/>
      <c r="BB3243" s="466"/>
      <c r="BC3243" s="466"/>
      <c r="BD3243" s="466"/>
      <c r="BE3243" s="467"/>
      <c r="BF3243" s="467"/>
      <c r="BG3243" s="466"/>
      <c r="BH3243" s="466"/>
      <c r="BI3243" s="467"/>
      <c r="BJ3243" s="467"/>
      <c r="BK3243" s="467"/>
      <c r="BL3243" s="467"/>
      <c r="BM3243" s="467"/>
      <c r="BN3243" s="467"/>
      <c r="BO3243" s="467"/>
      <c r="BP3243" s="467"/>
      <c r="BQ3243" s="467"/>
      <c r="BR3243" s="467"/>
      <c r="BS3243" s="467"/>
      <c r="BT3243" s="467"/>
      <c r="BU3243" s="467"/>
      <c r="BV3243" s="467"/>
      <c r="BW3243" s="467"/>
      <c r="BX3243" s="769"/>
      <c r="BY3243" s="769"/>
      <c r="BZ3243" s="769"/>
      <c r="CA3243" s="769"/>
      <c r="CB3243" s="769"/>
      <c r="CC3243" s="769"/>
      <c r="CD3243" s="769"/>
      <c r="CE3243" s="769"/>
      <c r="CF3243" s="769"/>
      <c r="CG3243" s="73"/>
      <c r="CH3243" s="438"/>
      <c r="CI3243" s="416"/>
      <c r="CJ3243" s="73"/>
      <c r="CK3243" s="650"/>
      <c r="CL3243" s="499"/>
      <c r="CM3243" s="650"/>
      <c r="CR3243" s="416"/>
      <c r="CS3243" s="650"/>
      <c r="CU3243" s="73"/>
      <c r="CV3243" s="73"/>
      <c r="CW3243" s="73"/>
      <c r="CX3243" s="73"/>
      <c r="DA3243" s="650"/>
    </row>
    <row r="3244" spans="1:105" s="45" customFormat="1" x14ac:dyDescent="0.2">
      <c r="A3244" s="650"/>
      <c r="B3244" s="438"/>
      <c r="D3244" s="73"/>
      <c r="E3244" s="650"/>
      <c r="F3244" s="650"/>
      <c r="G3244" s="73"/>
      <c r="I3244" s="111"/>
      <c r="J3244" s="81"/>
      <c r="K3244" s="81"/>
      <c r="L3244" s="499"/>
      <c r="M3244" s="73"/>
      <c r="N3244" s="499"/>
      <c r="O3244" s="73"/>
      <c r="P3244" s="73"/>
      <c r="Q3244" s="73"/>
      <c r="R3244" s="176"/>
      <c r="S3244" s="176"/>
      <c r="T3244" s="176"/>
      <c r="U3244" s="400"/>
      <c r="V3244" s="400"/>
      <c r="W3244" s="732"/>
      <c r="X3244" s="167"/>
      <c r="Y3244" s="509"/>
      <c r="Z3244" s="466"/>
      <c r="AA3244" s="466"/>
      <c r="AB3244" s="466"/>
      <c r="AC3244" s="466"/>
      <c r="AD3244" s="466"/>
      <c r="AE3244" s="466"/>
      <c r="AF3244" s="466"/>
      <c r="AG3244" s="466"/>
      <c r="AH3244" s="466"/>
      <c r="AI3244" s="466"/>
      <c r="AJ3244" s="466"/>
      <c r="AK3244" s="466"/>
      <c r="AL3244" s="466"/>
      <c r="AM3244" s="466"/>
      <c r="AN3244" s="466"/>
      <c r="AO3244" s="466"/>
      <c r="AP3244" s="466"/>
      <c r="AQ3244" s="466"/>
      <c r="AR3244" s="466"/>
      <c r="AS3244" s="466"/>
      <c r="AT3244" s="466"/>
      <c r="AU3244" s="466"/>
      <c r="AV3244" s="466"/>
      <c r="AW3244" s="466"/>
      <c r="AX3244" s="466"/>
      <c r="AY3244" s="466"/>
      <c r="AZ3244" s="466"/>
      <c r="BA3244" s="466"/>
      <c r="BB3244" s="466"/>
      <c r="BC3244" s="466"/>
      <c r="BD3244" s="466"/>
      <c r="BE3244" s="467"/>
      <c r="BF3244" s="467"/>
      <c r="BG3244" s="466"/>
      <c r="BH3244" s="466"/>
      <c r="BI3244" s="467"/>
      <c r="BJ3244" s="467"/>
      <c r="BK3244" s="467"/>
      <c r="BL3244" s="467"/>
      <c r="BM3244" s="467"/>
      <c r="BN3244" s="467"/>
      <c r="BO3244" s="467"/>
      <c r="BP3244" s="467"/>
      <c r="BQ3244" s="467"/>
      <c r="BR3244" s="467"/>
      <c r="BS3244" s="467"/>
      <c r="BT3244" s="467"/>
      <c r="BU3244" s="467"/>
      <c r="BV3244" s="467"/>
      <c r="BW3244" s="467"/>
      <c r="BX3244" s="769"/>
      <c r="BY3244" s="769"/>
      <c r="BZ3244" s="769"/>
      <c r="CA3244" s="769"/>
      <c r="CB3244" s="769"/>
      <c r="CC3244" s="769"/>
      <c r="CD3244" s="769"/>
      <c r="CE3244" s="769"/>
      <c r="CF3244" s="769"/>
      <c r="CG3244" s="73"/>
      <c r="CH3244" s="438"/>
      <c r="CI3244" s="416"/>
      <c r="CJ3244" s="73"/>
      <c r="CK3244" s="650"/>
      <c r="CL3244" s="499"/>
      <c r="CM3244" s="650"/>
      <c r="CR3244" s="416"/>
      <c r="CS3244" s="650"/>
      <c r="CU3244" s="73"/>
      <c r="CV3244" s="73"/>
      <c r="CW3244" s="73"/>
      <c r="CX3244" s="73"/>
      <c r="DA3244" s="650"/>
    </row>
    <row r="3245" spans="1:105" s="45" customFormat="1" x14ac:dyDescent="0.2">
      <c r="A3245" s="650"/>
      <c r="B3245" s="438"/>
      <c r="D3245" s="73"/>
      <c r="E3245" s="650"/>
      <c r="F3245" s="650"/>
      <c r="G3245" s="73"/>
      <c r="I3245" s="111"/>
      <c r="J3245" s="81"/>
      <c r="K3245" s="81"/>
      <c r="L3245" s="499"/>
      <c r="M3245" s="73"/>
      <c r="N3245" s="499"/>
      <c r="O3245" s="73"/>
      <c r="P3245" s="73"/>
      <c r="Q3245" s="73"/>
      <c r="R3245" s="176"/>
      <c r="S3245" s="176"/>
      <c r="T3245" s="176"/>
      <c r="U3245" s="400"/>
      <c r="V3245" s="400"/>
      <c r="W3245" s="732"/>
      <c r="X3245" s="167"/>
      <c r="Y3245" s="509"/>
      <c r="Z3245" s="466"/>
      <c r="AA3245" s="466"/>
      <c r="AB3245" s="466"/>
      <c r="AC3245" s="466"/>
      <c r="AD3245" s="466"/>
      <c r="AE3245" s="466"/>
      <c r="AF3245" s="466"/>
      <c r="AG3245" s="466"/>
      <c r="AH3245" s="466"/>
      <c r="AI3245" s="466"/>
      <c r="AJ3245" s="466"/>
      <c r="AK3245" s="466"/>
      <c r="AL3245" s="466"/>
      <c r="AM3245" s="466"/>
      <c r="AN3245" s="466"/>
      <c r="AO3245" s="466"/>
      <c r="AP3245" s="466"/>
      <c r="AQ3245" s="466"/>
      <c r="AR3245" s="466"/>
      <c r="AS3245" s="466"/>
      <c r="AT3245" s="466"/>
      <c r="AU3245" s="466"/>
      <c r="AV3245" s="466"/>
      <c r="AW3245" s="466"/>
      <c r="AX3245" s="466"/>
      <c r="AY3245" s="466"/>
      <c r="AZ3245" s="466"/>
      <c r="BA3245" s="466"/>
      <c r="BB3245" s="466"/>
      <c r="BC3245" s="466"/>
      <c r="BD3245" s="466"/>
      <c r="BE3245" s="467"/>
      <c r="BF3245" s="467"/>
      <c r="BG3245" s="466"/>
      <c r="BH3245" s="466"/>
      <c r="BI3245" s="467"/>
      <c r="BJ3245" s="467"/>
      <c r="BK3245" s="467"/>
      <c r="BL3245" s="467"/>
      <c r="BM3245" s="467"/>
      <c r="BN3245" s="467"/>
      <c r="BO3245" s="467"/>
      <c r="BP3245" s="467"/>
      <c r="BQ3245" s="467"/>
      <c r="BR3245" s="467"/>
      <c r="BS3245" s="467"/>
      <c r="BT3245" s="467"/>
      <c r="BU3245" s="467"/>
      <c r="BV3245" s="467"/>
      <c r="BW3245" s="467"/>
      <c r="BX3245" s="769"/>
      <c r="BY3245" s="769"/>
      <c r="BZ3245" s="769"/>
      <c r="CA3245" s="769"/>
      <c r="CB3245" s="769"/>
      <c r="CC3245" s="769"/>
      <c r="CD3245" s="769"/>
      <c r="CE3245" s="769"/>
      <c r="CF3245" s="769"/>
      <c r="CG3245" s="73"/>
      <c r="CH3245" s="438"/>
      <c r="CI3245" s="416"/>
      <c r="CJ3245" s="73"/>
      <c r="CK3245" s="650"/>
      <c r="CL3245" s="499"/>
      <c r="CM3245" s="650"/>
      <c r="CR3245" s="416"/>
      <c r="CS3245" s="650"/>
      <c r="CU3245" s="73"/>
      <c r="CV3245" s="73"/>
      <c r="CW3245" s="73"/>
      <c r="CX3245" s="73"/>
      <c r="DA3245" s="650"/>
    </row>
    <row r="3246" spans="1:105" s="45" customFormat="1" x14ac:dyDescent="0.2">
      <c r="A3246" s="650"/>
      <c r="B3246" s="438"/>
      <c r="D3246" s="73"/>
      <c r="E3246" s="650"/>
      <c r="F3246" s="650"/>
      <c r="G3246" s="73"/>
      <c r="I3246" s="111"/>
      <c r="J3246" s="81"/>
      <c r="K3246" s="81"/>
      <c r="L3246" s="499"/>
      <c r="M3246" s="73"/>
      <c r="N3246" s="499"/>
      <c r="O3246" s="73"/>
      <c r="P3246" s="73"/>
      <c r="Q3246" s="73"/>
      <c r="R3246" s="176"/>
      <c r="S3246" s="176"/>
      <c r="T3246" s="176"/>
      <c r="U3246" s="400"/>
      <c r="V3246" s="400"/>
      <c r="W3246" s="732"/>
      <c r="X3246" s="167"/>
      <c r="Y3246" s="509"/>
      <c r="Z3246" s="466"/>
      <c r="AA3246" s="466"/>
      <c r="AB3246" s="466"/>
      <c r="AC3246" s="466"/>
      <c r="AD3246" s="466"/>
      <c r="AE3246" s="466"/>
      <c r="AF3246" s="466"/>
      <c r="AG3246" s="466"/>
      <c r="AH3246" s="466"/>
      <c r="AI3246" s="466"/>
      <c r="AJ3246" s="466"/>
      <c r="AK3246" s="466"/>
      <c r="AL3246" s="466"/>
      <c r="AM3246" s="466"/>
      <c r="AN3246" s="466"/>
      <c r="AO3246" s="466"/>
      <c r="AP3246" s="466"/>
      <c r="AQ3246" s="466"/>
      <c r="AR3246" s="466"/>
      <c r="AS3246" s="466"/>
      <c r="AT3246" s="466"/>
      <c r="AU3246" s="466"/>
      <c r="AV3246" s="466"/>
      <c r="AW3246" s="466"/>
      <c r="AX3246" s="466"/>
      <c r="AY3246" s="466"/>
      <c r="AZ3246" s="466"/>
      <c r="BA3246" s="466"/>
      <c r="BB3246" s="466"/>
      <c r="BC3246" s="466"/>
      <c r="BD3246" s="466"/>
      <c r="BE3246" s="467"/>
      <c r="BF3246" s="467"/>
      <c r="BG3246" s="466"/>
      <c r="BH3246" s="466"/>
      <c r="BI3246" s="467"/>
      <c r="BJ3246" s="467"/>
      <c r="BK3246" s="467"/>
      <c r="BL3246" s="467"/>
      <c r="BM3246" s="467"/>
      <c r="BN3246" s="467"/>
      <c r="BO3246" s="467"/>
      <c r="BP3246" s="467"/>
      <c r="BQ3246" s="467"/>
      <c r="BR3246" s="467"/>
      <c r="BS3246" s="467"/>
      <c r="BT3246" s="467"/>
      <c r="BU3246" s="467"/>
      <c r="BV3246" s="467"/>
      <c r="BW3246" s="467"/>
      <c r="BX3246" s="769"/>
      <c r="BY3246" s="769"/>
      <c r="BZ3246" s="769"/>
      <c r="CA3246" s="769"/>
      <c r="CB3246" s="769"/>
      <c r="CC3246" s="769"/>
      <c r="CD3246" s="769"/>
      <c r="CE3246" s="769"/>
      <c r="CF3246" s="769"/>
      <c r="CG3246" s="73"/>
      <c r="CH3246" s="438"/>
      <c r="CI3246" s="416"/>
      <c r="CJ3246" s="73"/>
      <c r="CK3246" s="650"/>
      <c r="CL3246" s="499"/>
      <c r="CM3246" s="650"/>
      <c r="CR3246" s="416"/>
      <c r="CS3246" s="650"/>
      <c r="CU3246" s="73"/>
      <c r="CV3246" s="73"/>
      <c r="CW3246" s="73"/>
      <c r="CX3246" s="73"/>
      <c r="DA3246" s="650"/>
    </row>
    <row r="3247" spans="1:105" s="45" customFormat="1" x14ac:dyDescent="0.2">
      <c r="A3247" s="650"/>
      <c r="B3247" s="438"/>
      <c r="D3247" s="73"/>
      <c r="E3247" s="650"/>
      <c r="F3247" s="650"/>
      <c r="G3247" s="73"/>
      <c r="I3247" s="111"/>
      <c r="J3247" s="81"/>
      <c r="K3247" s="81"/>
      <c r="L3247" s="499"/>
      <c r="M3247" s="73"/>
      <c r="N3247" s="499"/>
      <c r="O3247" s="73"/>
      <c r="P3247" s="73"/>
      <c r="Q3247" s="73"/>
      <c r="R3247" s="176"/>
      <c r="S3247" s="176"/>
      <c r="T3247" s="176"/>
      <c r="U3247" s="400"/>
      <c r="V3247" s="400"/>
      <c r="W3247" s="732"/>
      <c r="X3247" s="167"/>
      <c r="Y3247" s="509"/>
      <c r="Z3247" s="466"/>
      <c r="AA3247" s="466"/>
      <c r="AB3247" s="466"/>
      <c r="AC3247" s="466"/>
      <c r="AD3247" s="466"/>
      <c r="AE3247" s="466"/>
      <c r="AF3247" s="466"/>
      <c r="AG3247" s="466"/>
      <c r="AH3247" s="466"/>
      <c r="AI3247" s="466"/>
      <c r="AJ3247" s="466"/>
      <c r="AK3247" s="466"/>
      <c r="AL3247" s="466"/>
      <c r="AM3247" s="466"/>
      <c r="AN3247" s="466"/>
      <c r="AO3247" s="466"/>
      <c r="AP3247" s="466"/>
      <c r="AQ3247" s="466"/>
      <c r="AR3247" s="466"/>
      <c r="AS3247" s="466"/>
      <c r="AT3247" s="466"/>
      <c r="AU3247" s="466"/>
      <c r="AV3247" s="466"/>
      <c r="AW3247" s="466"/>
      <c r="AX3247" s="466"/>
      <c r="AY3247" s="466"/>
      <c r="AZ3247" s="466"/>
      <c r="BA3247" s="466"/>
      <c r="BB3247" s="466"/>
      <c r="BC3247" s="466"/>
      <c r="BD3247" s="466"/>
      <c r="BE3247" s="467"/>
      <c r="BF3247" s="467"/>
      <c r="BG3247" s="466"/>
      <c r="BH3247" s="466"/>
      <c r="BI3247" s="467"/>
      <c r="BJ3247" s="467"/>
      <c r="BK3247" s="467"/>
      <c r="BL3247" s="467"/>
      <c r="BM3247" s="467"/>
      <c r="BN3247" s="467"/>
      <c r="BO3247" s="467"/>
      <c r="BP3247" s="467"/>
      <c r="BQ3247" s="467"/>
      <c r="BR3247" s="467"/>
      <c r="BS3247" s="467"/>
      <c r="BT3247" s="467"/>
      <c r="BU3247" s="467"/>
      <c r="BV3247" s="467"/>
      <c r="BW3247" s="467"/>
      <c r="BX3247" s="769"/>
      <c r="BY3247" s="769"/>
      <c r="BZ3247" s="769"/>
      <c r="CA3247" s="769"/>
      <c r="CB3247" s="769"/>
      <c r="CC3247" s="769"/>
      <c r="CD3247" s="769"/>
      <c r="CE3247" s="769"/>
      <c r="CF3247" s="769"/>
      <c r="CG3247" s="73"/>
      <c r="CH3247" s="438"/>
      <c r="CI3247" s="416"/>
      <c r="CJ3247" s="73"/>
      <c r="CK3247" s="650"/>
      <c r="CL3247" s="499"/>
      <c r="CM3247" s="650"/>
      <c r="CR3247" s="416"/>
      <c r="CS3247" s="650"/>
      <c r="CU3247" s="73"/>
      <c r="CV3247" s="73"/>
      <c r="CW3247" s="73"/>
      <c r="CX3247" s="73"/>
      <c r="DA3247" s="650"/>
    </row>
    <row r="3248" spans="1:105" s="45" customFormat="1" x14ac:dyDescent="0.2">
      <c r="A3248" s="650"/>
      <c r="B3248" s="438"/>
      <c r="D3248" s="73"/>
      <c r="E3248" s="650"/>
      <c r="F3248" s="650"/>
      <c r="G3248" s="73"/>
      <c r="I3248" s="111"/>
      <c r="J3248" s="81"/>
      <c r="K3248" s="81"/>
      <c r="L3248" s="499"/>
      <c r="M3248" s="73"/>
      <c r="N3248" s="499"/>
      <c r="O3248" s="73"/>
      <c r="P3248" s="73"/>
      <c r="Q3248" s="73"/>
      <c r="R3248" s="176"/>
      <c r="S3248" s="176"/>
      <c r="T3248" s="176"/>
      <c r="U3248" s="400"/>
      <c r="V3248" s="400"/>
      <c r="W3248" s="732"/>
      <c r="X3248" s="167"/>
      <c r="Y3248" s="509"/>
      <c r="Z3248" s="466"/>
      <c r="AA3248" s="466"/>
      <c r="AB3248" s="466"/>
      <c r="AC3248" s="466"/>
      <c r="AD3248" s="466"/>
      <c r="AE3248" s="466"/>
      <c r="AF3248" s="466"/>
      <c r="AG3248" s="466"/>
      <c r="AH3248" s="466"/>
      <c r="AI3248" s="466"/>
      <c r="AJ3248" s="466"/>
      <c r="AK3248" s="466"/>
      <c r="AL3248" s="466"/>
      <c r="AM3248" s="466"/>
      <c r="AN3248" s="466"/>
      <c r="AO3248" s="466"/>
      <c r="AP3248" s="466"/>
      <c r="AQ3248" s="466"/>
      <c r="AR3248" s="466"/>
      <c r="AS3248" s="466"/>
      <c r="AT3248" s="466"/>
      <c r="AU3248" s="466"/>
      <c r="AV3248" s="466"/>
      <c r="AW3248" s="466"/>
      <c r="AX3248" s="466"/>
      <c r="AY3248" s="466"/>
      <c r="AZ3248" s="466"/>
      <c r="BA3248" s="466"/>
      <c r="BB3248" s="466"/>
      <c r="BC3248" s="466"/>
      <c r="BD3248" s="466"/>
      <c r="BE3248" s="467"/>
      <c r="BF3248" s="467"/>
      <c r="BG3248" s="466"/>
      <c r="BH3248" s="466"/>
      <c r="BI3248" s="467"/>
      <c r="BJ3248" s="467"/>
      <c r="BK3248" s="467"/>
      <c r="BL3248" s="467"/>
      <c r="BM3248" s="467"/>
      <c r="BN3248" s="467"/>
      <c r="BO3248" s="467"/>
      <c r="BP3248" s="467"/>
      <c r="BQ3248" s="467"/>
      <c r="BR3248" s="467"/>
      <c r="BS3248" s="467"/>
      <c r="BT3248" s="467"/>
      <c r="BU3248" s="467"/>
      <c r="BV3248" s="467"/>
      <c r="BW3248" s="467"/>
      <c r="BX3248" s="769"/>
      <c r="BY3248" s="769"/>
      <c r="BZ3248" s="769"/>
      <c r="CA3248" s="769"/>
      <c r="CB3248" s="769"/>
      <c r="CC3248" s="769"/>
      <c r="CD3248" s="769"/>
      <c r="CE3248" s="769"/>
      <c r="CF3248" s="769"/>
      <c r="CG3248" s="73"/>
      <c r="CH3248" s="438"/>
      <c r="CI3248" s="416"/>
      <c r="CJ3248" s="73"/>
      <c r="CK3248" s="650"/>
      <c r="CL3248" s="499"/>
      <c r="CM3248" s="650"/>
      <c r="CR3248" s="416"/>
      <c r="CS3248" s="650"/>
      <c r="CU3248" s="73"/>
      <c r="CV3248" s="73"/>
      <c r="CW3248" s="73"/>
      <c r="CX3248" s="73"/>
      <c r="DA3248" s="650"/>
    </row>
    <row r="3249" spans="1:105" s="45" customFormat="1" x14ac:dyDescent="0.2">
      <c r="A3249" s="650"/>
      <c r="B3249" s="438"/>
      <c r="D3249" s="73"/>
      <c r="E3249" s="650"/>
      <c r="F3249" s="650"/>
      <c r="G3249" s="73"/>
      <c r="I3249" s="111"/>
      <c r="J3249" s="81"/>
      <c r="K3249" s="81"/>
      <c r="L3249" s="499"/>
      <c r="M3249" s="73"/>
      <c r="N3249" s="499"/>
      <c r="O3249" s="73"/>
      <c r="P3249" s="73"/>
      <c r="Q3249" s="73"/>
      <c r="R3249" s="176"/>
      <c r="S3249" s="176"/>
      <c r="T3249" s="176"/>
      <c r="U3249" s="400"/>
      <c r="V3249" s="400"/>
      <c r="W3249" s="732"/>
      <c r="X3249" s="167"/>
      <c r="Y3249" s="509"/>
      <c r="Z3249" s="466"/>
      <c r="AA3249" s="466"/>
      <c r="AB3249" s="466"/>
      <c r="AC3249" s="466"/>
      <c r="AD3249" s="466"/>
      <c r="AE3249" s="466"/>
      <c r="AF3249" s="466"/>
      <c r="AG3249" s="466"/>
      <c r="AH3249" s="466"/>
      <c r="AI3249" s="466"/>
      <c r="AJ3249" s="466"/>
      <c r="AK3249" s="466"/>
      <c r="AL3249" s="466"/>
      <c r="AM3249" s="466"/>
      <c r="AN3249" s="466"/>
      <c r="AO3249" s="466"/>
      <c r="AP3249" s="466"/>
      <c r="AQ3249" s="466"/>
      <c r="AR3249" s="466"/>
      <c r="AS3249" s="466"/>
      <c r="AT3249" s="466"/>
      <c r="AU3249" s="466"/>
      <c r="AV3249" s="466"/>
      <c r="AW3249" s="466"/>
      <c r="AX3249" s="466"/>
      <c r="AY3249" s="466"/>
      <c r="AZ3249" s="466"/>
      <c r="BA3249" s="466"/>
      <c r="BB3249" s="466"/>
      <c r="BC3249" s="466"/>
      <c r="BD3249" s="466"/>
      <c r="BE3249" s="467"/>
      <c r="BF3249" s="467"/>
      <c r="BG3249" s="466"/>
      <c r="BH3249" s="466"/>
      <c r="BI3249" s="467"/>
      <c r="BJ3249" s="467"/>
      <c r="BK3249" s="467"/>
      <c r="BL3249" s="467"/>
      <c r="BM3249" s="467"/>
      <c r="BN3249" s="467"/>
      <c r="BO3249" s="467"/>
      <c r="BP3249" s="467"/>
      <c r="BQ3249" s="467"/>
      <c r="BR3249" s="467"/>
      <c r="BS3249" s="467"/>
      <c r="BT3249" s="467"/>
      <c r="BU3249" s="467"/>
      <c r="BV3249" s="467"/>
      <c r="BW3249" s="467"/>
      <c r="BX3249" s="769"/>
      <c r="BY3249" s="769"/>
      <c r="BZ3249" s="769"/>
      <c r="CA3249" s="769"/>
      <c r="CB3249" s="769"/>
      <c r="CC3249" s="769"/>
      <c r="CD3249" s="769"/>
      <c r="CE3249" s="769"/>
      <c r="CF3249" s="769"/>
      <c r="CG3249" s="73"/>
      <c r="CH3249" s="438"/>
      <c r="CI3249" s="416"/>
      <c r="CJ3249" s="73"/>
      <c r="CK3249" s="650"/>
      <c r="CL3249" s="499"/>
      <c r="CM3249" s="650"/>
      <c r="CR3249" s="416"/>
      <c r="CS3249" s="650"/>
      <c r="CU3249" s="73"/>
      <c r="CV3249" s="73"/>
      <c r="CW3249" s="73"/>
      <c r="CX3249" s="73"/>
      <c r="DA3249" s="650"/>
    </row>
    <row r="3250" spans="1:105" s="45" customFormat="1" x14ac:dyDescent="0.2">
      <c r="A3250" s="650"/>
      <c r="B3250" s="438"/>
      <c r="D3250" s="73"/>
      <c r="E3250" s="650"/>
      <c r="F3250" s="650"/>
      <c r="G3250" s="73"/>
      <c r="I3250" s="111"/>
      <c r="J3250" s="81"/>
      <c r="K3250" s="81"/>
      <c r="L3250" s="499"/>
      <c r="M3250" s="73"/>
      <c r="N3250" s="499"/>
      <c r="O3250" s="73"/>
      <c r="P3250" s="73"/>
      <c r="Q3250" s="73"/>
      <c r="R3250" s="176"/>
      <c r="S3250" s="176"/>
      <c r="T3250" s="176"/>
      <c r="U3250" s="400"/>
      <c r="V3250" s="400"/>
      <c r="W3250" s="732"/>
      <c r="X3250" s="167"/>
      <c r="Y3250" s="509"/>
      <c r="Z3250" s="466"/>
      <c r="AA3250" s="466"/>
      <c r="AB3250" s="466"/>
      <c r="AC3250" s="466"/>
      <c r="AD3250" s="466"/>
      <c r="AE3250" s="466"/>
      <c r="AF3250" s="466"/>
      <c r="AG3250" s="466"/>
      <c r="AH3250" s="466"/>
      <c r="AI3250" s="466"/>
      <c r="AJ3250" s="466"/>
      <c r="AK3250" s="466"/>
      <c r="AL3250" s="466"/>
      <c r="AM3250" s="466"/>
      <c r="AN3250" s="466"/>
      <c r="AO3250" s="466"/>
      <c r="AP3250" s="466"/>
      <c r="AQ3250" s="466"/>
      <c r="AR3250" s="466"/>
      <c r="AS3250" s="466"/>
      <c r="AT3250" s="466"/>
      <c r="AU3250" s="466"/>
      <c r="AV3250" s="466"/>
      <c r="AW3250" s="466"/>
      <c r="AX3250" s="466"/>
      <c r="AY3250" s="466"/>
      <c r="AZ3250" s="466"/>
      <c r="BA3250" s="466"/>
      <c r="BB3250" s="466"/>
      <c r="BC3250" s="466"/>
      <c r="BD3250" s="466"/>
      <c r="BE3250" s="467"/>
      <c r="BF3250" s="467"/>
      <c r="BG3250" s="466"/>
      <c r="BH3250" s="466"/>
      <c r="BI3250" s="467"/>
      <c r="BJ3250" s="467"/>
      <c r="BK3250" s="467"/>
      <c r="BL3250" s="467"/>
      <c r="BM3250" s="467"/>
      <c r="BN3250" s="467"/>
      <c r="BO3250" s="467"/>
      <c r="BP3250" s="467"/>
      <c r="BQ3250" s="467"/>
      <c r="BR3250" s="467"/>
      <c r="BS3250" s="467"/>
      <c r="BT3250" s="467"/>
      <c r="BU3250" s="467"/>
      <c r="BV3250" s="467"/>
      <c r="BW3250" s="467"/>
      <c r="BX3250" s="769"/>
      <c r="BY3250" s="769"/>
      <c r="BZ3250" s="769"/>
      <c r="CA3250" s="769"/>
      <c r="CB3250" s="769"/>
      <c r="CC3250" s="769"/>
      <c r="CD3250" s="769"/>
      <c r="CE3250" s="769"/>
      <c r="CF3250" s="769"/>
      <c r="CG3250" s="73"/>
      <c r="CH3250" s="438"/>
      <c r="CI3250" s="416"/>
      <c r="CJ3250" s="73"/>
      <c r="CK3250" s="650"/>
      <c r="CL3250" s="499"/>
      <c r="CM3250" s="650"/>
      <c r="CR3250" s="416"/>
      <c r="CS3250" s="650"/>
      <c r="CU3250" s="73"/>
      <c r="CV3250" s="73"/>
      <c r="CW3250" s="73"/>
      <c r="CX3250" s="73"/>
      <c r="DA3250" s="650"/>
    </row>
    <row r="3251" spans="1:105" s="45" customFormat="1" x14ac:dyDescent="0.2">
      <c r="A3251" s="650"/>
      <c r="B3251" s="438"/>
      <c r="D3251" s="73"/>
      <c r="E3251" s="650"/>
      <c r="F3251" s="650"/>
      <c r="G3251" s="73"/>
      <c r="I3251" s="111"/>
      <c r="J3251" s="81"/>
      <c r="K3251" s="81"/>
      <c r="L3251" s="499"/>
      <c r="M3251" s="73"/>
      <c r="N3251" s="499"/>
      <c r="O3251" s="73"/>
      <c r="P3251" s="73"/>
      <c r="Q3251" s="73"/>
      <c r="R3251" s="176"/>
      <c r="S3251" s="176"/>
      <c r="T3251" s="176"/>
      <c r="U3251" s="400"/>
      <c r="V3251" s="400"/>
      <c r="W3251" s="732"/>
      <c r="X3251" s="167"/>
      <c r="Y3251" s="509"/>
      <c r="Z3251" s="466"/>
      <c r="AA3251" s="466"/>
      <c r="AB3251" s="466"/>
      <c r="AC3251" s="466"/>
      <c r="AD3251" s="466"/>
      <c r="AE3251" s="466"/>
      <c r="AF3251" s="466"/>
      <c r="AG3251" s="466"/>
      <c r="AH3251" s="466"/>
      <c r="AI3251" s="466"/>
      <c r="AJ3251" s="466"/>
      <c r="AK3251" s="466"/>
      <c r="AL3251" s="466"/>
      <c r="AM3251" s="466"/>
      <c r="AN3251" s="466"/>
      <c r="AO3251" s="466"/>
      <c r="AP3251" s="466"/>
      <c r="AQ3251" s="466"/>
      <c r="AR3251" s="466"/>
      <c r="AS3251" s="466"/>
      <c r="AT3251" s="466"/>
      <c r="AU3251" s="466"/>
      <c r="AV3251" s="466"/>
      <c r="AW3251" s="466"/>
      <c r="AX3251" s="466"/>
      <c r="AY3251" s="466"/>
      <c r="AZ3251" s="466"/>
      <c r="BA3251" s="466"/>
      <c r="BB3251" s="466"/>
      <c r="BC3251" s="466"/>
      <c r="BD3251" s="466"/>
      <c r="BE3251" s="467"/>
      <c r="BF3251" s="467"/>
      <c r="BG3251" s="466"/>
      <c r="BH3251" s="466"/>
      <c r="BI3251" s="467"/>
      <c r="BJ3251" s="467"/>
      <c r="BK3251" s="467"/>
      <c r="BL3251" s="467"/>
      <c r="BM3251" s="467"/>
      <c r="BN3251" s="467"/>
      <c r="BO3251" s="467"/>
      <c r="BP3251" s="467"/>
      <c r="BQ3251" s="467"/>
      <c r="BR3251" s="467"/>
      <c r="BS3251" s="467"/>
      <c r="BT3251" s="467"/>
      <c r="BU3251" s="467"/>
      <c r="BV3251" s="467"/>
      <c r="BW3251" s="467"/>
      <c r="BX3251" s="769"/>
      <c r="BY3251" s="769"/>
      <c r="BZ3251" s="769"/>
      <c r="CA3251" s="769"/>
      <c r="CB3251" s="769"/>
      <c r="CC3251" s="769"/>
      <c r="CD3251" s="769"/>
      <c r="CE3251" s="769"/>
      <c r="CF3251" s="769"/>
      <c r="CG3251" s="73"/>
      <c r="CH3251" s="438"/>
      <c r="CI3251" s="416"/>
      <c r="CJ3251" s="73"/>
      <c r="CK3251" s="650"/>
      <c r="CL3251" s="499"/>
      <c r="CM3251" s="650"/>
      <c r="CR3251" s="416"/>
      <c r="CS3251" s="650"/>
      <c r="CU3251" s="73"/>
      <c r="CV3251" s="73"/>
      <c r="CW3251" s="73"/>
      <c r="CX3251" s="73"/>
      <c r="DA3251" s="650"/>
    </row>
    <row r="3252" spans="1:105" s="45" customFormat="1" x14ac:dyDescent="0.2">
      <c r="A3252" s="650"/>
      <c r="B3252" s="438"/>
      <c r="D3252" s="73"/>
      <c r="E3252" s="650"/>
      <c r="F3252" s="650"/>
      <c r="G3252" s="73"/>
      <c r="I3252" s="111"/>
      <c r="J3252" s="81"/>
      <c r="K3252" s="81"/>
      <c r="L3252" s="499"/>
      <c r="M3252" s="73"/>
      <c r="N3252" s="499"/>
      <c r="O3252" s="73"/>
      <c r="P3252" s="73"/>
      <c r="Q3252" s="73"/>
      <c r="R3252" s="176"/>
      <c r="S3252" s="176"/>
      <c r="T3252" s="176"/>
      <c r="U3252" s="400"/>
      <c r="V3252" s="400"/>
      <c r="W3252" s="732"/>
      <c r="X3252" s="167"/>
      <c r="Y3252" s="509"/>
      <c r="Z3252" s="466"/>
      <c r="AA3252" s="466"/>
      <c r="AB3252" s="466"/>
      <c r="AC3252" s="466"/>
      <c r="AD3252" s="466"/>
      <c r="AE3252" s="466"/>
      <c r="AF3252" s="466"/>
      <c r="AG3252" s="466"/>
      <c r="AH3252" s="466"/>
      <c r="AI3252" s="466"/>
      <c r="AJ3252" s="466"/>
      <c r="AK3252" s="466"/>
      <c r="AL3252" s="466"/>
      <c r="AM3252" s="466"/>
      <c r="AN3252" s="466"/>
      <c r="AO3252" s="466"/>
      <c r="AP3252" s="466"/>
      <c r="AQ3252" s="466"/>
      <c r="AR3252" s="466"/>
      <c r="AS3252" s="466"/>
      <c r="AT3252" s="466"/>
      <c r="AU3252" s="466"/>
      <c r="AV3252" s="466"/>
      <c r="AW3252" s="466"/>
      <c r="AX3252" s="466"/>
      <c r="AY3252" s="466"/>
      <c r="AZ3252" s="466"/>
      <c r="BA3252" s="466"/>
      <c r="BB3252" s="466"/>
      <c r="BC3252" s="466"/>
      <c r="BD3252" s="466"/>
      <c r="BE3252" s="467"/>
      <c r="BF3252" s="467"/>
      <c r="BG3252" s="466"/>
      <c r="BH3252" s="466"/>
      <c r="BI3252" s="467"/>
      <c r="BJ3252" s="467"/>
      <c r="BK3252" s="467"/>
      <c r="BL3252" s="467"/>
      <c r="BM3252" s="467"/>
      <c r="BN3252" s="467"/>
      <c r="BO3252" s="467"/>
      <c r="BP3252" s="467"/>
      <c r="BQ3252" s="467"/>
      <c r="BR3252" s="467"/>
      <c r="BS3252" s="467"/>
      <c r="BT3252" s="467"/>
      <c r="BU3252" s="467"/>
      <c r="BV3252" s="467"/>
      <c r="BW3252" s="467"/>
      <c r="BX3252" s="769"/>
      <c r="BY3252" s="769"/>
      <c r="BZ3252" s="769"/>
      <c r="CA3252" s="769"/>
      <c r="CB3252" s="769"/>
      <c r="CC3252" s="769"/>
      <c r="CD3252" s="769"/>
      <c r="CE3252" s="769"/>
      <c r="CF3252" s="769"/>
      <c r="CG3252" s="73"/>
      <c r="CH3252" s="438"/>
      <c r="CI3252" s="416"/>
      <c r="CJ3252" s="73"/>
      <c r="CK3252" s="650"/>
      <c r="CL3252" s="499"/>
      <c r="CM3252" s="650"/>
      <c r="CR3252" s="416"/>
      <c r="CS3252" s="650"/>
      <c r="CU3252" s="73"/>
      <c r="CV3252" s="73"/>
      <c r="CW3252" s="73"/>
      <c r="CX3252" s="73"/>
      <c r="DA3252" s="650"/>
    </row>
    <row r="3253" spans="1:105" s="45" customFormat="1" x14ac:dyDescent="0.2">
      <c r="A3253" s="650"/>
      <c r="B3253" s="438"/>
      <c r="D3253" s="73"/>
      <c r="E3253" s="650"/>
      <c r="F3253" s="650"/>
      <c r="G3253" s="73"/>
      <c r="I3253" s="111"/>
      <c r="J3253" s="81"/>
      <c r="K3253" s="81"/>
      <c r="L3253" s="499"/>
      <c r="M3253" s="73"/>
      <c r="N3253" s="499"/>
      <c r="O3253" s="73"/>
      <c r="P3253" s="73"/>
      <c r="Q3253" s="73"/>
      <c r="R3253" s="176"/>
      <c r="S3253" s="176"/>
      <c r="T3253" s="176"/>
      <c r="U3253" s="400"/>
      <c r="V3253" s="400"/>
      <c r="W3253" s="732"/>
      <c r="X3253" s="167"/>
      <c r="Y3253" s="509"/>
      <c r="Z3253" s="466"/>
      <c r="AA3253" s="466"/>
      <c r="AB3253" s="466"/>
      <c r="AC3253" s="466"/>
      <c r="AD3253" s="466"/>
      <c r="AE3253" s="466"/>
      <c r="AF3253" s="466"/>
      <c r="AG3253" s="466"/>
      <c r="AH3253" s="466"/>
      <c r="AI3253" s="466"/>
      <c r="AJ3253" s="466"/>
      <c r="AK3253" s="466"/>
      <c r="AL3253" s="466"/>
      <c r="AM3253" s="466"/>
      <c r="AN3253" s="466"/>
      <c r="AO3253" s="466"/>
      <c r="AP3253" s="466"/>
      <c r="AQ3253" s="466"/>
      <c r="AR3253" s="466"/>
      <c r="AS3253" s="466"/>
      <c r="AT3253" s="466"/>
      <c r="AU3253" s="466"/>
      <c r="AV3253" s="466"/>
      <c r="AW3253" s="466"/>
      <c r="AX3253" s="466"/>
      <c r="AY3253" s="466"/>
      <c r="AZ3253" s="466"/>
      <c r="BA3253" s="466"/>
      <c r="BB3253" s="466"/>
      <c r="BC3253" s="466"/>
      <c r="BD3253" s="466"/>
      <c r="BE3253" s="467"/>
      <c r="BF3253" s="467"/>
      <c r="BG3253" s="466"/>
      <c r="BH3253" s="466"/>
      <c r="BI3253" s="467"/>
      <c r="BJ3253" s="467"/>
      <c r="BK3253" s="467"/>
      <c r="BL3253" s="467"/>
      <c r="BM3253" s="467"/>
      <c r="BN3253" s="467"/>
      <c r="BO3253" s="467"/>
      <c r="BP3253" s="467"/>
      <c r="BQ3253" s="467"/>
      <c r="BR3253" s="467"/>
      <c r="BS3253" s="467"/>
      <c r="BT3253" s="467"/>
      <c r="BU3253" s="467"/>
      <c r="BV3253" s="467"/>
      <c r="BW3253" s="467"/>
      <c r="BX3253" s="769"/>
      <c r="BY3253" s="769"/>
      <c r="BZ3253" s="769"/>
      <c r="CA3253" s="769"/>
      <c r="CB3253" s="769"/>
      <c r="CC3253" s="769"/>
      <c r="CD3253" s="769"/>
      <c r="CE3253" s="769"/>
      <c r="CF3253" s="769"/>
      <c r="CG3253" s="73"/>
      <c r="CH3253" s="438"/>
      <c r="CI3253" s="416"/>
      <c r="CJ3253" s="73"/>
      <c r="CK3253" s="650"/>
      <c r="CL3253" s="499"/>
      <c r="CM3253" s="650"/>
      <c r="CR3253" s="416"/>
      <c r="CS3253" s="650"/>
      <c r="CU3253" s="73"/>
      <c r="CV3253" s="73"/>
      <c r="CW3253" s="73"/>
      <c r="CX3253" s="73"/>
      <c r="DA3253" s="650"/>
    </row>
    <row r="3254" spans="1:105" s="45" customFormat="1" x14ac:dyDescent="0.2">
      <c r="A3254" s="650"/>
      <c r="B3254" s="438"/>
      <c r="D3254" s="73"/>
      <c r="E3254" s="650"/>
      <c r="F3254" s="650"/>
      <c r="G3254" s="73"/>
      <c r="I3254" s="111"/>
      <c r="J3254" s="81"/>
      <c r="K3254" s="81"/>
      <c r="L3254" s="499"/>
      <c r="M3254" s="73"/>
      <c r="N3254" s="499"/>
      <c r="O3254" s="73"/>
      <c r="P3254" s="73"/>
      <c r="Q3254" s="73"/>
      <c r="R3254" s="176"/>
      <c r="S3254" s="176"/>
      <c r="T3254" s="176"/>
      <c r="U3254" s="400"/>
      <c r="V3254" s="400"/>
      <c r="W3254" s="732"/>
      <c r="X3254" s="167"/>
      <c r="Y3254" s="509"/>
      <c r="Z3254" s="466"/>
      <c r="AA3254" s="466"/>
      <c r="AB3254" s="466"/>
      <c r="AC3254" s="466"/>
      <c r="AD3254" s="466"/>
      <c r="AE3254" s="466"/>
      <c r="AF3254" s="466"/>
      <c r="AG3254" s="466"/>
      <c r="AH3254" s="466"/>
      <c r="AI3254" s="466"/>
      <c r="AJ3254" s="466"/>
      <c r="AK3254" s="466"/>
      <c r="AL3254" s="466"/>
      <c r="AM3254" s="466"/>
      <c r="AN3254" s="466"/>
      <c r="AO3254" s="466"/>
      <c r="AP3254" s="466"/>
      <c r="AQ3254" s="466"/>
      <c r="AR3254" s="466"/>
      <c r="AS3254" s="466"/>
      <c r="AT3254" s="466"/>
      <c r="AU3254" s="466"/>
      <c r="AV3254" s="466"/>
      <c r="AW3254" s="466"/>
      <c r="AX3254" s="466"/>
      <c r="AY3254" s="466"/>
      <c r="AZ3254" s="466"/>
      <c r="BA3254" s="466"/>
      <c r="BB3254" s="466"/>
      <c r="BC3254" s="466"/>
      <c r="BD3254" s="466"/>
      <c r="BE3254" s="467"/>
      <c r="BF3254" s="467"/>
      <c r="BG3254" s="466"/>
      <c r="BH3254" s="466"/>
      <c r="BI3254" s="467"/>
      <c r="BJ3254" s="467"/>
      <c r="BK3254" s="467"/>
      <c r="BL3254" s="467"/>
      <c r="BM3254" s="467"/>
      <c r="BN3254" s="467"/>
      <c r="BO3254" s="467"/>
      <c r="BP3254" s="467"/>
      <c r="BQ3254" s="467"/>
      <c r="BR3254" s="467"/>
      <c r="BS3254" s="467"/>
      <c r="BT3254" s="467"/>
      <c r="BU3254" s="467"/>
      <c r="BV3254" s="467"/>
      <c r="BW3254" s="467"/>
      <c r="BX3254" s="769"/>
      <c r="BY3254" s="769"/>
      <c r="BZ3254" s="769"/>
      <c r="CA3254" s="769"/>
      <c r="CB3254" s="769"/>
      <c r="CC3254" s="769"/>
      <c r="CD3254" s="769"/>
      <c r="CE3254" s="769"/>
      <c r="CF3254" s="769"/>
      <c r="CG3254" s="73"/>
      <c r="CH3254" s="438"/>
      <c r="CI3254" s="416"/>
      <c r="CJ3254" s="73"/>
      <c r="CK3254" s="650"/>
      <c r="CL3254" s="499"/>
      <c r="CM3254" s="650"/>
      <c r="CR3254" s="416"/>
      <c r="CS3254" s="650"/>
      <c r="CU3254" s="73"/>
      <c r="CV3254" s="73"/>
      <c r="CW3254" s="73"/>
      <c r="CX3254" s="73"/>
      <c r="DA3254" s="650"/>
    </row>
    <row r="3255" spans="1:105" s="45" customFormat="1" x14ac:dyDescent="0.2">
      <c r="A3255" s="650"/>
      <c r="B3255" s="438"/>
      <c r="D3255" s="73"/>
      <c r="E3255" s="650"/>
      <c r="F3255" s="650"/>
      <c r="G3255" s="73"/>
      <c r="I3255" s="111"/>
      <c r="J3255" s="81"/>
      <c r="K3255" s="81"/>
      <c r="L3255" s="499"/>
      <c r="M3255" s="73"/>
      <c r="N3255" s="499"/>
      <c r="O3255" s="73"/>
      <c r="P3255" s="73"/>
      <c r="Q3255" s="73"/>
      <c r="R3255" s="176"/>
      <c r="S3255" s="176"/>
      <c r="T3255" s="176"/>
      <c r="U3255" s="400"/>
      <c r="V3255" s="400"/>
      <c r="W3255" s="732"/>
      <c r="X3255" s="167"/>
      <c r="Y3255" s="509"/>
      <c r="Z3255" s="466"/>
      <c r="AA3255" s="466"/>
      <c r="AB3255" s="466"/>
      <c r="AC3255" s="466"/>
      <c r="AD3255" s="466"/>
      <c r="AE3255" s="466"/>
      <c r="AF3255" s="466"/>
      <c r="AG3255" s="466"/>
      <c r="AH3255" s="466"/>
      <c r="AI3255" s="466"/>
      <c r="AJ3255" s="466"/>
      <c r="AK3255" s="466"/>
      <c r="AL3255" s="466"/>
      <c r="AM3255" s="466"/>
      <c r="AN3255" s="466"/>
      <c r="AO3255" s="466"/>
      <c r="AP3255" s="466"/>
      <c r="AQ3255" s="466"/>
      <c r="AR3255" s="466"/>
      <c r="AS3255" s="466"/>
      <c r="AT3255" s="466"/>
      <c r="AU3255" s="466"/>
      <c r="AV3255" s="466"/>
      <c r="AW3255" s="466"/>
      <c r="AX3255" s="466"/>
      <c r="AY3255" s="466"/>
      <c r="AZ3255" s="466"/>
      <c r="BA3255" s="466"/>
      <c r="BB3255" s="466"/>
      <c r="BC3255" s="466"/>
      <c r="BD3255" s="466"/>
      <c r="BE3255" s="467"/>
      <c r="BF3255" s="467"/>
      <c r="BG3255" s="466"/>
      <c r="BH3255" s="466"/>
      <c r="BI3255" s="467"/>
      <c r="BJ3255" s="467"/>
      <c r="BK3255" s="467"/>
      <c r="BL3255" s="467"/>
      <c r="BM3255" s="467"/>
      <c r="BN3255" s="467"/>
      <c r="BO3255" s="467"/>
      <c r="BP3255" s="467"/>
      <c r="BQ3255" s="467"/>
      <c r="BR3255" s="467"/>
      <c r="BS3255" s="467"/>
      <c r="BT3255" s="467"/>
      <c r="BU3255" s="467"/>
      <c r="BV3255" s="467"/>
      <c r="BW3255" s="467"/>
      <c r="BX3255" s="769"/>
      <c r="BY3255" s="769"/>
      <c r="BZ3255" s="769"/>
      <c r="CA3255" s="769"/>
      <c r="CB3255" s="769"/>
      <c r="CC3255" s="769"/>
      <c r="CD3255" s="769"/>
      <c r="CE3255" s="769"/>
      <c r="CF3255" s="769"/>
      <c r="CG3255" s="73"/>
      <c r="CH3255" s="438"/>
      <c r="CI3255" s="416"/>
      <c r="CJ3255" s="73"/>
      <c r="CK3255" s="650"/>
      <c r="CL3255" s="499"/>
      <c r="CM3255" s="650"/>
      <c r="CR3255" s="416"/>
      <c r="CS3255" s="650"/>
      <c r="CU3255" s="73"/>
      <c r="CV3255" s="73"/>
      <c r="CW3255" s="73"/>
      <c r="CX3255" s="73"/>
      <c r="DA3255" s="650"/>
    </row>
    <row r="3256" spans="1:105" s="45" customFormat="1" x14ac:dyDescent="0.2">
      <c r="A3256" s="650"/>
      <c r="B3256" s="438"/>
      <c r="D3256" s="73"/>
      <c r="E3256" s="650"/>
      <c r="F3256" s="650"/>
      <c r="G3256" s="73"/>
      <c r="I3256" s="111"/>
      <c r="J3256" s="81"/>
      <c r="K3256" s="81"/>
      <c r="L3256" s="499"/>
      <c r="M3256" s="73"/>
      <c r="N3256" s="499"/>
      <c r="O3256" s="73"/>
      <c r="P3256" s="73"/>
      <c r="Q3256" s="73"/>
      <c r="R3256" s="176"/>
      <c r="S3256" s="176"/>
      <c r="T3256" s="176"/>
      <c r="U3256" s="400"/>
      <c r="V3256" s="400"/>
      <c r="W3256" s="732"/>
      <c r="X3256" s="167"/>
      <c r="Y3256" s="509"/>
      <c r="Z3256" s="466"/>
      <c r="AA3256" s="466"/>
      <c r="AB3256" s="466"/>
      <c r="AC3256" s="466"/>
      <c r="AD3256" s="466"/>
      <c r="AE3256" s="466"/>
      <c r="AF3256" s="466"/>
      <c r="AG3256" s="466"/>
      <c r="AH3256" s="466"/>
      <c r="AI3256" s="466"/>
      <c r="AJ3256" s="466"/>
      <c r="AK3256" s="466"/>
      <c r="AL3256" s="466"/>
      <c r="AM3256" s="466"/>
      <c r="AN3256" s="466"/>
      <c r="AO3256" s="466"/>
      <c r="AP3256" s="466"/>
      <c r="AQ3256" s="466"/>
      <c r="AR3256" s="466"/>
      <c r="AS3256" s="466"/>
      <c r="AT3256" s="466"/>
      <c r="AU3256" s="466"/>
      <c r="AV3256" s="466"/>
      <c r="AW3256" s="466"/>
      <c r="AX3256" s="466"/>
      <c r="AY3256" s="466"/>
      <c r="AZ3256" s="466"/>
      <c r="BA3256" s="466"/>
      <c r="BB3256" s="466"/>
      <c r="BC3256" s="466"/>
      <c r="BD3256" s="466"/>
      <c r="BE3256" s="467"/>
      <c r="BF3256" s="467"/>
      <c r="BG3256" s="466"/>
      <c r="BH3256" s="466"/>
      <c r="BI3256" s="467"/>
      <c r="BJ3256" s="467"/>
      <c r="BK3256" s="467"/>
      <c r="BL3256" s="467"/>
      <c r="BM3256" s="467"/>
      <c r="BN3256" s="467"/>
      <c r="BO3256" s="467"/>
      <c r="BP3256" s="467"/>
      <c r="BQ3256" s="467"/>
      <c r="BR3256" s="467"/>
      <c r="BS3256" s="467"/>
      <c r="BT3256" s="467"/>
      <c r="BU3256" s="467"/>
      <c r="BV3256" s="467"/>
      <c r="BW3256" s="467"/>
      <c r="BX3256" s="769"/>
      <c r="BY3256" s="769"/>
      <c r="BZ3256" s="769"/>
      <c r="CA3256" s="769"/>
      <c r="CB3256" s="769"/>
      <c r="CC3256" s="769"/>
      <c r="CD3256" s="769"/>
      <c r="CE3256" s="769"/>
      <c r="CF3256" s="769"/>
      <c r="CG3256" s="73"/>
      <c r="CH3256" s="438"/>
      <c r="CI3256" s="416"/>
      <c r="CJ3256" s="73"/>
      <c r="CK3256" s="650"/>
      <c r="CL3256" s="499"/>
      <c r="CM3256" s="650"/>
      <c r="CR3256" s="416"/>
      <c r="CS3256" s="650"/>
      <c r="CU3256" s="73"/>
      <c r="CV3256" s="73"/>
      <c r="CW3256" s="73"/>
      <c r="CX3256" s="73"/>
      <c r="DA3256" s="650"/>
    </row>
    <row r="3257" spans="1:105" s="45" customFormat="1" x14ac:dyDescent="0.2">
      <c r="A3257" s="650"/>
      <c r="B3257" s="438"/>
      <c r="D3257" s="73"/>
      <c r="E3257" s="650"/>
      <c r="F3257" s="650"/>
      <c r="G3257" s="73"/>
      <c r="I3257" s="111"/>
      <c r="J3257" s="81"/>
      <c r="K3257" s="81"/>
      <c r="L3257" s="499"/>
      <c r="M3257" s="73"/>
      <c r="N3257" s="499"/>
      <c r="O3257" s="73"/>
      <c r="P3257" s="73"/>
      <c r="Q3257" s="73"/>
      <c r="R3257" s="176"/>
      <c r="S3257" s="176"/>
      <c r="T3257" s="176"/>
      <c r="U3257" s="400"/>
      <c r="V3257" s="400"/>
      <c r="W3257" s="732"/>
      <c r="X3257" s="167"/>
      <c r="Y3257" s="509"/>
      <c r="Z3257" s="466"/>
      <c r="AA3257" s="466"/>
      <c r="AB3257" s="466"/>
      <c r="AC3257" s="466"/>
      <c r="AD3257" s="466"/>
      <c r="AE3257" s="466"/>
      <c r="AF3257" s="466"/>
      <c r="AG3257" s="466"/>
      <c r="AH3257" s="466"/>
      <c r="AI3257" s="466"/>
      <c r="AJ3257" s="466"/>
      <c r="AK3257" s="466"/>
      <c r="AL3257" s="466"/>
      <c r="AM3257" s="466"/>
      <c r="AN3257" s="466"/>
      <c r="AO3257" s="466"/>
      <c r="AP3257" s="466"/>
      <c r="AQ3257" s="466"/>
      <c r="AR3257" s="466"/>
      <c r="AS3257" s="466"/>
      <c r="AT3257" s="466"/>
      <c r="AU3257" s="466"/>
      <c r="AV3257" s="466"/>
      <c r="AW3257" s="466"/>
      <c r="AX3257" s="466"/>
      <c r="AY3257" s="466"/>
      <c r="AZ3257" s="466"/>
      <c r="BA3257" s="466"/>
      <c r="BB3257" s="466"/>
      <c r="BC3257" s="466"/>
      <c r="BD3257" s="466"/>
      <c r="BE3257" s="467"/>
      <c r="BF3257" s="467"/>
      <c r="BG3257" s="466"/>
      <c r="BH3257" s="466"/>
      <c r="BI3257" s="467"/>
      <c r="BJ3257" s="467"/>
      <c r="BK3257" s="467"/>
      <c r="BL3257" s="467"/>
      <c r="BM3257" s="467"/>
      <c r="BN3257" s="467"/>
      <c r="BO3257" s="467"/>
      <c r="BP3257" s="467"/>
      <c r="BQ3257" s="467"/>
      <c r="BR3257" s="467"/>
      <c r="BS3257" s="467"/>
      <c r="BT3257" s="467"/>
      <c r="BU3257" s="467"/>
      <c r="BV3257" s="467"/>
      <c r="BW3257" s="467"/>
      <c r="BX3257" s="769"/>
      <c r="BY3257" s="769"/>
      <c r="BZ3257" s="769"/>
      <c r="CA3257" s="769"/>
      <c r="CB3257" s="769"/>
      <c r="CC3257" s="769"/>
      <c r="CD3257" s="769"/>
      <c r="CE3257" s="769"/>
      <c r="CF3257" s="769"/>
      <c r="CG3257" s="73"/>
      <c r="CH3257" s="438"/>
      <c r="CI3257" s="416"/>
      <c r="CJ3257" s="73"/>
      <c r="CK3257" s="650"/>
      <c r="CL3257" s="499"/>
      <c r="CM3257" s="650"/>
      <c r="CR3257" s="416"/>
      <c r="CS3257" s="650"/>
      <c r="CU3257" s="73"/>
      <c r="CV3257" s="73"/>
      <c r="CW3257" s="73"/>
      <c r="CX3257" s="73"/>
      <c r="DA3257" s="650"/>
    </row>
    <row r="3258" spans="1:105" s="45" customFormat="1" x14ac:dyDescent="0.2">
      <c r="A3258" s="650"/>
      <c r="B3258" s="438"/>
      <c r="D3258" s="73"/>
      <c r="E3258" s="650"/>
      <c r="F3258" s="650"/>
      <c r="G3258" s="73"/>
      <c r="I3258" s="111"/>
      <c r="J3258" s="81"/>
      <c r="K3258" s="81"/>
      <c r="L3258" s="499"/>
      <c r="M3258" s="73"/>
      <c r="N3258" s="499"/>
      <c r="O3258" s="73"/>
      <c r="P3258" s="73"/>
      <c r="Q3258" s="73"/>
      <c r="R3258" s="176"/>
      <c r="S3258" s="176"/>
      <c r="T3258" s="176"/>
      <c r="U3258" s="400"/>
      <c r="V3258" s="400"/>
      <c r="W3258" s="732"/>
      <c r="X3258" s="167"/>
      <c r="Y3258" s="509"/>
      <c r="Z3258" s="466"/>
      <c r="AA3258" s="466"/>
      <c r="AB3258" s="466"/>
      <c r="AC3258" s="466"/>
      <c r="AD3258" s="466"/>
      <c r="AE3258" s="466"/>
      <c r="AF3258" s="466"/>
      <c r="AG3258" s="466"/>
      <c r="AH3258" s="466"/>
      <c r="AI3258" s="466"/>
      <c r="AJ3258" s="466"/>
      <c r="AK3258" s="466"/>
      <c r="AL3258" s="466"/>
      <c r="AM3258" s="466"/>
      <c r="AN3258" s="466"/>
      <c r="AO3258" s="466"/>
      <c r="AP3258" s="466"/>
      <c r="AQ3258" s="466"/>
      <c r="AR3258" s="466"/>
      <c r="AS3258" s="466"/>
      <c r="AT3258" s="466"/>
      <c r="AU3258" s="466"/>
      <c r="AV3258" s="466"/>
      <c r="AW3258" s="466"/>
      <c r="AX3258" s="466"/>
      <c r="AY3258" s="466"/>
      <c r="AZ3258" s="466"/>
      <c r="BA3258" s="466"/>
      <c r="BB3258" s="466"/>
      <c r="BC3258" s="466"/>
      <c r="BD3258" s="466"/>
      <c r="BE3258" s="467"/>
      <c r="BF3258" s="467"/>
      <c r="BG3258" s="466"/>
      <c r="BH3258" s="466"/>
      <c r="BI3258" s="467"/>
      <c r="BJ3258" s="467"/>
      <c r="BK3258" s="467"/>
      <c r="BL3258" s="467"/>
      <c r="BM3258" s="467"/>
      <c r="BN3258" s="467"/>
      <c r="BO3258" s="467"/>
      <c r="BP3258" s="467"/>
      <c r="BQ3258" s="467"/>
      <c r="BR3258" s="467"/>
      <c r="BS3258" s="467"/>
      <c r="BT3258" s="467"/>
      <c r="BU3258" s="467"/>
      <c r="BV3258" s="467"/>
      <c r="BW3258" s="467"/>
      <c r="BX3258" s="769"/>
      <c r="BY3258" s="769"/>
      <c r="BZ3258" s="769"/>
      <c r="CA3258" s="769"/>
      <c r="CB3258" s="769"/>
      <c r="CC3258" s="769"/>
      <c r="CD3258" s="769"/>
      <c r="CE3258" s="769"/>
      <c r="CF3258" s="769"/>
      <c r="CG3258" s="73"/>
      <c r="CH3258" s="438"/>
      <c r="CI3258" s="416"/>
      <c r="CJ3258" s="73"/>
      <c r="CK3258" s="650"/>
      <c r="CL3258" s="499"/>
      <c r="CM3258" s="650"/>
      <c r="CR3258" s="416"/>
      <c r="CS3258" s="650"/>
      <c r="CU3258" s="73"/>
      <c r="CV3258" s="73"/>
      <c r="CW3258" s="73"/>
      <c r="CX3258" s="73"/>
      <c r="DA3258" s="650"/>
    </row>
    <row r="3259" spans="1:105" s="45" customFormat="1" x14ac:dyDescent="0.2">
      <c r="A3259" s="650"/>
      <c r="B3259" s="438"/>
      <c r="D3259" s="73"/>
      <c r="E3259" s="650"/>
      <c r="F3259" s="650"/>
      <c r="G3259" s="73"/>
      <c r="I3259" s="111"/>
      <c r="J3259" s="81"/>
      <c r="K3259" s="81"/>
      <c r="L3259" s="499"/>
      <c r="M3259" s="73"/>
      <c r="N3259" s="499"/>
      <c r="O3259" s="73"/>
      <c r="P3259" s="73"/>
      <c r="Q3259" s="73"/>
      <c r="R3259" s="176"/>
      <c r="S3259" s="176"/>
      <c r="T3259" s="176"/>
      <c r="U3259" s="400"/>
      <c r="V3259" s="400"/>
      <c r="W3259" s="732"/>
      <c r="X3259" s="167"/>
      <c r="Y3259" s="509"/>
      <c r="Z3259" s="466"/>
      <c r="AA3259" s="466"/>
      <c r="AB3259" s="466"/>
      <c r="AC3259" s="466"/>
      <c r="AD3259" s="466"/>
      <c r="AE3259" s="466"/>
      <c r="AF3259" s="466"/>
      <c r="AG3259" s="466"/>
      <c r="AH3259" s="466"/>
      <c r="AI3259" s="466"/>
      <c r="AJ3259" s="466"/>
      <c r="AK3259" s="466"/>
      <c r="AL3259" s="466"/>
      <c r="AM3259" s="466"/>
      <c r="AN3259" s="466"/>
      <c r="AO3259" s="466"/>
      <c r="AP3259" s="466"/>
      <c r="AQ3259" s="466"/>
      <c r="AR3259" s="466"/>
      <c r="AS3259" s="466"/>
      <c r="AT3259" s="466"/>
      <c r="AU3259" s="466"/>
      <c r="AV3259" s="466"/>
      <c r="AW3259" s="466"/>
      <c r="AX3259" s="466"/>
      <c r="AY3259" s="466"/>
      <c r="AZ3259" s="466"/>
      <c r="BA3259" s="466"/>
      <c r="BB3259" s="466"/>
      <c r="BC3259" s="466"/>
      <c r="BD3259" s="466"/>
      <c r="BE3259" s="467"/>
      <c r="BF3259" s="467"/>
      <c r="BG3259" s="466"/>
      <c r="BH3259" s="466"/>
      <c r="BI3259" s="467"/>
      <c r="BJ3259" s="467"/>
      <c r="BK3259" s="467"/>
      <c r="BL3259" s="467"/>
      <c r="BM3259" s="467"/>
      <c r="BN3259" s="467"/>
      <c r="BO3259" s="467"/>
      <c r="BP3259" s="467"/>
      <c r="BQ3259" s="467"/>
      <c r="BR3259" s="467"/>
      <c r="BS3259" s="467"/>
      <c r="BT3259" s="467"/>
      <c r="BU3259" s="467"/>
      <c r="BV3259" s="467"/>
      <c r="BW3259" s="467"/>
      <c r="BX3259" s="769"/>
      <c r="BY3259" s="769"/>
      <c r="BZ3259" s="769"/>
      <c r="CA3259" s="769"/>
      <c r="CB3259" s="769"/>
      <c r="CC3259" s="769"/>
      <c r="CD3259" s="769"/>
      <c r="CE3259" s="769"/>
      <c r="CF3259" s="769"/>
      <c r="CG3259" s="73"/>
      <c r="CH3259" s="438"/>
      <c r="CI3259" s="416"/>
      <c r="CJ3259" s="73"/>
      <c r="CK3259" s="650"/>
      <c r="CL3259" s="499"/>
      <c r="CM3259" s="650"/>
      <c r="CR3259" s="416"/>
      <c r="CS3259" s="650"/>
      <c r="CU3259" s="73"/>
      <c r="CV3259" s="73"/>
      <c r="CW3259" s="73"/>
      <c r="CX3259" s="73"/>
      <c r="DA3259" s="650"/>
    </row>
    <row r="3260" spans="1:105" s="45" customFormat="1" x14ac:dyDescent="0.2">
      <c r="A3260" s="650"/>
      <c r="B3260" s="438"/>
      <c r="D3260" s="73"/>
      <c r="E3260" s="650"/>
      <c r="F3260" s="650"/>
      <c r="G3260" s="73"/>
      <c r="I3260" s="111"/>
      <c r="J3260" s="81"/>
      <c r="K3260" s="81"/>
      <c r="L3260" s="499"/>
      <c r="M3260" s="73"/>
      <c r="N3260" s="499"/>
      <c r="O3260" s="73"/>
      <c r="P3260" s="73"/>
      <c r="Q3260" s="73"/>
      <c r="R3260" s="176"/>
      <c r="S3260" s="176"/>
      <c r="T3260" s="176"/>
      <c r="U3260" s="400"/>
      <c r="V3260" s="400"/>
      <c r="W3260" s="732"/>
      <c r="X3260" s="167"/>
      <c r="Y3260" s="509"/>
      <c r="Z3260" s="466"/>
      <c r="AA3260" s="466"/>
      <c r="AB3260" s="466"/>
      <c r="AC3260" s="466"/>
      <c r="AD3260" s="466"/>
      <c r="AE3260" s="466"/>
      <c r="AF3260" s="466"/>
      <c r="AG3260" s="466"/>
      <c r="AH3260" s="466"/>
      <c r="AI3260" s="466"/>
      <c r="AJ3260" s="466"/>
      <c r="AK3260" s="466"/>
      <c r="AL3260" s="466"/>
      <c r="AM3260" s="466"/>
      <c r="AN3260" s="466"/>
      <c r="AO3260" s="466"/>
      <c r="AP3260" s="466"/>
      <c r="AQ3260" s="466"/>
      <c r="AR3260" s="466"/>
      <c r="AS3260" s="466"/>
      <c r="AT3260" s="466"/>
      <c r="AU3260" s="466"/>
      <c r="AV3260" s="466"/>
      <c r="AW3260" s="466"/>
      <c r="AX3260" s="466"/>
      <c r="AY3260" s="466"/>
      <c r="AZ3260" s="466"/>
      <c r="BA3260" s="466"/>
      <c r="BB3260" s="466"/>
      <c r="BC3260" s="466"/>
      <c r="BD3260" s="466"/>
      <c r="BE3260" s="467"/>
      <c r="BF3260" s="467"/>
      <c r="BG3260" s="466"/>
      <c r="BH3260" s="466"/>
      <c r="BI3260" s="467"/>
      <c r="BJ3260" s="467"/>
      <c r="BK3260" s="467"/>
      <c r="BL3260" s="467"/>
      <c r="BM3260" s="467"/>
      <c r="BN3260" s="467"/>
      <c r="BO3260" s="467"/>
      <c r="BP3260" s="467"/>
      <c r="BQ3260" s="467"/>
      <c r="BR3260" s="467"/>
      <c r="BS3260" s="467"/>
      <c r="BT3260" s="467"/>
      <c r="BU3260" s="467"/>
      <c r="BV3260" s="467"/>
      <c r="BW3260" s="467"/>
      <c r="BX3260" s="769"/>
      <c r="BY3260" s="769"/>
      <c r="BZ3260" s="769"/>
      <c r="CA3260" s="769"/>
      <c r="CB3260" s="769"/>
      <c r="CC3260" s="769"/>
      <c r="CD3260" s="769"/>
      <c r="CE3260" s="769"/>
      <c r="CF3260" s="769"/>
      <c r="CG3260" s="73"/>
      <c r="CH3260" s="438"/>
      <c r="CI3260" s="416"/>
      <c r="CJ3260" s="73"/>
      <c r="CK3260" s="650"/>
      <c r="CL3260" s="499"/>
      <c r="CM3260" s="650"/>
      <c r="CR3260" s="416"/>
      <c r="CS3260" s="650"/>
      <c r="CU3260" s="73"/>
      <c r="CV3260" s="73"/>
      <c r="CW3260" s="73"/>
      <c r="CX3260" s="73"/>
      <c r="DA3260" s="650"/>
    </row>
    <row r="3261" spans="1:105" s="45" customFormat="1" x14ac:dyDescent="0.2">
      <c r="A3261" s="650"/>
      <c r="B3261" s="438"/>
      <c r="D3261" s="73"/>
      <c r="E3261" s="650"/>
      <c r="F3261" s="650"/>
      <c r="G3261" s="73"/>
      <c r="I3261" s="111"/>
      <c r="J3261" s="81"/>
      <c r="K3261" s="81"/>
      <c r="L3261" s="499"/>
      <c r="M3261" s="73"/>
      <c r="N3261" s="499"/>
      <c r="O3261" s="73"/>
      <c r="P3261" s="73"/>
      <c r="Q3261" s="73"/>
      <c r="R3261" s="176"/>
      <c r="S3261" s="176"/>
      <c r="T3261" s="176"/>
      <c r="U3261" s="400"/>
      <c r="V3261" s="400"/>
      <c r="W3261" s="732"/>
      <c r="X3261" s="167"/>
      <c r="Y3261" s="509"/>
      <c r="Z3261" s="466"/>
      <c r="AA3261" s="466"/>
      <c r="AB3261" s="466"/>
      <c r="AC3261" s="466"/>
      <c r="AD3261" s="466"/>
      <c r="AE3261" s="466"/>
      <c r="AF3261" s="466"/>
      <c r="AG3261" s="466"/>
      <c r="AH3261" s="466"/>
      <c r="AI3261" s="466"/>
      <c r="AJ3261" s="466"/>
      <c r="AK3261" s="466"/>
      <c r="AL3261" s="466"/>
      <c r="AM3261" s="466"/>
      <c r="AN3261" s="466"/>
      <c r="AO3261" s="466"/>
      <c r="AP3261" s="466"/>
      <c r="AQ3261" s="466"/>
      <c r="AR3261" s="466"/>
      <c r="AS3261" s="466"/>
      <c r="AT3261" s="466"/>
      <c r="AU3261" s="466"/>
      <c r="AV3261" s="466"/>
      <c r="AW3261" s="466"/>
      <c r="AX3261" s="466"/>
      <c r="AY3261" s="466"/>
      <c r="AZ3261" s="466"/>
      <c r="BA3261" s="466"/>
      <c r="BB3261" s="466"/>
      <c r="BC3261" s="466"/>
      <c r="BD3261" s="466"/>
      <c r="BE3261" s="467"/>
      <c r="BF3261" s="467"/>
      <c r="BG3261" s="466"/>
      <c r="BH3261" s="466"/>
      <c r="BI3261" s="467"/>
      <c r="BJ3261" s="467"/>
      <c r="BK3261" s="467"/>
      <c r="BL3261" s="467"/>
      <c r="BM3261" s="467"/>
      <c r="BN3261" s="467"/>
      <c r="BO3261" s="467"/>
      <c r="BP3261" s="467"/>
      <c r="BQ3261" s="467"/>
      <c r="BR3261" s="467"/>
      <c r="BS3261" s="467"/>
      <c r="BT3261" s="467"/>
      <c r="BU3261" s="467"/>
      <c r="BV3261" s="467"/>
      <c r="BW3261" s="467"/>
      <c r="BX3261" s="769"/>
      <c r="BY3261" s="769"/>
      <c r="BZ3261" s="769"/>
      <c r="CA3261" s="769"/>
      <c r="CB3261" s="769"/>
      <c r="CC3261" s="769"/>
      <c r="CD3261" s="769"/>
      <c r="CE3261" s="769"/>
      <c r="CF3261" s="769"/>
      <c r="CG3261" s="73"/>
      <c r="CH3261" s="438"/>
      <c r="CI3261" s="416"/>
      <c r="CJ3261" s="73"/>
      <c r="CK3261" s="650"/>
      <c r="CL3261" s="499"/>
      <c r="CM3261" s="650"/>
      <c r="CR3261" s="416"/>
      <c r="CS3261" s="650"/>
      <c r="CU3261" s="73"/>
      <c r="CV3261" s="73"/>
      <c r="CW3261" s="73"/>
      <c r="CX3261" s="73"/>
      <c r="DA3261" s="650"/>
    </row>
    <row r="3262" spans="1:105" s="45" customFormat="1" x14ac:dyDescent="0.2">
      <c r="A3262" s="650"/>
      <c r="B3262" s="438"/>
      <c r="D3262" s="73"/>
      <c r="E3262" s="650"/>
      <c r="F3262" s="650"/>
      <c r="G3262" s="73"/>
      <c r="I3262" s="111"/>
      <c r="J3262" s="81"/>
      <c r="K3262" s="81"/>
      <c r="L3262" s="499"/>
      <c r="M3262" s="73"/>
      <c r="N3262" s="499"/>
      <c r="O3262" s="73"/>
      <c r="P3262" s="73"/>
      <c r="Q3262" s="73"/>
      <c r="R3262" s="176"/>
      <c r="S3262" s="176"/>
      <c r="T3262" s="176"/>
      <c r="U3262" s="400"/>
      <c r="V3262" s="400"/>
      <c r="W3262" s="732"/>
      <c r="X3262" s="167"/>
      <c r="Y3262" s="509"/>
      <c r="Z3262" s="466"/>
      <c r="AA3262" s="466"/>
      <c r="AB3262" s="466"/>
      <c r="AC3262" s="466"/>
      <c r="AD3262" s="466"/>
      <c r="AE3262" s="466"/>
      <c r="AF3262" s="466"/>
      <c r="AG3262" s="466"/>
      <c r="AH3262" s="466"/>
      <c r="AI3262" s="466"/>
      <c r="AJ3262" s="466"/>
      <c r="AK3262" s="466"/>
      <c r="AL3262" s="466"/>
      <c r="AM3262" s="466"/>
      <c r="AN3262" s="466"/>
      <c r="AO3262" s="466"/>
      <c r="AP3262" s="466"/>
      <c r="AQ3262" s="466"/>
      <c r="AR3262" s="466"/>
      <c r="AS3262" s="466"/>
      <c r="AT3262" s="466"/>
      <c r="AU3262" s="466"/>
      <c r="AV3262" s="466"/>
      <c r="AW3262" s="466"/>
      <c r="AX3262" s="466"/>
      <c r="AY3262" s="466"/>
      <c r="AZ3262" s="466"/>
      <c r="BA3262" s="466"/>
      <c r="BB3262" s="466"/>
      <c r="BC3262" s="466"/>
      <c r="BD3262" s="466"/>
      <c r="BE3262" s="467"/>
      <c r="BF3262" s="467"/>
      <c r="BG3262" s="466"/>
      <c r="BH3262" s="466"/>
      <c r="BI3262" s="467"/>
      <c r="BJ3262" s="467"/>
      <c r="BK3262" s="467"/>
      <c r="BL3262" s="467"/>
      <c r="BM3262" s="467"/>
      <c r="BN3262" s="467"/>
      <c r="BO3262" s="467"/>
      <c r="BP3262" s="467"/>
      <c r="BQ3262" s="467"/>
      <c r="BR3262" s="467"/>
      <c r="BS3262" s="467"/>
      <c r="BT3262" s="467"/>
      <c r="BU3262" s="467"/>
      <c r="BV3262" s="467"/>
      <c r="BW3262" s="467"/>
      <c r="BX3262" s="769"/>
      <c r="BY3262" s="769"/>
      <c r="BZ3262" s="769"/>
      <c r="CA3262" s="769"/>
      <c r="CB3262" s="769"/>
      <c r="CC3262" s="769"/>
      <c r="CD3262" s="769"/>
      <c r="CE3262" s="769"/>
      <c r="CF3262" s="769"/>
      <c r="CG3262" s="73"/>
      <c r="CH3262" s="438"/>
      <c r="CI3262" s="416"/>
      <c r="CJ3262" s="73"/>
      <c r="CK3262" s="650"/>
      <c r="CL3262" s="499"/>
      <c r="CM3262" s="650"/>
      <c r="CR3262" s="416"/>
      <c r="CS3262" s="650"/>
      <c r="CU3262" s="73"/>
      <c r="CV3262" s="73"/>
      <c r="CW3262" s="73"/>
      <c r="CX3262" s="73"/>
      <c r="DA3262" s="650"/>
    </row>
    <row r="3263" spans="1:105" s="45" customFormat="1" x14ac:dyDescent="0.2">
      <c r="A3263" s="650"/>
      <c r="B3263" s="438"/>
      <c r="D3263" s="73"/>
      <c r="E3263" s="650"/>
      <c r="F3263" s="650"/>
      <c r="G3263" s="73"/>
      <c r="I3263" s="111"/>
      <c r="J3263" s="81"/>
      <c r="K3263" s="81"/>
      <c r="L3263" s="499"/>
      <c r="M3263" s="73"/>
      <c r="N3263" s="499"/>
      <c r="O3263" s="73"/>
      <c r="P3263" s="73"/>
      <c r="Q3263" s="73"/>
      <c r="R3263" s="176"/>
      <c r="S3263" s="176"/>
      <c r="T3263" s="176"/>
      <c r="U3263" s="400"/>
      <c r="V3263" s="400"/>
      <c r="W3263" s="732"/>
      <c r="X3263" s="167"/>
      <c r="Y3263" s="509"/>
      <c r="Z3263" s="466"/>
      <c r="AA3263" s="466"/>
      <c r="AB3263" s="466"/>
      <c r="AC3263" s="466"/>
      <c r="AD3263" s="466"/>
      <c r="AE3263" s="466"/>
      <c r="AF3263" s="466"/>
      <c r="AG3263" s="466"/>
      <c r="AH3263" s="466"/>
      <c r="AI3263" s="466"/>
      <c r="AJ3263" s="466"/>
      <c r="AK3263" s="466"/>
      <c r="AL3263" s="466"/>
      <c r="AM3263" s="466"/>
      <c r="AN3263" s="466"/>
      <c r="AO3263" s="466"/>
      <c r="AP3263" s="466"/>
      <c r="AQ3263" s="466"/>
      <c r="AR3263" s="466"/>
      <c r="AS3263" s="466"/>
      <c r="AT3263" s="466"/>
      <c r="AU3263" s="466"/>
      <c r="AV3263" s="466"/>
      <c r="AW3263" s="466"/>
      <c r="AX3263" s="466"/>
      <c r="AY3263" s="466"/>
      <c r="AZ3263" s="466"/>
      <c r="BA3263" s="466"/>
      <c r="BB3263" s="466"/>
      <c r="BC3263" s="466"/>
      <c r="BD3263" s="466"/>
      <c r="BE3263" s="467"/>
      <c r="BF3263" s="467"/>
      <c r="BG3263" s="466"/>
      <c r="BH3263" s="466"/>
      <c r="BI3263" s="467"/>
      <c r="BJ3263" s="467"/>
      <c r="BK3263" s="467"/>
      <c r="BL3263" s="467"/>
      <c r="BM3263" s="467"/>
      <c r="BN3263" s="467"/>
      <c r="BO3263" s="467"/>
      <c r="BP3263" s="467"/>
      <c r="BQ3263" s="467"/>
      <c r="BR3263" s="467"/>
      <c r="BS3263" s="467"/>
      <c r="BT3263" s="467"/>
      <c r="BU3263" s="467"/>
      <c r="BV3263" s="467"/>
      <c r="BW3263" s="467"/>
      <c r="BX3263" s="769"/>
      <c r="BY3263" s="769"/>
      <c r="BZ3263" s="769"/>
      <c r="CA3263" s="769"/>
      <c r="CB3263" s="769"/>
      <c r="CC3263" s="769"/>
      <c r="CD3263" s="769"/>
      <c r="CE3263" s="769"/>
      <c r="CF3263" s="769"/>
      <c r="CG3263" s="73"/>
      <c r="CH3263" s="438"/>
      <c r="CI3263" s="416"/>
      <c r="CJ3263" s="73"/>
      <c r="CK3263" s="650"/>
      <c r="CL3263" s="499"/>
      <c r="CM3263" s="650"/>
      <c r="CR3263" s="416"/>
      <c r="CS3263" s="650"/>
      <c r="CU3263" s="73"/>
      <c r="CV3263" s="73"/>
      <c r="CW3263" s="73"/>
      <c r="CX3263" s="73"/>
      <c r="DA3263" s="650"/>
    </row>
    <row r="3264" spans="1:105" s="45" customFormat="1" x14ac:dyDescent="0.2">
      <c r="A3264" s="650"/>
      <c r="B3264" s="438"/>
      <c r="D3264" s="73"/>
      <c r="E3264" s="650"/>
      <c r="F3264" s="650"/>
      <c r="G3264" s="73"/>
      <c r="I3264" s="111"/>
      <c r="J3264" s="81"/>
      <c r="K3264" s="81"/>
      <c r="L3264" s="499"/>
      <c r="M3264" s="73"/>
      <c r="N3264" s="499"/>
      <c r="O3264" s="73"/>
      <c r="P3264" s="73"/>
      <c r="Q3264" s="73"/>
      <c r="R3264" s="176"/>
      <c r="S3264" s="176"/>
      <c r="T3264" s="176"/>
      <c r="U3264" s="400"/>
      <c r="V3264" s="400"/>
      <c r="W3264" s="732"/>
      <c r="X3264" s="167"/>
      <c r="Y3264" s="509"/>
      <c r="Z3264" s="466"/>
      <c r="AA3264" s="466"/>
      <c r="AB3264" s="466"/>
      <c r="AC3264" s="466"/>
      <c r="AD3264" s="466"/>
      <c r="AE3264" s="466"/>
      <c r="AF3264" s="466"/>
      <c r="AG3264" s="466"/>
      <c r="AH3264" s="466"/>
      <c r="AI3264" s="466"/>
      <c r="AJ3264" s="466"/>
      <c r="AK3264" s="466"/>
      <c r="AL3264" s="466"/>
      <c r="AM3264" s="466"/>
      <c r="AN3264" s="466"/>
      <c r="AO3264" s="466"/>
      <c r="AP3264" s="466"/>
      <c r="AQ3264" s="466"/>
      <c r="AR3264" s="466"/>
      <c r="AS3264" s="466"/>
      <c r="AT3264" s="466"/>
      <c r="AU3264" s="466"/>
      <c r="AV3264" s="466"/>
      <c r="AW3264" s="466"/>
      <c r="AX3264" s="466"/>
      <c r="AY3264" s="466"/>
      <c r="AZ3264" s="466"/>
      <c r="BA3264" s="466"/>
      <c r="BB3264" s="466"/>
      <c r="BC3264" s="466"/>
      <c r="BD3264" s="466"/>
      <c r="BE3264" s="467"/>
      <c r="BF3264" s="467"/>
      <c r="BG3264" s="466"/>
      <c r="BH3264" s="466"/>
      <c r="BI3264" s="467"/>
      <c r="BJ3264" s="467"/>
      <c r="BK3264" s="467"/>
      <c r="BL3264" s="467"/>
      <c r="BM3264" s="467"/>
      <c r="BN3264" s="467"/>
      <c r="BO3264" s="467"/>
      <c r="BP3264" s="467"/>
      <c r="BQ3264" s="467"/>
      <c r="BR3264" s="467"/>
      <c r="BS3264" s="467"/>
      <c r="BT3264" s="467"/>
      <c r="BU3264" s="467"/>
      <c r="BV3264" s="467"/>
      <c r="BW3264" s="467"/>
      <c r="BX3264" s="769"/>
      <c r="BY3264" s="769"/>
      <c r="BZ3264" s="769"/>
      <c r="CA3264" s="769"/>
      <c r="CB3264" s="769"/>
      <c r="CC3264" s="769"/>
      <c r="CD3264" s="769"/>
      <c r="CE3264" s="769"/>
      <c r="CF3264" s="769"/>
      <c r="CG3264" s="73"/>
      <c r="CH3264" s="438"/>
      <c r="CI3264" s="416"/>
      <c r="CJ3264" s="73"/>
      <c r="CK3264" s="650"/>
      <c r="CL3264" s="499"/>
      <c r="CM3264" s="650"/>
      <c r="CR3264" s="416"/>
      <c r="CS3264" s="650"/>
      <c r="CU3264" s="73"/>
      <c r="CV3264" s="73"/>
      <c r="CW3264" s="73"/>
      <c r="CX3264" s="73"/>
      <c r="DA3264" s="650"/>
    </row>
    <row r="3265" spans="1:105" s="45" customFormat="1" x14ac:dyDescent="0.2">
      <c r="A3265" s="650"/>
      <c r="B3265" s="438"/>
      <c r="D3265" s="73"/>
      <c r="E3265" s="650"/>
      <c r="F3265" s="650"/>
      <c r="G3265" s="73"/>
      <c r="I3265" s="111"/>
      <c r="J3265" s="81"/>
      <c r="K3265" s="81"/>
      <c r="L3265" s="499"/>
      <c r="M3265" s="73"/>
      <c r="N3265" s="499"/>
      <c r="O3265" s="73"/>
      <c r="P3265" s="73"/>
      <c r="Q3265" s="73"/>
      <c r="R3265" s="176"/>
      <c r="S3265" s="176"/>
      <c r="T3265" s="176"/>
      <c r="U3265" s="400"/>
      <c r="V3265" s="400"/>
      <c r="W3265" s="732"/>
      <c r="X3265" s="167"/>
      <c r="Y3265" s="509"/>
      <c r="Z3265" s="466"/>
      <c r="AA3265" s="466"/>
      <c r="AB3265" s="466"/>
      <c r="AC3265" s="466"/>
      <c r="AD3265" s="466"/>
      <c r="AE3265" s="466"/>
      <c r="AF3265" s="466"/>
      <c r="AG3265" s="466"/>
      <c r="AH3265" s="466"/>
      <c r="AI3265" s="466"/>
      <c r="AJ3265" s="466"/>
      <c r="AK3265" s="466"/>
      <c r="AL3265" s="466"/>
      <c r="AM3265" s="466"/>
      <c r="AN3265" s="466"/>
      <c r="AO3265" s="466"/>
      <c r="AP3265" s="466"/>
      <c r="AQ3265" s="466"/>
      <c r="AR3265" s="466"/>
      <c r="AS3265" s="466"/>
      <c r="AT3265" s="466"/>
      <c r="AU3265" s="466"/>
      <c r="AV3265" s="466"/>
      <c r="AW3265" s="466"/>
      <c r="AX3265" s="466"/>
      <c r="AY3265" s="466"/>
      <c r="AZ3265" s="466"/>
      <c r="BA3265" s="466"/>
      <c r="BB3265" s="466"/>
      <c r="BC3265" s="466"/>
      <c r="BD3265" s="466"/>
      <c r="BE3265" s="467"/>
      <c r="BF3265" s="467"/>
      <c r="BG3265" s="466"/>
      <c r="BH3265" s="466"/>
      <c r="BI3265" s="467"/>
      <c r="BJ3265" s="467"/>
      <c r="BK3265" s="467"/>
      <c r="BL3265" s="467"/>
      <c r="BM3265" s="467"/>
      <c r="BN3265" s="467"/>
      <c r="BO3265" s="467"/>
      <c r="BP3265" s="467"/>
      <c r="BQ3265" s="467"/>
      <c r="BR3265" s="467"/>
      <c r="BS3265" s="467"/>
      <c r="BT3265" s="467"/>
      <c r="BU3265" s="467"/>
      <c r="BV3265" s="467"/>
      <c r="BW3265" s="467"/>
      <c r="BX3265" s="769"/>
      <c r="BY3265" s="769"/>
      <c r="BZ3265" s="769"/>
      <c r="CA3265" s="769"/>
      <c r="CB3265" s="769"/>
      <c r="CC3265" s="769"/>
      <c r="CD3265" s="769"/>
      <c r="CE3265" s="769"/>
      <c r="CF3265" s="769"/>
      <c r="CG3265" s="73"/>
      <c r="CH3265" s="438"/>
      <c r="CI3265" s="416"/>
      <c r="CJ3265" s="73"/>
      <c r="CK3265" s="650"/>
      <c r="CL3265" s="499"/>
      <c r="CM3265" s="650"/>
      <c r="CR3265" s="416"/>
      <c r="CS3265" s="650"/>
      <c r="CU3265" s="73"/>
      <c r="CV3265" s="73"/>
      <c r="CW3265" s="73"/>
      <c r="CX3265" s="73"/>
      <c r="DA3265" s="650"/>
    </row>
    <row r="3266" spans="1:105" s="45" customFormat="1" x14ac:dyDescent="0.2">
      <c r="A3266" s="650"/>
      <c r="B3266" s="438"/>
      <c r="D3266" s="73"/>
      <c r="E3266" s="650"/>
      <c r="F3266" s="650"/>
      <c r="G3266" s="73"/>
      <c r="I3266" s="111"/>
      <c r="J3266" s="81"/>
      <c r="K3266" s="81"/>
      <c r="L3266" s="499"/>
      <c r="M3266" s="73"/>
      <c r="N3266" s="499"/>
      <c r="O3266" s="73"/>
      <c r="P3266" s="73"/>
      <c r="Q3266" s="73"/>
      <c r="R3266" s="176"/>
      <c r="S3266" s="176"/>
      <c r="T3266" s="176"/>
      <c r="U3266" s="400"/>
      <c r="V3266" s="400"/>
      <c r="W3266" s="732"/>
      <c r="X3266" s="167"/>
      <c r="Y3266" s="509"/>
      <c r="Z3266" s="466"/>
      <c r="AA3266" s="466"/>
      <c r="AB3266" s="466"/>
      <c r="AC3266" s="466"/>
      <c r="AD3266" s="466"/>
      <c r="AE3266" s="466"/>
      <c r="AF3266" s="466"/>
      <c r="AG3266" s="466"/>
      <c r="AH3266" s="466"/>
      <c r="AI3266" s="466"/>
      <c r="AJ3266" s="466"/>
      <c r="AK3266" s="466"/>
      <c r="AL3266" s="466"/>
      <c r="AM3266" s="466"/>
      <c r="AN3266" s="466"/>
      <c r="AO3266" s="466"/>
      <c r="AP3266" s="466"/>
      <c r="AQ3266" s="466"/>
      <c r="AR3266" s="466"/>
      <c r="AS3266" s="466"/>
      <c r="AT3266" s="466"/>
      <c r="AU3266" s="466"/>
      <c r="AV3266" s="466"/>
      <c r="AW3266" s="466"/>
      <c r="AX3266" s="466"/>
      <c r="AY3266" s="466"/>
      <c r="AZ3266" s="466"/>
      <c r="BA3266" s="466"/>
      <c r="BB3266" s="466"/>
      <c r="BC3266" s="466"/>
      <c r="BD3266" s="466"/>
      <c r="BE3266" s="467"/>
      <c r="BF3266" s="467"/>
      <c r="BG3266" s="466"/>
      <c r="BH3266" s="466"/>
      <c r="BI3266" s="467"/>
      <c r="BJ3266" s="467"/>
      <c r="BK3266" s="467"/>
      <c r="BL3266" s="467"/>
      <c r="BM3266" s="467"/>
      <c r="BN3266" s="467"/>
      <c r="BO3266" s="467"/>
      <c r="BP3266" s="467"/>
      <c r="BQ3266" s="467"/>
      <c r="BR3266" s="467"/>
      <c r="BS3266" s="467"/>
      <c r="BT3266" s="467"/>
      <c r="BU3266" s="467"/>
      <c r="BV3266" s="467"/>
      <c r="BW3266" s="467"/>
      <c r="BX3266" s="769"/>
      <c r="BY3266" s="769"/>
      <c r="BZ3266" s="769"/>
      <c r="CA3266" s="769"/>
      <c r="CB3266" s="769"/>
      <c r="CC3266" s="769"/>
      <c r="CD3266" s="769"/>
      <c r="CE3266" s="769"/>
      <c r="CF3266" s="769"/>
      <c r="CG3266" s="73"/>
      <c r="CH3266" s="438"/>
      <c r="CI3266" s="416"/>
      <c r="CJ3266" s="73"/>
      <c r="CK3266" s="650"/>
      <c r="CL3266" s="499"/>
      <c r="CM3266" s="650"/>
      <c r="CR3266" s="416"/>
      <c r="CS3266" s="650"/>
      <c r="CU3266" s="73"/>
      <c r="CV3266" s="73"/>
      <c r="CW3266" s="73"/>
      <c r="CX3266" s="73"/>
      <c r="DA3266" s="650"/>
    </row>
    <row r="3267" spans="1:105" s="45" customFormat="1" x14ac:dyDescent="0.2">
      <c r="A3267" s="650"/>
      <c r="B3267" s="438"/>
      <c r="D3267" s="73"/>
      <c r="E3267" s="650"/>
      <c r="F3267" s="650"/>
      <c r="G3267" s="73"/>
      <c r="I3267" s="111"/>
      <c r="J3267" s="81"/>
      <c r="K3267" s="81"/>
      <c r="L3267" s="499"/>
      <c r="M3267" s="73"/>
      <c r="N3267" s="499"/>
      <c r="O3267" s="73"/>
      <c r="P3267" s="73"/>
      <c r="Q3267" s="73"/>
      <c r="R3267" s="176"/>
      <c r="S3267" s="176"/>
      <c r="T3267" s="176"/>
      <c r="U3267" s="400"/>
      <c r="V3267" s="400"/>
      <c r="W3267" s="732"/>
      <c r="X3267" s="167"/>
      <c r="Y3267" s="509"/>
      <c r="Z3267" s="466"/>
      <c r="AA3267" s="466"/>
      <c r="AB3267" s="466"/>
      <c r="AC3267" s="466"/>
      <c r="AD3267" s="466"/>
      <c r="AE3267" s="466"/>
      <c r="AF3267" s="466"/>
      <c r="AG3267" s="466"/>
      <c r="AH3267" s="466"/>
      <c r="AI3267" s="466"/>
      <c r="AJ3267" s="466"/>
      <c r="AK3267" s="466"/>
      <c r="AL3267" s="466"/>
      <c r="AM3267" s="466"/>
      <c r="AN3267" s="466"/>
      <c r="AO3267" s="466"/>
      <c r="AP3267" s="466"/>
      <c r="AQ3267" s="466"/>
      <c r="AR3267" s="466"/>
      <c r="AS3267" s="466"/>
      <c r="AT3267" s="466"/>
      <c r="AU3267" s="466"/>
      <c r="AV3267" s="466"/>
      <c r="AW3267" s="466"/>
      <c r="AX3267" s="466"/>
      <c r="AY3267" s="466"/>
      <c r="AZ3267" s="466"/>
      <c r="BA3267" s="466"/>
      <c r="BB3267" s="466"/>
      <c r="BC3267" s="466"/>
      <c r="BD3267" s="466"/>
      <c r="BE3267" s="467"/>
      <c r="BF3267" s="467"/>
      <c r="BG3267" s="466"/>
      <c r="BH3267" s="466"/>
      <c r="BI3267" s="467"/>
      <c r="BJ3267" s="467"/>
      <c r="BK3267" s="467"/>
      <c r="BL3267" s="467"/>
      <c r="BM3267" s="467"/>
      <c r="BN3267" s="467"/>
      <c r="BO3267" s="467"/>
      <c r="BP3267" s="467"/>
      <c r="BQ3267" s="467"/>
      <c r="BR3267" s="467"/>
      <c r="BS3267" s="467"/>
      <c r="BT3267" s="467"/>
      <c r="BU3267" s="467"/>
      <c r="BV3267" s="467"/>
      <c r="BW3267" s="467"/>
      <c r="BX3267" s="769"/>
      <c r="BY3267" s="769"/>
      <c r="BZ3267" s="769"/>
      <c r="CA3267" s="769"/>
      <c r="CB3267" s="769"/>
      <c r="CC3267" s="769"/>
      <c r="CD3267" s="769"/>
      <c r="CE3267" s="769"/>
      <c r="CF3267" s="769"/>
      <c r="CG3267" s="73"/>
      <c r="CH3267" s="438"/>
      <c r="CI3267" s="416"/>
      <c r="CJ3267" s="73"/>
      <c r="CK3267" s="650"/>
      <c r="CL3267" s="499"/>
      <c r="CM3267" s="650"/>
      <c r="CR3267" s="416"/>
      <c r="CS3267" s="650"/>
      <c r="CU3267" s="73"/>
      <c r="CV3267" s="73"/>
      <c r="CW3267" s="73"/>
      <c r="CX3267" s="73"/>
      <c r="DA3267" s="650"/>
    </row>
    <row r="3268" spans="1:105" s="45" customFormat="1" x14ac:dyDescent="0.2">
      <c r="A3268" s="650"/>
      <c r="B3268" s="438"/>
      <c r="D3268" s="73"/>
      <c r="E3268" s="650"/>
      <c r="F3268" s="650"/>
      <c r="G3268" s="73"/>
      <c r="I3268" s="111"/>
      <c r="J3268" s="81"/>
      <c r="K3268" s="81"/>
      <c r="L3268" s="499"/>
      <c r="M3268" s="73"/>
      <c r="N3268" s="499"/>
      <c r="O3268" s="73"/>
      <c r="P3268" s="73"/>
      <c r="Q3268" s="73"/>
      <c r="R3268" s="176"/>
      <c r="S3268" s="176"/>
      <c r="T3268" s="176"/>
      <c r="U3268" s="400"/>
      <c r="V3268" s="400"/>
      <c r="W3268" s="732"/>
      <c r="X3268" s="167"/>
      <c r="Y3268" s="509"/>
      <c r="Z3268" s="466"/>
      <c r="AA3268" s="466"/>
      <c r="AB3268" s="466"/>
      <c r="AC3268" s="466"/>
      <c r="AD3268" s="466"/>
      <c r="AE3268" s="466"/>
      <c r="AF3268" s="466"/>
      <c r="AG3268" s="466"/>
      <c r="AH3268" s="466"/>
      <c r="AI3268" s="466"/>
      <c r="AJ3268" s="466"/>
      <c r="AK3268" s="466"/>
      <c r="AL3268" s="466"/>
      <c r="AM3268" s="466"/>
      <c r="AN3268" s="466"/>
      <c r="AO3268" s="466"/>
      <c r="AP3268" s="466"/>
      <c r="AQ3268" s="466"/>
      <c r="AR3268" s="466"/>
      <c r="AS3268" s="466"/>
      <c r="AT3268" s="466"/>
      <c r="AU3268" s="466"/>
      <c r="AV3268" s="466"/>
      <c r="AW3268" s="466"/>
      <c r="AX3268" s="466"/>
      <c r="AY3268" s="466"/>
      <c r="AZ3268" s="466"/>
      <c r="BA3268" s="466"/>
      <c r="BB3268" s="466"/>
      <c r="BC3268" s="466"/>
      <c r="BD3268" s="466"/>
      <c r="BE3268" s="467"/>
      <c r="BF3268" s="467"/>
      <c r="BG3268" s="466"/>
      <c r="BH3268" s="466"/>
      <c r="BI3268" s="467"/>
      <c r="BJ3268" s="467"/>
      <c r="BK3268" s="467"/>
      <c r="BL3268" s="467"/>
      <c r="BM3268" s="467"/>
      <c r="BN3268" s="467"/>
      <c r="BO3268" s="467"/>
      <c r="BP3268" s="467"/>
      <c r="BQ3268" s="467"/>
      <c r="BR3268" s="467"/>
      <c r="BS3268" s="467"/>
      <c r="BT3268" s="467"/>
      <c r="BU3268" s="467"/>
      <c r="BV3268" s="467"/>
      <c r="BW3268" s="467"/>
      <c r="BX3268" s="769"/>
      <c r="BY3268" s="769"/>
      <c r="BZ3268" s="769"/>
      <c r="CA3268" s="769"/>
      <c r="CB3268" s="769"/>
      <c r="CC3268" s="769"/>
      <c r="CD3268" s="769"/>
      <c r="CE3268" s="769"/>
      <c r="CF3268" s="769"/>
      <c r="CG3268" s="73"/>
      <c r="CH3268" s="438"/>
      <c r="CI3268" s="416"/>
      <c r="CJ3268" s="73"/>
      <c r="CK3268" s="650"/>
      <c r="CL3268" s="499"/>
      <c r="CM3268" s="650"/>
      <c r="CR3268" s="416"/>
      <c r="CS3268" s="650"/>
      <c r="CU3268" s="73"/>
      <c r="CV3268" s="73"/>
      <c r="CW3268" s="73"/>
      <c r="CX3268" s="73"/>
      <c r="DA3268" s="650"/>
    </row>
    <row r="3269" spans="1:105" s="45" customFormat="1" x14ac:dyDescent="0.2">
      <c r="A3269" s="650"/>
      <c r="B3269" s="438"/>
      <c r="D3269" s="73"/>
      <c r="E3269" s="650"/>
      <c r="F3269" s="650"/>
      <c r="G3269" s="73"/>
      <c r="I3269" s="111"/>
      <c r="J3269" s="81"/>
      <c r="K3269" s="81"/>
      <c r="L3269" s="499"/>
      <c r="M3269" s="73"/>
      <c r="N3269" s="499"/>
      <c r="O3269" s="73"/>
      <c r="P3269" s="73"/>
      <c r="Q3269" s="73"/>
      <c r="R3269" s="176"/>
      <c r="S3269" s="176"/>
      <c r="T3269" s="176"/>
      <c r="U3269" s="400"/>
      <c r="V3269" s="400"/>
      <c r="W3269" s="732"/>
      <c r="X3269" s="167"/>
      <c r="Y3269" s="509"/>
      <c r="Z3269" s="466"/>
      <c r="AA3269" s="466"/>
      <c r="AB3269" s="466"/>
      <c r="AC3269" s="466"/>
      <c r="AD3269" s="466"/>
      <c r="AE3269" s="466"/>
      <c r="AF3269" s="466"/>
      <c r="AG3269" s="466"/>
      <c r="AH3269" s="466"/>
      <c r="AI3269" s="466"/>
      <c r="AJ3269" s="466"/>
      <c r="AK3269" s="466"/>
      <c r="AL3269" s="466"/>
      <c r="AM3269" s="466"/>
      <c r="AN3269" s="466"/>
      <c r="AO3269" s="466"/>
      <c r="AP3269" s="466"/>
      <c r="AQ3269" s="466"/>
      <c r="AR3269" s="466"/>
      <c r="AS3269" s="466"/>
      <c r="AT3269" s="466"/>
      <c r="AU3269" s="466"/>
      <c r="AV3269" s="466"/>
      <c r="AW3269" s="466"/>
      <c r="AX3269" s="466"/>
      <c r="AY3269" s="466"/>
      <c r="AZ3269" s="466"/>
      <c r="BA3269" s="466"/>
      <c r="BB3269" s="466"/>
      <c r="BC3269" s="466"/>
      <c r="BD3269" s="466"/>
      <c r="BE3269" s="467"/>
      <c r="BF3269" s="467"/>
      <c r="BG3269" s="466"/>
      <c r="BH3269" s="466"/>
      <c r="BI3269" s="467"/>
      <c r="BJ3269" s="467"/>
      <c r="BK3269" s="467"/>
      <c r="BL3269" s="467"/>
      <c r="BM3269" s="467"/>
      <c r="BN3269" s="467"/>
      <c r="BO3269" s="467"/>
      <c r="BP3269" s="467"/>
      <c r="BQ3269" s="467"/>
      <c r="BR3269" s="467"/>
      <c r="BS3269" s="467"/>
      <c r="BT3269" s="467"/>
      <c r="BU3269" s="467"/>
      <c r="BV3269" s="467"/>
      <c r="BW3269" s="467"/>
      <c r="BX3269" s="769"/>
      <c r="BY3269" s="769"/>
      <c r="BZ3269" s="769"/>
      <c r="CA3269" s="769"/>
      <c r="CB3269" s="769"/>
      <c r="CC3269" s="769"/>
      <c r="CD3269" s="769"/>
      <c r="CE3269" s="769"/>
      <c r="CF3269" s="769"/>
      <c r="CG3269" s="73"/>
      <c r="CH3269" s="438"/>
      <c r="CI3269" s="416"/>
      <c r="CJ3269" s="73"/>
      <c r="CK3269" s="650"/>
      <c r="CL3269" s="499"/>
      <c r="CM3269" s="650"/>
      <c r="CR3269" s="416"/>
      <c r="CS3269" s="650"/>
      <c r="CU3269" s="73"/>
      <c r="CV3269" s="73"/>
      <c r="CW3269" s="73"/>
      <c r="CX3269" s="73"/>
      <c r="DA3269" s="650"/>
    </row>
    <row r="3270" spans="1:105" s="45" customFormat="1" x14ac:dyDescent="0.2">
      <c r="A3270" s="650"/>
      <c r="B3270" s="438"/>
      <c r="D3270" s="73"/>
      <c r="E3270" s="650"/>
      <c r="F3270" s="650"/>
      <c r="G3270" s="73"/>
      <c r="I3270" s="111"/>
      <c r="J3270" s="81"/>
      <c r="K3270" s="81"/>
      <c r="L3270" s="499"/>
      <c r="M3270" s="73"/>
      <c r="N3270" s="499"/>
      <c r="O3270" s="73"/>
      <c r="P3270" s="73"/>
      <c r="Q3270" s="73"/>
      <c r="R3270" s="176"/>
      <c r="S3270" s="176"/>
      <c r="T3270" s="176"/>
      <c r="U3270" s="400"/>
      <c r="V3270" s="400"/>
      <c r="W3270" s="732"/>
      <c r="X3270" s="167"/>
      <c r="Y3270" s="509"/>
      <c r="Z3270" s="466"/>
      <c r="AA3270" s="466"/>
      <c r="AB3270" s="466"/>
      <c r="AC3270" s="466"/>
      <c r="AD3270" s="466"/>
      <c r="AE3270" s="466"/>
      <c r="AF3270" s="466"/>
      <c r="AG3270" s="466"/>
      <c r="AH3270" s="466"/>
      <c r="AI3270" s="466"/>
      <c r="AJ3270" s="466"/>
      <c r="AK3270" s="466"/>
      <c r="AL3270" s="466"/>
      <c r="AM3270" s="466"/>
      <c r="AN3270" s="466"/>
      <c r="AO3270" s="466"/>
      <c r="AP3270" s="466"/>
      <c r="AQ3270" s="466"/>
      <c r="AR3270" s="466"/>
      <c r="AS3270" s="466"/>
      <c r="AT3270" s="466"/>
      <c r="AU3270" s="466"/>
      <c r="AV3270" s="466"/>
      <c r="AW3270" s="466"/>
      <c r="AX3270" s="466"/>
      <c r="AY3270" s="466"/>
      <c r="AZ3270" s="466"/>
      <c r="BA3270" s="466"/>
      <c r="BB3270" s="466"/>
      <c r="BC3270" s="466"/>
      <c r="BD3270" s="466"/>
      <c r="BE3270" s="467"/>
      <c r="BF3270" s="467"/>
      <c r="BG3270" s="466"/>
      <c r="BH3270" s="466"/>
      <c r="BI3270" s="467"/>
      <c r="BJ3270" s="467"/>
      <c r="BK3270" s="467"/>
      <c r="BL3270" s="467"/>
      <c r="BM3270" s="467"/>
      <c r="BN3270" s="467"/>
      <c r="BO3270" s="467"/>
      <c r="BP3270" s="467"/>
      <c r="BQ3270" s="467"/>
      <c r="BR3270" s="467"/>
      <c r="BS3270" s="467"/>
      <c r="BT3270" s="467"/>
      <c r="BU3270" s="467"/>
      <c r="BV3270" s="467"/>
      <c r="BW3270" s="467"/>
      <c r="BX3270" s="769"/>
      <c r="BY3270" s="769"/>
      <c r="BZ3270" s="769"/>
      <c r="CA3270" s="769"/>
      <c r="CB3270" s="769"/>
      <c r="CC3270" s="769"/>
      <c r="CD3270" s="769"/>
      <c r="CE3270" s="769"/>
      <c r="CF3270" s="769"/>
      <c r="CG3270" s="73"/>
      <c r="CH3270" s="438"/>
      <c r="CI3270" s="416"/>
      <c r="CJ3270" s="73"/>
      <c r="CK3270" s="650"/>
      <c r="CL3270" s="499"/>
      <c r="CM3270" s="650"/>
      <c r="CR3270" s="416"/>
      <c r="CS3270" s="650"/>
      <c r="CU3270" s="73"/>
      <c r="CV3270" s="73"/>
      <c r="CW3270" s="73"/>
      <c r="CX3270" s="73"/>
      <c r="DA3270" s="650"/>
    </row>
    <row r="3271" spans="1:105" s="45" customFormat="1" x14ac:dyDescent="0.2">
      <c r="A3271" s="650"/>
      <c r="B3271" s="438"/>
      <c r="D3271" s="73"/>
      <c r="E3271" s="650"/>
      <c r="F3271" s="650"/>
      <c r="G3271" s="73"/>
      <c r="I3271" s="111"/>
      <c r="J3271" s="81"/>
      <c r="K3271" s="81"/>
      <c r="L3271" s="499"/>
      <c r="M3271" s="73"/>
      <c r="N3271" s="499"/>
      <c r="O3271" s="73"/>
      <c r="P3271" s="73"/>
      <c r="Q3271" s="73"/>
      <c r="R3271" s="176"/>
      <c r="S3271" s="176"/>
      <c r="T3271" s="176"/>
      <c r="U3271" s="400"/>
      <c r="V3271" s="400"/>
      <c r="W3271" s="732"/>
      <c r="X3271" s="167"/>
      <c r="Y3271" s="509"/>
      <c r="Z3271" s="466"/>
      <c r="AA3271" s="466"/>
      <c r="AB3271" s="466"/>
      <c r="AC3271" s="466"/>
      <c r="AD3271" s="466"/>
      <c r="AE3271" s="466"/>
      <c r="AF3271" s="466"/>
      <c r="AG3271" s="466"/>
      <c r="AH3271" s="466"/>
      <c r="AI3271" s="466"/>
      <c r="AJ3271" s="466"/>
      <c r="AK3271" s="466"/>
      <c r="AL3271" s="466"/>
      <c r="AM3271" s="466"/>
      <c r="AN3271" s="466"/>
      <c r="AO3271" s="466"/>
      <c r="AP3271" s="466"/>
      <c r="AQ3271" s="466"/>
      <c r="AR3271" s="466"/>
      <c r="AS3271" s="466"/>
      <c r="AT3271" s="466"/>
      <c r="AU3271" s="466"/>
      <c r="AV3271" s="466"/>
      <c r="AW3271" s="466"/>
      <c r="AX3271" s="466"/>
      <c r="AY3271" s="466"/>
      <c r="AZ3271" s="466"/>
      <c r="BA3271" s="466"/>
      <c r="BB3271" s="466"/>
      <c r="BC3271" s="466"/>
      <c r="BD3271" s="466"/>
      <c r="BE3271" s="467"/>
      <c r="BF3271" s="467"/>
      <c r="BG3271" s="466"/>
      <c r="BH3271" s="466"/>
      <c r="BI3271" s="467"/>
      <c r="BJ3271" s="467"/>
      <c r="BK3271" s="467"/>
      <c r="BL3271" s="467"/>
      <c r="BM3271" s="467"/>
      <c r="BN3271" s="467"/>
      <c r="BO3271" s="467"/>
      <c r="BP3271" s="467"/>
      <c r="BQ3271" s="467"/>
      <c r="BR3271" s="467"/>
      <c r="BS3271" s="467"/>
      <c r="BT3271" s="467"/>
      <c r="BU3271" s="467"/>
      <c r="BV3271" s="467"/>
      <c r="BW3271" s="467"/>
      <c r="BX3271" s="769"/>
      <c r="BY3271" s="769"/>
      <c r="BZ3271" s="769"/>
      <c r="CA3271" s="769"/>
      <c r="CB3271" s="769"/>
      <c r="CC3271" s="769"/>
      <c r="CD3271" s="769"/>
      <c r="CE3271" s="769"/>
      <c r="CF3271" s="769"/>
      <c r="CG3271" s="73"/>
      <c r="CH3271" s="438"/>
      <c r="CI3271" s="416"/>
      <c r="CJ3271" s="73"/>
      <c r="CK3271" s="650"/>
      <c r="CL3271" s="499"/>
      <c r="CM3271" s="650"/>
      <c r="CR3271" s="416"/>
      <c r="CS3271" s="650"/>
      <c r="CU3271" s="73"/>
      <c r="CV3271" s="73"/>
      <c r="CW3271" s="73"/>
      <c r="CX3271" s="73"/>
      <c r="DA3271" s="650"/>
    </row>
    <row r="3272" spans="1:105" s="45" customFormat="1" x14ac:dyDescent="0.2">
      <c r="A3272" s="650"/>
      <c r="B3272" s="438"/>
      <c r="D3272" s="73"/>
      <c r="E3272" s="650"/>
      <c r="F3272" s="650"/>
      <c r="G3272" s="73"/>
      <c r="I3272" s="111"/>
      <c r="J3272" s="81"/>
      <c r="K3272" s="81"/>
      <c r="L3272" s="499"/>
      <c r="M3272" s="73"/>
      <c r="N3272" s="499"/>
      <c r="O3272" s="73"/>
      <c r="P3272" s="73"/>
      <c r="Q3272" s="73"/>
      <c r="R3272" s="176"/>
      <c r="S3272" s="176"/>
      <c r="T3272" s="176"/>
      <c r="U3272" s="400"/>
      <c r="V3272" s="400"/>
      <c r="W3272" s="732"/>
      <c r="X3272" s="167"/>
      <c r="Y3272" s="509"/>
      <c r="Z3272" s="466"/>
      <c r="AA3272" s="466"/>
      <c r="AB3272" s="466"/>
      <c r="AC3272" s="466"/>
      <c r="AD3272" s="466"/>
      <c r="AE3272" s="466"/>
      <c r="AF3272" s="466"/>
      <c r="AG3272" s="466"/>
      <c r="AH3272" s="466"/>
      <c r="AI3272" s="466"/>
      <c r="AJ3272" s="466"/>
      <c r="AK3272" s="466"/>
      <c r="AL3272" s="466"/>
      <c r="AM3272" s="466"/>
      <c r="AN3272" s="466"/>
      <c r="AO3272" s="466"/>
      <c r="AP3272" s="466"/>
      <c r="AQ3272" s="466"/>
      <c r="AR3272" s="466"/>
      <c r="AS3272" s="466"/>
      <c r="AT3272" s="466"/>
      <c r="AU3272" s="466"/>
      <c r="AV3272" s="466"/>
      <c r="AW3272" s="466"/>
      <c r="AX3272" s="466"/>
      <c r="AY3272" s="466"/>
      <c r="AZ3272" s="466"/>
      <c r="BA3272" s="466"/>
      <c r="BB3272" s="466"/>
      <c r="BC3272" s="466"/>
      <c r="BD3272" s="466"/>
      <c r="BE3272" s="467"/>
      <c r="BF3272" s="467"/>
      <c r="BG3272" s="466"/>
      <c r="BH3272" s="466"/>
      <c r="BI3272" s="467"/>
      <c r="BJ3272" s="467"/>
      <c r="BK3272" s="467"/>
      <c r="BL3272" s="467"/>
      <c r="BM3272" s="467"/>
      <c r="BN3272" s="467"/>
      <c r="BO3272" s="467"/>
      <c r="BP3272" s="467"/>
      <c r="BQ3272" s="467"/>
      <c r="BR3272" s="467"/>
      <c r="BS3272" s="467"/>
      <c r="BT3272" s="467"/>
      <c r="BU3272" s="467"/>
      <c r="BV3272" s="467"/>
      <c r="BW3272" s="467"/>
      <c r="BX3272" s="769"/>
      <c r="BY3272" s="769"/>
      <c r="BZ3272" s="769"/>
      <c r="CA3272" s="769"/>
      <c r="CB3272" s="769"/>
      <c r="CC3272" s="769"/>
      <c r="CD3272" s="769"/>
      <c r="CE3272" s="769"/>
      <c r="CF3272" s="769"/>
      <c r="CG3272" s="73"/>
      <c r="CH3272" s="438"/>
      <c r="CI3272" s="416"/>
      <c r="CJ3272" s="73"/>
      <c r="CK3272" s="650"/>
      <c r="CL3272" s="499"/>
      <c r="CM3272" s="650"/>
      <c r="CR3272" s="416"/>
      <c r="CS3272" s="650"/>
      <c r="CU3272" s="73"/>
      <c r="CV3272" s="73"/>
      <c r="CW3272" s="73"/>
      <c r="CX3272" s="73"/>
      <c r="DA3272" s="650"/>
    </row>
    <row r="3273" spans="1:105" s="45" customFormat="1" x14ac:dyDescent="0.2">
      <c r="A3273" s="650"/>
      <c r="B3273" s="438"/>
      <c r="D3273" s="73"/>
      <c r="E3273" s="650"/>
      <c r="F3273" s="650"/>
      <c r="G3273" s="73"/>
      <c r="I3273" s="111"/>
      <c r="J3273" s="81"/>
      <c r="K3273" s="81"/>
      <c r="L3273" s="499"/>
      <c r="M3273" s="73"/>
      <c r="N3273" s="499"/>
      <c r="O3273" s="73"/>
      <c r="P3273" s="73"/>
      <c r="Q3273" s="73"/>
      <c r="R3273" s="176"/>
      <c r="S3273" s="176"/>
      <c r="T3273" s="176"/>
      <c r="U3273" s="400"/>
      <c r="V3273" s="400"/>
      <c r="W3273" s="732"/>
      <c r="X3273" s="167"/>
      <c r="Y3273" s="509"/>
      <c r="Z3273" s="466"/>
      <c r="AA3273" s="466"/>
      <c r="AB3273" s="466"/>
      <c r="AC3273" s="466"/>
      <c r="AD3273" s="466"/>
      <c r="AE3273" s="466"/>
      <c r="AF3273" s="466"/>
      <c r="AG3273" s="466"/>
      <c r="AH3273" s="466"/>
      <c r="AI3273" s="466"/>
      <c r="AJ3273" s="466"/>
      <c r="AK3273" s="466"/>
      <c r="AL3273" s="466"/>
      <c r="AM3273" s="466"/>
      <c r="AN3273" s="466"/>
      <c r="AO3273" s="466"/>
      <c r="AP3273" s="466"/>
      <c r="AQ3273" s="466"/>
      <c r="AR3273" s="466"/>
      <c r="AS3273" s="466"/>
      <c r="AT3273" s="466"/>
      <c r="AU3273" s="466"/>
      <c r="AV3273" s="466"/>
      <c r="AW3273" s="466"/>
      <c r="AX3273" s="466"/>
      <c r="AY3273" s="466"/>
      <c r="AZ3273" s="466"/>
      <c r="BA3273" s="466"/>
      <c r="BB3273" s="466"/>
      <c r="BC3273" s="466"/>
      <c r="BD3273" s="466"/>
      <c r="BE3273" s="467"/>
      <c r="BF3273" s="467"/>
      <c r="BG3273" s="466"/>
      <c r="BH3273" s="466"/>
      <c r="BI3273" s="467"/>
      <c r="BJ3273" s="467"/>
      <c r="BK3273" s="467"/>
      <c r="BL3273" s="467"/>
      <c r="BM3273" s="467"/>
      <c r="BN3273" s="467"/>
      <c r="BO3273" s="467"/>
      <c r="BP3273" s="467"/>
      <c r="BQ3273" s="467"/>
      <c r="BR3273" s="467"/>
      <c r="BS3273" s="467"/>
      <c r="BT3273" s="467"/>
      <c r="BU3273" s="467"/>
      <c r="BV3273" s="467"/>
      <c r="BW3273" s="467"/>
      <c r="BX3273" s="769"/>
      <c r="BY3273" s="769"/>
      <c r="BZ3273" s="769"/>
      <c r="CA3273" s="769"/>
      <c r="CB3273" s="769"/>
      <c r="CC3273" s="769"/>
      <c r="CD3273" s="769"/>
      <c r="CE3273" s="769"/>
      <c r="CF3273" s="769"/>
      <c r="CG3273" s="73"/>
      <c r="CH3273" s="438"/>
      <c r="CI3273" s="416"/>
      <c r="CJ3273" s="73"/>
      <c r="CK3273" s="650"/>
      <c r="CL3273" s="499"/>
      <c r="CM3273" s="650"/>
      <c r="CR3273" s="416"/>
      <c r="CS3273" s="650"/>
      <c r="CU3273" s="73"/>
      <c r="CV3273" s="73"/>
      <c r="CW3273" s="73"/>
      <c r="CX3273" s="73"/>
      <c r="DA3273" s="650"/>
    </row>
    <row r="3274" spans="1:105" s="45" customFormat="1" x14ac:dyDescent="0.2">
      <c r="A3274" s="650"/>
      <c r="B3274" s="438"/>
      <c r="D3274" s="73"/>
      <c r="E3274" s="650"/>
      <c r="F3274" s="650"/>
      <c r="G3274" s="73"/>
      <c r="I3274" s="111"/>
      <c r="J3274" s="81"/>
      <c r="K3274" s="81"/>
      <c r="L3274" s="499"/>
      <c r="M3274" s="73"/>
      <c r="N3274" s="499"/>
      <c r="O3274" s="73"/>
      <c r="P3274" s="73"/>
      <c r="Q3274" s="73"/>
      <c r="R3274" s="176"/>
      <c r="S3274" s="176"/>
      <c r="T3274" s="176"/>
      <c r="U3274" s="400"/>
      <c r="V3274" s="400"/>
      <c r="W3274" s="732"/>
      <c r="X3274" s="167"/>
      <c r="Y3274" s="509"/>
      <c r="Z3274" s="466"/>
      <c r="AA3274" s="466"/>
      <c r="AB3274" s="466"/>
      <c r="AC3274" s="466"/>
      <c r="AD3274" s="466"/>
      <c r="AE3274" s="466"/>
      <c r="AF3274" s="466"/>
      <c r="AG3274" s="466"/>
      <c r="AH3274" s="466"/>
      <c r="AI3274" s="466"/>
      <c r="AJ3274" s="466"/>
      <c r="AK3274" s="466"/>
      <c r="AL3274" s="466"/>
      <c r="AM3274" s="466"/>
      <c r="AN3274" s="466"/>
      <c r="AO3274" s="466"/>
      <c r="AP3274" s="466"/>
      <c r="AQ3274" s="466"/>
      <c r="AR3274" s="466"/>
      <c r="AS3274" s="466"/>
      <c r="AT3274" s="466"/>
      <c r="AU3274" s="466"/>
      <c r="AV3274" s="466"/>
      <c r="AW3274" s="466"/>
      <c r="AX3274" s="466"/>
      <c r="AY3274" s="466"/>
      <c r="AZ3274" s="466"/>
      <c r="BA3274" s="466"/>
      <c r="BB3274" s="466"/>
      <c r="BC3274" s="466"/>
      <c r="BD3274" s="466"/>
      <c r="BE3274" s="467"/>
      <c r="BF3274" s="467"/>
      <c r="BG3274" s="466"/>
      <c r="BH3274" s="466"/>
      <c r="BI3274" s="467"/>
      <c r="BJ3274" s="467"/>
      <c r="BK3274" s="467"/>
      <c r="BL3274" s="467"/>
      <c r="BM3274" s="467"/>
      <c r="BN3274" s="467"/>
      <c r="BO3274" s="467"/>
      <c r="BP3274" s="467"/>
      <c r="BQ3274" s="467"/>
      <c r="BR3274" s="467"/>
      <c r="BS3274" s="467"/>
      <c r="BT3274" s="467"/>
      <c r="BU3274" s="467"/>
      <c r="BV3274" s="467"/>
      <c r="BW3274" s="467"/>
      <c r="BX3274" s="769"/>
      <c r="BY3274" s="769"/>
      <c r="BZ3274" s="769"/>
      <c r="CA3274" s="769"/>
      <c r="CB3274" s="769"/>
      <c r="CC3274" s="769"/>
      <c r="CD3274" s="769"/>
      <c r="CE3274" s="769"/>
      <c r="CF3274" s="769"/>
      <c r="CG3274" s="73"/>
      <c r="CH3274" s="438"/>
      <c r="CI3274" s="416"/>
      <c r="CJ3274" s="73"/>
      <c r="CK3274" s="650"/>
      <c r="CL3274" s="499"/>
      <c r="CM3274" s="650"/>
      <c r="CR3274" s="416"/>
      <c r="CS3274" s="650"/>
      <c r="CU3274" s="73"/>
      <c r="CV3274" s="73"/>
      <c r="CW3274" s="73"/>
      <c r="CX3274" s="73"/>
      <c r="DA3274" s="650"/>
    </row>
    <row r="3275" spans="1:105" s="45" customFormat="1" x14ac:dyDescent="0.2">
      <c r="A3275" s="650"/>
      <c r="B3275" s="438"/>
      <c r="D3275" s="73"/>
      <c r="E3275" s="650"/>
      <c r="F3275" s="650"/>
      <c r="G3275" s="73"/>
      <c r="I3275" s="111"/>
      <c r="J3275" s="81"/>
      <c r="K3275" s="81"/>
      <c r="L3275" s="499"/>
      <c r="M3275" s="73"/>
      <c r="N3275" s="499"/>
      <c r="O3275" s="73"/>
      <c r="P3275" s="73"/>
      <c r="Q3275" s="73"/>
      <c r="R3275" s="176"/>
      <c r="S3275" s="176"/>
      <c r="T3275" s="176"/>
      <c r="U3275" s="400"/>
      <c r="V3275" s="400"/>
      <c r="W3275" s="732"/>
      <c r="X3275" s="167"/>
      <c r="Y3275" s="509"/>
      <c r="Z3275" s="466"/>
      <c r="AA3275" s="466"/>
      <c r="AB3275" s="466"/>
      <c r="AC3275" s="466"/>
      <c r="AD3275" s="466"/>
      <c r="AE3275" s="466"/>
      <c r="AF3275" s="466"/>
      <c r="AG3275" s="466"/>
      <c r="AH3275" s="466"/>
      <c r="AI3275" s="466"/>
      <c r="AJ3275" s="466"/>
      <c r="AK3275" s="466"/>
      <c r="AL3275" s="466"/>
      <c r="AM3275" s="466"/>
      <c r="AN3275" s="466"/>
      <c r="AO3275" s="466"/>
      <c r="AP3275" s="466"/>
      <c r="AQ3275" s="466"/>
      <c r="AR3275" s="466"/>
      <c r="AS3275" s="466"/>
      <c r="AT3275" s="466"/>
      <c r="AU3275" s="466"/>
      <c r="AV3275" s="466"/>
      <c r="AW3275" s="466"/>
      <c r="AX3275" s="466"/>
      <c r="AY3275" s="466"/>
      <c r="AZ3275" s="466"/>
      <c r="BA3275" s="466"/>
      <c r="BB3275" s="466"/>
      <c r="BC3275" s="466"/>
      <c r="BD3275" s="466"/>
      <c r="BE3275" s="467"/>
      <c r="BF3275" s="467"/>
      <c r="BG3275" s="466"/>
      <c r="BH3275" s="466"/>
      <c r="BI3275" s="467"/>
      <c r="BJ3275" s="467"/>
      <c r="BK3275" s="467"/>
      <c r="BL3275" s="467"/>
      <c r="BM3275" s="467"/>
      <c r="BN3275" s="467"/>
      <c r="BO3275" s="467"/>
      <c r="BP3275" s="467"/>
      <c r="BQ3275" s="467"/>
      <c r="BR3275" s="467"/>
      <c r="BS3275" s="467"/>
      <c r="BT3275" s="467"/>
      <c r="BU3275" s="467"/>
      <c r="BV3275" s="467"/>
      <c r="BW3275" s="467"/>
      <c r="BX3275" s="769"/>
      <c r="BY3275" s="769"/>
      <c r="BZ3275" s="769"/>
      <c r="CA3275" s="769"/>
      <c r="CB3275" s="769"/>
      <c r="CC3275" s="769"/>
      <c r="CD3275" s="769"/>
      <c r="CE3275" s="769"/>
      <c r="CF3275" s="769"/>
      <c r="CG3275" s="73"/>
      <c r="CH3275" s="438"/>
      <c r="CI3275" s="416"/>
      <c r="CJ3275" s="73"/>
      <c r="CK3275" s="650"/>
      <c r="CL3275" s="499"/>
      <c r="CM3275" s="650"/>
      <c r="CR3275" s="416"/>
      <c r="CS3275" s="650"/>
      <c r="CU3275" s="73"/>
      <c r="CV3275" s="73"/>
      <c r="CW3275" s="73"/>
      <c r="CX3275" s="73"/>
      <c r="DA3275" s="650"/>
    </row>
    <row r="3276" spans="1:105" s="45" customFormat="1" x14ac:dyDescent="0.2">
      <c r="A3276" s="650"/>
      <c r="B3276" s="438"/>
      <c r="D3276" s="73"/>
      <c r="E3276" s="650"/>
      <c r="F3276" s="650"/>
      <c r="G3276" s="73"/>
      <c r="I3276" s="111"/>
      <c r="J3276" s="81"/>
      <c r="K3276" s="81"/>
      <c r="L3276" s="499"/>
      <c r="M3276" s="73"/>
      <c r="N3276" s="499"/>
      <c r="O3276" s="73"/>
      <c r="P3276" s="73"/>
      <c r="Q3276" s="73"/>
      <c r="R3276" s="176"/>
      <c r="S3276" s="176"/>
      <c r="T3276" s="176"/>
      <c r="U3276" s="400"/>
      <c r="V3276" s="400"/>
      <c r="W3276" s="732"/>
      <c r="X3276" s="167"/>
      <c r="Y3276" s="509"/>
      <c r="Z3276" s="466"/>
      <c r="AA3276" s="466"/>
      <c r="AB3276" s="466"/>
      <c r="AC3276" s="466"/>
      <c r="AD3276" s="466"/>
      <c r="AE3276" s="466"/>
      <c r="AF3276" s="466"/>
      <c r="AG3276" s="466"/>
      <c r="AH3276" s="466"/>
      <c r="AI3276" s="466"/>
      <c r="AJ3276" s="466"/>
      <c r="AK3276" s="466"/>
      <c r="AL3276" s="466"/>
      <c r="AM3276" s="466"/>
      <c r="AN3276" s="466"/>
      <c r="AO3276" s="466"/>
      <c r="AP3276" s="466"/>
      <c r="AQ3276" s="466"/>
      <c r="AR3276" s="466"/>
      <c r="AS3276" s="466"/>
      <c r="AT3276" s="466"/>
      <c r="AU3276" s="466"/>
      <c r="AV3276" s="466"/>
      <c r="AW3276" s="466"/>
      <c r="AX3276" s="466"/>
      <c r="AY3276" s="466"/>
      <c r="AZ3276" s="466"/>
      <c r="BA3276" s="466"/>
      <c r="BB3276" s="466"/>
      <c r="BC3276" s="466"/>
      <c r="BD3276" s="466"/>
      <c r="BE3276" s="467"/>
      <c r="BF3276" s="467"/>
      <c r="BG3276" s="466"/>
      <c r="BH3276" s="466"/>
      <c r="BI3276" s="467"/>
      <c r="BJ3276" s="467"/>
      <c r="BK3276" s="467"/>
      <c r="BL3276" s="467"/>
      <c r="BM3276" s="467"/>
      <c r="BN3276" s="467"/>
      <c r="BO3276" s="467"/>
      <c r="BP3276" s="467"/>
      <c r="BQ3276" s="467"/>
      <c r="BR3276" s="467"/>
      <c r="BS3276" s="467"/>
      <c r="BT3276" s="467"/>
      <c r="BU3276" s="467"/>
      <c r="BV3276" s="467"/>
      <c r="BW3276" s="467"/>
      <c r="BX3276" s="769"/>
      <c r="BY3276" s="769"/>
      <c r="BZ3276" s="769"/>
      <c r="CA3276" s="769"/>
      <c r="CB3276" s="769"/>
      <c r="CC3276" s="769"/>
      <c r="CD3276" s="769"/>
      <c r="CE3276" s="769"/>
      <c r="CF3276" s="769"/>
      <c r="CG3276" s="73"/>
      <c r="CH3276" s="438"/>
      <c r="CI3276" s="416"/>
      <c r="CJ3276" s="73"/>
      <c r="CK3276" s="650"/>
      <c r="CL3276" s="499"/>
      <c r="CM3276" s="650"/>
      <c r="CR3276" s="416"/>
      <c r="CS3276" s="650"/>
      <c r="CU3276" s="73"/>
      <c r="CV3276" s="73"/>
      <c r="CW3276" s="73"/>
      <c r="CX3276" s="73"/>
      <c r="DA3276" s="650"/>
    </row>
    <row r="3277" spans="1:105" s="45" customFormat="1" x14ac:dyDescent="0.2">
      <c r="A3277" s="650"/>
      <c r="B3277" s="438"/>
      <c r="D3277" s="73"/>
      <c r="E3277" s="650"/>
      <c r="F3277" s="650"/>
      <c r="G3277" s="73"/>
      <c r="I3277" s="111"/>
      <c r="J3277" s="81"/>
      <c r="K3277" s="81"/>
      <c r="L3277" s="499"/>
      <c r="M3277" s="73"/>
      <c r="N3277" s="499"/>
      <c r="O3277" s="73"/>
      <c r="P3277" s="73"/>
      <c r="Q3277" s="73"/>
      <c r="R3277" s="176"/>
      <c r="S3277" s="176"/>
      <c r="T3277" s="176"/>
      <c r="U3277" s="400"/>
      <c r="V3277" s="400"/>
      <c r="W3277" s="732"/>
      <c r="X3277" s="167"/>
      <c r="Y3277" s="509"/>
      <c r="Z3277" s="466"/>
      <c r="AA3277" s="466"/>
      <c r="AB3277" s="466"/>
      <c r="AC3277" s="466"/>
      <c r="AD3277" s="466"/>
      <c r="AE3277" s="466"/>
      <c r="AF3277" s="466"/>
      <c r="AG3277" s="466"/>
      <c r="AH3277" s="466"/>
      <c r="AI3277" s="466"/>
      <c r="AJ3277" s="466"/>
      <c r="AK3277" s="466"/>
      <c r="AL3277" s="466"/>
      <c r="AM3277" s="466"/>
      <c r="AN3277" s="466"/>
      <c r="AO3277" s="466"/>
      <c r="AP3277" s="466"/>
      <c r="AQ3277" s="466"/>
      <c r="AR3277" s="466"/>
      <c r="AS3277" s="466"/>
      <c r="AT3277" s="466"/>
      <c r="AU3277" s="466"/>
      <c r="AV3277" s="466"/>
      <c r="AW3277" s="466"/>
      <c r="AX3277" s="466"/>
      <c r="AY3277" s="466"/>
      <c r="AZ3277" s="466"/>
      <c r="BA3277" s="466"/>
      <c r="BB3277" s="466"/>
      <c r="BC3277" s="466"/>
      <c r="BD3277" s="466"/>
      <c r="BE3277" s="467"/>
      <c r="BF3277" s="467"/>
      <c r="BG3277" s="466"/>
      <c r="BH3277" s="466"/>
      <c r="BI3277" s="467"/>
      <c r="BJ3277" s="467"/>
      <c r="BK3277" s="467"/>
      <c r="BL3277" s="467"/>
      <c r="BM3277" s="467"/>
      <c r="BN3277" s="467"/>
      <c r="BO3277" s="467"/>
      <c r="BP3277" s="467"/>
      <c r="BQ3277" s="467"/>
      <c r="BR3277" s="467"/>
      <c r="BS3277" s="467"/>
      <c r="BT3277" s="467"/>
      <c r="BU3277" s="467"/>
      <c r="BV3277" s="467"/>
      <c r="BW3277" s="467"/>
      <c r="BX3277" s="769"/>
      <c r="BY3277" s="769"/>
      <c r="BZ3277" s="769"/>
      <c r="CA3277" s="769"/>
      <c r="CB3277" s="769"/>
      <c r="CC3277" s="769"/>
      <c r="CD3277" s="769"/>
      <c r="CE3277" s="769"/>
      <c r="CF3277" s="769"/>
      <c r="CG3277" s="73"/>
      <c r="CH3277" s="438"/>
      <c r="CI3277" s="416"/>
      <c r="CJ3277" s="73"/>
      <c r="CK3277" s="650"/>
      <c r="CL3277" s="499"/>
      <c r="CM3277" s="650"/>
      <c r="CR3277" s="416"/>
      <c r="CS3277" s="650"/>
      <c r="CU3277" s="73"/>
      <c r="CV3277" s="73"/>
      <c r="CW3277" s="73"/>
      <c r="CX3277" s="73"/>
      <c r="DA3277" s="650"/>
    </row>
    <row r="3278" spans="1:105" s="45" customFormat="1" x14ac:dyDescent="0.2">
      <c r="A3278" s="650"/>
      <c r="B3278" s="438"/>
      <c r="D3278" s="73"/>
      <c r="E3278" s="650"/>
      <c r="F3278" s="650"/>
      <c r="G3278" s="73"/>
      <c r="I3278" s="111"/>
      <c r="J3278" s="81"/>
      <c r="K3278" s="81"/>
      <c r="L3278" s="499"/>
      <c r="M3278" s="73"/>
      <c r="N3278" s="499"/>
      <c r="O3278" s="73"/>
      <c r="P3278" s="73"/>
      <c r="Q3278" s="73"/>
      <c r="R3278" s="176"/>
      <c r="S3278" s="176"/>
      <c r="T3278" s="176"/>
      <c r="U3278" s="400"/>
      <c r="V3278" s="400"/>
      <c r="W3278" s="732"/>
      <c r="X3278" s="167"/>
      <c r="Y3278" s="509"/>
      <c r="Z3278" s="466"/>
      <c r="AA3278" s="466"/>
      <c r="AB3278" s="466"/>
      <c r="AC3278" s="466"/>
      <c r="AD3278" s="466"/>
      <c r="AE3278" s="466"/>
      <c r="AF3278" s="466"/>
      <c r="AG3278" s="466"/>
      <c r="AH3278" s="466"/>
      <c r="AI3278" s="466"/>
      <c r="AJ3278" s="466"/>
      <c r="AK3278" s="466"/>
      <c r="AL3278" s="466"/>
      <c r="AM3278" s="466"/>
      <c r="AN3278" s="466"/>
      <c r="AO3278" s="466"/>
      <c r="AP3278" s="466"/>
      <c r="AQ3278" s="466"/>
      <c r="AR3278" s="466"/>
      <c r="AS3278" s="466"/>
      <c r="AT3278" s="466"/>
      <c r="AU3278" s="466"/>
      <c r="AV3278" s="466"/>
      <c r="AW3278" s="466"/>
      <c r="AX3278" s="466"/>
      <c r="AY3278" s="466"/>
      <c r="AZ3278" s="466"/>
      <c r="BA3278" s="466"/>
      <c r="BB3278" s="466"/>
      <c r="BC3278" s="466"/>
      <c r="BD3278" s="466"/>
      <c r="BE3278" s="467"/>
      <c r="BF3278" s="467"/>
      <c r="BG3278" s="466"/>
      <c r="BH3278" s="466"/>
      <c r="BI3278" s="467"/>
      <c r="BJ3278" s="467"/>
      <c r="BK3278" s="467"/>
      <c r="BL3278" s="467"/>
      <c r="BM3278" s="467"/>
      <c r="BN3278" s="467"/>
      <c r="BO3278" s="467"/>
      <c r="BP3278" s="467"/>
      <c r="BQ3278" s="467"/>
      <c r="BR3278" s="467"/>
      <c r="BS3278" s="467"/>
      <c r="BT3278" s="467"/>
      <c r="BU3278" s="467"/>
      <c r="BV3278" s="467"/>
      <c r="BW3278" s="467"/>
      <c r="BX3278" s="769"/>
      <c r="BY3278" s="769"/>
      <c r="BZ3278" s="769"/>
      <c r="CA3278" s="769"/>
      <c r="CB3278" s="769"/>
      <c r="CC3278" s="769"/>
      <c r="CD3278" s="769"/>
      <c r="CE3278" s="769"/>
      <c r="CF3278" s="769"/>
      <c r="CG3278" s="73"/>
      <c r="CH3278" s="438"/>
      <c r="CI3278" s="416"/>
      <c r="CJ3278" s="73"/>
      <c r="CK3278" s="650"/>
      <c r="CL3278" s="499"/>
      <c r="CM3278" s="650"/>
      <c r="CR3278" s="416"/>
      <c r="CS3278" s="650"/>
      <c r="CU3278" s="73"/>
      <c r="CV3278" s="73"/>
      <c r="CW3278" s="73"/>
      <c r="CX3278" s="73"/>
      <c r="DA3278" s="650"/>
    </row>
    <row r="3279" spans="1:105" s="45" customFormat="1" x14ac:dyDescent="0.2">
      <c r="A3279" s="650"/>
      <c r="B3279" s="438"/>
      <c r="D3279" s="73"/>
      <c r="E3279" s="650"/>
      <c r="F3279" s="650"/>
      <c r="G3279" s="73"/>
      <c r="I3279" s="111"/>
      <c r="J3279" s="81"/>
      <c r="K3279" s="81"/>
      <c r="L3279" s="499"/>
      <c r="M3279" s="73"/>
      <c r="N3279" s="499"/>
      <c r="O3279" s="73"/>
      <c r="P3279" s="73"/>
      <c r="Q3279" s="73"/>
      <c r="R3279" s="176"/>
      <c r="S3279" s="176"/>
      <c r="T3279" s="176"/>
      <c r="U3279" s="400"/>
      <c r="V3279" s="400"/>
      <c r="W3279" s="732"/>
      <c r="X3279" s="167"/>
      <c r="Y3279" s="509"/>
      <c r="Z3279" s="466"/>
      <c r="AA3279" s="466"/>
      <c r="AB3279" s="466"/>
      <c r="AC3279" s="466"/>
      <c r="AD3279" s="466"/>
      <c r="AE3279" s="466"/>
      <c r="AF3279" s="466"/>
      <c r="AG3279" s="466"/>
      <c r="AH3279" s="466"/>
      <c r="AI3279" s="466"/>
      <c r="AJ3279" s="466"/>
      <c r="AK3279" s="466"/>
      <c r="AL3279" s="466"/>
      <c r="AM3279" s="466"/>
      <c r="AN3279" s="466"/>
      <c r="AO3279" s="466"/>
      <c r="AP3279" s="466"/>
      <c r="AQ3279" s="466"/>
      <c r="AR3279" s="466"/>
      <c r="AS3279" s="466"/>
      <c r="AT3279" s="466"/>
      <c r="AU3279" s="466"/>
      <c r="AV3279" s="466"/>
      <c r="AW3279" s="466"/>
      <c r="AX3279" s="466"/>
      <c r="AY3279" s="466"/>
      <c r="AZ3279" s="466"/>
      <c r="BA3279" s="466"/>
      <c r="BB3279" s="466"/>
      <c r="BC3279" s="466"/>
      <c r="BD3279" s="466"/>
      <c r="BE3279" s="467"/>
      <c r="BF3279" s="467"/>
      <c r="BG3279" s="466"/>
      <c r="BH3279" s="466"/>
      <c r="BI3279" s="467"/>
      <c r="BJ3279" s="467"/>
      <c r="BK3279" s="467"/>
      <c r="BL3279" s="467"/>
      <c r="BM3279" s="467"/>
      <c r="BN3279" s="467"/>
      <c r="BO3279" s="467"/>
      <c r="BP3279" s="467"/>
      <c r="BQ3279" s="467"/>
      <c r="BR3279" s="467"/>
      <c r="BS3279" s="467"/>
      <c r="BT3279" s="467"/>
      <c r="BU3279" s="467"/>
      <c r="BV3279" s="467"/>
      <c r="BW3279" s="467"/>
      <c r="BX3279" s="769"/>
      <c r="BY3279" s="769"/>
      <c r="BZ3279" s="769"/>
      <c r="CA3279" s="769"/>
      <c r="CB3279" s="769"/>
      <c r="CC3279" s="769"/>
      <c r="CD3279" s="769"/>
      <c r="CE3279" s="769"/>
      <c r="CF3279" s="769"/>
      <c r="CG3279" s="73"/>
      <c r="CH3279" s="438"/>
      <c r="CI3279" s="416"/>
      <c r="CJ3279" s="73"/>
      <c r="CK3279" s="650"/>
      <c r="CL3279" s="499"/>
      <c r="CM3279" s="650"/>
      <c r="CR3279" s="416"/>
      <c r="CS3279" s="650"/>
      <c r="CU3279" s="73"/>
      <c r="CV3279" s="73"/>
      <c r="CW3279" s="73"/>
      <c r="CX3279" s="73"/>
      <c r="DA3279" s="650"/>
    </row>
    <row r="3280" spans="1:105" s="45" customFormat="1" x14ac:dyDescent="0.2">
      <c r="A3280" s="650"/>
      <c r="B3280" s="438"/>
      <c r="D3280" s="73"/>
      <c r="E3280" s="650"/>
      <c r="F3280" s="650"/>
      <c r="G3280" s="73"/>
      <c r="I3280" s="111"/>
      <c r="J3280" s="81"/>
      <c r="K3280" s="81"/>
      <c r="L3280" s="499"/>
      <c r="M3280" s="73"/>
      <c r="N3280" s="499"/>
      <c r="O3280" s="73"/>
      <c r="P3280" s="73"/>
      <c r="Q3280" s="73"/>
      <c r="R3280" s="176"/>
      <c r="S3280" s="176"/>
      <c r="T3280" s="176"/>
      <c r="U3280" s="400"/>
      <c r="V3280" s="400"/>
      <c r="W3280" s="732"/>
      <c r="X3280" s="167"/>
      <c r="Y3280" s="509"/>
      <c r="Z3280" s="466"/>
      <c r="AA3280" s="466"/>
      <c r="AB3280" s="466"/>
      <c r="AC3280" s="466"/>
      <c r="AD3280" s="466"/>
      <c r="AE3280" s="466"/>
      <c r="AF3280" s="466"/>
      <c r="AG3280" s="466"/>
      <c r="AH3280" s="466"/>
      <c r="AI3280" s="466"/>
      <c r="AJ3280" s="466"/>
      <c r="AK3280" s="466"/>
      <c r="AL3280" s="466"/>
      <c r="AM3280" s="466"/>
      <c r="AN3280" s="466"/>
      <c r="AO3280" s="466"/>
      <c r="AP3280" s="466"/>
      <c r="AQ3280" s="466"/>
      <c r="AR3280" s="466"/>
      <c r="AS3280" s="466"/>
      <c r="AT3280" s="466"/>
      <c r="AU3280" s="466"/>
      <c r="AV3280" s="466"/>
      <c r="AW3280" s="466"/>
      <c r="AX3280" s="466"/>
      <c r="AY3280" s="466"/>
      <c r="AZ3280" s="466"/>
      <c r="BA3280" s="466"/>
      <c r="BB3280" s="466"/>
      <c r="BC3280" s="466"/>
      <c r="BD3280" s="466"/>
      <c r="BE3280" s="467"/>
      <c r="BF3280" s="467"/>
      <c r="BG3280" s="466"/>
      <c r="BH3280" s="466"/>
      <c r="BI3280" s="467"/>
      <c r="BJ3280" s="467"/>
      <c r="BK3280" s="467"/>
      <c r="BL3280" s="467"/>
      <c r="BM3280" s="467"/>
      <c r="BN3280" s="467"/>
      <c r="BO3280" s="467"/>
      <c r="BP3280" s="467"/>
      <c r="BQ3280" s="467"/>
      <c r="BR3280" s="467"/>
      <c r="BS3280" s="467"/>
      <c r="BT3280" s="467"/>
      <c r="BU3280" s="467"/>
      <c r="BV3280" s="467"/>
      <c r="BW3280" s="467"/>
      <c r="BX3280" s="769"/>
      <c r="BY3280" s="769"/>
      <c r="BZ3280" s="769"/>
      <c r="CA3280" s="769"/>
      <c r="CB3280" s="769"/>
      <c r="CC3280" s="769"/>
      <c r="CD3280" s="769"/>
      <c r="CE3280" s="769"/>
      <c r="CF3280" s="769"/>
      <c r="CG3280" s="73"/>
      <c r="CH3280" s="438"/>
      <c r="CI3280" s="416"/>
      <c r="CJ3280" s="73"/>
      <c r="CK3280" s="650"/>
      <c r="CL3280" s="499"/>
      <c r="CM3280" s="650"/>
      <c r="CR3280" s="416"/>
      <c r="CS3280" s="650"/>
      <c r="CU3280" s="73"/>
      <c r="CV3280" s="73"/>
      <c r="CW3280" s="73"/>
      <c r="CX3280" s="73"/>
      <c r="DA3280" s="650"/>
    </row>
    <row r="3281" spans="1:105" s="45" customFormat="1" x14ac:dyDescent="0.2">
      <c r="A3281" s="650"/>
      <c r="B3281" s="438"/>
      <c r="D3281" s="73"/>
      <c r="E3281" s="650"/>
      <c r="F3281" s="650"/>
      <c r="G3281" s="73"/>
      <c r="I3281" s="111"/>
      <c r="J3281" s="81"/>
      <c r="K3281" s="81"/>
      <c r="L3281" s="499"/>
      <c r="M3281" s="73"/>
      <c r="N3281" s="499"/>
      <c r="O3281" s="73"/>
      <c r="P3281" s="73"/>
      <c r="Q3281" s="73"/>
      <c r="R3281" s="176"/>
      <c r="S3281" s="176"/>
      <c r="T3281" s="176"/>
      <c r="U3281" s="400"/>
      <c r="V3281" s="400"/>
      <c r="W3281" s="732"/>
      <c r="X3281" s="167"/>
      <c r="Y3281" s="509"/>
      <c r="Z3281" s="466"/>
      <c r="AA3281" s="466"/>
      <c r="AB3281" s="466"/>
      <c r="AC3281" s="466"/>
      <c r="AD3281" s="466"/>
      <c r="AE3281" s="466"/>
      <c r="AF3281" s="466"/>
      <c r="AG3281" s="466"/>
      <c r="AH3281" s="466"/>
      <c r="AI3281" s="466"/>
      <c r="AJ3281" s="466"/>
      <c r="AK3281" s="466"/>
      <c r="AL3281" s="466"/>
      <c r="AM3281" s="466"/>
      <c r="AN3281" s="466"/>
      <c r="AO3281" s="466"/>
      <c r="AP3281" s="466"/>
      <c r="AQ3281" s="466"/>
      <c r="AR3281" s="466"/>
      <c r="AS3281" s="466"/>
      <c r="AT3281" s="466"/>
      <c r="AU3281" s="466"/>
      <c r="AV3281" s="466"/>
      <c r="AW3281" s="466"/>
      <c r="AX3281" s="466"/>
      <c r="AY3281" s="466"/>
      <c r="AZ3281" s="466"/>
      <c r="BA3281" s="466"/>
      <c r="BB3281" s="466"/>
      <c r="BC3281" s="466"/>
      <c r="BD3281" s="466"/>
      <c r="BE3281" s="467"/>
      <c r="BF3281" s="467"/>
      <c r="BG3281" s="466"/>
      <c r="BH3281" s="466"/>
      <c r="BI3281" s="467"/>
      <c r="BJ3281" s="467"/>
      <c r="BK3281" s="467"/>
      <c r="BL3281" s="467"/>
      <c r="BM3281" s="467"/>
      <c r="BN3281" s="467"/>
      <c r="BO3281" s="467"/>
      <c r="BP3281" s="467"/>
      <c r="BQ3281" s="467"/>
      <c r="BR3281" s="467"/>
      <c r="BS3281" s="467"/>
      <c r="BT3281" s="467"/>
      <c r="BU3281" s="467"/>
      <c r="BV3281" s="467"/>
      <c r="BW3281" s="467"/>
      <c r="BX3281" s="769"/>
      <c r="BY3281" s="769"/>
      <c r="BZ3281" s="769"/>
      <c r="CA3281" s="769"/>
      <c r="CB3281" s="769"/>
      <c r="CC3281" s="769"/>
      <c r="CD3281" s="769"/>
      <c r="CE3281" s="769"/>
      <c r="CF3281" s="769"/>
      <c r="CG3281" s="73"/>
      <c r="CH3281" s="438"/>
      <c r="CI3281" s="416"/>
      <c r="CJ3281" s="73"/>
      <c r="CK3281" s="650"/>
      <c r="CL3281" s="499"/>
      <c r="CM3281" s="650"/>
      <c r="CR3281" s="416"/>
      <c r="CS3281" s="650"/>
      <c r="CU3281" s="73"/>
      <c r="CV3281" s="73"/>
      <c r="CW3281" s="73"/>
      <c r="CX3281" s="73"/>
      <c r="DA3281" s="650"/>
    </row>
    <row r="3282" spans="1:105" s="45" customFormat="1" x14ac:dyDescent="0.2">
      <c r="A3282" s="650"/>
      <c r="B3282" s="438"/>
      <c r="D3282" s="73"/>
      <c r="E3282" s="650"/>
      <c r="F3282" s="650"/>
      <c r="G3282" s="73"/>
      <c r="I3282" s="111"/>
      <c r="J3282" s="81"/>
      <c r="K3282" s="81"/>
      <c r="L3282" s="499"/>
      <c r="M3282" s="73"/>
      <c r="N3282" s="499"/>
      <c r="O3282" s="73"/>
      <c r="P3282" s="73"/>
      <c r="Q3282" s="73"/>
      <c r="R3282" s="176"/>
      <c r="S3282" s="176"/>
      <c r="T3282" s="176"/>
      <c r="U3282" s="400"/>
      <c r="V3282" s="400"/>
      <c r="W3282" s="732"/>
      <c r="X3282" s="167"/>
      <c r="Y3282" s="509"/>
      <c r="Z3282" s="466"/>
      <c r="AA3282" s="466"/>
      <c r="AB3282" s="466"/>
      <c r="AC3282" s="466"/>
      <c r="AD3282" s="466"/>
      <c r="AE3282" s="466"/>
      <c r="AF3282" s="466"/>
      <c r="AG3282" s="466"/>
      <c r="AH3282" s="466"/>
      <c r="AI3282" s="466"/>
      <c r="AJ3282" s="466"/>
      <c r="AK3282" s="466"/>
      <c r="AL3282" s="466"/>
      <c r="AM3282" s="466"/>
      <c r="AN3282" s="466"/>
      <c r="AO3282" s="466"/>
      <c r="AP3282" s="466"/>
      <c r="AQ3282" s="466"/>
      <c r="AR3282" s="466"/>
      <c r="AS3282" s="466"/>
      <c r="AT3282" s="466"/>
      <c r="AU3282" s="466"/>
      <c r="AV3282" s="466"/>
      <c r="AW3282" s="466"/>
      <c r="AX3282" s="466"/>
      <c r="AY3282" s="466"/>
      <c r="AZ3282" s="466"/>
      <c r="BA3282" s="466"/>
      <c r="BB3282" s="466"/>
      <c r="BC3282" s="466"/>
      <c r="BD3282" s="466"/>
      <c r="BE3282" s="467"/>
      <c r="BF3282" s="467"/>
      <c r="BG3282" s="466"/>
      <c r="BH3282" s="466"/>
      <c r="BI3282" s="467"/>
      <c r="BJ3282" s="467"/>
      <c r="BK3282" s="467"/>
      <c r="BL3282" s="467"/>
      <c r="BM3282" s="467"/>
      <c r="BN3282" s="467"/>
      <c r="BO3282" s="467"/>
      <c r="BP3282" s="467"/>
      <c r="BQ3282" s="467"/>
      <c r="BR3282" s="467"/>
      <c r="BS3282" s="467"/>
      <c r="BT3282" s="467"/>
      <c r="BU3282" s="467"/>
      <c r="BV3282" s="467"/>
      <c r="BW3282" s="467"/>
      <c r="BX3282" s="769"/>
      <c r="BY3282" s="769"/>
      <c r="BZ3282" s="769"/>
      <c r="CA3282" s="769"/>
      <c r="CB3282" s="769"/>
      <c r="CC3282" s="769"/>
      <c r="CD3282" s="769"/>
      <c r="CE3282" s="769"/>
      <c r="CF3282" s="769"/>
      <c r="CG3282" s="73"/>
      <c r="CH3282" s="438"/>
      <c r="CI3282" s="416"/>
      <c r="CJ3282" s="73"/>
      <c r="CK3282" s="650"/>
      <c r="CL3282" s="499"/>
      <c r="CM3282" s="650"/>
      <c r="CR3282" s="416"/>
      <c r="CS3282" s="650"/>
      <c r="CU3282" s="73"/>
      <c r="CV3282" s="73"/>
      <c r="CW3282" s="73"/>
      <c r="CX3282" s="73"/>
      <c r="DA3282" s="650"/>
    </row>
    <row r="3283" spans="1:105" s="45" customFormat="1" x14ac:dyDescent="0.2">
      <c r="A3283" s="650"/>
      <c r="B3283" s="438"/>
      <c r="D3283" s="73"/>
      <c r="E3283" s="650"/>
      <c r="F3283" s="650"/>
      <c r="G3283" s="73"/>
      <c r="I3283" s="111"/>
      <c r="J3283" s="81"/>
      <c r="K3283" s="81"/>
      <c r="L3283" s="499"/>
      <c r="M3283" s="73"/>
      <c r="N3283" s="499"/>
      <c r="O3283" s="73"/>
      <c r="P3283" s="73"/>
      <c r="Q3283" s="73"/>
      <c r="R3283" s="176"/>
      <c r="S3283" s="176"/>
      <c r="T3283" s="176"/>
      <c r="U3283" s="400"/>
      <c r="V3283" s="400"/>
      <c r="W3283" s="732"/>
      <c r="X3283" s="167"/>
      <c r="Y3283" s="509"/>
      <c r="Z3283" s="466"/>
      <c r="AA3283" s="466"/>
      <c r="AB3283" s="466"/>
      <c r="AC3283" s="466"/>
      <c r="AD3283" s="466"/>
      <c r="AE3283" s="466"/>
      <c r="AF3283" s="466"/>
      <c r="AG3283" s="466"/>
      <c r="AH3283" s="466"/>
      <c r="AI3283" s="466"/>
      <c r="AJ3283" s="466"/>
      <c r="AK3283" s="466"/>
      <c r="AL3283" s="466"/>
      <c r="AM3283" s="466"/>
      <c r="AN3283" s="466"/>
      <c r="AO3283" s="466"/>
      <c r="AP3283" s="466"/>
      <c r="AQ3283" s="466"/>
      <c r="AR3283" s="466"/>
      <c r="AS3283" s="466"/>
      <c r="AT3283" s="466"/>
      <c r="AU3283" s="466"/>
      <c r="AV3283" s="466"/>
      <c r="AW3283" s="466"/>
      <c r="AX3283" s="466"/>
      <c r="AY3283" s="466"/>
      <c r="AZ3283" s="466"/>
      <c r="BA3283" s="466"/>
      <c r="BB3283" s="466"/>
      <c r="BC3283" s="466"/>
      <c r="BD3283" s="466"/>
      <c r="BE3283" s="467"/>
      <c r="BF3283" s="467"/>
      <c r="BG3283" s="466"/>
      <c r="BH3283" s="466"/>
      <c r="BI3283" s="467"/>
      <c r="BJ3283" s="467"/>
      <c r="BK3283" s="467"/>
      <c r="BL3283" s="467"/>
      <c r="BM3283" s="467"/>
      <c r="BN3283" s="467"/>
      <c r="BO3283" s="467"/>
      <c r="BP3283" s="467"/>
      <c r="BQ3283" s="467"/>
      <c r="BR3283" s="467"/>
      <c r="BS3283" s="467"/>
      <c r="BT3283" s="467"/>
      <c r="BU3283" s="467"/>
      <c r="BV3283" s="467"/>
      <c r="BW3283" s="467"/>
      <c r="BX3283" s="769"/>
      <c r="BY3283" s="769"/>
      <c r="BZ3283" s="769"/>
      <c r="CA3283" s="769"/>
      <c r="CB3283" s="769"/>
      <c r="CC3283" s="769"/>
      <c r="CD3283" s="769"/>
      <c r="CE3283" s="769"/>
      <c r="CF3283" s="769"/>
      <c r="CG3283" s="73"/>
      <c r="CH3283" s="438"/>
      <c r="CI3283" s="416"/>
      <c r="CJ3283" s="73"/>
      <c r="CK3283" s="650"/>
      <c r="CL3283" s="499"/>
      <c r="CM3283" s="650"/>
      <c r="CR3283" s="416"/>
      <c r="CS3283" s="650"/>
      <c r="CU3283" s="73"/>
      <c r="CV3283" s="73"/>
      <c r="CW3283" s="73"/>
      <c r="CX3283" s="73"/>
      <c r="DA3283" s="650"/>
    </row>
    <row r="3284" spans="1:105" s="45" customFormat="1" x14ac:dyDescent="0.2">
      <c r="A3284" s="650"/>
      <c r="B3284" s="438"/>
      <c r="D3284" s="73"/>
      <c r="E3284" s="650"/>
      <c r="F3284" s="650"/>
      <c r="G3284" s="73"/>
      <c r="I3284" s="111"/>
      <c r="J3284" s="81"/>
      <c r="K3284" s="81"/>
      <c r="L3284" s="499"/>
      <c r="M3284" s="73"/>
      <c r="N3284" s="499"/>
      <c r="O3284" s="73"/>
      <c r="P3284" s="73"/>
      <c r="Q3284" s="73"/>
      <c r="R3284" s="176"/>
      <c r="S3284" s="176"/>
      <c r="T3284" s="176"/>
      <c r="U3284" s="400"/>
      <c r="V3284" s="400"/>
      <c r="W3284" s="732"/>
      <c r="X3284" s="167"/>
      <c r="Y3284" s="509"/>
      <c r="Z3284" s="466"/>
      <c r="AA3284" s="466"/>
      <c r="AB3284" s="466"/>
      <c r="AC3284" s="466"/>
      <c r="AD3284" s="466"/>
      <c r="AE3284" s="466"/>
      <c r="AF3284" s="466"/>
      <c r="AG3284" s="466"/>
      <c r="AH3284" s="466"/>
      <c r="AI3284" s="466"/>
      <c r="AJ3284" s="466"/>
      <c r="AK3284" s="466"/>
      <c r="AL3284" s="466"/>
      <c r="AM3284" s="466"/>
      <c r="AN3284" s="466"/>
      <c r="AO3284" s="466"/>
      <c r="AP3284" s="466"/>
      <c r="AQ3284" s="466"/>
      <c r="AR3284" s="466"/>
      <c r="AS3284" s="466"/>
      <c r="AT3284" s="466"/>
      <c r="AU3284" s="466"/>
      <c r="AV3284" s="466"/>
      <c r="AW3284" s="466"/>
      <c r="AX3284" s="466"/>
      <c r="AY3284" s="466"/>
      <c r="AZ3284" s="466"/>
      <c r="BA3284" s="466"/>
      <c r="BB3284" s="466"/>
      <c r="BC3284" s="466"/>
      <c r="BD3284" s="466"/>
      <c r="BE3284" s="467"/>
      <c r="BF3284" s="467"/>
      <c r="BG3284" s="466"/>
      <c r="BH3284" s="466"/>
      <c r="BI3284" s="467"/>
      <c r="BJ3284" s="467"/>
      <c r="BK3284" s="467"/>
      <c r="BL3284" s="467"/>
      <c r="BM3284" s="467"/>
      <c r="BN3284" s="467"/>
      <c r="BO3284" s="467"/>
      <c r="BP3284" s="467"/>
      <c r="BQ3284" s="467"/>
      <c r="BR3284" s="467"/>
      <c r="BS3284" s="467"/>
      <c r="BT3284" s="467"/>
      <c r="BU3284" s="467"/>
      <c r="BV3284" s="467"/>
      <c r="BW3284" s="467"/>
      <c r="BX3284" s="769"/>
      <c r="BY3284" s="769"/>
      <c r="BZ3284" s="769"/>
      <c r="CA3284" s="769"/>
      <c r="CB3284" s="769"/>
      <c r="CC3284" s="769"/>
      <c r="CD3284" s="769"/>
      <c r="CE3284" s="769"/>
      <c r="CF3284" s="769"/>
      <c r="CG3284" s="73"/>
      <c r="CH3284" s="438"/>
      <c r="CI3284" s="416"/>
      <c r="CJ3284" s="73"/>
      <c r="CK3284" s="650"/>
      <c r="CL3284" s="499"/>
      <c r="CM3284" s="650"/>
      <c r="CR3284" s="416"/>
      <c r="CS3284" s="650"/>
      <c r="CU3284" s="73"/>
      <c r="CV3284" s="73"/>
      <c r="CW3284" s="73"/>
      <c r="CX3284" s="73"/>
      <c r="DA3284" s="650"/>
    </row>
    <row r="3285" spans="1:105" s="45" customFormat="1" x14ac:dyDescent="0.2">
      <c r="A3285" s="650"/>
      <c r="B3285" s="438"/>
      <c r="D3285" s="73"/>
      <c r="E3285" s="650"/>
      <c r="F3285" s="650"/>
      <c r="G3285" s="73"/>
      <c r="I3285" s="111"/>
      <c r="J3285" s="81"/>
      <c r="K3285" s="81"/>
      <c r="L3285" s="499"/>
      <c r="M3285" s="73"/>
      <c r="N3285" s="499"/>
      <c r="O3285" s="73"/>
      <c r="P3285" s="73"/>
      <c r="Q3285" s="73"/>
      <c r="R3285" s="176"/>
      <c r="S3285" s="176"/>
      <c r="T3285" s="176"/>
      <c r="U3285" s="400"/>
      <c r="V3285" s="400"/>
      <c r="W3285" s="732"/>
      <c r="X3285" s="167"/>
      <c r="Y3285" s="509"/>
      <c r="Z3285" s="466"/>
      <c r="AA3285" s="466"/>
      <c r="AB3285" s="466"/>
      <c r="AC3285" s="466"/>
      <c r="AD3285" s="466"/>
      <c r="AE3285" s="466"/>
      <c r="AF3285" s="466"/>
      <c r="AG3285" s="466"/>
      <c r="AH3285" s="466"/>
      <c r="AI3285" s="466"/>
      <c r="AJ3285" s="466"/>
      <c r="AK3285" s="466"/>
      <c r="AL3285" s="466"/>
      <c r="AM3285" s="466"/>
      <c r="AN3285" s="466"/>
      <c r="AO3285" s="466"/>
      <c r="AP3285" s="466"/>
      <c r="AQ3285" s="466"/>
      <c r="AR3285" s="466"/>
      <c r="AS3285" s="466"/>
      <c r="AT3285" s="466"/>
      <c r="AU3285" s="466"/>
      <c r="AV3285" s="466"/>
      <c r="AW3285" s="466"/>
      <c r="AX3285" s="466"/>
      <c r="AY3285" s="466"/>
      <c r="AZ3285" s="466"/>
      <c r="BA3285" s="466"/>
      <c r="BB3285" s="466"/>
      <c r="BC3285" s="466"/>
      <c r="BD3285" s="466"/>
      <c r="BE3285" s="467"/>
      <c r="BF3285" s="467"/>
      <c r="BG3285" s="466"/>
      <c r="BH3285" s="466"/>
      <c r="BI3285" s="467"/>
      <c r="BJ3285" s="467"/>
      <c r="BK3285" s="467"/>
      <c r="BL3285" s="467"/>
      <c r="BM3285" s="467"/>
      <c r="BN3285" s="467"/>
      <c r="BO3285" s="467"/>
      <c r="BP3285" s="467"/>
      <c r="BQ3285" s="467"/>
      <c r="BR3285" s="467"/>
      <c r="BS3285" s="467"/>
      <c r="BT3285" s="467"/>
      <c r="BU3285" s="467"/>
      <c r="BV3285" s="467"/>
      <c r="BW3285" s="467"/>
      <c r="BX3285" s="769"/>
      <c r="BY3285" s="769"/>
      <c r="BZ3285" s="769"/>
      <c r="CA3285" s="769"/>
      <c r="CB3285" s="769"/>
      <c r="CC3285" s="769"/>
      <c r="CD3285" s="769"/>
      <c r="CE3285" s="769"/>
      <c r="CF3285" s="769"/>
      <c r="CG3285" s="73"/>
      <c r="CH3285" s="438"/>
      <c r="CI3285" s="416"/>
      <c r="CJ3285" s="73"/>
      <c r="CK3285" s="650"/>
      <c r="CL3285" s="499"/>
      <c r="CM3285" s="650"/>
      <c r="CR3285" s="416"/>
      <c r="CS3285" s="650"/>
      <c r="CU3285" s="73"/>
      <c r="CV3285" s="73"/>
      <c r="CW3285" s="73"/>
      <c r="CX3285" s="73"/>
      <c r="DA3285" s="650"/>
    </row>
    <row r="3286" spans="1:105" s="45" customFormat="1" x14ac:dyDescent="0.2">
      <c r="A3286" s="650"/>
      <c r="B3286" s="438"/>
      <c r="D3286" s="73"/>
      <c r="E3286" s="650"/>
      <c r="F3286" s="650"/>
      <c r="G3286" s="73"/>
      <c r="I3286" s="111"/>
      <c r="J3286" s="81"/>
      <c r="K3286" s="81"/>
      <c r="L3286" s="499"/>
      <c r="M3286" s="73"/>
      <c r="N3286" s="499"/>
      <c r="O3286" s="73"/>
      <c r="P3286" s="73"/>
      <c r="Q3286" s="73"/>
      <c r="R3286" s="176"/>
      <c r="S3286" s="176"/>
      <c r="T3286" s="176"/>
      <c r="U3286" s="400"/>
      <c r="V3286" s="400"/>
      <c r="W3286" s="732"/>
      <c r="X3286" s="167"/>
      <c r="Y3286" s="509"/>
      <c r="Z3286" s="466"/>
      <c r="AA3286" s="466"/>
      <c r="AB3286" s="466"/>
      <c r="AC3286" s="466"/>
      <c r="AD3286" s="466"/>
      <c r="AE3286" s="466"/>
      <c r="AF3286" s="466"/>
      <c r="AG3286" s="466"/>
      <c r="AH3286" s="466"/>
      <c r="AI3286" s="466"/>
      <c r="AJ3286" s="466"/>
      <c r="AK3286" s="466"/>
      <c r="AL3286" s="466"/>
      <c r="AM3286" s="466"/>
      <c r="AN3286" s="466"/>
      <c r="AO3286" s="466"/>
      <c r="AP3286" s="466"/>
      <c r="AQ3286" s="466"/>
      <c r="AR3286" s="466"/>
      <c r="AS3286" s="466"/>
      <c r="AT3286" s="466"/>
      <c r="AU3286" s="466"/>
      <c r="AV3286" s="466"/>
      <c r="AW3286" s="466"/>
      <c r="AX3286" s="466"/>
      <c r="AY3286" s="466"/>
      <c r="AZ3286" s="466"/>
      <c r="BA3286" s="466"/>
      <c r="BB3286" s="466"/>
      <c r="BC3286" s="466"/>
      <c r="BD3286" s="466"/>
      <c r="BE3286" s="467"/>
      <c r="BF3286" s="467"/>
      <c r="BG3286" s="466"/>
      <c r="BH3286" s="466"/>
      <c r="BI3286" s="467"/>
      <c r="BJ3286" s="467"/>
      <c r="BK3286" s="467"/>
      <c r="BL3286" s="467"/>
      <c r="BM3286" s="467"/>
      <c r="BN3286" s="467"/>
      <c r="BO3286" s="467"/>
      <c r="BP3286" s="467"/>
      <c r="BQ3286" s="467"/>
      <c r="BR3286" s="467"/>
      <c r="BS3286" s="467"/>
      <c r="BT3286" s="467"/>
      <c r="BU3286" s="467"/>
      <c r="BV3286" s="467"/>
      <c r="BW3286" s="467"/>
      <c r="BX3286" s="769"/>
      <c r="BY3286" s="769"/>
      <c r="BZ3286" s="769"/>
      <c r="CA3286" s="769"/>
      <c r="CB3286" s="769"/>
      <c r="CC3286" s="769"/>
      <c r="CD3286" s="769"/>
      <c r="CE3286" s="769"/>
      <c r="CF3286" s="769"/>
      <c r="CG3286" s="73"/>
      <c r="CH3286" s="438"/>
      <c r="CI3286" s="416"/>
      <c r="CJ3286" s="73"/>
      <c r="CK3286" s="650"/>
      <c r="CL3286" s="499"/>
      <c r="CM3286" s="650"/>
      <c r="CR3286" s="416"/>
      <c r="CS3286" s="650"/>
      <c r="CU3286" s="73"/>
      <c r="CV3286" s="73"/>
      <c r="CW3286" s="73"/>
      <c r="CX3286" s="73"/>
      <c r="DA3286" s="650"/>
    </row>
    <row r="3287" spans="1:105" s="45" customFormat="1" x14ac:dyDescent="0.2">
      <c r="A3287" s="650"/>
      <c r="B3287" s="438"/>
      <c r="D3287" s="73"/>
      <c r="E3287" s="650"/>
      <c r="F3287" s="650"/>
      <c r="G3287" s="73"/>
      <c r="I3287" s="111"/>
      <c r="J3287" s="81"/>
      <c r="K3287" s="81"/>
      <c r="L3287" s="499"/>
      <c r="M3287" s="73"/>
      <c r="N3287" s="499"/>
      <c r="O3287" s="73"/>
      <c r="P3287" s="73"/>
      <c r="Q3287" s="73"/>
      <c r="R3287" s="176"/>
      <c r="S3287" s="176"/>
      <c r="T3287" s="176"/>
      <c r="U3287" s="400"/>
      <c r="V3287" s="400"/>
      <c r="W3287" s="732"/>
      <c r="X3287" s="167"/>
      <c r="Y3287" s="509"/>
      <c r="Z3287" s="466"/>
      <c r="AA3287" s="466"/>
      <c r="AB3287" s="466"/>
      <c r="AC3287" s="466"/>
      <c r="AD3287" s="466"/>
      <c r="AE3287" s="466"/>
      <c r="AF3287" s="466"/>
      <c r="AG3287" s="466"/>
      <c r="AH3287" s="466"/>
      <c r="AI3287" s="466"/>
      <c r="AJ3287" s="466"/>
      <c r="AK3287" s="466"/>
      <c r="AL3287" s="466"/>
      <c r="AM3287" s="466"/>
      <c r="AN3287" s="466"/>
      <c r="AO3287" s="466"/>
      <c r="AP3287" s="466"/>
      <c r="AQ3287" s="466"/>
      <c r="AR3287" s="466"/>
      <c r="AS3287" s="466"/>
      <c r="AT3287" s="466"/>
      <c r="AU3287" s="466"/>
      <c r="AV3287" s="466"/>
      <c r="AW3287" s="466"/>
      <c r="AX3287" s="466"/>
      <c r="AY3287" s="466"/>
      <c r="AZ3287" s="466"/>
      <c r="BA3287" s="466"/>
      <c r="BB3287" s="466"/>
      <c r="BC3287" s="466"/>
      <c r="BD3287" s="466"/>
      <c r="BE3287" s="467"/>
      <c r="BF3287" s="467"/>
      <c r="BG3287" s="466"/>
      <c r="BH3287" s="466"/>
      <c r="BI3287" s="467"/>
      <c r="BJ3287" s="467"/>
      <c r="BK3287" s="467"/>
      <c r="BL3287" s="467"/>
      <c r="BM3287" s="467"/>
      <c r="BN3287" s="467"/>
      <c r="BO3287" s="467"/>
      <c r="BP3287" s="467"/>
      <c r="BQ3287" s="467"/>
      <c r="BR3287" s="467"/>
      <c r="BS3287" s="467"/>
      <c r="BT3287" s="467"/>
      <c r="BU3287" s="467"/>
      <c r="BV3287" s="467"/>
      <c r="BW3287" s="467"/>
      <c r="BX3287" s="769"/>
      <c r="BY3287" s="769"/>
      <c r="BZ3287" s="769"/>
      <c r="CA3287" s="769"/>
      <c r="CB3287" s="769"/>
      <c r="CC3287" s="769"/>
      <c r="CD3287" s="769"/>
      <c r="CE3287" s="769"/>
      <c r="CF3287" s="769"/>
      <c r="CG3287" s="73"/>
      <c r="CH3287" s="438"/>
      <c r="CI3287" s="416"/>
      <c r="CJ3287" s="73"/>
      <c r="CK3287" s="650"/>
      <c r="CL3287" s="499"/>
      <c r="CM3287" s="650"/>
      <c r="CR3287" s="416"/>
      <c r="CS3287" s="650"/>
      <c r="CU3287" s="73"/>
      <c r="CV3287" s="73"/>
      <c r="CW3287" s="73"/>
      <c r="CX3287" s="73"/>
      <c r="DA3287" s="650"/>
    </row>
    <row r="3288" spans="1:105" s="45" customFormat="1" x14ac:dyDescent="0.2">
      <c r="A3288" s="650"/>
      <c r="B3288" s="438"/>
      <c r="D3288" s="73"/>
      <c r="E3288" s="650"/>
      <c r="F3288" s="650"/>
      <c r="G3288" s="73"/>
      <c r="I3288" s="111"/>
      <c r="J3288" s="81"/>
      <c r="K3288" s="81"/>
      <c r="L3288" s="499"/>
      <c r="M3288" s="73"/>
      <c r="N3288" s="499"/>
      <c r="O3288" s="73"/>
      <c r="P3288" s="73"/>
      <c r="Q3288" s="73"/>
      <c r="R3288" s="176"/>
      <c r="S3288" s="176"/>
      <c r="T3288" s="176"/>
      <c r="U3288" s="400"/>
      <c r="V3288" s="400"/>
      <c r="W3288" s="732"/>
      <c r="X3288" s="167"/>
      <c r="Y3288" s="509"/>
      <c r="Z3288" s="466"/>
      <c r="AA3288" s="466"/>
      <c r="AB3288" s="466"/>
      <c r="AC3288" s="466"/>
      <c r="AD3288" s="466"/>
      <c r="AE3288" s="466"/>
      <c r="AF3288" s="466"/>
      <c r="AG3288" s="466"/>
      <c r="AH3288" s="466"/>
      <c r="AI3288" s="466"/>
      <c r="AJ3288" s="466"/>
      <c r="AK3288" s="466"/>
      <c r="AL3288" s="466"/>
      <c r="AM3288" s="466"/>
      <c r="AN3288" s="466"/>
      <c r="AO3288" s="466"/>
      <c r="AP3288" s="466"/>
      <c r="AQ3288" s="466"/>
      <c r="AR3288" s="466"/>
      <c r="AS3288" s="466"/>
      <c r="AT3288" s="466"/>
      <c r="AU3288" s="466"/>
      <c r="AV3288" s="466"/>
      <c r="AW3288" s="466"/>
      <c r="AX3288" s="466"/>
      <c r="AY3288" s="466"/>
      <c r="AZ3288" s="466"/>
      <c r="BA3288" s="466"/>
      <c r="BB3288" s="466"/>
      <c r="BC3288" s="466"/>
      <c r="BD3288" s="466"/>
      <c r="BE3288" s="467"/>
      <c r="BF3288" s="467"/>
      <c r="BG3288" s="466"/>
      <c r="BH3288" s="466"/>
      <c r="BI3288" s="467"/>
      <c r="BJ3288" s="467"/>
      <c r="BK3288" s="467"/>
      <c r="BL3288" s="467"/>
      <c r="BM3288" s="467"/>
      <c r="BN3288" s="467"/>
      <c r="BO3288" s="467"/>
      <c r="BP3288" s="467"/>
      <c r="BQ3288" s="467"/>
      <c r="BR3288" s="467"/>
      <c r="BS3288" s="467"/>
      <c r="BT3288" s="467"/>
      <c r="BU3288" s="467"/>
      <c r="BV3288" s="467"/>
      <c r="BW3288" s="467"/>
      <c r="BX3288" s="769"/>
      <c r="BY3288" s="769"/>
      <c r="BZ3288" s="769"/>
      <c r="CA3288" s="769"/>
      <c r="CB3288" s="769"/>
      <c r="CC3288" s="769"/>
      <c r="CD3288" s="769"/>
      <c r="CE3288" s="769"/>
      <c r="CF3288" s="769"/>
      <c r="CG3288" s="73"/>
      <c r="CH3288" s="438"/>
      <c r="CI3288" s="416"/>
      <c r="CJ3288" s="73"/>
      <c r="CK3288" s="650"/>
      <c r="CL3288" s="499"/>
      <c r="CM3288" s="650"/>
      <c r="CR3288" s="416"/>
      <c r="CS3288" s="650"/>
      <c r="CU3288" s="73"/>
      <c r="CV3288" s="73"/>
      <c r="CW3288" s="73"/>
      <c r="CX3288" s="73"/>
      <c r="DA3288" s="650"/>
    </row>
    <row r="3289" spans="1:105" s="45" customFormat="1" x14ac:dyDescent="0.2">
      <c r="A3289" s="650"/>
      <c r="B3289" s="438"/>
      <c r="D3289" s="73"/>
      <c r="E3289" s="650"/>
      <c r="F3289" s="650"/>
      <c r="G3289" s="73"/>
      <c r="I3289" s="111"/>
      <c r="J3289" s="81"/>
      <c r="K3289" s="81"/>
      <c r="L3289" s="499"/>
      <c r="M3289" s="73"/>
      <c r="N3289" s="499"/>
      <c r="O3289" s="73"/>
      <c r="P3289" s="73"/>
      <c r="Q3289" s="73"/>
      <c r="R3289" s="176"/>
      <c r="S3289" s="176"/>
      <c r="T3289" s="176"/>
      <c r="U3289" s="400"/>
      <c r="V3289" s="400"/>
      <c r="W3289" s="732"/>
      <c r="X3289" s="167"/>
      <c r="Y3289" s="509"/>
      <c r="Z3289" s="466"/>
      <c r="AA3289" s="466"/>
      <c r="AB3289" s="466"/>
      <c r="AC3289" s="466"/>
      <c r="AD3289" s="466"/>
      <c r="AE3289" s="466"/>
      <c r="AF3289" s="466"/>
      <c r="AG3289" s="466"/>
      <c r="AH3289" s="466"/>
      <c r="AI3289" s="466"/>
      <c r="AJ3289" s="466"/>
      <c r="AK3289" s="466"/>
      <c r="AL3289" s="466"/>
      <c r="AM3289" s="466"/>
      <c r="AN3289" s="466"/>
      <c r="AO3289" s="466"/>
      <c r="AP3289" s="466"/>
      <c r="AQ3289" s="466"/>
      <c r="AR3289" s="466"/>
      <c r="AS3289" s="466"/>
      <c r="AT3289" s="466"/>
      <c r="AU3289" s="466"/>
      <c r="AV3289" s="466"/>
      <c r="AW3289" s="466"/>
      <c r="AX3289" s="466"/>
      <c r="AY3289" s="466"/>
      <c r="AZ3289" s="466"/>
      <c r="BA3289" s="466"/>
      <c r="BB3289" s="466"/>
      <c r="BC3289" s="466"/>
      <c r="BD3289" s="466"/>
      <c r="BE3289" s="467"/>
      <c r="BF3289" s="467"/>
      <c r="BG3289" s="466"/>
      <c r="BH3289" s="466"/>
      <c r="BI3289" s="467"/>
      <c r="BJ3289" s="467"/>
      <c r="BK3289" s="467"/>
      <c r="BL3289" s="467"/>
      <c r="BM3289" s="467"/>
      <c r="BN3289" s="467"/>
      <c r="BO3289" s="467"/>
      <c r="BP3289" s="467"/>
      <c r="BQ3289" s="467"/>
      <c r="BR3289" s="467"/>
      <c r="BS3289" s="467"/>
      <c r="BT3289" s="467"/>
      <c r="BU3289" s="467"/>
      <c r="BV3289" s="467"/>
      <c r="BW3289" s="467"/>
      <c r="BX3289" s="769"/>
      <c r="BY3289" s="769"/>
      <c r="BZ3289" s="769"/>
      <c r="CA3289" s="769"/>
      <c r="CB3289" s="769"/>
      <c r="CC3289" s="769"/>
      <c r="CD3289" s="769"/>
      <c r="CE3289" s="769"/>
      <c r="CF3289" s="769"/>
      <c r="CG3289" s="73"/>
      <c r="CH3289" s="438"/>
      <c r="CI3289" s="416"/>
      <c r="CJ3289" s="73"/>
      <c r="CK3289" s="650"/>
      <c r="CL3289" s="499"/>
      <c r="CM3289" s="650"/>
      <c r="CR3289" s="416"/>
      <c r="CS3289" s="650"/>
      <c r="CU3289" s="73"/>
      <c r="CV3289" s="73"/>
      <c r="CW3289" s="73"/>
      <c r="CX3289" s="73"/>
      <c r="DA3289" s="650"/>
    </row>
    <row r="3290" spans="1:105" s="45" customFormat="1" x14ac:dyDescent="0.2">
      <c r="A3290" s="650"/>
      <c r="B3290" s="438"/>
      <c r="D3290" s="73"/>
      <c r="E3290" s="650"/>
      <c r="F3290" s="650"/>
      <c r="G3290" s="73"/>
      <c r="I3290" s="111"/>
      <c r="J3290" s="81"/>
      <c r="K3290" s="81"/>
      <c r="L3290" s="499"/>
      <c r="M3290" s="73"/>
      <c r="N3290" s="499"/>
      <c r="O3290" s="73"/>
      <c r="P3290" s="73"/>
      <c r="Q3290" s="73"/>
      <c r="R3290" s="176"/>
      <c r="S3290" s="176"/>
      <c r="T3290" s="176"/>
      <c r="U3290" s="400"/>
      <c r="V3290" s="400"/>
      <c r="W3290" s="732"/>
      <c r="X3290" s="167"/>
      <c r="Y3290" s="509"/>
      <c r="Z3290" s="466"/>
      <c r="AA3290" s="466"/>
      <c r="AB3290" s="466"/>
      <c r="AC3290" s="466"/>
      <c r="AD3290" s="466"/>
      <c r="AE3290" s="466"/>
      <c r="AF3290" s="466"/>
      <c r="AG3290" s="466"/>
      <c r="AH3290" s="466"/>
      <c r="AI3290" s="466"/>
      <c r="AJ3290" s="466"/>
      <c r="AK3290" s="466"/>
      <c r="AL3290" s="466"/>
      <c r="AM3290" s="466"/>
      <c r="AN3290" s="466"/>
      <c r="AO3290" s="466"/>
      <c r="AP3290" s="466"/>
      <c r="AQ3290" s="466"/>
      <c r="AR3290" s="466"/>
      <c r="AS3290" s="466"/>
      <c r="AT3290" s="466"/>
      <c r="AU3290" s="466"/>
      <c r="AV3290" s="466"/>
      <c r="AW3290" s="466"/>
      <c r="AX3290" s="466"/>
      <c r="AY3290" s="466"/>
      <c r="AZ3290" s="466"/>
      <c r="BA3290" s="466"/>
      <c r="BB3290" s="466"/>
      <c r="BC3290" s="466"/>
      <c r="BD3290" s="466"/>
      <c r="BE3290" s="467"/>
      <c r="BF3290" s="467"/>
      <c r="BG3290" s="466"/>
      <c r="BH3290" s="466"/>
      <c r="BI3290" s="467"/>
      <c r="BJ3290" s="467"/>
      <c r="BK3290" s="467"/>
      <c r="BL3290" s="467"/>
      <c r="BM3290" s="467"/>
      <c r="BN3290" s="467"/>
      <c r="BO3290" s="467"/>
      <c r="BP3290" s="467"/>
      <c r="BQ3290" s="467"/>
      <c r="BR3290" s="467"/>
      <c r="BS3290" s="467"/>
      <c r="BT3290" s="467"/>
      <c r="BU3290" s="467"/>
      <c r="BV3290" s="467"/>
      <c r="BW3290" s="467"/>
      <c r="BX3290" s="769"/>
      <c r="BY3290" s="769"/>
      <c r="BZ3290" s="769"/>
      <c r="CA3290" s="769"/>
      <c r="CB3290" s="769"/>
      <c r="CC3290" s="769"/>
      <c r="CD3290" s="769"/>
      <c r="CE3290" s="769"/>
      <c r="CF3290" s="769"/>
      <c r="CG3290" s="73"/>
      <c r="CH3290" s="438"/>
      <c r="CI3290" s="416"/>
      <c r="CJ3290" s="73"/>
      <c r="CK3290" s="650"/>
      <c r="CL3290" s="499"/>
      <c r="CM3290" s="650"/>
      <c r="CR3290" s="416"/>
      <c r="CS3290" s="650"/>
      <c r="CU3290" s="73"/>
      <c r="CV3290" s="73"/>
      <c r="CW3290" s="73"/>
      <c r="CX3290" s="73"/>
      <c r="DA3290" s="650"/>
    </row>
    <row r="3291" spans="1:105" s="45" customFormat="1" x14ac:dyDescent="0.2">
      <c r="A3291" s="650"/>
      <c r="B3291" s="438"/>
      <c r="D3291" s="73"/>
      <c r="E3291" s="650"/>
      <c r="F3291" s="650"/>
      <c r="G3291" s="73"/>
      <c r="I3291" s="111"/>
      <c r="J3291" s="81"/>
      <c r="K3291" s="81"/>
      <c r="L3291" s="499"/>
      <c r="M3291" s="73"/>
      <c r="N3291" s="499"/>
      <c r="O3291" s="73"/>
      <c r="P3291" s="73"/>
      <c r="Q3291" s="73"/>
      <c r="R3291" s="176"/>
      <c r="S3291" s="176"/>
      <c r="T3291" s="176"/>
      <c r="U3291" s="400"/>
      <c r="V3291" s="400"/>
      <c r="W3291" s="732"/>
      <c r="X3291" s="167"/>
      <c r="Y3291" s="509"/>
      <c r="Z3291" s="466"/>
      <c r="AA3291" s="466"/>
      <c r="AB3291" s="466"/>
      <c r="AC3291" s="466"/>
      <c r="AD3291" s="466"/>
      <c r="AE3291" s="466"/>
      <c r="AF3291" s="466"/>
      <c r="AG3291" s="466"/>
      <c r="AH3291" s="466"/>
      <c r="AI3291" s="466"/>
      <c r="AJ3291" s="466"/>
      <c r="AK3291" s="466"/>
      <c r="AL3291" s="466"/>
      <c r="AM3291" s="466"/>
      <c r="AN3291" s="466"/>
      <c r="AO3291" s="466"/>
      <c r="AP3291" s="466"/>
      <c r="AQ3291" s="466"/>
      <c r="AR3291" s="466"/>
      <c r="AS3291" s="466"/>
      <c r="AT3291" s="466"/>
      <c r="AU3291" s="466"/>
      <c r="AV3291" s="466"/>
      <c r="AW3291" s="466"/>
      <c r="AX3291" s="466"/>
      <c r="AY3291" s="466"/>
      <c r="AZ3291" s="466"/>
      <c r="BA3291" s="466"/>
      <c r="BB3291" s="466"/>
      <c r="BC3291" s="466"/>
      <c r="BD3291" s="466"/>
      <c r="BE3291" s="467"/>
      <c r="BF3291" s="467"/>
      <c r="BG3291" s="466"/>
      <c r="BH3291" s="466"/>
      <c r="BI3291" s="467"/>
      <c r="BJ3291" s="467"/>
      <c r="BK3291" s="467"/>
      <c r="BL3291" s="467"/>
      <c r="BM3291" s="467"/>
      <c r="BN3291" s="467"/>
      <c r="BO3291" s="467"/>
      <c r="BP3291" s="467"/>
      <c r="BQ3291" s="467"/>
      <c r="BR3291" s="467"/>
      <c r="BS3291" s="467"/>
      <c r="BT3291" s="467"/>
      <c r="BU3291" s="467"/>
      <c r="BV3291" s="467"/>
      <c r="BW3291" s="467"/>
      <c r="BX3291" s="769"/>
      <c r="BY3291" s="769"/>
      <c r="BZ3291" s="769"/>
      <c r="CA3291" s="769"/>
      <c r="CB3291" s="769"/>
      <c r="CC3291" s="769"/>
      <c r="CD3291" s="769"/>
      <c r="CE3291" s="769"/>
      <c r="CF3291" s="769"/>
      <c r="CG3291" s="73"/>
      <c r="CH3291" s="438"/>
      <c r="CI3291" s="416"/>
      <c r="CJ3291" s="73"/>
      <c r="CK3291" s="650"/>
      <c r="CL3291" s="499"/>
      <c r="CM3291" s="650"/>
      <c r="CR3291" s="416"/>
      <c r="CS3291" s="650"/>
      <c r="CU3291" s="73"/>
      <c r="CV3291" s="73"/>
      <c r="CW3291" s="73"/>
      <c r="CX3291" s="73"/>
      <c r="DA3291" s="650"/>
    </row>
    <row r="3292" spans="1:105" s="45" customFormat="1" x14ac:dyDescent="0.2">
      <c r="A3292" s="650"/>
      <c r="B3292" s="438"/>
      <c r="D3292" s="73"/>
      <c r="E3292" s="650"/>
      <c r="F3292" s="650"/>
      <c r="G3292" s="73"/>
      <c r="I3292" s="111"/>
      <c r="J3292" s="81"/>
      <c r="K3292" s="81"/>
      <c r="L3292" s="499"/>
      <c r="M3292" s="73"/>
      <c r="N3292" s="499"/>
      <c r="O3292" s="73"/>
      <c r="P3292" s="73"/>
      <c r="Q3292" s="73"/>
      <c r="R3292" s="176"/>
      <c r="S3292" s="176"/>
      <c r="T3292" s="176"/>
      <c r="U3292" s="400"/>
      <c r="V3292" s="400"/>
      <c r="W3292" s="732"/>
      <c r="X3292" s="167"/>
      <c r="Y3292" s="509"/>
      <c r="Z3292" s="466"/>
      <c r="AA3292" s="466"/>
      <c r="AB3292" s="466"/>
      <c r="AC3292" s="466"/>
      <c r="AD3292" s="466"/>
      <c r="AE3292" s="466"/>
      <c r="AF3292" s="466"/>
      <c r="AG3292" s="466"/>
      <c r="AH3292" s="466"/>
      <c r="AI3292" s="466"/>
      <c r="AJ3292" s="466"/>
      <c r="AK3292" s="466"/>
      <c r="AL3292" s="466"/>
      <c r="AM3292" s="466"/>
      <c r="AN3292" s="466"/>
      <c r="AO3292" s="466"/>
      <c r="AP3292" s="466"/>
      <c r="AQ3292" s="466"/>
      <c r="AR3292" s="466"/>
      <c r="AS3292" s="466"/>
      <c r="AT3292" s="466"/>
      <c r="AU3292" s="466"/>
      <c r="AV3292" s="466"/>
      <c r="AW3292" s="466"/>
      <c r="AX3292" s="466"/>
      <c r="AY3292" s="466"/>
      <c r="AZ3292" s="466"/>
      <c r="BA3292" s="466"/>
      <c r="BB3292" s="466"/>
      <c r="BC3292" s="466"/>
      <c r="BD3292" s="466"/>
      <c r="BE3292" s="467"/>
      <c r="BF3292" s="467"/>
      <c r="BG3292" s="466"/>
      <c r="BH3292" s="466"/>
      <c r="BI3292" s="467"/>
      <c r="BJ3292" s="467"/>
      <c r="BK3292" s="467"/>
      <c r="BL3292" s="467"/>
      <c r="BM3292" s="467"/>
      <c r="BN3292" s="467"/>
      <c r="BO3292" s="467"/>
      <c r="BP3292" s="467"/>
      <c r="BQ3292" s="467"/>
      <c r="BR3292" s="467"/>
      <c r="BS3292" s="467"/>
      <c r="BT3292" s="467"/>
      <c r="BU3292" s="467"/>
      <c r="BV3292" s="467"/>
      <c r="BW3292" s="467"/>
      <c r="BX3292" s="769"/>
      <c r="BY3292" s="769"/>
      <c r="BZ3292" s="769"/>
      <c r="CA3292" s="769"/>
      <c r="CB3292" s="769"/>
      <c r="CC3292" s="769"/>
      <c r="CD3292" s="769"/>
      <c r="CE3292" s="769"/>
      <c r="CF3292" s="769"/>
      <c r="CG3292" s="73"/>
      <c r="CH3292" s="438"/>
      <c r="CI3292" s="416"/>
      <c r="CJ3292" s="73"/>
      <c r="CK3292" s="650"/>
      <c r="CL3292" s="499"/>
      <c r="CM3292" s="650"/>
      <c r="CR3292" s="416"/>
      <c r="CS3292" s="650"/>
      <c r="CU3292" s="73"/>
      <c r="CV3292" s="73"/>
      <c r="CW3292" s="73"/>
      <c r="CX3292" s="73"/>
      <c r="DA3292" s="650"/>
    </row>
    <row r="3293" spans="1:105" s="45" customFormat="1" x14ac:dyDescent="0.2">
      <c r="A3293" s="650"/>
      <c r="B3293" s="438"/>
      <c r="D3293" s="73"/>
      <c r="E3293" s="650"/>
      <c r="F3293" s="650"/>
      <c r="G3293" s="73"/>
      <c r="I3293" s="111"/>
      <c r="J3293" s="81"/>
      <c r="K3293" s="81"/>
      <c r="L3293" s="499"/>
      <c r="M3293" s="73"/>
      <c r="N3293" s="499"/>
      <c r="O3293" s="73"/>
      <c r="P3293" s="73"/>
      <c r="Q3293" s="73"/>
      <c r="R3293" s="176"/>
      <c r="S3293" s="176"/>
      <c r="T3293" s="176"/>
      <c r="U3293" s="400"/>
      <c r="V3293" s="400"/>
      <c r="W3293" s="732"/>
      <c r="X3293" s="167"/>
      <c r="Y3293" s="509"/>
      <c r="Z3293" s="466"/>
      <c r="AA3293" s="466"/>
      <c r="AB3293" s="466"/>
      <c r="AC3293" s="466"/>
      <c r="AD3293" s="466"/>
      <c r="AE3293" s="466"/>
      <c r="AF3293" s="466"/>
      <c r="AG3293" s="466"/>
      <c r="AH3293" s="466"/>
      <c r="AI3293" s="466"/>
      <c r="AJ3293" s="466"/>
      <c r="AK3293" s="466"/>
      <c r="AL3293" s="466"/>
      <c r="AM3293" s="466"/>
      <c r="AN3293" s="466"/>
      <c r="AO3293" s="466"/>
      <c r="AP3293" s="466"/>
      <c r="AQ3293" s="466"/>
      <c r="AR3293" s="466"/>
      <c r="AS3293" s="466"/>
      <c r="AT3293" s="466"/>
      <c r="AU3293" s="466"/>
      <c r="AV3293" s="466"/>
      <c r="AW3293" s="466"/>
      <c r="AX3293" s="466"/>
      <c r="AY3293" s="466"/>
      <c r="AZ3293" s="466"/>
      <c r="BA3293" s="466"/>
      <c r="BB3293" s="466"/>
      <c r="BC3293" s="466"/>
      <c r="BD3293" s="466"/>
      <c r="BE3293" s="467"/>
      <c r="BF3293" s="467"/>
      <c r="BG3293" s="466"/>
      <c r="BH3293" s="466"/>
      <c r="BI3293" s="467"/>
      <c r="BJ3293" s="467"/>
      <c r="BK3293" s="467"/>
      <c r="BL3293" s="467"/>
      <c r="BM3293" s="467"/>
      <c r="BN3293" s="467"/>
      <c r="BO3293" s="467"/>
      <c r="BP3293" s="467"/>
      <c r="BQ3293" s="467"/>
      <c r="BR3293" s="467"/>
      <c r="BS3293" s="467"/>
      <c r="BT3293" s="467"/>
      <c r="BU3293" s="467"/>
      <c r="BV3293" s="467"/>
      <c r="BW3293" s="467"/>
      <c r="BX3293" s="769"/>
      <c r="BY3293" s="769"/>
      <c r="BZ3293" s="769"/>
      <c r="CA3293" s="769"/>
      <c r="CB3293" s="769"/>
      <c r="CC3293" s="769"/>
      <c r="CD3293" s="769"/>
      <c r="CE3293" s="769"/>
      <c r="CF3293" s="769"/>
      <c r="CG3293" s="73"/>
      <c r="CH3293" s="438"/>
      <c r="CI3293" s="416"/>
      <c r="CJ3293" s="73"/>
      <c r="CK3293" s="650"/>
      <c r="CL3293" s="499"/>
      <c r="CM3293" s="650"/>
      <c r="CR3293" s="416"/>
      <c r="CS3293" s="650"/>
      <c r="CU3293" s="73"/>
      <c r="CV3293" s="73"/>
      <c r="CW3293" s="73"/>
      <c r="CX3293" s="73"/>
      <c r="DA3293" s="650"/>
    </row>
    <row r="3294" spans="1:105" s="45" customFormat="1" x14ac:dyDescent="0.2">
      <c r="A3294" s="650"/>
      <c r="B3294" s="438"/>
      <c r="D3294" s="73"/>
      <c r="E3294" s="650"/>
      <c r="F3294" s="650"/>
      <c r="G3294" s="73"/>
      <c r="I3294" s="111"/>
      <c r="J3294" s="81"/>
      <c r="K3294" s="81"/>
      <c r="L3294" s="499"/>
      <c r="M3294" s="73"/>
      <c r="N3294" s="499"/>
      <c r="O3294" s="73"/>
      <c r="P3294" s="73"/>
      <c r="Q3294" s="73"/>
      <c r="R3294" s="176"/>
      <c r="S3294" s="176"/>
      <c r="T3294" s="176"/>
      <c r="U3294" s="400"/>
      <c r="V3294" s="400"/>
      <c r="W3294" s="732"/>
      <c r="X3294" s="167"/>
      <c r="Y3294" s="509"/>
      <c r="Z3294" s="466"/>
      <c r="AA3294" s="466"/>
      <c r="AB3294" s="466"/>
      <c r="AC3294" s="466"/>
      <c r="AD3294" s="466"/>
      <c r="AE3294" s="466"/>
      <c r="AF3294" s="466"/>
      <c r="AG3294" s="466"/>
      <c r="AH3294" s="466"/>
      <c r="AI3294" s="466"/>
      <c r="AJ3294" s="466"/>
      <c r="AK3294" s="466"/>
      <c r="AL3294" s="466"/>
      <c r="AM3294" s="466"/>
      <c r="AN3294" s="466"/>
      <c r="AO3294" s="466"/>
      <c r="AP3294" s="466"/>
      <c r="AQ3294" s="466"/>
      <c r="AR3294" s="466"/>
      <c r="AS3294" s="466"/>
      <c r="AT3294" s="466"/>
      <c r="AU3294" s="466"/>
      <c r="AV3294" s="466"/>
      <c r="AW3294" s="466"/>
      <c r="AX3294" s="466"/>
      <c r="AY3294" s="466"/>
      <c r="AZ3294" s="466"/>
      <c r="BA3294" s="466"/>
      <c r="BB3294" s="466"/>
      <c r="BC3294" s="466"/>
      <c r="BD3294" s="466"/>
      <c r="BE3294" s="467"/>
      <c r="BF3294" s="467"/>
      <c r="BG3294" s="466"/>
      <c r="BH3294" s="466"/>
      <c r="BI3294" s="467"/>
      <c r="BJ3294" s="467"/>
      <c r="BK3294" s="467"/>
      <c r="BL3294" s="467"/>
      <c r="BM3294" s="467"/>
      <c r="BN3294" s="467"/>
      <c r="BO3294" s="467"/>
      <c r="BP3294" s="467"/>
      <c r="BQ3294" s="467"/>
      <c r="BR3294" s="467"/>
      <c r="BS3294" s="467"/>
      <c r="BT3294" s="467"/>
      <c r="BU3294" s="467"/>
      <c r="BV3294" s="467"/>
      <c r="BW3294" s="467"/>
      <c r="BX3294" s="769"/>
      <c r="BY3294" s="769"/>
      <c r="BZ3294" s="769"/>
      <c r="CA3294" s="769"/>
      <c r="CB3294" s="769"/>
      <c r="CC3294" s="769"/>
      <c r="CD3294" s="769"/>
      <c r="CE3294" s="769"/>
      <c r="CF3294" s="769"/>
      <c r="CG3294" s="73"/>
      <c r="CH3294" s="438"/>
      <c r="CI3294" s="416"/>
      <c r="CJ3294" s="73"/>
      <c r="CK3294" s="650"/>
      <c r="CL3294" s="499"/>
      <c r="CM3294" s="650"/>
      <c r="CR3294" s="416"/>
      <c r="CS3294" s="650"/>
      <c r="CU3294" s="73"/>
      <c r="CV3294" s="73"/>
      <c r="CW3294" s="73"/>
      <c r="CX3294" s="73"/>
      <c r="DA3294" s="650"/>
    </row>
    <row r="3295" spans="1:105" s="45" customFormat="1" x14ac:dyDescent="0.2">
      <c r="A3295" s="650"/>
      <c r="B3295" s="438"/>
      <c r="D3295" s="73"/>
      <c r="E3295" s="650"/>
      <c r="F3295" s="650"/>
      <c r="G3295" s="73"/>
      <c r="I3295" s="111"/>
      <c r="J3295" s="81"/>
      <c r="K3295" s="81"/>
      <c r="L3295" s="499"/>
      <c r="M3295" s="73"/>
      <c r="N3295" s="499"/>
      <c r="O3295" s="73"/>
      <c r="P3295" s="73"/>
      <c r="Q3295" s="73"/>
      <c r="R3295" s="176"/>
      <c r="S3295" s="176"/>
      <c r="T3295" s="176"/>
      <c r="U3295" s="400"/>
      <c r="V3295" s="400"/>
      <c r="W3295" s="732"/>
      <c r="X3295" s="167"/>
      <c r="Y3295" s="509"/>
      <c r="Z3295" s="466"/>
      <c r="AA3295" s="466"/>
      <c r="AB3295" s="466"/>
      <c r="AC3295" s="466"/>
      <c r="AD3295" s="466"/>
      <c r="AE3295" s="466"/>
      <c r="AF3295" s="466"/>
      <c r="AG3295" s="466"/>
      <c r="AH3295" s="466"/>
      <c r="AI3295" s="466"/>
      <c r="AJ3295" s="466"/>
      <c r="AK3295" s="466"/>
      <c r="AL3295" s="466"/>
      <c r="AM3295" s="466"/>
      <c r="AN3295" s="466"/>
      <c r="AO3295" s="466"/>
      <c r="AP3295" s="466"/>
      <c r="AQ3295" s="466"/>
      <c r="AR3295" s="466"/>
      <c r="AS3295" s="466"/>
      <c r="AT3295" s="466"/>
      <c r="AU3295" s="466"/>
      <c r="AV3295" s="466"/>
      <c r="AW3295" s="466"/>
      <c r="AX3295" s="466"/>
      <c r="AY3295" s="466"/>
      <c r="AZ3295" s="466"/>
      <c r="BA3295" s="466"/>
      <c r="BB3295" s="466"/>
      <c r="BC3295" s="466"/>
      <c r="BD3295" s="466"/>
      <c r="BE3295" s="467"/>
      <c r="BF3295" s="467"/>
      <c r="BG3295" s="466"/>
      <c r="BH3295" s="466"/>
      <c r="BI3295" s="467"/>
      <c r="BJ3295" s="467"/>
      <c r="BK3295" s="467"/>
      <c r="BL3295" s="467"/>
      <c r="BM3295" s="467"/>
      <c r="BN3295" s="467"/>
      <c r="BO3295" s="467"/>
      <c r="BP3295" s="467"/>
      <c r="BQ3295" s="467"/>
      <c r="BR3295" s="467"/>
      <c r="BS3295" s="467"/>
      <c r="BT3295" s="467"/>
      <c r="BU3295" s="467"/>
      <c r="BV3295" s="467"/>
      <c r="BW3295" s="467"/>
      <c r="BX3295" s="769"/>
      <c r="BY3295" s="769"/>
      <c r="BZ3295" s="769"/>
      <c r="CA3295" s="769"/>
      <c r="CB3295" s="769"/>
      <c r="CC3295" s="769"/>
      <c r="CD3295" s="769"/>
      <c r="CE3295" s="769"/>
      <c r="CF3295" s="769"/>
      <c r="CG3295" s="73"/>
      <c r="CH3295" s="438"/>
      <c r="CI3295" s="416"/>
      <c r="CJ3295" s="73"/>
      <c r="CK3295" s="650"/>
      <c r="CL3295" s="499"/>
      <c r="CM3295" s="650"/>
      <c r="CR3295" s="416"/>
      <c r="CS3295" s="650"/>
      <c r="CU3295" s="73"/>
      <c r="CV3295" s="73"/>
      <c r="CW3295" s="73"/>
      <c r="CX3295" s="73"/>
      <c r="DA3295" s="650"/>
    </row>
    <row r="3296" spans="1:105" s="45" customFormat="1" x14ac:dyDescent="0.2">
      <c r="A3296" s="650"/>
      <c r="B3296" s="438"/>
      <c r="D3296" s="73"/>
      <c r="E3296" s="650"/>
      <c r="F3296" s="650"/>
      <c r="G3296" s="73"/>
      <c r="I3296" s="111"/>
      <c r="J3296" s="81"/>
      <c r="K3296" s="81"/>
      <c r="L3296" s="499"/>
      <c r="M3296" s="73"/>
      <c r="N3296" s="499"/>
      <c r="O3296" s="73"/>
      <c r="P3296" s="73"/>
      <c r="Q3296" s="73"/>
      <c r="R3296" s="176"/>
      <c r="S3296" s="176"/>
      <c r="T3296" s="176"/>
      <c r="U3296" s="400"/>
      <c r="V3296" s="400"/>
      <c r="W3296" s="732"/>
      <c r="X3296" s="167"/>
      <c r="Y3296" s="509"/>
      <c r="Z3296" s="466"/>
      <c r="AA3296" s="466"/>
      <c r="AB3296" s="466"/>
      <c r="AC3296" s="466"/>
      <c r="AD3296" s="466"/>
      <c r="AE3296" s="466"/>
      <c r="AF3296" s="466"/>
      <c r="AG3296" s="466"/>
      <c r="AH3296" s="466"/>
      <c r="AI3296" s="466"/>
      <c r="AJ3296" s="466"/>
      <c r="AK3296" s="466"/>
      <c r="AL3296" s="466"/>
      <c r="AM3296" s="466"/>
      <c r="AN3296" s="466"/>
      <c r="AO3296" s="466"/>
      <c r="AP3296" s="466"/>
      <c r="AQ3296" s="466"/>
      <c r="AR3296" s="466"/>
      <c r="AS3296" s="466"/>
      <c r="AT3296" s="466"/>
      <c r="AU3296" s="466"/>
      <c r="AV3296" s="466"/>
      <c r="AW3296" s="466"/>
      <c r="AX3296" s="466"/>
      <c r="AY3296" s="466"/>
      <c r="AZ3296" s="466"/>
      <c r="BA3296" s="466"/>
      <c r="BB3296" s="466"/>
      <c r="BC3296" s="466"/>
      <c r="BD3296" s="466"/>
      <c r="BE3296" s="467"/>
      <c r="BF3296" s="467"/>
      <c r="BG3296" s="466"/>
      <c r="BH3296" s="466"/>
      <c r="BI3296" s="467"/>
      <c r="BJ3296" s="467"/>
      <c r="BK3296" s="467"/>
      <c r="BL3296" s="467"/>
      <c r="BM3296" s="467"/>
      <c r="BN3296" s="467"/>
      <c r="BO3296" s="467"/>
      <c r="BP3296" s="467"/>
      <c r="BQ3296" s="467"/>
      <c r="BR3296" s="467"/>
      <c r="BS3296" s="467"/>
      <c r="BT3296" s="467"/>
      <c r="BU3296" s="467"/>
      <c r="BV3296" s="467"/>
      <c r="BW3296" s="467"/>
      <c r="BX3296" s="769"/>
      <c r="BY3296" s="769"/>
      <c r="BZ3296" s="769"/>
      <c r="CA3296" s="769"/>
      <c r="CB3296" s="769"/>
      <c r="CC3296" s="769"/>
      <c r="CD3296" s="769"/>
      <c r="CE3296" s="769"/>
      <c r="CF3296" s="769"/>
      <c r="CG3296" s="73"/>
      <c r="CH3296" s="438"/>
      <c r="CI3296" s="416"/>
      <c r="CJ3296" s="73"/>
      <c r="CK3296" s="650"/>
      <c r="CL3296" s="499"/>
      <c r="CM3296" s="650"/>
      <c r="CR3296" s="416"/>
      <c r="CS3296" s="650"/>
      <c r="CU3296" s="73"/>
      <c r="CV3296" s="73"/>
      <c r="CW3296" s="73"/>
      <c r="CX3296" s="73"/>
      <c r="DA3296" s="650"/>
    </row>
    <row r="3297" spans="1:105" s="45" customFormat="1" x14ac:dyDescent="0.2">
      <c r="A3297" s="650"/>
      <c r="B3297" s="438"/>
      <c r="D3297" s="73"/>
      <c r="E3297" s="650"/>
      <c r="F3297" s="650"/>
      <c r="G3297" s="73"/>
      <c r="I3297" s="111"/>
      <c r="J3297" s="81"/>
      <c r="K3297" s="81"/>
      <c r="L3297" s="499"/>
      <c r="M3297" s="73"/>
      <c r="N3297" s="499"/>
      <c r="O3297" s="73"/>
      <c r="P3297" s="73"/>
      <c r="Q3297" s="73"/>
      <c r="R3297" s="176"/>
      <c r="S3297" s="176"/>
      <c r="T3297" s="176"/>
      <c r="U3297" s="400"/>
      <c r="V3297" s="400"/>
      <c r="W3297" s="732"/>
      <c r="X3297" s="167"/>
      <c r="Y3297" s="509"/>
      <c r="Z3297" s="466"/>
      <c r="AA3297" s="466"/>
      <c r="AB3297" s="466"/>
      <c r="AC3297" s="466"/>
      <c r="AD3297" s="466"/>
      <c r="AE3297" s="466"/>
      <c r="AF3297" s="466"/>
      <c r="AG3297" s="466"/>
      <c r="AH3297" s="466"/>
      <c r="AI3297" s="466"/>
      <c r="AJ3297" s="466"/>
      <c r="AK3297" s="466"/>
      <c r="AL3297" s="466"/>
      <c r="AM3297" s="466"/>
      <c r="AN3297" s="466"/>
      <c r="AO3297" s="466"/>
      <c r="AP3297" s="466"/>
      <c r="AQ3297" s="466"/>
      <c r="AR3297" s="466"/>
      <c r="AS3297" s="466"/>
      <c r="AT3297" s="466"/>
      <c r="AU3297" s="466"/>
      <c r="AV3297" s="466"/>
      <c r="AW3297" s="466"/>
      <c r="AX3297" s="466"/>
      <c r="AY3297" s="466"/>
      <c r="AZ3297" s="466"/>
      <c r="BA3297" s="466"/>
      <c r="BB3297" s="466"/>
      <c r="BC3297" s="466"/>
      <c r="BD3297" s="466"/>
      <c r="BE3297" s="467"/>
      <c r="BF3297" s="467"/>
      <c r="BG3297" s="466"/>
      <c r="BH3297" s="466"/>
      <c r="BI3297" s="467"/>
      <c r="BJ3297" s="467"/>
      <c r="BK3297" s="467"/>
      <c r="BL3297" s="467"/>
      <c r="BM3297" s="467"/>
      <c r="BN3297" s="467"/>
      <c r="BO3297" s="467"/>
      <c r="BP3297" s="467"/>
      <c r="BQ3297" s="467"/>
      <c r="BR3297" s="467"/>
      <c r="BS3297" s="467"/>
      <c r="BT3297" s="467"/>
      <c r="BU3297" s="467"/>
      <c r="BV3297" s="467"/>
      <c r="BW3297" s="467"/>
      <c r="BX3297" s="769"/>
      <c r="BY3297" s="769"/>
      <c r="BZ3297" s="769"/>
      <c r="CA3297" s="769"/>
      <c r="CB3297" s="769"/>
      <c r="CC3297" s="769"/>
      <c r="CD3297" s="769"/>
      <c r="CE3297" s="769"/>
      <c r="CF3297" s="769"/>
      <c r="CG3297" s="73"/>
      <c r="CH3297" s="438"/>
      <c r="CI3297" s="416"/>
      <c r="CJ3297" s="73"/>
      <c r="CK3297" s="650"/>
      <c r="CL3297" s="499"/>
      <c r="CM3297" s="650"/>
      <c r="CR3297" s="416"/>
      <c r="CS3297" s="650"/>
      <c r="CU3297" s="73"/>
      <c r="CV3297" s="73"/>
      <c r="CW3297" s="73"/>
      <c r="CX3297" s="73"/>
      <c r="DA3297" s="650"/>
    </row>
    <row r="3298" spans="1:105" s="45" customFormat="1" x14ac:dyDescent="0.2">
      <c r="A3298" s="650"/>
      <c r="B3298" s="438"/>
      <c r="D3298" s="73"/>
      <c r="E3298" s="650"/>
      <c r="F3298" s="650"/>
      <c r="G3298" s="73"/>
      <c r="I3298" s="111"/>
      <c r="J3298" s="81"/>
      <c r="K3298" s="81"/>
      <c r="L3298" s="499"/>
      <c r="M3298" s="73"/>
      <c r="N3298" s="499"/>
      <c r="O3298" s="73"/>
      <c r="P3298" s="73"/>
      <c r="Q3298" s="73"/>
      <c r="R3298" s="176"/>
      <c r="S3298" s="176"/>
      <c r="T3298" s="176"/>
      <c r="U3298" s="400"/>
      <c r="V3298" s="400"/>
      <c r="W3298" s="732"/>
      <c r="X3298" s="167"/>
      <c r="Y3298" s="509"/>
      <c r="Z3298" s="466"/>
      <c r="AA3298" s="466"/>
      <c r="AB3298" s="466"/>
      <c r="AC3298" s="466"/>
      <c r="AD3298" s="466"/>
      <c r="AE3298" s="466"/>
      <c r="AF3298" s="466"/>
      <c r="AG3298" s="466"/>
      <c r="AH3298" s="466"/>
      <c r="AI3298" s="466"/>
      <c r="AJ3298" s="466"/>
      <c r="AK3298" s="466"/>
      <c r="AL3298" s="466"/>
      <c r="AM3298" s="466"/>
      <c r="AN3298" s="466"/>
      <c r="AO3298" s="466"/>
      <c r="AP3298" s="466"/>
      <c r="AQ3298" s="466"/>
      <c r="AR3298" s="466"/>
      <c r="AS3298" s="466"/>
      <c r="AT3298" s="466"/>
      <c r="AU3298" s="466"/>
      <c r="AV3298" s="466"/>
      <c r="AW3298" s="466"/>
      <c r="AX3298" s="466"/>
      <c r="AY3298" s="466"/>
      <c r="AZ3298" s="466"/>
      <c r="BA3298" s="466"/>
      <c r="BB3298" s="466"/>
      <c r="BC3298" s="466"/>
      <c r="BD3298" s="466"/>
      <c r="BE3298" s="467"/>
      <c r="BF3298" s="467"/>
      <c r="BG3298" s="466"/>
      <c r="BH3298" s="466"/>
      <c r="BI3298" s="467"/>
      <c r="BJ3298" s="467"/>
      <c r="BK3298" s="467"/>
      <c r="BL3298" s="467"/>
      <c r="BM3298" s="467"/>
      <c r="BN3298" s="467"/>
      <c r="BO3298" s="467"/>
      <c r="BP3298" s="467"/>
      <c r="BQ3298" s="467"/>
      <c r="BR3298" s="467"/>
      <c r="BS3298" s="467"/>
      <c r="BT3298" s="467"/>
      <c r="BU3298" s="467"/>
      <c r="BV3298" s="467"/>
      <c r="BW3298" s="467"/>
      <c r="BX3298" s="769"/>
      <c r="BY3298" s="769"/>
      <c r="BZ3298" s="769"/>
      <c r="CA3298" s="769"/>
      <c r="CB3298" s="769"/>
      <c r="CC3298" s="769"/>
      <c r="CD3298" s="769"/>
      <c r="CE3298" s="769"/>
      <c r="CF3298" s="769"/>
      <c r="CG3298" s="73"/>
      <c r="CH3298" s="438"/>
      <c r="CI3298" s="416"/>
      <c r="CJ3298" s="73"/>
      <c r="CK3298" s="650"/>
      <c r="CL3298" s="499"/>
      <c r="CM3298" s="650"/>
      <c r="CR3298" s="416"/>
      <c r="CS3298" s="650"/>
      <c r="CU3298" s="73"/>
      <c r="CV3298" s="73"/>
      <c r="CW3298" s="73"/>
      <c r="CX3298" s="73"/>
      <c r="DA3298" s="650"/>
    </row>
    <row r="3299" spans="1:105" s="45" customFormat="1" x14ac:dyDescent="0.2">
      <c r="A3299" s="650"/>
      <c r="B3299" s="438"/>
      <c r="D3299" s="73"/>
      <c r="E3299" s="650"/>
      <c r="F3299" s="650"/>
      <c r="G3299" s="73"/>
      <c r="I3299" s="111"/>
      <c r="J3299" s="81"/>
      <c r="K3299" s="81"/>
      <c r="L3299" s="499"/>
      <c r="M3299" s="73"/>
      <c r="N3299" s="499"/>
      <c r="O3299" s="73"/>
      <c r="P3299" s="73"/>
      <c r="Q3299" s="73"/>
      <c r="R3299" s="176"/>
      <c r="S3299" s="176"/>
      <c r="T3299" s="176"/>
      <c r="U3299" s="400"/>
      <c r="V3299" s="400"/>
      <c r="W3299" s="732"/>
      <c r="X3299" s="167"/>
      <c r="Y3299" s="509"/>
      <c r="Z3299" s="466"/>
      <c r="AA3299" s="466"/>
      <c r="AB3299" s="466"/>
      <c r="AC3299" s="466"/>
      <c r="AD3299" s="466"/>
      <c r="AE3299" s="466"/>
      <c r="AF3299" s="466"/>
      <c r="AG3299" s="466"/>
      <c r="AH3299" s="466"/>
      <c r="AI3299" s="466"/>
      <c r="AJ3299" s="466"/>
      <c r="AK3299" s="466"/>
      <c r="AL3299" s="466"/>
      <c r="AM3299" s="466"/>
      <c r="AN3299" s="466"/>
      <c r="AO3299" s="466"/>
      <c r="AP3299" s="466"/>
      <c r="AQ3299" s="466"/>
      <c r="AR3299" s="466"/>
      <c r="AS3299" s="466"/>
      <c r="AT3299" s="466"/>
      <c r="AU3299" s="466"/>
      <c r="AV3299" s="466"/>
      <c r="AW3299" s="466"/>
      <c r="AX3299" s="466"/>
      <c r="AY3299" s="466"/>
      <c r="AZ3299" s="466"/>
      <c r="BA3299" s="466"/>
      <c r="BB3299" s="466"/>
      <c r="BC3299" s="466"/>
      <c r="BD3299" s="466"/>
      <c r="BE3299" s="467"/>
      <c r="BF3299" s="467"/>
      <c r="BG3299" s="466"/>
      <c r="BH3299" s="466"/>
      <c r="BI3299" s="467"/>
      <c r="BJ3299" s="467"/>
      <c r="BK3299" s="467"/>
      <c r="BL3299" s="467"/>
      <c r="BM3299" s="467"/>
      <c r="BN3299" s="467"/>
      <c r="BO3299" s="467"/>
      <c r="BP3299" s="467"/>
      <c r="BQ3299" s="467"/>
      <c r="BR3299" s="467"/>
      <c r="BS3299" s="467"/>
      <c r="BT3299" s="467"/>
      <c r="BU3299" s="467"/>
      <c r="BV3299" s="467"/>
      <c r="BW3299" s="467"/>
      <c r="BX3299" s="769"/>
      <c r="BY3299" s="769"/>
      <c r="BZ3299" s="769"/>
      <c r="CA3299" s="769"/>
      <c r="CB3299" s="769"/>
      <c r="CC3299" s="769"/>
      <c r="CD3299" s="769"/>
      <c r="CE3299" s="769"/>
      <c r="CF3299" s="769"/>
      <c r="CG3299" s="73"/>
      <c r="CH3299" s="438"/>
      <c r="CI3299" s="416"/>
      <c r="CJ3299" s="73"/>
      <c r="CK3299" s="650"/>
      <c r="CL3299" s="499"/>
      <c r="CM3299" s="650"/>
      <c r="CR3299" s="416"/>
      <c r="CS3299" s="650"/>
      <c r="CU3299" s="73"/>
      <c r="CV3299" s="73"/>
      <c r="CW3299" s="73"/>
      <c r="CX3299" s="73"/>
      <c r="DA3299" s="650"/>
    </row>
    <row r="3300" spans="1:105" s="45" customFormat="1" x14ac:dyDescent="0.2">
      <c r="A3300" s="650"/>
      <c r="B3300" s="438"/>
      <c r="D3300" s="73"/>
      <c r="E3300" s="650"/>
      <c r="F3300" s="650"/>
      <c r="G3300" s="73"/>
      <c r="I3300" s="111"/>
      <c r="J3300" s="81"/>
      <c r="K3300" s="81"/>
      <c r="L3300" s="499"/>
      <c r="M3300" s="73"/>
      <c r="N3300" s="499"/>
      <c r="O3300" s="73"/>
      <c r="P3300" s="73"/>
      <c r="Q3300" s="73"/>
      <c r="R3300" s="176"/>
      <c r="S3300" s="176"/>
      <c r="T3300" s="176"/>
      <c r="U3300" s="400"/>
      <c r="V3300" s="400"/>
      <c r="W3300" s="732"/>
      <c r="X3300" s="167"/>
      <c r="Y3300" s="509"/>
      <c r="Z3300" s="466"/>
      <c r="AA3300" s="466"/>
      <c r="AB3300" s="466"/>
      <c r="AC3300" s="466"/>
      <c r="AD3300" s="466"/>
      <c r="AE3300" s="466"/>
      <c r="AF3300" s="466"/>
      <c r="AG3300" s="466"/>
      <c r="AH3300" s="466"/>
      <c r="AI3300" s="466"/>
      <c r="AJ3300" s="466"/>
      <c r="AK3300" s="466"/>
      <c r="AL3300" s="466"/>
      <c r="AM3300" s="466"/>
      <c r="AN3300" s="466"/>
      <c r="AO3300" s="466"/>
      <c r="AP3300" s="466"/>
      <c r="AQ3300" s="466"/>
      <c r="AR3300" s="466"/>
      <c r="AS3300" s="466"/>
      <c r="AT3300" s="466"/>
      <c r="AU3300" s="466"/>
      <c r="AV3300" s="466"/>
      <c r="AW3300" s="466"/>
      <c r="AX3300" s="466"/>
      <c r="AY3300" s="466"/>
      <c r="AZ3300" s="466"/>
      <c r="BA3300" s="466"/>
      <c r="BB3300" s="466"/>
      <c r="BC3300" s="466"/>
      <c r="BD3300" s="466"/>
      <c r="BE3300" s="467"/>
      <c r="BF3300" s="467"/>
      <c r="BG3300" s="466"/>
      <c r="BH3300" s="466"/>
      <c r="BI3300" s="467"/>
      <c r="BJ3300" s="467"/>
      <c r="BK3300" s="467"/>
      <c r="BL3300" s="467"/>
      <c r="BM3300" s="467"/>
      <c r="BN3300" s="467"/>
      <c r="BO3300" s="467"/>
      <c r="BP3300" s="467"/>
      <c r="BQ3300" s="467"/>
      <c r="BR3300" s="467"/>
      <c r="BS3300" s="467"/>
      <c r="BT3300" s="467"/>
      <c r="BU3300" s="467"/>
      <c r="BV3300" s="467"/>
      <c r="BW3300" s="467"/>
      <c r="BX3300" s="769"/>
      <c r="BY3300" s="769"/>
      <c r="BZ3300" s="769"/>
      <c r="CA3300" s="769"/>
      <c r="CB3300" s="769"/>
      <c r="CC3300" s="769"/>
      <c r="CD3300" s="769"/>
      <c r="CE3300" s="769"/>
      <c r="CF3300" s="769"/>
      <c r="CG3300" s="73"/>
      <c r="CH3300" s="438"/>
      <c r="CI3300" s="416"/>
      <c r="CJ3300" s="73"/>
      <c r="CK3300" s="650"/>
      <c r="CL3300" s="499"/>
      <c r="CM3300" s="650"/>
      <c r="CR3300" s="416"/>
      <c r="CS3300" s="650"/>
      <c r="CU3300" s="73"/>
      <c r="CV3300" s="73"/>
      <c r="CW3300" s="73"/>
      <c r="CX3300" s="73"/>
      <c r="DA3300" s="650"/>
    </row>
    <row r="3301" spans="1:105" s="45" customFormat="1" x14ac:dyDescent="0.2">
      <c r="A3301" s="650"/>
      <c r="B3301" s="438"/>
      <c r="D3301" s="73"/>
      <c r="E3301" s="650"/>
      <c r="F3301" s="650"/>
      <c r="G3301" s="73"/>
      <c r="I3301" s="111"/>
      <c r="J3301" s="81"/>
      <c r="K3301" s="81"/>
      <c r="L3301" s="499"/>
      <c r="M3301" s="73"/>
      <c r="N3301" s="499"/>
      <c r="O3301" s="73"/>
      <c r="P3301" s="73"/>
      <c r="Q3301" s="73"/>
      <c r="R3301" s="176"/>
      <c r="S3301" s="176"/>
      <c r="T3301" s="176"/>
      <c r="U3301" s="400"/>
      <c r="V3301" s="400"/>
      <c r="W3301" s="732"/>
      <c r="X3301" s="167"/>
      <c r="Y3301" s="509"/>
      <c r="Z3301" s="466"/>
      <c r="AA3301" s="466"/>
      <c r="AB3301" s="466"/>
      <c r="AC3301" s="466"/>
      <c r="AD3301" s="466"/>
      <c r="AE3301" s="466"/>
      <c r="AF3301" s="466"/>
      <c r="AG3301" s="466"/>
      <c r="AH3301" s="466"/>
      <c r="AI3301" s="466"/>
      <c r="AJ3301" s="466"/>
      <c r="AK3301" s="466"/>
      <c r="AL3301" s="466"/>
      <c r="AM3301" s="466"/>
      <c r="AN3301" s="466"/>
      <c r="AO3301" s="466"/>
      <c r="AP3301" s="466"/>
      <c r="AQ3301" s="466"/>
      <c r="AR3301" s="466"/>
      <c r="AS3301" s="466"/>
      <c r="AT3301" s="466"/>
      <c r="AU3301" s="466"/>
      <c r="AV3301" s="466"/>
      <c r="AW3301" s="466"/>
      <c r="AX3301" s="466"/>
      <c r="AY3301" s="466"/>
      <c r="AZ3301" s="466"/>
      <c r="BA3301" s="466"/>
      <c r="BB3301" s="466"/>
      <c r="BC3301" s="466"/>
      <c r="BD3301" s="466"/>
      <c r="BE3301" s="467"/>
      <c r="BF3301" s="467"/>
      <c r="BG3301" s="466"/>
      <c r="BH3301" s="466"/>
      <c r="BI3301" s="467"/>
      <c r="BJ3301" s="467"/>
      <c r="BK3301" s="467"/>
      <c r="BL3301" s="467"/>
      <c r="BM3301" s="467"/>
      <c r="BN3301" s="467"/>
      <c r="BO3301" s="467"/>
      <c r="BP3301" s="467"/>
      <c r="BQ3301" s="467"/>
      <c r="BR3301" s="467"/>
      <c r="BS3301" s="467"/>
      <c r="BT3301" s="467"/>
      <c r="BU3301" s="467"/>
      <c r="BV3301" s="467"/>
      <c r="BW3301" s="467"/>
      <c r="BX3301" s="769"/>
      <c r="BY3301" s="769"/>
      <c r="BZ3301" s="769"/>
      <c r="CA3301" s="769"/>
      <c r="CB3301" s="769"/>
      <c r="CC3301" s="769"/>
      <c r="CD3301" s="769"/>
      <c r="CE3301" s="769"/>
      <c r="CF3301" s="769"/>
      <c r="CG3301" s="73"/>
      <c r="CH3301" s="438"/>
      <c r="CI3301" s="416"/>
      <c r="CJ3301" s="73"/>
      <c r="CK3301" s="650"/>
      <c r="CL3301" s="499"/>
      <c r="CM3301" s="650"/>
      <c r="CR3301" s="416"/>
      <c r="CS3301" s="650"/>
      <c r="CU3301" s="73"/>
      <c r="CV3301" s="73"/>
      <c r="CW3301" s="73"/>
      <c r="CX3301" s="73"/>
      <c r="DA3301" s="650"/>
    </row>
    <row r="3302" spans="1:105" s="45" customFormat="1" x14ac:dyDescent="0.2">
      <c r="A3302" s="650"/>
      <c r="B3302" s="438"/>
      <c r="D3302" s="73"/>
      <c r="E3302" s="650"/>
      <c r="F3302" s="650"/>
      <c r="G3302" s="73"/>
      <c r="I3302" s="111"/>
      <c r="J3302" s="81"/>
      <c r="K3302" s="81"/>
      <c r="L3302" s="499"/>
      <c r="M3302" s="73"/>
      <c r="N3302" s="499"/>
      <c r="O3302" s="73"/>
      <c r="P3302" s="73"/>
      <c r="Q3302" s="73"/>
      <c r="R3302" s="176"/>
      <c r="S3302" s="176"/>
      <c r="T3302" s="176"/>
      <c r="U3302" s="400"/>
      <c r="V3302" s="400"/>
      <c r="W3302" s="732"/>
      <c r="X3302" s="167"/>
      <c r="Y3302" s="509"/>
      <c r="Z3302" s="466"/>
      <c r="AA3302" s="466"/>
      <c r="AB3302" s="466"/>
      <c r="AC3302" s="466"/>
      <c r="AD3302" s="466"/>
      <c r="AE3302" s="466"/>
      <c r="AF3302" s="466"/>
      <c r="AG3302" s="466"/>
      <c r="AH3302" s="466"/>
      <c r="AI3302" s="466"/>
      <c r="AJ3302" s="466"/>
      <c r="AK3302" s="466"/>
      <c r="AL3302" s="466"/>
      <c r="AM3302" s="466"/>
      <c r="AN3302" s="466"/>
      <c r="AO3302" s="466"/>
      <c r="AP3302" s="466"/>
      <c r="AQ3302" s="466"/>
      <c r="AR3302" s="466"/>
      <c r="AS3302" s="466"/>
      <c r="AT3302" s="466"/>
      <c r="AU3302" s="466"/>
      <c r="AV3302" s="466"/>
      <c r="AW3302" s="466"/>
      <c r="AX3302" s="466"/>
      <c r="AY3302" s="466"/>
      <c r="AZ3302" s="466"/>
      <c r="BA3302" s="466"/>
      <c r="BB3302" s="466"/>
      <c r="BC3302" s="466"/>
      <c r="BD3302" s="466"/>
      <c r="BE3302" s="467"/>
      <c r="BF3302" s="467"/>
      <c r="BG3302" s="466"/>
      <c r="BH3302" s="466"/>
      <c r="BI3302" s="467"/>
      <c r="BJ3302" s="467"/>
      <c r="BK3302" s="467"/>
      <c r="BL3302" s="467"/>
      <c r="BM3302" s="467"/>
      <c r="BN3302" s="467"/>
      <c r="BO3302" s="467"/>
      <c r="BP3302" s="467"/>
      <c r="BQ3302" s="467"/>
      <c r="BR3302" s="467"/>
      <c r="BS3302" s="467"/>
      <c r="BT3302" s="467"/>
      <c r="BU3302" s="467"/>
      <c r="BV3302" s="467"/>
      <c r="BW3302" s="467"/>
      <c r="BX3302" s="769"/>
      <c r="BY3302" s="769"/>
      <c r="BZ3302" s="769"/>
      <c r="CA3302" s="769"/>
      <c r="CB3302" s="769"/>
      <c r="CC3302" s="769"/>
      <c r="CD3302" s="769"/>
      <c r="CE3302" s="769"/>
      <c r="CF3302" s="769"/>
      <c r="CG3302" s="73"/>
      <c r="CH3302" s="438"/>
      <c r="CI3302" s="416"/>
      <c r="CJ3302" s="73"/>
      <c r="CK3302" s="650"/>
      <c r="CL3302" s="499"/>
      <c r="CM3302" s="650"/>
      <c r="CR3302" s="416"/>
      <c r="CS3302" s="650"/>
      <c r="CU3302" s="73"/>
      <c r="CV3302" s="73"/>
      <c r="CW3302" s="73"/>
      <c r="CX3302" s="73"/>
      <c r="DA3302" s="650"/>
    </row>
    <row r="3303" spans="1:105" s="45" customFormat="1" x14ac:dyDescent="0.2">
      <c r="A3303" s="650"/>
      <c r="B3303" s="438"/>
      <c r="D3303" s="73"/>
      <c r="E3303" s="650"/>
      <c r="F3303" s="650"/>
      <c r="G3303" s="73"/>
      <c r="I3303" s="111"/>
      <c r="J3303" s="81"/>
      <c r="K3303" s="81"/>
      <c r="L3303" s="499"/>
      <c r="M3303" s="73"/>
      <c r="N3303" s="499"/>
      <c r="O3303" s="73"/>
      <c r="P3303" s="73"/>
      <c r="Q3303" s="73"/>
      <c r="R3303" s="176"/>
      <c r="S3303" s="176"/>
      <c r="T3303" s="176"/>
      <c r="U3303" s="400"/>
      <c r="V3303" s="400"/>
      <c r="W3303" s="732"/>
      <c r="X3303" s="167"/>
      <c r="Y3303" s="509"/>
      <c r="Z3303" s="466"/>
      <c r="AA3303" s="466"/>
      <c r="AB3303" s="466"/>
      <c r="AC3303" s="466"/>
      <c r="AD3303" s="466"/>
      <c r="AE3303" s="466"/>
      <c r="AF3303" s="466"/>
      <c r="AG3303" s="466"/>
      <c r="AH3303" s="466"/>
      <c r="AI3303" s="466"/>
      <c r="AJ3303" s="466"/>
      <c r="AK3303" s="466"/>
      <c r="AL3303" s="466"/>
      <c r="AM3303" s="466"/>
      <c r="AN3303" s="466"/>
      <c r="AO3303" s="466"/>
      <c r="AP3303" s="466"/>
      <c r="AQ3303" s="466"/>
      <c r="AR3303" s="466"/>
      <c r="AS3303" s="466"/>
      <c r="AT3303" s="466"/>
      <c r="AU3303" s="466"/>
      <c r="AV3303" s="466"/>
      <c r="AW3303" s="466"/>
      <c r="AX3303" s="466"/>
      <c r="AY3303" s="466"/>
      <c r="AZ3303" s="466"/>
      <c r="BA3303" s="466"/>
      <c r="BB3303" s="466"/>
      <c r="BC3303" s="466"/>
      <c r="BD3303" s="466"/>
      <c r="BE3303" s="467"/>
      <c r="BF3303" s="467"/>
      <c r="BG3303" s="466"/>
      <c r="BH3303" s="466"/>
      <c r="BI3303" s="467"/>
      <c r="BJ3303" s="467"/>
      <c r="BK3303" s="467"/>
      <c r="BL3303" s="467"/>
      <c r="BM3303" s="467"/>
      <c r="BN3303" s="467"/>
      <c r="BO3303" s="467"/>
      <c r="BP3303" s="467"/>
      <c r="BQ3303" s="467"/>
      <c r="BR3303" s="467"/>
      <c r="BS3303" s="467"/>
      <c r="BT3303" s="467"/>
      <c r="BU3303" s="467"/>
      <c r="BV3303" s="467"/>
      <c r="BW3303" s="467"/>
      <c r="BX3303" s="769"/>
      <c r="BY3303" s="769"/>
      <c r="BZ3303" s="769"/>
      <c r="CA3303" s="769"/>
      <c r="CB3303" s="769"/>
      <c r="CC3303" s="769"/>
      <c r="CD3303" s="769"/>
      <c r="CE3303" s="769"/>
      <c r="CF3303" s="769"/>
      <c r="CG3303" s="73"/>
      <c r="CH3303" s="438"/>
      <c r="CI3303" s="416"/>
      <c r="CJ3303" s="73"/>
      <c r="CK3303" s="650"/>
      <c r="CL3303" s="499"/>
      <c r="CM3303" s="650"/>
      <c r="CR3303" s="416"/>
      <c r="CS3303" s="650"/>
      <c r="CU3303" s="73"/>
      <c r="CV3303" s="73"/>
      <c r="CW3303" s="73"/>
      <c r="CX3303" s="73"/>
      <c r="DA3303" s="650"/>
    </row>
    <row r="3304" spans="1:105" s="45" customFormat="1" x14ac:dyDescent="0.2">
      <c r="A3304" s="650"/>
      <c r="B3304" s="438"/>
      <c r="D3304" s="73"/>
      <c r="E3304" s="650"/>
      <c r="F3304" s="650"/>
      <c r="G3304" s="73"/>
      <c r="I3304" s="111"/>
      <c r="J3304" s="81"/>
      <c r="K3304" s="81"/>
      <c r="L3304" s="499"/>
      <c r="M3304" s="73"/>
      <c r="N3304" s="499"/>
      <c r="O3304" s="73"/>
      <c r="P3304" s="73"/>
      <c r="Q3304" s="73"/>
      <c r="R3304" s="176"/>
      <c r="S3304" s="176"/>
      <c r="T3304" s="176"/>
      <c r="U3304" s="400"/>
      <c r="V3304" s="400"/>
      <c r="W3304" s="732"/>
      <c r="X3304" s="167"/>
      <c r="Y3304" s="509"/>
      <c r="Z3304" s="466"/>
      <c r="AA3304" s="466"/>
      <c r="AB3304" s="466"/>
      <c r="AC3304" s="466"/>
      <c r="AD3304" s="466"/>
      <c r="AE3304" s="466"/>
      <c r="AF3304" s="466"/>
      <c r="AG3304" s="466"/>
      <c r="AH3304" s="466"/>
      <c r="AI3304" s="466"/>
      <c r="AJ3304" s="466"/>
      <c r="AK3304" s="466"/>
      <c r="AL3304" s="466"/>
      <c r="AM3304" s="466"/>
      <c r="AN3304" s="466"/>
      <c r="AO3304" s="466"/>
      <c r="AP3304" s="466"/>
      <c r="AQ3304" s="466"/>
      <c r="AR3304" s="466"/>
      <c r="AS3304" s="466"/>
      <c r="AT3304" s="466"/>
      <c r="AU3304" s="466"/>
      <c r="AV3304" s="466"/>
      <c r="AW3304" s="466"/>
      <c r="AX3304" s="466"/>
      <c r="AY3304" s="466"/>
      <c r="AZ3304" s="466"/>
      <c r="BA3304" s="466"/>
      <c r="BB3304" s="466"/>
      <c r="BC3304" s="466"/>
      <c r="BD3304" s="466"/>
      <c r="BE3304" s="467"/>
      <c r="BF3304" s="467"/>
      <c r="BG3304" s="466"/>
      <c r="BH3304" s="466"/>
      <c r="BI3304" s="467"/>
      <c r="BJ3304" s="467"/>
      <c r="BK3304" s="467"/>
      <c r="BL3304" s="467"/>
      <c r="BM3304" s="467"/>
      <c r="BN3304" s="467"/>
      <c r="BO3304" s="467"/>
      <c r="BP3304" s="467"/>
      <c r="BQ3304" s="467"/>
      <c r="BR3304" s="467"/>
      <c r="BS3304" s="467"/>
      <c r="BT3304" s="467"/>
      <c r="BU3304" s="467"/>
      <c r="BV3304" s="467"/>
      <c r="BW3304" s="467"/>
      <c r="BX3304" s="769"/>
      <c r="BY3304" s="769"/>
      <c r="BZ3304" s="769"/>
      <c r="CA3304" s="769"/>
      <c r="CB3304" s="769"/>
      <c r="CC3304" s="769"/>
      <c r="CD3304" s="769"/>
      <c r="CE3304" s="769"/>
      <c r="CF3304" s="769"/>
      <c r="CG3304" s="73"/>
      <c r="CH3304" s="438"/>
      <c r="CI3304" s="416"/>
      <c r="CJ3304" s="73"/>
      <c r="CK3304" s="650"/>
      <c r="CL3304" s="499"/>
      <c r="CM3304" s="650"/>
      <c r="CR3304" s="416"/>
      <c r="CS3304" s="650"/>
      <c r="CU3304" s="73"/>
      <c r="CV3304" s="73"/>
      <c r="CW3304" s="73"/>
      <c r="CX3304" s="73"/>
      <c r="DA3304" s="650"/>
    </row>
    <row r="3305" spans="1:105" s="45" customFormat="1" x14ac:dyDescent="0.2">
      <c r="A3305" s="650"/>
      <c r="B3305" s="438"/>
      <c r="D3305" s="73"/>
      <c r="E3305" s="650"/>
      <c r="F3305" s="650"/>
      <c r="G3305" s="73"/>
      <c r="I3305" s="111"/>
      <c r="J3305" s="81"/>
      <c r="K3305" s="81"/>
      <c r="L3305" s="499"/>
      <c r="M3305" s="73"/>
      <c r="N3305" s="499"/>
      <c r="O3305" s="73"/>
      <c r="P3305" s="73"/>
      <c r="Q3305" s="73"/>
      <c r="R3305" s="176"/>
      <c r="S3305" s="176"/>
      <c r="T3305" s="176"/>
      <c r="U3305" s="400"/>
      <c r="V3305" s="400"/>
      <c r="W3305" s="732"/>
      <c r="X3305" s="167"/>
      <c r="Y3305" s="509"/>
      <c r="Z3305" s="466"/>
      <c r="AA3305" s="466"/>
      <c r="AB3305" s="466"/>
      <c r="AC3305" s="466"/>
      <c r="AD3305" s="466"/>
      <c r="AE3305" s="466"/>
      <c r="AF3305" s="466"/>
      <c r="AG3305" s="466"/>
      <c r="AH3305" s="466"/>
      <c r="AI3305" s="466"/>
      <c r="AJ3305" s="466"/>
      <c r="AK3305" s="466"/>
      <c r="AL3305" s="466"/>
      <c r="AM3305" s="466"/>
      <c r="AN3305" s="466"/>
      <c r="AO3305" s="466"/>
      <c r="AP3305" s="466"/>
      <c r="AQ3305" s="466"/>
      <c r="AR3305" s="466"/>
      <c r="AS3305" s="466"/>
      <c r="AT3305" s="466"/>
      <c r="AU3305" s="466"/>
      <c r="AV3305" s="466"/>
      <c r="AW3305" s="466"/>
      <c r="AX3305" s="466"/>
      <c r="AY3305" s="466"/>
      <c r="AZ3305" s="466"/>
      <c r="BA3305" s="466"/>
      <c r="BB3305" s="466"/>
      <c r="BC3305" s="466"/>
      <c r="BD3305" s="466"/>
      <c r="BE3305" s="467"/>
      <c r="BF3305" s="467"/>
      <c r="BG3305" s="466"/>
      <c r="BH3305" s="466"/>
      <c r="BI3305" s="467"/>
      <c r="BJ3305" s="467"/>
      <c r="BK3305" s="467"/>
      <c r="BL3305" s="467"/>
      <c r="BM3305" s="467"/>
      <c r="BN3305" s="467"/>
      <c r="BO3305" s="467"/>
      <c r="BP3305" s="467"/>
      <c r="BQ3305" s="467"/>
      <c r="BR3305" s="467"/>
      <c r="BS3305" s="467"/>
      <c r="BT3305" s="467"/>
      <c r="BU3305" s="467"/>
      <c r="BV3305" s="467"/>
      <c r="BW3305" s="467"/>
      <c r="BX3305" s="769"/>
      <c r="BY3305" s="769"/>
      <c r="BZ3305" s="769"/>
      <c r="CA3305" s="769"/>
      <c r="CB3305" s="769"/>
      <c r="CC3305" s="769"/>
      <c r="CD3305" s="769"/>
      <c r="CE3305" s="769"/>
      <c r="CF3305" s="769"/>
      <c r="CG3305" s="73"/>
      <c r="CH3305" s="438"/>
      <c r="CI3305" s="416"/>
      <c r="CJ3305" s="73"/>
      <c r="CK3305" s="650"/>
      <c r="CL3305" s="499"/>
      <c r="CM3305" s="650"/>
      <c r="CR3305" s="416"/>
      <c r="CS3305" s="650"/>
      <c r="CU3305" s="73"/>
      <c r="CV3305" s="73"/>
      <c r="CW3305" s="73"/>
      <c r="CX3305" s="73"/>
      <c r="DA3305" s="650"/>
    </row>
    <row r="3306" spans="1:105" s="45" customFormat="1" x14ac:dyDescent="0.2">
      <c r="A3306" s="650"/>
      <c r="B3306" s="438"/>
      <c r="D3306" s="73"/>
      <c r="E3306" s="650"/>
      <c r="F3306" s="650"/>
      <c r="G3306" s="73"/>
      <c r="I3306" s="111"/>
      <c r="J3306" s="81"/>
      <c r="K3306" s="81"/>
      <c r="L3306" s="499"/>
      <c r="M3306" s="73"/>
      <c r="N3306" s="499"/>
      <c r="O3306" s="73"/>
      <c r="P3306" s="73"/>
      <c r="Q3306" s="73"/>
      <c r="R3306" s="176"/>
      <c r="S3306" s="176"/>
      <c r="T3306" s="176"/>
      <c r="U3306" s="400"/>
      <c r="V3306" s="400"/>
      <c r="W3306" s="732"/>
      <c r="X3306" s="167"/>
      <c r="Y3306" s="509"/>
      <c r="Z3306" s="466"/>
      <c r="AA3306" s="466"/>
      <c r="AB3306" s="466"/>
      <c r="AC3306" s="466"/>
      <c r="AD3306" s="466"/>
      <c r="AE3306" s="466"/>
      <c r="AF3306" s="466"/>
      <c r="AG3306" s="466"/>
      <c r="AH3306" s="466"/>
      <c r="AI3306" s="466"/>
      <c r="AJ3306" s="466"/>
      <c r="AK3306" s="466"/>
      <c r="AL3306" s="466"/>
      <c r="AM3306" s="466"/>
      <c r="AN3306" s="466"/>
      <c r="AO3306" s="466"/>
      <c r="AP3306" s="466"/>
      <c r="AQ3306" s="466"/>
      <c r="AR3306" s="466"/>
      <c r="AS3306" s="466"/>
      <c r="AT3306" s="466"/>
      <c r="AU3306" s="466"/>
      <c r="AV3306" s="466"/>
      <c r="AW3306" s="466"/>
      <c r="AX3306" s="466"/>
      <c r="AY3306" s="466"/>
      <c r="AZ3306" s="466"/>
      <c r="BA3306" s="466"/>
      <c r="BB3306" s="466"/>
      <c r="BC3306" s="466"/>
      <c r="BD3306" s="466"/>
      <c r="BE3306" s="467"/>
      <c r="BF3306" s="467"/>
      <c r="BG3306" s="466"/>
      <c r="BH3306" s="466"/>
      <c r="BI3306" s="467"/>
      <c r="BJ3306" s="467"/>
      <c r="BK3306" s="467"/>
      <c r="BL3306" s="467"/>
      <c r="BM3306" s="467"/>
      <c r="BN3306" s="467"/>
      <c r="BO3306" s="467"/>
      <c r="BP3306" s="467"/>
      <c r="BQ3306" s="467"/>
      <c r="BR3306" s="467"/>
      <c r="BS3306" s="467"/>
      <c r="BT3306" s="467"/>
      <c r="BU3306" s="467"/>
      <c r="BV3306" s="467"/>
      <c r="BW3306" s="467"/>
      <c r="BX3306" s="769"/>
      <c r="BY3306" s="769"/>
      <c r="BZ3306" s="769"/>
      <c r="CA3306" s="769"/>
      <c r="CB3306" s="769"/>
      <c r="CC3306" s="769"/>
      <c r="CD3306" s="769"/>
      <c r="CE3306" s="769"/>
      <c r="CF3306" s="769"/>
      <c r="CG3306" s="73"/>
      <c r="CH3306" s="438"/>
      <c r="CI3306" s="416"/>
      <c r="CJ3306" s="73"/>
      <c r="CK3306" s="650"/>
      <c r="CL3306" s="499"/>
      <c r="CM3306" s="650"/>
      <c r="CR3306" s="416"/>
      <c r="CS3306" s="650"/>
      <c r="CU3306" s="73"/>
      <c r="CV3306" s="73"/>
      <c r="CW3306" s="73"/>
      <c r="CX3306" s="73"/>
      <c r="DA3306" s="650"/>
    </row>
    <row r="3307" spans="1:105" s="45" customFormat="1" x14ac:dyDescent="0.2">
      <c r="A3307" s="650"/>
      <c r="B3307" s="438"/>
      <c r="D3307" s="73"/>
      <c r="E3307" s="650"/>
      <c r="F3307" s="650"/>
      <c r="G3307" s="73"/>
      <c r="I3307" s="111"/>
      <c r="J3307" s="81"/>
      <c r="K3307" s="81"/>
      <c r="L3307" s="499"/>
      <c r="M3307" s="73"/>
      <c r="N3307" s="499"/>
      <c r="O3307" s="73"/>
      <c r="P3307" s="73"/>
      <c r="Q3307" s="73"/>
      <c r="R3307" s="176"/>
      <c r="S3307" s="176"/>
      <c r="T3307" s="176"/>
      <c r="U3307" s="400"/>
      <c r="V3307" s="400"/>
      <c r="W3307" s="732"/>
      <c r="X3307" s="167"/>
      <c r="Y3307" s="509"/>
      <c r="Z3307" s="466"/>
      <c r="AA3307" s="466"/>
      <c r="AB3307" s="466"/>
      <c r="AC3307" s="466"/>
      <c r="AD3307" s="466"/>
      <c r="AE3307" s="466"/>
      <c r="AF3307" s="466"/>
      <c r="AG3307" s="466"/>
      <c r="AH3307" s="466"/>
      <c r="AI3307" s="466"/>
      <c r="AJ3307" s="466"/>
      <c r="AK3307" s="466"/>
      <c r="AL3307" s="466"/>
      <c r="AM3307" s="466"/>
      <c r="AN3307" s="466"/>
      <c r="AO3307" s="466"/>
      <c r="AP3307" s="466"/>
      <c r="AQ3307" s="466"/>
      <c r="AR3307" s="466"/>
      <c r="AS3307" s="466"/>
      <c r="AT3307" s="466"/>
      <c r="AU3307" s="466"/>
      <c r="AV3307" s="466"/>
      <c r="AW3307" s="466"/>
      <c r="AX3307" s="466"/>
      <c r="AY3307" s="466"/>
      <c r="AZ3307" s="466"/>
      <c r="BA3307" s="466"/>
      <c r="BB3307" s="466"/>
      <c r="BC3307" s="466"/>
      <c r="BD3307" s="466"/>
      <c r="BE3307" s="467"/>
      <c r="BF3307" s="467"/>
      <c r="BG3307" s="466"/>
      <c r="BH3307" s="466"/>
      <c r="BI3307" s="467"/>
      <c r="BJ3307" s="467"/>
      <c r="BK3307" s="467"/>
      <c r="BL3307" s="467"/>
      <c r="BM3307" s="467"/>
      <c r="BN3307" s="467"/>
      <c r="BO3307" s="467"/>
      <c r="BP3307" s="467"/>
      <c r="BQ3307" s="467"/>
      <c r="BR3307" s="467"/>
      <c r="BS3307" s="467"/>
      <c r="BT3307" s="467"/>
      <c r="BU3307" s="467"/>
      <c r="BV3307" s="467"/>
      <c r="BW3307" s="467"/>
      <c r="BX3307" s="769"/>
      <c r="BY3307" s="769"/>
      <c r="BZ3307" s="769"/>
      <c r="CA3307" s="769"/>
      <c r="CB3307" s="769"/>
      <c r="CC3307" s="769"/>
      <c r="CD3307" s="769"/>
      <c r="CE3307" s="769"/>
      <c r="CF3307" s="769"/>
      <c r="CG3307" s="73"/>
      <c r="CH3307" s="438"/>
      <c r="CI3307" s="416"/>
      <c r="CJ3307" s="73"/>
      <c r="CK3307" s="650"/>
      <c r="CL3307" s="499"/>
      <c r="CM3307" s="650"/>
      <c r="CR3307" s="416"/>
      <c r="CS3307" s="650"/>
      <c r="CU3307" s="73"/>
      <c r="CV3307" s="73"/>
      <c r="CW3307" s="73"/>
      <c r="CX3307" s="73"/>
      <c r="DA3307" s="650"/>
    </row>
    <row r="3308" spans="1:105" s="45" customFormat="1" x14ac:dyDescent="0.2">
      <c r="A3308" s="650"/>
      <c r="B3308" s="438"/>
      <c r="D3308" s="73"/>
      <c r="E3308" s="650"/>
      <c r="F3308" s="650"/>
      <c r="G3308" s="73"/>
      <c r="I3308" s="111"/>
      <c r="J3308" s="81"/>
      <c r="K3308" s="81"/>
      <c r="L3308" s="499"/>
      <c r="M3308" s="73"/>
      <c r="N3308" s="499"/>
      <c r="O3308" s="73"/>
      <c r="P3308" s="73"/>
      <c r="Q3308" s="73"/>
      <c r="R3308" s="176"/>
      <c r="S3308" s="176"/>
      <c r="T3308" s="176"/>
      <c r="U3308" s="400"/>
      <c r="V3308" s="400"/>
      <c r="W3308" s="732"/>
      <c r="X3308" s="167"/>
      <c r="Y3308" s="509"/>
      <c r="Z3308" s="466"/>
      <c r="AA3308" s="466"/>
      <c r="AB3308" s="466"/>
      <c r="AC3308" s="466"/>
      <c r="AD3308" s="466"/>
      <c r="AE3308" s="466"/>
      <c r="AF3308" s="466"/>
      <c r="AG3308" s="466"/>
      <c r="AH3308" s="466"/>
      <c r="AI3308" s="466"/>
      <c r="AJ3308" s="466"/>
      <c r="AK3308" s="466"/>
      <c r="AL3308" s="466"/>
      <c r="AM3308" s="466"/>
      <c r="AN3308" s="466"/>
      <c r="AO3308" s="466"/>
      <c r="AP3308" s="466"/>
      <c r="AQ3308" s="466"/>
      <c r="AR3308" s="466"/>
      <c r="AS3308" s="466"/>
      <c r="AT3308" s="466"/>
      <c r="AU3308" s="466"/>
      <c r="AV3308" s="466"/>
      <c r="AW3308" s="466"/>
      <c r="AX3308" s="466"/>
      <c r="AY3308" s="466"/>
      <c r="AZ3308" s="466"/>
      <c r="BA3308" s="466"/>
      <c r="BB3308" s="466"/>
      <c r="BC3308" s="466"/>
      <c r="BD3308" s="466"/>
      <c r="BE3308" s="467"/>
      <c r="BF3308" s="467"/>
      <c r="BG3308" s="466"/>
      <c r="BH3308" s="466"/>
      <c r="BI3308" s="467"/>
      <c r="BJ3308" s="467"/>
      <c r="BK3308" s="467"/>
      <c r="BL3308" s="467"/>
      <c r="BM3308" s="467"/>
      <c r="BN3308" s="467"/>
      <c r="BO3308" s="467"/>
      <c r="BP3308" s="467"/>
      <c r="BQ3308" s="467"/>
      <c r="BR3308" s="467"/>
      <c r="BS3308" s="467"/>
      <c r="BT3308" s="467"/>
      <c r="BU3308" s="467"/>
      <c r="BV3308" s="467"/>
      <c r="BW3308" s="467"/>
      <c r="BX3308" s="769"/>
      <c r="BY3308" s="769"/>
      <c r="BZ3308" s="769"/>
      <c r="CA3308" s="769"/>
      <c r="CB3308" s="769"/>
      <c r="CC3308" s="769"/>
      <c r="CD3308" s="769"/>
      <c r="CE3308" s="769"/>
      <c r="CF3308" s="769"/>
      <c r="CG3308" s="73"/>
      <c r="CH3308" s="438"/>
      <c r="CI3308" s="416"/>
      <c r="CJ3308" s="73"/>
      <c r="CK3308" s="650"/>
      <c r="CL3308" s="499"/>
      <c r="CM3308" s="650"/>
      <c r="CR3308" s="416"/>
      <c r="CS3308" s="650"/>
      <c r="CU3308" s="73"/>
      <c r="CV3308" s="73"/>
      <c r="CW3308" s="73"/>
      <c r="CX3308" s="73"/>
      <c r="DA3308" s="650"/>
    </row>
    <row r="3309" spans="1:105" s="45" customFormat="1" x14ac:dyDescent="0.2">
      <c r="A3309" s="650"/>
      <c r="B3309" s="438"/>
      <c r="D3309" s="73"/>
      <c r="E3309" s="650"/>
      <c r="F3309" s="650"/>
      <c r="G3309" s="73"/>
      <c r="I3309" s="111"/>
      <c r="J3309" s="81"/>
      <c r="K3309" s="81"/>
      <c r="L3309" s="499"/>
      <c r="M3309" s="73"/>
      <c r="N3309" s="499"/>
      <c r="O3309" s="73"/>
      <c r="P3309" s="73"/>
      <c r="Q3309" s="73"/>
      <c r="R3309" s="176"/>
      <c r="S3309" s="176"/>
      <c r="T3309" s="176"/>
      <c r="U3309" s="400"/>
      <c r="V3309" s="400"/>
      <c r="W3309" s="732"/>
      <c r="X3309" s="167"/>
      <c r="Y3309" s="509"/>
      <c r="Z3309" s="466"/>
      <c r="AA3309" s="466"/>
      <c r="AB3309" s="466"/>
      <c r="AC3309" s="466"/>
      <c r="AD3309" s="466"/>
      <c r="AE3309" s="466"/>
      <c r="AF3309" s="466"/>
      <c r="AG3309" s="466"/>
      <c r="AH3309" s="466"/>
      <c r="AI3309" s="466"/>
      <c r="AJ3309" s="466"/>
      <c r="AK3309" s="466"/>
      <c r="AL3309" s="466"/>
      <c r="AM3309" s="466"/>
      <c r="AN3309" s="466"/>
      <c r="AO3309" s="466"/>
      <c r="AP3309" s="466"/>
      <c r="AQ3309" s="466"/>
      <c r="AR3309" s="466"/>
      <c r="AS3309" s="466"/>
      <c r="AT3309" s="466"/>
      <c r="AU3309" s="466"/>
      <c r="AV3309" s="466"/>
      <c r="AW3309" s="466"/>
      <c r="AX3309" s="466"/>
      <c r="AY3309" s="466"/>
      <c r="AZ3309" s="466"/>
      <c r="BA3309" s="466"/>
      <c r="BB3309" s="466"/>
      <c r="BC3309" s="466"/>
      <c r="BD3309" s="466"/>
      <c r="BE3309" s="467"/>
      <c r="BF3309" s="467"/>
      <c r="BG3309" s="466"/>
      <c r="BH3309" s="466"/>
      <c r="BI3309" s="467"/>
      <c r="BJ3309" s="467"/>
      <c r="BK3309" s="467"/>
      <c r="BL3309" s="467"/>
      <c r="BM3309" s="467"/>
      <c r="BN3309" s="467"/>
      <c r="BO3309" s="467"/>
      <c r="BP3309" s="467"/>
      <c r="BQ3309" s="467"/>
      <c r="BR3309" s="467"/>
      <c r="BS3309" s="467"/>
      <c r="BT3309" s="467"/>
      <c r="BU3309" s="467"/>
      <c r="BV3309" s="467"/>
      <c r="BW3309" s="467"/>
      <c r="BX3309" s="769"/>
      <c r="BY3309" s="769"/>
      <c r="BZ3309" s="769"/>
      <c r="CA3309" s="769"/>
      <c r="CB3309" s="769"/>
      <c r="CC3309" s="769"/>
      <c r="CD3309" s="769"/>
      <c r="CE3309" s="769"/>
      <c r="CF3309" s="769"/>
      <c r="CG3309" s="73"/>
      <c r="CH3309" s="438"/>
      <c r="CI3309" s="416"/>
      <c r="CJ3309" s="73"/>
      <c r="CK3309" s="650"/>
      <c r="CL3309" s="499"/>
      <c r="CM3309" s="650"/>
      <c r="CR3309" s="416"/>
      <c r="CS3309" s="650"/>
      <c r="CU3309" s="73"/>
      <c r="CV3309" s="73"/>
      <c r="CW3309" s="73"/>
      <c r="CX3309" s="73"/>
      <c r="DA3309" s="650"/>
    </row>
    <row r="3310" spans="1:105" s="45" customFormat="1" x14ac:dyDescent="0.2">
      <c r="A3310" s="650"/>
      <c r="B3310" s="438"/>
      <c r="D3310" s="73"/>
      <c r="E3310" s="650"/>
      <c r="F3310" s="650"/>
      <c r="G3310" s="73"/>
      <c r="I3310" s="111"/>
      <c r="J3310" s="81"/>
      <c r="K3310" s="81"/>
      <c r="L3310" s="499"/>
      <c r="M3310" s="73"/>
      <c r="N3310" s="499"/>
      <c r="O3310" s="73"/>
      <c r="P3310" s="73"/>
      <c r="Q3310" s="73"/>
      <c r="R3310" s="176"/>
      <c r="S3310" s="176"/>
      <c r="T3310" s="176"/>
      <c r="U3310" s="400"/>
      <c r="V3310" s="400"/>
      <c r="W3310" s="732"/>
      <c r="X3310" s="167"/>
      <c r="Y3310" s="509"/>
      <c r="Z3310" s="466"/>
      <c r="AA3310" s="466"/>
      <c r="AB3310" s="466"/>
      <c r="AC3310" s="466"/>
      <c r="AD3310" s="466"/>
      <c r="AE3310" s="466"/>
      <c r="AF3310" s="466"/>
      <c r="AG3310" s="466"/>
      <c r="AH3310" s="466"/>
      <c r="AI3310" s="466"/>
      <c r="AJ3310" s="466"/>
      <c r="AK3310" s="466"/>
      <c r="AL3310" s="466"/>
      <c r="AM3310" s="466"/>
      <c r="AN3310" s="466"/>
      <c r="AO3310" s="466"/>
      <c r="AP3310" s="466"/>
      <c r="AQ3310" s="466"/>
      <c r="AR3310" s="466"/>
      <c r="AS3310" s="466"/>
      <c r="AT3310" s="466"/>
      <c r="AU3310" s="466"/>
      <c r="AV3310" s="466"/>
      <c r="AW3310" s="466"/>
      <c r="AX3310" s="466"/>
      <c r="AY3310" s="466"/>
      <c r="AZ3310" s="466"/>
      <c r="BA3310" s="466"/>
      <c r="BB3310" s="466"/>
      <c r="BC3310" s="466"/>
      <c r="BD3310" s="466"/>
      <c r="BE3310" s="467"/>
      <c r="BF3310" s="467"/>
      <c r="BG3310" s="466"/>
      <c r="BH3310" s="466"/>
      <c r="BI3310" s="467"/>
      <c r="BJ3310" s="467"/>
      <c r="BK3310" s="467"/>
      <c r="BL3310" s="467"/>
      <c r="BM3310" s="467"/>
      <c r="BN3310" s="467"/>
      <c r="BO3310" s="467"/>
      <c r="BP3310" s="467"/>
      <c r="BQ3310" s="467"/>
      <c r="BR3310" s="467"/>
      <c r="BS3310" s="467"/>
      <c r="BT3310" s="467"/>
      <c r="BU3310" s="467"/>
      <c r="BV3310" s="467"/>
      <c r="BW3310" s="467"/>
      <c r="BX3310" s="769"/>
      <c r="BY3310" s="769"/>
      <c r="BZ3310" s="769"/>
      <c r="CA3310" s="769"/>
      <c r="CB3310" s="769"/>
      <c r="CC3310" s="769"/>
      <c r="CD3310" s="769"/>
      <c r="CE3310" s="769"/>
      <c r="CF3310" s="769"/>
      <c r="CG3310" s="73"/>
      <c r="CH3310" s="438"/>
      <c r="CI3310" s="416"/>
      <c r="CJ3310" s="73"/>
      <c r="CK3310" s="650"/>
      <c r="CL3310" s="499"/>
      <c r="CM3310" s="650"/>
      <c r="CR3310" s="416"/>
      <c r="CS3310" s="650"/>
      <c r="CU3310" s="73"/>
      <c r="CV3310" s="73"/>
      <c r="CW3310" s="73"/>
      <c r="CX3310" s="73"/>
      <c r="DA3310" s="650"/>
    </row>
    <row r="3311" spans="1:105" s="45" customFormat="1" x14ac:dyDescent="0.2">
      <c r="A3311" s="650"/>
      <c r="B3311" s="438"/>
      <c r="D3311" s="73"/>
      <c r="E3311" s="650"/>
      <c r="F3311" s="650"/>
      <c r="G3311" s="73"/>
      <c r="I3311" s="111"/>
      <c r="J3311" s="81"/>
      <c r="K3311" s="81"/>
      <c r="L3311" s="499"/>
      <c r="M3311" s="73"/>
      <c r="N3311" s="499"/>
      <c r="O3311" s="73"/>
      <c r="P3311" s="73"/>
      <c r="Q3311" s="73"/>
      <c r="R3311" s="176"/>
      <c r="S3311" s="176"/>
      <c r="T3311" s="176"/>
      <c r="U3311" s="400"/>
      <c r="V3311" s="400"/>
      <c r="W3311" s="732"/>
      <c r="X3311" s="167"/>
      <c r="Y3311" s="509"/>
      <c r="Z3311" s="466"/>
      <c r="AA3311" s="466"/>
      <c r="AB3311" s="466"/>
      <c r="AC3311" s="466"/>
      <c r="AD3311" s="466"/>
      <c r="AE3311" s="466"/>
      <c r="AF3311" s="466"/>
      <c r="AG3311" s="466"/>
      <c r="AH3311" s="466"/>
      <c r="AI3311" s="466"/>
      <c r="AJ3311" s="466"/>
      <c r="AK3311" s="466"/>
      <c r="AL3311" s="466"/>
      <c r="AM3311" s="466"/>
      <c r="AN3311" s="466"/>
      <c r="AO3311" s="466"/>
      <c r="AP3311" s="466"/>
      <c r="AQ3311" s="466"/>
      <c r="AR3311" s="466"/>
      <c r="AS3311" s="466"/>
      <c r="AT3311" s="466"/>
      <c r="AU3311" s="466"/>
      <c r="AV3311" s="466"/>
      <c r="AW3311" s="466"/>
      <c r="AX3311" s="466"/>
      <c r="AY3311" s="466"/>
      <c r="AZ3311" s="466"/>
      <c r="BA3311" s="466"/>
      <c r="BB3311" s="466"/>
      <c r="BC3311" s="466"/>
      <c r="BD3311" s="466"/>
      <c r="BE3311" s="467"/>
      <c r="BF3311" s="467"/>
      <c r="BG3311" s="466"/>
      <c r="BH3311" s="466"/>
      <c r="BI3311" s="467"/>
      <c r="BJ3311" s="467"/>
      <c r="BK3311" s="467"/>
      <c r="BL3311" s="467"/>
      <c r="BM3311" s="467"/>
      <c r="BN3311" s="467"/>
      <c r="BO3311" s="467"/>
      <c r="BP3311" s="467"/>
      <c r="BQ3311" s="467"/>
      <c r="BR3311" s="467"/>
      <c r="BS3311" s="467"/>
      <c r="BT3311" s="467"/>
      <c r="BU3311" s="467"/>
      <c r="BV3311" s="467"/>
      <c r="BW3311" s="467"/>
      <c r="BX3311" s="769"/>
      <c r="BY3311" s="769"/>
      <c r="BZ3311" s="769"/>
      <c r="CA3311" s="769"/>
      <c r="CB3311" s="769"/>
      <c r="CC3311" s="769"/>
      <c r="CD3311" s="769"/>
      <c r="CE3311" s="769"/>
      <c r="CF3311" s="769"/>
      <c r="CG3311" s="73"/>
      <c r="CH3311" s="438"/>
      <c r="CI3311" s="416"/>
      <c r="CJ3311" s="73"/>
      <c r="CK3311" s="650"/>
      <c r="CL3311" s="499"/>
      <c r="CM3311" s="650"/>
      <c r="CR3311" s="416"/>
      <c r="CS3311" s="650"/>
      <c r="CU3311" s="73"/>
      <c r="CV3311" s="73"/>
      <c r="CW3311" s="73"/>
      <c r="CX3311" s="73"/>
      <c r="DA3311" s="650"/>
    </row>
    <row r="3312" spans="1:105" s="45" customFormat="1" x14ac:dyDescent="0.2">
      <c r="A3312" s="650"/>
      <c r="B3312" s="438"/>
      <c r="D3312" s="73"/>
      <c r="E3312" s="650"/>
      <c r="F3312" s="650"/>
      <c r="G3312" s="73"/>
      <c r="I3312" s="111"/>
      <c r="J3312" s="81"/>
      <c r="K3312" s="81"/>
      <c r="L3312" s="499"/>
      <c r="M3312" s="73"/>
      <c r="N3312" s="499"/>
      <c r="O3312" s="73"/>
      <c r="P3312" s="73"/>
      <c r="Q3312" s="73"/>
      <c r="R3312" s="176"/>
      <c r="S3312" s="176"/>
      <c r="T3312" s="176"/>
      <c r="U3312" s="400"/>
      <c r="V3312" s="400"/>
      <c r="W3312" s="732"/>
      <c r="X3312" s="167"/>
      <c r="Y3312" s="509"/>
      <c r="Z3312" s="466"/>
      <c r="AA3312" s="466"/>
      <c r="AB3312" s="466"/>
      <c r="AC3312" s="466"/>
      <c r="AD3312" s="466"/>
      <c r="AE3312" s="466"/>
      <c r="AF3312" s="466"/>
      <c r="AG3312" s="466"/>
      <c r="AH3312" s="466"/>
      <c r="AI3312" s="466"/>
      <c r="AJ3312" s="466"/>
      <c r="AK3312" s="466"/>
      <c r="AL3312" s="466"/>
      <c r="AM3312" s="466"/>
      <c r="AN3312" s="466"/>
      <c r="AO3312" s="466"/>
      <c r="AP3312" s="466"/>
      <c r="AQ3312" s="466"/>
      <c r="AR3312" s="466"/>
      <c r="AS3312" s="466"/>
      <c r="AT3312" s="466"/>
      <c r="AU3312" s="466"/>
      <c r="AV3312" s="466"/>
      <c r="AW3312" s="466"/>
      <c r="AX3312" s="466"/>
      <c r="AY3312" s="466"/>
      <c r="AZ3312" s="466"/>
      <c r="BA3312" s="466"/>
      <c r="BB3312" s="466"/>
      <c r="BC3312" s="466"/>
      <c r="BD3312" s="466"/>
      <c r="BE3312" s="467"/>
      <c r="BF3312" s="467"/>
      <c r="BG3312" s="466"/>
      <c r="BH3312" s="466"/>
      <c r="BI3312" s="467"/>
      <c r="BJ3312" s="467"/>
      <c r="BK3312" s="467"/>
      <c r="BL3312" s="467"/>
      <c r="BM3312" s="467"/>
      <c r="BN3312" s="467"/>
      <c r="BO3312" s="467"/>
      <c r="BP3312" s="467"/>
      <c r="BQ3312" s="467"/>
      <c r="BR3312" s="467"/>
      <c r="BS3312" s="467"/>
      <c r="BT3312" s="467"/>
      <c r="BU3312" s="467"/>
      <c r="BV3312" s="467"/>
      <c r="BW3312" s="467"/>
      <c r="BX3312" s="769"/>
      <c r="BY3312" s="769"/>
      <c r="BZ3312" s="769"/>
      <c r="CA3312" s="769"/>
      <c r="CB3312" s="769"/>
      <c r="CC3312" s="769"/>
      <c r="CD3312" s="769"/>
      <c r="CE3312" s="769"/>
      <c r="CF3312" s="769"/>
      <c r="CG3312" s="73"/>
      <c r="CH3312" s="438"/>
      <c r="CI3312" s="416"/>
      <c r="CJ3312" s="73"/>
      <c r="CK3312" s="650"/>
      <c r="CL3312" s="499"/>
      <c r="CM3312" s="650"/>
      <c r="CR3312" s="416"/>
      <c r="CS3312" s="650"/>
      <c r="CU3312" s="73"/>
      <c r="CV3312" s="73"/>
      <c r="CW3312" s="73"/>
      <c r="CX3312" s="73"/>
      <c r="DA3312" s="650"/>
    </row>
    <row r="3313" spans="1:105" s="45" customFormat="1" x14ac:dyDescent="0.2">
      <c r="A3313" s="650"/>
      <c r="B3313" s="438"/>
      <c r="D3313" s="73"/>
      <c r="E3313" s="650"/>
      <c r="F3313" s="650"/>
      <c r="G3313" s="73"/>
      <c r="I3313" s="111"/>
      <c r="J3313" s="81"/>
      <c r="K3313" s="81"/>
      <c r="L3313" s="499"/>
      <c r="M3313" s="73"/>
      <c r="N3313" s="499"/>
      <c r="O3313" s="73"/>
      <c r="P3313" s="73"/>
      <c r="Q3313" s="73"/>
      <c r="R3313" s="176"/>
      <c r="S3313" s="176"/>
      <c r="T3313" s="176"/>
      <c r="U3313" s="400"/>
      <c r="V3313" s="400"/>
      <c r="W3313" s="732"/>
      <c r="X3313" s="167"/>
      <c r="Y3313" s="509"/>
      <c r="Z3313" s="466"/>
      <c r="AA3313" s="466"/>
      <c r="AB3313" s="466"/>
      <c r="AC3313" s="466"/>
      <c r="AD3313" s="466"/>
      <c r="AE3313" s="466"/>
      <c r="AF3313" s="466"/>
      <c r="AG3313" s="466"/>
      <c r="AH3313" s="466"/>
      <c r="AI3313" s="466"/>
      <c r="AJ3313" s="466"/>
      <c r="AK3313" s="466"/>
      <c r="AL3313" s="466"/>
      <c r="AM3313" s="466"/>
      <c r="AN3313" s="466"/>
      <c r="AO3313" s="466"/>
      <c r="AP3313" s="466"/>
      <c r="AQ3313" s="466"/>
      <c r="AR3313" s="466"/>
      <c r="AS3313" s="466"/>
      <c r="AT3313" s="466"/>
      <c r="AU3313" s="466"/>
      <c r="AV3313" s="466"/>
      <c r="AW3313" s="466"/>
      <c r="AX3313" s="466"/>
      <c r="AY3313" s="466"/>
      <c r="AZ3313" s="466"/>
      <c r="BA3313" s="466"/>
      <c r="BB3313" s="466"/>
      <c r="BC3313" s="466"/>
      <c r="BD3313" s="466"/>
      <c r="BE3313" s="467"/>
      <c r="BF3313" s="467"/>
      <c r="BG3313" s="466"/>
      <c r="BH3313" s="466"/>
      <c r="BI3313" s="467"/>
      <c r="BJ3313" s="467"/>
      <c r="BK3313" s="467"/>
      <c r="BL3313" s="467"/>
      <c r="BM3313" s="467"/>
      <c r="BN3313" s="467"/>
      <c r="BO3313" s="467"/>
      <c r="BP3313" s="467"/>
      <c r="BQ3313" s="467"/>
      <c r="BR3313" s="467"/>
      <c r="BS3313" s="467"/>
      <c r="BT3313" s="467"/>
      <c r="BU3313" s="467"/>
      <c r="BV3313" s="467"/>
      <c r="BW3313" s="467"/>
      <c r="BX3313" s="769"/>
      <c r="BY3313" s="769"/>
      <c r="BZ3313" s="769"/>
      <c r="CA3313" s="769"/>
      <c r="CB3313" s="769"/>
      <c r="CC3313" s="769"/>
      <c r="CD3313" s="769"/>
      <c r="CE3313" s="769"/>
      <c r="CF3313" s="769"/>
      <c r="CG3313" s="73"/>
      <c r="CH3313" s="438"/>
      <c r="CI3313" s="416"/>
      <c r="CJ3313" s="73"/>
      <c r="CK3313" s="650"/>
      <c r="CL3313" s="499"/>
      <c r="CM3313" s="650"/>
      <c r="CR3313" s="416"/>
      <c r="CS3313" s="650"/>
      <c r="CU3313" s="73"/>
      <c r="CV3313" s="73"/>
      <c r="CW3313" s="73"/>
      <c r="CX3313" s="73"/>
      <c r="DA3313" s="650"/>
    </row>
    <row r="3314" spans="1:105" s="45" customFormat="1" x14ac:dyDescent="0.2">
      <c r="A3314" s="650"/>
      <c r="B3314" s="438"/>
      <c r="D3314" s="73"/>
      <c r="E3314" s="650"/>
      <c r="F3314" s="650"/>
      <c r="G3314" s="73"/>
      <c r="I3314" s="111"/>
      <c r="J3314" s="81"/>
      <c r="K3314" s="81"/>
      <c r="L3314" s="499"/>
      <c r="M3314" s="73"/>
      <c r="N3314" s="499"/>
      <c r="O3314" s="73"/>
      <c r="P3314" s="73"/>
      <c r="Q3314" s="73"/>
      <c r="R3314" s="176"/>
      <c r="S3314" s="176"/>
      <c r="T3314" s="176"/>
      <c r="U3314" s="400"/>
      <c r="V3314" s="400"/>
      <c r="W3314" s="732"/>
      <c r="X3314" s="167"/>
      <c r="Y3314" s="509"/>
      <c r="Z3314" s="466"/>
      <c r="AA3314" s="466"/>
      <c r="AB3314" s="466"/>
      <c r="AC3314" s="466"/>
      <c r="AD3314" s="466"/>
      <c r="AE3314" s="466"/>
      <c r="AF3314" s="466"/>
      <c r="AG3314" s="466"/>
      <c r="AH3314" s="466"/>
      <c r="AI3314" s="466"/>
      <c r="AJ3314" s="466"/>
      <c r="AK3314" s="466"/>
      <c r="AL3314" s="466"/>
      <c r="AM3314" s="466"/>
      <c r="AN3314" s="466"/>
      <c r="AO3314" s="466"/>
      <c r="AP3314" s="466"/>
      <c r="AQ3314" s="466"/>
      <c r="AR3314" s="466"/>
      <c r="AS3314" s="466"/>
      <c r="AT3314" s="466"/>
      <c r="AU3314" s="466"/>
      <c r="AV3314" s="466"/>
      <c r="AW3314" s="466"/>
      <c r="AX3314" s="466"/>
      <c r="AY3314" s="466"/>
      <c r="AZ3314" s="466"/>
      <c r="BA3314" s="466"/>
      <c r="BB3314" s="466"/>
      <c r="BC3314" s="466"/>
      <c r="BD3314" s="466"/>
      <c r="BE3314" s="467"/>
      <c r="BF3314" s="467"/>
      <c r="BG3314" s="466"/>
      <c r="BH3314" s="466"/>
      <c r="BI3314" s="467"/>
      <c r="BJ3314" s="467"/>
      <c r="BK3314" s="467"/>
      <c r="BL3314" s="467"/>
      <c r="BM3314" s="467"/>
      <c r="BN3314" s="467"/>
      <c r="BO3314" s="467"/>
      <c r="BP3314" s="467"/>
      <c r="BQ3314" s="467"/>
      <c r="BR3314" s="467"/>
      <c r="BS3314" s="467"/>
      <c r="BT3314" s="467"/>
      <c r="BU3314" s="467"/>
      <c r="BV3314" s="467"/>
      <c r="BW3314" s="467"/>
      <c r="BX3314" s="769"/>
      <c r="BY3314" s="769"/>
      <c r="BZ3314" s="769"/>
      <c r="CA3314" s="769"/>
      <c r="CB3314" s="769"/>
      <c r="CC3314" s="769"/>
      <c r="CD3314" s="769"/>
      <c r="CE3314" s="769"/>
      <c r="CF3314" s="769"/>
      <c r="CG3314" s="73"/>
      <c r="CH3314" s="438"/>
      <c r="CI3314" s="416"/>
      <c r="CJ3314" s="73"/>
      <c r="CK3314" s="650"/>
      <c r="CL3314" s="499"/>
      <c r="CM3314" s="650"/>
      <c r="CR3314" s="416"/>
      <c r="CS3314" s="650"/>
      <c r="CU3314" s="73"/>
      <c r="CV3314" s="73"/>
      <c r="CW3314" s="73"/>
      <c r="CX3314" s="73"/>
      <c r="DA3314" s="650"/>
    </row>
    <row r="3315" spans="1:105" s="45" customFormat="1" x14ac:dyDescent="0.2">
      <c r="A3315" s="650"/>
      <c r="B3315" s="438"/>
      <c r="D3315" s="73"/>
      <c r="E3315" s="650"/>
      <c r="F3315" s="650"/>
      <c r="G3315" s="73"/>
      <c r="I3315" s="111"/>
      <c r="J3315" s="81"/>
      <c r="K3315" s="81"/>
      <c r="L3315" s="499"/>
      <c r="M3315" s="73"/>
      <c r="N3315" s="499"/>
      <c r="O3315" s="73"/>
      <c r="P3315" s="73"/>
      <c r="Q3315" s="73"/>
      <c r="R3315" s="176"/>
      <c r="S3315" s="176"/>
      <c r="T3315" s="176"/>
      <c r="U3315" s="400"/>
      <c r="V3315" s="400"/>
      <c r="W3315" s="732"/>
      <c r="X3315" s="167"/>
      <c r="Y3315" s="509"/>
      <c r="Z3315" s="466"/>
      <c r="AA3315" s="466"/>
      <c r="AB3315" s="466"/>
      <c r="AC3315" s="466"/>
      <c r="AD3315" s="466"/>
      <c r="AE3315" s="466"/>
      <c r="AF3315" s="466"/>
      <c r="AG3315" s="466"/>
      <c r="AH3315" s="466"/>
      <c r="AI3315" s="466"/>
      <c r="AJ3315" s="466"/>
      <c r="AK3315" s="466"/>
      <c r="AL3315" s="466"/>
      <c r="AM3315" s="466"/>
      <c r="AN3315" s="466"/>
      <c r="AO3315" s="466"/>
      <c r="AP3315" s="466"/>
      <c r="AQ3315" s="466"/>
      <c r="AR3315" s="466"/>
      <c r="AS3315" s="466"/>
      <c r="AT3315" s="466"/>
      <c r="AU3315" s="466"/>
      <c r="AV3315" s="466"/>
      <c r="AW3315" s="466"/>
      <c r="AX3315" s="466"/>
      <c r="AY3315" s="466"/>
      <c r="AZ3315" s="466"/>
      <c r="BA3315" s="466"/>
      <c r="BB3315" s="466"/>
      <c r="BC3315" s="466"/>
      <c r="BD3315" s="466"/>
      <c r="BE3315" s="467"/>
      <c r="BF3315" s="467"/>
      <c r="BG3315" s="466"/>
      <c r="BH3315" s="466"/>
      <c r="BI3315" s="467"/>
      <c r="BJ3315" s="467"/>
      <c r="BK3315" s="467"/>
      <c r="BL3315" s="467"/>
      <c r="BM3315" s="467"/>
      <c r="BN3315" s="467"/>
      <c r="BO3315" s="467"/>
      <c r="BP3315" s="467"/>
      <c r="BQ3315" s="467"/>
      <c r="BR3315" s="467"/>
      <c r="BS3315" s="467"/>
      <c r="BT3315" s="467"/>
      <c r="BU3315" s="467"/>
      <c r="BV3315" s="467"/>
      <c r="BW3315" s="467"/>
      <c r="BX3315" s="769"/>
      <c r="BY3315" s="769"/>
      <c r="BZ3315" s="769"/>
      <c r="CA3315" s="769"/>
      <c r="CB3315" s="769"/>
      <c r="CC3315" s="769"/>
      <c r="CD3315" s="769"/>
      <c r="CE3315" s="769"/>
      <c r="CF3315" s="769"/>
      <c r="CG3315" s="73"/>
      <c r="CH3315" s="438"/>
      <c r="CI3315" s="416"/>
      <c r="CJ3315" s="73"/>
      <c r="CK3315" s="650"/>
      <c r="CL3315" s="499"/>
      <c r="CM3315" s="650"/>
      <c r="CR3315" s="416"/>
      <c r="CS3315" s="650"/>
      <c r="CU3315" s="73"/>
      <c r="CV3315" s="73"/>
      <c r="CW3315" s="73"/>
      <c r="CX3315" s="73"/>
      <c r="DA3315" s="650"/>
    </row>
    <row r="3316" spans="1:105" s="45" customFormat="1" x14ac:dyDescent="0.2">
      <c r="A3316" s="650"/>
      <c r="B3316" s="438"/>
      <c r="D3316" s="73"/>
      <c r="E3316" s="650"/>
      <c r="F3316" s="650"/>
      <c r="G3316" s="73"/>
      <c r="I3316" s="111"/>
      <c r="J3316" s="81"/>
      <c r="K3316" s="81"/>
      <c r="L3316" s="499"/>
      <c r="M3316" s="73"/>
      <c r="N3316" s="499"/>
      <c r="O3316" s="73"/>
      <c r="P3316" s="73"/>
      <c r="Q3316" s="73"/>
      <c r="R3316" s="176"/>
      <c r="S3316" s="176"/>
      <c r="T3316" s="176"/>
      <c r="U3316" s="400"/>
      <c r="V3316" s="400"/>
      <c r="W3316" s="732"/>
      <c r="X3316" s="167"/>
      <c r="Y3316" s="509"/>
      <c r="Z3316" s="466"/>
      <c r="AA3316" s="466"/>
      <c r="AB3316" s="466"/>
      <c r="AC3316" s="466"/>
      <c r="AD3316" s="466"/>
      <c r="AE3316" s="466"/>
      <c r="AF3316" s="466"/>
      <c r="AG3316" s="466"/>
      <c r="AH3316" s="466"/>
      <c r="AI3316" s="466"/>
      <c r="AJ3316" s="466"/>
      <c r="AK3316" s="466"/>
      <c r="AL3316" s="466"/>
      <c r="AM3316" s="466"/>
      <c r="AN3316" s="466"/>
      <c r="AO3316" s="466"/>
      <c r="AP3316" s="466"/>
      <c r="AQ3316" s="466"/>
      <c r="AR3316" s="466"/>
      <c r="AS3316" s="466"/>
      <c r="AT3316" s="466"/>
      <c r="AU3316" s="466"/>
      <c r="AV3316" s="466"/>
      <c r="AW3316" s="466"/>
      <c r="AX3316" s="466"/>
      <c r="AY3316" s="466"/>
      <c r="AZ3316" s="466"/>
      <c r="BA3316" s="466"/>
      <c r="BB3316" s="466"/>
      <c r="BC3316" s="466"/>
      <c r="BD3316" s="466"/>
      <c r="BE3316" s="467"/>
      <c r="BF3316" s="467"/>
      <c r="BG3316" s="466"/>
      <c r="BH3316" s="466"/>
      <c r="BI3316" s="467"/>
      <c r="BJ3316" s="467"/>
      <c r="BK3316" s="467"/>
      <c r="BL3316" s="467"/>
      <c r="BM3316" s="467"/>
      <c r="BN3316" s="467"/>
      <c r="BO3316" s="467"/>
      <c r="BP3316" s="467"/>
      <c r="BQ3316" s="467"/>
      <c r="BR3316" s="467"/>
      <c r="BS3316" s="467"/>
      <c r="BT3316" s="467"/>
      <c r="BU3316" s="467"/>
      <c r="BV3316" s="467"/>
      <c r="BW3316" s="467"/>
      <c r="BX3316" s="769"/>
      <c r="BY3316" s="769"/>
      <c r="BZ3316" s="769"/>
      <c r="CA3316" s="769"/>
      <c r="CB3316" s="769"/>
      <c r="CC3316" s="769"/>
      <c r="CD3316" s="769"/>
      <c r="CE3316" s="769"/>
      <c r="CF3316" s="769"/>
      <c r="CG3316" s="73"/>
      <c r="CH3316" s="438"/>
      <c r="CI3316" s="416"/>
      <c r="CJ3316" s="73"/>
      <c r="CK3316" s="650"/>
      <c r="CL3316" s="499"/>
      <c r="CM3316" s="650"/>
      <c r="CR3316" s="416"/>
      <c r="CS3316" s="650"/>
      <c r="CU3316" s="73"/>
      <c r="CV3316" s="73"/>
      <c r="CW3316" s="73"/>
      <c r="CX3316" s="73"/>
      <c r="DA3316" s="650"/>
    </row>
    <row r="3317" spans="1:105" s="45" customFormat="1" x14ac:dyDescent="0.2">
      <c r="A3317" s="650"/>
      <c r="B3317" s="438"/>
      <c r="D3317" s="73"/>
      <c r="E3317" s="650"/>
      <c r="F3317" s="650"/>
      <c r="G3317" s="73"/>
      <c r="I3317" s="111"/>
      <c r="J3317" s="81"/>
      <c r="K3317" s="81"/>
      <c r="L3317" s="499"/>
      <c r="M3317" s="73"/>
      <c r="N3317" s="499"/>
      <c r="O3317" s="73"/>
      <c r="P3317" s="73"/>
      <c r="Q3317" s="73"/>
      <c r="R3317" s="176"/>
      <c r="S3317" s="176"/>
      <c r="T3317" s="176"/>
      <c r="U3317" s="400"/>
      <c r="V3317" s="400"/>
      <c r="W3317" s="732"/>
      <c r="X3317" s="167"/>
      <c r="Y3317" s="509"/>
      <c r="Z3317" s="466"/>
      <c r="AA3317" s="466"/>
      <c r="AB3317" s="466"/>
      <c r="AC3317" s="466"/>
      <c r="AD3317" s="466"/>
      <c r="AE3317" s="466"/>
      <c r="AF3317" s="466"/>
      <c r="AG3317" s="466"/>
      <c r="AH3317" s="466"/>
      <c r="AI3317" s="466"/>
      <c r="AJ3317" s="466"/>
      <c r="AK3317" s="466"/>
      <c r="AL3317" s="466"/>
      <c r="AM3317" s="466"/>
      <c r="AN3317" s="466"/>
      <c r="AO3317" s="466"/>
      <c r="AP3317" s="466"/>
      <c r="AQ3317" s="466"/>
      <c r="AR3317" s="466"/>
      <c r="AS3317" s="466"/>
      <c r="AT3317" s="466"/>
      <c r="AU3317" s="466"/>
      <c r="AV3317" s="466"/>
      <c r="AW3317" s="466"/>
      <c r="AX3317" s="466"/>
      <c r="AY3317" s="466"/>
      <c r="AZ3317" s="466"/>
      <c r="BA3317" s="466"/>
      <c r="BB3317" s="466"/>
      <c r="BC3317" s="466"/>
      <c r="BD3317" s="466"/>
      <c r="BE3317" s="467"/>
      <c r="BF3317" s="467"/>
      <c r="BG3317" s="466"/>
      <c r="BH3317" s="466"/>
      <c r="BI3317" s="467"/>
      <c r="BJ3317" s="467"/>
      <c r="BK3317" s="467"/>
      <c r="BL3317" s="467"/>
      <c r="BM3317" s="467"/>
      <c r="BN3317" s="467"/>
      <c r="BO3317" s="467"/>
      <c r="BP3317" s="467"/>
      <c r="BQ3317" s="467"/>
      <c r="BR3317" s="467"/>
      <c r="BS3317" s="467"/>
      <c r="BT3317" s="467"/>
      <c r="BU3317" s="467"/>
      <c r="BV3317" s="467"/>
      <c r="BW3317" s="467"/>
      <c r="BX3317" s="769"/>
      <c r="BY3317" s="769"/>
      <c r="BZ3317" s="769"/>
      <c r="CA3317" s="769"/>
      <c r="CB3317" s="769"/>
      <c r="CC3317" s="769"/>
      <c r="CD3317" s="769"/>
      <c r="CE3317" s="769"/>
      <c r="CF3317" s="769"/>
      <c r="CG3317" s="73"/>
      <c r="CH3317" s="438"/>
      <c r="CI3317" s="416"/>
      <c r="CJ3317" s="73"/>
      <c r="CK3317" s="650"/>
      <c r="CL3317" s="499"/>
      <c r="CM3317" s="650"/>
      <c r="CR3317" s="416"/>
      <c r="CS3317" s="650"/>
      <c r="CU3317" s="73"/>
      <c r="CV3317" s="73"/>
      <c r="CW3317" s="73"/>
      <c r="CX3317" s="73"/>
      <c r="DA3317" s="650"/>
    </row>
    <row r="3318" spans="1:105" s="45" customFormat="1" x14ac:dyDescent="0.2">
      <c r="A3318" s="650"/>
      <c r="B3318" s="438"/>
      <c r="D3318" s="73"/>
      <c r="E3318" s="650"/>
      <c r="F3318" s="650"/>
      <c r="G3318" s="73"/>
      <c r="I3318" s="111"/>
      <c r="J3318" s="81"/>
      <c r="K3318" s="81"/>
      <c r="L3318" s="499"/>
      <c r="M3318" s="73"/>
      <c r="N3318" s="499"/>
      <c r="O3318" s="73"/>
      <c r="P3318" s="73"/>
      <c r="Q3318" s="73"/>
      <c r="R3318" s="176"/>
      <c r="S3318" s="176"/>
      <c r="T3318" s="176"/>
      <c r="U3318" s="400"/>
      <c r="V3318" s="400"/>
      <c r="W3318" s="732"/>
      <c r="X3318" s="167"/>
      <c r="Y3318" s="509"/>
      <c r="Z3318" s="466"/>
      <c r="AA3318" s="466"/>
      <c r="AB3318" s="466"/>
      <c r="AC3318" s="466"/>
      <c r="AD3318" s="466"/>
      <c r="AE3318" s="466"/>
      <c r="AF3318" s="466"/>
      <c r="AG3318" s="466"/>
      <c r="AH3318" s="466"/>
      <c r="AI3318" s="466"/>
      <c r="AJ3318" s="466"/>
      <c r="AK3318" s="466"/>
      <c r="AL3318" s="466"/>
      <c r="AM3318" s="466"/>
      <c r="AN3318" s="466"/>
      <c r="AO3318" s="466"/>
      <c r="AP3318" s="466"/>
      <c r="AQ3318" s="466"/>
      <c r="AR3318" s="466"/>
      <c r="AS3318" s="466"/>
      <c r="AT3318" s="466"/>
      <c r="AU3318" s="466"/>
      <c r="AV3318" s="466"/>
      <c r="AW3318" s="466"/>
      <c r="AX3318" s="466"/>
      <c r="AY3318" s="466"/>
      <c r="AZ3318" s="466"/>
      <c r="BA3318" s="466"/>
      <c r="BB3318" s="466"/>
      <c r="BC3318" s="466"/>
      <c r="BD3318" s="466"/>
      <c r="BE3318" s="467"/>
      <c r="BF3318" s="467"/>
      <c r="BG3318" s="466"/>
      <c r="BH3318" s="466"/>
      <c r="BI3318" s="467"/>
      <c r="BJ3318" s="467"/>
      <c r="BK3318" s="467"/>
      <c r="BL3318" s="467"/>
      <c r="BM3318" s="467"/>
      <c r="BN3318" s="467"/>
      <c r="BO3318" s="467"/>
      <c r="BP3318" s="467"/>
      <c r="BQ3318" s="467"/>
      <c r="BR3318" s="467"/>
      <c r="BS3318" s="467"/>
      <c r="BT3318" s="467"/>
      <c r="BU3318" s="467"/>
      <c r="BV3318" s="467"/>
      <c r="BW3318" s="467"/>
      <c r="BX3318" s="769"/>
      <c r="BY3318" s="769"/>
      <c r="BZ3318" s="769"/>
      <c r="CA3318" s="769"/>
      <c r="CB3318" s="769"/>
      <c r="CC3318" s="769"/>
      <c r="CD3318" s="769"/>
      <c r="CE3318" s="769"/>
      <c r="CF3318" s="769"/>
      <c r="CG3318" s="73"/>
      <c r="CH3318" s="438"/>
      <c r="CI3318" s="416"/>
      <c r="CJ3318" s="73"/>
      <c r="CK3318" s="650"/>
      <c r="CL3318" s="499"/>
      <c r="CM3318" s="650"/>
      <c r="CR3318" s="416"/>
      <c r="CS3318" s="650"/>
      <c r="CU3318" s="73"/>
      <c r="CV3318" s="73"/>
      <c r="CW3318" s="73"/>
      <c r="CX3318" s="73"/>
      <c r="DA3318" s="650"/>
    </row>
    <row r="3319" spans="1:105" s="45" customFormat="1" x14ac:dyDescent="0.2">
      <c r="A3319" s="650"/>
      <c r="B3319" s="438"/>
      <c r="D3319" s="73"/>
      <c r="E3319" s="650"/>
      <c r="F3319" s="650"/>
      <c r="G3319" s="73"/>
      <c r="I3319" s="111"/>
      <c r="J3319" s="81"/>
      <c r="K3319" s="81"/>
      <c r="L3319" s="499"/>
      <c r="M3319" s="73"/>
      <c r="N3319" s="499"/>
      <c r="O3319" s="73"/>
      <c r="P3319" s="73"/>
      <c r="Q3319" s="73"/>
      <c r="R3319" s="176"/>
      <c r="S3319" s="176"/>
      <c r="T3319" s="176"/>
      <c r="U3319" s="400"/>
      <c r="V3319" s="400"/>
      <c r="W3319" s="732"/>
      <c r="X3319" s="167"/>
      <c r="Y3319" s="509"/>
      <c r="Z3319" s="466"/>
      <c r="AA3319" s="466"/>
      <c r="AB3319" s="466"/>
      <c r="AC3319" s="466"/>
      <c r="AD3319" s="466"/>
      <c r="AE3319" s="466"/>
      <c r="AF3319" s="466"/>
      <c r="AG3319" s="466"/>
      <c r="AH3319" s="466"/>
      <c r="AI3319" s="466"/>
      <c r="AJ3319" s="466"/>
      <c r="AK3319" s="466"/>
      <c r="AL3319" s="466"/>
      <c r="AM3319" s="466"/>
      <c r="AN3319" s="466"/>
      <c r="AO3319" s="466"/>
      <c r="AP3319" s="466"/>
      <c r="AQ3319" s="466"/>
      <c r="AR3319" s="466"/>
      <c r="AS3319" s="466"/>
      <c r="AT3319" s="466"/>
      <c r="AU3319" s="466"/>
      <c r="AV3319" s="466"/>
      <c r="AW3319" s="466"/>
      <c r="AX3319" s="466"/>
      <c r="AY3319" s="466"/>
      <c r="AZ3319" s="466"/>
      <c r="BA3319" s="466"/>
      <c r="BB3319" s="466"/>
      <c r="BC3319" s="466"/>
      <c r="BD3319" s="466"/>
      <c r="BE3319" s="467"/>
      <c r="BF3319" s="467"/>
      <c r="BG3319" s="466"/>
      <c r="BH3319" s="466"/>
      <c r="BI3319" s="467"/>
      <c r="BJ3319" s="467"/>
      <c r="BK3319" s="467"/>
      <c r="BL3319" s="467"/>
      <c r="BM3319" s="467"/>
      <c r="BN3319" s="467"/>
      <c r="BO3319" s="467"/>
      <c r="BP3319" s="467"/>
      <c r="BQ3319" s="467"/>
      <c r="BR3319" s="467"/>
      <c r="BS3319" s="467"/>
      <c r="BT3319" s="467"/>
      <c r="BU3319" s="467"/>
      <c r="BV3319" s="467"/>
      <c r="BW3319" s="467"/>
      <c r="BX3319" s="769"/>
      <c r="BY3319" s="769"/>
      <c r="BZ3319" s="769"/>
      <c r="CA3319" s="769"/>
      <c r="CB3319" s="769"/>
      <c r="CC3319" s="769"/>
      <c r="CD3319" s="769"/>
      <c r="CE3319" s="769"/>
      <c r="CF3319" s="769"/>
      <c r="CG3319" s="73"/>
      <c r="CH3319" s="438"/>
      <c r="CI3319" s="416"/>
      <c r="CJ3319" s="73"/>
      <c r="CK3319" s="650"/>
      <c r="CL3319" s="499"/>
      <c r="CM3319" s="650"/>
      <c r="CR3319" s="416"/>
      <c r="CS3319" s="650"/>
      <c r="CU3319" s="73"/>
      <c r="CV3319" s="73"/>
      <c r="CW3319" s="73"/>
      <c r="CX3319" s="73"/>
      <c r="DA3319" s="650"/>
    </row>
    <row r="3320" spans="1:105" s="45" customFormat="1" x14ac:dyDescent="0.2">
      <c r="A3320" s="650"/>
      <c r="B3320" s="438"/>
      <c r="D3320" s="73"/>
      <c r="E3320" s="650"/>
      <c r="F3320" s="650"/>
      <c r="G3320" s="73"/>
      <c r="I3320" s="111"/>
      <c r="J3320" s="81"/>
      <c r="K3320" s="81"/>
      <c r="L3320" s="499"/>
      <c r="M3320" s="73"/>
      <c r="N3320" s="499"/>
      <c r="O3320" s="73"/>
      <c r="P3320" s="73"/>
      <c r="Q3320" s="73"/>
      <c r="R3320" s="176"/>
      <c r="S3320" s="176"/>
      <c r="T3320" s="176"/>
      <c r="U3320" s="400"/>
      <c r="V3320" s="400"/>
      <c r="W3320" s="732"/>
      <c r="X3320" s="167"/>
      <c r="Y3320" s="509"/>
      <c r="Z3320" s="466"/>
      <c r="AA3320" s="466"/>
      <c r="AB3320" s="466"/>
      <c r="AC3320" s="466"/>
      <c r="AD3320" s="466"/>
      <c r="AE3320" s="466"/>
      <c r="AF3320" s="466"/>
      <c r="AG3320" s="466"/>
      <c r="AH3320" s="466"/>
      <c r="AI3320" s="466"/>
      <c r="AJ3320" s="466"/>
      <c r="AK3320" s="466"/>
      <c r="AL3320" s="466"/>
      <c r="AM3320" s="466"/>
      <c r="AN3320" s="466"/>
      <c r="AO3320" s="466"/>
      <c r="AP3320" s="466"/>
      <c r="AQ3320" s="466"/>
      <c r="AR3320" s="466"/>
      <c r="AS3320" s="466"/>
      <c r="AT3320" s="466"/>
      <c r="AU3320" s="466"/>
      <c r="AV3320" s="466"/>
      <c r="AW3320" s="466"/>
      <c r="AX3320" s="466"/>
      <c r="AY3320" s="466"/>
      <c r="AZ3320" s="466"/>
      <c r="BA3320" s="466"/>
      <c r="BB3320" s="466"/>
      <c r="BC3320" s="466"/>
      <c r="BD3320" s="466"/>
      <c r="BE3320" s="467"/>
      <c r="BF3320" s="467"/>
      <c r="BG3320" s="466"/>
      <c r="BH3320" s="466"/>
      <c r="BI3320" s="467"/>
      <c r="BJ3320" s="467"/>
      <c r="BK3320" s="467"/>
      <c r="BL3320" s="467"/>
      <c r="BM3320" s="467"/>
      <c r="BN3320" s="467"/>
      <c r="BO3320" s="467"/>
      <c r="BP3320" s="467"/>
      <c r="BQ3320" s="467"/>
      <c r="BR3320" s="467"/>
      <c r="BS3320" s="467"/>
      <c r="BT3320" s="467"/>
      <c r="BU3320" s="467"/>
      <c r="BV3320" s="467"/>
      <c r="BW3320" s="467"/>
      <c r="BX3320" s="769"/>
      <c r="BY3320" s="769"/>
      <c r="BZ3320" s="769"/>
      <c r="CA3320" s="769"/>
      <c r="CB3320" s="769"/>
      <c r="CC3320" s="769"/>
      <c r="CD3320" s="769"/>
      <c r="CE3320" s="769"/>
      <c r="CF3320" s="769"/>
      <c r="CG3320" s="73"/>
      <c r="CH3320" s="438"/>
      <c r="CI3320" s="416"/>
      <c r="CJ3320" s="73"/>
      <c r="CK3320" s="650"/>
      <c r="CL3320" s="499"/>
      <c r="CM3320" s="650"/>
      <c r="CR3320" s="416"/>
      <c r="CS3320" s="650"/>
      <c r="CU3320" s="73"/>
      <c r="CV3320" s="73"/>
      <c r="CW3320" s="73"/>
      <c r="CX3320" s="73"/>
      <c r="DA3320" s="650"/>
    </row>
    <row r="3321" spans="1:105" s="45" customFormat="1" x14ac:dyDescent="0.2">
      <c r="A3321" s="650"/>
      <c r="B3321" s="438"/>
      <c r="D3321" s="73"/>
      <c r="E3321" s="650"/>
      <c r="F3321" s="650"/>
      <c r="G3321" s="73"/>
      <c r="I3321" s="111"/>
      <c r="J3321" s="81"/>
      <c r="K3321" s="81"/>
      <c r="L3321" s="499"/>
      <c r="M3321" s="73"/>
      <c r="N3321" s="499"/>
      <c r="O3321" s="73"/>
      <c r="P3321" s="73"/>
      <c r="Q3321" s="73"/>
      <c r="R3321" s="176"/>
      <c r="S3321" s="176"/>
      <c r="T3321" s="176"/>
      <c r="U3321" s="400"/>
      <c r="V3321" s="400"/>
      <c r="W3321" s="732"/>
      <c r="X3321" s="167"/>
      <c r="Y3321" s="509"/>
      <c r="Z3321" s="466"/>
      <c r="AA3321" s="466"/>
      <c r="AB3321" s="466"/>
      <c r="AC3321" s="466"/>
      <c r="AD3321" s="466"/>
      <c r="AE3321" s="466"/>
      <c r="AF3321" s="466"/>
      <c r="AG3321" s="466"/>
      <c r="AH3321" s="466"/>
      <c r="AI3321" s="466"/>
      <c r="AJ3321" s="466"/>
      <c r="AK3321" s="466"/>
      <c r="AL3321" s="466"/>
      <c r="AM3321" s="466"/>
      <c r="AN3321" s="466"/>
      <c r="AO3321" s="466"/>
      <c r="AP3321" s="466"/>
      <c r="AQ3321" s="466"/>
      <c r="AR3321" s="466"/>
      <c r="AS3321" s="466"/>
      <c r="AT3321" s="466"/>
      <c r="AU3321" s="466"/>
      <c r="AV3321" s="466"/>
      <c r="AW3321" s="466"/>
      <c r="AX3321" s="466"/>
      <c r="AY3321" s="466"/>
      <c r="AZ3321" s="466"/>
      <c r="BA3321" s="466"/>
      <c r="BB3321" s="466"/>
      <c r="BC3321" s="466"/>
      <c r="BD3321" s="466"/>
      <c r="BE3321" s="467"/>
      <c r="BF3321" s="467"/>
      <c r="BG3321" s="466"/>
      <c r="BH3321" s="466"/>
      <c r="BI3321" s="467"/>
      <c r="BJ3321" s="467"/>
      <c r="BK3321" s="467"/>
      <c r="BL3321" s="467"/>
      <c r="BM3321" s="467"/>
      <c r="BN3321" s="467"/>
      <c r="BO3321" s="467"/>
      <c r="BP3321" s="467"/>
      <c r="BQ3321" s="467"/>
      <c r="BR3321" s="467"/>
      <c r="BS3321" s="467"/>
      <c r="BT3321" s="467"/>
      <c r="BU3321" s="467"/>
      <c r="BV3321" s="467"/>
      <c r="BW3321" s="467"/>
      <c r="BX3321" s="769"/>
      <c r="BY3321" s="769"/>
      <c r="BZ3321" s="769"/>
      <c r="CA3321" s="769"/>
      <c r="CB3321" s="769"/>
      <c r="CC3321" s="769"/>
      <c r="CD3321" s="769"/>
      <c r="CE3321" s="769"/>
      <c r="CF3321" s="769"/>
      <c r="CG3321" s="73"/>
      <c r="CH3321" s="438"/>
      <c r="CI3321" s="416"/>
      <c r="CJ3321" s="73"/>
      <c r="CK3321" s="650"/>
      <c r="CL3321" s="499"/>
      <c r="CM3321" s="650"/>
      <c r="CR3321" s="416"/>
      <c r="CS3321" s="650"/>
      <c r="CU3321" s="73"/>
      <c r="CV3321" s="73"/>
      <c r="CW3321" s="73"/>
      <c r="CX3321" s="73"/>
      <c r="DA3321" s="650"/>
    </row>
    <row r="3322" spans="1:105" s="45" customFormat="1" x14ac:dyDescent="0.2">
      <c r="A3322" s="650"/>
      <c r="B3322" s="438"/>
      <c r="D3322" s="73"/>
      <c r="E3322" s="650"/>
      <c r="F3322" s="650"/>
      <c r="G3322" s="73"/>
      <c r="I3322" s="111"/>
      <c r="J3322" s="81"/>
      <c r="K3322" s="81"/>
      <c r="L3322" s="499"/>
      <c r="M3322" s="73"/>
      <c r="N3322" s="499"/>
      <c r="O3322" s="73"/>
      <c r="P3322" s="73"/>
      <c r="Q3322" s="73"/>
      <c r="R3322" s="176"/>
      <c r="S3322" s="176"/>
      <c r="T3322" s="176"/>
      <c r="U3322" s="400"/>
      <c r="V3322" s="400"/>
      <c r="W3322" s="732"/>
      <c r="X3322" s="167"/>
      <c r="Y3322" s="509"/>
      <c r="Z3322" s="466"/>
      <c r="AA3322" s="466"/>
      <c r="AB3322" s="466"/>
      <c r="AC3322" s="466"/>
      <c r="AD3322" s="466"/>
      <c r="AE3322" s="466"/>
      <c r="AF3322" s="466"/>
      <c r="AG3322" s="466"/>
      <c r="AH3322" s="466"/>
      <c r="AI3322" s="466"/>
      <c r="AJ3322" s="466"/>
      <c r="AK3322" s="466"/>
      <c r="AL3322" s="466"/>
      <c r="AM3322" s="466"/>
      <c r="AN3322" s="466"/>
      <c r="AO3322" s="466"/>
      <c r="AP3322" s="466"/>
      <c r="AQ3322" s="466"/>
      <c r="AR3322" s="466"/>
      <c r="AS3322" s="466"/>
      <c r="AT3322" s="466"/>
      <c r="AU3322" s="466"/>
      <c r="AV3322" s="466"/>
      <c r="AW3322" s="466"/>
      <c r="AX3322" s="466"/>
      <c r="AY3322" s="466"/>
      <c r="AZ3322" s="466"/>
      <c r="BA3322" s="466"/>
      <c r="BB3322" s="466"/>
      <c r="BC3322" s="466"/>
      <c r="BD3322" s="466"/>
      <c r="BE3322" s="467"/>
      <c r="BF3322" s="467"/>
      <c r="BG3322" s="466"/>
      <c r="BH3322" s="466"/>
      <c r="BI3322" s="467"/>
      <c r="BJ3322" s="467"/>
      <c r="BK3322" s="467"/>
      <c r="BL3322" s="467"/>
      <c r="BM3322" s="467"/>
      <c r="BN3322" s="467"/>
      <c r="BO3322" s="467"/>
      <c r="BP3322" s="467"/>
      <c r="BQ3322" s="467"/>
      <c r="BR3322" s="467"/>
      <c r="BS3322" s="467"/>
      <c r="BT3322" s="467"/>
      <c r="BU3322" s="467"/>
      <c r="BV3322" s="467"/>
      <c r="BW3322" s="467"/>
      <c r="BX3322" s="769"/>
      <c r="BY3322" s="769"/>
      <c r="BZ3322" s="769"/>
      <c r="CA3322" s="769"/>
      <c r="CB3322" s="769"/>
      <c r="CC3322" s="769"/>
      <c r="CD3322" s="769"/>
      <c r="CE3322" s="769"/>
      <c r="CF3322" s="769"/>
      <c r="CG3322" s="73"/>
      <c r="CH3322" s="438"/>
      <c r="CI3322" s="416"/>
      <c r="CJ3322" s="73"/>
      <c r="CK3322" s="650"/>
      <c r="CL3322" s="499"/>
      <c r="CM3322" s="650"/>
      <c r="CR3322" s="416"/>
      <c r="CS3322" s="650"/>
      <c r="CU3322" s="73"/>
      <c r="CV3322" s="73"/>
      <c r="CW3322" s="73"/>
      <c r="CX3322" s="73"/>
      <c r="DA3322" s="650"/>
    </row>
    <row r="3323" spans="1:105" s="45" customFormat="1" x14ac:dyDescent="0.2">
      <c r="A3323" s="650"/>
      <c r="B3323" s="438"/>
      <c r="D3323" s="73"/>
      <c r="E3323" s="650"/>
      <c r="F3323" s="650"/>
      <c r="G3323" s="73"/>
      <c r="I3323" s="111"/>
      <c r="J3323" s="81"/>
      <c r="K3323" s="81"/>
      <c r="L3323" s="499"/>
      <c r="M3323" s="73"/>
      <c r="N3323" s="499"/>
      <c r="O3323" s="73"/>
      <c r="P3323" s="73"/>
      <c r="Q3323" s="73"/>
      <c r="R3323" s="176"/>
      <c r="S3323" s="176"/>
      <c r="T3323" s="176"/>
      <c r="U3323" s="400"/>
      <c r="V3323" s="400"/>
      <c r="W3323" s="732"/>
      <c r="X3323" s="167"/>
      <c r="Y3323" s="509"/>
      <c r="Z3323" s="466"/>
      <c r="AA3323" s="466"/>
      <c r="AB3323" s="466"/>
      <c r="AC3323" s="466"/>
      <c r="AD3323" s="466"/>
      <c r="AE3323" s="466"/>
      <c r="AF3323" s="466"/>
      <c r="AG3323" s="466"/>
      <c r="AH3323" s="466"/>
      <c r="AI3323" s="466"/>
      <c r="AJ3323" s="466"/>
      <c r="AK3323" s="466"/>
      <c r="AL3323" s="466"/>
      <c r="AM3323" s="466"/>
      <c r="AN3323" s="466"/>
      <c r="AO3323" s="466"/>
      <c r="AP3323" s="466"/>
      <c r="AQ3323" s="466"/>
      <c r="AR3323" s="466"/>
      <c r="AS3323" s="466"/>
      <c r="AT3323" s="466"/>
      <c r="AU3323" s="466"/>
      <c r="AV3323" s="466"/>
      <c r="AW3323" s="466"/>
      <c r="AX3323" s="466"/>
      <c r="AY3323" s="466"/>
      <c r="AZ3323" s="466"/>
      <c r="BA3323" s="466"/>
      <c r="BB3323" s="466"/>
      <c r="BC3323" s="466"/>
      <c r="BD3323" s="466"/>
      <c r="BE3323" s="467"/>
      <c r="BF3323" s="467"/>
      <c r="BG3323" s="466"/>
      <c r="BH3323" s="466"/>
      <c r="BI3323" s="467"/>
      <c r="BJ3323" s="467"/>
      <c r="BK3323" s="467"/>
      <c r="BL3323" s="467"/>
      <c r="BM3323" s="467"/>
      <c r="BN3323" s="467"/>
      <c r="BO3323" s="467"/>
      <c r="BP3323" s="467"/>
      <c r="BQ3323" s="467"/>
      <c r="BR3323" s="467"/>
      <c r="BS3323" s="467"/>
      <c r="BT3323" s="467"/>
      <c r="BU3323" s="467"/>
      <c r="BV3323" s="467"/>
      <c r="BW3323" s="467"/>
      <c r="BX3323" s="769"/>
      <c r="BY3323" s="769"/>
      <c r="BZ3323" s="769"/>
      <c r="CA3323" s="769"/>
      <c r="CB3323" s="769"/>
      <c r="CC3323" s="769"/>
      <c r="CD3323" s="769"/>
      <c r="CE3323" s="769"/>
      <c r="CF3323" s="769"/>
      <c r="CG3323" s="73"/>
      <c r="CH3323" s="438"/>
      <c r="CI3323" s="416"/>
      <c r="CJ3323" s="73"/>
      <c r="CK3323" s="650"/>
      <c r="CL3323" s="499"/>
      <c r="CM3323" s="650"/>
      <c r="CR3323" s="416"/>
      <c r="CS3323" s="650"/>
      <c r="CU3323" s="73"/>
      <c r="CV3323" s="73"/>
      <c r="CW3323" s="73"/>
      <c r="CX3323" s="73"/>
      <c r="DA3323" s="650"/>
    </row>
    <row r="3324" spans="1:105" s="45" customFormat="1" x14ac:dyDescent="0.2">
      <c r="A3324" s="650"/>
      <c r="B3324" s="438"/>
      <c r="D3324" s="73"/>
      <c r="E3324" s="650"/>
      <c r="F3324" s="650"/>
      <c r="G3324" s="73"/>
      <c r="I3324" s="111"/>
      <c r="J3324" s="81"/>
      <c r="K3324" s="81"/>
      <c r="L3324" s="499"/>
      <c r="M3324" s="73"/>
      <c r="N3324" s="499"/>
      <c r="O3324" s="73"/>
      <c r="P3324" s="73"/>
      <c r="Q3324" s="73"/>
      <c r="R3324" s="176"/>
      <c r="S3324" s="176"/>
      <c r="T3324" s="176"/>
      <c r="U3324" s="400"/>
      <c r="V3324" s="400"/>
      <c r="W3324" s="732"/>
      <c r="X3324" s="167"/>
      <c r="Y3324" s="509"/>
      <c r="Z3324" s="466"/>
      <c r="AA3324" s="466"/>
      <c r="AB3324" s="466"/>
      <c r="AC3324" s="466"/>
      <c r="AD3324" s="466"/>
      <c r="AE3324" s="466"/>
      <c r="AF3324" s="466"/>
      <c r="AG3324" s="466"/>
      <c r="AH3324" s="466"/>
      <c r="AI3324" s="466"/>
      <c r="AJ3324" s="466"/>
      <c r="AK3324" s="466"/>
      <c r="AL3324" s="466"/>
      <c r="AM3324" s="466"/>
      <c r="AN3324" s="466"/>
      <c r="AO3324" s="466"/>
      <c r="AP3324" s="466"/>
      <c r="AQ3324" s="466"/>
      <c r="AR3324" s="466"/>
      <c r="AS3324" s="466"/>
      <c r="AT3324" s="466"/>
      <c r="AU3324" s="466"/>
      <c r="AV3324" s="466"/>
      <c r="AW3324" s="466"/>
      <c r="AX3324" s="466"/>
      <c r="AY3324" s="466"/>
      <c r="AZ3324" s="466"/>
      <c r="BA3324" s="466"/>
      <c r="BB3324" s="466"/>
      <c r="BC3324" s="466"/>
      <c r="BD3324" s="466"/>
      <c r="BE3324" s="467"/>
      <c r="BF3324" s="467"/>
      <c r="BG3324" s="466"/>
      <c r="BH3324" s="466"/>
      <c r="BI3324" s="467"/>
      <c r="BJ3324" s="467"/>
      <c r="BK3324" s="467"/>
      <c r="BL3324" s="467"/>
      <c r="BM3324" s="467"/>
      <c r="BN3324" s="467"/>
      <c r="BO3324" s="467"/>
      <c r="BP3324" s="467"/>
      <c r="BQ3324" s="467"/>
      <c r="BR3324" s="467"/>
      <c r="BS3324" s="467"/>
      <c r="BT3324" s="467"/>
      <c r="BU3324" s="467"/>
      <c r="BV3324" s="467"/>
      <c r="BW3324" s="467"/>
      <c r="BX3324" s="769"/>
      <c r="BY3324" s="769"/>
      <c r="BZ3324" s="769"/>
      <c r="CA3324" s="769"/>
      <c r="CB3324" s="769"/>
      <c r="CC3324" s="769"/>
      <c r="CD3324" s="769"/>
      <c r="CE3324" s="769"/>
      <c r="CF3324" s="769"/>
      <c r="CG3324" s="73"/>
      <c r="CH3324" s="438"/>
      <c r="CI3324" s="416"/>
      <c r="CJ3324" s="73"/>
      <c r="CK3324" s="650"/>
      <c r="CL3324" s="499"/>
      <c r="CM3324" s="650"/>
      <c r="CR3324" s="416"/>
      <c r="CS3324" s="650"/>
      <c r="CU3324" s="73"/>
      <c r="CV3324" s="73"/>
      <c r="CW3324" s="73"/>
      <c r="CX3324" s="73"/>
      <c r="DA3324" s="650"/>
    </row>
    <row r="3325" spans="1:105" s="45" customFormat="1" x14ac:dyDescent="0.2">
      <c r="A3325" s="650"/>
      <c r="B3325" s="438"/>
      <c r="D3325" s="73"/>
      <c r="E3325" s="650"/>
      <c r="F3325" s="650"/>
      <c r="G3325" s="73"/>
      <c r="I3325" s="111"/>
      <c r="J3325" s="81"/>
      <c r="K3325" s="81"/>
      <c r="L3325" s="499"/>
      <c r="M3325" s="73"/>
      <c r="N3325" s="499"/>
      <c r="O3325" s="73"/>
      <c r="P3325" s="73"/>
      <c r="Q3325" s="73"/>
      <c r="R3325" s="176"/>
      <c r="S3325" s="176"/>
      <c r="T3325" s="176"/>
      <c r="U3325" s="400"/>
      <c r="V3325" s="400"/>
      <c r="W3325" s="732"/>
      <c r="X3325" s="167"/>
      <c r="Y3325" s="509"/>
      <c r="Z3325" s="466"/>
      <c r="AA3325" s="466"/>
      <c r="AB3325" s="466"/>
      <c r="AC3325" s="466"/>
      <c r="AD3325" s="466"/>
      <c r="AE3325" s="466"/>
      <c r="AF3325" s="466"/>
      <c r="AG3325" s="466"/>
      <c r="AH3325" s="466"/>
      <c r="AI3325" s="466"/>
      <c r="AJ3325" s="466"/>
      <c r="AK3325" s="466"/>
      <c r="AL3325" s="466"/>
      <c r="AM3325" s="466"/>
      <c r="AN3325" s="466"/>
      <c r="AO3325" s="466"/>
      <c r="AP3325" s="466"/>
      <c r="AQ3325" s="466"/>
      <c r="AR3325" s="466"/>
      <c r="AS3325" s="466"/>
      <c r="AT3325" s="466"/>
      <c r="AU3325" s="466"/>
      <c r="AV3325" s="466"/>
      <c r="AW3325" s="466"/>
      <c r="AX3325" s="466"/>
      <c r="AY3325" s="466"/>
      <c r="AZ3325" s="466"/>
      <c r="BA3325" s="466"/>
      <c r="BB3325" s="466"/>
      <c r="BC3325" s="466"/>
      <c r="BD3325" s="466"/>
      <c r="BE3325" s="467"/>
      <c r="BF3325" s="467"/>
      <c r="BG3325" s="466"/>
      <c r="BH3325" s="466"/>
      <c r="BI3325" s="467"/>
      <c r="BJ3325" s="467"/>
      <c r="BK3325" s="467"/>
      <c r="BL3325" s="467"/>
      <c r="BM3325" s="467"/>
      <c r="BN3325" s="467"/>
      <c r="BO3325" s="467"/>
      <c r="BP3325" s="467"/>
      <c r="BQ3325" s="467"/>
      <c r="BR3325" s="467"/>
      <c r="BS3325" s="467"/>
      <c r="BT3325" s="467"/>
      <c r="BU3325" s="467"/>
      <c r="BV3325" s="467"/>
      <c r="BW3325" s="467"/>
      <c r="BX3325" s="769"/>
      <c r="BY3325" s="769"/>
      <c r="BZ3325" s="769"/>
      <c r="CA3325" s="769"/>
      <c r="CB3325" s="769"/>
      <c r="CC3325" s="769"/>
      <c r="CD3325" s="769"/>
      <c r="CE3325" s="769"/>
      <c r="CF3325" s="769"/>
      <c r="CG3325" s="73"/>
      <c r="CH3325" s="438"/>
      <c r="CI3325" s="416"/>
      <c r="CJ3325" s="73"/>
      <c r="CK3325" s="650"/>
      <c r="CL3325" s="499"/>
      <c r="CM3325" s="650"/>
      <c r="CR3325" s="416"/>
      <c r="CS3325" s="650"/>
      <c r="CU3325" s="73"/>
      <c r="CV3325" s="73"/>
      <c r="CW3325" s="73"/>
      <c r="CX3325" s="73"/>
      <c r="DA3325" s="650"/>
    </row>
    <row r="3326" spans="1:105" s="45" customFormat="1" x14ac:dyDescent="0.2">
      <c r="A3326" s="650"/>
      <c r="B3326" s="438"/>
      <c r="D3326" s="73"/>
      <c r="E3326" s="650"/>
      <c r="F3326" s="650"/>
      <c r="G3326" s="73"/>
      <c r="I3326" s="111"/>
      <c r="J3326" s="81"/>
      <c r="K3326" s="81"/>
      <c r="L3326" s="499"/>
      <c r="M3326" s="73"/>
      <c r="N3326" s="499"/>
      <c r="O3326" s="73"/>
      <c r="P3326" s="73"/>
      <c r="Q3326" s="73"/>
      <c r="R3326" s="176"/>
      <c r="S3326" s="176"/>
      <c r="T3326" s="176"/>
      <c r="U3326" s="400"/>
      <c r="V3326" s="400"/>
      <c r="W3326" s="732"/>
      <c r="X3326" s="167"/>
      <c r="Y3326" s="509"/>
      <c r="Z3326" s="466"/>
      <c r="AA3326" s="466"/>
      <c r="AB3326" s="466"/>
      <c r="AC3326" s="466"/>
      <c r="AD3326" s="466"/>
      <c r="AE3326" s="466"/>
      <c r="AF3326" s="466"/>
      <c r="AG3326" s="466"/>
      <c r="AH3326" s="466"/>
      <c r="AI3326" s="466"/>
      <c r="AJ3326" s="466"/>
      <c r="AK3326" s="466"/>
      <c r="AL3326" s="466"/>
      <c r="AM3326" s="466"/>
      <c r="AN3326" s="466"/>
      <c r="AO3326" s="466"/>
      <c r="AP3326" s="466"/>
      <c r="AQ3326" s="466"/>
      <c r="AR3326" s="466"/>
      <c r="AS3326" s="466"/>
      <c r="AT3326" s="466"/>
      <c r="AU3326" s="466"/>
      <c r="AV3326" s="466"/>
      <c r="AW3326" s="466"/>
      <c r="AX3326" s="466"/>
      <c r="AY3326" s="466"/>
      <c r="AZ3326" s="466"/>
      <c r="BA3326" s="466"/>
      <c r="BB3326" s="466"/>
      <c r="BC3326" s="466"/>
      <c r="BD3326" s="466"/>
      <c r="BE3326" s="467"/>
      <c r="BF3326" s="467"/>
      <c r="BG3326" s="466"/>
      <c r="BH3326" s="466"/>
      <c r="BI3326" s="467"/>
      <c r="BJ3326" s="467"/>
      <c r="BK3326" s="467"/>
      <c r="BL3326" s="467"/>
      <c r="BM3326" s="467"/>
      <c r="BN3326" s="467"/>
      <c r="BO3326" s="467"/>
      <c r="BP3326" s="467"/>
      <c r="BQ3326" s="467"/>
      <c r="BR3326" s="467"/>
      <c r="BS3326" s="467"/>
      <c r="BT3326" s="467"/>
      <c r="BU3326" s="467"/>
      <c r="BV3326" s="467"/>
      <c r="BW3326" s="467"/>
      <c r="BX3326" s="769"/>
      <c r="BY3326" s="769"/>
      <c r="BZ3326" s="769"/>
      <c r="CA3326" s="769"/>
      <c r="CB3326" s="769"/>
      <c r="CC3326" s="769"/>
      <c r="CD3326" s="769"/>
      <c r="CE3326" s="769"/>
      <c r="CF3326" s="769"/>
      <c r="CG3326" s="73"/>
      <c r="CH3326" s="438"/>
      <c r="CI3326" s="416"/>
      <c r="CJ3326" s="73"/>
      <c r="CK3326" s="650"/>
      <c r="CL3326" s="499"/>
      <c r="CM3326" s="650"/>
      <c r="CR3326" s="416"/>
      <c r="CS3326" s="650"/>
      <c r="CU3326" s="73"/>
      <c r="CV3326" s="73"/>
      <c r="CW3326" s="73"/>
      <c r="CX3326" s="73"/>
      <c r="DA3326" s="650"/>
    </row>
    <row r="3327" spans="1:105" s="45" customFormat="1" x14ac:dyDescent="0.2">
      <c r="A3327" s="650"/>
      <c r="B3327" s="438"/>
      <c r="D3327" s="73"/>
      <c r="E3327" s="650"/>
      <c r="F3327" s="650"/>
      <c r="G3327" s="73"/>
      <c r="I3327" s="111"/>
      <c r="J3327" s="81"/>
      <c r="K3327" s="81"/>
      <c r="L3327" s="499"/>
      <c r="M3327" s="73"/>
      <c r="N3327" s="499"/>
      <c r="O3327" s="73"/>
      <c r="P3327" s="73"/>
      <c r="Q3327" s="73"/>
      <c r="R3327" s="176"/>
      <c r="S3327" s="176"/>
      <c r="T3327" s="176"/>
      <c r="U3327" s="400"/>
      <c r="V3327" s="400"/>
      <c r="W3327" s="732"/>
      <c r="X3327" s="167"/>
      <c r="Y3327" s="509"/>
      <c r="Z3327" s="466"/>
      <c r="AA3327" s="466"/>
      <c r="AB3327" s="466"/>
      <c r="AC3327" s="466"/>
      <c r="AD3327" s="466"/>
      <c r="AE3327" s="466"/>
      <c r="AF3327" s="466"/>
      <c r="AG3327" s="466"/>
      <c r="AH3327" s="466"/>
      <c r="AI3327" s="466"/>
      <c r="AJ3327" s="466"/>
      <c r="AK3327" s="466"/>
      <c r="AL3327" s="466"/>
      <c r="AM3327" s="466"/>
      <c r="AN3327" s="466"/>
      <c r="AO3327" s="466"/>
      <c r="AP3327" s="466"/>
      <c r="AQ3327" s="466"/>
      <c r="AR3327" s="466"/>
      <c r="AS3327" s="466"/>
      <c r="AT3327" s="466"/>
      <c r="AU3327" s="466"/>
      <c r="AV3327" s="466"/>
      <c r="AW3327" s="466"/>
      <c r="AX3327" s="466"/>
      <c r="AY3327" s="466"/>
      <c r="AZ3327" s="466"/>
      <c r="BA3327" s="466"/>
      <c r="BB3327" s="466"/>
      <c r="BC3327" s="466"/>
      <c r="BD3327" s="466"/>
      <c r="BE3327" s="467"/>
      <c r="BF3327" s="467"/>
      <c r="BG3327" s="466"/>
      <c r="BH3327" s="466"/>
      <c r="BI3327" s="467"/>
      <c r="BJ3327" s="467"/>
      <c r="BK3327" s="467"/>
      <c r="BL3327" s="467"/>
      <c r="BM3327" s="467"/>
      <c r="BN3327" s="467"/>
      <c r="BO3327" s="467"/>
      <c r="BP3327" s="467"/>
      <c r="BQ3327" s="467"/>
      <c r="BR3327" s="467"/>
      <c r="BS3327" s="467"/>
      <c r="BT3327" s="467"/>
      <c r="BU3327" s="467"/>
      <c r="BV3327" s="467"/>
      <c r="BW3327" s="467"/>
      <c r="BX3327" s="769"/>
      <c r="BY3327" s="769"/>
      <c r="BZ3327" s="769"/>
      <c r="CA3327" s="769"/>
      <c r="CB3327" s="769"/>
      <c r="CC3327" s="769"/>
      <c r="CD3327" s="769"/>
      <c r="CE3327" s="769"/>
      <c r="CF3327" s="769"/>
      <c r="CG3327" s="73"/>
      <c r="CH3327" s="438"/>
      <c r="CI3327" s="416"/>
      <c r="CJ3327" s="73"/>
      <c r="CK3327" s="650"/>
      <c r="CL3327" s="499"/>
      <c r="CM3327" s="650"/>
      <c r="CR3327" s="416"/>
      <c r="CS3327" s="650"/>
      <c r="CU3327" s="73"/>
      <c r="CV3327" s="73"/>
      <c r="CW3327" s="73"/>
      <c r="CX3327" s="73"/>
      <c r="DA3327" s="650"/>
    </row>
    <row r="3328" spans="1:105" s="45" customFormat="1" x14ac:dyDescent="0.2">
      <c r="A3328" s="650"/>
      <c r="B3328" s="438"/>
      <c r="D3328" s="73"/>
      <c r="E3328" s="650"/>
      <c r="F3328" s="650"/>
      <c r="G3328" s="73"/>
      <c r="I3328" s="111"/>
      <c r="J3328" s="81"/>
      <c r="K3328" s="81"/>
      <c r="L3328" s="499"/>
      <c r="M3328" s="73"/>
      <c r="N3328" s="499"/>
      <c r="O3328" s="73"/>
      <c r="P3328" s="73"/>
      <c r="Q3328" s="73"/>
      <c r="R3328" s="176"/>
      <c r="S3328" s="176"/>
      <c r="T3328" s="176"/>
      <c r="U3328" s="400"/>
      <c r="V3328" s="400"/>
      <c r="W3328" s="732"/>
      <c r="X3328" s="167"/>
      <c r="Y3328" s="509"/>
      <c r="Z3328" s="466"/>
      <c r="AA3328" s="466"/>
      <c r="AB3328" s="466"/>
      <c r="AC3328" s="466"/>
      <c r="AD3328" s="466"/>
      <c r="AE3328" s="466"/>
      <c r="AF3328" s="466"/>
      <c r="AG3328" s="466"/>
      <c r="AH3328" s="466"/>
      <c r="AI3328" s="466"/>
      <c r="AJ3328" s="466"/>
      <c r="AK3328" s="466"/>
      <c r="AL3328" s="466"/>
      <c r="AM3328" s="466"/>
      <c r="AN3328" s="466"/>
      <c r="AO3328" s="466"/>
      <c r="AP3328" s="466"/>
      <c r="AQ3328" s="466"/>
      <c r="AR3328" s="466"/>
      <c r="AS3328" s="466"/>
      <c r="AT3328" s="466"/>
      <c r="AU3328" s="466"/>
      <c r="AV3328" s="466"/>
      <c r="AW3328" s="466"/>
      <c r="AX3328" s="466"/>
      <c r="AY3328" s="466"/>
      <c r="AZ3328" s="466"/>
      <c r="BA3328" s="466"/>
      <c r="BB3328" s="466"/>
      <c r="BC3328" s="466"/>
      <c r="BD3328" s="466"/>
      <c r="BE3328" s="467"/>
      <c r="BF3328" s="467"/>
      <c r="BG3328" s="466"/>
      <c r="BH3328" s="466"/>
      <c r="BI3328" s="467"/>
      <c r="BJ3328" s="467"/>
      <c r="BK3328" s="467"/>
      <c r="BL3328" s="467"/>
      <c r="BM3328" s="467"/>
      <c r="BN3328" s="467"/>
      <c r="BO3328" s="467"/>
      <c r="BP3328" s="467"/>
      <c r="BQ3328" s="467"/>
      <c r="BR3328" s="467"/>
      <c r="BS3328" s="467"/>
      <c r="BT3328" s="467"/>
      <c r="BU3328" s="467"/>
      <c r="BV3328" s="467"/>
      <c r="BW3328" s="467"/>
      <c r="BX3328" s="769"/>
      <c r="BY3328" s="769"/>
      <c r="BZ3328" s="769"/>
      <c r="CA3328" s="769"/>
      <c r="CB3328" s="769"/>
      <c r="CC3328" s="769"/>
      <c r="CD3328" s="769"/>
      <c r="CE3328" s="769"/>
      <c r="CF3328" s="769"/>
      <c r="CG3328" s="73"/>
      <c r="CH3328" s="438"/>
      <c r="CI3328" s="416"/>
      <c r="CJ3328" s="73"/>
      <c r="CK3328" s="650"/>
      <c r="CL3328" s="499"/>
      <c r="CM3328" s="650"/>
      <c r="CR3328" s="416"/>
      <c r="CS3328" s="650"/>
      <c r="CU3328" s="73"/>
      <c r="CV3328" s="73"/>
      <c r="CW3328" s="73"/>
      <c r="CX3328" s="73"/>
      <c r="DA3328" s="650"/>
    </row>
    <row r="3329" spans="1:105" s="45" customFormat="1" x14ac:dyDescent="0.2">
      <c r="A3329" s="650"/>
      <c r="B3329" s="438"/>
      <c r="D3329" s="73"/>
      <c r="E3329" s="650"/>
      <c r="F3329" s="650"/>
      <c r="G3329" s="73"/>
      <c r="I3329" s="111"/>
      <c r="J3329" s="81"/>
      <c r="K3329" s="81"/>
      <c r="L3329" s="499"/>
      <c r="M3329" s="73"/>
      <c r="N3329" s="499"/>
      <c r="O3329" s="73"/>
      <c r="P3329" s="73"/>
      <c r="Q3329" s="73"/>
      <c r="R3329" s="176"/>
      <c r="S3329" s="176"/>
      <c r="T3329" s="176"/>
      <c r="U3329" s="400"/>
      <c r="V3329" s="400"/>
      <c r="W3329" s="732"/>
      <c r="X3329" s="167"/>
      <c r="Y3329" s="509"/>
      <c r="Z3329" s="466"/>
      <c r="AA3329" s="466"/>
      <c r="AB3329" s="466"/>
      <c r="AC3329" s="466"/>
      <c r="AD3329" s="466"/>
      <c r="AE3329" s="466"/>
      <c r="AF3329" s="466"/>
      <c r="AG3329" s="466"/>
      <c r="AH3329" s="466"/>
      <c r="AI3329" s="466"/>
      <c r="AJ3329" s="466"/>
      <c r="AK3329" s="466"/>
      <c r="AL3329" s="466"/>
      <c r="AM3329" s="466"/>
      <c r="AN3329" s="466"/>
      <c r="AO3329" s="466"/>
      <c r="AP3329" s="466"/>
      <c r="AQ3329" s="466"/>
      <c r="AR3329" s="466"/>
      <c r="AS3329" s="466"/>
      <c r="AT3329" s="466"/>
      <c r="AU3329" s="466"/>
      <c r="AV3329" s="466"/>
      <c r="AW3329" s="466"/>
      <c r="AX3329" s="466"/>
      <c r="AY3329" s="466"/>
      <c r="AZ3329" s="466"/>
      <c r="BA3329" s="466"/>
      <c r="BB3329" s="466"/>
      <c r="BC3329" s="466"/>
      <c r="BD3329" s="466"/>
      <c r="BE3329" s="467"/>
      <c r="BF3329" s="467"/>
      <c r="BG3329" s="466"/>
      <c r="BH3329" s="466"/>
      <c r="BI3329" s="467"/>
      <c r="BJ3329" s="467"/>
      <c r="BK3329" s="467"/>
      <c r="BL3329" s="467"/>
      <c r="BM3329" s="467"/>
      <c r="BN3329" s="467"/>
      <c r="BO3329" s="467"/>
      <c r="BP3329" s="467"/>
      <c r="BQ3329" s="467"/>
      <c r="BR3329" s="467"/>
      <c r="BS3329" s="467"/>
      <c r="BT3329" s="467"/>
      <c r="BU3329" s="467"/>
      <c r="BV3329" s="467"/>
      <c r="BW3329" s="467"/>
      <c r="BX3329" s="769"/>
      <c r="BY3329" s="769"/>
      <c r="BZ3329" s="769"/>
      <c r="CA3329" s="769"/>
      <c r="CB3329" s="769"/>
      <c r="CC3329" s="769"/>
      <c r="CD3329" s="769"/>
      <c r="CE3329" s="769"/>
      <c r="CF3329" s="769"/>
      <c r="CG3329" s="73"/>
      <c r="CH3329" s="438"/>
      <c r="CI3329" s="416"/>
      <c r="CJ3329" s="73"/>
      <c r="CK3329" s="650"/>
      <c r="CL3329" s="499"/>
      <c r="CM3329" s="650"/>
      <c r="CR3329" s="416"/>
      <c r="CS3329" s="650"/>
      <c r="CU3329" s="73"/>
      <c r="CV3329" s="73"/>
      <c r="CW3329" s="73"/>
      <c r="CX3329" s="73"/>
      <c r="DA3329" s="650"/>
    </row>
    <row r="3330" spans="1:105" s="45" customFormat="1" x14ac:dyDescent="0.2">
      <c r="A3330" s="650"/>
      <c r="B3330" s="438"/>
      <c r="D3330" s="73"/>
      <c r="E3330" s="650"/>
      <c r="F3330" s="650"/>
      <c r="G3330" s="73"/>
      <c r="I3330" s="111"/>
      <c r="J3330" s="81"/>
      <c r="K3330" s="81"/>
      <c r="L3330" s="499"/>
      <c r="M3330" s="73"/>
      <c r="N3330" s="499"/>
      <c r="O3330" s="73"/>
      <c r="P3330" s="73"/>
      <c r="Q3330" s="73"/>
      <c r="R3330" s="176"/>
      <c r="S3330" s="176"/>
      <c r="T3330" s="176"/>
      <c r="U3330" s="400"/>
      <c r="V3330" s="400"/>
      <c r="W3330" s="732"/>
      <c r="X3330" s="167"/>
      <c r="Y3330" s="509"/>
      <c r="Z3330" s="466"/>
      <c r="AA3330" s="466"/>
      <c r="AB3330" s="466"/>
      <c r="AC3330" s="466"/>
      <c r="AD3330" s="466"/>
      <c r="AE3330" s="466"/>
      <c r="AF3330" s="466"/>
      <c r="AG3330" s="466"/>
      <c r="AH3330" s="466"/>
      <c r="AI3330" s="466"/>
      <c r="AJ3330" s="466"/>
      <c r="AK3330" s="466"/>
      <c r="AL3330" s="466"/>
      <c r="AM3330" s="466"/>
      <c r="AN3330" s="466"/>
      <c r="AO3330" s="466"/>
      <c r="AP3330" s="466"/>
      <c r="AQ3330" s="466"/>
      <c r="AR3330" s="466"/>
      <c r="AS3330" s="466"/>
      <c r="AT3330" s="466"/>
      <c r="AU3330" s="466"/>
      <c r="AV3330" s="466"/>
      <c r="AW3330" s="466"/>
      <c r="AX3330" s="466"/>
      <c r="AY3330" s="466"/>
      <c r="AZ3330" s="466"/>
      <c r="BA3330" s="466"/>
      <c r="BB3330" s="466"/>
      <c r="BC3330" s="466"/>
      <c r="BD3330" s="466"/>
      <c r="BE3330" s="467"/>
      <c r="BF3330" s="467"/>
      <c r="BG3330" s="466"/>
      <c r="BH3330" s="466"/>
      <c r="BI3330" s="467"/>
      <c r="BJ3330" s="467"/>
      <c r="BK3330" s="467"/>
      <c r="BL3330" s="467"/>
      <c r="BM3330" s="467"/>
      <c r="BN3330" s="467"/>
      <c r="BO3330" s="467"/>
      <c r="BP3330" s="467"/>
      <c r="BQ3330" s="467"/>
      <c r="BR3330" s="467"/>
      <c r="BS3330" s="467"/>
      <c r="BT3330" s="467"/>
      <c r="BU3330" s="467"/>
      <c r="BV3330" s="467"/>
      <c r="BW3330" s="467"/>
      <c r="BX3330" s="769"/>
      <c r="BY3330" s="769"/>
      <c r="BZ3330" s="769"/>
      <c r="CA3330" s="769"/>
      <c r="CB3330" s="769"/>
      <c r="CC3330" s="769"/>
      <c r="CD3330" s="769"/>
      <c r="CE3330" s="769"/>
      <c r="CF3330" s="769"/>
      <c r="CG3330" s="73"/>
      <c r="CH3330" s="438"/>
      <c r="CI3330" s="416"/>
      <c r="CJ3330" s="73"/>
      <c r="CK3330" s="650"/>
      <c r="CL3330" s="499"/>
      <c r="CM3330" s="650"/>
      <c r="CR3330" s="416"/>
      <c r="CS3330" s="650"/>
      <c r="CU3330" s="73"/>
      <c r="CV3330" s="73"/>
      <c r="CW3330" s="73"/>
      <c r="CX3330" s="73"/>
      <c r="DA3330" s="650"/>
    </row>
    <row r="3331" spans="1:105" s="45" customFormat="1" x14ac:dyDescent="0.2">
      <c r="A3331" s="650"/>
      <c r="B3331" s="438"/>
      <c r="D3331" s="73"/>
      <c r="E3331" s="650"/>
      <c r="F3331" s="650"/>
      <c r="G3331" s="73"/>
      <c r="I3331" s="111"/>
      <c r="J3331" s="81"/>
      <c r="K3331" s="81"/>
      <c r="L3331" s="499"/>
      <c r="M3331" s="73"/>
      <c r="N3331" s="499"/>
      <c r="O3331" s="73"/>
      <c r="P3331" s="73"/>
      <c r="Q3331" s="73"/>
      <c r="R3331" s="176"/>
      <c r="S3331" s="176"/>
      <c r="T3331" s="176"/>
      <c r="U3331" s="400"/>
      <c r="V3331" s="400"/>
      <c r="W3331" s="732"/>
      <c r="X3331" s="167"/>
      <c r="Y3331" s="509"/>
      <c r="Z3331" s="466"/>
      <c r="AA3331" s="466"/>
      <c r="AB3331" s="466"/>
      <c r="AC3331" s="466"/>
      <c r="AD3331" s="466"/>
      <c r="AE3331" s="466"/>
      <c r="AF3331" s="466"/>
      <c r="AG3331" s="466"/>
      <c r="AH3331" s="466"/>
      <c r="AI3331" s="466"/>
      <c r="AJ3331" s="466"/>
      <c r="AK3331" s="466"/>
      <c r="AL3331" s="466"/>
      <c r="AM3331" s="466"/>
      <c r="AN3331" s="466"/>
      <c r="AO3331" s="466"/>
      <c r="AP3331" s="466"/>
      <c r="AQ3331" s="466"/>
      <c r="AR3331" s="466"/>
      <c r="AS3331" s="466"/>
      <c r="AT3331" s="466"/>
      <c r="AU3331" s="466"/>
      <c r="AV3331" s="466"/>
      <c r="AW3331" s="466"/>
      <c r="AX3331" s="466"/>
      <c r="AY3331" s="466"/>
      <c r="AZ3331" s="466"/>
      <c r="BA3331" s="466"/>
      <c r="BB3331" s="466"/>
      <c r="BC3331" s="466"/>
      <c r="BD3331" s="466"/>
      <c r="BE3331" s="467"/>
      <c r="BF3331" s="467"/>
      <c r="BG3331" s="466"/>
      <c r="BH3331" s="466"/>
      <c r="BI3331" s="467"/>
      <c r="BJ3331" s="467"/>
      <c r="BK3331" s="467"/>
      <c r="BL3331" s="467"/>
      <c r="BM3331" s="467"/>
      <c r="BN3331" s="467"/>
      <c r="BO3331" s="467"/>
      <c r="BP3331" s="467"/>
      <c r="BQ3331" s="467"/>
      <c r="BR3331" s="467"/>
      <c r="BS3331" s="467"/>
      <c r="BT3331" s="467"/>
      <c r="BU3331" s="467"/>
      <c r="BV3331" s="467"/>
      <c r="BW3331" s="467"/>
      <c r="BX3331" s="769"/>
      <c r="BY3331" s="769"/>
      <c r="BZ3331" s="769"/>
      <c r="CA3331" s="769"/>
      <c r="CB3331" s="769"/>
      <c r="CC3331" s="769"/>
      <c r="CD3331" s="769"/>
      <c r="CE3331" s="769"/>
      <c r="CF3331" s="769"/>
      <c r="CG3331" s="73"/>
      <c r="CH3331" s="438"/>
      <c r="CI3331" s="416"/>
      <c r="CJ3331" s="73"/>
      <c r="CK3331" s="650"/>
      <c r="CL3331" s="499"/>
      <c r="CM3331" s="650"/>
      <c r="CR3331" s="416"/>
      <c r="CS3331" s="650"/>
      <c r="CU3331" s="73"/>
      <c r="CV3331" s="73"/>
      <c r="CW3331" s="73"/>
      <c r="CX3331" s="73"/>
      <c r="DA3331" s="650"/>
    </row>
    <row r="3332" spans="1:105" s="45" customFormat="1" x14ac:dyDescent="0.2">
      <c r="A3332" s="650"/>
      <c r="B3332" s="438"/>
      <c r="D3332" s="73"/>
      <c r="E3332" s="650"/>
      <c r="F3332" s="650"/>
      <c r="G3332" s="73"/>
      <c r="I3332" s="111"/>
      <c r="J3332" s="81"/>
      <c r="K3332" s="81"/>
      <c r="L3332" s="499"/>
      <c r="M3332" s="73"/>
      <c r="N3332" s="499"/>
      <c r="O3332" s="73"/>
      <c r="P3332" s="73"/>
      <c r="Q3332" s="73"/>
      <c r="R3332" s="176"/>
      <c r="S3332" s="176"/>
      <c r="T3332" s="176"/>
      <c r="U3332" s="400"/>
      <c r="V3332" s="400"/>
      <c r="W3332" s="732"/>
      <c r="X3332" s="167"/>
      <c r="Y3332" s="509"/>
      <c r="Z3332" s="466"/>
      <c r="AA3332" s="466"/>
      <c r="AB3332" s="466"/>
      <c r="AC3332" s="466"/>
      <c r="AD3332" s="466"/>
      <c r="AE3332" s="466"/>
      <c r="AF3332" s="466"/>
      <c r="AG3332" s="466"/>
      <c r="AH3332" s="466"/>
      <c r="AI3332" s="466"/>
      <c r="AJ3332" s="466"/>
      <c r="AK3332" s="466"/>
      <c r="AL3332" s="466"/>
      <c r="AM3332" s="466"/>
      <c r="AN3332" s="466"/>
      <c r="AO3332" s="466"/>
      <c r="AP3332" s="466"/>
      <c r="AQ3332" s="466"/>
      <c r="AR3332" s="466"/>
      <c r="AS3332" s="466"/>
      <c r="AT3332" s="466"/>
      <c r="AU3332" s="466"/>
      <c r="AV3332" s="466"/>
      <c r="AW3332" s="466"/>
      <c r="AX3332" s="466"/>
      <c r="AY3332" s="466"/>
      <c r="AZ3332" s="466"/>
      <c r="BA3332" s="466"/>
      <c r="BB3332" s="466"/>
      <c r="BC3332" s="466"/>
      <c r="BD3332" s="466"/>
      <c r="BE3332" s="467"/>
      <c r="BF3332" s="467"/>
      <c r="BG3332" s="466"/>
      <c r="BH3332" s="466"/>
      <c r="BI3332" s="467"/>
      <c r="BJ3332" s="467"/>
      <c r="BK3332" s="467"/>
      <c r="BL3332" s="467"/>
      <c r="BM3332" s="467"/>
      <c r="BN3332" s="467"/>
      <c r="BO3332" s="467"/>
      <c r="BP3332" s="467"/>
      <c r="BQ3332" s="467"/>
      <c r="BR3332" s="467"/>
      <c r="BS3332" s="467"/>
      <c r="BT3332" s="467"/>
      <c r="BU3332" s="467"/>
      <c r="BV3332" s="467"/>
      <c r="BW3332" s="467"/>
      <c r="BX3332" s="769"/>
      <c r="BY3332" s="769"/>
      <c r="BZ3332" s="769"/>
      <c r="CA3332" s="769"/>
      <c r="CB3332" s="769"/>
      <c r="CC3332" s="769"/>
      <c r="CD3332" s="769"/>
      <c r="CE3332" s="769"/>
      <c r="CF3332" s="769"/>
      <c r="CG3332" s="73"/>
      <c r="CH3332" s="438"/>
      <c r="CI3332" s="416"/>
      <c r="CJ3332" s="73"/>
      <c r="CK3332" s="650"/>
      <c r="CL3332" s="499"/>
      <c r="CM3332" s="650"/>
      <c r="CR3332" s="416"/>
      <c r="CS3332" s="650"/>
      <c r="CU3332" s="73"/>
      <c r="CV3332" s="73"/>
      <c r="CW3332" s="73"/>
      <c r="CX3332" s="73"/>
      <c r="DA3332" s="650"/>
    </row>
    <row r="3333" spans="1:105" s="45" customFormat="1" x14ac:dyDescent="0.2">
      <c r="A3333" s="650"/>
      <c r="B3333" s="438"/>
      <c r="D3333" s="73"/>
      <c r="E3333" s="650"/>
      <c r="F3333" s="650"/>
      <c r="G3333" s="73"/>
      <c r="I3333" s="111"/>
      <c r="J3333" s="81"/>
      <c r="K3333" s="81"/>
      <c r="L3333" s="499"/>
      <c r="M3333" s="73"/>
      <c r="N3333" s="499"/>
      <c r="O3333" s="73"/>
      <c r="P3333" s="73"/>
      <c r="Q3333" s="73"/>
      <c r="R3333" s="176"/>
      <c r="S3333" s="176"/>
      <c r="T3333" s="176"/>
      <c r="U3333" s="400"/>
      <c r="V3333" s="400"/>
      <c r="W3333" s="732"/>
      <c r="X3333" s="167"/>
      <c r="Y3333" s="509"/>
      <c r="Z3333" s="466"/>
      <c r="AA3333" s="466"/>
      <c r="AB3333" s="466"/>
      <c r="AC3333" s="466"/>
      <c r="AD3333" s="466"/>
      <c r="AE3333" s="466"/>
      <c r="AF3333" s="466"/>
      <c r="AG3333" s="466"/>
      <c r="AH3333" s="466"/>
      <c r="AI3333" s="466"/>
      <c r="AJ3333" s="466"/>
      <c r="AK3333" s="466"/>
      <c r="AL3333" s="466"/>
      <c r="AM3333" s="466"/>
      <c r="AN3333" s="466"/>
      <c r="AO3333" s="466"/>
      <c r="AP3333" s="466"/>
      <c r="AQ3333" s="466"/>
      <c r="AR3333" s="466"/>
      <c r="AS3333" s="466"/>
      <c r="AT3333" s="466"/>
      <c r="AU3333" s="466"/>
      <c r="AV3333" s="466"/>
      <c r="AW3333" s="466"/>
      <c r="AX3333" s="466"/>
      <c r="AY3333" s="466"/>
      <c r="AZ3333" s="466"/>
      <c r="BA3333" s="466"/>
      <c r="BB3333" s="466"/>
      <c r="BC3333" s="466"/>
      <c r="BD3333" s="466"/>
      <c r="BE3333" s="467"/>
      <c r="BF3333" s="467"/>
      <c r="BG3333" s="466"/>
      <c r="BH3333" s="466"/>
      <c r="BI3333" s="467"/>
      <c r="BJ3333" s="467"/>
      <c r="BK3333" s="467"/>
      <c r="BL3333" s="467"/>
      <c r="BM3333" s="467"/>
      <c r="BN3333" s="467"/>
      <c r="BO3333" s="467"/>
      <c r="BP3333" s="467"/>
      <c r="BQ3333" s="467"/>
      <c r="BR3333" s="467"/>
      <c r="BS3333" s="467"/>
      <c r="BT3333" s="467"/>
      <c r="BU3333" s="467"/>
      <c r="BV3333" s="467"/>
      <c r="BW3333" s="467"/>
      <c r="BX3333" s="769"/>
      <c r="BY3333" s="769"/>
      <c r="BZ3333" s="769"/>
      <c r="CA3333" s="769"/>
      <c r="CB3333" s="769"/>
      <c r="CC3333" s="769"/>
      <c r="CD3333" s="769"/>
      <c r="CE3333" s="769"/>
      <c r="CF3333" s="769"/>
      <c r="CG3333" s="73"/>
      <c r="CH3333" s="438"/>
      <c r="CI3333" s="416"/>
      <c r="CJ3333" s="73"/>
      <c r="CK3333" s="650"/>
      <c r="CL3333" s="499"/>
      <c r="CM3333" s="650"/>
      <c r="CR3333" s="416"/>
      <c r="CS3333" s="650"/>
      <c r="CU3333" s="73"/>
      <c r="CV3333" s="73"/>
      <c r="CW3333" s="73"/>
      <c r="CX3333" s="73"/>
      <c r="DA3333" s="650"/>
    </row>
    <row r="3334" spans="1:105" s="45" customFormat="1" x14ac:dyDescent="0.2">
      <c r="A3334" s="650"/>
      <c r="B3334" s="438"/>
      <c r="D3334" s="73"/>
      <c r="E3334" s="650"/>
      <c r="F3334" s="650"/>
      <c r="G3334" s="73"/>
      <c r="I3334" s="111"/>
      <c r="J3334" s="81"/>
      <c r="K3334" s="81"/>
      <c r="L3334" s="499"/>
      <c r="M3334" s="73"/>
      <c r="N3334" s="499"/>
      <c r="O3334" s="73"/>
      <c r="P3334" s="73"/>
      <c r="Q3334" s="73"/>
      <c r="R3334" s="176"/>
      <c r="S3334" s="176"/>
      <c r="T3334" s="176"/>
      <c r="U3334" s="400"/>
      <c r="V3334" s="400"/>
      <c r="W3334" s="732"/>
      <c r="X3334" s="167"/>
      <c r="Y3334" s="509"/>
      <c r="Z3334" s="466"/>
      <c r="AA3334" s="466"/>
      <c r="AB3334" s="466"/>
      <c r="AC3334" s="466"/>
      <c r="AD3334" s="466"/>
      <c r="AE3334" s="466"/>
      <c r="AF3334" s="466"/>
      <c r="AG3334" s="466"/>
      <c r="AH3334" s="466"/>
      <c r="AI3334" s="466"/>
      <c r="AJ3334" s="466"/>
      <c r="AK3334" s="466"/>
      <c r="AL3334" s="466"/>
      <c r="AM3334" s="466"/>
      <c r="AN3334" s="466"/>
      <c r="AO3334" s="466"/>
      <c r="AP3334" s="466"/>
      <c r="AQ3334" s="466"/>
      <c r="AR3334" s="466"/>
      <c r="AS3334" s="466"/>
      <c r="AT3334" s="466"/>
      <c r="AU3334" s="466"/>
      <c r="AV3334" s="466"/>
      <c r="AW3334" s="466"/>
      <c r="AX3334" s="466"/>
      <c r="AY3334" s="466"/>
      <c r="AZ3334" s="466"/>
      <c r="BA3334" s="466"/>
      <c r="BB3334" s="466"/>
      <c r="BC3334" s="466"/>
      <c r="BD3334" s="466"/>
      <c r="BE3334" s="467"/>
      <c r="BF3334" s="467"/>
      <c r="BG3334" s="466"/>
      <c r="BH3334" s="466"/>
      <c r="BI3334" s="467"/>
      <c r="BJ3334" s="467"/>
      <c r="BK3334" s="467"/>
      <c r="BL3334" s="467"/>
      <c r="BM3334" s="467"/>
      <c r="BN3334" s="467"/>
      <c r="BO3334" s="467"/>
      <c r="BP3334" s="467"/>
      <c r="BQ3334" s="467"/>
      <c r="BR3334" s="467"/>
      <c r="BS3334" s="467"/>
      <c r="BT3334" s="467"/>
      <c r="BU3334" s="467"/>
      <c r="BV3334" s="467"/>
      <c r="BW3334" s="467"/>
      <c r="BX3334" s="769"/>
      <c r="BY3334" s="769"/>
      <c r="BZ3334" s="769"/>
      <c r="CA3334" s="769"/>
      <c r="CB3334" s="769"/>
      <c r="CC3334" s="769"/>
      <c r="CD3334" s="769"/>
      <c r="CE3334" s="769"/>
      <c r="CF3334" s="769"/>
      <c r="CG3334" s="73"/>
      <c r="CH3334" s="438"/>
      <c r="CI3334" s="416"/>
      <c r="CJ3334" s="73"/>
      <c r="CK3334" s="650"/>
      <c r="CL3334" s="499"/>
      <c r="CM3334" s="650"/>
      <c r="CR3334" s="416"/>
      <c r="CS3334" s="650"/>
      <c r="CU3334" s="73"/>
      <c r="CV3334" s="73"/>
      <c r="CW3334" s="73"/>
      <c r="CX3334" s="73"/>
      <c r="DA3334" s="650"/>
    </row>
    <row r="3335" spans="1:105" s="45" customFormat="1" x14ac:dyDescent="0.2">
      <c r="A3335" s="650"/>
      <c r="B3335" s="438"/>
      <c r="D3335" s="73"/>
      <c r="E3335" s="650"/>
      <c r="F3335" s="650"/>
      <c r="G3335" s="73"/>
      <c r="I3335" s="111"/>
      <c r="J3335" s="81"/>
      <c r="K3335" s="81"/>
      <c r="L3335" s="499"/>
      <c r="M3335" s="73"/>
      <c r="N3335" s="499"/>
      <c r="O3335" s="73"/>
      <c r="P3335" s="73"/>
      <c r="Q3335" s="73"/>
      <c r="R3335" s="176"/>
      <c r="S3335" s="176"/>
      <c r="T3335" s="176"/>
      <c r="U3335" s="400"/>
      <c r="V3335" s="400"/>
      <c r="W3335" s="732"/>
      <c r="X3335" s="167"/>
      <c r="Y3335" s="509"/>
      <c r="Z3335" s="466"/>
      <c r="AA3335" s="466"/>
      <c r="AB3335" s="466"/>
      <c r="AC3335" s="466"/>
      <c r="AD3335" s="466"/>
      <c r="AE3335" s="466"/>
      <c r="AF3335" s="466"/>
      <c r="AG3335" s="466"/>
      <c r="AH3335" s="466"/>
      <c r="AI3335" s="466"/>
      <c r="AJ3335" s="466"/>
      <c r="AK3335" s="466"/>
      <c r="AL3335" s="466"/>
      <c r="AM3335" s="466"/>
      <c r="AN3335" s="466"/>
      <c r="AO3335" s="466"/>
      <c r="AP3335" s="466"/>
      <c r="AQ3335" s="466"/>
      <c r="AR3335" s="466"/>
      <c r="AS3335" s="466"/>
      <c r="AT3335" s="466"/>
      <c r="AU3335" s="466"/>
      <c r="AV3335" s="466"/>
      <c r="AW3335" s="466"/>
      <c r="AX3335" s="466"/>
      <c r="AY3335" s="466"/>
      <c r="AZ3335" s="466"/>
      <c r="BA3335" s="466"/>
      <c r="BB3335" s="466"/>
      <c r="BC3335" s="466"/>
      <c r="BD3335" s="466"/>
      <c r="BE3335" s="467"/>
      <c r="BF3335" s="467"/>
      <c r="BG3335" s="466"/>
      <c r="BH3335" s="466"/>
      <c r="BI3335" s="467"/>
      <c r="BJ3335" s="467"/>
      <c r="BK3335" s="467"/>
      <c r="BL3335" s="467"/>
      <c r="BM3335" s="467"/>
      <c r="BN3335" s="467"/>
      <c r="BO3335" s="467"/>
      <c r="BP3335" s="467"/>
      <c r="BQ3335" s="467"/>
      <c r="BR3335" s="467"/>
      <c r="BS3335" s="467"/>
      <c r="BT3335" s="467"/>
      <c r="BU3335" s="467"/>
      <c r="BV3335" s="467"/>
      <c r="BW3335" s="467"/>
      <c r="BX3335" s="769"/>
      <c r="BY3335" s="769"/>
      <c r="BZ3335" s="769"/>
      <c r="CA3335" s="769"/>
      <c r="CB3335" s="769"/>
      <c r="CC3335" s="769"/>
      <c r="CD3335" s="769"/>
      <c r="CE3335" s="769"/>
      <c r="CF3335" s="769"/>
      <c r="CG3335" s="73"/>
      <c r="CH3335" s="438"/>
      <c r="CI3335" s="416"/>
      <c r="CJ3335" s="73"/>
      <c r="CK3335" s="650"/>
      <c r="CL3335" s="499"/>
      <c r="CM3335" s="650"/>
      <c r="CR3335" s="416"/>
      <c r="CS3335" s="650"/>
      <c r="CU3335" s="73"/>
      <c r="CV3335" s="73"/>
      <c r="CW3335" s="73"/>
      <c r="CX3335" s="73"/>
      <c r="DA3335" s="650"/>
    </row>
    <row r="3336" spans="1:105" s="45" customFormat="1" x14ac:dyDescent="0.2">
      <c r="A3336" s="650"/>
      <c r="B3336" s="438"/>
      <c r="D3336" s="73"/>
      <c r="E3336" s="650"/>
      <c r="F3336" s="650"/>
      <c r="G3336" s="73"/>
      <c r="I3336" s="111"/>
      <c r="J3336" s="81"/>
      <c r="K3336" s="81"/>
      <c r="L3336" s="499"/>
      <c r="M3336" s="73"/>
      <c r="N3336" s="499"/>
      <c r="O3336" s="73"/>
      <c r="P3336" s="73"/>
      <c r="Q3336" s="73"/>
      <c r="R3336" s="176"/>
      <c r="S3336" s="176"/>
      <c r="T3336" s="176"/>
      <c r="U3336" s="400"/>
      <c r="V3336" s="400"/>
      <c r="W3336" s="732"/>
      <c r="X3336" s="167"/>
      <c r="Y3336" s="509"/>
      <c r="Z3336" s="466"/>
      <c r="AA3336" s="466"/>
      <c r="AB3336" s="466"/>
      <c r="AC3336" s="466"/>
      <c r="AD3336" s="466"/>
      <c r="AE3336" s="466"/>
      <c r="AF3336" s="466"/>
      <c r="AG3336" s="466"/>
      <c r="AH3336" s="466"/>
      <c r="AI3336" s="466"/>
      <c r="AJ3336" s="466"/>
      <c r="AK3336" s="466"/>
      <c r="AL3336" s="466"/>
      <c r="AM3336" s="466"/>
      <c r="AN3336" s="466"/>
      <c r="AO3336" s="466"/>
      <c r="AP3336" s="466"/>
      <c r="AQ3336" s="466"/>
      <c r="AR3336" s="466"/>
      <c r="AS3336" s="466"/>
      <c r="AT3336" s="466"/>
      <c r="AU3336" s="466"/>
      <c r="AV3336" s="466"/>
      <c r="AW3336" s="466"/>
      <c r="AX3336" s="466"/>
      <c r="AY3336" s="466"/>
      <c r="AZ3336" s="466"/>
      <c r="BA3336" s="466"/>
      <c r="BB3336" s="466"/>
      <c r="BC3336" s="466"/>
      <c r="BD3336" s="466"/>
      <c r="BE3336" s="467"/>
      <c r="BF3336" s="467"/>
      <c r="BG3336" s="466"/>
      <c r="BH3336" s="466"/>
      <c r="BI3336" s="467"/>
      <c r="BJ3336" s="467"/>
      <c r="BK3336" s="467"/>
      <c r="BL3336" s="467"/>
      <c r="BM3336" s="467"/>
      <c r="BN3336" s="467"/>
      <c r="BO3336" s="467"/>
      <c r="BP3336" s="467"/>
      <c r="BQ3336" s="467"/>
      <c r="BR3336" s="467"/>
      <c r="BS3336" s="467"/>
      <c r="BT3336" s="467"/>
      <c r="BU3336" s="467"/>
      <c r="BV3336" s="467"/>
      <c r="BW3336" s="467"/>
      <c r="BX3336" s="769"/>
      <c r="BY3336" s="769"/>
      <c r="BZ3336" s="769"/>
      <c r="CA3336" s="769"/>
      <c r="CB3336" s="769"/>
      <c r="CC3336" s="769"/>
      <c r="CD3336" s="769"/>
      <c r="CE3336" s="769"/>
      <c r="CF3336" s="769"/>
      <c r="CG3336" s="73"/>
      <c r="CH3336" s="438"/>
      <c r="CI3336" s="416"/>
      <c r="CJ3336" s="73"/>
      <c r="CK3336" s="650"/>
      <c r="CL3336" s="499"/>
      <c r="CM3336" s="650"/>
      <c r="CR3336" s="416"/>
      <c r="CS3336" s="650"/>
      <c r="CU3336" s="73"/>
      <c r="CV3336" s="73"/>
      <c r="CW3336" s="73"/>
      <c r="CX3336" s="73"/>
      <c r="DA3336" s="650"/>
    </row>
    <row r="3337" spans="1:105" s="45" customFormat="1" x14ac:dyDescent="0.2">
      <c r="A3337" s="650"/>
      <c r="B3337" s="438"/>
      <c r="D3337" s="73"/>
      <c r="E3337" s="650"/>
      <c r="F3337" s="650"/>
      <c r="G3337" s="73"/>
      <c r="I3337" s="111"/>
      <c r="J3337" s="81"/>
      <c r="K3337" s="81"/>
      <c r="L3337" s="499"/>
      <c r="M3337" s="73"/>
      <c r="N3337" s="499"/>
      <c r="O3337" s="73"/>
      <c r="P3337" s="73"/>
      <c r="Q3337" s="73"/>
      <c r="R3337" s="176"/>
      <c r="S3337" s="176"/>
      <c r="T3337" s="176"/>
      <c r="U3337" s="400"/>
      <c r="V3337" s="400"/>
      <c r="W3337" s="732"/>
      <c r="X3337" s="167"/>
      <c r="Y3337" s="509"/>
      <c r="Z3337" s="466"/>
      <c r="AA3337" s="466"/>
      <c r="AB3337" s="466"/>
      <c r="AC3337" s="466"/>
      <c r="AD3337" s="466"/>
      <c r="AE3337" s="466"/>
      <c r="AF3337" s="466"/>
      <c r="AG3337" s="466"/>
      <c r="AH3337" s="466"/>
      <c r="AI3337" s="466"/>
      <c r="AJ3337" s="466"/>
      <c r="AK3337" s="466"/>
      <c r="AL3337" s="466"/>
      <c r="AM3337" s="466"/>
      <c r="AN3337" s="466"/>
      <c r="AO3337" s="466"/>
      <c r="AP3337" s="466"/>
      <c r="AQ3337" s="466"/>
      <c r="AR3337" s="466"/>
      <c r="AS3337" s="466"/>
      <c r="AT3337" s="466"/>
      <c r="AU3337" s="466"/>
      <c r="AV3337" s="466"/>
      <c r="AW3337" s="466"/>
      <c r="AX3337" s="466"/>
      <c r="AY3337" s="466"/>
      <c r="AZ3337" s="466"/>
      <c r="BA3337" s="466"/>
      <c r="BB3337" s="466"/>
      <c r="BC3337" s="466"/>
      <c r="BD3337" s="466"/>
      <c r="BE3337" s="467"/>
      <c r="BF3337" s="467"/>
      <c r="BG3337" s="466"/>
      <c r="BH3337" s="466"/>
      <c r="BI3337" s="467"/>
      <c r="BJ3337" s="467"/>
      <c r="BK3337" s="467"/>
      <c r="BL3337" s="467"/>
      <c r="BM3337" s="467"/>
      <c r="BN3337" s="467"/>
      <c r="BO3337" s="467"/>
      <c r="BP3337" s="467"/>
      <c r="BQ3337" s="467"/>
      <c r="BR3337" s="467"/>
      <c r="BS3337" s="467"/>
      <c r="BT3337" s="467"/>
      <c r="BU3337" s="467"/>
      <c r="BV3337" s="467"/>
      <c r="BW3337" s="467"/>
      <c r="BX3337" s="769"/>
      <c r="BY3337" s="769"/>
      <c r="BZ3337" s="769"/>
      <c r="CA3337" s="769"/>
      <c r="CB3337" s="769"/>
      <c r="CC3337" s="769"/>
      <c r="CD3337" s="769"/>
      <c r="CE3337" s="769"/>
      <c r="CF3337" s="769"/>
      <c r="CG3337" s="73"/>
      <c r="CH3337" s="438"/>
      <c r="CI3337" s="416"/>
      <c r="CJ3337" s="73"/>
      <c r="CK3337" s="650"/>
      <c r="CL3337" s="499"/>
      <c r="CM3337" s="650"/>
      <c r="CR3337" s="416"/>
      <c r="CS3337" s="650"/>
      <c r="CU3337" s="73"/>
      <c r="CV3337" s="73"/>
      <c r="CW3337" s="73"/>
      <c r="CX3337" s="73"/>
      <c r="DA3337" s="650"/>
    </row>
    <row r="3338" spans="1:105" s="45" customFormat="1" x14ac:dyDescent="0.2">
      <c r="A3338" s="650"/>
      <c r="B3338" s="438"/>
      <c r="D3338" s="73"/>
      <c r="E3338" s="650"/>
      <c r="F3338" s="650"/>
      <c r="G3338" s="73"/>
      <c r="I3338" s="111"/>
      <c r="J3338" s="81"/>
      <c r="K3338" s="81"/>
      <c r="L3338" s="499"/>
      <c r="M3338" s="73"/>
      <c r="N3338" s="499"/>
      <c r="O3338" s="73"/>
      <c r="P3338" s="73"/>
      <c r="Q3338" s="73"/>
      <c r="R3338" s="176"/>
      <c r="S3338" s="176"/>
      <c r="T3338" s="176"/>
      <c r="U3338" s="400"/>
      <c r="V3338" s="400"/>
      <c r="W3338" s="732"/>
      <c r="X3338" s="167"/>
      <c r="Y3338" s="509"/>
      <c r="Z3338" s="466"/>
      <c r="AA3338" s="466"/>
      <c r="AB3338" s="466"/>
      <c r="AC3338" s="466"/>
      <c r="AD3338" s="466"/>
      <c r="AE3338" s="466"/>
      <c r="AF3338" s="466"/>
      <c r="AG3338" s="466"/>
      <c r="AH3338" s="466"/>
      <c r="AI3338" s="466"/>
      <c r="AJ3338" s="466"/>
      <c r="AK3338" s="466"/>
      <c r="AL3338" s="466"/>
      <c r="AM3338" s="466"/>
      <c r="AN3338" s="466"/>
      <c r="AO3338" s="466"/>
      <c r="AP3338" s="466"/>
      <c r="AQ3338" s="466"/>
      <c r="AR3338" s="466"/>
      <c r="AS3338" s="466"/>
      <c r="AT3338" s="466"/>
      <c r="AU3338" s="466"/>
      <c r="AV3338" s="466"/>
      <c r="AW3338" s="466"/>
      <c r="AX3338" s="466"/>
      <c r="AY3338" s="466"/>
      <c r="AZ3338" s="466"/>
      <c r="BA3338" s="466"/>
      <c r="BB3338" s="466"/>
      <c r="BC3338" s="466"/>
      <c r="BD3338" s="466"/>
      <c r="BE3338" s="467"/>
      <c r="BF3338" s="467"/>
      <c r="BG3338" s="466"/>
      <c r="BH3338" s="466"/>
      <c r="BI3338" s="467"/>
      <c r="BJ3338" s="467"/>
      <c r="BK3338" s="467"/>
      <c r="BL3338" s="467"/>
      <c r="BM3338" s="467"/>
      <c r="BN3338" s="467"/>
      <c r="BO3338" s="467"/>
      <c r="BP3338" s="467"/>
      <c r="BQ3338" s="467"/>
      <c r="BR3338" s="467"/>
      <c r="BS3338" s="467"/>
      <c r="BT3338" s="467"/>
      <c r="BU3338" s="467"/>
      <c r="BV3338" s="467"/>
      <c r="BW3338" s="467"/>
      <c r="BX3338" s="769"/>
      <c r="BY3338" s="769"/>
      <c r="BZ3338" s="769"/>
      <c r="CA3338" s="769"/>
      <c r="CB3338" s="769"/>
      <c r="CC3338" s="769"/>
      <c r="CD3338" s="769"/>
      <c r="CE3338" s="769"/>
      <c r="CF3338" s="769"/>
      <c r="CG3338" s="73"/>
      <c r="CH3338" s="438"/>
      <c r="CI3338" s="416"/>
      <c r="CJ3338" s="73"/>
      <c r="CK3338" s="650"/>
      <c r="CL3338" s="499"/>
      <c r="CM3338" s="650"/>
      <c r="CR3338" s="416"/>
      <c r="CS3338" s="650"/>
      <c r="CU3338" s="73"/>
      <c r="CV3338" s="73"/>
      <c r="CW3338" s="73"/>
      <c r="CX3338" s="73"/>
      <c r="DA3338" s="650"/>
    </row>
    <row r="3339" spans="1:105" s="45" customFormat="1" x14ac:dyDescent="0.2">
      <c r="A3339" s="650"/>
      <c r="B3339" s="438"/>
      <c r="D3339" s="73"/>
      <c r="E3339" s="650"/>
      <c r="F3339" s="650"/>
      <c r="G3339" s="73"/>
      <c r="I3339" s="111"/>
      <c r="J3339" s="81"/>
      <c r="K3339" s="81"/>
      <c r="L3339" s="499"/>
      <c r="M3339" s="73"/>
      <c r="N3339" s="499"/>
      <c r="O3339" s="73"/>
      <c r="P3339" s="73"/>
      <c r="Q3339" s="73"/>
      <c r="R3339" s="176"/>
      <c r="S3339" s="176"/>
      <c r="T3339" s="176"/>
      <c r="U3339" s="400"/>
      <c r="V3339" s="400"/>
      <c r="W3339" s="732"/>
      <c r="X3339" s="167"/>
      <c r="Y3339" s="509"/>
      <c r="Z3339" s="466"/>
      <c r="AA3339" s="466"/>
      <c r="AB3339" s="466"/>
      <c r="AC3339" s="466"/>
      <c r="AD3339" s="466"/>
      <c r="AE3339" s="466"/>
      <c r="AF3339" s="466"/>
      <c r="AG3339" s="466"/>
      <c r="AH3339" s="466"/>
      <c r="AI3339" s="466"/>
      <c r="AJ3339" s="466"/>
      <c r="AK3339" s="466"/>
      <c r="AL3339" s="466"/>
      <c r="AM3339" s="466"/>
      <c r="AN3339" s="466"/>
      <c r="AO3339" s="466"/>
      <c r="AP3339" s="466"/>
      <c r="AQ3339" s="466"/>
      <c r="AR3339" s="466"/>
      <c r="AS3339" s="466"/>
      <c r="AT3339" s="466"/>
      <c r="AU3339" s="466"/>
      <c r="AV3339" s="466"/>
      <c r="AW3339" s="466"/>
      <c r="AX3339" s="466"/>
      <c r="AY3339" s="466"/>
      <c r="AZ3339" s="466"/>
      <c r="BA3339" s="466"/>
      <c r="BB3339" s="466"/>
      <c r="BC3339" s="466"/>
      <c r="BD3339" s="466"/>
      <c r="BE3339" s="467"/>
      <c r="BF3339" s="467"/>
      <c r="BG3339" s="466"/>
      <c r="BH3339" s="466"/>
      <c r="BI3339" s="467"/>
      <c r="BJ3339" s="467"/>
      <c r="BK3339" s="467"/>
      <c r="BL3339" s="467"/>
      <c r="BM3339" s="467"/>
      <c r="BN3339" s="467"/>
      <c r="BO3339" s="467"/>
      <c r="BP3339" s="467"/>
      <c r="BQ3339" s="467"/>
      <c r="BR3339" s="467"/>
      <c r="BS3339" s="467"/>
      <c r="BT3339" s="467"/>
      <c r="BU3339" s="467"/>
      <c r="BV3339" s="467"/>
      <c r="BW3339" s="467"/>
      <c r="BX3339" s="769"/>
      <c r="BY3339" s="769"/>
      <c r="BZ3339" s="769"/>
      <c r="CA3339" s="769"/>
      <c r="CB3339" s="769"/>
      <c r="CC3339" s="769"/>
      <c r="CD3339" s="769"/>
      <c r="CE3339" s="769"/>
      <c r="CF3339" s="769"/>
      <c r="CG3339" s="73"/>
      <c r="CH3339" s="438"/>
      <c r="CI3339" s="416"/>
      <c r="CJ3339" s="73"/>
      <c r="CK3339" s="650"/>
      <c r="CL3339" s="499"/>
      <c r="CM3339" s="650"/>
      <c r="CR3339" s="416"/>
      <c r="CS3339" s="650"/>
      <c r="CU3339" s="73"/>
      <c r="CV3339" s="73"/>
      <c r="CW3339" s="73"/>
      <c r="CX3339" s="73"/>
      <c r="DA3339" s="650"/>
    </row>
    <row r="3340" spans="1:105" s="45" customFormat="1" x14ac:dyDescent="0.2">
      <c r="A3340" s="650"/>
      <c r="B3340" s="438"/>
      <c r="D3340" s="73"/>
      <c r="E3340" s="650"/>
      <c r="F3340" s="650"/>
      <c r="G3340" s="73"/>
      <c r="I3340" s="111"/>
      <c r="J3340" s="81"/>
      <c r="K3340" s="81"/>
      <c r="L3340" s="499"/>
      <c r="M3340" s="73"/>
      <c r="N3340" s="499"/>
      <c r="O3340" s="73"/>
      <c r="P3340" s="73"/>
      <c r="Q3340" s="73"/>
      <c r="R3340" s="176"/>
      <c r="S3340" s="176"/>
      <c r="T3340" s="176"/>
      <c r="U3340" s="400"/>
      <c r="V3340" s="400"/>
      <c r="W3340" s="732"/>
      <c r="X3340" s="167"/>
      <c r="Y3340" s="509"/>
      <c r="Z3340" s="466"/>
      <c r="AA3340" s="466"/>
      <c r="AB3340" s="466"/>
      <c r="AC3340" s="466"/>
      <c r="AD3340" s="466"/>
      <c r="AE3340" s="466"/>
      <c r="AF3340" s="466"/>
      <c r="AG3340" s="466"/>
      <c r="AH3340" s="466"/>
      <c r="AI3340" s="466"/>
      <c r="AJ3340" s="466"/>
      <c r="AK3340" s="466"/>
      <c r="AL3340" s="466"/>
      <c r="AM3340" s="466"/>
      <c r="AN3340" s="466"/>
      <c r="AO3340" s="466"/>
      <c r="AP3340" s="466"/>
      <c r="AQ3340" s="466"/>
      <c r="AR3340" s="466"/>
      <c r="AS3340" s="466"/>
      <c r="AT3340" s="466"/>
      <c r="AU3340" s="466"/>
      <c r="AV3340" s="466"/>
      <c r="AW3340" s="466"/>
      <c r="AX3340" s="466"/>
      <c r="AY3340" s="466"/>
      <c r="AZ3340" s="466"/>
      <c r="BA3340" s="466"/>
      <c r="BB3340" s="466"/>
      <c r="BC3340" s="466"/>
      <c r="BD3340" s="466"/>
      <c r="BE3340" s="467"/>
      <c r="BF3340" s="467"/>
      <c r="BG3340" s="466"/>
      <c r="BH3340" s="466"/>
      <c r="BI3340" s="467"/>
      <c r="BJ3340" s="467"/>
      <c r="BK3340" s="467"/>
      <c r="BL3340" s="467"/>
      <c r="BM3340" s="467"/>
      <c r="BN3340" s="467"/>
      <c r="BO3340" s="467"/>
      <c r="BP3340" s="467"/>
      <c r="BQ3340" s="467"/>
      <c r="BR3340" s="467"/>
      <c r="BS3340" s="467"/>
      <c r="BT3340" s="467"/>
      <c r="BU3340" s="467"/>
      <c r="BV3340" s="467"/>
      <c r="BW3340" s="467"/>
      <c r="BX3340" s="769"/>
      <c r="BY3340" s="769"/>
      <c r="BZ3340" s="769"/>
      <c r="CA3340" s="769"/>
      <c r="CB3340" s="769"/>
      <c r="CC3340" s="769"/>
      <c r="CD3340" s="769"/>
      <c r="CE3340" s="769"/>
      <c r="CF3340" s="769"/>
      <c r="CG3340" s="73"/>
      <c r="CH3340" s="438"/>
      <c r="CI3340" s="416"/>
      <c r="CJ3340" s="73"/>
      <c r="CK3340" s="650"/>
      <c r="CL3340" s="499"/>
      <c r="CM3340" s="650"/>
      <c r="CR3340" s="416"/>
      <c r="CS3340" s="650"/>
      <c r="CU3340" s="73"/>
      <c r="CV3340" s="73"/>
      <c r="CW3340" s="73"/>
      <c r="CX3340" s="73"/>
      <c r="DA3340" s="650"/>
    </row>
    <row r="3341" spans="1:105" s="45" customFormat="1" x14ac:dyDescent="0.2">
      <c r="A3341" s="650"/>
      <c r="B3341" s="438"/>
      <c r="D3341" s="73"/>
      <c r="E3341" s="650"/>
      <c r="F3341" s="650"/>
      <c r="G3341" s="73"/>
      <c r="I3341" s="111"/>
      <c r="J3341" s="81"/>
      <c r="K3341" s="81"/>
      <c r="L3341" s="499"/>
      <c r="M3341" s="73"/>
      <c r="N3341" s="499"/>
      <c r="O3341" s="73"/>
      <c r="P3341" s="73"/>
      <c r="Q3341" s="73"/>
      <c r="R3341" s="176"/>
      <c r="S3341" s="176"/>
      <c r="T3341" s="176"/>
      <c r="U3341" s="400"/>
      <c r="V3341" s="400"/>
      <c r="W3341" s="732"/>
      <c r="X3341" s="167"/>
      <c r="Y3341" s="509"/>
      <c r="Z3341" s="466"/>
      <c r="AA3341" s="466"/>
      <c r="AB3341" s="466"/>
      <c r="AC3341" s="466"/>
      <c r="AD3341" s="466"/>
      <c r="AE3341" s="466"/>
      <c r="AF3341" s="466"/>
      <c r="AG3341" s="466"/>
      <c r="AH3341" s="466"/>
      <c r="AI3341" s="466"/>
      <c r="AJ3341" s="466"/>
      <c r="AK3341" s="466"/>
      <c r="AL3341" s="466"/>
      <c r="AM3341" s="466"/>
      <c r="AN3341" s="466"/>
      <c r="AO3341" s="466"/>
      <c r="AP3341" s="466"/>
      <c r="AQ3341" s="466"/>
      <c r="AR3341" s="466"/>
      <c r="AS3341" s="466"/>
      <c r="AT3341" s="466"/>
      <c r="AU3341" s="466"/>
      <c r="AV3341" s="466"/>
      <c r="AW3341" s="466"/>
      <c r="AX3341" s="466"/>
      <c r="AY3341" s="466"/>
      <c r="AZ3341" s="466"/>
      <c r="BA3341" s="466"/>
      <c r="BB3341" s="466"/>
      <c r="BC3341" s="466"/>
      <c r="BD3341" s="466"/>
      <c r="BE3341" s="467"/>
      <c r="BF3341" s="467"/>
      <c r="BG3341" s="466"/>
      <c r="BH3341" s="466"/>
      <c r="BI3341" s="467"/>
      <c r="BJ3341" s="467"/>
      <c r="BK3341" s="467"/>
      <c r="BL3341" s="467"/>
      <c r="BM3341" s="467"/>
      <c r="BN3341" s="467"/>
      <c r="BO3341" s="467"/>
      <c r="BP3341" s="467"/>
      <c r="BQ3341" s="467"/>
      <c r="BR3341" s="467"/>
      <c r="BS3341" s="467"/>
      <c r="BT3341" s="467"/>
      <c r="BU3341" s="467"/>
      <c r="BV3341" s="467"/>
      <c r="BW3341" s="467"/>
      <c r="BX3341" s="769"/>
      <c r="BY3341" s="769"/>
      <c r="BZ3341" s="769"/>
      <c r="CA3341" s="769"/>
      <c r="CB3341" s="769"/>
      <c r="CC3341" s="769"/>
      <c r="CD3341" s="769"/>
      <c r="CE3341" s="769"/>
      <c r="CF3341" s="769"/>
      <c r="CG3341" s="73"/>
      <c r="CH3341" s="438"/>
      <c r="CI3341" s="416"/>
      <c r="CJ3341" s="73"/>
      <c r="CK3341" s="650"/>
      <c r="CL3341" s="499"/>
      <c r="CM3341" s="650"/>
      <c r="CR3341" s="416"/>
      <c r="CS3341" s="650"/>
      <c r="CU3341" s="73"/>
      <c r="CV3341" s="73"/>
      <c r="CW3341" s="73"/>
      <c r="CX3341" s="73"/>
      <c r="DA3341" s="650"/>
    </row>
    <row r="3342" spans="1:105" s="45" customFormat="1" x14ac:dyDescent="0.2">
      <c r="A3342" s="650"/>
      <c r="B3342" s="438"/>
      <c r="D3342" s="73"/>
      <c r="E3342" s="650"/>
      <c r="F3342" s="650"/>
      <c r="G3342" s="73"/>
      <c r="I3342" s="111"/>
      <c r="J3342" s="81"/>
      <c r="K3342" s="81"/>
      <c r="L3342" s="499"/>
      <c r="M3342" s="73"/>
      <c r="N3342" s="499"/>
      <c r="O3342" s="73"/>
      <c r="P3342" s="73"/>
      <c r="Q3342" s="73"/>
      <c r="R3342" s="176"/>
      <c r="S3342" s="176"/>
      <c r="T3342" s="176"/>
      <c r="U3342" s="400"/>
      <c r="V3342" s="400"/>
      <c r="W3342" s="732"/>
      <c r="X3342" s="167"/>
      <c r="Y3342" s="509"/>
      <c r="Z3342" s="466"/>
      <c r="AA3342" s="466"/>
      <c r="AB3342" s="466"/>
      <c r="AC3342" s="466"/>
      <c r="AD3342" s="466"/>
      <c r="AE3342" s="466"/>
      <c r="AF3342" s="466"/>
      <c r="AG3342" s="466"/>
      <c r="AH3342" s="466"/>
      <c r="AI3342" s="466"/>
      <c r="AJ3342" s="466"/>
      <c r="AK3342" s="466"/>
      <c r="AL3342" s="466"/>
      <c r="AM3342" s="466"/>
      <c r="AN3342" s="466"/>
      <c r="AO3342" s="466"/>
      <c r="AP3342" s="466"/>
      <c r="AQ3342" s="466"/>
      <c r="AR3342" s="466"/>
      <c r="AS3342" s="466"/>
      <c r="AT3342" s="466"/>
      <c r="AU3342" s="466"/>
      <c r="AV3342" s="466"/>
      <c r="AW3342" s="466"/>
      <c r="AX3342" s="466"/>
      <c r="AY3342" s="466"/>
      <c r="AZ3342" s="466"/>
      <c r="BA3342" s="466"/>
      <c r="BB3342" s="466"/>
      <c r="BC3342" s="466"/>
      <c r="BD3342" s="466"/>
      <c r="BE3342" s="467"/>
      <c r="BF3342" s="467"/>
      <c r="BG3342" s="466"/>
      <c r="BH3342" s="466"/>
      <c r="BI3342" s="467"/>
      <c r="BJ3342" s="467"/>
      <c r="BK3342" s="467"/>
      <c r="BL3342" s="467"/>
      <c r="BM3342" s="467"/>
      <c r="BN3342" s="467"/>
      <c r="BO3342" s="467"/>
      <c r="BP3342" s="467"/>
      <c r="BQ3342" s="467"/>
      <c r="BR3342" s="467"/>
      <c r="BS3342" s="467"/>
      <c r="BT3342" s="467"/>
      <c r="BU3342" s="467"/>
      <c r="BV3342" s="467"/>
      <c r="BW3342" s="467"/>
      <c r="BX3342" s="769"/>
      <c r="BY3342" s="769"/>
      <c r="BZ3342" s="769"/>
      <c r="CA3342" s="769"/>
      <c r="CB3342" s="769"/>
      <c r="CC3342" s="769"/>
      <c r="CD3342" s="769"/>
      <c r="CE3342" s="769"/>
      <c r="CF3342" s="769"/>
      <c r="CG3342" s="73"/>
      <c r="CH3342" s="438"/>
      <c r="CI3342" s="416"/>
      <c r="CJ3342" s="73"/>
      <c r="CK3342" s="650"/>
      <c r="CL3342" s="499"/>
      <c r="CM3342" s="650"/>
      <c r="CR3342" s="416"/>
      <c r="CS3342" s="650"/>
      <c r="CU3342" s="73"/>
      <c r="CV3342" s="73"/>
      <c r="CW3342" s="73"/>
      <c r="CX3342" s="73"/>
      <c r="DA3342" s="650"/>
    </row>
    <row r="3343" spans="1:105" s="45" customFormat="1" x14ac:dyDescent="0.2">
      <c r="A3343" s="650"/>
      <c r="B3343" s="438"/>
      <c r="D3343" s="73"/>
      <c r="E3343" s="650"/>
      <c r="F3343" s="650"/>
      <c r="G3343" s="73"/>
      <c r="I3343" s="111"/>
      <c r="J3343" s="81"/>
      <c r="K3343" s="81"/>
      <c r="L3343" s="499"/>
      <c r="M3343" s="73"/>
      <c r="N3343" s="499"/>
      <c r="O3343" s="73"/>
      <c r="P3343" s="73"/>
      <c r="Q3343" s="73"/>
      <c r="R3343" s="176"/>
      <c r="S3343" s="176"/>
      <c r="T3343" s="176"/>
      <c r="U3343" s="400"/>
      <c r="V3343" s="400"/>
      <c r="W3343" s="732"/>
      <c r="X3343" s="167"/>
      <c r="Y3343" s="509"/>
      <c r="Z3343" s="466"/>
      <c r="AA3343" s="466"/>
      <c r="AB3343" s="466"/>
      <c r="AC3343" s="466"/>
      <c r="AD3343" s="466"/>
      <c r="AE3343" s="466"/>
      <c r="AF3343" s="466"/>
      <c r="AG3343" s="466"/>
      <c r="AH3343" s="466"/>
      <c r="AI3343" s="466"/>
      <c r="AJ3343" s="466"/>
      <c r="AK3343" s="466"/>
      <c r="AL3343" s="466"/>
      <c r="AM3343" s="466"/>
      <c r="AN3343" s="466"/>
      <c r="AO3343" s="466"/>
      <c r="AP3343" s="466"/>
      <c r="AQ3343" s="466"/>
      <c r="AR3343" s="466"/>
      <c r="AS3343" s="466"/>
      <c r="AT3343" s="466"/>
      <c r="AU3343" s="466"/>
      <c r="AV3343" s="466"/>
      <c r="AW3343" s="466"/>
      <c r="AX3343" s="466"/>
      <c r="AY3343" s="466"/>
      <c r="AZ3343" s="466"/>
      <c r="BA3343" s="466"/>
      <c r="BB3343" s="466"/>
      <c r="BC3343" s="466"/>
      <c r="BD3343" s="466"/>
      <c r="BE3343" s="467"/>
      <c r="BF3343" s="467"/>
      <c r="BG3343" s="466"/>
      <c r="BH3343" s="466"/>
      <c r="BI3343" s="467"/>
      <c r="BJ3343" s="467"/>
      <c r="BK3343" s="467"/>
      <c r="BL3343" s="467"/>
      <c r="BM3343" s="467"/>
      <c r="BN3343" s="467"/>
      <c r="BO3343" s="467"/>
      <c r="BP3343" s="467"/>
      <c r="BQ3343" s="467"/>
      <c r="BR3343" s="467"/>
      <c r="BS3343" s="467"/>
      <c r="BT3343" s="467"/>
      <c r="BU3343" s="467"/>
      <c r="BV3343" s="467"/>
      <c r="BW3343" s="467"/>
      <c r="BX3343" s="769"/>
      <c r="BY3343" s="769"/>
      <c r="BZ3343" s="769"/>
      <c r="CA3343" s="769"/>
      <c r="CB3343" s="769"/>
      <c r="CC3343" s="769"/>
      <c r="CD3343" s="769"/>
      <c r="CE3343" s="769"/>
      <c r="CF3343" s="769"/>
      <c r="CG3343" s="73"/>
      <c r="CH3343" s="438"/>
      <c r="CI3343" s="416"/>
      <c r="CJ3343" s="73"/>
      <c r="CK3343" s="650"/>
      <c r="CL3343" s="499"/>
      <c r="CM3343" s="650"/>
      <c r="CR3343" s="416"/>
      <c r="CS3343" s="650"/>
      <c r="CU3343" s="73"/>
      <c r="CV3343" s="73"/>
      <c r="CW3343" s="73"/>
      <c r="CX3343" s="73"/>
      <c r="DA3343" s="650"/>
    </row>
    <row r="3344" spans="1:105" s="45" customFormat="1" x14ac:dyDescent="0.2">
      <c r="A3344" s="650"/>
      <c r="B3344" s="438"/>
      <c r="D3344" s="73"/>
      <c r="E3344" s="650"/>
      <c r="F3344" s="650"/>
      <c r="G3344" s="73"/>
      <c r="I3344" s="111"/>
      <c r="J3344" s="81"/>
      <c r="K3344" s="81"/>
      <c r="L3344" s="499"/>
      <c r="M3344" s="73"/>
      <c r="N3344" s="499"/>
      <c r="O3344" s="73"/>
      <c r="P3344" s="73"/>
      <c r="Q3344" s="73"/>
      <c r="R3344" s="176"/>
      <c r="S3344" s="176"/>
      <c r="T3344" s="176"/>
      <c r="U3344" s="400"/>
      <c r="V3344" s="400"/>
      <c r="W3344" s="732"/>
      <c r="X3344" s="167"/>
      <c r="Y3344" s="509"/>
      <c r="Z3344" s="466"/>
      <c r="AA3344" s="466"/>
      <c r="AB3344" s="466"/>
      <c r="AC3344" s="466"/>
      <c r="AD3344" s="466"/>
      <c r="AE3344" s="466"/>
      <c r="AF3344" s="466"/>
      <c r="AG3344" s="466"/>
      <c r="AH3344" s="466"/>
      <c r="AI3344" s="466"/>
      <c r="AJ3344" s="466"/>
      <c r="AK3344" s="466"/>
      <c r="AL3344" s="466"/>
      <c r="AM3344" s="466"/>
      <c r="AN3344" s="466"/>
      <c r="AO3344" s="466"/>
      <c r="AP3344" s="466"/>
      <c r="AQ3344" s="466"/>
      <c r="AR3344" s="466"/>
      <c r="AS3344" s="466"/>
      <c r="AT3344" s="466"/>
      <c r="AU3344" s="466"/>
      <c r="AV3344" s="466"/>
      <c r="AW3344" s="466"/>
      <c r="AX3344" s="466"/>
      <c r="AY3344" s="466"/>
      <c r="AZ3344" s="466"/>
      <c r="BA3344" s="466"/>
      <c r="BB3344" s="466"/>
      <c r="BC3344" s="466"/>
      <c r="BD3344" s="466"/>
      <c r="BE3344" s="467"/>
      <c r="BF3344" s="467"/>
      <c r="BG3344" s="466"/>
      <c r="BH3344" s="466"/>
      <c r="BI3344" s="467"/>
      <c r="BJ3344" s="467"/>
      <c r="BK3344" s="467"/>
      <c r="BL3344" s="467"/>
      <c r="BM3344" s="467"/>
      <c r="BN3344" s="467"/>
      <c r="BO3344" s="467"/>
      <c r="BP3344" s="467"/>
      <c r="BQ3344" s="467"/>
      <c r="BR3344" s="467"/>
      <c r="BS3344" s="467"/>
      <c r="BT3344" s="467"/>
      <c r="BU3344" s="467"/>
      <c r="BV3344" s="467"/>
      <c r="BW3344" s="467"/>
      <c r="BX3344" s="769"/>
      <c r="BY3344" s="769"/>
      <c r="BZ3344" s="769"/>
      <c r="CA3344" s="769"/>
      <c r="CB3344" s="769"/>
      <c r="CC3344" s="769"/>
      <c r="CD3344" s="769"/>
      <c r="CE3344" s="769"/>
      <c r="CF3344" s="769"/>
      <c r="CG3344" s="73"/>
      <c r="CH3344" s="438"/>
      <c r="CI3344" s="416"/>
      <c r="CJ3344" s="73"/>
      <c r="CK3344" s="650"/>
      <c r="CL3344" s="499"/>
      <c r="CM3344" s="650"/>
      <c r="CR3344" s="416"/>
      <c r="CS3344" s="650"/>
      <c r="CU3344" s="73"/>
      <c r="CV3344" s="73"/>
      <c r="CW3344" s="73"/>
      <c r="CX3344" s="73"/>
      <c r="DA3344" s="650"/>
    </row>
    <row r="3345" spans="1:105" s="45" customFormat="1" x14ac:dyDescent="0.2">
      <c r="A3345" s="650"/>
      <c r="B3345" s="438"/>
      <c r="D3345" s="73"/>
      <c r="E3345" s="650"/>
      <c r="F3345" s="650"/>
      <c r="G3345" s="73"/>
      <c r="I3345" s="111"/>
      <c r="J3345" s="81"/>
      <c r="K3345" s="81"/>
      <c r="L3345" s="499"/>
      <c r="M3345" s="73"/>
      <c r="N3345" s="499"/>
      <c r="O3345" s="73"/>
      <c r="P3345" s="73"/>
      <c r="Q3345" s="73"/>
      <c r="R3345" s="176"/>
      <c r="S3345" s="176"/>
      <c r="T3345" s="176"/>
      <c r="U3345" s="400"/>
      <c r="V3345" s="400"/>
      <c r="W3345" s="732"/>
      <c r="X3345" s="167"/>
      <c r="Y3345" s="509"/>
      <c r="Z3345" s="466"/>
      <c r="AA3345" s="466"/>
      <c r="AB3345" s="466"/>
      <c r="AC3345" s="466"/>
      <c r="AD3345" s="466"/>
      <c r="AE3345" s="466"/>
      <c r="AF3345" s="466"/>
      <c r="AG3345" s="466"/>
      <c r="AH3345" s="466"/>
      <c r="AI3345" s="466"/>
      <c r="AJ3345" s="466"/>
      <c r="AK3345" s="466"/>
      <c r="AL3345" s="466"/>
      <c r="AM3345" s="466"/>
      <c r="AN3345" s="466"/>
      <c r="AO3345" s="466"/>
      <c r="AP3345" s="466"/>
      <c r="AQ3345" s="466"/>
      <c r="AR3345" s="466"/>
      <c r="AS3345" s="466"/>
      <c r="AT3345" s="466"/>
      <c r="AU3345" s="466"/>
      <c r="AV3345" s="466"/>
      <c r="AW3345" s="466"/>
      <c r="AX3345" s="466"/>
      <c r="AY3345" s="466"/>
      <c r="AZ3345" s="466"/>
      <c r="BA3345" s="466"/>
      <c r="BB3345" s="466"/>
      <c r="BC3345" s="466"/>
      <c r="BD3345" s="466"/>
      <c r="BE3345" s="467"/>
      <c r="BF3345" s="467"/>
      <c r="BG3345" s="466"/>
      <c r="BH3345" s="466"/>
      <c r="BI3345" s="467"/>
      <c r="BJ3345" s="467"/>
      <c r="BK3345" s="467"/>
      <c r="BL3345" s="467"/>
      <c r="BM3345" s="467"/>
      <c r="BN3345" s="467"/>
      <c r="BO3345" s="467"/>
      <c r="BP3345" s="467"/>
      <c r="BQ3345" s="467"/>
      <c r="BR3345" s="467"/>
      <c r="BS3345" s="467"/>
      <c r="BT3345" s="467"/>
      <c r="BU3345" s="467"/>
      <c r="BV3345" s="467"/>
      <c r="BW3345" s="467"/>
      <c r="BX3345" s="769"/>
      <c r="BY3345" s="769"/>
      <c r="BZ3345" s="769"/>
      <c r="CA3345" s="769"/>
      <c r="CB3345" s="769"/>
      <c r="CC3345" s="769"/>
      <c r="CD3345" s="769"/>
      <c r="CE3345" s="769"/>
      <c r="CF3345" s="769"/>
      <c r="CG3345" s="73"/>
      <c r="CH3345" s="438"/>
      <c r="CI3345" s="416"/>
      <c r="CJ3345" s="73"/>
      <c r="CK3345" s="650"/>
      <c r="CL3345" s="499"/>
      <c r="CM3345" s="650"/>
      <c r="CR3345" s="416"/>
      <c r="CS3345" s="650"/>
      <c r="CU3345" s="73"/>
      <c r="CV3345" s="73"/>
      <c r="CW3345" s="73"/>
      <c r="CX3345" s="73"/>
      <c r="DA3345" s="650"/>
    </row>
    <row r="3346" spans="1:105" s="45" customFormat="1" x14ac:dyDescent="0.2">
      <c r="A3346" s="650"/>
      <c r="B3346" s="438"/>
      <c r="D3346" s="73"/>
      <c r="E3346" s="650"/>
      <c r="F3346" s="650"/>
      <c r="G3346" s="73"/>
      <c r="I3346" s="111"/>
      <c r="J3346" s="81"/>
      <c r="K3346" s="81"/>
      <c r="L3346" s="499"/>
      <c r="M3346" s="73"/>
      <c r="N3346" s="499"/>
      <c r="O3346" s="73"/>
      <c r="P3346" s="73"/>
      <c r="Q3346" s="73"/>
      <c r="R3346" s="176"/>
      <c r="S3346" s="176"/>
      <c r="T3346" s="176"/>
      <c r="U3346" s="400"/>
      <c r="V3346" s="400"/>
      <c r="W3346" s="732"/>
      <c r="X3346" s="167"/>
      <c r="Y3346" s="509"/>
      <c r="Z3346" s="466"/>
      <c r="AA3346" s="466"/>
      <c r="AB3346" s="466"/>
      <c r="AC3346" s="466"/>
      <c r="AD3346" s="466"/>
      <c r="AE3346" s="466"/>
      <c r="AF3346" s="466"/>
      <c r="AG3346" s="466"/>
      <c r="AH3346" s="466"/>
      <c r="AI3346" s="466"/>
      <c r="AJ3346" s="466"/>
      <c r="AK3346" s="466"/>
      <c r="AL3346" s="466"/>
      <c r="AM3346" s="466"/>
      <c r="AN3346" s="466"/>
      <c r="AO3346" s="466"/>
      <c r="AP3346" s="466"/>
      <c r="AQ3346" s="466"/>
      <c r="AR3346" s="466"/>
      <c r="AS3346" s="466"/>
      <c r="AT3346" s="466"/>
      <c r="AU3346" s="466"/>
      <c r="AV3346" s="466"/>
      <c r="AW3346" s="466"/>
      <c r="AX3346" s="466"/>
      <c r="AY3346" s="466"/>
      <c r="AZ3346" s="466"/>
      <c r="BA3346" s="466"/>
      <c r="BB3346" s="466"/>
      <c r="BC3346" s="466"/>
      <c r="BD3346" s="466"/>
      <c r="BE3346" s="467"/>
      <c r="BF3346" s="467"/>
      <c r="BG3346" s="466"/>
      <c r="BH3346" s="466"/>
      <c r="BI3346" s="467"/>
      <c r="BJ3346" s="467"/>
      <c r="BK3346" s="467"/>
      <c r="BL3346" s="467"/>
      <c r="BM3346" s="467"/>
      <c r="BN3346" s="467"/>
      <c r="BO3346" s="467"/>
      <c r="BP3346" s="467"/>
      <c r="BQ3346" s="467"/>
      <c r="BR3346" s="467"/>
      <c r="BS3346" s="467"/>
      <c r="BT3346" s="467"/>
      <c r="BU3346" s="467"/>
      <c r="BV3346" s="467"/>
      <c r="BW3346" s="467"/>
      <c r="BX3346" s="769"/>
      <c r="BY3346" s="769"/>
      <c r="BZ3346" s="769"/>
      <c r="CA3346" s="769"/>
      <c r="CB3346" s="769"/>
      <c r="CC3346" s="769"/>
      <c r="CD3346" s="769"/>
      <c r="CE3346" s="769"/>
      <c r="CF3346" s="769"/>
      <c r="CG3346" s="73"/>
      <c r="CH3346" s="438"/>
      <c r="CI3346" s="416"/>
      <c r="CJ3346" s="73"/>
      <c r="CK3346" s="650"/>
      <c r="CL3346" s="499"/>
      <c r="CM3346" s="650"/>
      <c r="CR3346" s="416"/>
      <c r="CS3346" s="650"/>
      <c r="CU3346" s="73"/>
      <c r="CV3346" s="73"/>
      <c r="CW3346" s="73"/>
      <c r="CX3346" s="73"/>
      <c r="DA3346" s="650"/>
    </row>
    <row r="3347" spans="1:105" s="45" customFormat="1" x14ac:dyDescent="0.2">
      <c r="A3347" s="650"/>
      <c r="B3347" s="438"/>
      <c r="D3347" s="73"/>
      <c r="E3347" s="650"/>
      <c r="F3347" s="650"/>
      <c r="G3347" s="73"/>
      <c r="I3347" s="111"/>
      <c r="J3347" s="81"/>
      <c r="K3347" s="81"/>
      <c r="L3347" s="499"/>
      <c r="M3347" s="73"/>
      <c r="N3347" s="499"/>
      <c r="O3347" s="73"/>
      <c r="P3347" s="73"/>
      <c r="Q3347" s="73"/>
      <c r="R3347" s="176"/>
      <c r="S3347" s="176"/>
      <c r="T3347" s="176"/>
      <c r="U3347" s="400"/>
      <c r="V3347" s="400"/>
      <c r="W3347" s="732"/>
      <c r="X3347" s="167"/>
      <c r="Y3347" s="509"/>
      <c r="Z3347" s="466"/>
      <c r="AA3347" s="466"/>
      <c r="AB3347" s="466"/>
      <c r="AC3347" s="466"/>
      <c r="AD3347" s="466"/>
      <c r="AE3347" s="466"/>
      <c r="AF3347" s="466"/>
      <c r="AG3347" s="466"/>
      <c r="AH3347" s="466"/>
      <c r="AI3347" s="466"/>
      <c r="AJ3347" s="466"/>
      <c r="AK3347" s="466"/>
      <c r="AL3347" s="466"/>
      <c r="AM3347" s="466"/>
      <c r="AN3347" s="466"/>
      <c r="AO3347" s="466"/>
      <c r="AP3347" s="466"/>
      <c r="AQ3347" s="466"/>
      <c r="AR3347" s="466"/>
      <c r="AS3347" s="466"/>
      <c r="AT3347" s="466"/>
      <c r="AU3347" s="466"/>
      <c r="AV3347" s="466"/>
      <c r="AW3347" s="466"/>
      <c r="AX3347" s="466"/>
      <c r="AY3347" s="466"/>
      <c r="AZ3347" s="466"/>
      <c r="BA3347" s="466"/>
      <c r="BB3347" s="466"/>
      <c r="BC3347" s="466"/>
      <c r="BD3347" s="466"/>
      <c r="BE3347" s="467"/>
      <c r="BF3347" s="467"/>
      <c r="BG3347" s="466"/>
      <c r="BH3347" s="466"/>
      <c r="BI3347" s="467"/>
      <c r="BJ3347" s="467"/>
      <c r="BK3347" s="467"/>
      <c r="BL3347" s="467"/>
      <c r="BM3347" s="467"/>
      <c r="BN3347" s="467"/>
      <c r="BO3347" s="467"/>
      <c r="BP3347" s="467"/>
      <c r="BQ3347" s="467"/>
      <c r="BR3347" s="467"/>
      <c r="BS3347" s="467"/>
      <c r="BT3347" s="467"/>
      <c r="BU3347" s="467"/>
      <c r="BV3347" s="467"/>
      <c r="BW3347" s="467"/>
      <c r="BX3347" s="769"/>
      <c r="BY3347" s="769"/>
      <c r="BZ3347" s="769"/>
      <c r="CA3347" s="769"/>
      <c r="CB3347" s="769"/>
      <c r="CC3347" s="769"/>
      <c r="CD3347" s="769"/>
      <c r="CE3347" s="769"/>
      <c r="CF3347" s="769"/>
      <c r="CG3347" s="73"/>
      <c r="CH3347" s="438"/>
      <c r="CI3347" s="416"/>
      <c r="CJ3347" s="73"/>
      <c r="CK3347" s="650"/>
      <c r="CL3347" s="499"/>
      <c r="CM3347" s="650"/>
      <c r="CR3347" s="416"/>
      <c r="CS3347" s="650"/>
      <c r="CU3347" s="73"/>
      <c r="CV3347" s="73"/>
      <c r="CW3347" s="73"/>
      <c r="CX3347" s="73"/>
      <c r="DA3347" s="650"/>
    </row>
    <row r="3348" spans="1:105" s="45" customFormat="1" x14ac:dyDescent="0.2">
      <c r="A3348" s="650"/>
      <c r="B3348" s="438"/>
      <c r="D3348" s="73"/>
      <c r="E3348" s="650"/>
      <c r="F3348" s="650"/>
      <c r="G3348" s="73"/>
      <c r="I3348" s="111"/>
      <c r="J3348" s="81"/>
      <c r="K3348" s="81"/>
      <c r="L3348" s="499"/>
      <c r="M3348" s="73"/>
      <c r="N3348" s="499"/>
      <c r="O3348" s="73"/>
      <c r="P3348" s="73"/>
      <c r="Q3348" s="73"/>
      <c r="R3348" s="176"/>
      <c r="S3348" s="176"/>
      <c r="T3348" s="176"/>
      <c r="U3348" s="400"/>
      <c r="V3348" s="400"/>
      <c r="W3348" s="732"/>
      <c r="X3348" s="167"/>
      <c r="Y3348" s="509"/>
      <c r="Z3348" s="466"/>
      <c r="AA3348" s="466"/>
      <c r="AB3348" s="466"/>
      <c r="AC3348" s="466"/>
      <c r="AD3348" s="466"/>
      <c r="AE3348" s="466"/>
      <c r="AF3348" s="466"/>
      <c r="AG3348" s="466"/>
      <c r="AH3348" s="466"/>
      <c r="AI3348" s="466"/>
      <c r="AJ3348" s="466"/>
      <c r="AK3348" s="466"/>
      <c r="AL3348" s="466"/>
      <c r="AM3348" s="466"/>
      <c r="AN3348" s="466"/>
      <c r="AO3348" s="466"/>
      <c r="AP3348" s="466"/>
      <c r="AQ3348" s="466"/>
      <c r="AR3348" s="466"/>
      <c r="AS3348" s="466"/>
      <c r="AT3348" s="466"/>
      <c r="AU3348" s="466"/>
      <c r="AV3348" s="466"/>
      <c r="AW3348" s="466"/>
      <c r="AX3348" s="466"/>
      <c r="AY3348" s="466"/>
      <c r="AZ3348" s="466"/>
      <c r="BA3348" s="466"/>
      <c r="BB3348" s="466"/>
      <c r="BC3348" s="466"/>
      <c r="BD3348" s="466"/>
      <c r="BE3348" s="467"/>
      <c r="BF3348" s="467"/>
      <c r="BG3348" s="466"/>
      <c r="BH3348" s="466"/>
      <c r="BI3348" s="467"/>
      <c r="BJ3348" s="467"/>
      <c r="BK3348" s="467"/>
      <c r="BL3348" s="467"/>
      <c r="BM3348" s="467"/>
      <c r="BN3348" s="467"/>
      <c r="BO3348" s="467"/>
      <c r="BP3348" s="467"/>
      <c r="BQ3348" s="467"/>
      <c r="BR3348" s="467"/>
      <c r="BS3348" s="467"/>
      <c r="BT3348" s="467"/>
      <c r="BU3348" s="467"/>
      <c r="BV3348" s="467"/>
      <c r="BW3348" s="467"/>
      <c r="BX3348" s="769"/>
      <c r="BY3348" s="769"/>
      <c r="BZ3348" s="769"/>
      <c r="CA3348" s="769"/>
      <c r="CB3348" s="769"/>
      <c r="CC3348" s="769"/>
      <c r="CD3348" s="769"/>
      <c r="CE3348" s="769"/>
      <c r="CF3348" s="769"/>
      <c r="CG3348" s="73"/>
      <c r="CH3348" s="438"/>
      <c r="CI3348" s="416"/>
      <c r="CJ3348" s="73"/>
      <c r="CK3348" s="650"/>
      <c r="CL3348" s="499"/>
      <c r="CM3348" s="650"/>
      <c r="CR3348" s="416"/>
      <c r="CS3348" s="650"/>
      <c r="CU3348" s="73"/>
      <c r="CV3348" s="73"/>
      <c r="CW3348" s="73"/>
      <c r="CX3348" s="73"/>
      <c r="DA3348" s="650"/>
    </row>
    <row r="3349" spans="1:105" s="45" customFormat="1" x14ac:dyDescent="0.2">
      <c r="A3349" s="650"/>
      <c r="B3349" s="438"/>
      <c r="D3349" s="73"/>
      <c r="E3349" s="650"/>
      <c r="F3349" s="650"/>
      <c r="G3349" s="73"/>
      <c r="I3349" s="111"/>
      <c r="J3349" s="81"/>
      <c r="K3349" s="81"/>
      <c r="L3349" s="499"/>
      <c r="M3349" s="73"/>
      <c r="N3349" s="499"/>
      <c r="O3349" s="73"/>
      <c r="P3349" s="73"/>
      <c r="Q3349" s="73"/>
      <c r="R3349" s="176"/>
      <c r="S3349" s="176"/>
      <c r="T3349" s="176"/>
      <c r="U3349" s="400"/>
      <c r="V3349" s="400"/>
      <c r="W3349" s="732"/>
      <c r="X3349" s="167"/>
      <c r="Y3349" s="509"/>
      <c r="Z3349" s="466"/>
      <c r="AA3349" s="466"/>
      <c r="AB3349" s="466"/>
      <c r="AC3349" s="466"/>
      <c r="AD3349" s="466"/>
      <c r="AE3349" s="466"/>
      <c r="AF3349" s="466"/>
      <c r="AG3349" s="466"/>
      <c r="AH3349" s="466"/>
      <c r="AI3349" s="466"/>
      <c r="AJ3349" s="466"/>
      <c r="AK3349" s="466"/>
      <c r="AL3349" s="466"/>
      <c r="AM3349" s="466"/>
      <c r="AN3349" s="466"/>
      <c r="AO3349" s="466"/>
      <c r="AP3349" s="466"/>
      <c r="AQ3349" s="466"/>
      <c r="AR3349" s="466"/>
      <c r="AS3349" s="466"/>
      <c r="AT3349" s="466"/>
      <c r="AU3349" s="466"/>
      <c r="AV3349" s="466"/>
      <c r="AW3349" s="466"/>
      <c r="AX3349" s="466"/>
      <c r="AY3349" s="466"/>
      <c r="AZ3349" s="466"/>
      <c r="BA3349" s="466"/>
      <c r="BB3349" s="466"/>
      <c r="BC3349" s="466"/>
      <c r="BD3349" s="466"/>
      <c r="BE3349" s="467"/>
      <c r="BF3349" s="467"/>
      <c r="BG3349" s="466"/>
      <c r="BH3349" s="466"/>
      <c r="BI3349" s="467"/>
      <c r="BJ3349" s="467"/>
      <c r="BK3349" s="467"/>
      <c r="BL3349" s="467"/>
      <c r="BM3349" s="467"/>
      <c r="BN3349" s="467"/>
      <c r="BO3349" s="467"/>
      <c r="BP3349" s="467"/>
      <c r="BQ3349" s="467"/>
      <c r="BR3349" s="467"/>
      <c r="BS3349" s="467"/>
      <c r="BT3349" s="467"/>
      <c r="BU3349" s="467"/>
      <c r="BV3349" s="467"/>
      <c r="BW3349" s="467"/>
      <c r="BX3349" s="769"/>
      <c r="BY3349" s="769"/>
      <c r="BZ3349" s="769"/>
      <c r="CA3349" s="769"/>
      <c r="CB3349" s="769"/>
      <c r="CC3349" s="769"/>
      <c r="CD3349" s="769"/>
      <c r="CE3349" s="769"/>
      <c r="CF3349" s="769"/>
      <c r="CG3349" s="73"/>
      <c r="CH3349" s="438"/>
      <c r="CI3349" s="416"/>
      <c r="CJ3349" s="73"/>
      <c r="CK3349" s="650"/>
      <c r="CL3349" s="499"/>
      <c r="CM3349" s="650"/>
      <c r="CR3349" s="416"/>
      <c r="CS3349" s="650"/>
      <c r="CU3349" s="73"/>
      <c r="CV3349" s="73"/>
      <c r="CW3349" s="73"/>
      <c r="CX3349" s="73"/>
      <c r="DA3349" s="650"/>
    </row>
    <row r="3350" spans="1:105" s="45" customFormat="1" x14ac:dyDescent="0.2">
      <c r="A3350" s="650"/>
      <c r="B3350" s="438"/>
      <c r="D3350" s="73"/>
      <c r="E3350" s="650"/>
      <c r="F3350" s="650"/>
      <c r="G3350" s="73"/>
      <c r="I3350" s="111"/>
      <c r="J3350" s="81"/>
      <c r="K3350" s="81"/>
      <c r="L3350" s="499"/>
      <c r="M3350" s="73"/>
      <c r="N3350" s="499"/>
      <c r="O3350" s="73"/>
      <c r="P3350" s="73"/>
      <c r="Q3350" s="73"/>
      <c r="R3350" s="176"/>
      <c r="S3350" s="176"/>
      <c r="T3350" s="176"/>
      <c r="U3350" s="400"/>
      <c r="V3350" s="400"/>
      <c r="W3350" s="732"/>
      <c r="X3350" s="167"/>
      <c r="Y3350" s="509"/>
      <c r="Z3350" s="466"/>
      <c r="AA3350" s="466"/>
      <c r="AB3350" s="466"/>
      <c r="AC3350" s="466"/>
      <c r="AD3350" s="466"/>
      <c r="AE3350" s="466"/>
      <c r="AF3350" s="466"/>
      <c r="AG3350" s="466"/>
      <c r="AH3350" s="466"/>
      <c r="AI3350" s="466"/>
      <c r="AJ3350" s="466"/>
      <c r="AK3350" s="466"/>
      <c r="AL3350" s="466"/>
      <c r="AM3350" s="466"/>
      <c r="AN3350" s="466"/>
      <c r="AO3350" s="466"/>
      <c r="AP3350" s="466"/>
      <c r="AQ3350" s="466"/>
      <c r="AR3350" s="466"/>
      <c r="AS3350" s="466"/>
      <c r="AT3350" s="466"/>
      <c r="AU3350" s="466"/>
      <c r="AV3350" s="466"/>
      <c r="AW3350" s="466"/>
      <c r="AX3350" s="466"/>
      <c r="AY3350" s="466"/>
      <c r="AZ3350" s="466"/>
      <c r="BA3350" s="466"/>
      <c r="BB3350" s="466"/>
      <c r="BC3350" s="466"/>
      <c r="BD3350" s="466"/>
      <c r="BE3350" s="467"/>
      <c r="BF3350" s="467"/>
      <c r="BG3350" s="466"/>
      <c r="BH3350" s="466"/>
      <c r="BI3350" s="467"/>
      <c r="BJ3350" s="467"/>
      <c r="BK3350" s="467"/>
      <c r="BL3350" s="467"/>
      <c r="BM3350" s="467"/>
      <c r="BN3350" s="467"/>
      <c r="BO3350" s="467"/>
      <c r="BP3350" s="467"/>
      <c r="BQ3350" s="467"/>
      <c r="BR3350" s="467"/>
      <c r="BS3350" s="467"/>
      <c r="BT3350" s="467"/>
      <c r="BU3350" s="467"/>
      <c r="BV3350" s="467"/>
      <c r="BW3350" s="467"/>
      <c r="BX3350" s="769"/>
      <c r="BY3350" s="769"/>
      <c r="BZ3350" s="769"/>
      <c r="CA3350" s="769"/>
      <c r="CB3350" s="769"/>
      <c r="CC3350" s="769"/>
      <c r="CD3350" s="769"/>
      <c r="CE3350" s="769"/>
      <c r="CF3350" s="769"/>
      <c r="CG3350" s="73"/>
      <c r="CH3350" s="438"/>
      <c r="CI3350" s="416"/>
      <c r="CJ3350" s="73"/>
      <c r="CK3350" s="650"/>
      <c r="CL3350" s="499"/>
      <c r="CM3350" s="650"/>
      <c r="CR3350" s="416"/>
      <c r="CS3350" s="650"/>
      <c r="CU3350" s="73"/>
      <c r="CV3350" s="73"/>
      <c r="CW3350" s="73"/>
      <c r="CX3350" s="73"/>
      <c r="DA3350" s="650"/>
    </row>
    <row r="3351" spans="1:105" s="45" customFormat="1" x14ac:dyDescent="0.2">
      <c r="A3351" s="650"/>
      <c r="B3351" s="438"/>
      <c r="D3351" s="73"/>
      <c r="E3351" s="650"/>
      <c r="F3351" s="650"/>
      <c r="G3351" s="73"/>
      <c r="I3351" s="111"/>
      <c r="J3351" s="81"/>
      <c r="K3351" s="81"/>
      <c r="L3351" s="499"/>
      <c r="M3351" s="73"/>
      <c r="N3351" s="499"/>
      <c r="O3351" s="73"/>
      <c r="P3351" s="73"/>
      <c r="Q3351" s="73"/>
      <c r="R3351" s="176"/>
      <c r="S3351" s="176"/>
      <c r="T3351" s="176"/>
      <c r="U3351" s="400"/>
      <c r="V3351" s="400"/>
      <c r="W3351" s="732"/>
      <c r="X3351" s="167"/>
      <c r="Y3351" s="509"/>
      <c r="Z3351" s="466"/>
      <c r="AA3351" s="466"/>
      <c r="AB3351" s="466"/>
      <c r="AC3351" s="466"/>
      <c r="AD3351" s="466"/>
      <c r="AE3351" s="466"/>
      <c r="AF3351" s="466"/>
      <c r="AG3351" s="466"/>
      <c r="AH3351" s="466"/>
      <c r="AI3351" s="466"/>
      <c r="AJ3351" s="466"/>
      <c r="AK3351" s="466"/>
      <c r="AL3351" s="466"/>
      <c r="AM3351" s="466"/>
      <c r="AN3351" s="466"/>
      <c r="AO3351" s="466"/>
      <c r="AP3351" s="466"/>
      <c r="AQ3351" s="466"/>
      <c r="AR3351" s="466"/>
      <c r="AS3351" s="466"/>
      <c r="AT3351" s="466"/>
      <c r="AU3351" s="466"/>
      <c r="AV3351" s="466"/>
      <c r="AW3351" s="466"/>
      <c r="AX3351" s="466"/>
      <c r="AY3351" s="466"/>
      <c r="AZ3351" s="466"/>
      <c r="BA3351" s="466"/>
      <c r="BB3351" s="466"/>
      <c r="BC3351" s="466"/>
      <c r="BD3351" s="466"/>
      <c r="BE3351" s="467"/>
      <c r="BF3351" s="467"/>
      <c r="BG3351" s="466"/>
      <c r="BH3351" s="466"/>
      <c r="BI3351" s="467"/>
      <c r="BJ3351" s="467"/>
      <c r="BK3351" s="467"/>
      <c r="BL3351" s="467"/>
      <c r="BM3351" s="467"/>
      <c r="BN3351" s="467"/>
      <c r="BO3351" s="467"/>
      <c r="BP3351" s="467"/>
      <c r="BQ3351" s="467"/>
      <c r="BR3351" s="467"/>
      <c r="BS3351" s="467"/>
      <c r="BT3351" s="467"/>
      <c r="BU3351" s="467"/>
      <c r="BV3351" s="467"/>
      <c r="BW3351" s="467"/>
      <c r="BX3351" s="769"/>
      <c r="BY3351" s="769"/>
      <c r="BZ3351" s="769"/>
      <c r="CA3351" s="769"/>
      <c r="CB3351" s="769"/>
      <c r="CC3351" s="769"/>
      <c r="CD3351" s="769"/>
      <c r="CE3351" s="769"/>
      <c r="CF3351" s="769"/>
      <c r="CG3351" s="73"/>
      <c r="CH3351" s="438"/>
      <c r="CI3351" s="416"/>
      <c r="CJ3351" s="73"/>
      <c r="CK3351" s="650"/>
      <c r="CL3351" s="499"/>
      <c r="CM3351" s="650"/>
      <c r="CR3351" s="416"/>
      <c r="CS3351" s="650"/>
      <c r="CU3351" s="73"/>
      <c r="CV3351" s="73"/>
      <c r="CW3351" s="73"/>
      <c r="CX3351" s="73"/>
      <c r="DA3351" s="650"/>
    </row>
    <row r="3352" spans="1:105" s="45" customFormat="1" x14ac:dyDescent="0.2">
      <c r="A3352" s="650"/>
      <c r="B3352" s="438"/>
      <c r="D3352" s="73"/>
      <c r="E3352" s="650"/>
      <c r="F3352" s="650"/>
      <c r="G3352" s="73"/>
      <c r="I3352" s="111"/>
      <c r="J3352" s="81"/>
      <c r="K3352" s="81"/>
      <c r="L3352" s="499"/>
      <c r="M3352" s="73"/>
      <c r="N3352" s="499"/>
      <c r="O3352" s="73"/>
      <c r="P3352" s="73"/>
      <c r="Q3352" s="73"/>
      <c r="R3352" s="176"/>
      <c r="S3352" s="176"/>
      <c r="T3352" s="176"/>
      <c r="U3352" s="400"/>
      <c r="V3352" s="400"/>
      <c r="W3352" s="732"/>
      <c r="X3352" s="167"/>
      <c r="Y3352" s="509"/>
      <c r="Z3352" s="466"/>
      <c r="AA3352" s="466"/>
      <c r="AB3352" s="466"/>
      <c r="AC3352" s="466"/>
      <c r="AD3352" s="466"/>
      <c r="AE3352" s="466"/>
      <c r="AF3352" s="466"/>
      <c r="AG3352" s="466"/>
      <c r="AH3352" s="466"/>
      <c r="AI3352" s="466"/>
      <c r="AJ3352" s="466"/>
      <c r="AK3352" s="466"/>
      <c r="AL3352" s="466"/>
      <c r="AM3352" s="466"/>
      <c r="AN3352" s="466"/>
      <c r="AO3352" s="466"/>
      <c r="AP3352" s="466"/>
      <c r="AQ3352" s="466"/>
      <c r="AR3352" s="466"/>
      <c r="AS3352" s="466"/>
      <c r="AT3352" s="466"/>
      <c r="AU3352" s="466"/>
      <c r="AV3352" s="466"/>
      <c r="AW3352" s="466"/>
      <c r="AX3352" s="466"/>
      <c r="AY3352" s="466"/>
      <c r="AZ3352" s="466"/>
      <c r="BA3352" s="466"/>
      <c r="BB3352" s="466"/>
      <c r="BC3352" s="466"/>
      <c r="BD3352" s="466"/>
      <c r="BE3352" s="467"/>
      <c r="BF3352" s="467"/>
      <c r="BG3352" s="466"/>
      <c r="BH3352" s="466"/>
      <c r="BI3352" s="467"/>
      <c r="BJ3352" s="467"/>
      <c r="BK3352" s="467"/>
      <c r="BL3352" s="467"/>
      <c r="BM3352" s="467"/>
      <c r="BN3352" s="467"/>
      <c r="BO3352" s="467"/>
      <c r="BP3352" s="467"/>
      <c r="BQ3352" s="467"/>
      <c r="BR3352" s="467"/>
      <c r="BS3352" s="467"/>
      <c r="BT3352" s="467"/>
      <c r="BU3352" s="467"/>
      <c r="BV3352" s="467"/>
      <c r="BW3352" s="467"/>
      <c r="BX3352" s="769"/>
      <c r="BY3352" s="769"/>
      <c r="BZ3352" s="769"/>
      <c r="CA3352" s="769"/>
      <c r="CB3352" s="769"/>
      <c r="CC3352" s="769"/>
      <c r="CD3352" s="769"/>
      <c r="CE3352" s="769"/>
      <c r="CF3352" s="769"/>
      <c r="CG3352" s="73"/>
      <c r="CH3352" s="438"/>
      <c r="CI3352" s="416"/>
      <c r="CJ3352" s="73"/>
      <c r="CK3352" s="650"/>
      <c r="CL3352" s="499"/>
      <c r="CM3352" s="650"/>
      <c r="CR3352" s="416"/>
      <c r="CS3352" s="650"/>
      <c r="CU3352" s="73"/>
      <c r="CV3352" s="73"/>
      <c r="CW3352" s="73"/>
      <c r="CX3352" s="73"/>
      <c r="DA3352" s="650"/>
    </row>
    <row r="3353" spans="1:105" s="45" customFormat="1" x14ac:dyDescent="0.2">
      <c r="A3353" s="650"/>
      <c r="B3353" s="438"/>
      <c r="D3353" s="73"/>
      <c r="E3353" s="650"/>
      <c r="F3353" s="650"/>
      <c r="G3353" s="73"/>
      <c r="I3353" s="111"/>
      <c r="J3353" s="81"/>
      <c r="K3353" s="81"/>
      <c r="L3353" s="499"/>
      <c r="M3353" s="73"/>
      <c r="N3353" s="499"/>
      <c r="O3353" s="73"/>
      <c r="P3353" s="73"/>
      <c r="Q3353" s="73"/>
      <c r="R3353" s="176"/>
      <c r="S3353" s="176"/>
      <c r="T3353" s="176"/>
      <c r="U3353" s="400"/>
      <c r="V3353" s="400"/>
      <c r="W3353" s="732"/>
      <c r="X3353" s="167"/>
      <c r="Y3353" s="509"/>
      <c r="Z3353" s="466"/>
      <c r="AA3353" s="466"/>
      <c r="AB3353" s="466"/>
      <c r="AC3353" s="466"/>
      <c r="AD3353" s="466"/>
      <c r="AE3353" s="466"/>
      <c r="AF3353" s="466"/>
      <c r="AG3353" s="466"/>
      <c r="AH3353" s="466"/>
      <c r="AI3353" s="466"/>
      <c r="AJ3353" s="466"/>
      <c r="AK3353" s="466"/>
      <c r="AL3353" s="466"/>
      <c r="AM3353" s="466"/>
      <c r="AN3353" s="466"/>
      <c r="AO3353" s="466"/>
      <c r="AP3353" s="466"/>
      <c r="AQ3353" s="466"/>
      <c r="AR3353" s="466"/>
      <c r="AS3353" s="466"/>
      <c r="AT3353" s="466"/>
      <c r="AU3353" s="466"/>
      <c r="AV3353" s="466"/>
      <c r="AW3353" s="466"/>
      <c r="AX3353" s="466"/>
      <c r="AY3353" s="466"/>
      <c r="AZ3353" s="466"/>
      <c r="BA3353" s="466"/>
      <c r="BB3353" s="466"/>
      <c r="BC3353" s="466"/>
      <c r="BD3353" s="466"/>
      <c r="BE3353" s="467"/>
      <c r="BF3353" s="467"/>
      <c r="BG3353" s="466"/>
      <c r="BH3353" s="466"/>
      <c r="BI3353" s="467"/>
      <c r="BJ3353" s="467"/>
      <c r="BK3353" s="467"/>
      <c r="BL3353" s="467"/>
      <c r="BM3353" s="467"/>
      <c r="BN3353" s="467"/>
      <c r="BO3353" s="467"/>
      <c r="BP3353" s="467"/>
      <c r="BQ3353" s="467"/>
      <c r="BR3353" s="467"/>
      <c r="BS3353" s="467"/>
      <c r="BT3353" s="467"/>
      <c r="BU3353" s="467"/>
      <c r="BV3353" s="467"/>
      <c r="BW3353" s="467"/>
      <c r="BX3353" s="769"/>
      <c r="BY3353" s="769"/>
      <c r="BZ3353" s="769"/>
      <c r="CA3353" s="769"/>
      <c r="CB3353" s="769"/>
      <c r="CC3353" s="769"/>
      <c r="CD3353" s="769"/>
      <c r="CE3353" s="769"/>
      <c r="CF3353" s="769"/>
      <c r="CG3353" s="73"/>
      <c r="CH3353" s="438"/>
      <c r="CI3353" s="416"/>
      <c r="CJ3353" s="73"/>
      <c r="CK3353" s="650"/>
      <c r="CL3353" s="499"/>
      <c r="CM3353" s="650"/>
      <c r="CR3353" s="416"/>
      <c r="CS3353" s="650"/>
      <c r="CU3353" s="73"/>
      <c r="CV3353" s="73"/>
      <c r="CW3353" s="73"/>
      <c r="CX3353" s="73"/>
      <c r="DA3353" s="650"/>
    </row>
    <row r="3354" spans="1:105" s="45" customFormat="1" x14ac:dyDescent="0.2">
      <c r="A3354" s="650"/>
      <c r="B3354" s="438"/>
      <c r="D3354" s="73"/>
      <c r="E3354" s="650"/>
      <c r="F3354" s="650"/>
      <c r="G3354" s="73"/>
      <c r="I3354" s="111"/>
      <c r="J3354" s="81"/>
      <c r="K3354" s="81"/>
      <c r="L3354" s="499"/>
      <c r="M3354" s="73"/>
      <c r="N3354" s="499"/>
      <c r="O3354" s="73"/>
      <c r="P3354" s="73"/>
      <c r="Q3354" s="73"/>
      <c r="R3354" s="176"/>
      <c r="S3354" s="176"/>
      <c r="T3354" s="176"/>
      <c r="U3354" s="400"/>
      <c r="V3354" s="400"/>
      <c r="W3354" s="732"/>
      <c r="X3354" s="167"/>
      <c r="Y3354" s="509"/>
      <c r="Z3354" s="466"/>
      <c r="AA3354" s="466"/>
      <c r="AB3354" s="466"/>
      <c r="AC3354" s="466"/>
      <c r="AD3354" s="466"/>
      <c r="AE3354" s="466"/>
      <c r="AF3354" s="466"/>
      <c r="AG3354" s="466"/>
      <c r="AH3354" s="466"/>
      <c r="AI3354" s="466"/>
      <c r="AJ3354" s="466"/>
      <c r="AK3354" s="466"/>
      <c r="AL3354" s="466"/>
      <c r="AM3354" s="466"/>
      <c r="AN3354" s="466"/>
      <c r="AO3354" s="466"/>
      <c r="AP3354" s="466"/>
      <c r="AQ3354" s="466"/>
      <c r="AR3354" s="466"/>
      <c r="AS3354" s="466"/>
      <c r="AT3354" s="466"/>
      <c r="AU3354" s="466"/>
      <c r="AV3354" s="466"/>
      <c r="AW3354" s="466"/>
      <c r="AX3354" s="466"/>
      <c r="AY3354" s="466"/>
      <c r="AZ3354" s="466"/>
      <c r="BA3354" s="466"/>
      <c r="BB3354" s="466"/>
      <c r="BC3354" s="466"/>
      <c r="BD3354" s="466"/>
      <c r="BE3354" s="467"/>
      <c r="BF3354" s="467"/>
      <c r="BG3354" s="466"/>
      <c r="BH3354" s="466"/>
      <c r="BI3354" s="467"/>
      <c r="BJ3354" s="467"/>
      <c r="BK3354" s="467"/>
      <c r="BL3354" s="467"/>
      <c r="BM3354" s="467"/>
      <c r="BN3354" s="467"/>
      <c r="BO3354" s="467"/>
      <c r="BP3354" s="467"/>
      <c r="BQ3354" s="467"/>
      <c r="BR3354" s="467"/>
      <c r="BS3354" s="467"/>
      <c r="BT3354" s="467"/>
      <c r="BU3354" s="467"/>
      <c r="BV3354" s="467"/>
      <c r="BW3354" s="467"/>
      <c r="BX3354" s="769"/>
      <c r="BY3354" s="769"/>
      <c r="BZ3354" s="769"/>
      <c r="CA3354" s="769"/>
      <c r="CB3354" s="769"/>
      <c r="CC3354" s="769"/>
      <c r="CD3354" s="769"/>
      <c r="CE3354" s="769"/>
      <c r="CF3354" s="769"/>
      <c r="CG3354" s="73"/>
      <c r="CH3354" s="438"/>
      <c r="CI3354" s="416"/>
      <c r="CJ3354" s="73"/>
      <c r="CK3354" s="650"/>
      <c r="CL3354" s="499"/>
      <c r="CM3354" s="650"/>
      <c r="CR3354" s="416"/>
      <c r="CS3354" s="650"/>
      <c r="CU3354" s="73"/>
      <c r="CV3354" s="73"/>
      <c r="CW3354" s="73"/>
      <c r="CX3354" s="73"/>
      <c r="DA3354" s="650"/>
    </row>
    <row r="3355" spans="1:105" s="45" customFormat="1" x14ac:dyDescent="0.2">
      <c r="A3355" s="650"/>
      <c r="B3355" s="438"/>
      <c r="D3355" s="73"/>
      <c r="E3355" s="650"/>
      <c r="F3355" s="650"/>
      <c r="G3355" s="73"/>
      <c r="I3355" s="111"/>
      <c r="J3355" s="81"/>
      <c r="K3355" s="81"/>
      <c r="L3355" s="499"/>
      <c r="M3355" s="73"/>
      <c r="N3355" s="499"/>
      <c r="O3355" s="73"/>
      <c r="P3355" s="73"/>
      <c r="Q3355" s="73"/>
      <c r="R3355" s="176"/>
      <c r="S3355" s="176"/>
      <c r="T3355" s="176"/>
      <c r="U3355" s="400"/>
      <c r="V3355" s="400"/>
      <c r="W3355" s="732"/>
      <c r="X3355" s="167"/>
      <c r="Y3355" s="509"/>
      <c r="Z3355" s="466"/>
      <c r="AA3355" s="466"/>
      <c r="AB3355" s="466"/>
      <c r="AC3355" s="466"/>
      <c r="AD3355" s="466"/>
      <c r="AE3355" s="466"/>
      <c r="AF3355" s="466"/>
      <c r="AG3355" s="466"/>
      <c r="AH3355" s="466"/>
      <c r="AI3355" s="466"/>
      <c r="AJ3355" s="466"/>
      <c r="AK3355" s="466"/>
      <c r="AL3355" s="466"/>
      <c r="AM3355" s="466"/>
      <c r="AN3355" s="466"/>
      <c r="AO3355" s="466"/>
      <c r="AP3355" s="466"/>
      <c r="AQ3355" s="466"/>
      <c r="AR3355" s="466"/>
      <c r="AS3355" s="466"/>
      <c r="AT3355" s="466"/>
      <c r="AU3355" s="466"/>
      <c r="AV3355" s="466"/>
      <c r="AW3355" s="466"/>
      <c r="AX3355" s="466"/>
      <c r="AY3355" s="466"/>
      <c r="AZ3355" s="466"/>
      <c r="BA3355" s="466"/>
      <c r="BB3355" s="466"/>
      <c r="BC3355" s="466"/>
      <c r="BD3355" s="466"/>
      <c r="BE3355" s="467"/>
      <c r="BF3355" s="467"/>
      <c r="BG3355" s="466"/>
      <c r="BH3355" s="466"/>
      <c r="BI3355" s="467"/>
      <c r="BJ3355" s="467"/>
      <c r="BK3355" s="467"/>
      <c r="BL3355" s="467"/>
      <c r="BM3355" s="467"/>
      <c r="BN3355" s="467"/>
      <c r="BO3355" s="467"/>
      <c r="BP3355" s="467"/>
      <c r="BQ3355" s="467"/>
      <c r="BR3355" s="467"/>
      <c r="BS3355" s="467"/>
      <c r="BT3355" s="467"/>
      <c r="BU3355" s="467"/>
      <c r="BV3355" s="467"/>
      <c r="BW3355" s="467"/>
      <c r="BX3355" s="769"/>
      <c r="BY3355" s="769"/>
      <c r="BZ3355" s="769"/>
      <c r="CA3355" s="769"/>
      <c r="CB3355" s="769"/>
      <c r="CC3355" s="769"/>
      <c r="CD3355" s="769"/>
      <c r="CE3355" s="769"/>
      <c r="CF3355" s="769"/>
      <c r="CG3355" s="73"/>
      <c r="CH3355" s="438"/>
      <c r="CI3355" s="416"/>
      <c r="CJ3355" s="73"/>
      <c r="CK3355" s="650"/>
      <c r="CL3355" s="499"/>
      <c r="CM3355" s="650"/>
      <c r="CR3355" s="416"/>
      <c r="CS3355" s="650"/>
      <c r="CU3355" s="73"/>
      <c r="CV3355" s="73"/>
      <c r="CW3355" s="73"/>
      <c r="CX3355" s="73"/>
      <c r="DA3355" s="650"/>
    </row>
    <row r="3356" spans="1:105" s="45" customFormat="1" x14ac:dyDescent="0.2">
      <c r="A3356" s="650"/>
      <c r="B3356" s="438"/>
      <c r="D3356" s="73"/>
      <c r="E3356" s="650"/>
      <c r="F3356" s="650"/>
      <c r="G3356" s="73"/>
      <c r="I3356" s="111"/>
      <c r="J3356" s="81"/>
      <c r="K3356" s="81"/>
      <c r="L3356" s="499"/>
      <c r="M3356" s="73"/>
      <c r="N3356" s="499"/>
      <c r="O3356" s="73"/>
      <c r="P3356" s="73"/>
      <c r="Q3356" s="73"/>
      <c r="R3356" s="176"/>
      <c r="S3356" s="176"/>
      <c r="T3356" s="176"/>
      <c r="U3356" s="400"/>
      <c r="V3356" s="400"/>
      <c r="W3356" s="732"/>
      <c r="X3356" s="167"/>
      <c r="Y3356" s="509"/>
      <c r="Z3356" s="466"/>
      <c r="AA3356" s="466"/>
      <c r="AB3356" s="466"/>
      <c r="AC3356" s="466"/>
      <c r="AD3356" s="466"/>
      <c r="AE3356" s="466"/>
      <c r="AF3356" s="466"/>
      <c r="AG3356" s="466"/>
      <c r="AH3356" s="466"/>
      <c r="AI3356" s="466"/>
      <c r="AJ3356" s="466"/>
      <c r="AK3356" s="466"/>
      <c r="AL3356" s="466"/>
      <c r="AM3356" s="466"/>
      <c r="AN3356" s="466"/>
      <c r="AO3356" s="466"/>
      <c r="AP3356" s="466"/>
      <c r="AQ3356" s="466"/>
      <c r="AR3356" s="466"/>
      <c r="AS3356" s="466"/>
      <c r="AT3356" s="466"/>
      <c r="AU3356" s="466"/>
      <c r="AV3356" s="466"/>
      <c r="AW3356" s="466"/>
      <c r="AX3356" s="466"/>
      <c r="AY3356" s="466"/>
      <c r="AZ3356" s="466"/>
      <c r="BA3356" s="466"/>
      <c r="BB3356" s="466"/>
      <c r="BC3356" s="466"/>
      <c r="BD3356" s="466"/>
      <c r="BE3356" s="467"/>
      <c r="BF3356" s="467"/>
      <c r="BG3356" s="466"/>
      <c r="BH3356" s="466"/>
      <c r="BI3356" s="467"/>
      <c r="BJ3356" s="467"/>
      <c r="BK3356" s="467"/>
      <c r="BL3356" s="467"/>
      <c r="BM3356" s="467"/>
      <c r="BN3356" s="467"/>
      <c r="BO3356" s="467"/>
      <c r="BP3356" s="467"/>
      <c r="BQ3356" s="467"/>
      <c r="BR3356" s="467"/>
      <c r="BS3356" s="467"/>
      <c r="BT3356" s="467"/>
      <c r="BU3356" s="467"/>
      <c r="BV3356" s="467"/>
      <c r="BW3356" s="467"/>
      <c r="BX3356" s="769"/>
      <c r="BY3356" s="769"/>
      <c r="BZ3356" s="769"/>
      <c r="CA3356" s="769"/>
      <c r="CB3356" s="769"/>
      <c r="CC3356" s="769"/>
      <c r="CD3356" s="769"/>
      <c r="CE3356" s="769"/>
      <c r="CF3356" s="769"/>
      <c r="CG3356" s="73"/>
      <c r="CH3356" s="438"/>
      <c r="CI3356" s="416"/>
      <c r="CJ3356" s="73"/>
      <c r="CK3356" s="650"/>
      <c r="CL3356" s="499"/>
      <c r="CM3356" s="650"/>
      <c r="CR3356" s="416"/>
      <c r="CS3356" s="650"/>
      <c r="CU3356" s="73"/>
      <c r="CV3356" s="73"/>
      <c r="CW3356" s="73"/>
      <c r="CX3356" s="73"/>
      <c r="DA3356" s="650"/>
    </row>
    <row r="3357" spans="1:105" s="45" customFormat="1" x14ac:dyDescent="0.2">
      <c r="A3357" s="650"/>
      <c r="B3357" s="438"/>
      <c r="D3357" s="73"/>
      <c r="E3357" s="650"/>
      <c r="F3357" s="650"/>
      <c r="G3357" s="73"/>
      <c r="I3357" s="111"/>
      <c r="J3357" s="81"/>
      <c r="K3357" s="81"/>
      <c r="L3357" s="499"/>
      <c r="M3357" s="73"/>
      <c r="N3357" s="499"/>
      <c r="O3357" s="73"/>
      <c r="P3357" s="73"/>
      <c r="Q3357" s="73"/>
      <c r="R3357" s="176"/>
      <c r="S3357" s="176"/>
      <c r="T3357" s="176"/>
      <c r="U3357" s="400"/>
      <c r="V3357" s="400"/>
      <c r="W3357" s="732"/>
      <c r="X3357" s="167"/>
      <c r="Y3357" s="509"/>
      <c r="Z3357" s="466"/>
      <c r="AA3357" s="466"/>
      <c r="AB3357" s="466"/>
      <c r="AC3357" s="466"/>
      <c r="AD3357" s="466"/>
      <c r="AE3357" s="466"/>
      <c r="AF3357" s="466"/>
      <c r="AG3357" s="466"/>
      <c r="AH3357" s="466"/>
      <c r="AI3357" s="466"/>
      <c r="AJ3357" s="466"/>
      <c r="AK3357" s="466"/>
      <c r="AL3357" s="466"/>
      <c r="AM3357" s="466"/>
      <c r="AN3357" s="466"/>
      <c r="AO3357" s="466"/>
      <c r="AP3357" s="466"/>
      <c r="AQ3357" s="466"/>
      <c r="AR3357" s="466"/>
      <c r="AS3357" s="466"/>
      <c r="AT3357" s="466"/>
      <c r="AU3357" s="466"/>
      <c r="AV3357" s="466"/>
      <c r="AW3357" s="466"/>
      <c r="AX3357" s="466"/>
      <c r="AY3357" s="466"/>
      <c r="AZ3357" s="466"/>
      <c r="BA3357" s="466"/>
      <c r="BB3357" s="466"/>
      <c r="BC3357" s="466"/>
      <c r="BD3357" s="466"/>
      <c r="BE3357" s="467"/>
      <c r="BF3357" s="467"/>
      <c r="BG3357" s="466"/>
      <c r="BH3357" s="466"/>
      <c r="BI3357" s="467"/>
      <c r="BJ3357" s="467"/>
      <c r="BK3357" s="467"/>
      <c r="BL3357" s="467"/>
      <c r="BM3357" s="467"/>
      <c r="BN3357" s="467"/>
      <c r="BO3357" s="467"/>
      <c r="BP3357" s="467"/>
      <c r="BQ3357" s="467"/>
      <c r="BR3357" s="467"/>
      <c r="BS3357" s="467"/>
      <c r="BT3357" s="467"/>
      <c r="BU3357" s="467"/>
      <c r="BV3357" s="467"/>
      <c r="BW3357" s="467"/>
      <c r="BX3357" s="769"/>
      <c r="BY3357" s="769"/>
      <c r="BZ3357" s="769"/>
      <c r="CA3357" s="769"/>
      <c r="CB3357" s="769"/>
      <c r="CC3357" s="769"/>
      <c r="CD3357" s="769"/>
      <c r="CE3357" s="769"/>
      <c r="CF3357" s="769"/>
      <c r="CG3357" s="73"/>
      <c r="CH3357" s="438"/>
      <c r="CI3357" s="416"/>
      <c r="CJ3357" s="73"/>
      <c r="CK3357" s="650"/>
      <c r="CL3357" s="499"/>
      <c r="CM3357" s="650"/>
      <c r="CR3357" s="416"/>
      <c r="CS3357" s="650"/>
      <c r="CU3357" s="73"/>
      <c r="CV3357" s="73"/>
      <c r="CW3357" s="73"/>
      <c r="CX3357" s="73"/>
      <c r="DA3357" s="650"/>
    </row>
    <row r="3358" spans="1:105" s="45" customFormat="1" x14ac:dyDescent="0.2">
      <c r="A3358" s="650"/>
      <c r="B3358" s="438"/>
      <c r="D3358" s="73"/>
      <c r="E3358" s="650"/>
      <c r="F3358" s="650"/>
      <c r="G3358" s="73"/>
      <c r="I3358" s="111"/>
      <c r="J3358" s="81"/>
      <c r="K3358" s="81"/>
      <c r="L3358" s="499"/>
      <c r="M3358" s="73"/>
      <c r="N3358" s="499"/>
      <c r="O3358" s="73"/>
      <c r="P3358" s="73"/>
      <c r="Q3358" s="73"/>
      <c r="R3358" s="176"/>
      <c r="S3358" s="176"/>
      <c r="T3358" s="176"/>
      <c r="U3358" s="400"/>
      <c r="V3358" s="400"/>
      <c r="W3358" s="732"/>
      <c r="X3358" s="167"/>
      <c r="Y3358" s="509"/>
      <c r="Z3358" s="466"/>
      <c r="AA3358" s="466"/>
      <c r="AB3358" s="466"/>
      <c r="AC3358" s="466"/>
      <c r="AD3358" s="466"/>
      <c r="AE3358" s="466"/>
      <c r="AF3358" s="466"/>
      <c r="AG3358" s="466"/>
      <c r="AH3358" s="466"/>
      <c r="AI3358" s="466"/>
      <c r="AJ3358" s="466"/>
      <c r="AK3358" s="466"/>
      <c r="AL3358" s="466"/>
      <c r="AM3358" s="466"/>
      <c r="AN3358" s="466"/>
      <c r="AO3358" s="466"/>
      <c r="AP3358" s="466"/>
      <c r="AQ3358" s="466"/>
      <c r="AR3358" s="466"/>
      <c r="AS3358" s="466"/>
      <c r="AT3358" s="466"/>
      <c r="AU3358" s="466"/>
      <c r="AV3358" s="466"/>
      <c r="AW3358" s="466"/>
      <c r="AX3358" s="466"/>
      <c r="AY3358" s="466"/>
      <c r="AZ3358" s="466"/>
      <c r="BA3358" s="466"/>
      <c r="BB3358" s="466"/>
      <c r="BC3358" s="466"/>
      <c r="BD3358" s="466"/>
      <c r="BE3358" s="467"/>
      <c r="BF3358" s="467"/>
      <c r="BG3358" s="466"/>
      <c r="BH3358" s="466"/>
      <c r="BI3358" s="467"/>
      <c r="BJ3358" s="467"/>
      <c r="BK3358" s="467"/>
      <c r="BL3358" s="467"/>
      <c r="BM3358" s="467"/>
      <c r="BN3358" s="467"/>
      <c r="BO3358" s="467"/>
      <c r="BP3358" s="467"/>
      <c r="BQ3358" s="467"/>
      <c r="BR3358" s="467"/>
      <c r="BS3358" s="467"/>
      <c r="BT3358" s="467"/>
      <c r="BU3358" s="467"/>
      <c r="BV3358" s="467"/>
      <c r="BW3358" s="467"/>
      <c r="BX3358" s="769"/>
      <c r="BY3358" s="769"/>
      <c r="BZ3358" s="769"/>
      <c r="CA3358" s="769"/>
      <c r="CB3358" s="769"/>
      <c r="CC3358" s="769"/>
      <c r="CD3358" s="769"/>
      <c r="CE3358" s="769"/>
      <c r="CF3358" s="769"/>
      <c r="CG3358" s="73"/>
      <c r="CH3358" s="438"/>
      <c r="CI3358" s="416"/>
      <c r="CJ3358" s="73"/>
      <c r="CK3358" s="650"/>
      <c r="CL3358" s="499"/>
      <c r="CM3358" s="650"/>
      <c r="CR3358" s="416"/>
      <c r="CS3358" s="650"/>
      <c r="CU3358" s="73"/>
      <c r="CV3358" s="73"/>
      <c r="CW3358" s="73"/>
      <c r="CX3358" s="73"/>
      <c r="DA3358" s="650"/>
    </row>
    <row r="3359" spans="1:105" s="45" customFormat="1" x14ac:dyDescent="0.2">
      <c r="A3359" s="650"/>
      <c r="B3359" s="438"/>
      <c r="D3359" s="73"/>
      <c r="E3359" s="650"/>
      <c r="F3359" s="650"/>
      <c r="G3359" s="73"/>
      <c r="I3359" s="111"/>
      <c r="J3359" s="81"/>
      <c r="K3359" s="81"/>
      <c r="L3359" s="499"/>
      <c r="M3359" s="73"/>
      <c r="N3359" s="499"/>
      <c r="O3359" s="73"/>
      <c r="P3359" s="73"/>
      <c r="Q3359" s="73"/>
      <c r="R3359" s="176"/>
      <c r="S3359" s="176"/>
      <c r="T3359" s="176"/>
      <c r="U3359" s="400"/>
      <c r="V3359" s="400"/>
      <c r="W3359" s="732"/>
      <c r="X3359" s="167"/>
      <c r="Y3359" s="509"/>
      <c r="Z3359" s="466"/>
      <c r="AA3359" s="466"/>
      <c r="AB3359" s="466"/>
      <c r="AC3359" s="466"/>
      <c r="AD3359" s="466"/>
      <c r="AE3359" s="466"/>
      <c r="AF3359" s="466"/>
      <c r="AG3359" s="466"/>
      <c r="AH3359" s="466"/>
      <c r="AI3359" s="466"/>
      <c r="AJ3359" s="466"/>
      <c r="AK3359" s="466"/>
      <c r="AL3359" s="466"/>
      <c r="AM3359" s="466"/>
      <c r="AN3359" s="466"/>
      <c r="AO3359" s="466"/>
      <c r="AP3359" s="466"/>
      <c r="AQ3359" s="466"/>
      <c r="AR3359" s="466"/>
      <c r="AS3359" s="466"/>
      <c r="AT3359" s="466"/>
      <c r="AU3359" s="466"/>
      <c r="AV3359" s="466"/>
      <c r="AW3359" s="466"/>
      <c r="AX3359" s="466"/>
      <c r="AY3359" s="466"/>
      <c r="AZ3359" s="466"/>
      <c r="BA3359" s="466"/>
      <c r="BB3359" s="466"/>
      <c r="BC3359" s="466"/>
      <c r="BD3359" s="466"/>
      <c r="BE3359" s="467"/>
      <c r="BF3359" s="467"/>
      <c r="BG3359" s="466"/>
      <c r="BH3359" s="466"/>
      <c r="BI3359" s="467"/>
      <c r="BJ3359" s="467"/>
      <c r="BK3359" s="467"/>
      <c r="BL3359" s="467"/>
      <c r="BM3359" s="467"/>
      <c r="BN3359" s="467"/>
      <c r="BO3359" s="467"/>
      <c r="BP3359" s="467"/>
      <c r="BQ3359" s="467"/>
      <c r="BR3359" s="467"/>
      <c r="BS3359" s="467"/>
      <c r="BT3359" s="467"/>
      <c r="BU3359" s="467"/>
      <c r="BV3359" s="467"/>
      <c r="BW3359" s="467"/>
      <c r="BX3359" s="769"/>
      <c r="BY3359" s="769"/>
      <c r="BZ3359" s="769"/>
      <c r="CA3359" s="769"/>
      <c r="CB3359" s="769"/>
      <c r="CC3359" s="769"/>
      <c r="CD3359" s="769"/>
      <c r="CE3359" s="769"/>
      <c r="CF3359" s="769"/>
      <c r="CG3359" s="73"/>
      <c r="CH3359" s="438"/>
      <c r="CI3359" s="416"/>
      <c r="CJ3359" s="73"/>
      <c r="CK3359" s="650"/>
      <c r="CL3359" s="499"/>
      <c r="CM3359" s="650"/>
      <c r="CR3359" s="416"/>
      <c r="CS3359" s="650"/>
      <c r="CU3359" s="73"/>
      <c r="CV3359" s="73"/>
      <c r="CW3359" s="73"/>
      <c r="CX3359" s="73"/>
      <c r="DA3359" s="650"/>
    </row>
    <row r="3360" spans="1:105" s="45" customFormat="1" x14ac:dyDescent="0.2">
      <c r="A3360" s="650"/>
      <c r="B3360" s="438"/>
      <c r="D3360" s="73"/>
      <c r="E3360" s="650"/>
      <c r="F3360" s="650"/>
      <c r="G3360" s="73"/>
      <c r="I3360" s="111"/>
      <c r="J3360" s="81"/>
      <c r="K3360" s="81"/>
      <c r="L3360" s="499"/>
      <c r="M3360" s="73"/>
      <c r="N3360" s="499"/>
      <c r="O3360" s="73"/>
      <c r="P3360" s="73"/>
      <c r="Q3360" s="73"/>
      <c r="R3360" s="176"/>
      <c r="S3360" s="176"/>
      <c r="T3360" s="176"/>
      <c r="U3360" s="400"/>
      <c r="V3360" s="400"/>
      <c r="W3360" s="732"/>
      <c r="X3360" s="167"/>
      <c r="Y3360" s="509"/>
      <c r="Z3360" s="466"/>
      <c r="AA3360" s="466"/>
      <c r="AB3360" s="466"/>
      <c r="AC3360" s="466"/>
      <c r="AD3360" s="466"/>
      <c r="AE3360" s="466"/>
      <c r="AF3360" s="466"/>
      <c r="AG3360" s="466"/>
      <c r="AH3360" s="466"/>
      <c r="AI3360" s="466"/>
      <c r="AJ3360" s="466"/>
      <c r="AK3360" s="466"/>
      <c r="AL3360" s="466"/>
      <c r="AM3360" s="466"/>
      <c r="AN3360" s="466"/>
      <c r="AO3360" s="466"/>
      <c r="AP3360" s="466"/>
      <c r="AQ3360" s="466"/>
      <c r="AR3360" s="466"/>
      <c r="AS3360" s="466"/>
      <c r="AT3360" s="466"/>
      <c r="AU3360" s="466"/>
      <c r="AV3360" s="466"/>
      <c r="AW3360" s="466"/>
      <c r="AX3360" s="466"/>
      <c r="AY3360" s="466"/>
      <c r="AZ3360" s="466"/>
      <c r="BA3360" s="466"/>
      <c r="BB3360" s="466"/>
      <c r="BC3360" s="466"/>
      <c r="BD3360" s="466"/>
      <c r="BE3360" s="467"/>
      <c r="BF3360" s="467"/>
      <c r="BG3360" s="466"/>
      <c r="BH3360" s="466"/>
      <c r="BI3360" s="467"/>
      <c r="BJ3360" s="467"/>
      <c r="BK3360" s="467"/>
      <c r="BL3360" s="467"/>
      <c r="BM3360" s="467"/>
      <c r="BN3360" s="467"/>
      <c r="BO3360" s="467"/>
      <c r="BP3360" s="467"/>
      <c r="BQ3360" s="467"/>
      <c r="BR3360" s="467"/>
      <c r="BS3360" s="467"/>
      <c r="BT3360" s="467"/>
      <c r="BU3360" s="467"/>
      <c r="BV3360" s="467"/>
      <c r="BW3360" s="467"/>
      <c r="BX3360" s="769"/>
      <c r="BY3360" s="769"/>
      <c r="BZ3360" s="769"/>
      <c r="CA3360" s="769"/>
      <c r="CB3360" s="769"/>
      <c r="CC3360" s="769"/>
      <c r="CD3360" s="769"/>
      <c r="CE3360" s="769"/>
      <c r="CF3360" s="769"/>
      <c r="CG3360" s="73"/>
      <c r="CH3360" s="438"/>
      <c r="CI3360" s="416"/>
      <c r="CJ3360" s="73"/>
      <c r="CK3360" s="650"/>
      <c r="CL3360" s="499"/>
      <c r="CM3360" s="650"/>
      <c r="CR3360" s="416"/>
      <c r="CS3360" s="650"/>
      <c r="CU3360" s="73"/>
      <c r="CV3360" s="73"/>
      <c r="CW3360" s="73"/>
      <c r="CX3360" s="73"/>
      <c r="DA3360" s="650"/>
    </row>
    <row r="3361" spans="1:105" s="45" customFormat="1" x14ac:dyDescent="0.2">
      <c r="A3361" s="650"/>
      <c r="B3361" s="438"/>
      <c r="D3361" s="73"/>
      <c r="E3361" s="650"/>
      <c r="F3361" s="650"/>
      <c r="G3361" s="73"/>
      <c r="I3361" s="111"/>
      <c r="J3361" s="81"/>
      <c r="K3361" s="81"/>
      <c r="L3361" s="499"/>
      <c r="M3361" s="73"/>
      <c r="N3361" s="499"/>
      <c r="O3361" s="73"/>
      <c r="P3361" s="73"/>
      <c r="Q3361" s="73"/>
      <c r="R3361" s="176"/>
      <c r="S3361" s="176"/>
      <c r="T3361" s="176"/>
      <c r="U3361" s="400"/>
      <c r="V3361" s="400"/>
      <c r="W3361" s="732"/>
      <c r="X3361" s="167"/>
      <c r="Y3361" s="509"/>
      <c r="Z3361" s="466"/>
      <c r="AA3361" s="466"/>
      <c r="AB3361" s="466"/>
      <c r="AC3361" s="466"/>
      <c r="AD3361" s="466"/>
      <c r="AE3361" s="466"/>
      <c r="AF3361" s="466"/>
      <c r="AG3361" s="466"/>
      <c r="AH3361" s="466"/>
      <c r="AI3361" s="466"/>
      <c r="AJ3361" s="466"/>
      <c r="AK3361" s="466"/>
      <c r="AL3361" s="466"/>
      <c r="AM3361" s="466"/>
      <c r="AN3361" s="466"/>
      <c r="AO3361" s="466"/>
      <c r="AP3361" s="466"/>
      <c r="AQ3361" s="466"/>
      <c r="AR3361" s="466"/>
      <c r="AS3361" s="466"/>
      <c r="AT3361" s="466"/>
      <c r="AU3361" s="466"/>
      <c r="AV3361" s="466"/>
      <c r="AW3361" s="466"/>
      <c r="AX3361" s="466"/>
      <c r="AY3361" s="466"/>
      <c r="AZ3361" s="466"/>
      <c r="BA3361" s="466"/>
      <c r="BB3361" s="466"/>
      <c r="BC3361" s="466"/>
      <c r="BD3361" s="466"/>
      <c r="BE3361" s="467"/>
      <c r="BF3361" s="467"/>
      <c r="BG3361" s="466"/>
      <c r="BH3361" s="466"/>
      <c r="BI3361" s="467"/>
      <c r="BJ3361" s="467"/>
      <c r="BK3361" s="467"/>
      <c r="BL3361" s="467"/>
      <c r="BM3361" s="467"/>
      <c r="BN3361" s="467"/>
      <c r="BO3361" s="467"/>
      <c r="BP3361" s="467"/>
      <c r="BQ3361" s="467"/>
      <c r="BR3361" s="467"/>
      <c r="BS3361" s="467"/>
      <c r="BT3361" s="467"/>
      <c r="BU3361" s="467"/>
      <c r="BV3361" s="467"/>
      <c r="BW3361" s="467"/>
      <c r="BX3361" s="769"/>
      <c r="BY3361" s="769"/>
      <c r="BZ3361" s="769"/>
      <c r="CA3361" s="769"/>
      <c r="CB3361" s="769"/>
      <c r="CC3361" s="769"/>
      <c r="CD3361" s="769"/>
      <c r="CE3361" s="769"/>
      <c r="CF3361" s="769"/>
      <c r="CG3361" s="73"/>
      <c r="CH3361" s="438"/>
      <c r="CI3361" s="416"/>
      <c r="CJ3361" s="73"/>
      <c r="CK3361" s="650"/>
      <c r="CL3361" s="499"/>
      <c r="CM3361" s="650"/>
      <c r="CR3361" s="416"/>
      <c r="CS3361" s="650"/>
      <c r="CU3361" s="73"/>
      <c r="CV3361" s="73"/>
      <c r="CW3361" s="73"/>
      <c r="CX3361" s="73"/>
      <c r="DA3361" s="650"/>
    </row>
    <row r="3362" spans="1:105" s="45" customFormat="1" x14ac:dyDescent="0.2">
      <c r="A3362" s="650"/>
      <c r="B3362" s="438"/>
      <c r="D3362" s="73"/>
      <c r="E3362" s="650"/>
      <c r="F3362" s="650"/>
      <c r="G3362" s="73"/>
      <c r="I3362" s="111"/>
      <c r="J3362" s="81"/>
      <c r="K3362" s="81"/>
      <c r="L3362" s="499"/>
      <c r="M3362" s="73"/>
      <c r="N3362" s="499"/>
      <c r="O3362" s="73"/>
      <c r="P3362" s="73"/>
      <c r="Q3362" s="73"/>
      <c r="R3362" s="176"/>
      <c r="S3362" s="176"/>
      <c r="T3362" s="176"/>
      <c r="U3362" s="400"/>
      <c r="V3362" s="400"/>
      <c r="W3362" s="732"/>
      <c r="X3362" s="167"/>
      <c r="Y3362" s="509"/>
      <c r="Z3362" s="466"/>
      <c r="AA3362" s="466"/>
      <c r="AB3362" s="466"/>
      <c r="AC3362" s="466"/>
      <c r="AD3362" s="466"/>
      <c r="AE3362" s="466"/>
      <c r="AF3362" s="466"/>
      <c r="AG3362" s="466"/>
      <c r="AH3362" s="466"/>
      <c r="AI3362" s="466"/>
      <c r="AJ3362" s="466"/>
      <c r="AK3362" s="466"/>
      <c r="AL3362" s="466"/>
      <c r="AM3362" s="466"/>
      <c r="AN3362" s="466"/>
      <c r="AO3362" s="466"/>
      <c r="AP3362" s="466"/>
      <c r="AQ3362" s="466"/>
      <c r="AR3362" s="466"/>
      <c r="AS3362" s="466"/>
      <c r="AT3362" s="466"/>
      <c r="AU3362" s="466"/>
      <c r="AV3362" s="466"/>
      <c r="AW3362" s="466"/>
      <c r="AX3362" s="466"/>
      <c r="AY3362" s="466"/>
      <c r="AZ3362" s="466"/>
      <c r="BA3362" s="466"/>
      <c r="BB3362" s="466"/>
      <c r="BC3362" s="466"/>
      <c r="BD3362" s="466"/>
      <c r="BE3362" s="467"/>
      <c r="BF3362" s="467"/>
      <c r="BG3362" s="466"/>
      <c r="BH3362" s="466"/>
      <c r="BI3362" s="467"/>
      <c r="BJ3362" s="467"/>
      <c r="BK3362" s="467"/>
      <c r="BL3362" s="467"/>
      <c r="BM3362" s="467"/>
      <c r="BN3362" s="467"/>
      <c r="BO3362" s="467"/>
      <c r="BP3362" s="467"/>
      <c r="BQ3362" s="467"/>
      <c r="BR3362" s="467"/>
      <c r="BS3362" s="467"/>
      <c r="BT3362" s="467"/>
      <c r="BU3362" s="467"/>
      <c r="BV3362" s="467"/>
      <c r="BW3362" s="467"/>
      <c r="BX3362" s="769"/>
      <c r="BY3362" s="769"/>
      <c r="BZ3362" s="769"/>
      <c r="CA3362" s="769"/>
      <c r="CB3362" s="769"/>
      <c r="CC3362" s="769"/>
      <c r="CD3362" s="769"/>
      <c r="CE3362" s="769"/>
      <c r="CF3362" s="769"/>
      <c r="CG3362" s="73"/>
      <c r="CH3362" s="438"/>
      <c r="CI3362" s="416"/>
      <c r="CJ3362" s="73"/>
      <c r="CK3362" s="650"/>
      <c r="CL3362" s="499"/>
      <c r="CM3362" s="650"/>
      <c r="CR3362" s="416"/>
      <c r="CS3362" s="650"/>
      <c r="CU3362" s="73"/>
      <c r="CV3362" s="73"/>
      <c r="CW3362" s="73"/>
      <c r="CX3362" s="73"/>
      <c r="DA3362" s="650"/>
    </row>
    <row r="3363" spans="1:105" s="45" customFormat="1" x14ac:dyDescent="0.2">
      <c r="A3363" s="650"/>
      <c r="B3363" s="438"/>
      <c r="D3363" s="73"/>
      <c r="E3363" s="650"/>
      <c r="F3363" s="650"/>
      <c r="G3363" s="73"/>
      <c r="I3363" s="111"/>
      <c r="J3363" s="81"/>
      <c r="K3363" s="81"/>
      <c r="L3363" s="499"/>
      <c r="M3363" s="73"/>
      <c r="N3363" s="499"/>
      <c r="O3363" s="73"/>
      <c r="P3363" s="73"/>
      <c r="Q3363" s="73"/>
      <c r="R3363" s="176"/>
      <c r="S3363" s="176"/>
      <c r="T3363" s="176"/>
      <c r="U3363" s="400"/>
      <c r="V3363" s="400"/>
      <c r="W3363" s="732"/>
      <c r="X3363" s="167"/>
      <c r="Y3363" s="509"/>
      <c r="Z3363" s="466"/>
      <c r="AA3363" s="466"/>
      <c r="AB3363" s="466"/>
      <c r="AC3363" s="466"/>
      <c r="AD3363" s="466"/>
      <c r="AE3363" s="466"/>
      <c r="AF3363" s="466"/>
      <c r="AG3363" s="466"/>
      <c r="AH3363" s="466"/>
      <c r="AI3363" s="466"/>
      <c r="AJ3363" s="466"/>
      <c r="AK3363" s="466"/>
      <c r="AL3363" s="466"/>
      <c r="AM3363" s="466"/>
      <c r="AN3363" s="466"/>
      <c r="AO3363" s="466"/>
      <c r="AP3363" s="466"/>
      <c r="AQ3363" s="466"/>
      <c r="AR3363" s="466"/>
      <c r="AS3363" s="466"/>
      <c r="AT3363" s="466"/>
      <c r="AU3363" s="466"/>
      <c r="AV3363" s="466"/>
      <c r="AW3363" s="466"/>
      <c r="AX3363" s="466"/>
      <c r="AY3363" s="466"/>
      <c r="AZ3363" s="466"/>
      <c r="BA3363" s="466"/>
      <c r="BB3363" s="466"/>
      <c r="BC3363" s="466"/>
      <c r="BD3363" s="466"/>
      <c r="BE3363" s="467"/>
      <c r="BF3363" s="467"/>
      <c r="BG3363" s="466"/>
      <c r="BH3363" s="466"/>
      <c r="BI3363" s="467"/>
      <c r="BJ3363" s="467"/>
      <c r="BK3363" s="467"/>
      <c r="BL3363" s="467"/>
      <c r="BM3363" s="467"/>
      <c r="BN3363" s="467"/>
      <c r="BO3363" s="467"/>
      <c r="BP3363" s="467"/>
      <c r="BQ3363" s="467"/>
      <c r="BR3363" s="467"/>
      <c r="BS3363" s="467"/>
      <c r="BT3363" s="467"/>
      <c r="BU3363" s="467"/>
      <c r="BV3363" s="467"/>
      <c r="BW3363" s="467"/>
      <c r="BX3363" s="769"/>
      <c r="BY3363" s="769"/>
      <c r="BZ3363" s="769"/>
      <c r="CA3363" s="769"/>
      <c r="CB3363" s="769"/>
      <c r="CC3363" s="769"/>
      <c r="CD3363" s="769"/>
      <c r="CE3363" s="769"/>
      <c r="CF3363" s="769"/>
      <c r="CG3363" s="73"/>
      <c r="CH3363" s="438"/>
      <c r="CI3363" s="416"/>
      <c r="CJ3363" s="73"/>
      <c r="CK3363" s="650"/>
      <c r="CL3363" s="499"/>
      <c r="CM3363" s="650"/>
      <c r="CR3363" s="416"/>
      <c r="CS3363" s="650"/>
      <c r="CU3363" s="73"/>
      <c r="CV3363" s="73"/>
      <c r="CW3363" s="73"/>
      <c r="CX3363" s="73"/>
      <c r="DA3363" s="650"/>
    </row>
    <row r="3364" spans="1:105" s="45" customFormat="1" x14ac:dyDescent="0.2">
      <c r="A3364" s="650"/>
      <c r="B3364" s="438"/>
      <c r="D3364" s="73"/>
      <c r="E3364" s="650"/>
      <c r="F3364" s="650"/>
      <c r="G3364" s="73"/>
      <c r="I3364" s="111"/>
      <c r="J3364" s="81"/>
      <c r="K3364" s="81"/>
      <c r="L3364" s="499"/>
      <c r="M3364" s="73"/>
      <c r="N3364" s="499"/>
      <c r="O3364" s="73"/>
      <c r="P3364" s="73"/>
      <c r="Q3364" s="73"/>
      <c r="R3364" s="176"/>
      <c r="S3364" s="176"/>
      <c r="T3364" s="176"/>
      <c r="U3364" s="400"/>
      <c r="V3364" s="400"/>
      <c r="W3364" s="732"/>
      <c r="X3364" s="167"/>
      <c r="Y3364" s="509"/>
      <c r="Z3364" s="466"/>
      <c r="AA3364" s="466"/>
      <c r="AB3364" s="466"/>
      <c r="AC3364" s="466"/>
      <c r="AD3364" s="466"/>
      <c r="AE3364" s="466"/>
      <c r="AF3364" s="466"/>
      <c r="AG3364" s="466"/>
      <c r="AH3364" s="466"/>
      <c r="AI3364" s="466"/>
      <c r="AJ3364" s="466"/>
      <c r="AK3364" s="466"/>
      <c r="AL3364" s="466"/>
      <c r="AM3364" s="466"/>
      <c r="AN3364" s="466"/>
      <c r="AO3364" s="466"/>
      <c r="AP3364" s="466"/>
      <c r="AQ3364" s="466"/>
      <c r="AR3364" s="466"/>
      <c r="AS3364" s="466"/>
      <c r="AT3364" s="466"/>
      <c r="AU3364" s="466"/>
      <c r="AV3364" s="466"/>
      <c r="AW3364" s="466"/>
      <c r="AX3364" s="466"/>
      <c r="AY3364" s="466"/>
      <c r="AZ3364" s="466"/>
      <c r="BA3364" s="466"/>
      <c r="BB3364" s="466"/>
      <c r="BC3364" s="466"/>
      <c r="BD3364" s="466"/>
      <c r="BE3364" s="467"/>
      <c r="BF3364" s="467"/>
      <c r="BG3364" s="466"/>
      <c r="BH3364" s="466"/>
      <c r="BI3364" s="467"/>
      <c r="BJ3364" s="467"/>
      <c r="BK3364" s="467"/>
      <c r="BL3364" s="467"/>
      <c r="BM3364" s="467"/>
      <c r="BN3364" s="467"/>
      <c r="BO3364" s="467"/>
      <c r="BP3364" s="467"/>
      <c r="BQ3364" s="467"/>
      <c r="BR3364" s="467"/>
      <c r="BS3364" s="467"/>
      <c r="BT3364" s="467"/>
      <c r="BU3364" s="467"/>
      <c r="BV3364" s="467"/>
      <c r="BW3364" s="467"/>
      <c r="BX3364" s="769"/>
      <c r="BY3364" s="769"/>
      <c r="BZ3364" s="769"/>
      <c r="CA3364" s="769"/>
      <c r="CB3364" s="769"/>
      <c r="CC3364" s="769"/>
      <c r="CD3364" s="769"/>
      <c r="CE3364" s="769"/>
      <c r="CF3364" s="769"/>
      <c r="CG3364" s="73"/>
      <c r="CH3364" s="438"/>
      <c r="CI3364" s="416"/>
      <c r="CJ3364" s="73"/>
      <c r="CK3364" s="650"/>
      <c r="CL3364" s="499"/>
      <c r="CM3364" s="650"/>
      <c r="CR3364" s="416"/>
      <c r="CS3364" s="650"/>
      <c r="CU3364" s="73"/>
      <c r="CV3364" s="73"/>
      <c r="CW3364" s="73"/>
      <c r="CX3364" s="73"/>
      <c r="DA3364" s="650"/>
    </row>
    <row r="3365" spans="1:105" s="45" customFormat="1" x14ac:dyDescent="0.2">
      <c r="A3365" s="650"/>
      <c r="B3365" s="438"/>
      <c r="D3365" s="73"/>
      <c r="E3365" s="650"/>
      <c r="F3365" s="650"/>
      <c r="G3365" s="73"/>
      <c r="I3365" s="111"/>
      <c r="J3365" s="81"/>
      <c r="K3365" s="81"/>
      <c r="L3365" s="499"/>
      <c r="M3365" s="73"/>
      <c r="N3365" s="499"/>
      <c r="O3365" s="73"/>
      <c r="P3365" s="73"/>
      <c r="Q3365" s="73"/>
      <c r="R3365" s="176"/>
      <c r="S3365" s="176"/>
      <c r="T3365" s="176"/>
      <c r="U3365" s="400"/>
      <c r="V3365" s="400"/>
      <c r="W3365" s="732"/>
      <c r="X3365" s="167"/>
      <c r="Y3365" s="509"/>
      <c r="Z3365" s="466"/>
      <c r="AA3365" s="466"/>
      <c r="AB3365" s="466"/>
      <c r="AC3365" s="466"/>
      <c r="AD3365" s="466"/>
      <c r="AE3365" s="466"/>
      <c r="AF3365" s="466"/>
      <c r="AG3365" s="466"/>
      <c r="AH3365" s="466"/>
      <c r="AI3365" s="466"/>
      <c r="AJ3365" s="466"/>
      <c r="AK3365" s="466"/>
      <c r="AL3365" s="466"/>
      <c r="AM3365" s="466"/>
      <c r="AN3365" s="466"/>
      <c r="AO3365" s="466"/>
      <c r="AP3365" s="466"/>
      <c r="AQ3365" s="466"/>
      <c r="AR3365" s="466"/>
      <c r="AS3365" s="466"/>
      <c r="AT3365" s="466"/>
      <c r="AU3365" s="466"/>
      <c r="AV3365" s="466"/>
      <c r="AW3365" s="466"/>
      <c r="AX3365" s="466"/>
      <c r="AY3365" s="466"/>
      <c r="AZ3365" s="466"/>
      <c r="BA3365" s="466"/>
      <c r="BB3365" s="466"/>
      <c r="BC3365" s="466"/>
      <c r="BD3365" s="466"/>
      <c r="BE3365" s="467"/>
      <c r="BF3365" s="467"/>
      <c r="BG3365" s="466"/>
      <c r="BH3365" s="466"/>
      <c r="BI3365" s="467"/>
      <c r="BJ3365" s="467"/>
      <c r="BK3365" s="467"/>
      <c r="BL3365" s="467"/>
      <c r="BM3365" s="467"/>
      <c r="BN3365" s="467"/>
      <c r="BO3365" s="467"/>
      <c r="BP3365" s="467"/>
      <c r="BQ3365" s="467"/>
      <c r="BR3365" s="467"/>
      <c r="BS3365" s="467"/>
      <c r="BT3365" s="467"/>
      <c r="BU3365" s="467"/>
      <c r="BV3365" s="467"/>
      <c r="BW3365" s="467"/>
      <c r="BX3365" s="769"/>
      <c r="BY3365" s="769"/>
      <c r="BZ3365" s="769"/>
      <c r="CA3365" s="769"/>
      <c r="CB3365" s="769"/>
      <c r="CC3365" s="769"/>
      <c r="CD3365" s="769"/>
      <c r="CE3365" s="769"/>
      <c r="CF3365" s="769"/>
      <c r="CG3365" s="73"/>
      <c r="CH3365" s="438"/>
      <c r="CI3365" s="416"/>
      <c r="CJ3365" s="73"/>
      <c r="CK3365" s="650"/>
      <c r="CL3365" s="499"/>
      <c r="CM3365" s="650"/>
      <c r="CR3365" s="416"/>
      <c r="CS3365" s="650"/>
      <c r="CU3365" s="73"/>
      <c r="CV3365" s="73"/>
      <c r="CW3365" s="73"/>
      <c r="CX3365" s="73"/>
      <c r="DA3365" s="650"/>
    </row>
    <row r="3366" spans="1:105" s="45" customFormat="1" x14ac:dyDescent="0.2">
      <c r="A3366" s="650"/>
      <c r="B3366" s="438"/>
      <c r="D3366" s="73"/>
      <c r="E3366" s="650"/>
      <c r="F3366" s="650"/>
      <c r="G3366" s="73"/>
      <c r="I3366" s="111"/>
      <c r="J3366" s="81"/>
      <c r="K3366" s="81"/>
      <c r="L3366" s="499"/>
      <c r="M3366" s="73"/>
      <c r="N3366" s="499"/>
      <c r="O3366" s="73"/>
      <c r="P3366" s="73"/>
      <c r="Q3366" s="73"/>
      <c r="R3366" s="176"/>
      <c r="S3366" s="176"/>
      <c r="T3366" s="176"/>
      <c r="U3366" s="400"/>
      <c r="V3366" s="400"/>
      <c r="W3366" s="732"/>
      <c r="X3366" s="167"/>
      <c r="Y3366" s="509"/>
      <c r="Z3366" s="466"/>
      <c r="AA3366" s="466"/>
      <c r="AB3366" s="466"/>
      <c r="AC3366" s="466"/>
      <c r="AD3366" s="466"/>
      <c r="AE3366" s="466"/>
      <c r="AF3366" s="466"/>
      <c r="AG3366" s="466"/>
      <c r="AH3366" s="466"/>
      <c r="AI3366" s="466"/>
      <c r="AJ3366" s="466"/>
      <c r="AK3366" s="466"/>
      <c r="AL3366" s="466"/>
      <c r="AM3366" s="466"/>
      <c r="AN3366" s="466"/>
      <c r="AO3366" s="466"/>
      <c r="AP3366" s="466"/>
      <c r="AQ3366" s="466"/>
      <c r="AR3366" s="466"/>
      <c r="AS3366" s="466"/>
      <c r="AT3366" s="466"/>
      <c r="AU3366" s="466"/>
      <c r="AV3366" s="466"/>
      <c r="AW3366" s="466"/>
      <c r="AX3366" s="466"/>
      <c r="AY3366" s="466"/>
      <c r="AZ3366" s="466"/>
      <c r="BA3366" s="466"/>
      <c r="BB3366" s="466"/>
      <c r="BC3366" s="466"/>
      <c r="BD3366" s="466"/>
      <c r="BE3366" s="467"/>
      <c r="BF3366" s="467"/>
      <c r="BG3366" s="466"/>
      <c r="BH3366" s="466"/>
      <c r="BI3366" s="467"/>
      <c r="BJ3366" s="467"/>
      <c r="BK3366" s="467"/>
      <c r="BL3366" s="467"/>
      <c r="BM3366" s="467"/>
      <c r="BN3366" s="467"/>
      <c r="BO3366" s="467"/>
      <c r="BP3366" s="467"/>
      <c r="BQ3366" s="467"/>
      <c r="BR3366" s="467"/>
      <c r="BS3366" s="467"/>
      <c r="BT3366" s="467"/>
      <c r="BU3366" s="467"/>
      <c r="BV3366" s="467"/>
      <c r="BW3366" s="467"/>
      <c r="BX3366" s="769"/>
      <c r="BY3366" s="769"/>
      <c r="BZ3366" s="769"/>
      <c r="CA3366" s="769"/>
      <c r="CB3366" s="769"/>
      <c r="CC3366" s="769"/>
      <c r="CD3366" s="769"/>
      <c r="CE3366" s="769"/>
      <c r="CF3366" s="769"/>
      <c r="CG3366" s="73"/>
      <c r="CH3366" s="438"/>
      <c r="CI3366" s="416"/>
      <c r="CJ3366" s="73"/>
      <c r="CK3366" s="650"/>
      <c r="CL3366" s="499"/>
      <c r="CM3366" s="650"/>
      <c r="CR3366" s="416"/>
      <c r="CS3366" s="650"/>
      <c r="CU3366" s="73"/>
      <c r="CV3366" s="73"/>
      <c r="CW3366" s="73"/>
      <c r="CX3366" s="73"/>
      <c r="DA3366" s="650"/>
    </row>
    <row r="3367" spans="1:105" s="45" customFormat="1" x14ac:dyDescent="0.2">
      <c r="A3367" s="650"/>
      <c r="B3367" s="438"/>
      <c r="D3367" s="73"/>
      <c r="E3367" s="650"/>
      <c r="F3367" s="650"/>
      <c r="G3367" s="73"/>
      <c r="I3367" s="111"/>
      <c r="J3367" s="81"/>
      <c r="K3367" s="81"/>
      <c r="L3367" s="499"/>
      <c r="M3367" s="73"/>
      <c r="N3367" s="499"/>
      <c r="O3367" s="73"/>
      <c r="P3367" s="73"/>
      <c r="Q3367" s="73"/>
      <c r="R3367" s="176"/>
      <c r="S3367" s="176"/>
      <c r="T3367" s="176"/>
      <c r="U3367" s="400"/>
      <c r="V3367" s="400"/>
      <c r="W3367" s="732"/>
      <c r="X3367" s="167"/>
      <c r="Y3367" s="509"/>
      <c r="Z3367" s="466"/>
      <c r="AA3367" s="466"/>
      <c r="AB3367" s="466"/>
      <c r="AC3367" s="466"/>
      <c r="AD3367" s="466"/>
      <c r="AE3367" s="466"/>
      <c r="AF3367" s="466"/>
      <c r="AG3367" s="466"/>
      <c r="AH3367" s="466"/>
      <c r="AI3367" s="466"/>
      <c r="AJ3367" s="466"/>
      <c r="AK3367" s="466"/>
      <c r="AL3367" s="466"/>
      <c r="AM3367" s="466"/>
      <c r="AN3367" s="466"/>
      <c r="AO3367" s="466"/>
      <c r="AP3367" s="466"/>
      <c r="AQ3367" s="466"/>
      <c r="AR3367" s="466"/>
      <c r="AS3367" s="466"/>
      <c r="AT3367" s="466"/>
      <c r="AU3367" s="466"/>
      <c r="AV3367" s="466"/>
      <c r="AW3367" s="466"/>
      <c r="AX3367" s="466"/>
      <c r="AY3367" s="466"/>
      <c r="AZ3367" s="466"/>
      <c r="BA3367" s="466"/>
      <c r="BB3367" s="466"/>
      <c r="BC3367" s="466"/>
      <c r="BD3367" s="466"/>
      <c r="BE3367" s="467"/>
      <c r="BF3367" s="467"/>
      <c r="BG3367" s="466"/>
      <c r="BH3367" s="466"/>
      <c r="BI3367" s="467"/>
      <c r="BJ3367" s="467"/>
      <c r="BK3367" s="467"/>
      <c r="BL3367" s="467"/>
      <c r="BM3367" s="467"/>
      <c r="BN3367" s="467"/>
      <c r="BO3367" s="467"/>
      <c r="BP3367" s="467"/>
      <c r="BQ3367" s="467"/>
      <c r="BR3367" s="467"/>
      <c r="BS3367" s="467"/>
      <c r="BT3367" s="467"/>
      <c r="BU3367" s="467"/>
      <c r="BV3367" s="467"/>
      <c r="BW3367" s="467"/>
      <c r="BX3367" s="769"/>
      <c r="BY3367" s="769"/>
      <c r="BZ3367" s="769"/>
      <c r="CA3367" s="769"/>
      <c r="CB3367" s="769"/>
      <c r="CC3367" s="769"/>
      <c r="CD3367" s="769"/>
      <c r="CE3367" s="769"/>
      <c r="CF3367" s="769"/>
      <c r="CG3367" s="73"/>
      <c r="CH3367" s="438"/>
      <c r="CI3367" s="416"/>
      <c r="CJ3367" s="73"/>
      <c r="CK3367" s="650"/>
      <c r="CL3367" s="499"/>
      <c r="CM3367" s="650"/>
      <c r="CR3367" s="416"/>
      <c r="CS3367" s="650"/>
      <c r="CU3367" s="73"/>
      <c r="CV3367" s="73"/>
      <c r="CW3367" s="73"/>
      <c r="CX3367" s="73"/>
      <c r="DA3367" s="650"/>
    </row>
    <row r="3368" spans="1:105" s="45" customFormat="1" x14ac:dyDescent="0.2">
      <c r="A3368" s="650"/>
      <c r="B3368" s="438"/>
      <c r="D3368" s="73"/>
      <c r="E3368" s="650"/>
      <c r="F3368" s="650"/>
      <c r="G3368" s="73"/>
      <c r="I3368" s="111"/>
      <c r="J3368" s="81"/>
      <c r="K3368" s="81"/>
      <c r="L3368" s="499"/>
      <c r="M3368" s="73"/>
      <c r="N3368" s="499"/>
      <c r="O3368" s="73"/>
      <c r="P3368" s="73"/>
      <c r="Q3368" s="73"/>
      <c r="R3368" s="176"/>
      <c r="S3368" s="176"/>
      <c r="T3368" s="176"/>
      <c r="U3368" s="400"/>
      <c r="V3368" s="400"/>
      <c r="W3368" s="732"/>
      <c r="X3368" s="167"/>
      <c r="Y3368" s="509"/>
      <c r="Z3368" s="466"/>
      <c r="AA3368" s="466"/>
      <c r="AB3368" s="466"/>
      <c r="AC3368" s="466"/>
      <c r="AD3368" s="466"/>
      <c r="AE3368" s="466"/>
      <c r="AF3368" s="466"/>
      <c r="AG3368" s="466"/>
      <c r="AH3368" s="466"/>
      <c r="AI3368" s="466"/>
      <c r="AJ3368" s="466"/>
      <c r="AK3368" s="466"/>
      <c r="AL3368" s="466"/>
      <c r="AM3368" s="466"/>
      <c r="AN3368" s="466"/>
      <c r="AO3368" s="466"/>
      <c r="AP3368" s="466"/>
      <c r="AQ3368" s="466"/>
      <c r="AR3368" s="466"/>
      <c r="AS3368" s="466"/>
      <c r="AT3368" s="466"/>
      <c r="AU3368" s="466"/>
      <c r="AV3368" s="466"/>
      <c r="AW3368" s="466"/>
      <c r="AX3368" s="466"/>
      <c r="AY3368" s="466"/>
      <c r="AZ3368" s="466"/>
      <c r="BA3368" s="466"/>
      <c r="BB3368" s="466"/>
      <c r="BC3368" s="466"/>
      <c r="BD3368" s="466"/>
      <c r="BE3368" s="467"/>
      <c r="BF3368" s="467"/>
      <c r="BG3368" s="466"/>
      <c r="BH3368" s="466"/>
      <c r="BI3368" s="467"/>
      <c r="BJ3368" s="467"/>
      <c r="BK3368" s="467"/>
      <c r="BL3368" s="467"/>
      <c r="BM3368" s="467"/>
      <c r="BN3368" s="467"/>
      <c r="BO3368" s="467"/>
      <c r="BP3368" s="467"/>
      <c r="BQ3368" s="467"/>
      <c r="BR3368" s="467"/>
      <c r="BS3368" s="467"/>
      <c r="BT3368" s="467"/>
      <c r="BU3368" s="467"/>
      <c r="BV3368" s="467"/>
      <c r="BW3368" s="467"/>
      <c r="BX3368" s="769"/>
      <c r="BY3368" s="769"/>
      <c r="BZ3368" s="769"/>
      <c r="CA3368" s="769"/>
      <c r="CB3368" s="769"/>
      <c r="CC3368" s="769"/>
      <c r="CD3368" s="769"/>
      <c r="CE3368" s="769"/>
      <c r="CF3368" s="769"/>
      <c r="CG3368" s="73"/>
      <c r="CH3368" s="438"/>
      <c r="CI3368" s="416"/>
      <c r="CJ3368" s="73"/>
      <c r="CK3368" s="650"/>
      <c r="CL3368" s="499"/>
      <c r="CM3368" s="650"/>
      <c r="CR3368" s="416"/>
      <c r="CS3368" s="650"/>
      <c r="CU3368" s="73"/>
      <c r="CV3368" s="73"/>
      <c r="CW3368" s="73"/>
      <c r="CX3368" s="73"/>
      <c r="DA3368" s="650"/>
    </row>
    <row r="3369" spans="1:105" s="45" customFormat="1" x14ac:dyDescent="0.2">
      <c r="A3369" s="650"/>
      <c r="B3369" s="438"/>
      <c r="D3369" s="73"/>
      <c r="E3369" s="650"/>
      <c r="F3369" s="650"/>
      <c r="G3369" s="73"/>
      <c r="I3369" s="111"/>
      <c r="J3369" s="81"/>
      <c r="K3369" s="81"/>
      <c r="L3369" s="499"/>
      <c r="M3369" s="73"/>
      <c r="N3369" s="499"/>
      <c r="O3369" s="73"/>
      <c r="P3369" s="73"/>
      <c r="Q3369" s="73"/>
      <c r="R3369" s="176"/>
      <c r="S3369" s="176"/>
      <c r="T3369" s="176"/>
      <c r="U3369" s="400"/>
      <c r="V3369" s="400"/>
      <c r="W3369" s="732"/>
      <c r="X3369" s="167"/>
      <c r="Y3369" s="509"/>
      <c r="Z3369" s="466"/>
      <c r="AA3369" s="466"/>
      <c r="AB3369" s="466"/>
      <c r="AC3369" s="466"/>
      <c r="AD3369" s="466"/>
      <c r="AE3369" s="466"/>
      <c r="AF3369" s="466"/>
      <c r="AG3369" s="466"/>
      <c r="AH3369" s="466"/>
      <c r="AI3369" s="466"/>
      <c r="AJ3369" s="466"/>
      <c r="AK3369" s="466"/>
      <c r="AL3369" s="466"/>
      <c r="AM3369" s="466"/>
      <c r="AN3369" s="466"/>
      <c r="AO3369" s="466"/>
      <c r="AP3369" s="466"/>
      <c r="AQ3369" s="466"/>
      <c r="AR3369" s="466"/>
      <c r="AS3369" s="466"/>
      <c r="AT3369" s="466"/>
      <c r="AU3369" s="466"/>
      <c r="AV3369" s="466"/>
      <c r="AW3369" s="466"/>
      <c r="AX3369" s="466"/>
      <c r="AY3369" s="466"/>
      <c r="AZ3369" s="466"/>
      <c r="BA3369" s="466"/>
      <c r="BB3369" s="466"/>
      <c r="BC3369" s="466"/>
      <c r="BD3369" s="466"/>
      <c r="BE3369" s="467"/>
      <c r="BF3369" s="467"/>
      <c r="BG3369" s="466"/>
      <c r="BH3369" s="466"/>
      <c r="BI3369" s="467"/>
      <c r="BJ3369" s="467"/>
      <c r="BK3369" s="467"/>
      <c r="BL3369" s="467"/>
      <c r="BM3369" s="467"/>
      <c r="BN3369" s="467"/>
      <c r="BO3369" s="467"/>
      <c r="BP3369" s="467"/>
      <c r="BQ3369" s="467"/>
      <c r="BR3369" s="467"/>
      <c r="BS3369" s="467"/>
      <c r="BT3369" s="467"/>
      <c r="BU3369" s="467"/>
      <c r="BV3369" s="467"/>
      <c r="BW3369" s="467"/>
      <c r="BX3369" s="769"/>
      <c r="BY3369" s="769"/>
      <c r="BZ3369" s="769"/>
      <c r="CA3369" s="769"/>
      <c r="CB3369" s="769"/>
      <c r="CC3369" s="769"/>
      <c r="CD3369" s="769"/>
      <c r="CE3369" s="769"/>
      <c r="CF3369" s="769"/>
      <c r="CG3369" s="73"/>
      <c r="CH3369" s="438"/>
      <c r="CI3369" s="416"/>
      <c r="CJ3369" s="73"/>
      <c r="CK3369" s="650"/>
      <c r="CL3369" s="499"/>
      <c r="CM3369" s="650"/>
      <c r="CR3369" s="416"/>
      <c r="CS3369" s="650"/>
      <c r="CU3369" s="73"/>
      <c r="CV3369" s="73"/>
      <c r="CW3369" s="73"/>
      <c r="CX3369" s="73"/>
      <c r="DA3369" s="650"/>
    </row>
    <row r="3370" spans="1:105" s="45" customFormat="1" x14ac:dyDescent="0.2">
      <c r="A3370" s="650"/>
      <c r="B3370" s="438"/>
      <c r="D3370" s="73"/>
      <c r="E3370" s="650"/>
      <c r="F3370" s="650"/>
      <c r="G3370" s="73"/>
      <c r="I3370" s="111"/>
      <c r="J3370" s="81"/>
      <c r="K3370" s="81"/>
      <c r="L3370" s="499"/>
      <c r="M3370" s="73"/>
      <c r="N3370" s="499"/>
      <c r="O3370" s="73"/>
      <c r="P3370" s="73"/>
      <c r="Q3370" s="73"/>
      <c r="R3370" s="176"/>
      <c r="S3370" s="176"/>
      <c r="T3370" s="176"/>
      <c r="U3370" s="400"/>
      <c r="V3370" s="400"/>
      <c r="W3370" s="732"/>
      <c r="X3370" s="167"/>
      <c r="Y3370" s="509"/>
      <c r="Z3370" s="466"/>
      <c r="AA3370" s="466"/>
      <c r="AB3370" s="466"/>
      <c r="AC3370" s="466"/>
      <c r="AD3370" s="466"/>
      <c r="AE3370" s="466"/>
      <c r="AF3370" s="466"/>
      <c r="AG3370" s="466"/>
      <c r="AH3370" s="466"/>
      <c r="AI3370" s="466"/>
      <c r="AJ3370" s="466"/>
      <c r="AK3370" s="466"/>
      <c r="AL3370" s="466"/>
      <c r="AM3370" s="466"/>
      <c r="AN3370" s="466"/>
      <c r="AO3370" s="466"/>
      <c r="AP3370" s="466"/>
      <c r="AQ3370" s="466"/>
      <c r="AR3370" s="466"/>
      <c r="AS3370" s="466"/>
      <c r="AT3370" s="466"/>
      <c r="AU3370" s="466"/>
      <c r="AV3370" s="466"/>
      <c r="AW3370" s="466"/>
      <c r="AX3370" s="466"/>
      <c r="AY3370" s="466"/>
      <c r="AZ3370" s="466"/>
      <c r="BA3370" s="466"/>
      <c r="BB3370" s="466"/>
      <c r="BC3370" s="466"/>
      <c r="BD3370" s="466"/>
      <c r="BE3370" s="467"/>
      <c r="BF3370" s="467"/>
      <c r="BG3370" s="466"/>
      <c r="BH3370" s="466"/>
      <c r="BI3370" s="467"/>
      <c r="BJ3370" s="467"/>
      <c r="BK3370" s="467"/>
      <c r="BL3370" s="467"/>
      <c r="BM3370" s="467"/>
      <c r="BN3370" s="467"/>
      <c r="BO3370" s="467"/>
      <c r="BP3370" s="467"/>
      <c r="BQ3370" s="467"/>
      <c r="BR3370" s="467"/>
      <c r="BS3370" s="467"/>
      <c r="BT3370" s="467"/>
      <c r="BU3370" s="467"/>
      <c r="BV3370" s="467"/>
      <c r="BW3370" s="467"/>
      <c r="BX3370" s="769"/>
      <c r="BY3370" s="769"/>
      <c r="BZ3370" s="769"/>
      <c r="CA3370" s="769"/>
      <c r="CB3370" s="769"/>
      <c r="CC3370" s="769"/>
      <c r="CD3370" s="769"/>
      <c r="CE3370" s="769"/>
      <c r="CF3370" s="769"/>
      <c r="CG3370" s="73"/>
      <c r="CH3370" s="438"/>
      <c r="CI3370" s="416"/>
      <c r="CJ3370" s="73"/>
      <c r="CK3370" s="650"/>
      <c r="CL3370" s="499"/>
      <c r="CM3370" s="650"/>
      <c r="CR3370" s="416"/>
      <c r="CS3370" s="650"/>
      <c r="CU3370" s="73"/>
      <c r="CV3370" s="73"/>
      <c r="CW3370" s="73"/>
      <c r="CX3370" s="73"/>
      <c r="DA3370" s="650"/>
    </row>
    <row r="3371" spans="1:105" s="45" customFormat="1" x14ac:dyDescent="0.2">
      <c r="A3371" s="650"/>
      <c r="B3371" s="438"/>
      <c r="D3371" s="73"/>
      <c r="E3371" s="650"/>
      <c r="F3371" s="650"/>
      <c r="G3371" s="73"/>
      <c r="I3371" s="111"/>
      <c r="J3371" s="81"/>
      <c r="K3371" s="81"/>
      <c r="L3371" s="499"/>
      <c r="M3371" s="73"/>
      <c r="N3371" s="499"/>
      <c r="O3371" s="73"/>
      <c r="P3371" s="73"/>
      <c r="Q3371" s="73"/>
      <c r="R3371" s="176"/>
      <c r="S3371" s="176"/>
      <c r="T3371" s="176"/>
      <c r="U3371" s="400"/>
      <c r="V3371" s="400"/>
      <c r="W3371" s="732"/>
      <c r="X3371" s="167"/>
      <c r="Y3371" s="509"/>
      <c r="Z3371" s="466"/>
      <c r="AA3371" s="466"/>
      <c r="AB3371" s="466"/>
      <c r="AC3371" s="466"/>
      <c r="AD3371" s="466"/>
      <c r="AE3371" s="466"/>
      <c r="AF3371" s="466"/>
      <c r="AG3371" s="466"/>
      <c r="AH3371" s="466"/>
      <c r="AI3371" s="466"/>
      <c r="AJ3371" s="466"/>
      <c r="AK3371" s="466"/>
      <c r="AL3371" s="466"/>
      <c r="AM3371" s="466"/>
      <c r="AN3371" s="466"/>
      <c r="AO3371" s="466"/>
      <c r="AP3371" s="466"/>
      <c r="AQ3371" s="466"/>
      <c r="AR3371" s="466"/>
      <c r="AS3371" s="466"/>
      <c r="AT3371" s="466"/>
      <c r="AU3371" s="466"/>
      <c r="AV3371" s="466"/>
      <c r="AW3371" s="466"/>
      <c r="AX3371" s="466"/>
      <c r="AY3371" s="466"/>
      <c r="AZ3371" s="466"/>
      <c r="BA3371" s="466"/>
      <c r="BB3371" s="466"/>
      <c r="BC3371" s="466"/>
      <c r="BD3371" s="466"/>
      <c r="BE3371" s="467"/>
      <c r="BF3371" s="467"/>
      <c r="BG3371" s="466"/>
      <c r="BH3371" s="466"/>
      <c r="BI3371" s="467"/>
      <c r="BJ3371" s="467"/>
      <c r="BK3371" s="467"/>
      <c r="BL3371" s="467"/>
      <c r="BM3371" s="467"/>
      <c r="BN3371" s="467"/>
      <c r="BO3371" s="467"/>
      <c r="BP3371" s="467"/>
      <c r="BQ3371" s="467"/>
      <c r="BR3371" s="467"/>
      <c r="BS3371" s="467"/>
      <c r="BT3371" s="467"/>
      <c r="BU3371" s="467"/>
      <c r="BV3371" s="467"/>
      <c r="BW3371" s="467"/>
      <c r="BX3371" s="769"/>
      <c r="BY3371" s="769"/>
      <c r="BZ3371" s="769"/>
      <c r="CA3371" s="769"/>
      <c r="CB3371" s="769"/>
      <c r="CC3371" s="769"/>
      <c r="CD3371" s="769"/>
      <c r="CE3371" s="769"/>
      <c r="CF3371" s="769"/>
      <c r="CG3371" s="73"/>
      <c r="CH3371" s="438"/>
      <c r="CI3371" s="416"/>
      <c r="CJ3371" s="73"/>
      <c r="CK3371" s="650"/>
      <c r="CL3371" s="499"/>
      <c r="CM3371" s="650"/>
      <c r="CR3371" s="416"/>
      <c r="CS3371" s="650"/>
      <c r="CU3371" s="73"/>
      <c r="CV3371" s="73"/>
      <c r="CW3371" s="73"/>
      <c r="CX3371" s="73"/>
      <c r="DA3371" s="650"/>
    </row>
    <row r="3372" spans="1:105" s="45" customFormat="1" x14ac:dyDescent="0.2">
      <c r="A3372" s="650"/>
      <c r="B3372" s="438"/>
      <c r="D3372" s="73"/>
      <c r="E3372" s="650"/>
      <c r="F3372" s="650"/>
      <c r="G3372" s="73"/>
      <c r="I3372" s="111"/>
      <c r="J3372" s="81"/>
      <c r="K3372" s="81"/>
      <c r="L3372" s="499"/>
      <c r="M3372" s="73"/>
      <c r="N3372" s="499"/>
      <c r="O3372" s="73"/>
      <c r="P3372" s="73"/>
      <c r="Q3372" s="73"/>
      <c r="R3372" s="176"/>
      <c r="S3372" s="176"/>
      <c r="T3372" s="176"/>
      <c r="U3372" s="400"/>
      <c r="V3372" s="400"/>
      <c r="W3372" s="732"/>
      <c r="X3372" s="167"/>
      <c r="Y3372" s="509"/>
      <c r="Z3372" s="466"/>
      <c r="AA3372" s="466"/>
      <c r="AB3372" s="466"/>
      <c r="AC3372" s="466"/>
      <c r="AD3372" s="466"/>
      <c r="AE3372" s="466"/>
      <c r="AF3372" s="466"/>
      <c r="AG3372" s="466"/>
      <c r="AH3372" s="466"/>
      <c r="AI3372" s="466"/>
      <c r="AJ3372" s="466"/>
      <c r="AK3372" s="466"/>
      <c r="AL3372" s="466"/>
      <c r="AM3372" s="466"/>
      <c r="AN3372" s="466"/>
      <c r="AO3372" s="466"/>
      <c r="AP3372" s="466"/>
      <c r="AQ3372" s="466"/>
      <c r="AR3372" s="466"/>
      <c r="AS3372" s="466"/>
      <c r="AT3372" s="466"/>
      <c r="AU3372" s="466"/>
      <c r="AV3372" s="466"/>
      <c r="AW3372" s="466"/>
      <c r="AX3372" s="466"/>
      <c r="AY3372" s="466"/>
      <c r="AZ3372" s="466"/>
      <c r="BA3372" s="466"/>
      <c r="BB3372" s="466"/>
      <c r="BC3372" s="466"/>
      <c r="BD3372" s="466"/>
      <c r="BE3372" s="467"/>
      <c r="BF3372" s="467"/>
      <c r="BG3372" s="466"/>
      <c r="BH3372" s="466"/>
      <c r="BI3372" s="467"/>
      <c r="BJ3372" s="467"/>
      <c r="BK3372" s="467"/>
      <c r="BL3372" s="467"/>
      <c r="BM3372" s="467"/>
      <c r="BN3372" s="467"/>
      <c r="BO3372" s="467"/>
      <c r="BP3372" s="467"/>
      <c r="BQ3372" s="467"/>
      <c r="BR3372" s="467"/>
      <c r="BS3372" s="467"/>
      <c r="BT3372" s="467"/>
      <c r="BU3372" s="467"/>
      <c r="BV3372" s="467"/>
      <c r="BW3372" s="467"/>
      <c r="BX3372" s="769"/>
      <c r="BY3372" s="769"/>
      <c r="BZ3372" s="769"/>
      <c r="CA3372" s="769"/>
      <c r="CB3372" s="769"/>
      <c r="CC3372" s="769"/>
      <c r="CD3372" s="769"/>
      <c r="CE3372" s="769"/>
      <c r="CF3372" s="769"/>
      <c r="CG3372" s="73"/>
      <c r="CH3372" s="438"/>
      <c r="CI3372" s="416"/>
      <c r="CJ3372" s="73"/>
      <c r="CK3372" s="650"/>
      <c r="CL3372" s="499"/>
      <c r="CM3372" s="650"/>
      <c r="CR3372" s="416"/>
      <c r="CS3372" s="650"/>
      <c r="CU3372" s="73"/>
      <c r="CV3372" s="73"/>
      <c r="CW3372" s="73"/>
      <c r="CX3372" s="73"/>
      <c r="DA3372" s="650"/>
    </row>
    <row r="3373" spans="1:105" s="45" customFormat="1" x14ac:dyDescent="0.2">
      <c r="A3373" s="650"/>
      <c r="B3373" s="438"/>
      <c r="D3373" s="73"/>
      <c r="E3373" s="650"/>
      <c r="F3373" s="650"/>
      <c r="G3373" s="73"/>
      <c r="I3373" s="111"/>
      <c r="J3373" s="81"/>
      <c r="K3373" s="81"/>
      <c r="L3373" s="499"/>
      <c r="M3373" s="73"/>
      <c r="N3373" s="499"/>
      <c r="O3373" s="73"/>
      <c r="P3373" s="73"/>
      <c r="Q3373" s="73"/>
      <c r="R3373" s="176"/>
      <c r="S3373" s="176"/>
      <c r="T3373" s="176"/>
      <c r="U3373" s="400"/>
      <c r="V3373" s="400"/>
      <c r="W3373" s="732"/>
      <c r="X3373" s="167"/>
      <c r="Y3373" s="509"/>
      <c r="Z3373" s="466"/>
      <c r="AA3373" s="466"/>
      <c r="AB3373" s="466"/>
      <c r="AC3373" s="466"/>
      <c r="AD3373" s="466"/>
      <c r="AE3373" s="466"/>
      <c r="AF3373" s="466"/>
      <c r="AG3373" s="466"/>
      <c r="AH3373" s="466"/>
      <c r="AI3373" s="466"/>
      <c r="AJ3373" s="466"/>
      <c r="AK3373" s="466"/>
      <c r="AL3373" s="466"/>
      <c r="AM3373" s="466"/>
      <c r="AN3373" s="466"/>
      <c r="AO3373" s="466"/>
      <c r="AP3373" s="466"/>
      <c r="AQ3373" s="466"/>
      <c r="AR3373" s="466"/>
      <c r="AS3373" s="466"/>
      <c r="AT3373" s="466"/>
      <c r="AU3373" s="466"/>
      <c r="AV3373" s="466"/>
      <c r="AW3373" s="466"/>
      <c r="AX3373" s="466"/>
      <c r="AY3373" s="466"/>
      <c r="AZ3373" s="466"/>
      <c r="BA3373" s="466"/>
      <c r="BB3373" s="466"/>
      <c r="BC3373" s="466"/>
      <c r="BD3373" s="466"/>
      <c r="BE3373" s="467"/>
      <c r="BF3373" s="467"/>
      <c r="BG3373" s="466"/>
      <c r="BH3373" s="466"/>
      <c r="BI3373" s="467"/>
      <c r="BJ3373" s="467"/>
      <c r="BK3373" s="467"/>
      <c r="BL3373" s="467"/>
      <c r="BM3373" s="467"/>
      <c r="BN3373" s="467"/>
      <c r="BO3373" s="467"/>
      <c r="BP3373" s="467"/>
      <c r="BQ3373" s="467"/>
      <c r="BR3373" s="467"/>
      <c r="BS3373" s="467"/>
      <c r="BT3373" s="467"/>
      <c r="BU3373" s="467"/>
      <c r="BV3373" s="467"/>
      <c r="BW3373" s="467"/>
      <c r="BX3373" s="769"/>
      <c r="BY3373" s="769"/>
      <c r="BZ3373" s="769"/>
      <c r="CA3373" s="769"/>
      <c r="CB3373" s="769"/>
      <c r="CC3373" s="769"/>
      <c r="CD3373" s="769"/>
      <c r="CE3373" s="769"/>
      <c r="CF3373" s="769"/>
      <c r="CG3373" s="73"/>
      <c r="CH3373" s="438"/>
      <c r="CI3373" s="416"/>
      <c r="CJ3373" s="73"/>
      <c r="CK3373" s="650"/>
      <c r="CL3373" s="499"/>
      <c r="CM3373" s="650"/>
      <c r="CR3373" s="416"/>
      <c r="CS3373" s="650"/>
      <c r="CU3373" s="73"/>
      <c r="CV3373" s="73"/>
      <c r="CW3373" s="73"/>
      <c r="CX3373" s="73"/>
      <c r="DA3373" s="650"/>
    </row>
    <row r="3374" spans="1:105" s="45" customFormat="1" x14ac:dyDescent="0.2">
      <c r="A3374" s="650"/>
      <c r="B3374" s="438"/>
      <c r="D3374" s="73"/>
      <c r="E3374" s="650"/>
      <c r="F3374" s="650"/>
      <c r="G3374" s="73"/>
      <c r="I3374" s="111"/>
      <c r="J3374" s="81"/>
      <c r="K3374" s="81"/>
      <c r="L3374" s="499"/>
      <c r="M3374" s="73"/>
      <c r="N3374" s="499"/>
      <c r="O3374" s="73"/>
      <c r="P3374" s="73"/>
      <c r="Q3374" s="73"/>
      <c r="R3374" s="176"/>
      <c r="S3374" s="176"/>
      <c r="T3374" s="176"/>
      <c r="U3374" s="400"/>
      <c r="V3374" s="400"/>
      <c r="W3374" s="732"/>
      <c r="X3374" s="167"/>
      <c r="Y3374" s="509"/>
      <c r="Z3374" s="466"/>
      <c r="AA3374" s="466"/>
      <c r="AB3374" s="466"/>
      <c r="AC3374" s="466"/>
      <c r="AD3374" s="466"/>
      <c r="AE3374" s="466"/>
      <c r="AF3374" s="466"/>
      <c r="AG3374" s="466"/>
      <c r="AH3374" s="466"/>
      <c r="AI3374" s="466"/>
      <c r="AJ3374" s="466"/>
      <c r="AK3374" s="466"/>
      <c r="AL3374" s="466"/>
      <c r="AM3374" s="466"/>
      <c r="AN3374" s="466"/>
      <c r="AO3374" s="466"/>
      <c r="AP3374" s="466"/>
      <c r="AQ3374" s="466"/>
      <c r="AR3374" s="466"/>
      <c r="AS3374" s="466"/>
      <c r="AT3374" s="466"/>
      <c r="AU3374" s="466"/>
      <c r="AV3374" s="466"/>
      <c r="AW3374" s="466"/>
      <c r="AX3374" s="466"/>
      <c r="AY3374" s="466"/>
      <c r="AZ3374" s="466"/>
      <c r="BA3374" s="466"/>
      <c r="BB3374" s="466"/>
      <c r="BC3374" s="466"/>
      <c r="BD3374" s="466"/>
      <c r="BE3374" s="467"/>
      <c r="BF3374" s="467"/>
      <c r="BG3374" s="466"/>
      <c r="BH3374" s="466"/>
      <c r="BI3374" s="467"/>
      <c r="BJ3374" s="467"/>
      <c r="BK3374" s="467"/>
      <c r="BL3374" s="467"/>
      <c r="BM3374" s="467"/>
      <c r="BN3374" s="467"/>
      <c r="BO3374" s="467"/>
      <c r="BP3374" s="467"/>
      <c r="BQ3374" s="467"/>
      <c r="BR3374" s="467"/>
      <c r="BS3374" s="467"/>
      <c r="BT3374" s="467"/>
      <c r="BU3374" s="467"/>
      <c r="BV3374" s="467"/>
      <c r="BW3374" s="467"/>
      <c r="BX3374" s="769"/>
      <c r="BY3374" s="769"/>
      <c r="BZ3374" s="769"/>
      <c r="CA3374" s="769"/>
      <c r="CB3374" s="769"/>
      <c r="CC3374" s="769"/>
      <c r="CD3374" s="769"/>
      <c r="CE3374" s="769"/>
      <c r="CF3374" s="769"/>
      <c r="CG3374" s="73"/>
      <c r="CH3374" s="438"/>
      <c r="CI3374" s="416"/>
      <c r="CJ3374" s="73"/>
      <c r="CK3374" s="650"/>
      <c r="CL3374" s="499"/>
      <c r="CM3374" s="650"/>
      <c r="CR3374" s="416"/>
      <c r="CS3374" s="650"/>
      <c r="CU3374" s="73"/>
      <c r="CV3374" s="73"/>
      <c r="CW3374" s="73"/>
      <c r="CX3374" s="73"/>
      <c r="DA3374" s="650"/>
    </row>
    <row r="3375" spans="1:105" s="45" customFormat="1" x14ac:dyDescent="0.2">
      <c r="A3375" s="650"/>
      <c r="B3375" s="438"/>
      <c r="D3375" s="73"/>
      <c r="E3375" s="650"/>
      <c r="F3375" s="650"/>
      <c r="G3375" s="73"/>
      <c r="I3375" s="111"/>
      <c r="J3375" s="81"/>
      <c r="K3375" s="81"/>
      <c r="L3375" s="499"/>
      <c r="M3375" s="73"/>
      <c r="N3375" s="499"/>
      <c r="O3375" s="73"/>
      <c r="P3375" s="73"/>
      <c r="Q3375" s="73"/>
      <c r="R3375" s="176"/>
      <c r="S3375" s="176"/>
      <c r="T3375" s="176"/>
      <c r="U3375" s="400"/>
      <c r="V3375" s="400"/>
      <c r="W3375" s="732"/>
      <c r="X3375" s="167"/>
      <c r="Y3375" s="509"/>
      <c r="Z3375" s="466"/>
      <c r="AA3375" s="466"/>
      <c r="AB3375" s="466"/>
      <c r="AC3375" s="466"/>
      <c r="AD3375" s="466"/>
      <c r="AE3375" s="466"/>
      <c r="AF3375" s="466"/>
      <c r="AG3375" s="466"/>
      <c r="AH3375" s="466"/>
      <c r="AI3375" s="466"/>
      <c r="AJ3375" s="466"/>
      <c r="AK3375" s="466"/>
      <c r="AL3375" s="466"/>
      <c r="AM3375" s="466"/>
      <c r="AN3375" s="466"/>
      <c r="AO3375" s="466"/>
      <c r="AP3375" s="466"/>
      <c r="AQ3375" s="466"/>
      <c r="AR3375" s="466"/>
      <c r="AS3375" s="466"/>
      <c r="AT3375" s="466"/>
      <c r="AU3375" s="466"/>
      <c r="AV3375" s="466"/>
      <c r="AW3375" s="466"/>
      <c r="AX3375" s="466"/>
      <c r="AY3375" s="466"/>
      <c r="AZ3375" s="466"/>
      <c r="BA3375" s="466"/>
      <c r="BB3375" s="466"/>
      <c r="BC3375" s="466"/>
      <c r="BD3375" s="466"/>
      <c r="BE3375" s="467"/>
      <c r="BF3375" s="467"/>
      <c r="BG3375" s="466"/>
      <c r="BH3375" s="466"/>
      <c r="BI3375" s="467"/>
      <c r="BJ3375" s="467"/>
      <c r="BK3375" s="467"/>
      <c r="BL3375" s="467"/>
      <c r="BM3375" s="467"/>
      <c r="BN3375" s="467"/>
      <c r="BO3375" s="467"/>
      <c r="BP3375" s="467"/>
      <c r="BQ3375" s="467"/>
      <c r="BR3375" s="467"/>
      <c r="BS3375" s="467"/>
      <c r="BT3375" s="467"/>
      <c r="BU3375" s="467"/>
      <c r="BV3375" s="467"/>
      <c r="BW3375" s="467"/>
      <c r="BX3375" s="769"/>
      <c r="BY3375" s="769"/>
      <c r="BZ3375" s="769"/>
      <c r="CA3375" s="769"/>
      <c r="CB3375" s="769"/>
      <c r="CC3375" s="769"/>
      <c r="CD3375" s="769"/>
      <c r="CE3375" s="769"/>
      <c r="CF3375" s="769"/>
      <c r="CG3375" s="73"/>
      <c r="CH3375" s="438"/>
      <c r="CI3375" s="416"/>
      <c r="CJ3375" s="73"/>
      <c r="CK3375" s="650"/>
      <c r="CL3375" s="499"/>
      <c r="CM3375" s="650"/>
      <c r="CR3375" s="416"/>
      <c r="CS3375" s="650"/>
      <c r="CU3375" s="73"/>
      <c r="CV3375" s="73"/>
      <c r="CW3375" s="73"/>
      <c r="CX3375" s="73"/>
      <c r="DA3375" s="650"/>
    </row>
    <row r="3376" spans="1:105" s="45" customFormat="1" x14ac:dyDescent="0.2">
      <c r="A3376" s="650"/>
      <c r="B3376" s="438"/>
      <c r="D3376" s="73"/>
      <c r="E3376" s="650"/>
      <c r="F3376" s="650"/>
      <c r="G3376" s="73"/>
      <c r="I3376" s="111"/>
      <c r="J3376" s="81"/>
      <c r="K3376" s="81"/>
      <c r="L3376" s="499"/>
      <c r="M3376" s="73"/>
      <c r="N3376" s="499"/>
      <c r="O3376" s="73"/>
      <c r="P3376" s="73"/>
      <c r="Q3376" s="73"/>
      <c r="R3376" s="176"/>
      <c r="S3376" s="176"/>
      <c r="T3376" s="176"/>
      <c r="U3376" s="400"/>
      <c r="V3376" s="400"/>
      <c r="W3376" s="732"/>
      <c r="X3376" s="167"/>
      <c r="Y3376" s="509"/>
      <c r="Z3376" s="466"/>
      <c r="AA3376" s="466"/>
      <c r="AB3376" s="466"/>
      <c r="AC3376" s="466"/>
      <c r="AD3376" s="466"/>
      <c r="AE3376" s="466"/>
      <c r="AF3376" s="466"/>
      <c r="AG3376" s="466"/>
      <c r="AH3376" s="466"/>
      <c r="AI3376" s="466"/>
      <c r="AJ3376" s="466"/>
      <c r="AK3376" s="466"/>
      <c r="AL3376" s="466"/>
      <c r="AM3376" s="466"/>
      <c r="AN3376" s="466"/>
      <c r="AO3376" s="466"/>
      <c r="AP3376" s="466"/>
      <c r="AQ3376" s="466"/>
      <c r="AR3376" s="466"/>
      <c r="AS3376" s="466"/>
      <c r="AT3376" s="466"/>
      <c r="AU3376" s="466"/>
      <c r="AV3376" s="466"/>
      <c r="AW3376" s="466"/>
      <c r="AX3376" s="466"/>
      <c r="AY3376" s="466"/>
      <c r="AZ3376" s="466"/>
      <c r="BA3376" s="466"/>
      <c r="BB3376" s="466"/>
      <c r="BC3376" s="466"/>
      <c r="BD3376" s="466"/>
      <c r="BE3376" s="467"/>
      <c r="BF3376" s="467"/>
      <c r="BG3376" s="466"/>
      <c r="BH3376" s="466"/>
      <c r="BI3376" s="467"/>
      <c r="BJ3376" s="467"/>
      <c r="BK3376" s="467"/>
      <c r="BL3376" s="467"/>
      <c r="BM3376" s="467"/>
      <c r="BN3376" s="467"/>
      <c r="BO3376" s="467"/>
      <c r="BP3376" s="467"/>
      <c r="BQ3376" s="467"/>
      <c r="BR3376" s="467"/>
      <c r="BS3376" s="467"/>
      <c r="BT3376" s="467"/>
      <c r="BU3376" s="467"/>
      <c r="BV3376" s="467"/>
      <c r="BW3376" s="467"/>
      <c r="BX3376" s="769"/>
      <c r="BY3376" s="769"/>
      <c r="BZ3376" s="769"/>
      <c r="CA3376" s="769"/>
      <c r="CB3376" s="769"/>
      <c r="CC3376" s="769"/>
      <c r="CD3376" s="769"/>
      <c r="CE3376" s="769"/>
      <c r="CF3376" s="769"/>
      <c r="CG3376" s="73"/>
      <c r="CH3376" s="438"/>
      <c r="CI3376" s="416"/>
      <c r="CJ3376" s="73"/>
      <c r="CK3376" s="650"/>
      <c r="CL3376" s="499"/>
      <c r="CM3376" s="650"/>
      <c r="CR3376" s="416"/>
      <c r="CS3376" s="650"/>
      <c r="CU3376" s="73"/>
      <c r="CV3376" s="73"/>
      <c r="CW3376" s="73"/>
      <c r="CX3376" s="73"/>
      <c r="DA3376" s="650"/>
    </row>
    <row r="3377" spans="1:105" s="45" customFormat="1" x14ac:dyDescent="0.2">
      <c r="A3377" s="650"/>
      <c r="B3377" s="438"/>
      <c r="D3377" s="73"/>
      <c r="E3377" s="650"/>
      <c r="F3377" s="650"/>
      <c r="G3377" s="73"/>
      <c r="I3377" s="111"/>
      <c r="J3377" s="81"/>
      <c r="K3377" s="81"/>
      <c r="L3377" s="499"/>
      <c r="M3377" s="73"/>
      <c r="N3377" s="499"/>
      <c r="O3377" s="73"/>
      <c r="P3377" s="73"/>
      <c r="Q3377" s="73"/>
      <c r="R3377" s="176"/>
      <c r="S3377" s="176"/>
      <c r="T3377" s="176"/>
      <c r="U3377" s="400"/>
      <c r="V3377" s="400"/>
      <c r="W3377" s="732"/>
      <c r="X3377" s="167"/>
      <c r="Y3377" s="509"/>
      <c r="Z3377" s="466"/>
      <c r="AA3377" s="466"/>
      <c r="AB3377" s="466"/>
      <c r="AC3377" s="466"/>
      <c r="AD3377" s="466"/>
      <c r="AE3377" s="466"/>
      <c r="AF3377" s="466"/>
      <c r="AG3377" s="466"/>
      <c r="AH3377" s="466"/>
      <c r="AI3377" s="466"/>
      <c r="AJ3377" s="466"/>
      <c r="AK3377" s="466"/>
      <c r="AL3377" s="466"/>
      <c r="AM3377" s="466"/>
      <c r="AN3377" s="466"/>
      <c r="AO3377" s="466"/>
      <c r="AP3377" s="466"/>
      <c r="AQ3377" s="466"/>
      <c r="AR3377" s="466"/>
      <c r="AS3377" s="466"/>
      <c r="AT3377" s="466"/>
      <c r="AU3377" s="466"/>
      <c r="AV3377" s="466"/>
      <c r="AW3377" s="466"/>
      <c r="AX3377" s="466"/>
      <c r="AY3377" s="466"/>
      <c r="AZ3377" s="466"/>
      <c r="BA3377" s="466"/>
      <c r="BB3377" s="466"/>
      <c r="BC3377" s="466"/>
      <c r="BD3377" s="466"/>
      <c r="BE3377" s="467"/>
      <c r="BF3377" s="467"/>
      <c r="BG3377" s="466"/>
      <c r="BH3377" s="466"/>
      <c r="BI3377" s="467"/>
      <c r="BJ3377" s="467"/>
      <c r="BK3377" s="467"/>
      <c r="BL3377" s="467"/>
      <c r="BM3377" s="467"/>
      <c r="BN3377" s="467"/>
      <c r="BO3377" s="467"/>
      <c r="BP3377" s="467"/>
      <c r="BQ3377" s="467"/>
      <c r="BR3377" s="467"/>
      <c r="BS3377" s="467"/>
      <c r="BT3377" s="467"/>
      <c r="BU3377" s="467"/>
      <c r="BV3377" s="467"/>
      <c r="BW3377" s="467"/>
      <c r="BX3377" s="769"/>
      <c r="BY3377" s="769"/>
      <c r="BZ3377" s="769"/>
      <c r="CA3377" s="769"/>
      <c r="CB3377" s="769"/>
      <c r="CC3377" s="769"/>
      <c r="CD3377" s="769"/>
      <c r="CE3377" s="769"/>
      <c r="CF3377" s="769"/>
      <c r="CG3377" s="73"/>
      <c r="CH3377" s="438"/>
      <c r="CI3377" s="416"/>
      <c r="CJ3377" s="73"/>
      <c r="CK3377" s="650"/>
      <c r="CL3377" s="499"/>
      <c r="CM3377" s="650"/>
      <c r="CR3377" s="416"/>
      <c r="CS3377" s="650"/>
      <c r="CU3377" s="73"/>
      <c r="CV3377" s="73"/>
      <c r="CW3377" s="73"/>
      <c r="CX3377" s="73"/>
      <c r="DA3377" s="650"/>
    </row>
    <row r="3378" spans="1:105" s="45" customFormat="1" x14ac:dyDescent="0.2">
      <c r="A3378" s="650"/>
      <c r="B3378" s="438"/>
      <c r="D3378" s="73"/>
      <c r="E3378" s="650"/>
      <c r="F3378" s="650"/>
      <c r="G3378" s="73"/>
      <c r="I3378" s="111"/>
      <c r="J3378" s="81"/>
      <c r="K3378" s="81"/>
      <c r="L3378" s="499"/>
      <c r="M3378" s="73"/>
      <c r="N3378" s="499"/>
      <c r="O3378" s="73"/>
      <c r="P3378" s="73"/>
      <c r="Q3378" s="73"/>
      <c r="R3378" s="176"/>
      <c r="S3378" s="176"/>
      <c r="T3378" s="176"/>
      <c r="U3378" s="400"/>
      <c r="V3378" s="400"/>
      <c r="W3378" s="732"/>
      <c r="X3378" s="167"/>
      <c r="Y3378" s="509"/>
      <c r="Z3378" s="466"/>
      <c r="AA3378" s="466"/>
      <c r="AB3378" s="466"/>
      <c r="AC3378" s="466"/>
      <c r="AD3378" s="466"/>
      <c r="AE3378" s="466"/>
      <c r="AF3378" s="466"/>
      <c r="AG3378" s="466"/>
      <c r="AH3378" s="466"/>
      <c r="AI3378" s="466"/>
      <c r="AJ3378" s="466"/>
      <c r="AK3378" s="466"/>
      <c r="AL3378" s="466"/>
      <c r="AM3378" s="466"/>
      <c r="AN3378" s="466"/>
      <c r="AO3378" s="466"/>
      <c r="AP3378" s="466"/>
      <c r="AQ3378" s="466"/>
      <c r="AR3378" s="466"/>
      <c r="AS3378" s="466"/>
      <c r="AT3378" s="466"/>
      <c r="AU3378" s="466"/>
      <c r="AV3378" s="466"/>
      <c r="AW3378" s="466"/>
      <c r="AX3378" s="466"/>
      <c r="AY3378" s="466"/>
      <c r="AZ3378" s="466"/>
      <c r="BA3378" s="466"/>
      <c r="BB3378" s="466"/>
      <c r="BC3378" s="466"/>
      <c r="BD3378" s="466"/>
      <c r="BE3378" s="467"/>
      <c r="BF3378" s="467"/>
      <c r="BG3378" s="466"/>
      <c r="BH3378" s="466"/>
      <c r="BI3378" s="467"/>
      <c r="BJ3378" s="467"/>
      <c r="BK3378" s="467"/>
      <c r="BL3378" s="467"/>
      <c r="BM3378" s="467"/>
      <c r="BN3378" s="467"/>
      <c r="BO3378" s="467"/>
      <c r="BP3378" s="467"/>
      <c r="BQ3378" s="467"/>
      <c r="BR3378" s="467"/>
      <c r="BS3378" s="467"/>
      <c r="BT3378" s="467"/>
      <c r="BU3378" s="467"/>
      <c r="BV3378" s="467"/>
      <c r="BW3378" s="467"/>
      <c r="BX3378" s="769"/>
      <c r="BY3378" s="769"/>
      <c r="BZ3378" s="769"/>
      <c r="CA3378" s="769"/>
      <c r="CB3378" s="769"/>
      <c r="CC3378" s="769"/>
      <c r="CD3378" s="769"/>
      <c r="CE3378" s="769"/>
      <c r="CF3378" s="769"/>
      <c r="CG3378" s="73"/>
      <c r="CH3378" s="438"/>
      <c r="CI3378" s="416"/>
      <c r="CJ3378" s="73"/>
      <c r="CK3378" s="650"/>
      <c r="CL3378" s="499"/>
      <c r="CM3378" s="650"/>
      <c r="CR3378" s="416"/>
      <c r="CS3378" s="650"/>
      <c r="CU3378" s="73"/>
      <c r="CV3378" s="73"/>
      <c r="CW3378" s="73"/>
      <c r="CX3378" s="73"/>
      <c r="DA3378" s="650"/>
    </row>
    <row r="3379" spans="1:105" s="45" customFormat="1" x14ac:dyDescent="0.2">
      <c r="A3379" s="650"/>
      <c r="B3379" s="438"/>
      <c r="D3379" s="73"/>
      <c r="E3379" s="650"/>
      <c r="F3379" s="650"/>
      <c r="G3379" s="73"/>
      <c r="I3379" s="111"/>
      <c r="J3379" s="81"/>
      <c r="K3379" s="81"/>
      <c r="L3379" s="499"/>
      <c r="M3379" s="73"/>
      <c r="N3379" s="499"/>
      <c r="O3379" s="73"/>
      <c r="P3379" s="73"/>
      <c r="Q3379" s="73"/>
      <c r="R3379" s="176"/>
      <c r="S3379" s="176"/>
      <c r="T3379" s="176"/>
      <c r="U3379" s="400"/>
      <c r="V3379" s="400"/>
      <c r="W3379" s="732"/>
      <c r="X3379" s="167"/>
      <c r="Y3379" s="509"/>
      <c r="Z3379" s="466"/>
      <c r="AA3379" s="466"/>
      <c r="AB3379" s="466"/>
      <c r="AC3379" s="466"/>
      <c r="AD3379" s="466"/>
      <c r="AE3379" s="466"/>
      <c r="AF3379" s="466"/>
      <c r="AG3379" s="466"/>
      <c r="AH3379" s="466"/>
      <c r="AI3379" s="466"/>
      <c r="AJ3379" s="466"/>
      <c r="AK3379" s="466"/>
      <c r="AL3379" s="466"/>
      <c r="AM3379" s="466"/>
      <c r="AN3379" s="466"/>
      <c r="AO3379" s="466"/>
      <c r="AP3379" s="466"/>
      <c r="AQ3379" s="466"/>
      <c r="AR3379" s="466"/>
      <c r="AS3379" s="466"/>
      <c r="AT3379" s="466"/>
      <c r="AU3379" s="466"/>
      <c r="AV3379" s="466"/>
      <c r="AW3379" s="466"/>
      <c r="AX3379" s="466"/>
      <c r="AY3379" s="466"/>
      <c r="AZ3379" s="466"/>
      <c r="BA3379" s="466"/>
      <c r="BB3379" s="466"/>
      <c r="BC3379" s="466"/>
      <c r="BD3379" s="466"/>
      <c r="BE3379" s="467"/>
      <c r="BF3379" s="467"/>
      <c r="BG3379" s="466"/>
      <c r="BH3379" s="466"/>
      <c r="BI3379" s="467"/>
      <c r="BJ3379" s="467"/>
      <c r="BK3379" s="467"/>
      <c r="BL3379" s="467"/>
      <c r="BM3379" s="467"/>
      <c r="BN3379" s="467"/>
      <c r="BO3379" s="467"/>
      <c r="BP3379" s="467"/>
      <c r="BQ3379" s="467"/>
      <c r="BR3379" s="467"/>
      <c r="BS3379" s="467"/>
      <c r="BT3379" s="467"/>
      <c r="BU3379" s="467"/>
      <c r="BV3379" s="467"/>
      <c r="BW3379" s="467"/>
      <c r="BX3379" s="769"/>
      <c r="BY3379" s="769"/>
      <c r="BZ3379" s="769"/>
      <c r="CA3379" s="769"/>
      <c r="CB3379" s="769"/>
      <c r="CC3379" s="769"/>
      <c r="CD3379" s="769"/>
      <c r="CE3379" s="769"/>
      <c r="CF3379" s="769"/>
      <c r="CG3379" s="73"/>
      <c r="CH3379" s="438"/>
      <c r="CI3379" s="416"/>
      <c r="CJ3379" s="73"/>
      <c r="CK3379" s="650"/>
      <c r="CL3379" s="499"/>
      <c r="CM3379" s="650"/>
      <c r="CR3379" s="416"/>
      <c r="CS3379" s="650"/>
      <c r="CU3379" s="73"/>
      <c r="CV3379" s="73"/>
      <c r="CW3379" s="73"/>
      <c r="CX3379" s="73"/>
      <c r="DA3379" s="650"/>
    </row>
    <row r="3380" spans="1:105" s="45" customFormat="1" x14ac:dyDescent="0.2">
      <c r="A3380" s="650"/>
      <c r="B3380" s="438"/>
      <c r="D3380" s="73"/>
      <c r="E3380" s="650"/>
      <c r="F3380" s="650"/>
      <c r="G3380" s="73"/>
      <c r="I3380" s="111"/>
      <c r="J3380" s="81"/>
      <c r="K3380" s="81"/>
      <c r="L3380" s="499"/>
      <c r="M3380" s="73"/>
      <c r="N3380" s="499"/>
      <c r="O3380" s="73"/>
      <c r="P3380" s="73"/>
      <c r="Q3380" s="73"/>
      <c r="R3380" s="176"/>
      <c r="S3380" s="176"/>
      <c r="T3380" s="176"/>
      <c r="U3380" s="400"/>
      <c r="V3380" s="400"/>
      <c r="W3380" s="732"/>
      <c r="X3380" s="167"/>
      <c r="Y3380" s="509"/>
      <c r="Z3380" s="466"/>
      <c r="AA3380" s="466"/>
      <c r="AB3380" s="466"/>
      <c r="AC3380" s="466"/>
      <c r="AD3380" s="466"/>
      <c r="AE3380" s="466"/>
      <c r="AF3380" s="466"/>
      <c r="AG3380" s="466"/>
      <c r="AH3380" s="466"/>
      <c r="AI3380" s="466"/>
      <c r="AJ3380" s="466"/>
      <c r="AK3380" s="466"/>
      <c r="AL3380" s="466"/>
      <c r="AM3380" s="466"/>
      <c r="AN3380" s="466"/>
      <c r="AO3380" s="466"/>
      <c r="AP3380" s="466"/>
      <c r="AQ3380" s="466"/>
      <c r="AR3380" s="466"/>
      <c r="AS3380" s="466"/>
      <c r="AT3380" s="466"/>
      <c r="AU3380" s="466"/>
      <c r="AV3380" s="466"/>
      <c r="AW3380" s="466"/>
      <c r="AX3380" s="466"/>
      <c r="AY3380" s="466"/>
      <c r="AZ3380" s="466"/>
      <c r="BA3380" s="466"/>
      <c r="BB3380" s="466"/>
      <c r="BC3380" s="466"/>
      <c r="BD3380" s="466"/>
      <c r="BE3380" s="467"/>
      <c r="BF3380" s="467"/>
      <c r="BG3380" s="466"/>
      <c r="BH3380" s="466"/>
      <c r="BI3380" s="467"/>
      <c r="BJ3380" s="467"/>
      <c r="BK3380" s="467"/>
      <c r="BL3380" s="467"/>
      <c r="BM3380" s="467"/>
      <c r="BN3380" s="467"/>
      <c r="BO3380" s="467"/>
      <c r="BP3380" s="467"/>
      <c r="BQ3380" s="467"/>
      <c r="BR3380" s="467"/>
      <c r="BS3380" s="467"/>
      <c r="BT3380" s="467"/>
      <c r="BU3380" s="467"/>
      <c r="BV3380" s="467"/>
      <c r="BW3380" s="467"/>
      <c r="BX3380" s="769"/>
      <c r="BY3380" s="769"/>
      <c r="BZ3380" s="769"/>
      <c r="CA3380" s="769"/>
      <c r="CB3380" s="769"/>
      <c r="CC3380" s="769"/>
      <c r="CD3380" s="769"/>
      <c r="CE3380" s="769"/>
      <c r="CF3380" s="769"/>
      <c r="CG3380" s="73"/>
      <c r="CH3380" s="438"/>
      <c r="CI3380" s="416"/>
      <c r="CJ3380" s="73"/>
      <c r="CK3380" s="650"/>
      <c r="CL3380" s="499"/>
      <c r="CM3380" s="650"/>
      <c r="CR3380" s="416"/>
      <c r="CS3380" s="650"/>
      <c r="CU3380" s="73"/>
      <c r="CV3380" s="73"/>
      <c r="CW3380" s="73"/>
      <c r="CX3380" s="73"/>
      <c r="DA3380" s="650"/>
    </row>
    <row r="3381" spans="1:105" s="45" customFormat="1" x14ac:dyDescent="0.2">
      <c r="A3381" s="650"/>
      <c r="B3381" s="438"/>
      <c r="D3381" s="73"/>
      <c r="E3381" s="650"/>
      <c r="F3381" s="650"/>
      <c r="G3381" s="73"/>
      <c r="I3381" s="111"/>
      <c r="J3381" s="81"/>
      <c r="K3381" s="81"/>
      <c r="L3381" s="499"/>
      <c r="M3381" s="73"/>
      <c r="N3381" s="499"/>
      <c r="O3381" s="73"/>
      <c r="P3381" s="73"/>
      <c r="Q3381" s="73"/>
      <c r="R3381" s="176"/>
      <c r="S3381" s="176"/>
      <c r="T3381" s="176"/>
      <c r="U3381" s="400"/>
      <c r="V3381" s="400"/>
      <c r="W3381" s="732"/>
      <c r="X3381" s="167"/>
      <c r="Y3381" s="509"/>
      <c r="Z3381" s="466"/>
      <c r="AA3381" s="466"/>
      <c r="AB3381" s="466"/>
      <c r="AC3381" s="466"/>
      <c r="AD3381" s="466"/>
      <c r="AE3381" s="466"/>
      <c r="AF3381" s="466"/>
      <c r="AG3381" s="466"/>
      <c r="AH3381" s="466"/>
      <c r="AI3381" s="466"/>
      <c r="AJ3381" s="466"/>
      <c r="AK3381" s="466"/>
      <c r="AL3381" s="466"/>
      <c r="AM3381" s="466"/>
      <c r="AN3381" s="466"/>
      <c r="AO3381" s="466"/>
      <c r="AP3381" s="466"/>
      <c r="AQ3381" s="466"/>
      <c r="AR3381" s="466"/>
      <c r="AS3381" s="466"/>
      <c r="AT3381" s="466"/>
      <c r="AU3381" s="466"/>
      <c r="AV3381" s="466"/>
      <c r="AW3381" s="466"/>
      <c r="AX3381" s="466"/>
      <c r="AY3381" s="466"/>
      <c r="AZ3381" s="466"/>
      <c r="BA3381" s="466"/>
      <c r="BB3381" s="466"/>
      <c r="BC3381" s="466"/>
      <c r="BD3381" s="466"/>
      <c r="BE3381" s="467"/>
      <c r="BF3381" s="467"/>
      <c r="BG3381" s="466"/>
      <c r="BH3381" s="466"/>
      <c r="BI3381" s="467"/>
      <c r="BJ3381" s="467"/>
      <c r="BK3381" s="467"/>
      <c r="BL3381" s="467"/>
      <c r="BM3381" s="467"/>
      <c r="BN3381" s="467"/>
      <c r="BO3381" s="467"/>
      <c r="BP3381" s="467"/>
      <c r="BQ3381" s="467"/>
      <c r="BR3381" s="467"/>
      <c r="BS3381" s="467"/>
      <c r="BT3381" s="467"/>
      <c r="BU3381" s="467"/>
      <c r="BV3381" s="467"/>
      <c r="BW3381" s="467"/>
      <c r="BX3381" s="769"/>
      <c r="BY3381" s="769"/>
      <c r="BZ3381" s="769"/>
      <c r="CA3381" s="769"/>
      <c r="CB3381" s="769"/>
      <c r="CC3381" s="769"/>
      <c r="CD3381" s="769"/>
      <c r="CE3381" s="769"/>
      <c r="CF3381" s="769"/>
      <c r="CG3381" s="73"/>
      <c r="CH3381" s="438"/>
      <c r="CI3381" s="416"/>
      <c r="CJ3381" s="73"/>
      <c r="CK3381" s="650"/>
      <c r="CL3381" s="499"/>
      <c r="CM3381" s="650"/>
      <c r="CR3381" s="416"/>
      <c r="CS3381" s="650"/>
      <c r="CU3381" s="73"/>
      <c r="CV3381" s="73"/>
      <c r="CW3381" s="73"/>
      <c r="CX3381" s="73"/>
      <c r="DA3381" s="650"/>
    </row>
    <row r="3382" spans="1:105" s="45" customFormat="1" x14ac:dyDescent="0.2">
      <c r="A3382" s="650"/>
      <c r="B3382" s="438"/>
      <c r="D3382" s="73"/>
      <c r="E3382" s="650"/>
      <c r="F3382" s="650"/>
      <c r="G3382" s="73"/>
      <c r="I3382" s="111"/>
      <c r="J3382" s="81"/>
      <c r="K3382" s="81"/>
      <c r="L3382" s="499"/>
      <c r="M3382" s="73"/>
      <c r="N3382" s="499"/>
      <c r="O3382" s="73"/>
      <c r="P3382" s="73"/>
      <c r="Q3382" s="73"/>
      <c r="R3382" s="176"/>
      <c r="S3382" s="176"/>
      <c r="T3382" s="176"/>
      <c r="U3382" s="400"/>
      <c r="V3382" s="400"/>
      <c r="W3382" s="732"/>
      <c r="X3382" s="167"/>
      <c r="Y3382" s="509"/>
      <c r="Z3382" s="466"/>
      <c r="AA3382" s="466"/>
      <c r="AB3382" s="466"/>
      <c r="AC3382" s="466"/>
      <c r="AD3382" s="466"/>
      <c r="AE3382" s="466"/>
      <c r="AF3382" s="466"/>
      <c r="AG3382" s="466"/>
      <c r="AH3382" s="466"/>
      <c r="AI3382" s="466"/>
      <c r="AJ3382" s="466"/>
      <c r="AK3382" s="466"/>
      <c r="AL3382" s="466"/>
      <c r="AM3382" s="466"/>
      <c r="AN3382" s="466"/>
      <c r="AO3382" s="466"/>
      <c r="AP3382" s="466"/>
      <c r="AQ3382" s="466"/>
      <c r="AR3382" s="466"/>
      <c r="AS3382" s="466"/>
      <c r="AT3382" s="466"/>
      <c r="AU3382" s="466"/>
      <c r="AV3382" s="466"/>
      <c r="AW3382" s="466"/>
      <c r="AX3382" s="466"/>
      <c r="AY3382" s="466"/>
      <c r="AZ3382" s="466"/>
      <c r="BA3382" s="466"/>
      <c r="BB3382" s="466"/>
      <c r="BC3382" s="466"/>
      <c r="BD3382" s="466"/>
      <c r="BE3382" s="467"/>
      <c r="BF3382" s="467"/>
      <c r="BG3382" s="466"/>
      <c r="BH3382" s="466"/>
      <c r="BI3382" s="467"/>
      <c r="BJ3382" s="467"/>
      <c r="BK3382" s="467"/>
      <c r="BL3382" s="467"/>
      <c r="BM3382" s="467"/>
      <c r="BN3382" s="467"/>
      <c r="BO3382" s="467"/>
      <c r="BP3382" s="467"/>
      <c r="BQ3382" s="467"/>
      <c r="BR3382" s="467"/>
      <c r="BS3382" s="467"/>
      <c r="BT3382" s="467"/>
      <c r="BU3382" s="467"/>
      <c r="BV3382" s="467"/>
      <c r="BW3382" s="467"/>
      <c r="BX3382" s="769"/>
      <c r="BY3382" s="769"/>
      <c r="BZ3382" s="769"/>
      <c r="CA3382" s="769"/>
      <c r="CB3382" s="769"/>
      <c r="CC3382" s="769"/>
      <c r="CD3382" s="769"/>
      <c r="CE3382" s="769"/>
      <c r="CF3382" s="769"/>
      <c r="CG3382" s="73"/>
      <c r="CH3382" s="438"/>
      <c r="CI3382" s="416"/>
      <c r="CJ3382" s="73"/>
      <c r="CK3382" s="650"/>
      <c r="CL3382" s="499"/>
      <c r="CM3382" s="650"/>
      <c r="CR3382" s="416"/>
      <c r="CS3382" s="650"/>
      <c r="CU3382" s="73"/>
      <c r="CV3382" s="73"/>
      <c r="CW3382" s="73"/>
      <c r="CX3382" s="73"/>
      <c r="DA3382" s="650"/>
    </row>
    <row r="3383" spans="1:105" s="45" customFormat="1" x14ac:dyDescent="0.2">
      <c r="A3383" s="650"/>
      <c r="B3383" s="438"/>
      <c r="D3383" s="73"/>
      <c r="E3383" s="650"/>
      <c r="F3383" s="650"/>
      <c r="G3383" s="73"/>
      <c r="I3383" s="111"/>
      <c r="J3383" s="81"/>
      <c r="K3383" s="81"/>
      <c r="L3383" s="499"/>
      <c r="M3383" s="73"/>
      <c r="N3383" s="499"/>
      <c r="O3383" s="73"/>
      <c r="P3383" s="73"/>
      <c r="Q3383" s="73"/>
      <c r="R3383" s="176"/>
      <c r="S3383" s="176"/>
      <c r="T3383" s="176"/>
      <c r="U3383" s="400"/>
      <c r="V3383" s="400"/>
      <c r="W3383" s="732"/>
      <c r="X3383" s="167"/>
      <c r="Y3383" s="509"/>
      <c r="Z3383" s="466"/>
      <c r="AA3383" s="466"/>
      <c r="AB3383" s="466"/>
      <c r="AC3383" s="466"/>
      <c r="AD3383" s="466"/>
      <c r="AE3383" s="466"/>
      <c r="AF3383" s="466"/>
      <c r="AG3383" s="466"/>
      <c r="AH3383" s="466"/>
      <c r="AI3383" s="466"/>
      <c r="AJ3383" s="466"/>
      <c r="AK3383" s="466"/>
      <c r="AL3383" s="466"/>
      <c r="AM3383" s="466"/>
      <c r="AN3383" s="466"/>
      <c r="AO3383" s="466"/>
      <c r="AP3383" s="466"/>
      <c r="AQ3383" s="466"/>
      <c r="AR3383" s="466"/>
      <c r="AS3383" s="466"/>
      <c r="AT3383" s="466"/>
      <c r="AU3383" s="466"/>
      <c r="AV3383" s="466"/>
      <c r="AW3383" s="466"/>
      <c r="AX3383" s="466"/>
      <c r="AY3383" s="466"/>
      <c r="AZ3383" s="466"/>
      <c r="BA3383" s="466"/>
      <c r="BB3383" s="466"/>
      <c r="BC3383" s="466"/>
      <c r="BD3383" s="466"/>
      <c r="BE3383" s="467"/>
      <c r="BF3383" s="467"/>
      <c r="BG3383" s="466"/>
      <c r="BH3383" s="466"/>
      <c r="BI3383" s="467"/>
      <c r="BJ3383" s="467"/>
      <c r="BK3383" s="467"/>
      <c r="BL3383" s="467"/>
      <c r="BM3383" s="467"/>
      <c r="BN3383" s="467"/>
      <c r="BO3383" s="467"/>
      <c r="BP3383" s="467"/>
      <c r="BQ3383" s="467"/>
      <c r="BR3383" s="467"/>
      <c r="BS3383" s="467"/>
      <c r="BT3383" s="467"/>
      <c r="BU3383" s="467"/>
      <c r="BV3383" s="467"/>
      <c r="BW3383" s="467"/>
      <c r="BX3383" s="769"/>
      <c r="BY3383" s="769"/>
      <c r="BZ3383" s="769"/>
      <c r="CA3383" s="769"/>
      <c r="CB3383" s="769"/>
      <c r="CC3383" s="769"/>
      <c r="CD3383" s="769"/>
      <c r="CE3383" s="769"/>
      <c r="CF3383" s="769"/>
      <c r="CG3383" s="73"/>
      <c r="CH3383" s="438"/>
      <c r="CI3383" s="416"/>
      <c r="CJ3383" s="73"/>
      <c r="CK3383" s="650"/>
      <c r="CL3383" s="499"/>
      <c r="CM3383" s="650"/>
      <c r="CR3383" s="416"/>
      <c r="CS3383" s="650"/>
      <c r="CU3383" s="73"/>
      <c r="CV3383" s="73"/>
      <c r="CW3383" s="73"/>
      <c r="CX3383" s="73"/>
      <c r="DA3383" s="650"/>
    </row>
    <row r="3384" spans="1:105" s="45" customFormat="1" x14ac:dyDescent="0.2">
      <c r="A3384" s="650"/>
      <c r="B3384" s="438"/>
      <c r="D3384" s="73"/>
      <c r="E3384" s="650"/>
      <c r="F3384" s="650"/>
      <c r="G3384" s="73"/>
      <c r="I3384" s="111"/>
      <c r="J3384" s="81"/>
      <c r="K3384" s="81"/>
      <c r="L3384" s="499"/>
      <c r="M3384" s="73"/>
      <c r="N3384" s="499"/>
      <c r="O3384" s="73"/>
      <c r="P3384" s="73"/>
      <c r="Q3384" s="73"/>
      <c r="R3384" s="176"/>
      <c r="S3384" s="176"/>
      <c r="T3384" s="176"/>
      <c r="U3384" s="400"/>
      <c r="V3384" s="400"/>
      <c r="W3384" s="732"/>
      <c r="X3384" s="167"/>
      <c r="Y3384" s="509"/>
      <c r="Z3384" s="466"/>
      <c r="AA3384" s="466"/>
      <c r="AB3384" s="466"/>
      <c r="AC3384" s="466"/>
      <c r="AD3384" s="466"/>
      <c r="AE3384" s="466"/>
      <c r="AF3384" s="466"/>
      <c r="AG3384" s="466"/>
      <c r="AH3384" s="466"/>
      <c r="AI3384" s="466"/>
      <c r="AJ3384" s="466"/>
      <c r="AK3384" s="466"/>
      <c r="AL3384" s="466"/>
      <c r="AM3384" s="466"/>
      <c r="AN3384" s="466"/>
      <c r="AO3384" s="466"/>
      <c r="AP3384" s="466"/>
      <c r="AQ3384" s="466"/>
      <c r="AR3384" s="466"/>
      <c r="AS3384" s="466"/>
      <c r="AT3384" s="466"/>
      <c r="AU3384" s="466"/>
      <c r="AV3384" s="466"/>
      <c r="AW3384" s="466"/>
      <c r="AX3384" s="466"/>
      <c r="AY3384" s="466"/>
      <c r="AZ3384" s="466"/>
      <c r="BA3384" s="466"/>
      <c r="BB3384" s="466"/>
      <c r="BC3384" s="466"/>
      <c r="BD3384" s="466"/>
      <c r="BE3384" s="467"/>
      <c r="BF3384" s="467"/>
      <c r="BG3384" s="466"/>
      <c r="BH3384" s="466"/>
      <c r="BI3384" s="467"/>
      <c r="BJ3384" s="467"/>
      <c r="BK3384" s="467"/>
      <c r="BL3384" s="467"/>
      <c r="BM3384" s="467"/>
      <c r="BN3384" s="467"/>
      <c r="BO3384" s="467"/>
      <c r="BP3384" s="467"/>
      <c r="BQ3384" s="467"/>
      <c r="BR3384" s="467"/>
      <c r="BS3384" s="467"/>
      <c r="BT3384" s="467"/>
      <c r="BU3384" s="467"/>
      <c r="BV3384" s="467"/>
      <c r="BW3384" s="467"/>
      <c r="BX3384" s="769"/>
      <c r="BY3384" s="769"/>
      <c r="BZ3384" s="769"/>
      <c r="CA3384" s="769"/>
      <c r="CB3384" s="769"/>
      <c r="CC3384" s="769"/>
      <c r="CD3384" s="769"/>
      <c r="CE3384" s="769"/>
      <c r="CF3384" s="769"/>
      <c r="CG3384" s="73"/>
      <c r="CH3384" s="438"/>
      <c r="CI3384" s="416"/>
      <c r="CJ3384" s="73"/>
      <c r="CK3384" s="650"/>
      <c r="CL3384" s="499"/>
      <c r="CM3384" s="650"/>
      <c r="CR3384" s="416"/>
      <c r="CS3384" s="650"/>
      <c r="CU3384" s="73"/>
      <c r="CV3384" s="73"/>
      <c r="CW3384" s="73"/>
      <c r="CX3384" s="73"/>
      <c r="DA3384" s="650"/>
    </row>
    <row r="3385" spans="1:105" s="45" customFormat="1" x14ac:dyDescent="0.2">
      <c r="A3385" s="650"/>
      <c r="B3385" s="438"/>
      <c r="D3385" s="73"/>
      <c r="E3385" s="650"/>
      <c r="F3385" s="650"/>
      <c r="G3385" s="73"/>
      <c r="I3385" s="111"/>
      <c r="J3385" s="81"/>
      <c r="K3385" s="81"/>
      <c r="L3385" s="499"/>
      <c r="M3385" s="73"/>
      <c r="N3385" s="499"/>
      <c r="O3385" s="73"/>
      <c r="P3385" s="73"/>
      <c r="Q3385" s="73"/>
      <c r="R3385" s="176"/>
      <c r="S3385" s="176"/>
      <c r="T3385" s="176"/>
      <c r="U3385" s="400"/>
      <c r="V3385" s="400"/>
      <c r="W3385" s="732"/>
      <c r="X3385" s="167"/>
      <c r="Y3385" s="509"/>
      <c r="Z3385" s="466"/>
      <c r="AA3385" s="466"/>
      <c r="AB3385" s="466"/>
      <c r="AC3385" s="466"/>
      <c r="AD3385" s="466"/>
      <c r="AE3385" s="466"/>
      <c r="AF3385" s="466"/>
      <c r="AG3385" s="466"/>
      <c r="AH3385" s="466"/>
      <c r="AI3385" s="466"/>
      <c r="AJ3385" s="466"/>
      <c r="AK3385" s="466"/>
      <c r="AL3385" s="466"/>
      <c r="AM3385" s="466"/>
      <c r="AN3385" s="466"/>
      <c r="AO3385" s="466"/>
      <c r="AP3385" s="466"/>
      <c r="AQ3385" s="466"/>
      <c r="AR3385" s="466"/>
      <c r="AS3385" s="466"/>
      <c r="AT3385" s="466"/>
      <c r="AU3385" s="466"/>
      <c r="AV3385" s="466"/>
      <c r="AW3385" s="466"/>
      <c r="AX3385" s="466"/>
      <c r="AY3385" s="466"/>
      <c r="AZ3385" s="466"/>
      <c r="BA3385" s="466"/>
      <c r="BB3385" s="466"/>
      <c r="BC3385" s="466"/>
      <c r="BD3385" s="466"/>
      <c r="BE3385" s="467"/>
      <c r="BF3385" s="467"/>
      <c r="BG3385" s="466"/>
      <c r="BH3385" s="466"/>
      <c r="BI3385" s="467"/>
      <c r="BJ3385" s="467"/>
      <c r="BK3385" s="467"/>
      <c r="BL3385" s="467"/>
      <c r="BM3385" s="467"/>
      <c r="BN3385" s="467"/>
      <c r="BO3385" s="467"/>
      <c r="BP3385" s="467"/>
      <c r="BQ3385" s="467"/>
      <c r="BR3385" s="467"/>
      <c r="BS3385" s="467"/>
      <c r="BT3385" s="467"/>
      <c r="BU3385" s="467"/>
      <c r="BV3385" s="467"/>
      <c r="BW3385" s="467"/>
      <c r="BX3385" s="769"/>
      <c r="BY3385" s="769"/>
      <c r="BZ3385" s="769"/>
      <c r="CA3385" s="769"/>
      <c r="CB3385" s="769"/>
      <c r="CC3385" s="769"/>
      <c r="CD3385" s="769"/>
      <c r="CE3385" s="769"/>
      <c r="CF3385" s="769"/>
      <c r="CG3385" s="73"/>
      <c r="CH3385" s="438"/>
      <c r="CI3385" s="416"/>
      <c r="CJ3385" s="73"/>
      <c r="CK3385" s="650"/>
      <c r="CL3385" s="499"/>
      <c r="CM3385" s="650"/>
      <c r="CR3385" s="416"/>
      <c r="CS3385" s="650"/>
      <c r="CU3385" s="73"/>
      <c r="CV3385" s="73"/>
      <c r="CW3385" s="73"/>
      <c r="CX3385" s="73"/>
      <c r="DA3385" s="650"/>
    </row>
    <row r="3386" spans="1:105" s="45" customFormat="1" x14ac:dyDescent="0.2">
      <c r="A3386" s="650"/>
      <c r="B3386" s="438"/>
      <c r="D3386" s="73"/>
      <c r="E3386" s="650"/>
      <c r="F3386" s="650"/>
      <c r="G3386" s="73"/>
      <c r="I3386" s="111"/>
      <c r="J3386" s="81"/>
      <c r="K3386" s="81"/>
      <c r="L3386" s="499"/>
      <c r="M3386" s="73"/>
      <c r="N3386" s="499"/>
      <c r="O3386" s="73"/>
      <c r="P3386" s="73"/>
      <c r="Q3386" s="73"/>
      <c r="R3386" s="176"/>
      <c r="S3386" s="176"/>
      <c r="T3386" s="176"/>
      <c r="U3386" s="400"/>
      <c r="V3386" s="400"/>
      <c r="W3386" s="732"/>
      <c r="X3386" s="167"/>
      <c r="Y3386" s="509"/>
      <c r="Z3386" s="466"/>
      <c r="AA3386" s="466"/>
      <c r="AB3386" s="466"/>
      <c r="AC3386" s="466"/>
      <c r="AD3386" s="466"/>
      <c r="AE3386" s="466"/>
      <c r="AF3386" s="466"/>
      <c r="AG3386" s="466"/>
      <c r="AH3386" s="466"/>
      <c r="AI3386" s="466"/>
      <c r="AJ3386" s="466"/>
      <c r="AK3386" s="466"/>
      <c r="AL3386" s="466"/>
      <c r="AM3386" s="466"/>
      <c r="AN3386" s="466"/>
      <c r="AO3386" s="466"/>
      <c r="AP3386" s="466"/>
      <c r="AQ3386" s="466"/>
      <c r="AR3386" s="466"/>
      <c r="AS3386" s="466"/>
      <c r="AT3386" s="466"/>
      <c r="AU3386" s="466"/>
      <c r="AV3386" s="466"/>
      <c r="AW3386" s="466"/>
      <c r="AX3386" s="466"/>
      <c r="AY3386" s="466"/>
      <c r="AZ3386" s="466"/>
      <c r="BA3386" s="466"/>
      <c r="BB3386" s="466"/>
      <c r="BC3386" s="466"/>
      <c r="BD3386" s="466"/>
      <c r="BE3386" s="467"/>
      <c r="BF3386" s="467"/>
      <c r="BG3386" s="466"/>
      <c r="BH3386" s="466"/>
      <c r="BI3386" s="467"/>
      <c r="BJ3386" s="467"/>
      <c r="BK3386" s="467"/>
      <c r="BL3386" s="467"/>
      <c r="BM3386" s="467"/>
      <c r="BN3386" s="467"/>
      <c r="BO3386" s="467"/>
      <c r="BP3386" s="467"/>
      <c r="BQ3386" s="467"/>
      <c r="BR3386" s="467"/>
      <c r="BS3386" s="467"/>
      <c r="BT3386" s="467"/>
      <c r="BU3386" s="467"/>
      <c r="BV3386" s="467"/>
      <c r="BW3386" s="467"/>
      <c r="BX3386" s="769"/>
      <c r="BY3386" s="769"/>
      <c r="BZ3386" s="769"/>
      <c r="CA3386" s="769"/>
      <c r="CB3386" s="769"/>
      <c r="CC3386" s="769"/>
      <c r="CD3386" s="769"/>
      <c r="CE3386" s="769"/>
      <c r="CF3386" s="769"/>
      <c r="CG3386" s="73"/>
      <c r="CH3386" s="438"/>
      <c r="CI3386" s="416"/>
      <c r="CJ3386" s="73"/>
      <c r="CK3386" s="650"/>
      <c r="CL3386" s="499"/>
      <c r="CM3386" s="650"/>
      <c r="CR3386" s="416"/>
      <c r="CS3386" s="650"/>
      <c r="CU3386" s="73"/>
      <c r="CV3386" s="73"/>
      <c r="CW3386" s="73"/>
      <c r="CX3386" s="73"/>
      <c r="DA3386" s="650"/>
    </row>
    <row r="3387" spans="1:105" s="45" customFormat="1" x14ac:dyDescent="0.2">
      <c r="A3387" s="650"/>
      <c r="B3387" s="438"/>
      <c r="D3387" s="73"/>
      <c r="E3387" s="650"/>
      <c r="F3387" s="650"/>
      <c r="G3387" s="73"/>
      <c r="I3387" s="111"/>
      <c r="J3387" s="81"/>
      <c r="K3387" s="81"/>
      <c r="L3387" s="499"/>
      <c r="M3387" s="73"/>
      <c r="N3387" s="499"/>
      <c r="O3387" s="73"/>
      <c r="P3387" s="73"/>
      <c r="Q3387" s="73"/>
      <c r="R3387" s="176"/>
      <c r="S3387" s="176"/>
      <c r="T3387" s="176"/>
      <c r="U3387" s="400"/>
      <c r="V3387" s="400"/>
      <c r="W3387" s="732"/>
      <c r="X3387" s="167"/>
      <c r="Y3387" s="509"/>
      <c r="Z3387" s="466"/>
      <c r="AA3387" s="466"/>
      <c r="AB3387" s="466"/>
      <c r="AC3387" s="466"/>
      <c r="AD3387" s="466"/>
      <c r="AE3387" s="466"/>
      <c r="AF3387" s="466"/>
      <c r="AG3387" s="466"/>
      <c r="AH3387" s="466"/>
      <c r="AI3387" s="466"/>
      <c r="AJ3387" s="466"/>
      <c r="AK3387" s="466"/>
      <c r="AL3387" s="466"/>
      <c r="AM3387" s="466"/>
      <c r="AN3387" s="466"/>
      <c r="AO3387" s="466"/>
      <c r="AP3387" s="466"/>
      <c r="AQ3387" s="466"/>
      <c r="AR3387" s="466"/>
      <c r="AS3387" s="466"/>
      <c r="AT3387" s="466"/>
      <c r="AU3387" s="466"/>
      <c r="AV3387" s="466"/>
      <c r="AW3387" s="466"/>
      <c r="AX3387" s="466"/>
      <c r="AY3387" s="466"/>
      <c r="AZ3387" s="466"/>
      <c r="BA3387" s="466"/>
      <c r="BB3387" s="466"/>
      <c r="BC3387" s="466"/>
      <c r="BD3387" s="466"/>
      <c r="BE3387" s="467"/>
      <c r="BF3387" s="467"/>
      <c r="BG3387" s="466"/>
      <c r="BH3387" s="466"/>
      <c r="BI3387" s="467"/>
      <c r="BJ3387" s="467"/>
      <c r="BK3387" s="467"/>
      <c r="BL3387" s="467"/>
      <c r="BM3387" s="467"/>
      <c r="BN3387" s="467"/>
      <c r="BO3387" s="467"/>
      <c r="BP3387" s="467"/>
      <c r="BQ3387" s="467"/>
      <c r="BR3387" s="467"/>
      <c r="BS3387" s="467"/>
      <c r="BT3387" s="467"/>
      <c r="BU3387" s="467"/>
      <c r="BV3387" s="467"/>
      <c r="BW3387" s="467"/>
      <c r="BX3387" s="769"/>
      <c r="BY3387" s="769"/>
      <c r="BZ3387" s="769"/>
      <c r="CA3387" s="769"/>
      <c r="CB3387" s="769"/>
      <c r="CC3387" s="769"/>
      <c r="CD3387" s="769"/>
      <c r="CE3387" s="769"/>
      <c r="CF3387" s="769"/>
      <c r="CG3387" s="73"/>
      <c r="CH3387" s="438"/>
      <c r="CI3387" s="416"/>
      <c r="CJ3387" s="73"/>
      <c r="CK3387" s="650"/>
      <c r="CL3387" s="499"/>
      <c r="CM3387" s="650"/>
      <c r="CR3387" s="416"/>
      <c r="CS3387" s="650"/>
      <c r="CU3387" s="73"/>
      <c r="CV3387" s="73"/>
      <c r="CW3387" s="73"/>
      <c r="CX3387" s="73"/>
      <c r="DA3387" s="650"/>
    </row>
    <row r="3388" spans="1:105" s="45" customFormat="1" x14ac:dyDescent="0.2">
      <c r="A3388" s="650"/>
      <c r="B3388" s="438"/>
      <c r="D3388" s="73"/>
      <c r="E3388" s="650"/>
      <c r="F3388" s="650"/>
      <c r="G3388" s="73"/>
      <c r="I3388" s="111"/>
      <c r="J3388" s="81"/>
      <c r="K3388" s="81"/>
      <c r="L3388" s="499"/>
      <c r="M3388" s="73"/>
      <c r="N3388" s="499"/>
      <c r="O3388" s="73"/>
      <c r="P3388" s="73"/>
      <c r="Q3388" s="73"/>
      <c r="R3388" s="176"/>
      <c r="S3388" s="176"/>
      <c r="T3388" s="176"/>
      <c r="U3388" s="400"/>
      <c r="V3388" s="400"/>
      <c r="W3388" s="732"/>
      <c r="X3388" s="167"/>
      <c r="Y3388" s="509"/>
      <c r="Z3388" s="466"/>
      <c r="AA3388" s="466"/>
      <c r="AB3388" s="466"/>
      <c r="AC3388" s="466"/>
      <c r="AD3388" s="466"/>
      <c r="AE3388" s="466"/>
      <c r="AF3388" s="466"/>
      <c r="AG3388" s="466"/>
      <c r="AH3388" s="466"/>
      <c r="AI3388" s="466"/>
      <c r="AJ3388" s="466"/>
      <c r="AK3388" s="466"/>
      <c r="AL3388" s="466"/>
      <c r="AM3388" s="466"/>
      <c r="AN3388" s="466"/>
      <c r="AO3388" s="466"/>
      <c r="AP3388" s="466"/>
      <c r="AQ3388" s="466"/>
      <c r="AR3388" s="466"/>
      <c r="AS3388" s="466"/>
      <c r="AT3388" s="466"/>
      <c r="AU3388" s="466"/>
      <c r="AV3388" s="466"/>
      <c r="AW3388" s="466"/>
      <c r="AX3388" s="466"/>
      <c r="AY3388" s="466"/>
      <c r="AZ3388" s="466"/>
      <c r="BA3388" s="466"/>
      <c r="BB3388" s="466"/>
      <c r="BC3388" s="466"/>
      <c r="BD3388" s="466"/>
      <c r="BE3388" s="467"/>
      <c r="BF3388" s="467"/>
      <c r="BG3388" s="466"/>
      <c r="BH3388" s="466"/>
      <c r="BI3388" s="467"/>
      <c r="BJ3388" s="467"/>
      <c r="BK3388" s="467"/>
      <c r="BL3388" s="467"/>
      <c r="BM3388" s="467"/>
      <c r="BN3388" s="467"/>
      <c r="BO3388" s="467"/>
      <c r="BP3388" s="467"/>
      <c r="BQ3388" s="467"/>
      <c r="BR3388" s="467"/>
      <c r="BS3388" s="467"/>
      <c r="BT3388" s="467"/>
      <c r="BU3388" s="467"/>
      <c r="BV3388" s="467"/>
      <c r="BW3388" s="467"/>
      <c r="BX3388" s="769"/>
      <c r="BY3388" s="769"/>
      <c r="BZ3388" s="769"/>
      <c r="CA3388" s="769"/>
      <c r="CB3388" s="769"/>
      <c r="CC3388" s="769"/>
      <c r="CD3388" s="769"/>
      <c r="CE3388" s="769"/>
      <c r="CF3388" s="769"/>
      <c r="CG3388" s="73"/>
      <c r="CH3388" s="438"/>
      <c r="CI3388" s="416"/>
      <c r="CJ3388" s="73"/>
      <c r="CK3388" s="650"/>
      <c r="CL3388" s="499"/>
      <c r="CM3388" s="650"/>
      <c r="CR3388" s="416"/>
      <c r="CS3388" s="650"/>
      <c r="CU3388" s="73"/>
      <c r="CV3388" s="73"/>
      <c r="CW3388" s="73"/>
      <c r="CX3388" s="73"/>
      <c r="DA3388" s="650"/>
    </row>
    <row r="3389" spans="1:105" s="45" customFormat="1" x14ac:dyDescent="0.2">
      <c r="A3389" s="650"/>
      <c r="B3389" s="438"/>
      <c r="D3389" s="73"/>
      <c r="E3389" s="650"/>
      <c r="F3389" s="650"/>
      <c r="G3389" s="73"/>
      <c r="I3389" s="111"/>
      <c r="J3389" s="81"/>
      <c r="K3389" s="81"/>
      <c r="L3389" s="499"/>
      <c r="M3389" s="73"/>
      <c r="N3389" s="499"/>
      <c r="O3389" s="73"/>
      <c r="P3389" s="73"/>
      <c r="Q3389" s="73"/>
      <c r="R3389" s="176"/>
      <c r="S3389" s="176"/>
      <c r="T3389" s="176"/>
      <c r="U3389" s="400"/>
      <c r="V3389" s="400"/>
      <c r="W3389" s="732"/>
      <c r="X3389" s="167"/>
      <c r="Y3389" s="509"/>
      <c r="Z3389" s="466"/>
      <c r="AA3389" s="466"/>
      <c r="AB3389" s="466"/>
      <c r="AC3389" s="466"/>
      <c r="AD3389" s="466"/>
      <c r="AE3389" s="466"/>
      <c r="AF3389" s="466"/>
      <c r="AG3389" s="466"/>
      <c r="AH3389" s="466"/>
      <c r="AI3389" s="466"/>
      <c r="AJ3389" s="466"/>
      <c r="AK3389" s="466"/>
      <c r="AL3389" s="466"/>
      <c r="AM3389" s="466"/>
      <c r="AN3389" s="466"/>
      <c r="AO3389" s="466"/>
      <c r="AP3389" s="466"/>
      <c r="AQ3389" s="466"/>
      <c r="AR3389" s="466"/>
      <c r="AS3389" s="466"/>
      <c r="AT3389" s="466"/>
      <c r="AU3389" s="466"/>
      <c r="AV3389" s="466"/>
      <c r="AW3389" s="466"/>
      <c r="AX3389" s="466"/>
      <c r="AY3389" s="466"/>
      <c r="AZ3389" s="466"/>
      <c r="BA3389" s="466"/>
      <c r="BB3389" s="466"/>
      <c r="BC3389" s="466"/>
      <c r="BD3389" s="466"/>
      <c r="BE3389" s="467"/>
      <c r="BF3389" s="467"/>
      <c r="BG3389" s="466"/>
      <c r="BH3389" s="466"/>
      <c r="BI3389" s="467"/>
      <c r="BJ3389" s="467"/>
      <c r="BK3389" s="467"/>
      <c r="BL3389" s="467"/>
      <c r="BM3389" s="467"/>
      <c r="BN3389" s="467"/>
      <c r="BO3389" s="467"/>
      <c r="BP3389" s="467"/>
      <c r="BQ3389" s="467"/>
      <c r="BR3389" s="467"/>
      <c r="BS3389" s="467"/>
      <c r="BT3389" s="467"/>
      <c r="BU3389" s="467"/>
      <c r="BV3389" s="467"/>
      <c r="BW3389" s="467"/>
      <c r="BX3389" s="769"/>
      <c r="BY3389" s="769"/>
      <c r="BZ3389" s="769"/>
      <c r="CA3389" s="769"/>
      <c r="CB3389" s="769"/>
      <c r="CC3389" s="769"/>
      <c r="CD3389" s="769"/>
      <c r="CE3389" s="769"/>
      <c r="CF3389" s="769"/>
      <c r="CG3389" s="73"/>
      <c r="CH3389" s="438"/>
      <c r="CI3389" s="416"/>
      <c r="CJ3389" s="73"/>
      <c r="CK3389" s="650"/>
      <c r="CL3389" s="499"/>
      <c r="CM3389" s="650"/>
      <c r="CR3389" s="416"/>
      <c r="CS3389" s="650"/>
      <c r="CU3389" s="73"/>
      <c r="CV3389" s="73"/>
      <c r="CW3389" s="73"/>
      <c r="CX3389" s="73"/>
      <c r="DA3389" s="650"/>
    </row>
    <row r="3390" spans="1:105" s="45" customFormat="1" x14ac:dyDescent="0.2">
      <c r="A3390" s="650"/>
      <c r="B3390" s="438"/>
      <c r="D3390" s="73"/>
      <c r="E3390" s="650"/>
      <c r="F3390" s="650"/>
      <c r="G3390" s="73"/>
      <c r="I3390" s="111"/>
      <c r="J3390" s="81"/>
      <c r="K3390" s="81"/>
      <c r="L3390" s="499"/>
      <c r="M3390" s="73"/>
      <c r="N3390" s="499"/>
      <c r="O3390" s="73"/>
      <c r="P3390" s="73"/>
      <c r="Q3390" s="73"/>
      <c r="R3390" s="176"/>
      <c r="S3390" s="176"/>
      <c r="T3390" s="176"/>
      <c r="U3390" s="400"/>
      <c r="V3390" s="400"/>
      <c r="W3390" s="732"/>
      <c r="X3390" s="167"/>
      <c r="Y3390" s="509"/>
      <c r="Z3390" s="466"/>
      <c r="AA3390" s="466"/>
      <c r="AB3390" s="466"/>
      <c r="AC3390" s="466"/>
      <c r="AD3390" s="466"/>
      <c r="AE3390" s="466"/>
      <c r="AF3390" s="466"/>
      <c r="AG3390" s="466"/>
      <c r="AH3390" s="466"/>
      <c r="AI3390" s="466"/>
      <c r="AJ3390" s="466"/>
      <c r="AK3390" s="466"/>
      <c r="AL3390" s="466"/>
      <c r="AM3390" s="466"/>
      <c r="AN3390" s="466"/>
      <c r="AO3390" s="466"/>
      <c r="AP3390" s="466"/>
      <c r="AQ3390" s="466"/>
      <c r="AR3390" s="466"/>
      <c r="AS3390" s="466"/>
      <c r="AT3390" s="466"/>
      <c r="AU3390" s="466"/>
      <c r="AV3390" s="466"/>
      <c r="AW3390" s="466"/>
      <c r="AX3390" s="466"/>
      <c r="AY3390" s="466"/>
      <c r="AZ3390" s="466"/>
      <c r="BA3390" s="466"/>
      <c r="BB3390" s="466"/>
      <c r="BC3390" s="466"/>
      <c r="BD3390" s="466"/>
      <c r="BE3390" s="467"/>
      <c r="BF3390" s="467"/>
      <c r="BG3390" s="466"/>
      <c r="BH3390" s="466"/>
      <c r="BI3390" s="467"/>
      <c r="BJ3390" s="467"/>
      <c r="BK3390" s="467"/>
      <c r="BL3390" s="467"/>
      <c r="BM3390" s="467"/>
      <c r="BN3390" s="467"/>
      <c r="BO3390" s="467"/>
      <c r="BP3390" s="467"/>
      <c r="BQ3390" s="467"/>
      <c r="BR3390" s="467"/>
      <c r="BS3390" s="467"/>
      <c r="BT3390" s="467"/>
      <c r="BU3390" s="467"/>
      <c r="BV3390" s="467"/>
      <c r="BW3390" s="467"/>
      <c r="BX3390" s="769"/>
      <c r="BY3390" s="769"/>
      <c r="BZ3390" s="769"/>
      <c r="CA3390" s="769"/>
      <c r="CB3390" s="769"/>
      <c r="CC3390" s="769"/>
      <c r="CD3390" s="769"/>
      <c r="CE3390" s="769"/>
      <c r="CF3390" s="769"/>
      <c r="CG3390" s="73"/>
      <c r="CH3390" s="438"/>
      <c r="CI3390" s="416"/>
      <c r="CJ3390" s="73"/>
      <c r="CK3390" s="650"/>
      <c r="CL3390" s="499"/>
      <c r="CM3390" s="650"/>
      <c r="CR3390" s="416"/>
      <c r="CS3390" s="650"/>
      <c r="CU3390" s="73"/>
      <c r="CV3390" s="73"/>
      <c r="CW3390" s="73"/>
      <c r="CX3390" s="73"/>
      <c r="DA3390" s="650"/>
    </row>
    <row r="3391" spans="1:105" s="45" customFormat="1" x14ac:dyDescent="0.2">
      <c r="A3391" s="650"/>
      <c r="B3391" s="438"/>
      <c r="D3391" s="73"/>
      <c r="E3391" s="650"/>
      <c r="F3391" s="650"/>
      <c r="G3391" s="73"/>
      <c r="I3391" s="111"/>
      <c r="J3391" s="81"/>
      <c r="K3391" s="81"/>
      <c r="L3391" s="499"/>
      <c r="M3391" s="73"/>
      <c r="N3391" s="499"/>
      <c r="O3391" s="73"/>
      <c r="P3391" s="73"/>
      <c r="Q3391" s="73"/>
      <c r="R3391" s="176"/>
      <c r="S3391" s="176"/>
      <c r="T3391" s="176"/>
      <c r="U3391" s="400"/>
      <c r="V3391" s="400"/>
      <c r="W3391" s="732"/>
      <c r="X3391" s="167"/>
      <c r="Y3391" s="509"/>
      <c r="Z3391" s="466"/>
      <c r="AA3391" s="466"/>
      <c r="AB3391" s="466"/>
      <c r="AC3391" s="466"/>
      <c r="AD3391" s="466"/>
      <c r="AE3391" s="466"/>
      <c r="AF3391" s="466"/>
      <c r="AG3391" s="466"/>
      <c r="AH3391" s="466"/>
      <c r="AI3391" s="466"/>
      <c r="AJ3391" s="466"/>
      <c r="AK3391" s="466"/>
      <c r="AL3391" s="466"/>
      <c r="AM3391" s="466"/>
      <c r="AN3391" s="466"/>
      <c r="AO3391" s="466"/>
      <c r="AP3391" s="466"/>
      <c r="AQ3391" s="466"/>
      <c r="AR3391" s="466"/>
      <c r="AS3391" s="466"/>
      <c r="AT3391" s="466"/>
      <c r="AU3391" s="466"/>
      <c r="AV3391" s="466"/>
      <c r="AW3391" s="466"/>
      <c r="AX3391" s="466"/>
      <c r="AY3391" s="466"/>
      <c r="AZ3391" s="466"/>
      <c r="BA3391" s="466"/>
      <c r="BB3391" s="466"/>
      <c r="BC3391" s="466"/>
      <c r="BD3391" s="466"/>
      <c r="BE3391" s="467"/>
      <c r="BF3391" s="467"/>
      <c r="BG3391" s="466"/>
      <c r="BH3391" s="466"/>
      <c r="BI3391" s="467"/>
      <c r="BJ3391" s="467"/>
      <c r="BK3391" s="467"/>
      <c r="BL3391" s="467"/>
      <c r="BM3391" s="467"/>
      <c r="BN3391" s="467"/>
      <c r="BO3391" s="467"/>
      <c r="BP3391" s="467"/>
      <c r="BQ3391" s="467"/>
      <c r="BR3391" s="467"/>
      <c r="BS3391" s="467"/>
      <c r="BT3391" s="467"/>
      <c r="BU3391" s="467"/>
      <c r="BV3391" s="467"/>
      <c r="BW3391" s="467"/>
      <c r="BX3391" s="769"/>
      <c r="BY3391" s="769"/>
      <c r="BZ3391" s="769"/>
      <c r="CA3391" s="769"/>
      <c r="CB3391" s="769"/>
      <c r="CC3391" s="769"/>
      <c r="CD3391" s="769"/>
      <c r="CE3391" s="769"/>
      <c r="CF3391" s="769"/>
      <c r="CG3391" s="73"/>
      <c r="CH3391" s="438"/>
      <c r="CI3391" s="416"/>
      <c r="CJ3391" s="73"/>
      <c r="CK3391" s="650"/>
      <c r="CL3391" s="499"/>
      <c r="CM3391" s="650"/>
      <c r="CR3391" s="416"/>
      <c r="CS3391" s="650"/>
      <c r="CU3391" s="73"/>
      <c r="CV3391" s="73"/>
      <c r="CW3391" s="73"/>
      <c r="CX3391" s="73"/>
      <c r="DA3391" s="650"/>
    </row>
    <row r="3392" spans="1:105" s="45" customFormat="1" x14ac:dyDescent="0.2">
      <c r="A3392" s="650"/>
      <c r="B3392" s="438"/>
      <c r="D3392" s="73"/>
      <c r="E3392" s="650"/>
      <c r="F3392" s="650"/>
      <c r="G3392" s="73"/>
      <c r="I3392" s="111"/>
      <c r="J3392" s="81"/>
      <c r="K3392" s="81"/>
      <c r="L3392" s="499"/>
      <c r="M3392" s="73"/>
      <c r="N3392" s="499"/>
      <c r="O3392" s="73"/>
      <c r="P3392" s="73"/>
      <c r="Q3392" s="73"/>
      <c r="R3392" s="176"/>
      <c r="S3392" s="176"/>
      <c r="T3392" s="176"/>
      <c r="U3392" s="400"/>
      <c r="V3392" s="400"/>
      <c r="W3392" s="732"/>
      <c r="X3392" s="167"/>
      <c r="Y3392" s="509"/>
      <c r="Z3392" s="466"/>
      <c r="AA3392" s="466"/>
      <c r="AB3392" s="466"/>
      <c r="AC3392" s="466"/>
      <c r="AD3392" s="466"/>
      <c r="AE3392" s="466"/>
      <c r="AF3392" s="466"/>
      <c r="AG3392" s="466"/>
      <c r="AH3392" s="466"/>
      <c r="AI3392" s="466"/>
      <c r="AJ3392" s="466"/>
      <c r="AK3392" s="466"/>
      <c r="AL3392" s="466"/>
      <c r="AM3392" s="466"/>
      <c r="AN3392" s="466"/>
      <c r="AO3392" s="466"/>
      <c r="AP3392" s="466"/>
      <c r="AQ3392" s="466"/>
      <c r="AR3392" s="466"/>
      <c r="AS3392" s="466"/>
      <c r="AT3392" s="466"/>
      <c r="AU3392" s="466"/>
      <c r="AV3392" s="466"/>
      <c r="AW3392" s="466"/>
      <c r="AX3392" s="466"/>
      <c r="AY3392" s="466"/>
      <c r="AZ3392" s="466"/>
      <c r="BA3392" s="466"/>
      <c r="BB3392" s="466"/>
      <c r="BC3392" s="466"/>
      <c r="BD3392" s="466"/>
      <c r="BE3392" s="467"/>
      <c r="BF3392" s="467"/>
      <c r="BG3392" s="466"/>
      <c r="BH3392" s="466"/>
      <c r="BI3392" s="467"/>
      <c r="BJ3392" s="467"/>
      <c r="BK3392" s="467"/>
      <c r="BL3392" s="467"/>
      <c r="BM3392" s="467"/>
      <c r="BN3392" s="467"/>
      <c r="BO3392" s="467"/>
      <c r="BP3392" s="467"/>
      <c r="BQ3392" s="467"/>
      <c r="BR3392" s="467"/>
      <c r="BS3392" s="467"/>
      <c r="BT3392" s="467"/>
      <c r="BU3392" s="467"/>
      <c r="BV3392" s="467"/>
      <c r="BW3392" s="467"/>
      <c r="BX3392" s="769"/>
      <c r="BY3392" s="769"/>
      <c r="BZ3392" s="769"/>
      <c r="CA3392" s="769"/>
      <c r="CB3392" s="769"/>
      <c r="CC3392" s="769"/>
      <c r="CD3392" s="769"/>
      <c r="CE3392" s="769"/>
      <c r="CF3392" s="769"/>
      <c r="CG3392" s="73"/>
      <c r="CH3392" s="438"/>
      <c r="CI3392" s="416"/>
      <c r="CJ3392" s="73"/>
      <c r="CK3392" s="650"/>
      <c r="CL3392" s="499"/>
      <c r="CM3392" s="650"/>
      <c r="CR3392" s="416"/>
      <c r="CS3392" s="650"/>
      <c r="CU3392" s="73"/>
      <c r="CV3392" s="73"/>
      <c r="CW3392" s="73"/>
      <c r="CX3392" s="73"/>
      <c r="DA3392" s="650"/>
    </row>
    <row r="3393" spans="1:105" s="45" customFormat="1" x14ac:dyDescent="0.2">
      <c r="A3393" s="650"/>
      <c r="B3393" s="438"/>
      <c r="D3393" s="73"/>
      <c r="E3393" s="650"/>
      <c r="F3393" s="650"/>
      <c r="G3393" s="73"/>
      <c r="I3393" s="111"/>
      <c r="J3393" s="81"/>
      <c r="K3393" s="81"/>
      <c r="L3393" s="499"/>
      <c r="M3393" s="73"/>
      <c r="N3393" s="499"/>
      <c r="O3393" s="73"/>
      <c r="P3393" s="73"/>
      <c r="Q3393" s="73"/>
      <c r="R3393" s="176"/>
      <c r="S3393" s="176"/>
      <c r="T3393" s="176"/>
      <c r="U3393" s="400"/>
      <c r="V3393" s="400"/>
      <c r="W3393" s="732"/>
      <c r="X3393" s="167"/>
      <c r="Y3393" s="509"/>
      <c r="Z3393" s="466"/>
      <c r="AA3393" s="466"/>
      <c r="AB3393" s="466"/>
      <c r="AC3393" s="466"/>
      <c r="AD3393" s="466"/>
      <c r="AE3393" s="466"/>
      <c r="AF3393" s="466"/>
      <c r="AG3393" s="466"/>
      <c r="AH3393" s="466"/>
      <c r="AI3393" s="466"/>
      <c r="AJ3393" s="466"/>
      <c r="AK3393" s="466"/>
      <c r="AL3393" s="466"/>
      <c r="AM3393" s="466"/>
      <c r="AN3393" s="466"/>
      <c r="AO3393" s="466"/>
      <c r="AP3393" s="466"/>
      <c r="AQ3393" s="466"/>
      <c r="AR3393" s="466"/>
      <c r="AS3393" s="466"/>
      <c r="AT3393" s="466"/>
      <c r="AU3393" s="466"/>
      <c r="AV3393" s="466"/>
      <c r="AW3393" s="466"/>
      <c r="AX3393" s="466"/>
      <c r="AY3393" s="466"/>
      <c r="AZ3393" s="466"/>
      <c r="BA3393" s="466"/>
      <c r="BB3393" s="466"/>
      <c r="BC3393" s="466"/>
      <c r="BD3393" s="466"/>
      <c r="BE3393" s="467"/>
      <c r="BF3393" s="467"/>
      <c r="BG3393" s="466"/>
      <c r="BH3393" s="466"/>
      <c r="BI3393" s="467"/>
      <c r="BJ3393" s="467"/>
      <c r="BK3393" s="467"/>
      <c r="BL3393" s="467"/>
      <c r="BM3393" s="467"/>
      <c r="BN3393" s="467"/>
      <c r="BO3393" s="467"/>
      <c r="BP3393" s="467"/>
      <c r="BQ3393" s="467"/>
      <c r="BR3393" s="467"/>
      <c r="BS3393" s="467"/>
      <c r="BT3393" s="467"/>
      <c r="BU3393" s="467"/>
      <c r="BV3393" s="467"/>
      <c r="BW3393" s="467"/>
      <c r="BX3393" s="769"/>
      <c r="BY3393" s="769"/>
      <c r="BZ3393" s="769"/>
      <c r="CA3393" s="769"/>
      <c r="CB3393" s="769"/>
      <c r="CC3393" s="769"/>
      <c r="CD3393" s="769"/>
      <c r="CE3393" s="769"/>
      <c r="CF3393" s="769"/>
      <c r="CG3393" s="73"/>
      <c r="CH3393" s="438"/>
      <c r="CI3393" s="416"/>
      <c r="CJ3393" s="73"/>
      <c r="CK3393" s="650"/>
      <c r="CL3393" s="499"/>
      <c r="CM3393" s="650"/>
      <c r="CR3393" s="416"/>
      <c r="CS3393" s="650"/>
      <c r="CU3393" s="73"/>
      <c r="CV3393" s="73"/>
      <c r="CW3393" s="73"/>
      <c r="CX3393" s="73"/>
      <c r="DA3393" s="650"/>
    </row>
    <row r="3394" spans="1:105" s="45" customFormat="1" x14ac:dyDescent="0.2">
      <c r="A3394" s="650"/>
      <c r="B3394" s="438"/>
      <c r="D3394" s="73"/>
      <c r="E3394" s="650"/>
      <c r="F3394" s="650"/>
      <c r="G3394" s="73"/>
      <c r="I3394" s="111"/>
      <c r="J3394" s="81"/>
      <c r="K3394" s="81"/>
      <c r="L3394" s="499"/>
      <c r="M3394" s="73"/>
      <c r="N3394" s="499"/>
      <c r="O3394" s="73"/>
      <c r="P3394" s="73"/>
      <c r="Q3394" s="73"/>
      <c r="R3394" s="176"/>
      <c r="S3394" s="176"/>
      <c r="T3394" s="176"/>
      <c r="U3394" s="400"/>
      <c r="V3394" s="400"/>
      <c r="W3394" s="732"/>
      <c r="X3394" s="167"/>
      <c r="Y3394" s="509"/>
      <c r="Z3394" s="466"/>
      <c r="AA3394" s="466"/>
      <c r="AB3394" s="466"/>
      <c r="AC3394" s="466"/>
      <c r="AD3394" s="466"/>
      <c r="AE3394" s="466"/>
      <c r="AF3394" s="466"/>
      <c r="AG3394" s="466"/>
      <c r="AH3394" s="466"/>
      <c r="AI3394" s="466"/>
      <c r="AJ3394" s="466"/>
      <c r="AK3394" s="466"/>
      <c r="AL3394" s="466"/>
      <c r="AM3394" s="466"/>
      <c r="AN3394" s="466"/>
      <c r="AO3394" s="466"/>
      <c r="AP3394" s="466"/>
      <c r="AQ3394" s="466"/>
      <c r="AR3394" s="466"/>
      <c r="AS3394" s="466"/>
      <c r="AT3394" s="466"/>
      <c r="AU3394" s="466"/>
      <c r="AV3394" s="466"/>
      <c r="AW3394" s="466"/>
      <c r="AX3394" s="466"/>
      <c r="AY3394" s="466"/>
      <c r="AZ3394" s="466"/>
      <c r="BA3394" s="466"/>
      <c r="BB3394" s="466"/>
      <c r="BC3394" s="466"/>
      <c r="BD3394" s="466"/>
      <c r="BE3394" s="467"/>
      <c r="BF3394" s="467"/>
      <c r="BG3394" s="466"/>
      <c r="BH3394" s="466"/>
      <c r="BI3394" s="467"/>
      <c r="BJ3394" s="467"/>
      <c r="BK3394" s="467"/>
      <c r="BL3394" s="467"/>
      <c r="BM3394" s="467"/>
      <c r="BN3394" s="467"/>
      <c r="BO3394" s="467"/>
      <c r="BP3394" s="467"/>
      <c r="BQ3394" s="467"/>
      <c r="BR3394" s="467"/>
      <c r="BS3394" s="467"/>
      <c r="BT3394" s="467"/>
      <c r="BU3394" s="467"/>
      <c r="BV3394" s="467"/>
      <c r="BW3394" s="467"/>
      <c r="BX3394" s="769"/>
      <c r="BY3394" s="769"/>
      <c r="BZ3394" s="769"/>
      <c r="CA3394" s="769"/>
      <c r="CB3394" s="769"/>
      <c r="CC3394" s="769"/>
      <c r="CD3394" s="769"/>
      <c r="CE3394" s="769"/>
      <c r="CF3394" s="769"/>
      <c r="CG3394" s="73"/>
      <c r="CH3394" s="438"/>
      <c r="CI3394" s="416"/>
      <c r="CJ3394" s="73"/>
      <c r="CK3394" s="650"/>
      <c r="CL3394" s="499"/>
      <c r="CM3394" s="650"/>
      <c r="CR3394" s="416"/>
      <c r="CS3394" s="650"/>
      <c r="CU3394" s="73"/>
      <c r="CV3394" s="73"/>
      <c r="CW3394" s="73"/>
      <c r="CX3394" s="73"/>
      <c r="DA3394" s="650"/>
    </row>
    <row r="3395" spans="1:105" s="45" customFormat="1" x14ac:dyDescent="0.2">
      <c r="A3395" s="650"/>
      <c r="B3395" s="438"/>
      <c r="D3395" s="73"/>
      <c r="E3395" s="650"/>
      <c r="F3395" s="650"/>
      <c r="G3395" s="73"/>
      <c r="I3395" s="111"/>
      <c r="J3395" s="81"/>
      <c r="K3395" s="81"/>
      <c r="L3395" s="499"/>
      <c r="M3395" s="73"/>
      <c r="N3395" s="499"/>
      <c r="O3395" s="73"/>
      <c r="P3395" s="73"/>
      <c r="Q3395" s="73"/>
      <c r="R3395" s="176"/>
      <c r="S3395" s="176"/>
      <c r="T3395" s="176"/>
      <c r="U3395" s="400"/>
      <c r="V3395" s="400"/>
      <c r="W3395" s="732"/>
      <c r="X3395" s="167"/>
      <c r="Y3395" s="509"/>
      <c r="Z3395" s="466"/>
      <c r="AA3395" s="466"/>
      <c r="AB3395" s="466"/>
      <c r="AC3395" s="466"/>
      <c r="AD3395" s="466"/>
      <c r="AE3395" s="466"/>
      <c r="AF3395" s="466"/>
      <c r="AG3395" s="466"/>
      <c r="AH3395" s="466"/>
      <c r="AI3395" s="466"/>
      <c r="AJ3395" s="466"/>
      <c r="AK3395" s="466"/>
      <c r="AL3395" s="466"/>
      <c r="AM3395" s="466"/>
      <c r="AN3395" s="466"/>
      <c r="AO3395" s="466"/>
      <c r="AP3395" s="466"/>
      <c r="AQ3395" s="466"/>
      <c r="AR3395" s="466"/>
      <c r="AS3395" s="466"/>
      <c r="AT3395" s="466"/>
      <c r="AU3395" s="466"/>
      <c r="AV3395" s="466"/>
      <c r="AW3395" s="466"/>
      <c r="AX3395" s="466"/>
      <c r="AY3395" s="466"/>
      <c r="AZ3395" s="466"/>
      <c r="BA3395" s="466"/>
      <c r="BB3395" s="466"/>
      <c r="BC3395" s="466"/>
      <c r="BD3395" s="466"/>
      <c r="BE3395" s="467"/>
      <c r="BF3395" s="467"/>
      <c r="BG3395" s="466"/>
      <c r="BH3395" s="466"/>
      <c r="BI3395" s="467"/>
      <c r="BJ3395" s="467"/>
      <c r="BK3395" s="467"/>
      <c r="BL3395" s="467"/>
      <c r="BM3395" s="467"/>
      <c r="BN3395" s="467"/>
      <c r="BO3395" s="467"/>
      <c r="BP3395" s="467"/>
      <c r="BQ3395" s="467"/>
      <c r="BR3395" s="467"/>
      <c r="BS3395" s="467"/>
      <c r="BT3395" s="467"/>
      <c r="BU3395" s="467"/>
      <c r="BV3395" s="467"/>
      <c r="BW3395" s="467"/>
      <c r="BX3395" s="769"/>
      <c r="BY3395" s="769"/>
      <c r="BZ3395" s="769"/>
      <c r="CA3395" s="769"/>
      <c r="CB3395" s="769"/>
      <c r="CC3395" s="769"/>
      <c r="CD3395" s="769"/>
      <c r="CE3395" s="769"/>
      <c r="CF3395" s="769"/>
      <c r="CG3395" s="73"/>
      <c r="CH3395" s="438"/>
      <c r="CI3395" s="416"/>
      <c r="CJ3395" s="73"/>
      <c r="CK3395" s="650"/>
      <c r="CL3395" s="499"/>
      <c r="CM3395" s="650"/>
      <c r="CR3395" s="416"/>
      <c r="CS3395" s="650"/>
      <c r="CU3395" s="73"/>
      <c r="CV3395" s="73"/>
      <c r="CW3395" s="73"/>
      <c r="CX3395" s="73"/>
      <c r="DA3395" s="650"/>
    </row>
    <row r="3396" spans="1:105" s="45" customFormat="1" x14ac:dyDescent="0.2">
      <c r="A3396" s="650"/>
      <c r="B3396" s="438"/>
      <c r="D3396" s="73"/>
      <c r="E3396" s="650"/>
      <c r="F3396" s="650"/>
      <c r="G3396" s="73"/>
      <c r="I3396" s="111"/>
      <c r="J3396" s="81"/>
      <c r="K3396" s="81"/>
      <c r="L3396" s="499"/>
      <c r="M3396" s="73"/>
      <c r="N3396" s="499"/>
      <c r="O3396" s="73"/>
      <c r="P3396" s="73"/>
      <c r="Q3396" s="73"/>
      <c r="R3396" s="176"/>
      <c r="S3396" s="176"/>
      <c r="T3396" s="176"/>
      <c r="U3396" s="400"/>
      <c r="V3396" s="400"/>
      <c r="W3396" s="732"/>
      <c r="X3396" s="167"/>
      <c r="Y3396" s="509"/>
      <c r="Z3396" s="466"/>
      <c r="AA3396" s="466"/>
      <c r="AB3396" s="466"/>
      <c r="AC3396" s="466"/>
      <c r="AD3396" s="466"/>
      <c r="AE3396" s="466"/>
      <c r="AF3396" s="466"/>
      <c r="AG3396" s="466"/>
      <c r="AH3396" s="466"/>
      <c r="AI3396" s="466"/>
      <c r="AJ3396" s="466"/>
      <c r="AK3396" s="466"/>
      <c r="AL3396" s="466"/>
      <c r="AM3396" s="466"/>
      <c r="AN3396" s="466"/>
      <c r="AO3396" s="466"/>
      <c r="AP3396" s="466"/>
      <c r="AQ3396" s="466"/>
      <c r="AR3396" s="466"/>
      <c r="AS3396" s="466"/>
      <c r="AT3396" s="466"/>
      <c r="AU3396" s="466"/>
      <c r="AV3396" s="466"/>
      <c r="AW3396" s="466"/>
      <c r="AX3396" s="466"/>
      <c r="AY3396" s="466"/>
      <c r="AZ3396" s="466"/>
      <c r="BA3396" s="466"/>
      <c r="BB3396" s="466"/>
      <c r="BC3396" s="466"/>
      <c r="BD3396" s="466"/>
      <c r="BE3396" s="467"/>
      <c r="BF3396" s="467"/>
      <c r="BG3396" s="466"/>
      <c r="BH3396" s="466"/>
      <c r="BI3396" s="467"/>
      <c r="BJ3396" s="467"/>
      <c r="BK3396" s="467"/>
      <c r="BL3396" s="467"/>
      <c r="BM3396" s="467"/>
      <c r="BN3396" s="467"/>
      <c r="BO3396" s="467"/>
      <c r="BP3396" s="467"/>
      <c r="BQ3396" s="467"/>
      <c r="BR3396" s="467"/>
      <c r="BS3396" s="467"/>
      <c r="BT3396" s="467"/>
      <c r="BU3396" s="467"/>
      <c r="BV3396" s="467"/>
      <c r="BW3396" s="467"/>
      <c r="BX3396" s="769"/>
      <c r="BY3396" s="769"/>
      <c r="BZ3396" s="769"/>
      <c r="CA3396" s="769"/>
      <c r="CB3396" s="769"/>
      <c r="CC3396" s="769"/>
      <c r="CD3396" s="769"/>
      <c r="CE3396" s="769"/>
      <c r="CF3396" s="769"/>
      <c r="CG3396" s="73"/>
      <c r="CH3396" s="438"/>
      <c r="CI3396" s="416"/>
      <c r="CJ3396" s="73"/>
      <c r="CK3396" s="650"/>
      <c r="CL3396" s="499"/>
      <c r="CM3396" s="650"/>
      <c r="CR3396" s="416"/>
      <c r="CS3396" s="650"/>
      <c r="CU3396" s="73"/>
      <c r="CV3396" s="73"/>
      <c r="CW3396" s="73"/>
      <c r="CX3396" s="73"/>
      <c r="DA3396" s="650"/>
    </row>
    <row r="3397" spans="1:105" s="45" customFormat="1" x14ac:dyDescent="0.2">
      <c r="A3397" s="650"/>
      <c r="B3397" s="438"/>
      <c r="D3397" s="73"/>
      <c r="E3397" s="650"/>
      <c r="F3397" s="650"/>
      <c r="G3397" s="73"/>
      <c r="I3397" s="111"/>
      <c r="J3397" s="81"/>
      <c r="K3397" s="81"/>
      <c r="L3397" s="499"/>
      <c r="M3397" s="73"/>
      <c r="N3397" s="499"/>
      <c r="O3397" s="73"/>
      <c r="P3397" s="73"/>
      <c r="Q3397" s="73"/>
      <c r="R3397" s="176"/>
      <c r="S3397" s="176"/>
      <c r="T3397" s="176"/>
      <c r="U3397" s="400"/>
      <c r="V3397" s="400"/>
      <c r="W3397" s="732"/>
      <c r="X3397" s="167"/>
      <c r="Y3397" s="509"/>
      <c r="Z3397" s="466"/>
      <c r="AA3397" s="466"/>
      <c r="AB3397" s="466"/>
      <c r="AC3397" s="466"/>
      <c r="AD3397" s="466"/>
      <c r="AE3397" s="466"/>
      <c r="AF3397" s="466"/>
      <c r="AG3397" s="466"/>
      <c r="AH3397" s="466"/>
      <c r="AI3397" s="466"/>
      <c r="AJ3397" s="466"/>
      <c r="AK3397" s="466"/>
      <c r="AL3397" s="466"/>
      <c r="AM3397" s="466"/>
      <c r="AN3397" s="466"/>
      <c r="AO3397" s="466"/>
      <c r="AP3397" s="466"/>
      <c r="AQ3397" s="466"/>
      <c r="AR3397" s="466"/>
      <c r="AS3397" s="466"/>
      <c r="AT3397" s="466"/>
      <c r="AU3397" s="466"/>
      <c r="AV3397" s="466"/>
      <c r="AW3397" s="466"/>
      <c r="AX3397" s="466"/>
      <c r="AY3397" s="466"/>
      <c r="AZ3397" s="466"/>
      <c r="BA3397" s="466"/>
      <c r="BB3397" s="466"/>
      <c r="BC3397" s="466"/>
      <c r="BD3397" s="466"/>
      <c r="BE3397" s="467"/>
      <c r="BF3397" s="467"/>
      <c r="BG3397" s="466"/>
      <c r="BH3397" s="466"/>
      <c r="BI3397" s="467"/>
      <c r="BJ3397" s="467"/>
      <c r="BK3397" s="467"/>
      <c r="BL3397" s="467"/>
      <c r="BM3397" s="467"/>
      <c r="BN3397" s="467"/>
      <c r="BO3397" s="467"/>
      <c r="BP3397" s="467"/>
      <c r="BQ3397" s="467"/>
      <c r="BR3397" s="467"/>
      <c r="BS3397" s="467"/>
      <c r="BT3397" s="467"/>
      <c r="BU3397" s="467"/>
      <c r="BV3397" s="467"/>
      <c r="BW3397" s="467"/>
      <c r="BX3397" s="769"/>
      <c r="BY3397" s="769"/>
      <c r="BZ3397" s="769"/>
      <c r="CA3397" s="769"/>
      <c r="CB3397" s="769"/>
      <c r="CC3397" s="769"/>
      <c r="CD3397" s="769"/>
      <c r="CE3397" s="769"/>
      <c r="CF3397" s="769"/>
      <c r="CG3397" s="73"/>
      <c r="CH3397" s="438"/>
      <c r="CI3397" s="416"/>
      <c r="CJ3397" s="73"/>
      <c r="CK3397" s="650"/>
      <c r="CL3397" s="499"/>
      <c r="CM3397" s="650"/>
      <c r="CR3397" s="416"/>
      <c r="CS3397" s="650"/>
      <c r="CU3397" s="73"/>
      <c r="CV3397" s="73"/>
      <c r="CW3397" s="73"/>
      <c r="CX3397" s="73"/>
      <c r="DA3397" s="650"/>
    </row>
    <row r="3398" spans="1:105" s="45" customFormat="1" x14ac:dyDescent="0.2">
      <c r="A3398" s="650"/>
      <c r="B3398" s="438"/>
      <c r="D3398" s="73"/>
      <c r="E3398" s="650"/>
      <c r="F3398" s="650"/>
      <c r="G3398" s="73"/>
      <c r="I3398" s="111"/>
      <c r="J3398" s="81"/>
      <c r="K3398" s="81"/>
      <c r="L3398" s="499"/>
      <c r="M3398" s="73"/>
      <c r="N3398" s="499"/>
      <c r="O3398" s="73"/>
      <c r="P3398" s="73"/>
      <c r="Q3398" s="73"/>
      <c r="R3398" s="176"/>
      <c r="S3398" s="176"/>
      <c r="T3398" s="176"/>
      <c r="U3398" s="400"/>
      <c r="V3398" s="400"/>
      <c r="W3398" s="732"/>
      <c r="X3398" s="167"/>
      <c r="Y3398" s="509"/>
      <c r="Z3398" s="466"/>
      <c r="AA3398" s="466"/>
      <c r="AB3398" s="466"/>
      <c r="AC3398" s="466"/>
      <c r="AD3398" s="466"/>
      <c r="AE3398" s="466"/>
      <c r="AF3398" s="466"/>
      <c r="AG3398" s="466"/>
      <c r="AH3398" s="466"/>
      <c r="AI3398" s="466"/>
      <c r="AJ3398" s="466"/>
      <c r="AK3398" s="466"/>
      <c r="AL3398" s="466"/>
      <c r="AM3398" s="466"/>
      <c r="AN3398" s="466"/>
      <c r="AO3398" s="466"/>
      <c r="AP3398" s="466"/>
      <c r="AQ3398" s="466"/>
      <c r="AR3398" s="466"/>
      <c r="AS3398" s="466"/>
      <c r="AT3398" s="466"/>
      <c r="AU3398" s="466"/>
      <c r="AV3398" s="466"/>
      <c r="AW3398" s="466"/>
      <c r="AX3398" s="466"/>
      <c r="AY3398" s="466"/>
      <c r="AZ3398" s="466"/>
      <c r="BA3398" s="466"/>
      <c r="BB3398" s="466"/>
      <c r="BC3398" s="466"/>
      <c r="BD3398" s="466"/>
      <c r="BE3398" s="467"/>
      <c r="BF3398" s="467"/>
      <c r="BG3398" s="466"/>
      <c r="BH3398" s="466"/>
      <c r="BI3398" s="467"/>
      <c r="BJ3398" s="467"/>
      <c r="BK3398" s="467"/>
      <c r="BL3398" s="467"/>
      <c r="BM3398" s="467"/>
      <c r="BN3398" s="467"/>
      <c r="BO3398" s="467"/>
      <c r="BP3398" s="467"/>
      <c r="BQ3398" s="467"/>
      <c r="BR3398" s="467"/>
      <c r="BS3398" s="467"/>
      <c r="BT3398" s="467"/>
      <c r="BU3398" s="467"/>
      <c r="BV3398" s="467"/>
      <c r="BW3398" s="467"/>
      <c r="BX3398" s="769"/>
      <c r="BY3398" s="769"/>
      <c r="BZ3398" s="769"/>
      <c r="CA3398" s="769"/>
      <c r="CB3398" s="769"/>
      <c r="CC3398" s="769"/>
      <c r="CD3398" s="769"/>
      <c r="CE3398" s="769"/>
      <c r="CF3398" s="769"/>
      <c r="CG3398" s="73"/>
      <c r="CH3398" s="438"/>
      <c r="CI3398" s="416"/>
      <c r="CJ3398" s="73"/>
      <c r="CK3398" s="650"/>
      <c r="CL3398" s="499"/>
      <c r="CM3398" s="650"/>
      <c r="CR3398" s="416"/>
      <c r="CS3398" s="650"/>
      <c r="CU3398" s="73"/>
      <c r="CV3398" s="73"/>
      <c r="CW3398" s="73"/>
      <c r="CX3398" s="73"/>
      <c r="DA3398" s="650"/>
    </row>
    <row r="3399" spans="1:105" s="45" customFormat="1" x14ac:dyDescent="0.2">
      <c r="A3399" s="650"/>
      <c r="B3399" s="438"/>
      <c r="D3399" s="73"/>
      <c r="E3399" s="650"/>
      <c r="F3399" s="650"/>
      <c r="G3399" s="73"/>
      <c r="I3399" s="111"/>
      <c r="J3399" s="81"/>
      <c r="K3399" s="81"/>
      <c r="L3399" s="499"/>
      <c r="M3399" s="73"/>
      <c r="N3399" s="499"/>
      <c r="O3399" s="73"/>
      <c r="P3399" s="73"/>
      <c r="Q3399" s="73"/>
      <c r="R3399" s="176"/>
      <c r="S3399" s="176"/>
      <c r="T3399" s="176"/>
      <c r="U3399" s="400"/>
      <c r="V3399" s="400"/>
      <c r="W3399" s="732"/>
      <c r="X3399" s="167"/>
      <c r="Y3399" s="509"/>
      <c r="Z3399" s="466"/>
      <c r="AA3399" s="466"/>
      <c r="AB3399" s="466"/>
      <c r="AC3399" s="466"/>
      <c r="AD3399" s="466"/>
      <c r="AE3399" s="466"/>
      <c r="AF3399" s="466"/>
      <c r="AG3399" s="466"/>
      <c r="AH3399" s="466"/>
      <c r="AI3399" s="466"/>
      <c r="AJ3399" s="466"/>
      <c r="AK3399" s="466"/>
      <c r="AL3399" s="466"/>
      <c r="AM3399" s="466"/>
      <c r="AN3399" s="466"/>
      <c r="AO3399" s="466"/>
      <c r="AP3399" s="466"/>
      <c r="AQ3399" s="466"/>
      <c r="AR3399" s="466"/>
      <c r="AS3399" s="466"/>
      <c r="AT3399" s="466"/>
      <c r="AU3399" s="466"/>
      <c r="AV3399" s="466"/>
      <c r="AW3399" s="466"/>
      <c r="AX3399" s="466"/>
      <c r="AY3399" s="466"/>
      <c r="AZ3399" s="466"/>
      <c r="BA3399" s="466"/>
      <c r="BB3399" s="466"/>
      <c r="BC3399" s="466"/>
      <c r="BD3399" s="466"/>
      <c r="BE3399" s="467"/>
      <c r="BF3399" s="467"/>
      <c r="BG3399" s="466"/>
      <c r="BH3399" s="466"/>
      <c r="BI3399" s="467"/>
      <c r="BJ3399" s="467"/>
      <c r="BK3399" s="467"/>
      <c r="BL3399" s="467"/>
      <c r="BM3399" s="467"/>
      <c r="BN3399" s="467"/>
      <c r="BO3399" s="467"/>
      <c r="BP3399" s="467"/>
      <c r="BQ3399" s="467"/>
      <c r="BR3399" s="467"/>
      <c r="BS3399" s="467"/>
      <c r="BT3399" s="467"/>
      <c r="BU3399" s="467"/>
      <c r="BV3399" s="467"/>
      <c r="BW3399" s="467"/>
      <c r="BX3399" s="769"/>
      <c r="BY3399" s="769"/>
      <c r="BZ3399" s="769"/>
      <c r="CA3399" s="769"/>
      <c r="CB3399" s="769"/>
      <c r="CC3399" s="769"/>
      <c r="CD3399" s="769"/>
      <c r="CE3399" s="769"/>
      <c r="CF3399" s="769"/>
      <c r="CG3399" s="73"/>
      <c r="CH3399" s="438"/>
      <c r="CI3399" s="416"/>
      <c r="CJ3399" s="73"/>
      <c r="CK3399" s="650"/>
      <c r="CL3399" s="499"/>
      <c r="CM3399" s="650"/>
      <c r="CR3399" s="416"/>
      <c r="CS3399" s="650"/>
      <c r="CU3399" s="73"/>
      <c r="CV3399" s="73"/>
      <c r="CW3399" s="73"/>
      <c r="CX3399" s="73"/>
      <c r="DA3399" s="650"/>
    </row>
    <row r="3400" spans="1:105" s="45" customFormat="1" x14ac:dyDescent="0.2">
      <c r="A3400" s="650"/>
      <c r="B3400" s="438"/>
      <c r="D3400" s="73"/>
      <c r="E3400" s="650"/>
      <c r="F3400" s="650"/>
      <c r="G3400" s="73"/>
      <c r="I3400" s="111"/>
      <c r="J3400" s="81"/>
      <c r="K3400" s="81"/>
      <c r="L3400" s="499"/>
      <c r="M3400" s="73"/>
      <c r="N3400" s="499"/>
      <c r="O3400" s="73"/>
      <c r="P3400" s="73"/>
      <c r="Q3400" s="73"/>
      <c r="R3400" s="176"/>
      <c r="S3400" s="176"/>
      <c r="T3400" s="176"/>
      <c r="U3400" s="400"/>
      <c r="V3400" s="400"/>
      <c r="W3400" s="732"/>
      <c r="X3400" s="167"/>
      <c r="Y3400" s="509"/>
      <c r="Z3400" s="466"/>
      <c r="AA3400" s="466"/>
      <c r="AB3400" s="466"/>
      <c r="AC3400" s="466"/>
      <c r="AD3400" s="466"/>
      <c r="AE3400" s="466"/>
      <c r="AF3400" s="466"/>
      <c r="AG3400" s="466"/>
      <c r="AH3400" s="466"/>
      <c r="AI3400" s="466"/>
      <c r="AJ3400" s="466"/>
      <c r="AK3400" s="466"/>
      <c r="AL3400" s="466"/>
      <c r="AM3400" s="466"/>
      <c r="AN3400" s="466"/>
      <c r="AO3400" s="466"/>
      <c r="AP3400" s="466"/>
      <c r="AQ3400" s="466"/>
      <c r="AR3400" s="466"/>
      <c r="AS3400" s="466"/>
      <c r="AT3400" s="466"/>
      <c r="AU3400" s="466"/>
      <c r="AV3400" s="466"/>
      <c r="AW3400" s="466"/>
      <c r="AX3400" s="466"/>
      <c r="AY3400" s="466"/>
      <c r="AZ3400" s="466"/>
      <c r="BA3400" s="466"/>
      <c r="BB3400" s="466"/>
      <c r="BC3400" s="466"/>
      <c r="BD3400" s="466"/>
      <c r="BE3400" s="467"/>
      <c r="BF3400" s="467"/>
      <c r="BG3400" s="466"/>
      <c r="BH3400" s="466"/>
      <c r="BI3400" s="467"/>
      <c r="BJ3400" s="467"/>
      <c r="BK3400" s="467"/>
      <c r="BL3400" s="467"/>
      <c r="BM3400" s="467"/>
      <c r="BN3400" s="467"/>
      <c r="BO3400" s="467"/>
      <c r="BP3400" s="467"/>
      <c r="BQ3400" s="467"/>
      <c r="BR3400" s="467"/>
      <c r="BS3400" s="467"/>
      <c r="BT3400" s="467"/>
      <c r="BU3400" s="467"/>
      <c r="BV3400" s="467"/>
      <c r="BW3400" s="467"/>
      <c r="BX3400" s="769"/>
      <c r="BY3400" s="769"/>
      <c r="BZ3400" s="769"/>
      <c r="CA3400" s="769"/>
      <c r="CB3400" s="769"/>
      <c r="CC3400" s="769"/>
      <c r="CD3400" s="769"/>
      <c r="CE3400" s="769"/>
      <c r="CF3400" s="769"/>
      <c r="CG3400" s="73"/>
      <c r="CH3400" s="438"/>
      <c r="CI3400" s="416"/>
      <c r="CJ3400" s="73"/>
      <c r="CK3400" s="650"/>
      <c r="CL3400" s="499"/>
      <c r="CM3400" s="650"/>
      <c r="CR3400" s="416"/>
      <c r="CS3400" s="650"/>
      <c r="CU3400" s="73"/>
      <c r="CV3400" s="73"/>
      <c r="CW3400" s="73"/>
      <c r="CX3400" s="73"/>
      <c r="DA3400" s="650"/>
    </row>
    <row r="3401" spans="1:105" s="45" customFormat="1" x14ac:dyDescent="0.2">
      <c r="A3401" s="650"/>
      <c r="B3401" s="438"/>
      <c r="D3401" s="73"/>
      <c r="E3401" s="650"/>
      <c r="F3401" s="650"/>
      <c r="G3401" s="73"/>
      <c r="I3401" s="111"/>
      <c r="J3401" s="81"/>
      <c r="K3401" s="81"/>
      <c r="L3401" s="499"/>
      <c r="M3401" s="73"/>
      <c r="N3401" s="499"/>
      <c r="O3401" s="73"/>
      <c r="P3401" s="73"/>
      <c r="Q3401" s="73"/>
      <c r="R3401" s="176"/>
      <c r="S3401" s="176"/>
      <c r="T3401" s="176"/>
      <c r="U3401" s="400"/>
      <c r="V3401" s="400"/>
      <c r="W3401" s="732"/>
      <c r="X3401" s="167"/>
      <c r="Y3401" s="509"/>
      <c r="Z3401" s="466"/>
      <c r="AA3401" s="466"/>
      <c r="AB3401" s="466"/>
      <c r="AC3401" s="466"/>
      <c r="AD3401" s="466"/>
      <c r="AE3401" s="466"/>
      <c r="AF3401" s="466"/>
      <c r="AG3401" s="466"/>
      <c r="AH3401" s="466"/>
      <c r="AI3401" s="466"/>
      <c r="AJ3401" s="466"/>
      <c r="AK3401" s="466"/>
      <c r="AL3401" s="466"/>
      <c r="AM3401" s="466"/>
      <c r="AN3401" s="466"/>
      <c r="AO3401" s="466"/>
      <c r="AP3401" s="466"/>
      <c r="AQ3401" s="466"/>
      <c r="AR3401" s="466"/>
      <c r="AS3401" s="466"/>
      <c r="AT3401" s="466"/>
      <c r="AU3401" s="466"/>
      <c r="AV3401" s="466"/>
      <c r="AW3401" s="466"/>
      <c r="AX3401" s="466"/>
      <c r="AY3401" s="466"/>
      <c r="AZ3401" s="466"/>
      <c r="BA3401" s="466"/>
      <c r="BB3401" s="466"/>
      <c r="BC3401" s="466"/>
      <c r="BD3401" s="466"/>
      <c r="BE3401" s="467"/>
      <c r="BF3401" s="467"/>
      <c r="BG3401" s="466"/>
      <c r="BH3401" s="466"/>
      <c r="BI3401" s="467"/>
      <c r="BJ3401" s="467"/>
      <c r="BK3401" s="467"/>
      <c r="BL3401" s="467"/>
      <c r="BM3401" s="467"/>
      <c r="BN3401" s="467"/>
      <c r="BO3401" s="467"/>
      <c r="BP3401" s="467"/>
      <c r="BQ3401" s="467"/>
      <c r="BR3401" s="467"/>
      <c r="BS3401" s="467"/>
      <c r="BT3401" s="467"/>
      <c r="BU3401" s="467"/>
      <c r="BV3401" s="467"/>
      <c r="BW3401" s="467"/>
      <c r="BX3401" s="769"/>
      <c r="BY3401" s="769"/>
      <c r="BZ3401" s="769"/>
      <c r="CA3401" s="769"/>
      <c r="CB3401" s="769"/>
      <c r="CC3401" s="769"/>
      <c r="CD3401" s="769"/>
      <c r="CE3401" s="769"/>
      <c r="CF3401" s="769"/>
      <c r="CG3401" s="73"/>
      <c r="CH3401" s="438"/>
      <c r="CI3401" s="416"/>
      <c r="CJ3401" s="73"/>
      <c r="CK3401" s="650"/>
      <c r="CL3401" s="499"/>
      <c r="CM3401" s="650"/>
      <c r="CR3401" s="416"/>
      <c r="CS3401" s="650"/>
      <c r="CU3401" s="73"/>
      <c r="CV3401" s="73"/>
      <c r="CW3401" s="73"/>
      <c r="CX3401" s="73"/>
      <c r="DA3401" s="650"/>
    </row>
    <row r="3402" spans="1:105" s="45" customFormat="1" x14ac:dyDescent="0.2">
      <c r="A3402" s="650"/>
      <c r="B3402" s="438"/>
      <c r="D3402" s="73"/>
      <c r="E3402" s="650"/>
      <c r="F3402" s="650"/>
      <c r="G3402" s="73"/>
      <c r="I3402" s="111"/>
      <c r="J3402" s="81"/>
      <c r="K3402" s="81"/>
      <c r="L3402" s="499"/>
      <c r="M3402" s="73"/>
      <c r="N3402" s="499"/>
      <c r="O3402" s="73"/>
      <c r="P3402" s="73"/>
      <c r="Q3402" s="73"/>
      <c r="R3402" s="176"/>
      <c r="S3402" s="176"/>
      <c r="T3402" s="176"/>
      <c r="U3402" s="400"/>
      <c r="V3402" s="400"/>
      <c r="W3402" s="732"/>
      <c r="X3402" s="167"/>
      <c r="Y3402" s="509"/>
      <c r="Z3402" s="466"/>
      <c r="AA3402" s="466"/>
      <c r="AB3402" s="466"/>
      <c r="AC3402" s="466"/>
      <c r="AD3402" s="466"/>
      <c r="AE3402" s="466"/>
      <c r="AF3402" s="466"/>
      <c r="AG3402" s="466"/>
      <c r="AH3402" s="466"/>
      <c r="AI3402" s="466"/>
      <c r="AJ3402" s="466"/>
      <c r="AK3402" s="466"/>
      <c r="AL3402" s="466"/>
      <c r="AM3402" s="466"/>
      <c r="AN3402" s="466"/>
      <c r="AO3402" s="466"/>
      <c r="AP3402" s="466"/>
      <c r="AQ3402" s="466"/>
      <c r="AR3402" s="466"/>
      <c r="AS3402" s="466"/>
      <c r="AT3402" s="466"/>
      <c r="AU3402" s="466"/>
      <c r="AV3402" s="466"/>
      <c r="AW3402" s="466"/>
      <c r="AX3402" s="466"/>
      <c r="AY3402" s="466"/>
      <c r="AZ3402" s="466"/>
      <c r="BA3402" s="466"/>
      <c r="BB3402" s="466"/>
      <c r="BC3402" s="466"/>
      <c r="BD3402" s="466"/>
      <c r="BE3402" s="467"/>
      <c r="BF3402" s="467"/>
      <c r="BG3402" s="466"/>
      <c r="BH3402" s="466"/>
      <c r="BI3402" s="467"/>
      <c r="BJ3402" s="467"/>
      <c r="BK3402" s="467"/>
      <c r="BL3402" s="467"/>
      <c r="BM3402" s="467"/>
      <c r="BN3402" s="467"/>
      <c r="BO3402" s="467"/>
      <c r="BP3402" s="467"/>
      <c r="BQ3402" s="467"/>
      <c r="BR3402" s="467"/>
      <c r="BS3402" s="467"/>
      <c r="BT3402" s="467"/>
      <c r="BU3402" s="467"/>
      <c r="BV3402" s="467"/>
      <c r="BW3402" s="467"/>
      <c r="BX3402" s="769"/>
      <c r="BY3402" s="769"/>
      <c r="BZ3402" s="769"/>
      <c r="CA3402" s="769"/>
      <c r="CB3402" s="769"/>
      <c r="CC3402" s="769"/>
      <c r="CD3402" s="769"/>
      <c r="CE3402" s="769"/>
      <c r="CF3402" s="769"/>
      <c r="CG3402" s="73"/>
      <c r="CH3402" s="438"/>
      <c r="CI3402" s="416"/>
      <c r="CJ3402" s="73"/>
      <c r="CK3402" s="650"/>
      <c r="CL3402" s="499"/>
      <c r="CM3402" s="650"/>
      <c r="CR3402" s="416"/>
      <c r="CS3402" s="650"/>
      <c r="CU3402" s="73"/>
      <c r="CV3402" s="73"/>
      <c r="CW3402" s="73"/>
      <c r="CX3402" s="73"/>
      <c r="DA3402" s="650"/>
    </row>
    <row r="3403" spans="1:105" s="45" customFormat="1" x14ac:dyDescent="0.2">
      <c r="A3403" s="650"/>
      <c r="B3403" s="438"/>
      <c r="D3403" s="73"/>
      <c r="E3403" s="650"/>
      <c r="F3403" s="650"/>
      <c r="G3403" s="73"/>
      <c r="I3403" s="111"/>
      <c r="J3403" s="81"/>
      <c r="K3403" s="81"/>
      <c r="L3403" s="499"/>
      <c r="M3403" s="73"/>
      <c r="N3403" s="499"/>
      <c r="O3403" s="73"/>
      <c r="P3403" s="73"/>
      <c r="Q3403" s="73"/>
      <c r="R3403" s="176"/>
      <c r="S3403" s="176"/>
      <c r="T3403" s="176"/>
      <c r="U3403" s="400"/>
      <c r="V3403" s="400"/>
      <c r="W3403" s="732"/>
      <c r="X3403" s="167"/>
      <c r="Y3403" s="509"/>
      <c r="Z3403" s="466"/>
      <c r="AA3403" s="466"/>
      <c r="AB3403" s="466"/>
      <c r="AC3403" s="466"/>
      <c r="AD3403" s="466"/>
      <c r="AE3403" s="466"/>
      <c r="AF3403" s="466"/>
      <c r="AG3403" s="466"/>
      <c r="AH3403" s="466"/>
      <c r="AI3403" s="466"/>
      <c r="AJ3403" s="466"/>
      <c r="AK3403" s="466"/>
      <c r="AL3403" s="466"/>
      <c r="AM3403" s="466"/>
      <c r="AN3403" s="466"/>
      <c r="AO3403" s="466"/>
      <c r="AP3403" s="466"/>
      <c r="AQ3403" s="466"/>
      <c r="AR3403" s="466"/>
      <c r="AS3403" s="466"/>
      <c r="AT3403" s="466"/>
      <c r="AU3403" s="466"/>
      <c r="AV3403" s="466"/>
      <c r="AW3403" s="466"/>
      <c r="AX3403" s="466"/>
      <c r="AY3403" s="466"/>
      <c r="AZ3403" s="466"/>
      <c r="BA3403" s="466"/>
      <c r="BB3403" s="466"/>
      <c r="BC3403" s="466"/>
      <c r="BD3403" s="466"/>
      <c r="BE3403" s="467"/>
      <c r="BF3403" s="467"/>
      <c r="BG3403" s="466"/>
      <c r="BH3403" s="466"/>
      <c r="BI3403" s="467"/>
      <c r="BJ3403" s="467"/>
      <c r="BK3403" s="467"/>
      <c r="BL3403" s="467"/>
      <c r="BM3403" s="467"/>
      <c r="BN3403" s="467"/>
      <c r="BO3403" s="467"/>
      <c r="BP3403" s="467"/>
      <c r="BQ3403" s="467"/>
      <c r="BR3403" s="467"/>
      <c r="BS3403" s="467"/>
      <c r="BT3403" s="467"/>
      <c r="BU3403" s="467"/>
      <c r="BV3403" s="467"/>
      <c r="BW3403" s="467"/>
      <c r="BX3403" s="769"/>
      <c r="BY3403" s="769"/>
      <c r="BZ3403" s="769"/>
      <c r="CA3403" s="769"/>
      <c r="CB3403" s="769"/>
      <c r="CC3403" s="769"/>
      <c r="CD3403" s="769"/>
      <c r="CE3403" s="769"/>
      <c r="CF3403" s="769"/>
      <c r="CG3403" s="73"/>
      <c r="CH3403" s="438"/>
      <c r="CI3403" s="416"/>
      <c r="CJ3403" s="73"/>
      <c r="CK3403" s="650"/>
      <c r="CL3403" s="499"/>
      <c r="CM3403" s="650"/>
      <c r="CR3403" s="416"/>
      <c r="CS3403" s="650"/>
      <c r="CU3403" s="73"/>
      <c r="CV3403" s="73"/>
      <c r="CW3403" s="73"/>
      <c r="CX3403" s="73"/>
      <c r="DA3403" s="650"/>
    </row>
    <row r="3404" spans="1:105" s="45" customFormat="1" x14ac:dyDescent="0.2">
      <c r="A3404" s="650"/>
      <c r="B3404" s="438"/>
      <c r="D3404" s="73"/>
      <c r="E3404" s="650"/>
      <c r="F3404" s="650"/>
      <c r="G3404" s="73"/>
      <c r="I3404" s="111"/>
      <c r="J3404" s="81"/>
      <c r="K3404" s="81"/>
      <c r="L3404" s="499"/>
      <c r="M3404" s="73"/>
      <c r="N3404" s="499"/>
      <c r="O3404" s="73"/>
      <c r="P3404" s="73"/>
      <c r="Q3404" s="73"/>
      <c r="R3404" s="176"/>
      <c r="S3404" s="176"/>
      <c r="T3404" s="176"/>
      <c r="U3404" s="400"/>
      <c r="V3404" s="400"/>
      <c r="W3404" s="732"/>
      <c r="X3404" s="167"/>
      <c r="Y3404" s="509"/>
      <c r="Z3404" s="466"/>
      <c r="AA3404" s="466"/>
      <c r="AB3404" s="466"/>
      <c r="AC3404" s="466"/>
      <c r="AD3404" s="466"/>
      <c r="AE3404" s="466"/>
      <c r="AF3404" s="466"/>
      <c r="AG3404" s="466"/>
      <c r="AH3404" s="466"/>
      <c r="AI3404" s="466"/>
      <c r="AJ3404" s="466"/>
      <c r="AK3404" s="466"/>
      <c r="AL3404" s="466"/>
      <c r="AM3404" s="466"/>
      <c r="AN3404" s="466"/>
      <c r="AO3404" s="466"/>
      <c r="AP3404" s="466"/>
      <c r="AQ3404" s="466"/>
      <c r="AR3404" s="466"/>
      <c r="AS3404" s="466"/>
      <c r="AT3404" s="466"/>
      <c r="AU3404" s="466"/>
      <c r="AV3404" s="466"/>
      <c r="AW3404" s="466"/>
      <c r="AX3404" s="466"/>
      <c r="AY3404" s="466"/>
      <c r="AZ3404" s="466"/>
      <c r="BA3404" s="466"/>
      <c r="BB3404" s="466"/>
      <c r="BC3404" s="466"/>
      <c r="BD3404" s="466"/>
      <c r="BE3404" s="467"/>
      <c r="BF3404" s="467"/>
      <c r="BG3404" s="466"/>
      <c r="BH3404" s="466"/>
      <c r="BI3404" s="467"/>
      <c r="BJ3404" s="467"/>
      <c r="BK3404" s="467"/>
      <c r="BL3404" s="467"/>
      <c r="BM3404" s="467"/>
      <c r="BN3404" s="467"/>
      <c r="BO3404" s="467"/>
      <c r="BP3404" s="467"/>
      <c r="BQ3404" s="467"/>
      <c r="BR3404" s="467"/>
      <c r="BS3404" s="467"/>
      <c r="BT3404" s="467"/>
      <c r="BU3404" s="467"/>
      <c r="BV3404" s="467"/>
      <c r="BW3404" s="467"/>
      <c r="BX3404" s="769"/>
      <c r="BY3404" s="769"/>
      <c r="BZ3404" s="769"/>
      <c r="CA3404" s="769"/>
      <c r="CB3404" s="769"/>
      <c r="CC3404" s="769"/>
      <c r="CD3404" s="769"/>
      <c r="CE3404" s="769"/>
      <c r="CF3404" s="769"/>
      <c r="CG3404" s="73"/>
      <c r="CH3404" s="438"/>
      <c r="CI3404" s="416"/>
      <c r="CJ3404" s="73"/>
      <c r="CK3404" s="650"/>
      <c r="CL3404" s="499"/>
      <c r="CM3404" s="650"/>
      <c r="CR3404" s="416"/>
      <c r="CS3404" s="650"/>
      <c r="CU3404" s="73"/>
      <c r="CV3404" s="73"/>
      <c r="CW3404" s="73"/>
      <c r="CX3404" s="73"/>
      <c r="DA3404" s="650"/>
    </row>
    <row r="3405" spans="1:105" s="45" customFormat="1" x14ac:dyDescent="0.2">
      <c r="A3405" s="650"/>
      <c r="B3405" s="438"/>
      <c r="D3405" s="73"/>
      <c r="E3405" s="650"/>
      <c r="F3405" s="650"/>
      <c r="G3405" s="73"/>
      <c r="I3405" s="111"/>
      <c r="J3405" s="81"/>
      <c r="K3405" s="81"/>
      <c r="L3405" s="499"/>
      <c r="M3405" s="73"/>
      <c r="N3405" s="499"/>
      <c r="O3405" s="73"/>
      <c r="P3405" s="73"/>
      <c r="Q3405" s="73"/>
      <c r="R3405" s="176"/>
      <c r="S3405" s="176"/>
      <c r="T3405" s="176"/>
      <c r="U3405" s="400"/>
      <c r="V3405" s="400"/>
      <c r="W3405" s="732"/>
      <c r="X3405" s="167"/>
      <c r="Y3405" s="509"/>
      <c r="Z3405" s="466"/>
      <c r="AA3405" s="466"/>
      <c r="AB3405" s="466"/>
      <c r="AC3405" s="466"/>
      <c r="AD3405" s="466"/>
      <c r="AE3405" s="466"/>
      <c r="AF3405" s="466"/>
      <c r="AG3405" s="466"/>
      <c r="AH3405" s="466"/>
      <c r="AI3405" s="466"/>
      <c r="AJ3405" s="466"/>
      <c r="AK3405" s="466"/>
      <c r="AL3405" s="466"/>
      <c r="AM3405" s="466"/>
      <c r="AN3405" s="466"/>
      <c r="AO3405" s="466"/>
      <c r="AP3405" s="466"/>
      <c r="AQ3405" s="466"/>
      <c r="AR3405" s="466"/>
      <c r="AS3405" s="466"/>
      <c r="AT3405" s="466"/>
      <c r="AU3405" s="466"/>
      <c r="AV3405" s="466"/>
      <c r="AW3405" s="466"/>
      <c r="AX3405" s="466"/>
      <c r="AY3405" s="466"/>
      <c r="AZ3405" s="466"/>
      <c r="BA3405" s="466"/>
      <c r="BB3405" s="466"/>
      <c r="BC3405" s="466"/>
      <c r="BD3405" s="466"/>
      <c r="BE3405" s="467"/>
      <c r="BF3405" s="467"/>
      <c r="BG3405" s="466"/>
      <c r="BH3405" s="466"/>
      <c r="BI3405" s="467"/>
      <c r="BJ3405" s="467"/>
      <c r="BK3405" s="467"/>
      <c r="BL3405" s="467"/>
      <c r="BM3405" s="467"/>
      <c r="BN3405" s="467"/>
      <c r="BO3405" s="467"/>
      <c r="BP3405" s="467"/>
      <c r="BQ3405" s="467"/>
      <c r="BR3405" s="467"/>
      <c r="BS3405" s="467"/>
      <c r="BT3405" s="467"/>
      <c r="BU3405" s="467"/>
      <c r="BV3405" s="467"/>
      <c r="BW3405" s="467"/>
      <c r="BX3405" s="769"/>
      <c r="BY3405" s="769"/>
      <c r="BZ3405" s="769"/>
      <c r="CA3405" s="769"/>
      <c r="CB3405" s="769"/>
      <c r="CC3405" s="769"/>
      <c r="CD3405" s="769"/>
      <c r="CE3405" s="769"/>
      <c r="CF3405" s="769"/>
      <c r="CG3405" s="73"/>
      <c r="CH3405" s="438"/>
      <c r="CI3405" s="416"/>
      <c r="CJ3405" s="73"/>
      <c r="CK3405" s="650"/>
      <c r="CL3405" s="499"/>
      <c r="CM3405" s="650"/>
      <c r="CR3405" s="416"/>
      <c r="CS3405" s="650"/>
      <c r="CU3405" s="73"/>
      <c r="CV3405" s="73"/>
      <c r="CW3405" s="73"/>
      <c r="CX3405" s="73"/>
      <c r="DA3405" s="650"/>
    </row>
    <row r="3406" spans="1:105" s="45" customFormat="1" x14ac:dyDescent="0.2">
      <c r="A3406" s="650"/>
      <c r="B3406" s="438"/>
      <c r="D3406" s="73"/>
      <c r="E3406" s="650"/>
      <c r="F3406" s="650"/>
      <c r="G3406" s="73"/>
      <c r="I3406" s="111"/>
      <c r="J3406" s="81"/>
      <c r="K3406" s="81"/>
      <c r="L3406" s="499"/>
      <c r="M3406" s="73"/>
      <c r="N3406" s="499"/>
      <c r="O3406" s="73"/>
      <c r="P3406" s="73"/>
      <c r="Q3406" s="73"/>
      <c r="R3406" s="176"/>
      <c r="S3406" s="176"/>
      <c r="T3406" s="176"/>
      <c r="U3406" s="400"/>
      <c r="V3406" s="400"/>
      <c r="W3406" s="732"/>
      <c r="X3406" s="167"/>
      <c r="Y3406" s="509"/>
      <c r="Z3406" s="466"/>
      <c r="AA3406" s="466"/>
      <c r="AB3406" s="466"/>
      <c r="AC3406" s="466"/>
      <c r="AD3406" s="466"/>
      <c r="AE3406" s="466"/>
      <c r="AF3406" s="466"/>
      <c r="AG3406" s="466"/>
      <c r="AH3406" s="466"/>
      <c r="AI3406" s="466"/>
      <c r="AJ3406" s="466"/>
      <c r="AK3406" s="466"/>
      <c r="AL3406" s="466"/>
      <c r="AM3406" s="466"/>
      <c r="AN3406" s="466"/>
      <c r="AO3406" s="466"/>
      <c r="AP3406" s="466"/>
      <c r="AQ3406" s="466"/>
      <c r="AR3406" s="466"/>
      <c r="AS3406" s="466"/>
      <c r="AT3406" s="466"/>
      <c r="AU3406" s="466"/>
      <c r="AV3406" s="466"/>
      <c r="AW3406" s="466"/>
      <c r="AX3406" s="466"/>
      <c r="AY3406" s="466"/>
      <c r="AZ3406" s="466"/>
      <c r="BA3406" s="466"/>
      <c r="BB3406" s="466"/>
      <c r="BC3406" s="466"/>
      <c r="BD3406" s="466"/>
      <c r="BE3406" s="467"/>
      <c r="BF3406" s="467"/>
      <c r="BG3406" s="466"/>
      <c r="BH3406" s="466"/>
      <c r="BI3406" s="467"/>
      <c r="BJ3406" s="467"/>
      <c r="BK3406" s="467"/>
      <c r="BL3406" s="467"/>
      <c r="BM3406" s="467"/>
      <c r="BN3406" s="467"/>
      <c r="BO3406" s="467"/>
      <c r="BP3406" s="467"/>
      <c r="BQ3406" s="467"/>
      <c r="BR3406" s="467"/>
      <c r="BS3406" s="467"/>
      <c r="BT3406" s="467"/>
      <c r="BU3406" s="467"/>
      <c r="BV3406" s="467"/>
      <c r="BW3406" s="467"/>
      <c r="BX3406" s="769"/>
      <c r="BY3406" s="769"/>
      <c r="BZ3406" s="769"/>
      <c r="CA3406" s="769"/>
      <c r="CB3406" s="769"/>
      <c r="CC3406" s="769"/>
      <c r="CD3406" s="769"/>
      <c r="CE3406" s="769"/>
      <c r="CF3406" s="769"/>
      <c r="CG3406" s="73"/>
      <c r="CH3406" s="438"/>
      <c r="CI3406" s="416"/>
      <c r="CJ3406" s="73"/>
      <c r="CK3406" s="650"/>
      <c r="CL3406" s="499"/>
      <c r="CM3406" s="650"/>
      <c r="CR3406" s="416"/>
      <c r="CS3406" s="650"/>
      <c r="CU3406" s="73"/>
      <c r="CV3406" s="73"/>
      <c r="CW3406" s="73"/>
      <c r="CX3406" s="73"/>
      <c r="DA3406" s="650"/>
    </row>
    <row r="3407" spans="1:105" s="45" customFormat="1" x14ac:dyDescent="0.2">
      <c r="A3407" s="650"/>
      <c r="B3407" s="438"/>
      <c r="D3407" s="73"/>
      <c r="E3407" s="650"/>
      <c r="F3407" s="650"/>
      <c r="G3407" s="73"/>
      <c r="I3407" s="111"/>
      <c r="J3407" s="81"/>
      <c r="K3407" s="81"/>
      <c r="L3407" s="499"/>
      <c r="M3407" s="73"/>
      <c r="N3407" s="499"/>
      <c r="O3407" s="73"/>
      <c r="P3407" s="73"/>
      <c r="Q3407" s="73"/>
      <c r="R3407" s="176"/>
      <c r="S3407" s="176"/>
      <c r="T3407" s="176"/>
      <c r="U3407" s="400"/>
      <c r="V3407" s="400"/>
      <c r="W3407" s="732"/>
      <c r="X3407" s="167"/>
      <c r="Y3407" s="509"/>
      <c r="Z3407" s="466"/>
      <c r="AA3407" s="466"/>
      <c r="AB3407" s="466"/>
      <c r="AC3407" s="466"/>
      <c r="AD3407" s="466"/>
      <c r="AE3407" s="466"/>
      <c r="AF3407" s="466"/>
      <c r="AG3407" s="466"/>
      <c r="AH3407" s="466"/>
      <c r="AI3407" s="466"/>
      <c r="AJ3407" s="466"/>
      <c r="AK3407" s="466"/>
      <c r="AL3407" s="466"/>
      <c r="AM3407" s="466"/>
      <c r="AN3407" s="466"/>
      <c r="AO3407" s="466"/>
      <c r="AP3407" s="466"/>
      <c r="AQ3407" s="466"/>
      <c r="AR3407" s="466"/>
      <c r="AS3407" s="466"/>
      <c r="AT3407" s="466"/>
      <c r="AU3407" s="466"/>
      <c r="AV3407" s="466"/>
      <c r="AW3407" s="466"/>
      <c r="AX3407" s="466"/>
      <c r="AY3407" s="466"/>
      <c r="AZ3407" s="466"/>
      <c r="BA3407" s="466"/>
      <c r="BB3407" s="466"/>
      <c r="BC3407" s="466"/>
      <c r="BD3407" s="466"/>
      <c r="BE3407" s="467"/>
      <c r="BF3407" s="467"/>
      <c r="BG3407" s="466"/>
      <c r="BH3407" s="466"/>
      <c r="BI3407" s="467"/>
      <c r="BJ3407" s="467"/>
      <c r="BK3407" s="467"/>
      <c r="BL3407" s="467"/>
      <c r="BM3407" s="467"/>
      <c r="BN3407" s="467"/>
      <c r="BO3407" s="467"/>
      <c r="BP3407" s="467"/>
      <c r="BQ3407" s="467"/>
      <c r="BR3407" s="467"/>
      <c r="BS3407" s="467"/>
      <c r="BT3407" s="467"/>
      <c r="BU3407" s="467"/>
      <c r="BV3407" s="467"/>
      <c r="BW3407" s="467"/>
      <c r="BX3407" s="769"/>
      <c r="BY3407" s="769"/>
      <c r="BZ3407" s="769"/>
      <c r="CA3407" s="769"/>
      <c r="CB3407" s="769"/>
      <c r="CC3407" s="769"/>
      <c r="CD3407" s="769"/>
      <c r="CE3407" s="769"/>
      <c r="CF3407" s="769"/>
      <c r="CG3407" s="73"/>
      <c r="CH3407" s="438"/>
      <c r="CI3407" s="416"/>
      <c r="CJ3407" s="73"/>
      <c r="CK3407" s="650"/>
      <c r="CL3407" s="499"/>
      <c r="CM3407" s="650"/>
      <c r="CR3407" s="416"/>
      <c r="CS3407" s="650"/>
      <c r="CU3407" s="73"/>
      <c r="CV3407" s="73"/>
      <c r="CW3407" s="73"/>
      <c r="CX3407" s="73"/>
      <c r="DA3407" s="650"/>
    </row>
    <row r="3408" spans="1:105" s="45" customFormat="1" x14ac:dyDescent="0.2">
      <c r="A3408" s="650"/>
      <c r="B3408" s="438"/>
      <c r="D3408" s="73"/>
      <c r="E3408" s="650"/>
      <c r="F3408" s="650"/>
      <c r="G3408" s="73"/>
      <c r="I3408" s="111"/>
      <c r="J3408" s="81"/>
      <c r="K3408" s="81"/>
      <c r="L3408" s="499"/>
      <c r="M3408" s="73"/>
      <c r="N3408" s="499"/>
      <c r="O3408" s="73"/>
      <c r="P3408" s="73"/>
      <c r="Q3408" s="73"/>
      <c r="R3408" s="176"/>
      <c r="S3408" s="176"/>
      <c r="T3408" s="176"/>
      <c r="U3408" s="400"/>
      <c r="V3408" s="400"/>
      <c r="W3408" s="732"/>
      <c r="X3408" s="167"/>
      <c r="Y3408" s="509"/>
      <c r="Z3408" s="466"/>
      <c r="AA3408" s="466"/>
      <c r="AB3408" s="466"/>
      <c r="AC3408" s="466"/>
      <c r="AD3408" s="466"/>
      <c r="AE3408" s="466"/>
      <c r="AF3408" s="466"/>
      <c r="AG3408" s="466"/>
      <c r="AH3408" s="466"/>
      <c r="AI3408" s="466"/>
      <c r="AJ3408" s="466"/>
      <c r="AK3408" s="466"/>
      <c r="AL3408" s="466"/>
      <c r="AM3408" s="466"/>
      <c r="AN3408" s="466"/>
      <c r="AO3408" s="466"/>
      <c r="AP3408" s="466"/>
      <c r="AQ3408" s="466"/>
      <c r="AR3408" s="466"/>
      <c r="AS3408" s="466"/>
      <c r="AT3408" s="466"/>
      <c r="AU3408" s="466"/>
      <c r="AV3408" s="466"/>
      <c r="AW3408" s="466"/>
      <c r="AX3408" s="466"/>
      <c r="AY3408" s="466"/>
      <c r="AZ3408" s="466"/>
      <c r="BA3408" s="466"/>
      <c r="BB3408" s="466"/>
      <c r="BC3408" s="466"/>
      <c r="BD3408" s="466"/>
      <c r="BE3408" s="467"/>
      <c r="BF3408" s="467"/>
      <c r="BG3408" s="466"/>
      <c r="BH3408" s="466"/>
      <c r="BI3408" s="467"/>
      <c r="BJ3408" s="467"/>
      <c r="BK3408" s="467"/>
      <c r="BL3408" s="467"/>
      <c r="BM3408" s="467"/>
      <c r="BN3408" s="467"/>
      <c r="BO3408" s="467"/>
      <c r="BP3408" s="467"/>
      <c r="BQ3408" s="467"/>
      <c r="BR3408" s="467"/>
      <c r="BS3408" s="467"/>
      <c r="BT3408" s="467"/>
      <c r="BU3408" s="467"/>
      <c r="BV3408" s="467"/>
      <c r="BW3408" s="467"/>
      <c r="BX3408" s="769"/>
      <c r="BY3408" s="769"/>
      <c r="BZ3408" s="769"/>
      <c r="CA3408" s="769"/>
      <c r="CB3408" s="769"/>
      <c r="CC3408" s="769"/>
      <c r="CD3408" s="769"/>
      <c r="CE3408" s="769"/>
      <c r="CF3408" s="769"/>
      <c r="CG3408" s="73"/>
      <c r="CH3408" s="438"/>
      <c r="CI3408" s="416"/>
      <c r="CJ3408" s="73"/>
      <c r="CK3408" s="650"/>
      <c r="CL3408" s="499"/>
      <c r="CM3408" s="650"/>
      <c r="CR3408" s="416"/>
      <c r="CS3408" s="650"/>
      <c r="CU3408" s="73"/>
      <c r="CV3408" s="73"/>
      <c r="CW3408" s="73"/>
      <c r="CX3408" s="73"/>
      <c r="DA3408" s="650"/>
    </row>
    <row r="3409" spans="1:105" s="45" customFormat="1" x14ac:dyDescent="0.2">
      <c r="A3409" s="650"/>
      <c r="B3409" s="438"/>
      <c r="D3409" s="73"/>
      <c r="E3409" s="650"/>
      <c r="F3409" s="650"/>
      <c r="G3409" s="73"/>
      <c r="I3409" s="111"/>
      <c r="J3409" s="81"/>
      <c r="K3409" s="81"/>
      <c r="L3409" s="499"/>
      <c r="M3409" s="73"/>
      <c r="N3409" s="499"/>
      <c r="O3409" s="73"/>
      <c r="P3409" s="73"/>
      <c r="Q3409" s="73"/>
      <c r="R3409" s="176"/>
      <c r="S3409" s="176"/>
      <c r="T3409" s="176"/>
      <c r="U3409" s="400"/>
      <c r="V3409" s="400"/>
      <c r="W3409" s="732"/>
      <c r="X3409" s="167"/>
      <c r="Y3409" s="509"/>
      <c r="Z3409" s="466"/>
      <c r="AA3409" s="466"/>
      <c r="AB3409" s="466"/>
      <c r="AC3409" s="466"/>
      <c r="AD3409" s="466"/>
      <c r="AE3409" s="466"/>
      <c r="AF3409" s="466"/>
      <c r="AG3409" s="466"/>
      <c r="AH3409" s="466"/>
      <c r="AI3409" s="466"/>
      <c r="AJ3409" s="466"/>
      <c r="AK3409" s="466"/>
      <c r="AL3409" s="466"/>
      <c r="AM3409" s="466"/>
      <c r="AN3409" s="466"/>
      <c r="AO3409" s="466"/>
      <c r="AP3409" s="466"/>
      <c r="AQ3409" s="466"/>
      <c r="AR3409" s="466"/>
      <c r="AS3409" s="466"/>
      <c r="AT3409" s="466"/>
      <c r="AU3409" s="466"/>
      <c r="AV3409" s="466"/>
      <c r="AW3409" s="466"/>
      <c r="AX3409" s="466"/>
      <c r="AY3409" s="466"/>
      <c r="AZ3409" s="466"/>
      <c r="BA3409" s="466"/>
      <c r="BB3409" s="466"/>
      <c r="BC3409" s="466"/>
      <c r="BD3409" s="466"/>
      <c r="BE3409" s="467"/>
      <c r="BF3409" s="467"/>
      <c r="BG3409" s="466"/>
      <c r="BH3409" s="466"/>
      <c r="BI3409" s="467"/>
      <c r="BJ3409" s="467"/>
      <c r="BK3409" s="467"/>
      <c r="BL3409" s="467"/>
      <c r="BM3409" s="467"/>
      <c r="BN3409" s="467"/>
      <c r="BO3409" s="467"/>
      <c r="BP3409" s="467"/>
      <c r="BQ3409" s="467"/>
      <c r="BR3409" s="467"/>
      <c r="BS3409" s="467"/>
      <c r="BT3409" s="467"/>
      <c r="BU3409" s="467"/>
      <c r="BV3409" s="467"/>
      <c r="BW3409" s="467"/>
      <c r="BX3409" s="769"/>
      <c r="BY3409" s="769"/>
      <c r="BZ3409" s="769"/>
      <c r="CA3409" s="769"/>
      <c r="CB3409" s="769"/>
      <c r="CC3409" s="769"/>
      <c r="CD3409" s="769"/>
      <c r="CE3409" s="769"/>
      <c r="CF3409" s="769"/>
      <c r="CG3409" s="73"/>
      <c r="CH3409" s="438"/>
      <c r="CI3409" s="416"/>
      <c r="CJ3409" s="73"/>
      <c r="CK3409" s="650"/>
      <c r="CL3409" s="499"/>
      <c r="CM3409" s="650"/>
      <c r="CR3409" s="416"/>
      <c r="CS3409" s="650"/>
      <c r="CU3409" s="73"/>
      <c r="CV3409" s="73"/>
      <c r="CW3409" s="73"/>
      <c r="CX3409" s="73"/>
      <c r="DA3409" s="650"/>
    </row>
    <row r="3410" spans="1:105" s="45" customFormat="1" x14ac:dyDescent="0.2">
      <c r="A3410" s="650"/>
      <c r="B3410" s="438"/>
      <c r="D3410" s="73"/>
      <c r="E3410" s="650"/>
      <c r="F3410" s="650"/>
      <c r="G3410" s="73"/>
      <c r="I3410" s="111"/>
      <c r="J3410" s="81"/>
      <c r="K3410" s="81"/>
      <c r="L3410" s="499"/>
      <c r="M3410" s="73"/>
      <c r="N3410" s="499"/>
      <c r="O3410" s="73"/>
      <c r="P3410" s="73"/>
      <c r="Q3410" s="73"/>
      <c r="R3410" s="176"/>
      <c r="S3410" s="176"/>
      <c r="T3410" s="176"/>
      <c r="U3410" s="400"/>
      <c r="V3410" s="400"/>
      <c r="W3410" s="732"/>
      <c r="X3410" s="167"/>
      <c r="Y3410" s="509"/>
      <c r="Z3410" s="466"/>
      <c r="AA3410" s="466"/>
      <c r="AB3410" s="466"/>
      <c r="AC3410" s="466"/>
      <c r="AD3410" s="466"/>
      <c r="AE3410" s="466"/>
      <c r="AF3410" s="466"/>
      <c r="AG3410" s="466"/>
      <c r="AH3410" s="466"/>
      <c r="AI3410" s="466"/>
      <c r="AJ3410" s="466"/>
      <c r="AK3410" s="466"/>
      <c r="AL3410" s="466"/>
      <c r="AM3410" s="466"/>
      <c r="AN3410" s="466"/>
      <c r="AO3410" s="466"/>
      <c r="AP3410" s="466"/>
      <c r="AQ3410" s="466"/>
      <c r="AR3410" s="466"/>
      <c r="AS3410" s="466"/>
      <c r="AT3410" s="466"/>
      <c r="AU3410" s="466"/>
      <c r="AV3410" s="466"/>
      <c r="AW3410" s="466"/>
      <c r="AX3410" s="466"/>
      <c r="AY3410" s="466"/>
      <c r="AZ3410" s="466"/>
      <c r="BA3410" s="466"/>
      <c r="BB3410" s="466"/>
      <c r="BC3410" s="466"/>
      <c r="BD3410" s="466"/>
      <c r="BE3410" s="467"/>
      <c r="BF3410" s="467"/>
      <c r="BG3410" s="466"/>
      <c r="BH3410" s="466"/>
      <c r="BI3410" s="467"/>
      <c r="BJ3410" s="467"/>
      <c r="BK3410" s="467"/>
      <c r="BL3410" s="467"/>
      <c r="BM3410" s="467"/>
      <c r="BN3410" s="467"/>
      <c r="BO3410" s="467"/>
      <c r="BP3410" s="467"/>
      <c r="BQ3410" s="467"/>
      <c r="BR3410" s="467"/>
      <c r="BS3410" s="467"/>
      <c r="BT3410" s="467"/>
      <c r="BU3410" s="467"/>
      <c r="BV3410" s="467"/>
      <c r="BW3410" s="467"/>
      <c r="BX3410" s="769"/>
      <c r="BY3410" s="769"/>
      <c r="BZ3410" s="769"/>
      <c r="CA3410" s="769"/>
      <c r="CB3410" s="769"/>
      <c r="CC3410" s="769"/>
      <c r="CD3410" s="769"/>
      <c r="CE3410" s="769"/>
      <c r="CF3410" s="769"/>
      <c r="CG3410" s="73"/>
      <c r="CH3410" s="438"/>
      <c r="CI3410" s="416"/>
      <c r="CJ3410" s="73"/>
      <c r="CK3410" s="650"/>
      <c r="CL3410" s="499"/>
      <c r="CM3410" s="650"/>
      <c r="CR3410" s="416"/>
      <c r="CS3410" s="650"/>
      <c r="CU3410" s="73"/>
      <c r="CV3410" s="73"/>
      <c r="CW3410" s="73"/>
      <c r="CX3410" s="73"/>
      <c r="DA3410" s="650"/>
    </row>
    <row r="3411" spans="1:105" s="45" customFormat="1" x14ac:dyDescent="0.2">
      <c r="A3411" s="650"/>
      <c r="B3411" s="438"/>
      <c r="D3411" s="73"/>
      <c r="E3411" s="650"/>
      <c r="F3411" s="650"/>
      <c r="G3411" s="73"/>
      <c r="I3411" s="111"/>
      <c r="J3411" s="81"/>
      <c r="K3411" s="81"/>
      <c r="L3411" s="499"/>
      <c r="M3411" s="73"/>
      <c r="N3411" s="499"/>
      <c r="O3411" s="73"/>
      <c r="P3411" s="73"/>
      <c r="Q3411" s="73"/>
      <c r="R3411" s="176"/>
      <c r="S3411" s="176"/>
      <c r="T3411" s="176"/>
      <c r="U3411" s="400"/>
      <c r="V3411" s="400"/>
      <c r="W3411" s="732"/>
      <c r="X3411" s="167"/>
      <c r="Y3411" s="509"/>
      <c r="Z3411" s="466"/>
      <c r="AA3411" s="466"/>
      <c r="AB3411" s="466"/>
      <c r="AC3411" s="466"/>
      <c r="AD3411" s="466"/>
      <c r="AE3411" s="466"/>
      <c r="AF3411" s="466"/>
      <c r="AG3411" s="466"/>
      <c r="AH3411" s="466"/>
      <c r="AI3411" s="466"/>
      <c r="AJ3411" s="466"/>
      <c r="AK3411" s="466"/>
      <c r="AL3411" s="466"/>
      <c r="AM3411" s="466"/>
      <c r="AN3411" s="466"/>
      <c r="AO3411" s="466"/>
      <c r="AP3411" s="466"/>
      <c r="AQ3411" s="466"/>
      <c r="AR3411" s="466"/>
      <c r="AS3411" s="466"/>
      <c r="AT3411" s="466"/>
      <c r="AU3411" s="466"/>
      <c r="AV3411" s="466"/>
      <c r="AW3411" s="466"/>
      <c r="AX3411" s="466"/>
      <c r="AY3411" s="466"/>
      <c r="AZ3411" s="466"/>
      <c r="BA3411" s="466"/>
      <c r="BB3411" s="466"/>
      <c r="BC3411" s="466"/>
      <c r="BD3411" s="466"/>
      <c r="BE3411" s="467"/>
      <c r="BF3411" s="467"/>
      <c r="BG3411" s="466"/>
      <c r="BH3411" s="466"/>
      <c r="BI3411" s="467"/>
      <c r="BJ3411" s="467"/>
      <c r="BK3411" s="467"/>
      <c r="BL3411" s="467"/>
      <c r="BM3411" s="467"/>
      <c r="BN3411" s="467"/>
      <c r="BO3411" s="467"/>
      <c r="BP3411" s="467"/>
      <c r="BQ3411" s="467"/>
      <c r="BR3411" s="467"/>
      <c r="BS3411" s="467"/>
      <c r="BT3411" s="467"/>
      <c r="BU3411" s="467"/>
      <c r="BV3411" s="467"/>
      <c r="BW3411" s="467"/>
      <c r="BX3411" s="769"/>
      <c r="BY3411" s="769"/>
      <c r="BZ3411" s="769"/>
      <c r="CA3411" s="769"/>
      <c r="CB3411" s="769"/>
      <c r="CC3411" s="769"/>
      <c r="CD3411" s="769"/>
      <c r="CE3411" s="769"/>
      <c r="CF3411" s="769"/>
      <c r="CG3411" s="73"/>
      <c r="CH3411" s="438"/>
      <c r="CI3411" s="416"/>
      <c r="CJ3411" s="73"/>
      <c r="CK3411" s="650"/>
      <c r="CL3411" s="499"/>
      <c r="CM3411" s="650"/>
      <c r="CR3411" s="416"/>
      <c r="CS3411" s="650"/>
      <c r="CU3411" s="73"/>
      <c r="CV3411" s="73"/>
      <c r="CW3411" s="73"/>
      <c r="CX3411" s="73"/>
      <c r="DA3411" s="650"/>
    </row>
    <row r="3412" spans="1:105" s="45" customFormat="1" x14ac:dyDescent="0.2">
      <c r="A3412" s="650"/>
      <c r="B3412" s="438"/>
      <c r="D3412" s="73"/>
      <c r="E3412" s="650"/>
      <c r="F3412" s="650"/>
      <c r="G3412" s="73"/>
      <c r="I3412" s="111"/>
      <c r="J3412" s="81"/>
      <c r="K3412" s="81"/>
      <c r="L3412" s="499"/>
      <c r="M3412" s="73"/>
      <c r="N3412" s="499"/>
      <c r="O3412" s="73"/>
      <c r="P3412" s="73"/>
      <c r="Q3412" s="73"/>
      <c r="R3412" s="176"/>
      <c r="S3412" s="176"/>
      <c r="T3412" s="176"/>
      <c r="U3412" s="400"/>
      <c r="V3412" s="400"/>
      <c r="W3412" s="732"/>
      <c r="X3412" s="167"/>
      <c r="Y3412" s="509"/>
      <c r="Z3412" s="466"/>
      <c r="AA3412" s="466"/>
      <c r="AB3412" s="466"/>
      <c r="AC3412" s="466"/>
      <c r="AD3412" s="466"/>
      <c r="AE3412" s="466"/>
      <c r="AF3412" s="466"/>
      <c r="AG3412" s="466"/>
      <c r="AH3412" s="466"/>
      <c r="AI3412" s="466"/>
      <c r="AJ3412" s="466"/>
      <c r="AK3412" s="466"/>
      <c r="AL3412" s="466"/>
      <c r="AM3412" s="466"/>
      <c r="AN3412" s="466"/>
      <c r="AO3412" s="466"/>
      <c r="AP3412" s="466"/>
      <c r="AQ3412" s="466"/>
      <c r="AR3412" s="466"/>
      <c r="AS3412" s="466"/>
      <c r="AT3412" s="466"/>
      <c r="AU3412" s="466"/>
      <c r="AV3412" s="466"/>
      <c r="AW3412" s="466"/>
      <c r="AX3412" s="466"/>
      <c r="AY3412" s="466"/>
      <c r="AZ3412" s="466"/>
      <c r="BA3412" s="466"/>
      <c r="BB3412" s="466"/>
      <c r="BC3412" s="466"/>
      <c r="BD3412" s="466"/>
      <c r="BE3412" s="467"/>
      <c r="BF3412" s="467"/>
      <c r="BG3412" s="466"/>
      <c r="BH3412" s="466"/>
      <c r="BI3412" s="467"/>
      <c r="BJ3412" s="467"/>
      <c r="BK3412" s="467"/>
      <c r="BL3412" s="467"/>
      <c r="BM3412" s="467"/>
      <c r="BN3412" s="467"/>
      <c r="BO3412" s="467"/>
      <c r="BP3412" s="467"/>
      <c r="BQ3412" s="467"/>
      <c r="BR3412" s="467"/>
      <c r="BS3412" s="467"/>
      <c r="BT3412" s="467"/>
      <c r="BU3412" s="467"/>
      <c r="BV3412" s="467"/>
      <c r="BW3412" s="467"/>
      <c r="BX3412" s="769"/>
      <c r="BY3412" s="769"/>
      <c r="BZ3412" s="769"/>
      <c r="CA3412" s="769"/>
      <c r="CB3412" s="769"/>
      <c r="CC3412" s="769"/>
      <c r="CD3412" s="769"/>
      <c r="CE3412" s="769"/>
      <c r="CF3412" s="769"/>
      <c r="CG3412" s="73"/>
      <c r="CH3412" s="438"/>
      <c r="CI3412" s="416"/>
      <c r="CJ3412" s="73"/>
      <c r="CK3412" s="650"/>
      <c r="CL3412" s="499"/>
      <c r="CM3412" s="650"/>
      <c r="CR3412" s="416"/>
      <c r="CS3412" s="650"/>
      <c r="CU3412" s="73"/>
      <c r="CV3412" s="73"/>
      <c r="CW3412" s="73"/>
      <c r="CX3412" s="73"/>
      <c r="DA3412" s="650"/>
    </row>
    <row r="3413" spans="1:105" s="45" customFormat="1" x14ac:dyDescent="0.2">
      <c r="A3413" s="650"/>
      <c r="B3413" s="438"/>
      <c r="D3413" s="73"/>
      <c r="E3413" s="650"/>
      <c r="F3413" s="650"/>
      <c r="G3413" s="73"/>
      <c r="I3413" s="111"/>
      <c r="J3413" s="81"/>
      <c r="K3413" s="81"/>
      <c r="L3413" s="499"/>
      <c r="M3413" s="73"/>
      <c r="N3413" s="499"/>
      <c r="O3413" s="73"/>
      <c r="P3413" s="73"/>
      <c r="Q3413" s="73"/>
      <c r="R3413" s="176"/>
      <c r="S3413" s="176"/>
      <c r="T3413" s="176"/>
      <c r="U3413" s="400"/>
      <c r="V3413" s="400"/>
      <c r="W3413" s="732"/>
      <c r="X3413" s="167"/>
      <c r="Y3413" s="509"/>
      <c r="Z3413" s="466"/>
      <c r="AA3413" s="466"/>
      <c r="AB3413" s="466"/>
      <c r="AC3413" s="466"/>
      <c r="AD3413" s="466"/>
      <c r="AE3413" s="466"/>
      <c r="AF3413" s="466"/>
      <c r="AG3413" s="466"/>
      <c r="AH3413" s="466"/>
      <c r="AI3413" s="466"/>
      <c r="AJ3413" s="466"/>
      <c r="AK3413" s="466"/>
      <c r="AL3413" s="466"/>
      <c r="AM3413" s="466"/>
      <c r="AN3413" s="466"/>
      <c r="AO3413" s="466"/>
      <c r="AP3413" s="466"/>
      <c r="AQ3413" s="466"/>
      <c r="AR3413" s="466"/>
      <c r="AS3413" s="466"/>
      <c r="AT3413" s="466"/>
      <c r="AU3413" s="466"/>
      <c r="AV3413" s="466"/>
      <c r="AW3413" s="466"/>
      <c r="AX3413" s="466"/>
      <c r="AY3413" s="466"/>
      <c r="AZ3413" s="466"/>
      <c r="BA3413" s="466"/>
      <c r="BB3413" s="466"/>
      <c r="BC3413" s="466"/>
      <c r="BD3413" s="466"/>
      <c r="BE3413" s="467"/>
      <c r="BF3413" s="467"/>
      <c r="BG3413" s="466"/>
      <c r="BH3413" s="466"/>
      <c r="BI3413" s="467"/>
      <c r="BJ3413" s="467"/>
      <c r="BK3413" s="467"/>
      <c r="BL3413" s="467"/>
      <c r="BM3413" s="467"/>
      <c r="BN3413" s="467"/>
      <c r="BO3413" s="467"/>
      <c r="BP3413" s="467"/>
      <c r="BQ3413" s="467"/>
      <c r="BR3413" s="467"/>
      <c r="BS3413" s="467"/>
      <c r="BT3413" s="467"/>
      <c r="BU3413" s="467"/>
      <c r="BV3413" s="467"/>
      <c r="BW3413" s="467"/>
      <c r="BX3413" s="769"/>
      <c r="BY3413" s="769"/>
      <c r="BZ3413" s="769"/>
      <c r="CA3413" s="769"/>
      <c r="CB3413" s="769"/>
      <c r="CC3413" s="769"/>
      <c r="CD3413" s="769"/>
      <c r="CE3413" s="769"/>
      <c r="CF3413" s="769"/>
      <c r="CG3413" s="73"/>
      <c r="CH3413" s="438"/>
      <c r="CI3413" s="416"/>
      <c r="CJ3413" s="73"/>
      <c r="CK3413" s="650"/>
      <c r="CL3413" s="499"/>
      <c r="CM3413" s="650"/>
      <c r="CR3413" s="416"/>
      <c r="CS3413" s="650"/>
      <c r="CU3413" s="73"/>
      <c r="CV3413" s="73"/>
      <c r="CW3413" s="73"/>
      <c r="CX3413" s="73"/>
      <c r="DA3413" s="650"/>
    </row>
    <row r="3414" spans="1:105" s="45" customFormat="1" x14ac:dyDescent="0.2">
      <c r="A3414" s="650"/>
      <c r="B3414" s="438"/>
      <c r="D3414" s="73"/>
      <c r="E3414" s="650"/>
      <c r="F3414" s="650"/>
      <c r="G3414" s="73"/>
      <c r="I3414" s="111"/>
      <c r="J3414" s="81"/>
      <c r="K3414" s="81"/>
      <c r="L3414" s="499"/>
      <c r="M3414" s="73"/>
      <c r="N3414" s="499"/>
      <c r="O3414" s="73"/>
      <c r="P3414" s="73"/>
      <c r="Q3414" s="73"/>
      <c r="R3414" s="176"/>
      <c r="S3414" s="176"/>
      <c r="T3414" s="176"/>
      <c r="U3414" s="400"/>
      <c r="V3414" s="400"/>
      <c r="W3414" s="732"/>
      <c r="X3414" s="167"/>
      <c r="Y3414" s="509"/>
      <c r="Z3414" s="466"/>
      <c r="AA3414" s="466"/>
      <c r="AB3414" s="466"/>
      <c r="AC3414" s="466"/>
      <c r="AD3414" s="466"/>
      <c r="AE3414" s="466"/>
      <c r="AF3414" s="466"/>
      <c r="AG3414" s="466"/>
      <c r="AH3414" s="466"/>
      <c r="AI3414" s="466"/>
      <c r="AJ3414" s="466"/>
      <c r="AK3414" s="466"/>
      <c r="AL3414" s="466"/>
      <c r="AM3414" s="466"/>
      <c r="AN3414" s="466"/>
      <c r="AO3414" s="466"/>
      <c r="AP3414" s="466"/>
      <c r="AQ3414" s="466"/>
      <c r="AR3414" s="466"/>
      <c r="AS3414" s="466"/>
      <c r="AT3414" s="466"/>
      <c r="AU3414" s="466"/>
      <c r="AV3414" s="466"/>
      <c r="AW3414" s="466"/>
      <c r="AX3414" s="466"/>
      <c r="AY3414" s="466"/>
      <c r="AZ3414" s="466"/>
      <c r="BA3414" s="466"/>
      <c r="BB3414" s="466"/>
      <c r="BC3414" s="466"/>
      <c r="BD3414" s="466"/>
      <c r="BE3414" s="467"/>
      <c r="BF3414" s="467"/>
      <c r="BG3414" s="466"/>
      <c r="BH3414" s="466"/>
      <c r="BI3414" s="467"/>
      <c r="BJ3414" s="467"/>
      <c r="BK3414" s="467"/>
      <c r="BL3414" s="467"/>
      <c r="BM3414" s="467"/>
      <c r="BN3414" s="467"/>
      <c r="BO3414" s="467"/>
      <c r="BP3414" s="467"/>
      <c r="BQ3414" s="467"/>
      <c r="BR3414" s="467"/>
      <c r="BS3414" s="467"/>
      <c r="BT3414" s="467"/>
      <c r="BU3414" s="467"/>
      <c r="BV3414" s="467"/>
      <c r="BW3414" s="467"/>
      <c r="BX3414" s="769"/>
      <c r="BY3414" s="769"/>
      <c r="BZ3414" s="769"/>
      <c r="CA3414" s="769"/>
      <c r="CB3414" s="769"/>
      <c r="CC3414" s="769"/>
      <c r="CD3414" s="769"/>
      <c r="CE3414" s="769"/>
      <c r="CF3414" s="769"/>
      <c r="CG3414" s="73"/>
      <c r="CH3414" s="438"/>
      <c r="CI3414" s="416"/>
      <c r="CJ3414" s="73"/>
      <c r="CK3414" s="650"/>
      <c r="CL3414" s="499"/>
      <c r="CM3414" s="650"/>
      <c r="CR3414" s="416"/>
      <c r="CS3414" s="650"/>
      <c r="CU3414" s="73"/>
      <c r="CV3414" s="73"/>
      <c r="CW3414" s="73"/>
      <c r="CX3414" s="73"/>
      <c r="DA3414" s="650"/>
    </row>
    <row r="3415" spans="1:105" s="45" customFormat="1" x14ac:dyDescent="0.2">
      <c r="A3415" s="650"/>
      <c r="B3415" s="438"/>
      <c r="D3415" s="73"/>
      <c r="E3415" s="650"/>
      <c r="F3415" s="650"/>
      <c r="G3415" s="73"/>
      <c r="I3415" s="111"/>
      <c r="J3415" s="81"/>
      <c r="K3415" s="81"/>
      <c r="L3415" s="499"/>
      <c r="M3415" s="73"/>
      <c r="N3415" s="499"/>
      <c r="O3415" s="73"/>
      <c r="P3415" s="73"/>
      <c r="Q3415" s="73"/>
      <c r="R3415" s="176"/>
      <c r="S3415" s="176"/>
      <c r="T3415" s="176"/>
      <c r="U3415" s="400"/>
      <c r="V3415" s="400"/>
      <c r="W3415" s="732"/>
      <c r="X3415" s="167"/>
      <c r="Y3415" s="509"/>
      <c r="Z3415" s="466"/>
      <c r="AA3415" s="466"/>
      <c r="AB3415" s="466"/>
      <c r="AC3415" s="466"/>
      <c r="AD3415" s="466"/>
      <c r="AE3415" s="466"/>
      <c r="AF3415" s="466"/>
      <c r="AG3415" s="466"/>
      <c r="AH3415" s="466"/>
      <c r="AI3415" s="466"/>
      <c r="AJ3415" s="466"/>
      <c r="AK3415" s="466"/>
      <c r="AL3415" s="466"/>
      <c r="AM3415" s="466"/>
      <c r="AN3415" s="466"/>
      <c r="AO3415" s="466"/>
      <c r="AP3415" s="466"/>
      <c r="AQ3415" s="466"/>
      <c r="AR3415" s="466"/>
      <c r="AS3415" s="466"/>
      <c r="AT3415" s="466"/>
      <c r="AU3415" s="466"/>
      <c r="AV3415" s="466"/>
      <c r="AW3415" s="466"/>
      <c r="AX3415" s="466"/>
      <c r="AY3415" s="466"/>
      <c r="AZ3415" s="466"/>
      <c r="BA3415" s="466"/>
      <c r="BB3415" s="466"/>
      <c r="BC3415" s="466"/>
      <c r="BD3415" s="466"/>
      <c r="BE3415" s="467"/>
      <c r="BF3415" s="467"/>
      <c r="BG3415" s="466"/>
      <c r="BH3415" s="466"/>
      <c r="BI3415" s="467"/>
      <c r="BJ3415" s="467"/>
      <c r="BK3415" s="467"/>
      <c r="BL3415" s="467"/>
      <c r="BM3415" s="467"/>
      <c r="BN3415" s="467"/>
      <c r="BO3415" s="467"/>
      <c r="BP3415" s="467"/>
      <c r="BQ3415" s="467"/>
      <c r="BR3415" s="467"/>
      <c r="BS3415" s="467"/>
      <c r="BT3415" s="467"/>
      <c r="BU3415" s="467"/>
      <c r="BV3415" s="467"/>
      <c r="BW3415" s="467"/>
      <c r="BX3415" s="769"/>
      <c r="BY3415" s="769"/>
      <c r="BZ3415" s="769"/>
      <c r="CA3415" s="769"/>
      <c r="CB3415" s="769"/>
      <c r="CC3415" s="769"/>
      <c r="CD3415" s="769"/>
      <c r="CE3415" s="769"/>
      <c r="CF3415" s="769"/>
      <c r="CG3415" s="73"/>
      <c r="CH3415" s="438"/>
      <c r="CI3415" s="416"/>
      <c r="CJ3415" s="73"/>
      <c r="CK3415" s="650"/>
      <c r="CL3415" s="499"/>
      <c r="CM3415" s="650"/>
      <c r="CR3415" s="416"/>
      <c r="CS3415" s="650"/>
      <c r="CU3415" s="73"/>
      <c r="CV3415" s="73"/>
      <c r="CW3415" s="73"/>
      <c r="CX3415" s="73"/>
      <c r="DA3415" s="650"/>
    </row>
    <row r="3416" spans="1:105" s="45" customFormat="1" x14ac:dyDescent="0.2">
      <c r="A3416" s="650"/>
      <c r="B3416" s="438"/>
      <c r="D3416" s="73"/>
      <c r="E3416" s="650"/>
      <c r="F3416" s="650"/>
      <c r="G3416" s="73"/>
      <c r="I3416" s="111"/>
      <c r="J3416" s="81"/>
      <c r="K3416" s="81"/>
      <c r="L3416" s="499"/>
      <c r="M3416" s="73"/>
      <c r="N3416" s="499"/>
      <c r="O3416" s="73"/>
      <c r="P3416" s="73"/>
      <c r="Q3416" s="73"/>
      <c r="R3416" s="176"/>
      <c r="S3416" s="176"/>
      <c r="T3416" s="176"/>
      <c r="U3416" s="400"/>
      <c r="V3416" s="400"/>
      <c r="W3416" s="732"/>
      <c r="X3416" s="167"/>
      <c r="Y3416" s="509"/>
      <c r="Z3416" s="466"/>
      <c r="AA3416" s="466"/>
      <c r="AB3416" s="466"/>
      <c r="AC3416" s="466"/>
      <c r="AD3416" s="466"/>
      <c r="AE3416" s="466"/>
      <c r="AF3416" s="466"/>
      <c r="AG3416" s="466"/>
      <c r="AH3416" s="466"/>
      <c r="AI3416" s="466"/>
      <c r="AJ3416" s="466"/>
      <c r="AK3416" s="466"/>
      <c r="AL3416" s="466"/>
      <c r="AM3416" s="466"/>
      <c r="AN3416" s="466"/>
      <c r="AO3416" s="466"/>
      <c r="AP3416" s="466"/>
      <c r="AQ3416" s="466"/>
      <c r="AR3416" s="466"/>
      <c r="AS3416" s="466"/>
      <c r="AT3416" s="466"/>
      <c r="AU3416" s="466"/>
      <c r="AV3416" s="466"/>
      <c r="AW3416" s="466"/>
      <c r="AX3416" s="466"/>
      <c r="AY3416" s="466"/>
      <c r="AZ3416" s="466"/>
      <c r="BA3416" s="466"/>
      <c r="BB3416" s="466"/>
      <c r="BC3416" s="466"/>
      <c r="BD3416" s="466"/>
      <c r="BE3416" s="467"/>
      <c r="BF3416" s="467"/>
      <c r="BG3416" s="466"/>
      <c r="BH3416" s="466"/>
      <c r="BI3416" s="467"/>
      <c r="BJ3416" s="467"/>
      <c r="BK3416" s="467"/>
      <c r="BL3416" s="467"/>
      <c r="BM3416" s="467"/>
      <c r="BN3416" s="467"/>
      <c r="BO3416" s="467"/>
      <c r="BP3416" s="467"/>
      <c r="BQ3416" s="467"/>
      <c r="BR3416" s="467"/>
      <c r="BS3416" s="467"/>
      <c r="BT3416" s="467"/>
      <c r="BU3416" s="467"/>
      <c r="BV3416" s="467"/>
      <c r="BW3416" s="467"/>
      <c r="BX3416" s="769"/>
      <c r="BY3416" s="769"/>
      <c r="BZ3416" s="769"/>
      <c r="CA3416" s="769"/>
      <c r="CB3416" s="769"/>
      <c r="CC3416" s="769"/>
      <c r="CD3416" s="769"/>
      <c r="CE3416" s="769"/>
      <c r="CF3416" s="769"/>
      <c r="CG3416" s="73"/>
      <c r="CH3416" s="438"/>
      <c r="CI3416" s="416"/>
      <c r="CJ3416" s="73"/>
      <c r="CK3416" s="650"/>
      <c r="CL3416" s="499"/>
      <c r="CM3416" s="650"/>
      <c r="CR3416" s="416"/>
      <c r="CS3416" s="650"/>
      <c r="CU3416" s="73"/>
      <c r="CV3416" s="73"/>
      <c r="CW3416" s="73"/>
      <c r="CX3416" s="73"/>
      <c r="DA3416" s="650"/>
    </row>
    <row r="3417" spans="1:105" s="45" customFormat="1" x14ac:dyDescent="0.2">
      <c r="A3417" s="650"/>
      <c r="B3417" s="438"/>
      <c r="D3417" s="73"/>
      <c r="E3417" s="650"/>
      <c r="F3417" s="650"/>
      <c r="G3417" s="73"/>
      <c r="I3417" s="111"/>
      <c r="J3417" s="81"/>
      <c r="K3417" s="81"/>
      <c r="L3417" s="499"/>
      <c r="M3417" s="73"/>
      <c r="N3417" s="499"/>
      <c r="O3417" s="73"/>
      <c r="P3417" s="73"/>
      <c r="Q3417" s="73"/>
      <c r="R3417" s="176"/>
      <c r="S3417" s="176"/>
      <c r="T3417" s="176"/>
      <c r="U3417" s="400"/>
      <c r="V3417" s="400"/>
      <c r="W3417" s="732"/>
      <c r="X3417" s="167"/>
      <c r="Y3417" s="509"/>
      <c r="Z3417" s="466"/>
      <c r="AA3417" s="466"/>
      <c r="AB3417" s="466"/>
      <c r="AC3417" s="466"/>
      <c r="AD3417" s="466"/>
      <c r="AE3417" s="466"/>
      <c r="AF3417" s="466"/>
      <c r="AG3417" s="466"/>
      <c r="AH3417" s="466"/>
      <c r="AI3417" s="466"/>
      <c r="AJ3417" s="466"/>
      <c r="AK3417" s="466"/>
      <c r="AL3417" s="466"/>
      <c r="AM3417" s="466"/>
      <c r="AN3417" s="466"/>
      <c r="AO3417" s="466"/>
      <c r="AP3417" s="466"/>
      <c r="AQ3417" s="466"/>
      <c r="AR3417" s="466"/>
      <c r="AS3417" s="466"/>
      <c r="AT3417" s="466"/>
      <c r="AU3417" s="466"/>
      <c r="AV3417" s="466"/>
      <c r="AW3417" s="466"/>
      <c r="AX3417" s="466"/>
      <c r="AY3417" s="466"/>
      <c r="AZ3417" s="466"/>
      <c r="BA3417" s="466"/>
      <c r="BB3417" s="466"/>
      <c r="BC3417" s="466"/>
      <c r="BD3417" s="466"/>
      <c r="BE3417" s="467"/>
      <c r="BF3417" s="467"/>
      <c r="BG3417" s="466"/>
      <c r="BH3417" s="466"/>
      <c r="BI3417" s="467"/>
      <c r="BJ3417" s="467"/>
      <c r="BK3417" s="467"/>
      <c r="BL3417" s="467"/>
      <c r="BM3417" s="467"/>
      <c r="BN3417" s="467"/>
      <c r="BO3417" s="467"/>
      <c r="BP3417" s="467"/>
      <c r="BQ3417" s="467"/>
      <c r="BR3417" s="467"/>
      <c r="BS3417" s="467"/>
      <c r="BT3417" s="467"/>
      <c r="BU3417" s="467"/>
      <c r="BV3417" s="467"/>
      <c r="BW3417" s="467"/>
      <c r="BX3417" s="769"/>
      <c r="BY3417" s="769"/>
      <c r="BZ3417" s="769"/>
      <c r="CA3417" s="769"/>
      <c r="CB3417" s="769"/>
      <c r="CC3417" s="769"/>
      <c r="CD3417" s="769"/>
      <c r="CE3417" s="769"/>
      <c r="CF3417" s="769"/>
      <c r="CG3417" s="73"/>
      <c r="CH3417" s="438"/>
      <c r="CI3417" s="416"/>
      <c r="CJ3417" s="73"/>
      <c r="CK3417" s="650"/>
      <c r="CL3417" s="499"/>
      <c r="CM3417" s="650"/>
      <c r="CR3417" s="416"/>
      <c r="CS3417" s="650"/>
      <c r="CU3417" s="73"/>
      <c r="CV3417" s="73"/>
      <c r="CW3417" s="73"/>
      <c r="CX3417" s="73"/>
      <c r="DA3417" s="650"/>
    </row>
    <row r="3418" spans="1:105" s="45" customFormat="1" x14ac:dyDescent="0.2">
      <c r="A3418" s="650"/>
      <c r="B3418" s="438"/>
      <c r="D3418" s="73"/>
      <c r="E3418" s="650"/>
      <c r="F3418" s="650"/>
      <c r="G3418" s="73"/>
      <c r="I3418" s="111"/>
      <c r="J3418" s="81"/>
      <c r="K3418" s="81"/>
      <c r="L3418" s="499"/>
      <c r="M3418" s="73"/>
      <c r="N3418" s="499"/>
      <c r="O3418" s="73"/>
      <c r="P3418" s="73"/>
      <c r="Q3418" s="73"/>
      <c r="R3418" s="176"/>
      <c r="S3418" s="176"/>
      <c r="T3418" s="176"/>
      <c r="U3418" s="400"/>
      <c r="V3418" s="400"/>
      <c r="W3418" s="732"/>
      <c r="X3418" s="167"/>
      <c r="Y3418" s="509"/>
      <c r="Z3418" s="466"/>
      <c r="AA3418" s="466"/>
      <c r="AB3418" s="466"/>
      <c r="AC3418" s="466"/>
      <c r="AD3418" s="466"/>
      <c r="AE3418" s="466"/>
      <c r="AF3418" s="466"/>
      <c r="AG3418" s="466"/>
      <c r="AH3418" s="466"/>
      <c r="AI3418" s="466"/>
      <c r="AJ3418" s="466"/>
      <c r="AK3418" s="466"/>
      <c r="AL3418" s="466"/>
      <c r="AM3418" s="466"/>
      <c r="AN3418" s="466"/>
      <c r="AO3418" s="466"/>
      <c r="AP3418" s="466"/>
      <c r="AQ3418" s="466"/>
      <c r="AR3418" s="466"/>
      <c r="AS3418" s="466"/>
      <c r="AT3418" s="466"/>
      <c r="AU3418" s="466"/>
      <c r="AV3418" s="466"/>
      <c r="AW3418" s="466"/>
      <c r="AX3418" s="466"/>
      <c r="AY3418" s="466"/>
      <c r="AZ3418" s="466"/>
      <c r="BA3418" s="466"/>
      <c r="BB3418" s="466"/>
      <c r="BC3418" s="466"/>
      <c r="BD3418" s="466"/>
      <c r="BE3418" s="467"/>
      <c r="BF3418" s="467"/>
      <c r="BG3418" s="466"/>
      <c r="BH3418" s="466"/>
      <c r="BI3418" s="467"/>
      <c r="BJ3418" s="467"/>
      <c r="BK3418" s="467"/>
      <c r="BL3418" s="467"/>
      <c r="BM3418" s="467"/>
      <c r="BN3418" s="467"/>
      <c r="BO3418" s="467"/>
      <c r="BP3418" s="467"/>
      <c r="BQ3418" s="467"/>
      <c r="BR3418" s="467"/>
      <c r="BS3418" s="467"/>
      <c r="BT3418" s="467"/>
      <c r="BU3418" s="467"/>
      <c r="BV3418" s="467"/>
      <c r="BW3418" s="467"/>
      <c r="BX3418" s="769"/>
      <c r="BY3418" s="769"/>
      <c r="BZ3418" s="769"/>
      <c r="CA3418" s="769"/>
      <c r="CB3418" s="769"/>
      <c r="CC3418" s="769"/>
      <c r="CD3418" s="769"/>
      <c r="CE3418" s="769"/>
      <c r="CF3418" s="769"/>
      <c r="CG3418" s="73"/>
      <c r="CH3418" s="438"/>
      <c r="CI3418" s="416"/>
      <c r="CJ3418" s="73"/>
      <c r="CK3418" s="650"/>
      <c r="CL3418" s="499"/>
      <c r="CM3418" s="650"/>
      <c r="CR3418" s="416"/>
      <c r="CS3418" s="650"/>
      <c r="CU3418" s="73"/>
      <c r="CV3418" s="73"/>
      <c r="CW3418" s="73"/>
      <c r="CX3418" s="73"/>
      <c r="DA3418" s="650"/>
    </row>
    <row r="3419" spans="1:105" s="45" customFormat="1" x14ac:dyDescent="0.2">
      <c r="A3419" s="650"/>
      <c r="B3419" s="438"/>
      <c r="D3419" s="73"/>
      <c r="E3419" s="650"/>
      <c r="F3419" s="650"/>
      <c r="G3419" s="73"/>
      <c r="I3419" s="111"/>
      <c r="J3419" s="81"/>
      <c r="K3419" s="81"/>
      <c r="L3419" s="499"/>
      <c r="M3419" s="73"/>
      <c r="N3419" s="499"/>
      <c r="O3419" s="73"/>
      <c r="P3419" s="73"/>
      <c r="Q3419" s="73"/>
      <c r="R3419" s="176"/>
      <c r="S3419" s="176"/>
      <c r="T3419" s="176"/>
      <c r="U3419" s="400"/>
      <c r="V3419" s="400"/>
      <c r="W3419" s="732"/>
      <c r="X3419" s="167"/>
      <c r="Y3419" s="509"/>
      <c r="Z3419" s="466"/>
      <c r="AA3419" s="466"/>
      <c r="AB3419" s="466"/>
      <c r="AC3419" s="466"/>
      <c r="AD3419" s="466"/>
      <c r="AE3419" s="466"/>
      <c r="AF3419" s="466"/>
      <c r="AG3419" s="466"/>
      <c r="AH3419" s="466"/>
      <c r="AI3419" s="466"/>
      <c r="AJ3419" s="466"/>
      <c r="AK3419" s="466"/>
      <c r="AL3419" s="466"/>
      <c r="AM3419" s="466"/>
      <c r="AN3419" s="466"/>
      <c r="AO3419" s="466"/>
      <c r="AP3419" s="466"/>
      <c r="AQ3419" s="466"/>
      <c r="AR3419" s="466"/>
      <c r="AS3419" s="466"/>
      <c r="AT3419" s="466"/>
      <c r="AU3419" s="466"/>
      <c r="AV3419" s="466"/>
      <c r="AW3419" s="466"/>
      <c r="AX3419" s="466"/>
      <c r="AY3419" s="466"/>
      <c r="AZ3419" s="466"/>
      <c r="BA3419" s="466"/>
      <c r="BB3419" s="466"/>
      <c r="BC3419" s="466"/>
      <c r="BD3419" s="466"/>
      <c r="BE3419" s="467"/>
      <c r="BF3419" s="467"/>
      <c r="BG3419" s="466"/>
      <c r="BH3419" s="466"/>
      <c r="BI3419" s="467"/>
      <c r="BJ3419" s="467"/>
      <c r="BK3419" s="467"/>
      <c r="BL3419" s="467"/>
      <c r="BM3419" s="467"/>
      <c r="BN3419" s="467"/>
      <c r="BO3419" s="467"/>
      <c r="BP3419" s="467"/>
      <c r="BQ3419" s="467"/>
      <c r="BR3419" s="467"/>
      <c r="BS3419" s="467"/>
      <c r="BT3419" s="467"/>
      <c r="BU3419" s="467"/>
      <c r="BV3419" s="467"/>
      <c r="BW3419" s="467"/>
      <c r="BX3419" s="769"/>
      <c r="BY3419" s="769"/>
      <c r="BZ3419" s="769"/>
      <c r="CA3419" s="769"/>
      <c r="CB3419" s="769"/>
      <c r="CC3419" s="769"/>
      <c r="CD3419" s="769"/>
      <c r="CE3419" s="769"/>
      <c r="CF3419" s="769"/>
      <c r="CG3419" s="73"/>
      <c r="CH3419" s="438"/>
      <c r="CI3419" s="416"/>
      <c r="CJ3419" s="73"/>
      <c r="CK3419" s="650"/>
      <c r="CL3419" s="499"/>
      <c r="CM3419" s="650"/>
      <c r="CR3419" s="416"/>
      <c r="CS3419" s="650"/>
      <c r="CU3419" s="73"/>
      <c r="CV3419" s="73"/>
      <c r="CW3419" s="73"/>
      <c r="CX3419" s="73"/>
      <c r="DA3419" s="650"/>
    </row>
    <row r="3420" spans="1:105" s="45" customFormat="1" x14ac:dyDescent="0.2">
      <c r="A3420" s="650"/>
      <c r="B3420" s="438"/>
      <c r="D3420" s="73"/>
      <c r="E3420" s="650"/>
      <c r="F3420" s="650"/>
      <c r="G3420" s="73"/>
      <c r="I3420" s="111"/>
      <c r="J3420" s="81"/>
      <c r="K3420" s="81"/>
      <c r="L3420" s="499"/>
      <c r="M3420" s="73"/>
      <c r="N3420" s="499"/>
      <c r="O3420" s="73"/>
      <c r="P3420" s="73"/>
      <c r="Q3420" s="73"/>
      <c r="R3420" s="176"/>
      <c r="S3420" s="176"/>
      <c r="T3420" s="176"/>
      <c r="U3420" s="400"/>
      <c r="V3420" s="400"/>
      <c r="W3420" s="732"/>
      <c r="X3420" s="167"/>
      <c r="Y3420" s="509"/>
      <c r="Z3420" s="466"/>
      <c r="AA3420" s="466"/>
      <c r="AB3420" s="466"/>
      <c r="AC3420" s="466"/>
      <c r="AD3420" s="466"/>
      <c r="AE3420" s="466"/>
      <c r="AF3420" s="466"/>
      <c r="AG3420" s="466"/>
      <c r="AH3420" s="466"/>
      <c r="AI3420" s="466"/>
      <c r="AJ3420" s="466"/>
      <c r="AK3420" s="466"/>
      <c r="AL3420" s="466"/>
      <c r="AM3420" s="466"/>
      <c r="AN3420" s="466"/>
      <c r="AO3420" s="466"/>
      <c r="AP3420" s="466"/>
      <c r="AQ3420" s="466"/>
      <c r="AR3420" s="466"/>
      <c r="AS3420" s="466"/>
      <c r="AT3420" s="466"/>
      <c r="AU3420" s="466"/>
      <c r="AV3420" s="466"/>
      <c r="AW3420" s="466"/>
      <c r="AX3420" s="466"/>
      <c r="AY3420" s="466"/>
      <c r="AZ3420" s="466"/>
      <c r="BA3420" s="466"/>
      <c r="BB3420" s="466"/>
      <c r="BC3420" s="466"/>
      <c r="BD3420" s="466"/>
      <c r="BE3420" s="467"/>
      <c r="BF3420" s="467"/>
      <c r="BG3420" s="466"/>
      <c r="BH3420" s="466"/>
      <c r="BI3420" s="467"/>
      <c r="BJ3420" s="467"/>
      <c r="BK3420" s="467"/>
      <c r="BL3420" s="467"/>
      <c r="BM3420" s="467"/>
      <c r="BN3420" s="467"/>
      <c r="BO3420" s="467"/>
      <c r="BP3420" s="467"/>
      <c r="BQ3420" s="467"/>
      <c r="BR3420" s="467"/>
      <c r="BS3420" s="467"/>
      <c r="BT3420" s="467"/>
      <c r="BU3420" s="467"/>
      <c r="BV3420" s="467"/>
      <c r="BW3420" s="467"/>
      <c r="BX3420" s="769"/>
      <c r="BY3420" s="769"/>
      <c r="BZ3420" s="769"/>
      <c r="CA3420" s="769"/>
      <c r="CB3420" s="769"/>
      <c r="CC3420" s="769"/>
      <c r="CD3420" s="769"/>
      <c r="CE3420" s="769"/>
      <c r="CF3420" s="769"/>
      <c r="CG3420" s="73"/>
      <c r="CH3420" s="438"/>
      <c r="CI3420" s="416"/>
      <c r="CJ3420" s="73"/>
      <c r="CK3420" s="650"/>
      <c r="CL3420" s="499"/>
      <c r="CM3420" s="650"/>
      <c r="CR3420" s="416"/>
      <c r="CS3420" s="650"/>
      <c r="CU3420" s="73"/>
      <c r="CV3420" s="73"/>
      <c r="CW3420" s="73"/>
      <c r="CX3420" s="73"/>
      <c r="DA3420" s="650"/>
    </row>
    <row r="3421" spans="1:105" s="45" customFormat="1" x14ac:dyDescent="0.2">
      <c r="A3421" s="650"/>
      <c r="B3421" s="438"/>
      <c r="D3421" s="73"/>
      <c r="E3421" s="650"/>
      <c r="F3421" s="650"/>
      <c r="G3421" s="73"/>
      <c r="I3421" s="111"/>
      <c r="J3421" s="81"/>
      <c r="K3421" s="81"/>
      <c r="L3421" s="499"/>
      <c r="M3421" s="73"/>
      <c r="N3421" s="499"/>
      <c r="O3421" s="73"/>
      <c r="P3421" s="73"/>
      <c r="Q3421" s="73"/>
      <c r="R3421" s="176"/>
      <c r="S3421" s="176"/>
      <c r="T3421" s="176"/>
      <c r="U3421" s="400"/>
      <c r="V3421" s="400"/>
      <c r="W3421" s="732"/>
      <c r="X3421" s="167"/>
      <c r="Y3421" s="509"/>
      <c r="Z3421" s="466"/>
      <c r="AA3421" s="466"/>
      <c r="AB3421" s="466"/>
      <c r="AC3421" s="466"/>
      <c r="AD3421" s="466"/>
      <c r="AE3421" s="466"/>
      <c r="AF3421" s="466"/>
      <c r="AG3421" s="466"/>
      <c r="AH3421" s="466"/>
      <c r="AI3421" s="466"/>
      <c r="AJ3421" s="466"/>
      <c r="AK3421" s="466"/>
      <c r="AL3421" s="466"/>
      <c r="AM3421" s="466"/>
      <c r="AN3421" s="466"/>
      <c r="AO3421" s="466"/>
      <c r="AP3421" s="466"/>
      <c r="AQ3421" s="466"/>
      <c r="AR3421" s="466"/>
      <c r="AS3421" s="466"/>
      <c r="AT3421" s="466"/>
      <c r="AU3421" s="466"/>
      <c r="AV3421" s="466"/>
      <c r="AW3421" s="466"/>
      <c r="AX3421" s="466"/>
      <c r="AY3421" s="466"/>
      <c r="AZ3421" s="466"/>
      <c r="BA3421" s="466"/>
      <c r="BB3421" s="466"/>
      <c r="BC3421" s="466"/>
      <c r="BD3421" s="466"/>
      <c r="BE3421" s="467"/>
      <c r="BF3421" s="467"/>
      <c r="BG3421" s="466"/>
      <c r="BH3421" s="466"/>
      <c r="BI3421" s="467"/>
      <c r="BJ3421" s="467"/>
      <c r="BK3421" s="467"/>
      <c r="BL3421" s="467"/>
      <c r="BM3421" s="467"/>
      <c r="BN3421" s="467"/>
      <c r="BO3421" s="467"/>
      <c r="BP3421" s="467"/>
      <c r="BQ3421" s="467"/>
      <c r="BR3421" s="467"/>
      <c r="BS3421" s="467"/>
      <c r="BT3421" s="467"/>
      <c r="BU3421" s="467"/>
      <c r="BV3421" s="467"/>
      <c r="BW3421" s="467"/>
      <c r="BX3421" s="769"/>
      <c r="BY3421" s="769"/>
      <c r="BZ3421" s="769"/>
      <c r="CA3421" s="769"/>
      <c r="CB3421" s="769"/>
      <c r="CC3421" s="769"/>
      <c r="CD3421" s="769"/>
      <c r="CE3421" s="769"/>
      <c r="CF3421" s="769"/>
      <c r="CG3421" s="73"/>
      <c r="CH3421" s="438"/>
      <c r="CI3421" s="416"/>
      <c r="CJ3421" s="73"/>
      <c r="CK3421" s="650"/>
      <c r="CL3421" s="499"/>
      <c r="CM3421" s="650"/>
      <c r="CR3421" s="416"/>
      <c r="CS3421" s="650"/>
      <c r="CU3421" s="73"/>
      <c r="CV3421" s="73"/>
      <c r="CW3421" s="73"/>
      <c r="CX3421" s="73"/>
      <c r="DA3421" s="650"/>
    </row>
    <row r="3422" spans="1:105" s="45" customFormat="1" x14ac:dyDescent="0.2">
      <c r="A3422" s="650"/>
      <c r="B3422" s="438"/>
      <c r="D3422" s="73"/>
      <c r="E3422" s="650"/>
      <c r="F3422" s="650"/>
      <c r="G3422" s="73"/>
      <c r="I3422" s="111"/>
      <c r="J3422" s="81"/>
      <c r="K3422" s="81"/>
      <c r="L3422" s="499"/>
      <c r="M3422" s="73"/>
      <c r="N3422" s="499"/>
      <c r="O3422" s="73"/>
      <c r="P3422" s="73"/>
      <c r="Q3422" s="73"/>
      <c r="R3422" s="176"/>
      <c r="S3422" s="176"/>
      <c r="T3422" s="176"/>
      <c r="U3422" s="400"/>
      <c r="V3422" s="400"/>
      <c r="W3422" s="732"/>
      <c r="X3422" s="167"/>
      <c r="Y3422" s="509"/>
      <c r="Z3422" s="466"/>
      <c r="AA3422" s="466"/>
      <c r="AB3422" s="466"/>
      <c r="AC3422" s="466"/>
      <c r="AD3422" s="466"/>
      <c r="AE3422" s="466"/>
      <c r="AF3422" s="466"/>
      <c r="AG3422" s="466"/>
      <c r="AH3422" s="466"/>
      <c r="AI3422" s="466"/>
      <c r="AJ3422" s="466"/>
      <c r="AK3422" s="466"/>
      <c r="AL3422" s="466"/>
      <c r="AM3422" s="466"/>
      <c r="AN3422" s="466"/>
      <c r="AO3422" s="466"/>
      <c r="AP3422" s="466"/>
      <c r="AQ3422" s="466"/>
      <c r="AR3422" s="466"/>
      <c r="AS3422" s="466"/>
      <c r="AT3422" s="466"/>
      <c r="AU3422" s="466"/>
      <c r="AV3422" s="466"/>
      <c r="AW3422" s="466"/>
      <c r="AX3422" s="466"/>
      <c r="AY3422" s="466"/>
      <c r="AZ3422" s="466"/>
      <c r="BA3422" s="466"/>
      <c r="BB3422" s="466"/>
      <c r="BC3422" s="466"/>
      <c r="BD3422" s="466"/>
      <c r="BE3422" s="467"/>
      <c r="BF3422" s="467"/>
      <c r="BG3422" s="466"/>
      <c r="BH3422" s="466"/>
      <c r="BI3422" s="467"/>
      <c r="BJ3422" s="467"/>
      <c r="BK3422" s="467"/>
      <c r="BL3422" s="467"/>
      <c r="BM3422" s="467"/>
      <c r="BN3422" s="467"/>
      <c r="BO3422" s="467"/>
      <c r="BP3422" s="467"/>
      <c r="BQ3422" s="467"/>
      <c r="BR3422" s="467"/>
      <c r="BS3422" s="467"/>
      <c r="BT3422" s="467"/>
      <c r="BU3422" s="467"/>
      <c r="BV3422" s="467"/>
      <c r="BW3422" s="467"/>
      <c r="BX3422" s="769"/>
      <c r="BY3422" s="769"/>
      <c r="BZ3422" s="769"/>
      <c r="CA3422" s="769"/>
      <c r="CB3422" s="769"/>
      <c r="CC3422" s="769"/>
      <c r="CD3422" s="769"/>
      <c r="CE3422" s="769"/>
      <c r="CF3422" s="769"/>
      <c r="CG3422" s="73"/>
      <c r="CH3422" s="438"/>
      <c r="CI3422" s="416"/>
      <c r="CJ3422" s="73"/>
      <c r="CK3422" s="650"/>
      <c r="CL3422" s="499"/>
      <c r="CM3422" s="650"/>
      <c r="CR3422" s="416"/>
      <c r="CS3422" s="650"/>
      <c r="CU3422" s="73"/>
      <c r="CV3422" s="73"/>
      <c r="CW3422" s="73"/>
      <c r="CX3422" s="73"/>
      <c r="DA3422" s="650"/>
    </row>
    <row r="3423" spans="1:105" s="45" customFormat="1" x14ac:dyDescent="0.2">
      <c r="A3423" s="650"/>
      <c r="B3423" s="438"/>
      <c r="D3423" s="73"/>
      <c r="E3423" s="650"/>
      <c r="F3423" s="650"/>
      <c r="G3423" s="73"/>
      <c r="I3423" s="111"/>
      <c r="J3423" s="81"/>
      <c r="K3423" s="81"/>
      <c r="L3423" s="499"/>
      <c r="M3423" s="73"/>
      <c r="N3423" s="499"/>
      <c r="O3423" s="73"/>
      <c r="P3423" s="73"/>
      <c r="Q3423" s="73"/>
      <c r="R3423" s="176"/>
      <c r="S3423" s="176"/>
      <c r="T3423" s="176"/>
      <c r="U3423" s="400"/>
      <c r="V3423" s="400"/>
      <c r="W3423" s="732"/>
      <c r="X3423" s="167"/>
      <c r="Y3423" s="509"/>
      <c r="Z3423" s="466"/>
      <c r="AA3423" s="466"/>
      <c r="AB3423" s="466"/>
      <c r="AC3423" s="466"/>
      <c r="AD3423" s="466"/>
      <c r="AE3423" s="466"/>
      <c r="AF3423" s="466"/>
      <c r="AG3423" s="466"/>
      <c r="AH3423" s="466"/>
      <c r="AI3423" s="466"/>
      <c r="AJ3423" s="466"/>
      <c r="AK3423" s="466"/>
      <c r="AL3423" s="466"/>
      <c r="AM3423" s="466"/>
      <c r="AN3423" s="466"/>
      <c r="AO3423" s="466"/>
      <c r="AP3423" s="466"/>
      <c r="AQ3423" s="466"/>
      <c r="AR3423" s="466"/>
      <c r="AS3423" s="466"/>
      <c r="AT3423" s="466"/>
      <c r="AU3423" s="466"/>
      <c r="AV3423" s="466"/>
      <c r="AW3423" s="466"/>
      <c r="AX3423" s="466"/>
      <c r="AY3423" s="466"/>
      <c r="AZ3423" s="466"/>
      <c r="BA3423" s="466"/>
      <c r="BB3423" s="466"/>
      <c r="BC3423" s="466"/>
      <c r="BD3423" s="466"/>
      <c r="BE3423" s="467"/>
      <c r="BF3423" s="467"/>
      <c r="BG3423" s="466"/>
      <c r="BH3423" s="466"/>
      <c r="BI3423" s="467"/>
      <c r="BJ3423" s="467"/>
      <c r="BK3423" s="467"/>
      <c r="BL3423" s="467"/>
      <c r="BM3423" s="467"/>
      <c r="BN3423" s="467"/>
      <c r="BO3423" s="467"/>
      <c r="BP3423" s="467"/>
      <c r="BQ3423" s="467"/>
      <c r="BR3423" s="467"/>
      <c r="BS3423" s="467"/>
      <c r="BT3423" s="467"/>
      <c r="BU3423" s="467"/>
      <c r="BV3423" s="467"/>
      <c r="BW3423" s="467"/>
      <c r="BX3423" s="769"/>
      <c r="BY3423" s="769"/>
      <c r="BZ3423" s="769"/>
      <c r="CA3423" s="769"/>
      <c r="CB3423" s="769"/>
      <c r="CC3423" s="769"/>
      <c r="CD3423" s="769"/>
      <c r="CE3423" s="769"/>
      <c r="CF3423" s="769"/>
      <c r="CG3423" s="73"/>
      <c r="CH3423" s="438"/>
      <c r="CI3423" s="416"/>
      <c r="CJ3423" s="73"/>
      <c r="CK3423" s="650"/>
      <c r="CL3423" s="499"/>
      <c r="CM3423" s="650"/>
      <c r="CR3423" s="416"/>
      <c r="CS3423" s="650"/>
      <c r="CU3423" s="73"/>
      <c r="CV3423" s="73"/>
      <c r="CW3423" s="73"/>
      <c r="CX3423" s="73"/>
      <c r="DA3423" s="650"/>
    </row>
    <row r="3424" spans="1:105" s="45" customFormat="1" x14ac:dyDescent="0.2">
      <c r="A3424" s="650"/>
      <c r="B3424" s="438"/>
      <c r="D3424" s="73"/>
      <c r="E3424" s="650"/>
      <c r="F3424" s="650"/>
      <c r="G3424" s="73"/>
      <c r="I3424" s="111"/>
      <c r="J3424" s="81"/>
      <c r="K3424" s="81"/>
      <c r="L3424" s="499"/>
      <c r="M3424" s="73"/>
      <c r="N3424" s="499"/>
      <c r="O3424" s="73"/>
      <c r="P3424" s="73"/>
      <c r="Q3424" s="73"/>
      <c r="R3424" s="176"/>
      <c r="S3424" s="176"/>
      <c r="T3424" s="176"/>
      <c r="U3424" s="400"/>
      <c r="V3424" s="400"/>
      <c r="W3424" s="732"/>
      <c r="X3424" s="167"/>
      <c r="Y3424" s="509"/>
      <c r="Z3424" s="466"/>
      <c r="AA3424" s="466"/>
      <c r="AB3424" s="466"/>
      <c r="AC3424" s="466"/>
      <c r="AD3424" s="466"/>
      <c r="AE3424" s="466"/>
      <c r="AF3424" s="466"/>
      <c r="AG3424" s="466"/>
      <c r="AH3424" s="466"/>
      <c r="AI3424" s="466"/>
      <c r="AJ3424" s="466"/>
      <c r="AK3424" s="466"/>
      <c r="AL3424" s="466"/>
      <c r="AM3424" s="466"/>
      <c r="AN3424" s="466"/>
      <c r="AO3424" s="466"/>
      <c r="AP3424" s="466"/>
      <c r="AQ3424" s="466"/>
      <c r="AR3424" s="466"/>
      <c r="AS3424" s="466"/>
      <c r="AT3424" s="466"/>
      <c r="AU3424" s="466"/>
      <c r="AV3424" s="466"/>
      <c r="AW3424" s="466"/>
      <c r="AX3424" s="466"/>
      <c r="AY3424" s="466"/>
      <c r="AZ3424" s="466"/>
      <c r="BA3424" s="466"/>
      <c r="BB3424" s="466"/>
      <c r="BC3424" s="466"/>
      <c r="BD3424" s="466"/>
      <c r="BE3424" s="467"/>
      <c r="BF3424" s="467"/>
      <c r="BG3424" s="466"/>
      <c r="BH3424" s="466"/>
      <c r="BI3424" s="467"/>
      <c r="BJ3424" s="467"/>
      <c r="BK3424" s="467"/>
      <c r="BL3424" s="467"/>
      <c r="BM3424" s="467"/>
      <c r="BN3424" s="467"/>
      <c r="BO3424" s="467"/>
      <c r="BP3424" s="467"/>
      <c r="BQ3424" s="467"/>
      <c r="BR3424" s="467"/>
      <c r="BS3424" s="467"/>
      <c r="BT3424" s="467"/>
      <c r="BU3424" s="467"/>
      <c r="BV3424" s="467"/>
      <c r="BW3424" s="467"/>
      <c r="BX3424" s="769"/>
      <c r="BY3424" s="769"/>
      <c r="BZ3424" s="769"/>
      <c r="CA3424" s="769"/>
      <c r="CB3424" s="769"/>
      <c r="CC3424" s="769"/>
      <c r="CD3424" s="769"/>
      <c r="CE3424" s="769"/>
      <c r="CF3424" s="769"/>
      <c r="CG3424" s="73"/>
      <c r="CH3424" s="438"/>
      <c r="CI3424" s="416"/>
      <c r="CJ3424" s="73"/>
      <c r="CK3424" s="650"/>
      <c r="CL3424" s="499"/>
      <c r="CM3424" s="650"/>
      <c r="CR3424" s="416"/>
      <c r="CS3424" s="650"/>
      <c r="CU3424" s="73"/>
      <c r="CV3424" s="73"/>
      <c r="CW3424" s="73"/>
      <c r="CX3424" s="73"/>
      <c r="DA3424" s="650"/>
    </row>
    <row r="3425" spans="1:105" s="45" customFormat="1" x14ac:dyDescent="0.2">
      <c r="A3425" s="650"/>
      <c r="B3425" s="438"/>
      <c r="D3425" s="73"/>
      <c r="E3425" s="650"/>
      <c r="F3425" s="650"/>
      <c r="G3425" s="73"/>
      <c r="I3425" s="111"/>
      <c r="J3425" s="81"/>
      <c r="K3425" s="81"/>
      <c r="L3425" s="499"/>
      <c r="M3425" s="73"/>
      <c r="N3425" s="499"/>
      <c r="O3425" s="73"/>
      <c r="P3425" s="73"/>
      <c r="Q3425" s="73"/>
      <c r="R3425" s="176"/>
      <c r="S3425" s="176"/>
      <c r="T3425" s="176"/>
      <c r="U3425" s="400"/>
      <c r="V3425" s="400"/>
      <c r="W3425" s="732"/>
      <c r="X3425" s="167"/>
      <c r="Y3425" s="509"/>
      <c r="Z3425" s="466"/>
      <c r="AA3425" s="466"/>
      <c r="AB3425" s="466"/>
      <c r="AC3425" s="466"/>
      <c r="AD3425" s="466"/>
      <c r="AE3425" s="466"/>
      <c r="AF3425" s="466"/>
      <c r="AG3425" s="466"/>
      <c r="AH3425" s="466"/>
      <c r="AI3425" s="466"/>
      <c r="AJ3425" s="466"/>
      <c r="AK3425" s="466"/>
      <c r="AL3425" s="466"/>
      <c r="AM3425" s="466"/>
      <c r="AN3425" s="466"/>
      <c r="AO3425" s="466"/>
      <c r="AP3425" s="466"/>
      <c r="AQ3425" s="466"/>
      <c r="AR3425" s="466"/>
      <c r="AS3425" s="466"/>
      <c r="AT3425" s="466"/>
      <c r="AU3425" s="466"/>
      <c r="AV3425" s="466"/>
      <c r="AW3425" s="466"/>
      <c r="AX3425" s="466"/>
      <c r="AY3425" s="466"/>
      <c r="AZ3425" s="466"/>
      <c r="BA3425" s="466"/>
      <c r="BB3425" s="466"/>
      <c r="BC3425" s="466"/>
      <c r="BD3425" s="466"/>
      <c r="BE3425" s="467"/>
      <c r="BF3425" s="467"/>
      <c r="BG3425" s="466"/>
      <c r="BH3425" s="466"/>
      <c r="BI3425" s="467"/>
      <c r="BJ3425" s="467"/>
      <c r="BK3425" s="467"/>
      <c r="BL3425" s="467"/>
      <c r="BM3425" s="467"/>
      <c r="BN3425" s="467"/>
      <c r="BO3425" s="467"/>
      <c r="BP3425" s="467"/>
      <c r="BQ3425" s="467"/>
      <c r="BR3425" s="467"/>
      <c r="BS3425" s="467"/>
      <c r="BT3425" s="467"/>
      <c r="BU3425" s="467"/>
      <c r="BV3425" s="467"/>
      <c r="BW3425" s="467"/>
      <c r="BX3425" s="769"/>
      <c r="BY3425" s="769"/>
      <c r="BZ3425" s="769"/>
      <c r="CA3425" s="769"/>
      <c r="CB3425" s="769"/>
      <c r="CC3425" s="769"/>
      <c r="CD3425" s="769"/>
      <c r="CE3425" s="769"/>
      <c r="CF3425" s="769"/>
      <c r="CG3425" s="73"/>
      <c r="CH3425" s="438"/>
      <c r="CI3425" s="416"/>
      <c r="CJ3425" s="73"/>
      <c r="CK3425" s="650"/>
      <c r="CL3425" s="499"/>
      <c r="CM3425" s="650"/>
      <c r="CR3425" s="416"/>
      <c r="CS3425" s="650"/>
      <c r="CU3425" s="73"/>
      <c r="CV3425" s="73"/>
      <c r="CW3425" s="73"/>
      <c r="CX3425" s="73"/>
      <c r="DA3425" s="650"/>
    </row>
    <row r="3426" spans="1:105" s="45" customFormat="1" x14ac:dyDescent="0.2">
      <c r="A3426" s="650"/>
      <c r="B3426" s="438"/>
      <c r="D3426" s="73"/>
      <c r="E3426" s="650"/>
      <c r="F3426" s="650"/>
      <c r="G3426" s="73"/>
      <c r="I3426" s="111"/>
      <c r="J3426" s="81"/>
      <c r="K3426" s="81"/>
      <c r="L3426" s="499"/>
      <c r="M3426" s="73"/>
      <c r="N3426" s="499"/>
      <c r="O3426" s="73"/>
      <c r="P3426" s="73"/>
      <c r="Q3426" s="73"/>
      <c r="R3426" s="176"/>
      <c r="S3426" s="176"/>
      <c r="T3426" s="176"/>
      <c r="U3426" s="400"/>
      <c r="V3426" s="400"/>
      <c r="W3426" s="732"/>
      <c r="X3426" s="167"/>
      <c r="Y3426" s="509"/>
      <c r="Z3426" s="466"/>
      <c r="AA3426" s="466"/>
      <c r="AB3426" s="466"/>
      <c r="AC3426" s="466"/>
      <c r="AD3426" s="466"/>
      <c r="AE3426" s="466"/>
      <c r="AF3426" s="466"/>
      <c r="AG3426" s="466"/>
      <c r="AH3426" s="466"/>
      <c r="AI3426" s="466"/>
      <c r="AJ3426" s="466"/>
      <c r="AK3426" s="466"/>
      <c r="AL3426" s="466"/>
      <c r="AM3426" s="466"/>
      <c r="AN3426" s="466"/>
      <c r="AO3426" s="466"/>
      <c r="AP3426" s="466"/>
      <c r="AQ3426" s="466"/>
      <c r="AR3426" s="466"/>
      <c r="AS3426" s="466"/>
      <c r="AT3426" s="466"/>
      <c r="AU3426" s="466"/>
      <c r="AV3426" s="466"/>
      <c r="AW3426" s="466"/>
      <c r="AX3426" s="466"/>
      <c r="AY3426" s="466"/>
      <c r="AZ3426" s="466"/>
      <c r="BA3426" s="466"/>
      <c r="BB3426" s="466"/>
      <c r="BC3426" s="466"/>
      <c r="BD3426" s="466"/>
      <c r="BE3426" s="467"/>
      <c r="BF3426" s="467"/>
      <c r="BG3426" s="466"/>
      <c r="BH3426" s="466"/>
      <c r="BI3426" s="467"/>
      <c r="BJ3426" s="467"/>
      <c r="BK3426" s="467"/>
      <c r="BL3426" s="467"/>
      <c r="BM3426" s="467"/>
      <c r="BN3426" s="467"/>
      <c r="BO3426" s="467"/>
      <c r="BP3426" s="467"/>
      <c r="BQ3426" s="467"/>
      <c r="BR3426" s="467"/>
      <c r="BS3426" s="467"/>
      <c r="BT3426" s="467"/>
      <c r="BU3426" s="467"/>
      <c r="BV3426" s="467"/>
      <c r="BW3426" s="467"/>
      <c r="BX3426" s="769"/>
      <c r="BY3426" s="769"/>
      <c r="BZ3426" s="769"/>
      <c r="CA3426" s="769"/>
      <c r="CB3426" s="769"/>
      <c r="CC3426" s="769"/>
      <c r="CD3426" s="769"/>
      <c r="CE3426" s="769"/>
      <c r="CF3426" s="769"/>
      <c r="CG3426" s="73"/>
      <c r="CH3426" s="438"/>
      <c r="CI3426" s="416"/>
      <c r="CJ3426" s="73"/>
      <c r="CK3426" s="650"/>
      <c r="CL3426" s="499"/>
      <c r="CM3426" s="650"/>
      <c r="CR3426" s="416"/>
      <c r="CS3426" s="650"/>
      <c r="CU3426" s="73"/>
      <c r="CV3426" s="73"/>
      <c r="CW3426" s="73"/>
      <c r="CX3426" s="73"/>
      <c r="DA3426" s="650"/>
    </row>
    <row r="3427" spans="1:105" s="45" customFormat="1" x14ac:dyDescent="0.2">
      <c r="A3427" s="650"/>
      <c r="B3427" s="438"/>
      <c r="D3427" s="73"/>
      <c r="E3427" s="650"/>
      <c r="F3427" s="650"/>
      <c r="G3427" s="73"/>
      <c r="I3427" s="111"/>
      <c r="J3427" s="81"/>
      <c r="K3427" s="81"/>
      <c r="L3427" s="499"/>
      <c r="M3427" s="73"/>
      <c r="N3427" s="499"/>
      <c r="O3427" s="73"/>
      <c r="P3427" s="73"/>
      <c r="Q3427" s="73"/>
      <c r="R3427" s="176"/>
      <c r="S3427" s="176"/>
      <c r="T3427" s="176"/>
      <c r="U3427" s="400"/>
      <c r="V3427" s="400"/>
      <c r="W3427" s="732"/>
      <c r="X3427" s="167"/>
      <c r="Y3427" s="509"/>
      <c r="Z3427" s="466"/>
      <c r="AA3427" s="466"/>
      <c r="AB3427" s="466"/>
      <c r="AC3427" s="466"/>
      <c r="AD3427" s="466"/>
      <c r="AE3427" s="466"/>
      <c r="AF3427" s="466"/>
      <c r="AG3427" s="466"/>
      <c r="AH3427" s="466"/>
      <c r="AI3427" s="466"/>
      <c r="AJ3427" s="466"/>
      <c r="AK3427" s="466"/>
      <c r="AL3427" s="466"/>
      <c r="AM3427" s="466"/>
      <c r="AN3427" s="466"/>
      <c r="AO3427" s="466"/>
      <c r="AP3427" s="466"/>
      <c r="AQ3427" s="466"/>
      <c r="AR3427" s="466"/>
      <c r="AS3427" s="466"/>
      <c r="AT3427" s="466"/>
      <c r="AU3427" s="466"/>
      <c r="AV3427" s="466"/>
      <c r="AW3427" s="466"/>
      <c r="AX3427" s="466"/>
      <c r="AY3427" s="466"/>
      <c r="AZ3427" s="466"/>
      <c r="BA3427" s="466"/>
      <c r="BB3427" s="466"/>
      <c r="BC3427" s="466"/>
      <c r="BD3427" s="466"/>
      <c r="BE3427" s="467"/>
      <c r="BF3427" s="467"/>
      <c r="BG3427" s="466"/>
      <c r="BH3427" s="466"/>
      <c r="BI3427" s="467"/>
      <c r="BJ3427" s="467"/>
      <c r="BK3427" s="467"/>
      <c r="BL3427" s="467"/>
      <c r="BM3427" s="467"/>
      <c r="BN3427" s="467"/>
      <c r="BO3427" s="467"/>
      <c r="BP3427" s="467"/>
      <c r="BQ3427" s="467"/>
      <c r="BR3427" s="467"/>
      <c r="BS3427" s="467"/>
      <c r="BT3427" s="467"/>
      <c r="BU3427" s="467"/>
      <c r="BV3427" s="467"/>
      <c r="BW3427" s="467"/>
      <c r="BX3427" s="769"/>
      <c r="BY3427" s="769"/>
      <c r="BZ3427" s="769"/>
      <c r="CA3427" s="769"/>
      <c r="CB3427" s="769"/>
      <c r="CC3427" s="769"/>
      <c r="CD3427" s="769"/>
      <c r="CE3427" s="769"/>
      <c r="CF3427" s="769"/>
      <c r="CG3427" s="73"/>
      <c r="CH3427" s="438"/>
      <c r="CI3427" s="416"/>
      <c r="CJ3427" s="73"/>
      <c r="CK3427" s="650"/>
      <c r="CL3427" s="499"/>
      <c r="CM3427" s="650"/>
      <c r="CR3427" s="416"/>
      <c r="CS3427" s="650"/>
      <c r="CU3427" s="73"/>
      <c r="CV3427" s="73"/>
      <c r="CW3427" s="73"/>
      <c r="CX3427" s="73"/>
      <c r="DA3427" s="650"/>
    </row>
    <row r="3428" spans="1:105" s="45" customFormat="1" x14ac:dyDescent="0.2">
      <c r="A3428" s="650"/>
      <c r="B3428" s="438"/>
      <c r="D3428" s="73"/>
      <c r="E3428" s="650"/>
      <c r="F3428" s="650"/>
      <c r="G3428" s="73"/>
      <c r="I3428" s="111"/>
      <c r="J3428" s="81"/>
      <c r="K3428" s="81"/>
      <c r="L3428" s="499"/>
      <c r="M3428" s="73"/>
      <c r="N3428" s="499"/>
      <c r="O3428" s="73"/>
      <c r="P3428" s="73"/>
      <c r="Q3428" s="73"/>
      <c r="R3428" s="176"/>
      <c r="S3428" s="176"/>
      <c r="T3428" s="176"/>
      <c r="U3428" s="400"/>
      <c r="V3428" s="400"/>
      <c r="W3428" s="732"/>
      <c r="X3428" s="167"/>
      <c r="Y3428" s="509"/>
      <c r="Z3428" s="466"/>
      <c r="AA3428" s="466"/>
      <c r="AB3428" s="466"/>
      <c r="AC3428" s="466"/>
      <c r="AD3428" s="466"/>
      <c r="AE3428" s="466"/>
      <c r="AF3428" s="466"/>
      <c r="AG3428" s="466"/>
      <c r="AH3428" s="466"/>
      <c r="AI3428" s="466"/>
      <c r="AJ3428" s="466"/>
      <c r="AK3428" s="466"/>
      <c r="AL3428" s="466"/>
      <c r="AM3428" s="466"/>
      <c r="AN3428" s="466"/>
      <c r="AO3428" s="466"/>
      <c r="AP3428" s="466"/>
      <c r="AQ3428" s="466"/>
      <c r="AR3428" s="466"/>
      <c r="AS3428" s="466"/>
      <c r="AT3428" s="466"/>
      <c r="AU3428" s="466"/>
      <c r="AV3428" s="466"/>
      <c r="AW3428" s="466"/>
      <c r="AX3428" s="466"/>
      <c r="AY3428" s="466"/>
      <c r="AZ3428" s="466"/>
      <c r="BA3428" s="466"/>
      <c r="BB3428" s="466"/>
      <c r="BC3428" s="466"/>
      <c r="BD3428" s="466"/>
      <c r="BE3428" s="467"/>
      <c r="BF3428" s="467"/>
      <c r="BG3428" s="466"/>
      <c r="BH3428" s="466"/>
      <c r="BI3428" s="467"/>
      <c r="BJ3428" s="467"/>
      <c r="BK3428" s="467"/>
      <c r="BL3428" s="467"/>
      <c r="BM3428" s="467"/>
      <c r="BN3428" s="467"/>
      <c r="BO3428" s="467"/>
      <c r="BP3428" s="467"/>
      <c r="BQ3428" s="467"/>
      <c r="BR3428" s="467"/>
      <c r="BS3428" s="467"/>
      <c r="BT3428" s="467"/>
      <c r="BU3428" s="467"/>
      <c r="BV3428" s="467"/>
      <c r="BW3428" s="467"/>
      <c r="BX3428" s="769"/>
      <c r="BY3428" s="769"/>
      <c r="BZ3428" s="769"/>
      <c r="CA3428" s="769"/>
      <c r="CB3428" s="769"/>
      <c r="CC3428" s="769"/>
      <c r="CD3428" s="769"/>
      <c r="CE3428" s="769"/>
      <c r="CF3428" s="769"/>
      <c r="CG3428" s="73"/>
      <c r="CH3428" s="438"/>
      <c r="CI3428" s="416"/>
      <c r="CJ3428" s="73"/>
      <c r="CK3428" s="650"/>
      <c r="CL3428" s="499"/>
      <c r="CM3428" s="650"/>
      <c r="CR3428" s="416"/>
      <c r="CS3428" s="650"/>
      <c r="CU3428" s="73"/>
      <c r="CV3428" s="73"/>
      <c r="CW3428" s="73"/>
      <c r="CX3428" s="73"/>
      <c r="DA3428" s="650"/>
    </row>
    <row r="3429" spans="1:105" s="45" customFormat="1" x14ac:dyDescent="0.2">
      <c r="A3429" s="650"/>
      <c r="B3429" s="438"/>
      <c r="D3429" s="73"/>
      <c r="E3429" s="650"/>
      <c r="F3429" s="650"/>
      <c r="G3429" s="73"/>
      <c r="I3429" s="111"/>
      <c r="J3429" s="81"/>
      <c r="K3429" s="81"/>
      <c r="L3429" s="499"/>
      <c r="M3429" s="73"/>
      <c r="N3429" s="499"/>
      <c r="O3429" s="73"/>
      <c r="P3429" s="73"/>
      <c r="Q3429" s="73"/>
      <c r="R3429" s="176"/>
      <c r="S3429" s="176"/>
      <c r="T3429" s="176"/>
      <c r="U3429" s="400"/>
      <c r="V3429" s="400"/>
      <c r="W3429" s="732"/>
      <c r="X3429" s="167"/>
      <c r="Y3429" s="509"/>
      <c r="Z3429" s="466"/>
      <c r="AA3429" s="466"/>
      <c r="AB3429" s="466"/>
      <c r="AC3429" s="466"/>
      <c r="AD3429" s="466"/>
      <c r="AE3429" s="466"/>
      <c r="AF3429" s="466"/>
      <c r="AG3429" s="466"/>
      <c r="AH3429" s="466"/>
      <c r="AI3429" s="466"/>
      <c r="AJ3429" s="466"/>
      <c r="AK3429" s="466"/>
      <c r="AL3429" s="466"/>
      <c r="AM3429" s="466"/>
      <c r="AN3429" s="466"/>
      <c r="AO3429" s="466"/>
      <c r="AP3429" s="466"/>
      <c r="AQ3429" s="466"/>
      <c r="AR3429" s="466"/>
      <c r="AS3429" s="466"/>
      <c r="AT3429" s="466"/>
      <c r="AU3429" s="466"/>
      <c r="AV3429" s="466"/>
      <c r="AW3429" s="466"/>
      <c r="AX3429" s="466"/>
      <c r="AY3429" s="466"/>
      <c r="AZ3429" s="466"/>
      <c r="BA3429" s="466"/>
      <c r="BB3429" s="466"/>
      <c r="BC3429" s="466"/>
      <c r="BD3429" s="466"/>
      <c r="BE3429" s="467"/>
      <c r="BF3429" s="467"/>
      <c r="BG3429" s="466"/>
      <c r="BH3429" s="466"/>
      <c r="BI3429" s="467"/>
      <c r="BJ3429" s="467"/>
      <c r="BK3429" s="467"/>
      <c r="BL3429" s="467"/>
      <c r="BM3429" s="467"/>
      <c r="BN3429" s="467"/>
      <c r="BO3429" s="467"/>
      <c r="BP3429" s="467"/>
      <c r="BQ3429" s="467"/>
      <c r="BR3429" s="467"/>
      <c r="BS3429" s="467"/>
      <c r="BT3429" s="467"/>
      <c r="BU3429" s="467"/>
      <c r="BV3429" s="467"/>
      <c r="BW3429" s="467"/>
      <c r="BX3429" s="769"/>
      <c r="BY3429" s="769"/>
      <c r="BZ3429" s="769"/>
      <c r="CA3429" s="769"/>
      <c r="CB3429" s="769"/>
      <c r="CC3429" s="769"/>
      <c r="CD3429" s="769"/>
      <c r="CE3429" s="769"/>
      <c r="CF3429" s="769"/>
      <c r="CG3429" s="73"/>
      <c r="CH3429" s="438"/>
      <c r="CI3429" s="416"/>
      <c r="CJ3429" s="73"/>
      <c r="CK3429" s="650"/>
      <c r="CL3429" s="499"/>
      <c r="CM3429" s="650"/>
      <c r="CR3429" s="416"/>
      <c r="CS3429" s="650"/>
      <c r="CU3429" s="73"/>
      <c r="CV3429" s="73"/>
      <c r="CW3429" s="73"/>
      <c r="CX3429" s="73"/>
      <c r="DA3429" s="650"/>
    </row>
    <row r="3430" spans="1:105" s="45" customFormat="1" x14ac:dyDescent="0.2">
      <c r="A3430" s="650"/>
      <c r="B3430" s="438"/>
      <c r="D3430" s="73"/>
      <c r="E3430" s="650"/>
      <c r="F3430" s="650"/>
      <c r="G3430" s="73"/>
      <c r="I3430" s="111"/>
      <c r="J3430" s="81"/>
      <c r="K3430" s="81"/>
      <c r="L3430" s="499"/>
      <c r="M3430" s="73"/>
      <c r="N3430" s="499"/>
      <c r="O3430" s="73"/>
      <c r="P3430" s="73"/>
      <c r="Q3430" s="73"/>
      <c r="R3430" s="176"/>
      <c r="S3430" s="176"/>
      <c r="T3430" s="176"/>
      <c r="U3430" s="400"/>
      <c r="V3430" s="400"/>
      <c r="W3430" s="732"/>
      <c r="X3430" s="167"/>
      <c r="Y3430" s="509"/>
      <c r="Z3430" s="466"/>
      <c r="AA3430" s="466"/>
      <c r="AB3430" s="466"/>
      <c r="AC3430" s="466"/>
      <c r="AD3430" s="466"/>
      <c r="AE3430" s="466"/>
      <c r="AF3430" s="466"/>
      <c r="AG3430" s="466"/>
      <c r="AH3430" s="466"/>
      <c r="AI3430" s="466"/>
      <c r="AJ3430" s="466"/>
      <c r="AK3430" s="466"/>
      <c r="AL3430" s="466"/>
      <c r="AM3430" s="466"/>
      <c r="AN3430" s="466"/>
      <c r="AO3430" s="466"/>
      <c r="AP3430" s="466"/>
      <c r="AQ3430" s="466"/>
      <c r="AR3430" s="466"/>
      <c r="AS3430" s="466"/>
      <c r="AT3430" s="466"/>
      <c r="AU3430" s="466"/>
      <c r="AV3430" s="466"/>
      <c r="AW3430" s="466"/>
      <c r="AX3430" s="466"/>
      <c r="AY3430" s="466"/>
      <c r="AZ3430" s="466"/>
      <c r="BA3430" s="466"/>
      <c r="BB3430" s="466"/>
      <c r="BC3430" s="466"/>
      <c r="BD3430" s="466"/>
      <c r="BE3430" s="467"/>
      <c r="BF3430" s="467"/>
      <c r="BG3430" s="466"/>
      <c r="BH3430" s="466"/>
      <c r="BI3430" s="467"/>
      <c r="BJ3430" s="467"/>
      <c r="BK3430" s="467"/>
      <c r="BL3430" s="467"/>
      <c r="BM3430" s="467"/>
      <c r="BN3430" s="467"/>
      <c r="BO3430" s="467"/>
      <c r="BP3430" s="467"/>
      <c r="BQ3430" s="467"/>
      <c r="BR3430" s="467"/>
      <c r="BS3430" s="467"/>
      <c r="BT3430" s="467"/>
      <c r="BU3430" s="467"/>
      <c r="BV3430" s="467"/>
      <c r="BW3430" s="467"/>
      <c r="BX3430" s="769"/>
      <c r="BY3430" s="769"/>
      <c r="BZ3430" s="769"/>
      <c r="CA3430" s="769"/>
      <c r="CB3430" s="769"/>
      <c r="CC3430" s="769"/>
      <c r="CD3430" s="769"/>
      <c r="CE3430" s="769"/>
      <c r="CF3430" s="769"/>
      <c r="CG3430" s="73"/>
      <c r="CH3430" s="438"/>
      <c r="CI3430" s="416"/>
      <c r="CJ3430" s="73"/>
      <c r="CK3430" s="650"/>
      <c r="CL3430" s="499"/>
      <c r="CM3430" s="650"/>
      <c r="CR3430" s="416"/>
      <c r="CS3430" s="650"/>
      <c r="CU3430" s="73"/>
      <c r="CV3430" s="73"/>
      <c r="CW3430" s="73"/>
      <c r="CX3430" s="73"/>
      <c r="DA3430" s="650"/>
    </row>
    <row r="3431" spans="1:105" s="45" customFormat="1" x14ac:dyDescent="0.2">
      <c r="A3431" s="650"/>
      <c r="B3431" s="438"/>
      <c r="D3431" s="73"/>
      <c r="E3431" s="650"/>
      <c r="F3431" s="650"/>
      <c r="G3431" s="73"/>
      <c r="I3431" s="111"/>
      <c r="J3431" s="81"/>
      <c r="K3431" s="81"/>
      <c r="L3431" s="499"/>
      <c r="M3431" s="73"/>
      <c r="N3431" s="499"/>
      <c r="O3431" s="73"/>
      <c r="P3431" s="73"/>
      <c r="Q3431" s="73"/>
      <c r="R3431" s="176"/>
      <c r="S3431" s="176"/>
      <c r="T3431" s="176"/>
      <c r="U3431" s="400"/>
      <c r="V3431" s="400"/>
      <c r="W3431" s="732"/>
      <c r="X3431" s="167"/>
      <c r="Y3431" s="509"/>
      <c r="Z3431" s="466"/>
      <c r="AA3431" s="466"/>
      <c r="AB3431" s="466"/>
      <c r="AC3431" s="466"/>
      <c r="AD3431" s="466"/>
      <c r="AE3431" s="466"/>
      <c r="AF3431" s="466"/>
      <c r="AG3431" s="466"/>
      <c r="AH3431" s="466"/>
      <c r="AI3431" s="466"/>
      <c r="AJ3431" s="466"/>
      <c r="AK3431" s="466"/>
      <c r="AL3431" s="466"/>
      <c r="AM3431" s="466"/>
      <c r="AN3431" s="466"/>
      <c r="AO3431" s="466"/>
      <c r="AP3431" s="466"/>
      <c r="AQ3431" s="466"/>
      <c r="AR3431" s="466"/>
      <c r="AS3431" s="466"/>
      <c r="AT3431" s="466"/>
      <c r="AU3431" s="466"/>
      <c r="AV3431" s="466"/>
      <c r="AW3431" s="466"/>
      <c r="AX3431" s="466"/>
      <c r="AY3431" s="466"/>
      <c r="AZ3431" s="466"/>
      <c r="BA3431" s="466"/>
      <c r="BB3431" s="466"/>
      <c r="BC3431" s="466"/>
      <c r="BD3431" s="466"/>
      <c r="BE3431" s="467"/>
      <c r="BF3431" s="467"/>
      <c r="BG3431" s="466"/>
      <c r="BH3431" s="466"/>
      <c r="BI3431" s="467"/>
      <c r="BJ3431" s="467"/>
      <c r="BK3431" s="467"/>
      <c r="BL3431" s="467"/>
      <c r="BM3431" s="467"/>
      <c r="BN3431" s="467"/>
      <c r="BO3431" s="467"/>
      <c r="BP3431" s="467"/>
      <c r="BQ3431" s="467"/>
      <c r="BR3431" s="467"/>
      <c r="BS3431" s="467"/>
      <c r="BT3431" s="467"/>
      <c r="BU3431" s="467"/>
      <c r="BV3431" s="467"/>
      <c r="BW3431" s="467"/>
      <c r="BX3431" s="769"/>
      <c r="BY3431" s="769"/>
      <c r="BZ3431" s="769"/>
      <c r="CA3431" s="769"/>
      <c r="CB3431" s="769"/>
      <c r="CC3431" s="769"/>
      <c r="CD3431" s="769"/>
      <c r="CE3431" s="769"/>
      <c r="CF3431" s="769"/>
      <c r="CG3431" s="73"/>
      <c r="CH3431" s="438"/>
      <c r="CI3431" s="416"/>
      <c r="CJ3431" s="73"/>
      <c r="CK3431" s="650"/>
      <c r="CL3431" s="499"/>
      <c r="CM3431" s="650"/>
      <c r="CR3431" s="416"/>
      <c r="CS3431" s="650"/>
      <c r="CU3431" s="73"/>
      <c r="CV3431" s="73"/>
      <c r="CW3431" s="73"/>
      <c r="CX3431" s="73"/>
      <c r="DA3431" s="650"/>
    </row>
    <row r="3432" spans="1:105" s="45" customFormat="1" x14ac:dyDescent="0.2">
      <c r="A3432" s="650"/>
      <c r="B3432" s="438"/>
      <c r="D3432" s="73"/>
      <c r="E3432" s="650"/>
      <c r="F3432" s="650"/>
      <c r="G3432" s="73"/>
      <c r="I3432" s="111"/>
      <c r="J3432" s="81"/>
      <c r="K3432" s="81"/>
      <c r="L3432" s="499"/>
      <c r="M3432" s="73"/>
      <c r="N3432" s="499"/>
      <c r="O3432" s="73"/>
      <c r="P3432" s="73"/>
      <c r="Q3432" s="73"/>
      <c r="R3432" s="176"/>
      <c r="S3432" s="176"/>
      <c r="T3432" s="176"/>
      <c r="U3432" s="400"/>
      <c r="V3432" s="400"/>
      <c r="W3432" s="732"/>
      <c r="X3432" s="167"/>
      <c r="Y3432" s="509"/>
      <c r="Z3432" s="466"/>
      <c r="AA3432" s="466"/>
      <c r="AB3432" s="466"/>
      <c r="AC3432" s="466"/>
      <c r="AD3432" s="466"/>
      <c r="AE3432" s="466"/>
      <c r="AF3432" s="466"/>
      <c r="AG3432" s="466"/>
      <c r="AH3432" s="466"/>
      <c r="AI3432" s="466"/>
      <c r="AJ3432" s="466"/>
      <c r="AK3432" s="466"/>
      <c r="AL3432" s="466"/>
      <c r="AM3432" s="466"/>
      <c r="AN3432" s="466"/>
      <c r="AO3432" s="466"/>
      <c r="AP3432" s="466"/>
      <c r="AQ3432" s="466"/>
      <c r="AR3432" s="466"/>
      <c r="AS3432" s="466"/>
      <c r="AT3432" s="466"/>
      <c r="AU3432" s="466"/>
      <c r="AV3432" s="466"/>
      <c r="AW3432" s="466"/>
      <c r="AX3432" s="466"/>
      <c r="AY3432" s="466"/>
      <c r="AZ3432" s="466"/>
      <c r="BA3432" s="466"/>
      <c r="BB3432" s="466"/>
      <c r="BC3432" s="466"/>
      <c r="BD3432" s="466"/>
      <c r="BE3432" s="467"/>
      <c r="BF3432" s="467"/>
      <c r="BG3432" s="466"/>
      <c r="BH3432" s="466"/>
      <c r="BI3432" s="467"/>
      <c r="BJ3432" s="467"/>
      <c r="BK3432" s="467"/>
      <c r="BL3432" s="467"/>
      <c r="BM3432" s="467"/>
      <c r="BN3432" s="467"/>
      <c r="BO3432" s="467"/>
      <c r="BP3432" s="467"/>
      <c r="BQ3432" s="467"/>
      <c r="BR3432" s="467"/>
      <c r="BS3432" s="467"/>
      <c r="BT3432" s="467"/>
      <c r="BU3432" s="467"/>
      <c r="BV3432" s="467"/>
      <c r="BW3432" s="467"/>
      <c r="BX3432" s="769"/>
      <c r="BY3432" s="769"/>
      <c r="BZ3432" s="769"/>
      <c r="CA3432" s="769"/>
      <c r="CB3432" s="769"/>
      <c r="CC3432" s="769"/>
      <c r="CD3432" s="769"/>
      <c r="CE3432" s="769"/>
      <c r="CF3432" s="769"/>
      <c r="CG3432" s="73"/>
      <c r="CH3432" s="438"/>
      <c r="CI3432" s="416"/>
      <c r="CJ3432" s="73"/>
      <c r="CK3432" s="650"/>
      <c r="CL3432" s="499"/>
      <c r="CM3432" s="650"/>
      <c r="CR3432" s="416"/>
      <c r="CS3432" s="650"/>
      <c r="CU3432" s="73"/>
      <c r="CV3432" s="73"/>
      <c r="CW3432" s="73"/>
      <c r="CX3432" s="73"/>
      <c r="DA3432" s="650"/>
    </row>
    <row r="3433" spans="1:105" s="45" customFormat="1" x14ac:dyDescent="0.2">
      <c r="A3433" s="650"/>
      <c r="B3433" s="438"/>
      <c r="D3433" s="73"/>
      <c r="E3433" s="650"/>
      <c r="F3433" s="650"/>
      <c r="G3433" s="73"/>
      <c r="I3433" s="111"/>
      <c r="J3433" s="81"/>
      <c r="K3433" s="81"/>
      <c r="L3433" s="499"/>
      <c r="M3433" s="73"/>
      <c r="N3433" s="499"/>
      <c r="O3433" s="73"/>
      <c r="P3433" s="73"/>
      <c r="Q3433" s="73"/>
      <c r="R3433" s="176"/>
      <c r="S3433" s="176"/>
      <c r="T3433" s="176"/>
      <c r="U3433" s="400"/>
      <c r="V3433" s="400"/>
      <c r="W3433" s="732"/>
      <c r="X3433" s="167"/>
      <c r="Y3433" s="509"/>
      <c r="Z3433" s="466"/>
      <c r="AA3433" s="466"/>
      <c r="AB3433" s="466"/>
      <c r="AC3433" s="466"/>
      <c r="AD3433" s="466"/>
      <c r="AE3433" s="466"/>
      <c r="AF3433" s="466"/>
      <c r="AG3433" s="466"/>
      <c r="AH3433" s="466"/>
      <c r="AI3433" s="466"/>
      <c r="AJ3433" s="466"/>
      <c r="AK3433" s="466"/>
      <c r="AL3433" s="466"/>
      <c r="AM3433" s="466"/>
      <c r="AN3433" s="466"/>
      <c r="AO3433" s="466"/>
      <c r="AP3433" s="466"/>
      <c r="AQ3433" s="466"/>
      <c r="AR3433" s="466"/>
      <c r="AS3433" s="466"/>
      <c r="AT3433" s="466"/>
      <c r="AU3433" s="466"/>
      <c r="AV3433" s="466"/>
      <c r="AW3433" s="466"/>
      <c r="AX3433" s="466"/>
      <c r="AY3433" s="466"/>
      <c r="AZ3433" s="466"/>
      <c r="BA3433" s="466"/>
      <c r="BB3433" s="466"/>
      <c r="BC3433" s="466"/>
      <c r="BD3433" s="466"/>
      <c r="BE3433" s="467"/>
      <c r="BF3433" s="467"/>
      <c r="BG3433" s="466"/>
      <c r="BH3433" s="466"/>
      <c r="BI3433" s="467"/>
      <c r="BJ3433" s="467"/>
      <c r="BK3433" s="467"/>
      <c r="BL3433" s="467"/>
      <c r="BM3433" s="467"/>
      <c r="BN3433" s="467"/>
      <c r="BO3433" s="467"/>
      <c r="BP3433" s="467"/>
      <c r="BQ3433" s="467"/>
      <c r="BR3433" s="467"/>
      <c r="BS3433" s="467"/>
      <c r="BT3433" s="467"/>
      <c r="BU3433" s="467"/>
      <c r="BV3433" s="467"/>
      <c r="BW3433" s="467"/>
      <c r="BX3433" s="769"/>
      <c r="BY3433" s="769"/>
      <c r="BZ3433" s="769"/>
      <c r="CA3433" s="769"/>
      <c r="CB3433" s="769"/>
      <c r="CC3433" s="769"/>
      <c r="CD3433" s="769"/>
      <c r="CE3433" s="769"/>
      <c r="CF3433" s="769"/>
      <c r="CG3433" s="73"/>
      <c r="CH3433" s="438"/>
      <c r="CI3433" s="416"/>
      <c r="CJ3433" s="73"/>
      <c r="CK3433" s="650"/>
      <c r="CL3433" s="499"/>
      <c r="CM3433" s="650"/>
      <c r="CR3433" s="416"/>
      <c r="CS3433" s="650"/>
      <c r="CU3433" s="73"/>
      <c r="CV3433" s="73"/>
      <c r="CW3433" s="73"/>
      <c r="CX3433" s="73"/>
      <c r="DA3433" s="650"/>
    </row>
    <row r="3434" spans="1:105" s="45" customFormat="1" x14ac:dyDescent="0.2">
      <c r="A3434" s="650"/>
      <c r="B3434" s="438"/>
      <c r="D3434" s="73"/>
      <c r="E3434" s="650"/>
      <c r="F3434" s="650"/>
      <c r="G3434" s="73"/>
      <c r="I3434" s="111"/>
      <c r="J3434" s="81"/>
      <c r="K3434" s="81"/>
      <c r="L3434" s="499"/>
      <c r="M3434" s="73"/>
      <c r="N3434" s="499"/>
      <c r="O3434" s="73"/>
      <c r="P3434" s="73"/>
      <c r="Q3434" s="73"/>
      <c r="R3434" s="176"/>
      <c r="S3434" s="176"/>
      <c r="T3434" s="176"/>
      <c r="U3434" s="400"/>
      <c r="V3434" s="400"/>
      <c r="W3434" s="732"/>
      <c r="X3434" s="167"/>
      <c r="Y3434" s="509"/>
      <c r="Z3434" s="466"/>
      <c r="AA3434" s="466"/>
      <c r="AB3434" s="466"/>
      <c r="AC3434" s="466"/>
      <c r="AD3434" s="466"/>
      <c r="AE3434" s="466"/>
      <c r="AF3434" s="466"/>
      <c r="AG3434" s="466"/>
      <c r="AH3434" s="466"/>
      <c r="AI3434" s="466"/>
      <c r="AJ3434" s="466"/>
      <c r="AK3434" s="466"/>
      <c r="AL3434" s="466"/>
      <c r="AM3434" s="466"/>
      <c r="AN3434" s="466"/>
      <c r="AO3434" s="466"/>
      <c r="AP3434" s="466"/>
      <c r="AQ3434" s="466"/>
      <c r="AR3434" s="466"/>
      <c r="AS3434" s="466"/>
      <c r="AT3434" s="466"/>
      <c r="AU3434" s="466"/>
      <c r="AV3434" s="466"/>
      <c r="AW3434" s="466"/>
      <c r="AX3434" s="466"/>
      <c r="AY3434" s="466"/>
      <c r="AZ3434" s="466"/>
      <c r="BA3434" s="466"/>
      <c r="BB3434" s="466"/>
      <c r="BC3434" s="466"/>
      <c r="BD3434" s="466"/>
      <c r="BE3434" s="467"/>
      <c r="BF3434" s="467"/>
      <c r="BG3434" s="466"/>
      <c r="BH3434" s="466"/>
      <c r="BI3434" s="467"/>
      <c r="BJ3434" s="467"/>
      <c r="BK3434" s="467"/>
      <c r="BL3434" s="467"/>
      <c r="BM3434" s="467"/>
      <c r="BN3434" s="467"/>
      <c r="BO3434" s="467"/>
      <c r="BP3434" s="467"/>
      <c r="BQ3434" s="467"/>
      <c r="BR3434" s="467"/>
      <c r="BS3434" s="467"/>
      <c r="BT3434" s="467"/>
      <c r="BU3434" s="467"/>
      <c r="BV3434" s="467"/>
      <c r="BW3434" s="467"/>
      <c r="BX3434" s="769"/>
      <c r="BY3434" s="769"/>
      <c r="BZ3434" s="769"/>
      <c r="CA3434" s="769"/>
      <c r="CB3434" s="769"/>
      <c r="CC3434" s="769"/>
      <c r="CD3434" s="769"/>
      <c r="CE3434" s="769"/>
      <c r="CF3434" s="769"/>
      <c r="CG3434" s="73"/>
      <c r="CH3434" s="438"/>
      <c r="CI3434" s="416"/>
      <c r="CJ3434" s="73"/>
      <c r="CK3434" s="650"/>
      <c r="CL3434" s="499"/>
      <c r="CM3434" s="650"/>
      <c r="CR3434" s="416"/>
      <c r="CS3434" s="650"/>
      <c r="CU3434" s="73"/>
      <c r="CV3434" s="73"/>
      <c r="CW3434" s="73"/>
      <c r="CX3434" s="73"/>
      <c r="DA3434" s="650"/>
    </row>
    <row r="3435" spans="1:105" s="45" customFormat="1" x14ac:dyDescent="0.2">
      <c r="A3435" s="650"/>
      <c r="B3435" s="438"/>
      <c r="D3435" s="73"/>
      <c r="E3435" s="650"/>
      <c r="F3435" s="650"/>
      <c r="G3435" s="73"/>
      <c r="I3435" s="111"/>
      <c r="J3435" s="81"/>
      <c r="K3435" s="81"/>
      <c r="L3435" s="499"/>
      <c r="M3435" s="73"/>
      <c r="N3435" s="499"/>
      <c r="O3435" s="73"/>
      <c r="P3435" s="73"/>
      <c r="Q3435" s="73"/>
      <c r="R3435" s="176"/>
      <c r="S3435" s="176"/>
      <c r="T3435" s="176"/>
      <c r="U3435" s="400"/>
      <c r="V3435" s="400"/>
      <c r="W3435" s="732"/>
      <c r="X3435" s="167"/>
      <c r="Y3435" s="509"/>
      <c r="Z3435" s="466"/>
      <c r="AA3435" s="466"/>
      <c r="AB3435" s="466"/>
      <c r="AC3435" s="466"/>
      <c r="AD3435" s="466"/>
      <c r="AE3435" s="466"/>
      <c r="AF3435" s="466"/>
      <c r="AG3435" s="466"/>
      <c r="AH3435" s="466"/>
      <c r="AI3435" s="466"/>
      <c r="AJ3435" s="466"/>
      <c r="AK3435" s="466"/>
      <c r="AL3435" s="466"/>
      <c r="AM3435" s="466"/>
      <c r="AN3435" s="466"/>
      <c r="AO3435" s="466"/>
      <c r="AP3435" s="466"/>
      <c r="AQ3435" s="466"/>
      <c r="AR3435" s="466"/>
      <c r="AS3435" s="466"/>
      <c r="AT3435" s="466"/>
      <c r="AU3435" s="466"/>
      <c r="AV3435" s="466"/>
      <c r="AW3435" s="466"/>
      <c r="AX3435" s="466"/>
      <c r="AY3435" s="466"/>
      <c r="AZ3435" s="466"/>
      <c r="BA3435" s="466"/>
      <c r="BB3435" s="466"/>
      <c r="BC3435" s="466"/>
      <c r="BD3435" s="466"/>
      <c r="BE3435" s="467"/>
      <c r="BF3435" s="467"/>
      <c r="BG3435" s="466"/>
      <c r="BH3435" s="466"/>
      <c r="BI3435" s="467"/>
      <c r="BJ3435" s="467"/>
      <c r="BK3435" s="467"/>
      <c r="BL3435" s="467"/>
      <c r="BM3435" s="467"/>
      <c r="BN3435" s="467"/>
      <c r="BO3435" s="467"/>
      <c r="BP3435" s="467"/>
      <c r="BQ3435" s="467"/>
      <c r="BR3435" s="467"/>
      <c r="BS3435" s="467"/>
      <c r="BT3435" s="467"/>
      <c r="BU3435" s="467"/>
      <c r="BV3435" s="467"/>
      <c r="BW3435" s="467"/>
      <c r="BX3435" s="769"/>
      <c r="BY3435" s="769"/>
      <c r="BZ3435" s="769"/>
      <c r="CA3435" s="769"/>
      <c r="CB3435" s="769"/>
      <c r="CC3435" s="769"/>
      <c r="CD3435" s="769"/>
      <c r="CE3435" s="769"/>
      <c r="CF3435" s="769"/>
      <c r="CG3435" s="73"/>
      <c r="CH3435" s="438"/>
      <c r="CI3435" s="416"/>
      <c r="CJ3435" s="73"/>
      <c r="CK3435" s="650"/>
      <c r="CL3435" s="499"/>
      <c r="CM3435" s="650"/>
      <c r="CR3435" s="416"/>
      <c r="CS3435" s="650"/>
      <c r="CU3435" s="73"/>
      <c r="CV3435" s="73"/>
      <c r="CW3435" s="73"/>
      <c r="CX3435" s="73"/>
      <c r="DA3435" s="650"/>
    </row>
    <row r="3436" spans="1:105" s="45" customFormat="1" x14ac:dyDescent="0.2">
      <c r="A3436" s="650"/>
      <c r="B3436" s="438"/>
      <c r="D3436" s="73"/>
      <c r="E3436" s="650"/>
      <c r="F3436" s="650"/>
      <c r="G3436" s="73"/>
      <c r="I3436" s="111"/>
      <c r="J3436" s="81"/>
      <c r="K3436" s="81"/>
      <c r="L3436" s="499"/>
      <c r="M3436" s="73"/>
      <c r="N3436" s="499"/>
      <c r="O3436" s="73"/>
      <c r="P3436" s="73"/>
      <c r="Q3436" s="73"/>
      <c r="R3436" s="176"/>
      <c r="S3436" s="176"/>
      <c r="T3436" s="176"/>
      <c r="U3436" s="400"/>
      <c r="V3436" s="400"/>
      <c r="W3436" s="732"/>
      <c r="X3436" s="167"/>
      <c r="Y3436" s="509"/>
      <c r="Z3436" s="466"/>
      <c r="AA3436" s="466"/>
      <c r="AB3436" s="466"/>
      <c r="AC3436" s="466"/>
      <c r="AD3436" s="466"/>
      <c r="AE3436" s="466"/>
      <c r="AF3436" s="466"/>
      <c r="AG3436" s="466"/>
      <c r="AH3436" s="466"/>
      <c r="AI3436" s="466"/>
      <c r="AJ3436" s="466"/>
      <c r="AK3436" s="466"/>
      <c r="AL3436" s="466"/>
      <c r="AM3436" s="466"/>
      <c r="AN3436" s="466"/>
      <c r="AO3436" s="466"/>
      <c r="AP3436" s="466"/>
      <c r="AQ3436" s="466"/>
      <c r="AR3436" s="466"/>
      <c r="AS3436" s="466"/>
      <c r="AT3436" s="466"/>
      <c r="AU3436" s="466"/>
      <c r="AV3436" s="466"/>
      <c r="AW3436" s="466"/>
      <c r="AX3436" s="466"/>
      <c r="AY3436" s="466"/>
      <c r="AZ3436" s="466"/>
      <c r="BA3436" s="466"/>
      <c r="BB3436" s="466"/>
      <c r="BC3436" s="466"/>
      <c r="BD3436" s="466"/>
      <c r="BE3436" s="467"/>
      <c r="BF3436" s="467"/>
      <c r="BG3436" s="466"/>
      <c r="BH3436" s="466"/>
      <c r="BI3436" s="467"/>
      <c r="BJ3436" s="467"/>
      <c r="BK3436" s="467"/>
      <c r="BL3436" s="467"/>
      <c r="BM3436" s="467"/>
      <c r="BN3436" s="467"/>
      <c r="BO3436" s="467"/>
      <c r="BP3436" s="467"/>
      <c r="BQ3436" s="467"/>
      <c r="BR3436" s="467"/>
      <c r="BS3436" s="467"/>
      <c r="BT3436" s="467"/>
      <c r="BU3436" s="467"/>
      <c r="BV3436" s="467"/>
      <c r="BW3436" s="467"/>
      <c r="BX3436" s="769"/>
      <c r="BY3436" s="769"/>
      <c r="BZ3436" s="769"/>
      <c r="CA3436" s="769"/>
      <c r="CB3436" s="769"/>
      <c r="CC3436" s="769"/>
      <c r="CD3436" s="769"/>
      <c r="CE3436" s="769"/>
      <c r="CF3436" s="769"/>
      <c r="CG3436" s="73"/>
      <c r="CH3436" s="438"/>
      <c r="CI3436" s="416"/>
      <c r="CJ3436" s="73"/>
      <c r="CK3436" s="650"/>
      <c r="CL3436" s="499"/>
      <c r="CM3436" s="650"/>
      <c r="CR3436" s="416"/>
      <c r="CS3436" s="650"/>
      <c r="CU3436" s="73"/>
      <c r="CV3436" s="73"/>
      <c r="CW3436" s="73"/>
      <c r="CX3436" s="73"/>
      <c r="DA3436" s="650"/>
    </row>
    <row r="3437" spans="1:105" s="45" customFormat="1" x14ac:dyDescent="0.2">
      <c r="A3437" s="650"/>
      <c r="B3437" s="438"/>
      <c r="D3437" s="73"/>
      <c r="E3437" s="650"/>
      <c r="F3437" s="650"/>
      <c r="G3437" s="73"/>
      <c r="I3437" s="111"/>
      <c r="J3437" s="81"/>
      <c r="K3437" s="81"/>
      <c r="L3437" s="499"/>
      <c r="M3437" s="73"/>
      <c r="N3437" s="499"/>
      <c r="O3437" s="73"/>
      <c r="P3437" s="73"/>
      <c r="Q3437" s="73"/>
      <c r="R3437" s="176"/>
      <c r="S3437" s="176"/>
      <c r="T3437" s="176"/>
      <c r="U3437" s="400"/>
      <c r="V3437" s="400"/>
      <c r="W3437" s="732"/>
      <c r="X3437" s="167"/>
      <c r="Y3437" s="509"/>
      <c r="Z3437" s="466"/>
      <c r="AA3437" s="466"/>
      <c r="AB3437" s="466"/>
      <c r="AC3437" s="466"/>
      <c r="AD3437" s="466"/>
      <c r="AE3437" s="466"/>
      <c r="AF3437" s="466"/>
      <c r="AG3437" s="466"/>
      <c r="AH3437" s="466"/>
      <c r="AI3437" s="466"/>
      <c r="AJ3437" s="466"/>
      <c r="AK3437" s="466"/>
      <c r="AL3437" s="466"/>
      <c r="AM3437" s="466"/>
      <c r="AN3437" s="466"/>
      <c r="AO3437" s="466"/>
      <c r="AP3437" s="466"/>
      <c r="AQ3437" s="466"/>
      <c r="AR3437" s="466"/>
      <c r="AS3437" s="466"/>
      <c r="AT3437" s="466"/>
      <c r="AU3437" s="466"/>
      <c r="AV3437" s="466"/>
      <c r="AW3437" s="466"/>
      <c r="AX3437" s="466"/>
      <c r="AY3437" s="466"/>
      <c r="AZ3437" s="466"/>
      <c r="BA3437" s="466"/>
      <c r="BB3437" s="466"/>
      <c r="BC3437" s="466"/>
      <c r="BD3437" s="466"/>
      <c r="BE3437" s="467"/>
      <c r="BF3437" s="467"/>
      <c r="BG3437" s="466"/>
      <c r="BH3437" s="466"/>
      <c r="BI3437" s="467"/>
      <c r="BJ3437" s="467"/>
      <c r="BK3437" s="467"/>
      <c r="BL3437" s="467"/>
      <c r="BM3437" s="467"/>
      <c r="BN3437" s="467"/>
      <c r="BO3437" s="467"/>
      <c r="BP3437" s="467"/>
      <c r="BQ3437" s="467"/>
      <c r="BR3437" s="467"/>
      <c r="BS3437" s="467"/>
      <c r="BT3437" s="467"/>
      <c r="BU3437" s="467"/>
      <c r="BV3437" s="467"/>
      <c r="BW3437" s="467"/>
      <c r="BX3437" s="769"/>
      <c r="BY3437" s="769"/>
      <c r="BZ3437" s="769"/>
      <c r="CA3437" s="769"/>
      <c r="CB3437" s="769"/>
      <c r="CC3437" s="769"/>
      <c r="CD3437" s="769"/>
      <c r="CE3437" s="769"/>
      <c r="CF3437" s="769"/>
      <c r="CG3437" s="73"/>
      <c r="CH3437" s="438"/>
      <c r="CI3437" s="416"/>
      <c r="CJ3437" s="73"/>
      <c r="CK3437" s="650"/>
      <c r="CL3437" s="499"/>
      <c r="CM3437" s="650"/>
      <c r="CR3437" s="416"/>
      <c r="CS3437" s="650"/>
      <c r="CU3437" s="73"/>
      <c r="CV3437" s="73"/>
      <c r="CW3437" s="73"/>
      <c r="CX3437" s="73"/>
      <c r="DA3437" s="650"/>
    </row>
    <row r="3438" spans="1:105" s="45" customFormat="1" x14ac:dyDescent="0.2">
      <c r="A3438" s="650"/>
      <c r="B3438" s="438"/>
      <c r="D3438" s="73"/>
      <c r="E3438" s="650"/>
      <c r="F3438" s="650"/>
      <c r="G3438" s="73"/>
      <c r="I3438" s="111"/>
      <c r="J3438" s="81"/>
      <c r="K3438" s="81"/>
      <c r="L3438" s="499"/>
      <c r="M3438" s="73"/>
      <c r="N3438" s="499"/>
      <c r="O3438" s="73"/>
      <c r="P3438" s="73"/>
      <c r="Q3438" s="73"/>
      <c r="R3438" s="176"/>
      <c r="S3438" s="176"/>
      <c r="T3438" s="176"/>
      <c r="U3438" s="400"/>
      <c r="V3438" s="400"/>
      <c r="W3438" s="732"/>
      <c r="X3438" s="167"/>
      <c r="Y3438" s="509"/>
      <c r="Z3438" s="466"/>
      <c r="AA3438" s="466"/>
      <c r="AB3438" s="466"/>
      <c r="AC3438" s="466"/>
      <c r="AD3438" s="466"/>
      <c r="AE3438" s="466"/>
      <c r="AF3438" s="466"/>
      <c r="AG3438" s="466"/>
      <c r="AH3438" s="466"/>
      <c r="AI3438" s="466"/>
      <c r="AJ3438" s="466"/>
      <c r="AK3438" s="466"/>
      <c r="AL3438" s="466"/>
      <c r="AM3438" s="466"/>
      <c r="AN3438" s="466"/>
      <c r="AO3438" s="466"/>
      <c r="AP3438" s="466"/>
      <c r="AQ3438" s="466"/>
      <c r="AR3438" s="466"/>
      <c r="AS3438" s="466"/>
      <c r="AT3438" s="466"/>
      <c r="AU3438" s="466"/>
      <c r="AV3438" s="466"/>
      <c r="AW3438" s="466"/>
      <c r="AX3438" s="466"/>
      <c r="AY3438" s="466"/>
      <c r="AZ3438" s="466"/>
      <c r="BA3438" s="466"/>
      <c r="BB3438" s="466"/>
      <c r="BC3438" s="466"/>
      <c r="BD3438" s="466"/>
      <c r="BE3438" s="467"/>
      <c r="BF3438" s="467"/>
      <c r="BG3438" s="466"/>
      <c r="BH3438" s="466"/>
      <c r="BI3438" s="467"/>
      <c r="BJ3438" s="467"/>
      <c r="BK3438" s="467"/>
      <c r="BL3438" s="467"/>
      <c r="BM3438" s="467"/>
      <c r="BN3438" s="467"/>
      <c r="BO3438" s="467"/>
      <c r="BP3438" s="467"/>
      <c r="BQ3438" s="467"/>
      <c r="BR3438" s="467"/>
      <c r="BS3438" s="467"/>
      <c r="BT3438" s="467"/>
      <c r="BU3438" s="467"/>
      <c r="BV3438" s="467"/>
      <c r="BW3438" s="467"/>
      <c r="BX3438" s="769"/>
      <c r="BY3438" s="769"/>
      <c r="BZ3438" s="769"/>
      <c r="CA3438" s="769"/>
      <c r="CB3438" s="769"/>
      <c r="CC3438" s="769"/>
      <c r="CD3438" s="769"/>
      <c r="CE3438" s="769"/>
      <c r="CF3438" s="769"/>
      <c r="CG3438" s="73"/>
      <c r="CH3438" s="438"/>
      <c r="CI3438" s="416"/>
      <c r="CJ3438" s="73"/>
      <c r="CK3438" s="650"/>
      <c r="CL3438" s="499"/>
      <c r="CM3438" s="650"/>
      <c r="CR3438" s="416"/>
      <c r="CS3438" s="650"/>
      <c r="CU3438" s="73"/>
      <c r="CV3438" s="73"/>
      <c r="CW3438" s="73"/>
      <c r="CX3438" s="73"/>
      <c r="DA3438" s="650"/>
    </row>
    <row r="3439" spans="1:105" s="45" customFormat="1" x14ac:dyDescent="0.2">
      <c r="A3439" s="650"/>
      <c r="B3439" s="438"/>
      <c r="D3439" s="73"/>
      <c r="E3439" s="650"/>
      <c r="F3439" s="650"/>
      <c r="G3439" s="73"/>
      <c r="I3439" s="111"/>
      <c r="J3439" s="81"/>
      <c r="K3439" s="81"/>
      <c r="L3439" s="499"/>
      <c r="M3439" s="73"/>
      <c r="N3439" s="499"/>
      <c r="O3439" s="73"/>
      <c r="P3439" s="73"/>
      <c r="Q3439" s="73"/>
      <c r="R3439" s="176"/>
      <c r="S3439" s="176"/>
      <c r="T3439" s="176"/>
      <c r="U3439" s="400"/>
      <c r="V3439" s="400"/>
      <c r="W3439" s="732"/>
      <c r="X3439" s="167"/>
      <c r="Y3439" s="509"/>
      <c r="Z3439" s="466"/>
      <c r="AA3439" s="466"/>
      <c r="AB3439" s="466"/>
      <c r="AC3439" s="466"/>
      <c r="AD3439" s="466"/>
      <c r="AE3439" s="466"/>
      <c r="AF3439" s="466"/>
      <c r="AG3439" s="466"/>
      <c r="AH3439" s="466"/>
      <c r="AI3439" s="466"/>
      <c r="AJ3439" s="466"/>
      <c r="AK3439" s="466"/>
      <c r="AL3439" s="466"/>
      <c r="AM3439" s="466"/>
      <c r="AN3439" s="466"/>
      <c r="AO3439" s="466"/>
      <c r="AP3439" s="466"/>
      <c r="AQ3439" s="466"/>
      <c r="AR3439" s="466"/>
      <c r="AS3439" s="466"/>
      <c r="AT3439" s="466"/>
      <c r="AU3439" s="466"/>
      <c r="AV3439" s="466"/>
      <c r="AW3439" s="466"/>
      <c r="AX3439" s="466"/>
      <c r="AY3439" s="466"/>
      <c r="AZ3439" s="466"/>
      <c r="BA3439" s="466"/>
      <c r="BB3439" s="466"/>
      <c r="BC3439" s="466"/>
      <c r="BD3439" s="466"/>
      <c r="BE3439" s="467"/>
      <c r="BF3439" s="467"/>
      <c r="BG3439" s="466"/>
      <c r="BH3439" s="466"/>
      <c r="BI3439" s="467"/>
      <c r="BJ3439" s="467"/>
      <c r="BK3439" s="467"/>
      <c r="BL3439" s="467"/>
      <c r="BM3439" s="467"/>
      <c r="BN3439" s="467"/>
      <c r="BO3439" s="467"/>
      <c r="BP3439" s="467"/>
      <c r="BQ3439" s="467"/>
      <c r="BR3439" s="467"/>
      <c r="BS3439" s="467"/>
      <c r="BT3439" s="467"/>
      <c r="BU3439" s="467"/>
      <c r="BV3439" s="467"/>
      <c r="BW3439" s="467"/>
      <c r="BX3439" s="769"/>
      <c r="BY3439" s="769"/>
      <c r="BZ3439" s="769"/>
      <c r="CA3439" s="769"/>
      <c r="CB3439" s="769"/>
      <c r="CC3439" s="769"/>
      <c r="CD3439" s="769"/>
      <c r="CE3439" s="769"/>
      <c r="CF3439" s="769"/>
      <c r="CG3439" s="73"/>
      <c r="CH3439" s="438"/>
      <c r="CI3439" s="416"/>
      <c r="CJ3439" s="73"/>
      <c r="CK3439" s="650"/>
      <c r="CL3439" s="499"/>
      <c r="CM3439" s="650"/>
      <c r="CR3439" s="416"/>
      <c r="CS3439" s="650"/>
      <c r="CU3439" s="73"/>
      <c r="CV3439" s="73"/>
      <c r="CW3439" s="73"/>
      <c r="CX3439" s="73"/>
      <c r="DA3439" s="650"/>
    </row>
    <row r="3440" spans="1:105" s="45" customFormat="1" x14ac:dyDescent="0.2">
      <c r="A3440" s="650"/>
      <c r="B3440" s="438"/>
      <c r="D3440" s="73"/>
      <c r="E3440" s="650"/>
      <c r="F3440" s="650"/>
      <c r="G3440" s="73"/>
      <c r="I3440" s="111"/>
      <c r="J3440" s="81"/>
      <c r="K3440" s="81"/>
      <c r="L3440" s="499"/>
      <c r="M3440" s="73"/>
      <c r="N3440" s="499"/>
      <c r="O3440" s="73"/>
      <c r="P3440" s="73"/>
      <c r="Q3440" s="73"/>
      <c r="R3440" s="176"/>
      <c r="S3440" s="176"/>
      <c r="T3440" s="176"/>
      <c r="U3440" s="400"/>
      <c r="V3440" s="400"/>
      <c r="W3440" s="732"/>
      <c r="X3440" s="167"/>
      <c r="Y3440" s="509"/>
      <c r="Z3440" s="466"/>
      <c r="AA3440" s="466"/>
      <c r="AB3440" s="466"/>
      <c r="AC3440" s="466"/>
      <c r="AD3440" s="466"/>
      <c r="AE3440" s="466"/>
      <c r="AF3440" s="466"/>
      <c r="AG3440" s="466"/>
      <c r="AH3440" s="466"/>
      <c r="AI3440" s="466"/>
      <c r="AJ3440" s="466"/>
      <c r="AK3440" s="466"/>
      <c r="AL3440" s="466"/>
      <c r="AM3440" s="466"/>
      <c r="AN3440" s="466"/>
      <c r="AO3440" s="466"/>
      <c r="AP3440" s="466"/>
      <c r="AQ3440" s="466"/>
      <c r="AR3440" s="466"/>
      <c r="AS3440" s="466"/>
      <c r="AT3440" s="466"/>
      <c r="AU3440" s="466"/>
      <c r="AV3440" s="466"/>
      <c r="AW3440" s="466"/>
      <c r="AX3440" s="466"/>
      <c r="AY3440" s="466"/>
      <c r="AZ3440" s="466"/>
      <c r="BA3440" s="466"/>
      <c r="BB3440" s="466"/>
      <c r="BC3440" s="466"/>
      <c r="BD3440" s="466"/>
      <c r="BE3440" s="467"/>
      <c r="BF3440" s="467"/>
      <c r="BG3440" s="466"/>
      <c r="BH3440" s="466"/>
      <c r="BI3440" s="467"/>
      <c r="BJ3440" s="467"/>
      <c r="BK3440" s="467"/>
      <c r="BL3440" s="467"/>
      <c r="BM3440" s="467"/>
      <c r="BN3440" s="467"/>
      <c r="BO3440" s="467"/>
      <c r="BP3440" s="467"/>
      <c r="BQ3440" s="467"/>
      <c r="BR3440" s="467"/>
      <c r="BS3440" s="467"/>
      <c r="BT3440" s="467"/>
      <c r="BU3440" s="467"/>
      <c r="BV3440" s="467"/>
      <c r="BW3440" s="467"/>
      <c r="BX3440" s="769"/>
      <c r="BY3440" s="769"/>
      <c r="BZ3440" s="769"/>
      <c r="CA3440" s="769"/>
      <c r="CB3440" s="769"/>
      <c r="CC3440" s="769"/>
      <c r="CD3440" s="769"/>
      <c r="CE3440" s="769"/>
      <c r="CF3440" s="769"/>
      <c r="CG3440" s="73"/>
      <c r="CH3440" s="438"/>
      <c r="CI3440" s="416"/>
      <c r="CJ3440" s="73"/>
      <c r="CK3440" s="650"/>
      <c r="CL3440" s="499"/>
      <c r="CM3440" s="650"/>
      <c r="CR3440" s="416"/>
      <c r="CS3440" s="650"/>
      <c r="CU3440" s="73"/>
      <c r="CV3440" s="73"/>
      <c r="CW3440" s="73"/>
      <c r="CX3440" s="73"/>
      <c r="DA3440" s="650"/>
    </row>
    <row r="3441" spans="1:105" s="45" customFormat="1" x14ac:dyDescent="0.2">
      <c r="A3441" s="650"/>
      <c r="B3441" s="438"/>
      <c r="D3441" s="73"/>
      <c r="E3441" s="650"/>
      <c r="F3441" s="650"/>
      <c r="G3441" s="73"/>
      <c r="I3441" s="111"/>
      <c r="J3441" s="81"/>
      <c r="K3441" s="81"/>
      <c r="L3441" s="499"/>
      <c r="M3441" s="73"/>
      <c r="N3441" s="499"/>
      <c r="O3441" s="73"/>
      <c r="P3441" s="73"/>
      <c r="Q3441" s="73"/>
      <c r="R3441" s="176"/>
      <c r="S3441" s="176"/>
      <c r="T3441" s="176"/>
      <c r="U3441" s="400"/>
      <c r="V3441" s="400"/>
      <c r="W3441" s="732"/>
      <c r="X3441" s="167"/>
      <c r="Y3441" s="509"/>
      <c r="Z3441" s="466"/>
      <c r="AA3441" s="466"/>
      <c r="AB3441" s="466"/>
      <c r="AC3441" s="466"/>
      <c r="AD3441" s="466"/>
      <c r="AE3441" s="466"/>
      <c r="AF3441" s="466"/>
      <c r="AG3441" s="466"/>
      <c r="AH3441" s="466"/>
      <c r="AI3441" s="466"/>
      <c r="AJ3441" s="466"/>
      <c r="AK3441" s="466"/>
      <c r="AL3441" s="466"/>
      <c r="AM3441" s="466"/>
      <c r="AN3441" s="466"/>
      <c r="AO3441" s="466"/>
      <c r="AP3441" s="466"/>
      <c r="AQ3441" s="466"/>
      <c r="AR3441" s="466"/>
      <c r="AS3441" s="466"/>
      <c r="AT3441" s="466"/>
      <c r="AU3441" s="466"/>
      <c r="AV3441" s="466"/>
      <c r="AW3441" s="466"/>
      <c r="AX3441" s="466"/>
      <c r="AY3441" s="466"/>
      <c r="AZ3441" s="466"/>
      <c r="BA3441" s="466"/>
      <c r="BB3441" s="466"/>
      <c r="BC3441" s="466"/>
      <c r="BD3441" s="466"/>
      <c r="BE3441" s="467"/>
      <c r="BF3441" s="467"/>
      <c r="BG3441" s="466"/>
      <c r="BH3441" s="466"/>
      <c r="BI3441" s="467"/>
      <c r="BJ3441" s="467"/>
      <c r="BK3441" s="467"/>
      <c r="BL3441" s="467"/>
      <c r="BM3441" s="467"/>
      <c r="BN3441" s="467"/>
      <c r="BO3441" s="467"/>
      <c r="BP3441" s="467"/>
      <c r="BQ3441" s="467"/>
      <c r="BR3441" s="467"/>
      <c r="BS3441" s="467"/>
      <c r="BT3441" s="467"/>
      <c r="BU3441" s="467"/>
      <c r="BV3441" s="467"/>
      <c r="BW3441" s="467"/>
      <c r="BX3441" s="769"/>
      <c r="BY3441" s="769"/>
      <c r="BZ3441" s="769"/>
      <c r="CA3441" s="769"/>
      <c r="CB3441" s="769"/>
      <c r="CC3441" s="769"/>
      <c r="CD3441" s="769"/>
      <c r="CE3441" s="769"/>
      <c r="CF3441" s="769"/>
      <c r="CG3441" s="73"/>
      <c r="CH3441" s="438"/>
      <c r="CI3441" s="416"/>
      <c r="CJ3441" s="73"/>
      <c r="CK3441" s="650"/>
      <c r="CL3441" s="499"/>
      <c r="CM3441" s="650"/>
      <c r="CR3441" s="416"/>
      <c r="CS3441" s="650"/>
      <c r="CU3441" s="73"/>
      <c r="CV3441" s="73"/>
      <c r="CW3441" s="73"/>
      <c r="CX3441" s="73"/>
      <c r="DA3441" s="650"/>
    </row>
    <row r="3442" spans="1:105" s="45" customFormat="1" x14ac:dyDescent="0.2">
      <c r="A3442" s="650"/>
      <c r="B3442" s="438"/>
      <c r="D3442" s="73"/>
      <c r="E3442" s="650"/>
      <c r="F3442" s="650"/>
      <c r="G3442" s="73"/>
      <c r="I3442" s="111"/>
      <c r="J3442" s="81"/>
      <c r="K3442" s="81"/>
      <c r="L3442" s="499"/>
      <c r="M3442" s="73"/>
      <c r="N3442" s="499"/>
      <c r="O3442" s="73"/>
      <c r="P3442" s="73"/>
      <c r="Q3442" s="73"/>
      <c r="R3442" s="176"/>
      <c r="S3442" s="176"/>
      <c r="T3442" s="176"/>
      <c r="U3442" s="400"/>
      <c r="V3442" s="400"/>
      <c r="W3442" s="732"/>
      <c r="X3442" s="167"/>
      <c r="Y3442" s="509"/>
      <c r="Z3442" s="466"/>
      <c r="AA3442" s="466"/>
      <c r="AB3442" s="466"/>
      <c r="AC3442" s="466"/>
      <c r="AD3442" s="466"/>
      <c r="AE3442" s="466"/>
      <c r="AF3442" s="466"/>
      <c r="AG3442" s="466"/>
      <c r="AH3442" s="466"/>
      <c r="AI3442" s="466"/>
      <c r="AJ3442" s="466"/>
      <c r="AK3442" s="466"/>
      <c r="AL3442" s="466"/>
      <c r="AM3442" s="466"/>
      <c r="AN3442" s="466"/>
      <c r="AO3442" s="466"/>
      <c r="AP3442" s="466"/>
      <c r="AQ3442" s="466"/>
      <c r="AR3442" s="466"/>
      <c r="AS3442" s="466"/>
      <c r="AT3442" s="466"/>
      <c r="AU3442" s="466"/>
      <c r="AV3442" s="466"/>
      <c r="AW3442" s="466"/>
      <c r="AX3442" s="466"/>
      <c r="AY3442" s="466"/>
      <c r="AZ3442" s="466"/>
      <c r="BA3442" s="466"/>
      <c r="BB3442" s="466"/>
      <c r="BC3442" s="466"/>
      <c r="BD3442" s="466"/>
      <c r="BE3442" s="467"/>
      <c r="BF3442" s="467"/>
      <c r="BG3442" s="466"/>
      <c r="BH3442" s="466"/>
      <c r="BI3442" s="467"/>
      <c r="BJ3442" s="467"/>
      <c r="BK3442" s="467"/>
      <c r="BL3442" s="467"/>
      <c r="BM3442" s="467"/>
      <c r="BN3442" s="467"/>
      <c r="BO3442" s="467"/>
      <c r="BP3442" s="467"/>
      <c r="BQ3442" s="467"/>
      <c r="BR3442" s="467"/>
      <c r="BS3442" s="467"/>
      <c r="BT3442" s="467"/>
      <c r="BU3442" s="467"/>
      <c r="BV3442" s="467"/>
      <c r="BW3442" s="467"/>
      <c r="BX3442" s="769"/>
      <c r="BY3442" s="769"/>
      <c r="BZ3442" s="769"/>
      <c r="CA3442" s="769"/>
      <c r="CB3442" s="769"/>
      <c r="CC3442" s="769"/>
      <c r="CD3442" s="769"/>
      <c r="CE3442" s="769"/>
      <c r="CF3442" s="769"/>
      <c r="CG3442" s="73"/>
      <c r="CH3442" s="438"/>
      <c r="CI3442" s="416"/>
      <c r="CJ3442" s="73"/>
      <c r="CK3442" s="650"/>
      <c r="CL3442" s="499"/>
      <c r="CM3442" s="650"/>
      <c r="CR3442" s="416"/>
      <c r="CS3442" s="650"/>
      <c r="CU3442" s="73"/>
      <c r="CV3442" s="73"/>
      <c r="CW3442" s="73"/>
      <c r="CX3442" s="73"/>
      <c r="DA3442" s="650"/>
    </row>
    <row r="3443" spans="1:105" s="45" customFormat="1" x14ac:dyDescent="0.2">
      <c r="A3443" s="650"/>
      <c r="B3443" s="438"/>
      <c r="D3443" s="73"/>
      <c r="E3443" s="650"/>
      <c r="F3443" s="650"/>
      <c r="G3443" s="73"/>
      <c r="I3443" s="111"/>
      <c r="J3443" s="81"/>
      <c r="K3443" s="81"/>
      <c r="L3443" s="499"/>
      <c r="M3443" s="73"/>
      <c r="N3443" s="499"/>
      <c r="O3443" s="73"/>
      <c r="P3443" s="73"/>
      <c r="Q3443" s="73"/>
      <c r="R3443" s="176"/>
      <c r="S3443" s="176"/>
      <c r="T3443" s="176"/>
      <c r="U3443" s="400"/>
      <c r="V3443" s="400"/>
      <c r="W3443" s="732"/>
      <c r="X3443" s="167"/>
      <c r="Y3443" s="509"/>
      <c r="Z3443" s="466"/>
      <c r="AA3443" s="466"/>
      <c r="AB3443" s="466"/>
      <c r="AC3443" s="466"/>
      <c r="AD3443" s="466"/>
      <c r="AE3443" s="466"/>
      <c r="AF3443" s="466"/>
      <c r="AG3443" s="466"/>
      <c r="AH3443" s="466"/>
      <c r="AI3443" s="466"/>
      <c r="AJ3443" s="466"/>
      <c r="AK3443" s="466"/>
      <c r="AL3443" s="466"/>
      <c r="AM3443" s="466"/>
      <c r="AN3443" s="466"/>
      <c r="AO3443" s="466"/>
      <c r="AP3443" s="466"/>
      <c r="AQ3443" s="466"/>
      <c r="AR3443" s="466"/>
      <c r="AS3443" s="466"/>
      <c r="AT3443" s="466"/>
      <c r="AU3443" s="466"/>
      <c r="AV3443" s="466"/>
      <c r="AW3443" s="466"/>
      <c r="AX3443" s="466"/>
      <c r="AY3443" s="466"/>
      <c r="AZ3443" s="466"/>
      <c r="BA3443" s="466"/>
      <c r="BB3443" s="466"/>
      <c r="BC3443" s="466"/>
      <c r="BD3443" s="466"/>
      <c r="BE3443" s="467"/>
      <c r="BF3443" s="467"/>
      <c r="BG3443" s="466"/>
      <c r="BH3443" s="466"/>
      <c r="BI3443" s="467"/>
      <c r="BJ3443" s="467"/>
      <c r="BK3443" s="467"/>
      <c r="BL3443" s="467"/>
      <c r="BM3443" s="467"/>
      <c r="BN3443" s="467"/>
      <c r="BO3443" s="467"/>
      <c r="BP3443" s="467"/>
      <c r="BQ3443" s="467"/>
      <c r="BR3443" s="467"/>
      <c r="BS3443" s="467"/>
      <c r="BT3443" s="467"/>
      <c r="BU3443" s="467"/>
      <c r="BV3443" s="467"/>
      <c r="BW3443" s="467"/>
      <c r="BX3443" s="769"/>
      <c r="BY3443" s="769"/>
      <c r="BZ3443" s="769"/>
      <c r="CA3443" s="769"/>
      <c r="CB3443" s="769"/>
      <c r="CC3443" s="769"/>
      <c r="CD3443" s="769"/>
      <c r="CE3443" s="769"/>
      <c r="CF3443" s="769"/>
      <c r="CG3443" s="73"/>
      <c r="CH3443" s="438"/>
      <c r="CI3443" s="416"/>
      <c r="CJ3443" s="73"/>
      <c r="CK3443" s="650"/>
      <c r="CL3443" s="499"/>
      <c r="CM3443" s="650"/>
      <c r="CR3443" s="416"/>
      <c r="CS3443" s="650"/>
      <c r="CU3443" s="73"/>
      <c r="CV3443" s="73"/>
      <c r="CW3443" s="73"/>
      <c r="CX3443" s="73"/>
      <c r="DA3443" s="650"/>
    </row>
    <row r="3444" spans="1:105" s="45" customFormat="1" x14ac:dyDescent="0.2">
      <c r="A3444" s="650"/>
      <c r="B3444" s="438"/>
      <c r="D3444" s="73"/>
      <c r="E3444" s="650"/>
      <c r="F3444" s="650"/>
      <c r="G3444" s="73"/>
      <c r="I3444" s="111"/>
      <c r="J3444" s="81"/>
      <c r="K3444" s="81"/>
      <c r="L3444" s="499"/>
      <c r="M3444" s="73"/>
      <c r="N3444" s="499"/>
      <c r="O3444" s="73"/>
      <c r="P3444" s="73"/>
      <c r="Q3444" s="73"/>
      <c r="R3444" s="176"/>
      <c r="S3444" s="176"/>
      <c r="T3444" s="176"/>
      <c r="U3444" s="400"/>
      <c r="V3444" s="400"/>
      <c r="W3444" s="732"/>
      <c r="X3444" s="167"/>
      <c r="Y3444" s="509"/>
      <c r="Z3444" s="466"/>
      <c r="AA3444" s="466"/>
      <c r="AB3444" s="466"/>
      <c r="AC3444" s="466"/>
      <c r="AD3444" s="466"/>
      <c r="AE3444" s="466"/>
      <c r="AF3444" s="466"/>
      <c r="AG3444" s="466"/>
      <c r="AH3444" s="466"/>
      <c r="AI3444" s="466"/>
      <c r="AJ3444" s="466"/>
      <c r="AK3444" s="466"/>
      <c r="AL3444" s="466"/>
      <c r="AM3444" s="466"/>
      <c r="AN3444" s="466"/>
      <c r="AO3444" s="466"/>
      <c r="AP3444" s="466"/>
      <c r="AQ3444" s="466"/>
      <c r="AR3444" s="466"/>
      <c r="AS3444" s="466"/>
      <c r="AT3444" s="466"/>
      <c r="AU3444" s="466"/>
      <c r="AV3444" s="466"/>
      <c r="AW3444" s="466"/>
      <c r="AX3444" s="466"/>
      <c r="AY3444" s="466"/>
      <c r="AZ3444" s="466"/>
      <c r="BA3444" s="466"/>
      <c r="BB3444" s="466"/>
      <c r="BC3444" s="466"/>
      <c r="BD3444" s="466"/>
      <c r="BE3444" s="467"/>
      <c r="BF3444" s="467"/>
      <c r="BG3444" s="466"/>
      <c r="BH3444" s="466"/>
      <c r="BI3444" s="467"/>
      <c r="BJ3444" s="467"/>
      <c r="BK3444" s="467"/>
      <c r="BL3444" s="467"/>
      <c r="BM3444" s="467"/>
      <c r="BN3444" s="467"/>
      <c r="BO3444" s="467"/>
      <c r="BP3444" s="467"/>
      <c r="BQ3444" s="467"/>
      <c r="BR3444" s="467"/>
      <c r="BS3444" s="467"/>
      <c r="BT3444" s="467"/>
      <c r="BU3444" s="467"/>
      <c r="BV3444" s="467"/>
      <c r="BW3444" s="467"/>
      <c r="BX3444" s="769"/>
      <c r="BY3444" s="769"/>
      <c r="BZ3444" s="769"/>
      <c r="CA3444" s="769"/>
      <c r="CB3444" s="769"/>
      <c r="CC3444" s="769"/>
      <c r="CD3444" s="769"/>
      <c r="CE3444" s="769"/>
      <c r="CF3444" s="769"/>
      <c r="CG3444" s="73"/>
      <c r="CH3444" s="438"/>
      <c r="CI3444" s="416"/>
      <c r="CJ3444" s="73"/>
      <c r="CK3444" s="650"/>
      <c r="CL3444" s="499"/>
      <c r="CM3444" s="650"/>
      <c r="CR3444" s="416"/>
      <c r="CS3444" s="650"/>
      <c r="CU3444" s="73"/>
      <c r="CV3444" s="73"/>
      <c r="CW3444" s="73"/>
      <c r="CX3444" s="73"/>
      <c r="DA3444" s="650"/>
    </row>
    <row r="3445" spans="1:105" s="45" customFormat="1" x14ac:dyDescent="0.2">
      <c r="A3445" s="650"/>
      <c r="B3445" s="438"/>
      <c r="D3445" s="73"/>
      <c r="E3445" s="650"/>
      <c r="F3445" s="650"/>
      <c r="G3445" s="73"/>
      <c r="I3445" s="111"/>
      <c r="J3445" s="81"/>
      <c r="K3445" s="81"/>
      <c r="L3445" s="499"/>
      <c r="M3445" s="73"/>
      <c r="N3445" s="499"/>
      <c r="O3445" s="73"/>
      <c r="P3445" s="73"/>
      <c r="Q3445" s="73"/>
      <c r="R3445" s="176"/>
      <c r="S3445" s="176"/>
      <c r="T3445" s="176"/>
      <c r="U3445" s="400"/>
      <c r="V3445" s="400"/>
      <c r="W3445" s="732"/>
      <c r="X3445" s="167"/>
      <c r="Y3445" s="509"/>
      <c r="Z3445" s="466"/>
      <c r="AA3445" s="466"/>
      <c r="AB3445" s="466"/>
      <c r="AC3445" s="466"/>
      <c r="AD3445" s="466"/>
      <c r="AE3445" s="466"/>
      <c r="AF3445" s="466"/>
      <c r="AG3445" s="466"/>
      <c r="AH3445" s="466"/>
      <c r="AI3445" s="466"/>
      <c r="AJ3445" s="466"/>
      <c r="AK3445" s="466"/>
      <c r="AL3445" s="466"/>
      <c r="AM3445" s="466"/>
      <c r="AN3445" s="466"/>
      <c r="AO3445" s="466"/>
      <c r="AP3445" s="466"/>
      <c r="AQ3445" s="466"/>
      <c r="AR3445" s="466"/>
      <c r="AS3445" s="466"/>
      <c r="AT3445" s="466"/>
      <c r="AU3445" s="466"/>
      <c r="AV3445" s="466"/>
      <c r="AW3445" s="466"/>
      <c r="AX3445" s="466"/>
      <c r="AY3445" s="466"/>
      <c r="AZ3445" s="466"/>
      <c r="BA3445" s="466"/>
      <c r="BB3445" s="466"/>
      <c r="BC3445" s="466"/>
      <c r="BD3445" s="466"/>
      <c r="BE3445" s="467"/>
      <c r="BF3445" s="467"/>
      <c r="BG3445" s="466"/>
      <c r="BH3445" s="466"/>
      <c r="BI3445" s="467"/>
      <c r="BJ3445" s="467"/>
      <c r="BK3445" s="467"/>
      <c r="BL3445" s="467"/>
      <c r="BM3445" s="467"/>
      <c r="BN3445" s="467"/>
      <c r="BO3445" s="467"/>
      <c r="BP3445" s="467"/>
      <c r="BQ3445" s="467"/>
      <c r="BR3445" s="467"/>
      <c r="BS3445" s="467"/>
      <c r="BT3445" s="467"/>
      <c r="BU3445" s="467"/>
      <c r="BV3445" s="467"/>
      <c r="BW3445" s="467"/>
      <c r="BX3445" s="769"/>
      <c r="BY3445" s="769"/>
      <c r="BZ3445" s="769"/>
      <c r="CA3445" s="769"/>
      <c r="CB3445" s="769"/>
      <c r="CC3445" s="769"/>
      <c r="CD3445" s="769"/>
      <c r="CE3445" s="769"/>
      <c r="CF3445" s="769"/>
      <c r="CG3445" s="73"/>
      <c r="CH3445" s="438"/>
      <c r="CI3445" s="416"/>
      <c r="CJ3445" s="73"/>
      <c r="CK3445" s="650"/>
      <c r="CL3445" s="499"/>
      <c r="CM3445" s="650"/>
      <c r="CR3445" s="416"/>
      <c r="CS3445" s="650"/>
      <c r="CU3445" s="73"/>
      <c r="CV3445" s="73"/>
      <c r="CW3445" s="73"/>
      <c r="CX3445" s="73"/>
      <c r="DA3445" s="650"/>
    </row>
    <row r="3446" spans="1:105" s="45" customFormat="1" x14ac:dyDescent="0.2">
      <c r="A3446" s="650"/>
      <c r="B3446" s="438"/>
      <c r="D3446" s="73"/>
      <c r="E3446" s="650"/>
      <c r="F3446" s="650"/>
      <c r="G3446" s="73"/>
      <c r="I3446" s="111"/>
      <c r="J3446" s="81"/>
      <c r="K3446" s="81"/>
      <c r="L3446" s="499"/>
      <c r="M3446" s="73"/>
      <c r="N3446" s="499"/>
      <c r="O3446" s="73"/>
      <c r="P3446" s="73"/>
      <c r="Q3446" s="73"/>
      <c r="R3446" s="176"/>
      <c r="S3446" s="176"/>
      <c r="T3446" s="176"/>
      <c r="U3446" s="400"/>
      <c r="V3446" s="400"/>
      <c r="W3446" s="732"/>
      <c r="X3446" s="167"/>
      <c r="Y3446" s="509"/>
      <c r="Z3446" s="466"/>
      <c r="AA3446" s="466"/>
      <c r="AB3446" s="466"/>
      <c r="AC3446" s="466"/>
      <c r="AD3446" s="466"/>
      <c r="AE3446" s="466"/>
      <c r="AF3446" s="466"/>
      <c r="AG3446" s="466"/>
      <c r="AH3446" s="466"/>
      <c r="AI3446" s="466"/>
      <c r="AJ3446" s="466"/>
      <c r="AK3446" s="466"/>
      <c r="AL3446" s="466"/>
      <c r="AM3446" s="466"/>
      <c r="AN3446" s="466"/>
      <c r="AO3446" s="466"/>
      <c r="AP3446" s="466"/>
      <c r="AQ3446" s="466"/>
      <c r="AR3446" s="466"/>
      <c r="AS3446" s="466"/>
      <c r="AT3446" s="466"/>
      <c r="AU3446" s="466"/>
      <c r="AV3446" s="466"/>
      <c r="AW3446" s="466"/>
      <c r="AX3446" s="466"/>
      <c r="AY3446" s="466"/>
      <c r="AZ3446" s="466"/>
      <c r="BA3446" s="466"/>
      <c r="BB3446" s="466"/>
      <c r="BC3446" s="466"/>
      <c r="BD3446" s="466"/>
      <c r="BE3446" s="467"/>
      <c r="BF3446" s="467"/>
      <c r="BG3446" s="466"/>
      <c r="BH3446" s="466"/>
      <c r="BI3446" s="467"/>
      <c r="BJ3446" s="467"/>
      <c r="BK3446" s="467"/>
      <c r="BL3446" s="467"/>
      <c r="BM3446" s="467"/>
      <c r="BN3446" s="467"/>
      <c r="BO3446" s="467"/>
      <c r="BP3446" s="467"/>
      <c r="BQ3446" s="467"/>
      <c r="BR3446" s="467"/>
      <c r="BS3446" s="467"/>
      <c r="BT3446" s="467"/>
      <c r="BU3446" s="467"/>
      <c r="BV3446" s="467"/>
      <c r="BW3446" s="467"/>
      <c r="BX3446" s="769"/>
      <c r="BY3446" s="769"/>
      <c r="BZ3446" s="769"/>
      <c r="CA3446" s="769"/>
      <c r="CB3446" s="769"/>
      <c r="CC3446" s="769"/>
      <c r="CD3446" s="769"/>
      <c r="CE3446" s="769"/>
      <c r="CF3446" s="769"/>
      <c r="CG3446" s="73"/>
      <c r="CH3446" s="438"/>
      <c r="CI3446" s="416"/>
      <c r="CJ3446" s="73"/>
      <c r="CK3446" s="650"/>
      <c r="CL3446" s="499"/>
      <c r="CM3446" s="650"/>
      <c r="CR3446" s="416"/>
      <c r="CS3446" s="650"/>
      <c r="CU3446" s="73"/>
      <c r="CV3446" s="73"/>
      <c r="CW3446" s="73"/>
      <c r="CX3446" s="73"/>
      <c r="DA3446" s="650"/>
    </row>
    <row r="3447" spans="1:105" s="45" customFormat="1" x14ac:dyDescent="0.2">
      <c r="A3447" s="650"/>
      <c r="B3447" s="438"/>
      <c r="D3447" s="73"/>
      <c r="E3447" s="650"/>
      <c r="F3447" s="650"/>
      <c r="G3447" s="73"/>
      <c r="I3447" s="111"/>
      <c r="J3447" s="81"/>
      <c r="K3447" s="81"/>
      <c r="L3447" s="499"/>
      <c r="M3447" s="73"/>
      <c r="N3447" s="499"/>
      <c r="O3447" s="73"/>
      <c r="P3447" s="73"/>
      <c r="Q3447" s="73"/>
      <c r="R3447" s="176"/>
      <c r="S3447" s="176"/>
      <c r="T3447" s="176"/>
      <c r="U3447" s="400"/>
      <c r="V3447" s="400"/>
      <c r="W3447" s="732"/>
      <c r="X3447" s="167"/>
      <c r="Y3447" s="509"/>
      <c r="Z3447" s="466"/>
      <c r="AA3447" s="466"/>
      <c r="AB3447" s="466"/>
      <c r="AC3447" s="466"/>
      <c r="AD3447" s="466"/>
      <c r="AE3447" s="466"/>
      <c r="AF3447" s="466"/>
      <c r="AG3447" s="466"/>
      <c r="AH3447" s="466"/>
      <c r="AI3447" s="466"/>
      <c r="AJ3447" s="466"/>
      <c r="AK3447" s="466"/>
      <c r="AL3447" s="466"/>
      <c r="AM3447" s="466"/>
      <c r="AN3447" s="466"/>
      <c r="AO3447" s="466"/>
      <c r="AP3447" s="466"/>
      <c r="AQ3447" s="466"/>
      <c r="AR3447" s="466"/>
      <c r="AS3447" s="466"/>
      <c r="AT3447" s="466"/>
      <c r="AU3447" s="466"/>
      <c r="AV3447" s="466"/>
      <c r="AW3447" s="466"/>
      <c r="AX3447" s="466"/>
      <c r="AY3447" s="466"/>
      <c r="AZ3447" s="466"/>
      <c r="BA3447" s="466"/>
      <c r="BB3447" s="466"/>
      <c r="BC3447" s="466"/>
      <c r="BD3447" s="466"/>
      <c r="BE3447" s="467"/>
      <c r="BF3447" s="467"/>
      <c r="BG3447" s="466"/>
      <c r="BH3447" s="466"/>
      <c r="BI3447" s="467"/>
      <c r="BJ3447" s="467"/>
      <c r="BK3447" s="467"/>
      <c r="BL3447" s="467"/>
      <c r="BM3447" s="467"/>
      <c r="BN3447" s="467"/>
      <c r="BO3447" s="467"/>
      <c r="BP3447" s="467"/>
      <c r="BQ3447" s="467"/>
      <c r="BR3447" s="467"/>
      <c r="BS3447" s="467"/>
      <c r="BT3447" s="467"/>
      <c r="BU3447" s="467"/>
      <c r="BV3447" s="467"/>
      <c r="BW3447" s="467"/>
      <c r="BX3447" s="769"/>
      <c r="BY3447" s="769"/>
      <c r="BZ3447" s="769"/>
      <c r="CA3447" s="769"/>
      <c r="CB3447" s="769"/>
      <c r="CC3447" s="769"/>
      <c r="CD3447" s="769"/>
      <c r="CE3447" s="769"/>
      <c r="CF3447" s="769"/>
      <c r="CG3447" s="73"/>
      <c r="CH3447" s="438"/>
      <c r="CI3447" s="416"/>
      <c r="CJ3447" s="73"/>
      <c r="CK3447" s="650"/>
      <c r="CL3447" s="499"/>
      <c r="CM3447" s="650"/>
      <c r="CR3447" s="416"/>
      <c r="CS3447" s="650"/>
      <c r="CU3447" s="73"/>
      <c r="CV3447" s="73"/>
      <c r="CW3447" s="73"/>
      <c r="CX3447" s="73"/>
      <c r="DA3447" s="650"/>
    </row>
    <row r="3448" spans="1:105" s="45" customFormat="1" x14ac:dyDescent="0.2">
      <c r="A3448" s="650"/>
      <c r="B3448" s="438"/>
      <c r="D3448" s="73"/>
      <c r="E3448" s="650"/>
      <c r="F3448" s="650"/>
      <c r="G3448" s="73"/>
      <c r="I3448" s="111"/>
      <c r="J3448" s="81"/>
      <c r="K3448" s="81"/>
      <c r="L3448" s="499"/>
      <c r="M3448" s="73"/>
      <c r="N3448" s="499"/>
      <c r="O3448" s="73"/>
      <c r="P3448" s="73"/>
      <c r="Q3448" s="73"/>
      <c r="R3448" s="176"/>
      <c r="S3448" s="176"/>
      <c r="T3448" s="176"/>
      <c r="U3448" s="400"/>
      <c r="V3448" s="400"/>
      <c r="W3448" s="732"/>
      <c r="X3448" s="167"/>
      <c r="Y3448" s="509"/>
      <c r="Z3448" s="466"/>
      <c r="AA3448" s="466"/>
      <c r="AB3448" s="466"/>
      <c r="AC3448" s="466"/>
      <c r="AD3448" s="466"/>
      <c r="AE3448" s="466"/>
      <c r="AF3448" s="466"/>
      <c r="AG3448" s="466"/>
      <c r="AH3448" s="466"/>
      <c r="AI3448" s="466"/>
      <c r="AJ3448" s="466"/>
      <c r="AK3448" s="466"/>
      <c r="AL3448" s="466"/>
      <c r="AM3448" s="466"/>
      <c r="AN3448" s="466"/>
      <c r="AO3448" s="466"/>
      <c r="AP3448" s="466"/>
      <c r="AQ3448" s="466"/>
      <c r="AR3448" s="466"/>
      <c r="AS3448" s="466"/>
      <c r="AT3448" s="466"/>
      <c r="AU3448" s="466"/>
      <c r="AV3448" s="466"/>
      <c r="AW3448" s="466"/>
      <c r="AX3448" s="466"/>
      <c r="AY3448" s="466"/>
      <c r="AZ3448" s="466"/>
      <c r="BA3448" s="466"/>
      <c r="BB3448" s="466"/>
      <c r="BC3448" s="466"/>
      <c r="BD3448" s="466"/>
      <c r="BE3448" s="467"/>
      <c r="BF3448" s="467"/>
      <c r="BG3448" s="466"/>
      <c r="BH3448" s="466"/>
      <c r="BI3448" s="467"/>
      <c r="BJ3448" s="467"/>
      <c r="BK3448" s="467"/>
      <c r="BL3448" s="467"/>
      <c r="BM3448" s="467"/>
      <c r="BN3448" s="467"/>
      <c r="BO3448" s="467"/>
      <c r="BP3448" s="467"/>
      <c r="BQ3448" s="467"/>
      <c r="BR3448" s="467"/>
      <c r="BS3448" s="467"/>
      <c r="BT3448" s="467"/>
      <c r="BU3448" s="467"/>
      <c r="BV3448" s="467"/>
      <c r="BW3448" s="467"/>
      <c r="BX3448" s="769"/>
      <c r="BY3448" s="769"/>
      <c r="BZ3448" s="769"/>
      <c r="CA3448" s="769"/>
      <c r="CB3448" s="769"/>
      <c r="CC3448" s="769"/>
      <c r="CD3448" s="769"/>
      <c r="CE3448" s="769"/>
      <c r="CF3448" s="769"/>
      <c r="CG3448" s="73"/>
      <c r="CH3448" s="438"/>
      <c r="CI3448" s="416"/>
      <c r="CJ3448" s="73"/>
      <c r="CK3448" s="650"/>
      <c r="CL3448" s="499"/>
      <c r="CM3448" s="650"/>
      <c r="CR3448" s="416"/>
      <c r="CS3448" s="650"/>
      <c r="CU3448" s="73"/>
      <c r="CV3448" s="73"/>
      <c r="CW3448" s="73"/>
      <c r="CX3448" s="73"/>
      <c r="DA3448" s="650"/>
    </row>
    <row r="3449" spans="1:105" s="45" customFormat="1" x14ac:dyDescent="0.2">
      <c r="A3449" s="650"/>
      <c r="B3449" s="438"/>
      <c r="D3449" s="73"/>
      <c r="E3449" s="650"/>
      <c r="F3449" s="650"/>
      <c r="G3449" s="73"/>
      <c r="I3449" s="111"/>
      <c r="J3449" s="81"/>
      <c r="K3449" s="81"/>
      <c r="L3449" s="499"/>
      <c r="M3449" s="73"/>
      <c r="N3449" s="499"/>
      <c r="O3449" s="73"/>
      <c r="P3449" s="73"/>
      <c r="Q3449" s="73"/>
      <c r="R3449" s="176"/>
      <c r="S3449" s="176"/>
      <c r="T3449" s="176"/>
      <c r="U3449" s="400"/>
      <c r="V3449" s="400"/>
      <c r="W3449" s="732"/>
      <c r="X3449" s="167"/>
      <c r="Y3449" s="509"/>
      <c r="Z3449" s="466"/>
      <c r="AA3449" s="466"/>
      <c r="AB3449" s="466"/>
      <c r="AC3449" s="466"/>
      <c r="AD3449" s="466"/>
      <c r="AE3449" s="466"/>
      <c r="AF3449" s="466"/>
      <c r="AG3449" s="466"/>
      <c r="AH3449" s="466"/>
      <c r="AI3449" s="466"/>
      <c r="AJ3449" s="466"/>
      <c r="AK3449" s="466"/>
      <c r="AL3449" s="466"/>
      <c r="AM3449" s="466"/>
      <c r="AN3449" s="466"/>
      <c r="AO3449" s="466"/>
      <c r="AP3449" s="466"/>
      <c r="AQ3449" s="466"/>
      <c r="AR3449" s="466"/>
      <c r="AS3449" s="466"/>
      <c r="AT3449" s="466"/>
      <c r="AU3449" s="466"/>
      <c r="AV3449" s="466"/>
      <c r="AW3449" s="466"/>
      <c r="AX3449" s="466"/>
      <c r="AY3449" s="466"/>
      <c r="AZ3449" s="466"/>
      <c r="BA3449" s="466"/>
      <c r="BB3449" s="466"/>
      <c r="BC3449" s="466"/>
      <c r="BD3449" s="466"/>
      <c r="BE3449" s="467"/>
      <c r="BF3449" s="467"/>
      <c r="BG3449" s="466"/>
      <c r="BH3449" s="466"/>
      <c r="BI3449" s="467"/>
      <c r="BJ3449" s="467"/>
      <c r="BK3449" s="467"/>
      <c r="BL3449" s="467"/>
      <c r="BM3449" s="467"/>
      <c r="BN3449" s="467"/>
      <c r="BO3449" s="467"/>
      <c r="BP3449" s="467"/>
      <c r="BQ3449" s="467"/>
      <c r="BR3449" s="467"/>
      <c r="BS3449" s="467"/>
      <c r="BT3449" s="467"/>
      <c r="BU3449" s="467"/>
      <c r="BV3449" s="467"/>
      <c r="BW3449" s="467"/>
      <c r="BX3449" s="769"/>
      <c r="BY3449" s="769"/>
      <c r="BZ3449" s="769"/>
      <c r="CA3449" s="769"/>
      <c r="CB3449" s="769"/>
      <c r="CC3449" s="769"/>
      <c r="CD3449" s="769"/>
      <c r="CE3449" s="769"/>
      <c r="CF3449" s="769"/>
      <c r="CG3449" s="73"/>
      <c r="CH3449" s="438"/>
      <c r="CI3449" s="416"/>
      <c r="CJ3449" s="73"/>
      <c r="CK3449" s="650"/>
      <c r="CL3449" s="499"/>
      <c r="CM3449" s="650"/>
      <c r="CR3449" s="416"/>
      <c r="CS3449" s="650"/>
      <c r="CU3449" s="73"/>
      <c r="CV3449" s="73"/>
      <c r="CW3449" s="73"/>
      <c r="CX3449" s="73"/>
      <c r="DA3449" s="650"/>
    </row>
    <row r="3450" spans="1:105" s="45" customFormat="1" x14ac:dyDescent="0.2">
      <c r="A3450" s="650"/>
      <c r="B3450" s="438"/>
      <c r="D3450" s="73"/>
      <c r="E3450" s="650"/>
      <c r="F3450" s="650"/>
      <c r="G3450" s="73"/>
      <c r="I3450" s="111"/>
      <c r="J3450" s="81"/>
      <c r="K3450" s="81"/>
      <c r="L3450" s="499"/>
      <c r="M3450" s="73"/>
      <c r="N3450" s="499"/>
      <c r="O3450" s="73"/>
      <c r="P3450" s="73"/>
      <c r="Q3450" s="73"/>
      <c r="R3450" s="176"/>
      <c r="S3450" s="176"/>
      <c r="T3450" s="176"/>
      <c r="U3450" s="400"/>
      <c r="V3450" s="400"/>
      <c r="W3450" s="732"/>
      <c r="X3450" s="167"/>
      <c r="Y3450" s="509"/>
      <c r="Z3450" s="466"/>
      <c r="AA3450" s="466"/>
      <c r="AB3450" s="466"/>
      <c r="AC3450" s="466"/>
      <c r="AD3450" s="466"/>
      <c r="AE3450" s="466"/>
      <c r="AF3450" s="466"/>
      <c r="AG3450" s="466"/>
      <c r="AH3450" s="466"/>
      <c r="AI3450" s="466"/>
      <c r="AJ3450" s="466"/>
      <c r="AK3450" s="466"/>
      <c r="AL3450" s="466"/>
      <c r="AM3450" s="466"/>
      <c r="AN3450" s="466"/>
      <c r="AO3450" s="466"/>
      <c r="AP3450" s="466"/>
      <c r="AQ3450" s="466"/>
      <c r="AR3450" s="466"/>
      <c r="AS3450" s="466"/>
      <c r="AT3450" s="466"/>
      <c r="AU3450" s="466"/>
      <c r="AV3450" s="466"/>
      <c r="AW3450" s="466"/>
      <c r="AX3450" s="466"/>
      <c r="AY3450" s="466"/>
      <c r="AZ3450" s="466"/>
      <c r="BA3450" s="466"/>
      <c r="BB3450" s="466"/>
      <c r="BC3450" s="466"/>
      <c r="BD3450" s="466"/>
      <c r="BE3450" s="467"/>
      <c r="BF3450" s="467"/>
      <c r="BG3450" s="466"/>
      <c r="BH3450" s="466"/>
      <c r="BI3450" s="467"/>
      <c r="BJ3450" s="467"/>
      <c r="BK3450" s="467"/>
      <c r="BL3450" s="467"/>
      <c r="BM3450" s="467"/>
      <c r="BN3450" s="467"/>
      <c r="BO3450" s="467"/>
      <c r="BP3450" s="467"/>
      <c r="BQ3450" s="467"/>
      <c r="BR3450" s="467"/>
      <c r="BS3450" s="467"/>
      <c r="BT3450" s="467"/>
      <c r="BU3450" s="467"/>
      <c r="BV3450" s="467"/>
      <c r="BW3450" s="467"/>
      <c r="BX3450" s="769"/>
      <c r="BY3450" s="769"/>
      <c r="BZ3450" s="769"/>
      <c r="CA3450" s="769"/>
      <c r="CB3450" s="769"/>
      <c r="CC3450" s="769"/>
      <c r="CD3450" s="769"/>
      <c r="CE3450" s="769"/>
      <c r="CF3450" s="769"/>
      <c r="CG3450" s="73"/>
      <c r="CH3450" s="438"/>
      <c r="CI3450" s="416"/>
      <c r="CJ3450" s="73"/>
      <c r="CK3450" s="650"/>
      <c r="CL3450" s="499"/>
      <c r="CM3450" s="650"/>
      <c r="CR3450" s="416"/>
      <c r="CS3450" s="650"/>
      <c r="CU3450" s="73"/>
      <c r="CV3450" s="73"/>
      <c r="CW3450" s="73"/>
      <c r="CX3450" s="73"/>
      <c r="DA3450" s="650"/>
    </row>
    <row r="3451" spans="1:105" s="45" customFormat="1" x14ac:dyDescent="0.2">
      <c r="A3451" s="650"/>
      <c r="B3451" s="438"/>
      <c r="D3451" s="73"/>
      <c r="E3451" s="650"/>
      <c r="F3451" s="650"/>
      <c r="G3451" s="73"/>
      <c r="I3451" s="111"/>
      <c r="J3451" s="81"/>
      <c r="K3451" s="81"/>
      <c r="L3451" s="499"/>
      <c r="M3451" s="73"/>
      <c r="N3451" s="499"/>
      <c r="O3451" s="73"/>
      <c r="P3451" s="73"/>
      <c r="Q3451" s="73"/>
      <c r="R3451" s="176"/>
      <c r="S3451" s="176"/>
      <c r="T3451" s="176"/>
      <c r="U3451" s="400"/>
      <c r="V3451" s="400"/>
      <c r="W3451" s="732"/>
      <c r="X3451" s="167"/>
      <c r="Y3451" s="509"/>
      <c r="Z3451" s="466"/>
      <c r="AA3451" s="466"/>
      <c r="AB3451" s="466"/>
      <c r="AC3451" s="466"/>
      <c r="AD3451" s="466"/>
      <c r="AE3451" s="466"/>
      <c r="AF3451" s="466"/>
      <c r="AG3451" s="466"/>
      <c r="AH3451" s="466"/>
      <c r="AI3451" s="466"/>
      <c r="AJ3451" s="466"/>
      <c r="AK3451" s="466"/>
      <c r="AL3451" s="466"/>
      <c r="AM3451" s="466"/>
      <c r="AN3451" s="466"/>
      <c r="AO3451" s="466"/>
      <c r="AP3451" s="466"/>
      <c r="AQ3451" s="466"/>
      <c r="AR3451" s="466"/>
      <c r="AS3451" s="466"/>
      <c r="AT3451" s="466"/>
      <c r="AU3451" s="466"/>
      <c r="AV3451" s="466"/>
      <c r="AW3451" s="466"/>
      <c r="AX3451" s="466"/>
      <c r="AY3451" s="466"/>
      <c r="AZ3451" s="466"/>
      <c r="BA3451" s="466"/>
      <c r="BB3451" s="466"/>
      <c r="BC3451" s="466"/>
      <c r="BD3451" s="466"/>
      <c r="BE3451" s="467"/>
      <c r="BF3451" s="467"/>
      <c r="BG3451" s="466"/>
      <c r="BH3451" s="466"/>
      <c r="BI3451" s="467"/>
      <c r="BJ3451" s="467"/>
      <c r="BK3451" s="467"/>
      <c r="BL3451" s="467"/>
      <c r="BM3451" s="467"/>
      <c r="BN3451" s="467"/>
      <c r="BO3451" s="467"/>
      <c r="BP3451" s="467"/>
      <c r="BQ3451" s="467"/>
      <c r="BR3451" s="467"/>
      <c r="BS3451" s="467"/>
      <c r="BT3451" s="467"/>
      <c r="BU3451" s="467"/>
      <c r="BV3451" s="467"/>
      <c r="BW3451" s="467"/>
      <c r="BX3451" s="769"/>
      <c r="BY3451" s="769"/>
      <c r="BZ3451" s="769"/>
      <c r="CA3451" s="769"/>
      <c r="CB3451" s="769"/>
      <c r="CC3451" s="769"/>
      <c r="CD3451" s="769"/>
      <c r="CE3451" s="769"/>
      <c r="CF3451" s="769"/>
      <c r="CG3451" s="73"/>
      <c r="CH3451" s="438"/>
      <c r="CI3451" s="416"/>
      <c r="CJ3451" s="73"/>
      <c r="CK3451" s="650"/>
      <c r="CL3451" s="499"/>
      <c r="CM3451" s="650"/>
      <c r="CR3451" s="416"/>
      <c r="CS3451" s="650"/>
      <c r="CU3451" s="73"/>
      <c r="CV3451" s="73"/>
      <c r="CW3451" s="73"/>
      <c r="CX3451" s="73"/>
      <c r="DA3451" s="650"/>
    </row>
    <row r="3452" spans="1:105" s="45" customFormat="1" x14ac:dyDescent="0.2">
      <c r="A3452" s="650"/>
      <c r="B3452" s="438"/>
      <c r="D3452" s="73"/>
      <c r="E3452" s="650"/>
      <c r="F3452" s="650"/>
      <c r="G3452" s="73"/>
      <c r="I3452" s="111"/>
      <c r="J3452" s="81"/>
      <c r="K3452" s="81"/>
      <c r="L3452" s="499"/>
      <c r="M3452" s="73"/>
      <c r="N3452" s="499"/>
      <c r="O3452" s="73"/>
      <c r="P3452" s="73"/>
      <c r="Q3452" s="73"/>
      <c r="R3452" s="176"/>
      <c r="S3452" s="176"/>
      <c r="T3452" s="176"/>
      <c r="U3452" s="400"/>
      <c r="V3452" s="400"/>
      <c r="W3452" s="732"/>
      <c r="X3452" s="167"/>
      <c r="Y3452" s="509"/>
      <c r="Z3452" s="466"/>
      <c r="AA3452" s="466"/>
      <c r="AB3452" s="466"/>
      <c r="AC3452" s="466"/>
      <c r="AD3452" s="466"/>
      <c r="AE3452" s="466"/>
      <c r="AF3452" s="466"/>
      <c r="AG3452" s="466"/>
      <c r="AH3452" s="466"/>
      <c r="AI3452" s="466"/>
      <c r="AJ3452" s="466"/>
      <c r="AK3452" s="466"/>
      <c r="AL3452" s="466"/>
      <c r="AM3452" s="466"/>
      <c r="AN3452" s="466"/>
      <c r="AO3452" s="466"/>
      <c r="AP3452" s="466"/>
      <c r="AQ3452" s="466"/>
      <c r="AR3452" s="466"/>
      <c r="AS3452" s="466"/>
      <c r="AT3452" s="466"/>
      <c r="AU3452" s="466"/>
      <c r="AV3452" s="466"/>
      <c r="AW3452" s="466"/>
      <c r="AX3452" s="466"/>
      <c r="AY3452" s="466"/>
      <c r="AZ3452" s="466"/>
      <c r="BA3452" s="466"/>
      <c r="BB3452" s="466"/>
      <c r="BC3452" s="466"/>
      <c r="BD3452" s="466"/>
      <c r="BE3452" s="467"/>
      <c r="BF3452" s="467"/>
      <c r="BG3452" s="466"/>
      <c r="BH3452" s="466"/>
      <c r="BI3452" s="467"/>
      <c r="BJ3452" s="467"/>
      <c r="BK3452" s="467"/>
      <c r="BL3452" s="467"/>
      <c r="BM3452" s="467"/>
      <c r="BN3452" s="467"/>
      <c r="BO3452" s="467"/>
      <c r="BP3452" s="467"/>
      <c r="BQ3452" s="467"/>
      <c r="BR3452" s="467"/>
      <c r="BS3452" s="467"/>
      <c r="BT3452" s="467"/>
      <c r="BU3452" s="467"/>
      <c r="BV3452" s="467"/>
      <c r="BW3452" s="467"/>
      <c r="BX3452" s="769"/>
      <c r="BY3452" s="769"/>
      <c r="BZ3452" s="769"/>
      <c r="CA3452" s="769"/>
      <c r="CB3452" s="769"/>
      <c r="CC3452" s="769"/>
      <c r="CD3452" s="769"/>
      <c r="CE3452" s="769"/>
      <c r="CF3452" s="769"/>
      <c r="CG3452" s="73"/>
      <c r="CH3452" s="438"/>
      <c r="CI3452" s="416"/>
      <c r="CJ3452" s="73"/>
      <c r="CK3452" s="650"/>
      <c r="CL3452" s="499"/>
      <c r="CM3452" s="650"/>
      <c r="CR3452" s="416"/>
      <c r="CS3452" s="650"/>
      <c r="CU3452" s="73"/>
      <c r="CV3452" s="73"/>
      <c r="CW3452" s="73"/>
      <c r="CX3452" s="73"/>
      <c r="DA3452" s="650"/>
    </row>
    <row r="3453" spans="1:105" s="45" customFormat="1" x14ac:dyDescent="0.2">
      <c r="A3453" s="650"/>
      <c r="B3453" s="438"/>
      <c r="D3453" s="73"/>
      <c r="E3453" s="650"/>
      <c r="F3453" s="650"/>
      <c r="G3453" s="73"/>
      <c r="I3453" s="111"/>
      <c r="J3453" s="81"/>
      <c r="K3453" s="81"/>
      <c r="L3453" s="499"/>
      <c r="M3453" s="73"/>
      <c r="N3453" s="499"/>
      <c r="O3453" s="73"/>
      <c r="P3453" s="73"/>
      <c r="Q3453" s="73"/>
      <c r="R3453" s="176"/>
      <c r="S3453" s="176"/>
      <c r="T3453" s="176"/>
      <c r="U3453" s="400"/>
      <c r="V3453" s="400"/>
      <c r="W3453" s="732"/>
      <c r="X3453" s="167"/>
      <c r="Y3453" s="509"/>
      <c r="Z3453" s="466"/>
      <c r="AA3453" s="466"/>
      <c r="AB3453" s="466"/>
      <c r="AC3453" s="466"/>
      <c r="AD3453" s="466"/>
      <c r="AE3453" s="466"/>
      <c r="AF3453" s="466"/>
      <c r="AG3453" s="466"/>
      <c r="AH3453" s="466"/>
      <c r="AI3453" s="466"/>
      <c r="AJ3453" s="466"/>
      <c r="AK3453" s="466"/>
      <c r="AL3453" s="466"/>
      <c r="AM3453" s="466"/>
      <c r="AN3453" s="466"/>
      <c r="AO3453" s="466"/>
      <c r="AP3453" s="466"/>
      <c r="AQ3453" s="466"/>
      <c r="AR3453" s="466"/>
      <c r="AS3453" s="466"/>
      <c r="AT3453" s="466"/>
      <c r="AU3453" s="466"/>
      <c r="AV3453" s="466"/>
      <c r="AW3453" s="466"/>
      <c r="AX3453" s="466"/>
      <c r="AY3453" s="466"/>
      <c r="AZ3453" s="466"/>
      <c r="BA3453" s="466"/>
      <c r="BB3453" s="466"/>
      <c r="BC3453" s="466"/>
      <c r="BD3453" s="466"/>
      <c r="BE3453" s="467"/>
      <c r="BF3453" s="467"/>
      <c r="BG3453" s="466"/>
      <c r="BH3453" s="466"/>
      <c r="BI3453" s="467"/>
      <c r="BJ3453" s="467"/>
      <c r="BK3453" s="467"/>
      <c r="BL3453" s="467"/>
      <c r="BM3453" s="467"/>
      <c r="BN3453" s="467"/>
      <c r="BO3453" s="467"/>
      <c r="BP3453" s="467"/>
      <c r="BQ3453" s="467"/>
      <c r="BR3453" s="467"/>
      <c r="BS3453" s="467"/>
      <c r="BT3453" s="467"/>
      <c r="BU3453" s="467"/>
      <c r="BV3453" s="467"/>
      <c r="BW3453" s="467"/>
      <c r="BX3453" s="769"/>
      <c r="BY3453" s="769"/>
      <c r="BZ3453" s="769"/>
      <c r="CA3453" s="769"/>
      <c r="CB3453" s="769"/>
      <c r="CC3453" s="769"/>
      <c r="CD3453" s="769"/>
      <c r="CE3453" s="769"/>
      <c r="CF3453" s="769"/>
      <c r="CG3453" s="73"/>
      <c r="CH3453" s="438"/>
      <c r="CI3453" s="416"/>
      <c r="CJ3453" s="73"/>
      <c r="CK3453" s="650"/>
      <c r="CL3453" s="499"/>
      <c r="CM3453" s="650"/>
      <c r="CR3453" s="416"/>
      <c r="CS3453" s="650"/>
      <c r="CU3453" s="73"/>
      <c r="CV3453" s="73"/>
      <c r="CW3453" s="73"/>
      <c r="CX3453" s="73"/>
      <c r="DA3453" s="650"/>
    </row>
    <row r="3454" spans="1:105" s="45" customFormat="1" x14ac:dyDescent="0.2">
      <c r="A3454" s="650"/>
      <c r="B3454" s="438"/>
      <c r="D3454" s="73"/>
      <c r="E3454" s="650"/>
      <c r="F3454" s="650"/>
      <c r="G3454" s="73"/>
      <c r="I3454" s="111"/>
      <c r="J3454" s="81"/>
      <c r="K3454" s="81"/>
      <c r="L3454" s="499"/>
      <c r="M3454" s="73"/>
      <c r="N3454" s="499"/>
      <c r="O3454" s="73"/>
      <c r="P3454" s="73"/>
      <c r="Q3454" s="73"/>
      <c r="R3454" s="176"/>
      <c r="S3454" s="176"/>
      <c r="T3454" s="176"/>
      <c r="U3454" s="400"/>
      <c r="V3454" s="400"/>
      <c r="W3454" s="732"/>
      <c r="X3454" s="167"/>
      <c r="Y3454" s="509"/>
      <c r="Z3454" s="466"/>
      <c r="AA3454" s="466"/>
      <c r="AB3454" s="466"/>
      <c r="AC3454" s="466"/>
      <c r="AD3454" s="466"/>
      <c r="AE3454" s="466"/>
      <c r="AF3454" s="466"/>
      <c r="AG3454" s="466"/>
      <c r="AH3454" s="466"/>
      <c r="AI3454" s="466"/>
      <c r="AJ3454" s="466"/>
      <c r="AK3454" s="466"/>
      <c r="AL3454" s="466"/>
      <c r="AM3454" s="466"/>
      <c r="AN3454" s="466"/>
      <c r="AO3454" s="466"/>
      <c r="AP3454" s="466"/>
      <c r="AQ3454" s="466"/>
      <c r="AR3454" s="466"/>
      <c r="AS3454" s="466"/>
      <c r="AT3454" s="466"/>
      <c r="AU3454" s="466"/>
      <c r="AV3454" s="466"/>
      <c r="AW3454" s="466"/>
      <c r="AX3454" s="466"/>
      <c r="AY3454" s="466"/>
      <c r="AZ3454" s="466"/>
      <c r="BA3454" s="466"/>
      <c r="BB3454" s="466"/>
      <c r="BC3454" s="466"/>
      <c r="BD3454" s="466"/>
      <c r="BE3454" s="467"/>
      <c r="BF3454" s="467"/>
      <c r="BG3454" s="466"/>
      <c r="BH3454" s="466"/>
      <c r="BI3454" s="467"/>
      <c r="BJ3454" s="467"/>
      <c r="BK3454" s="467"/>
      <c r="BL3454" s="467"/>
      <c r="BM3454" s="467"/>
      <c r="BN3454" s="467"/>
      <c r="BO3454" s="467"/>
      <c r="BP3454" s="467"/>
      <c r="BQ3454" s="467"/>
      <c r="BR3454" s="467"/>
      <c r="BS3454" s="467"/>
      <c r="BT3454" s="467"/>
      <c r="BU3454" s="467"/>
      <c r="BV3454" s="467"/>
      <c r="BW3454" s="467"/>
      <c r="BX3454" s="769"/>
      <c r="BY3454" s="769"/>
      <c r="BZ3454" s="769"/>
      <c r="CA3454" s="769"/>
      <c r="CB3454" s="769"/>
      <c r="CC3454" s="769"/>
      <c r="CD3454" s="769"/>
      <c r="CE3454" s="769"/>
      <c r="CF3454" s="769"/>
      <c r="CG3454" s="73"/>
      <c r="CH3454" s="438"/>
      <c r="CI3454" s="416"/>
      <c r="CJ3454" s="73"/>
      <c r="CK3454" s="650"/>
      <c r="CL3454" s="499"/>
      <c r="CM3454" s="650"/>
      <c r="CR3454" s="416"/>
      <c r="CS3454" s="650"/>
      <c r="CU3454" s="73"/>
      <c r="CV3454" s="73"/>
      <c r="CW3454" s="73"/>
      <c r="CX3454" s="73"/>
      <c r="DA3454" s="650"/>
    </row>
    <row r="3455" spans="1:105" s="45" customFormat="1" x14ac:dyDescent="0.2">
      <c r="A3455" s="650"/>
      <c r="B3455" s="438"/>
      <c r="D3455" s="73"/>
      <c r="E3455" s="650"/>
      <c r="F3455" s="650"/>
      <c r="G3455" s="73"/>
      <c r="I3455" s="111"/>
      <c r="J3455" s="81"/>
      <c r="K3455" s="81"/>
      <c r="L3455" s="499"/>
      <c r="M3455" s="73"/>
      <c r="N3455" s="499"/>
      <c r="O3455" s="73"/>
      <c r="P3455" s="73"/>
      <c r="Q3455" s="73"/>
      <c r="R3455" s="176"/>
      <c r="S3455" s="176"/>
      <c r="T3455" s="176"/>
      <c r="U3455" s="400"/>
      <c r="V3455" s="400"/>
      <c r="W3455" s="732"/>
      <c r="X3455" s="167"/>
      <c r="Y3455" s="509"/>
      <c r="Z3455" s="466"/>
      <c r="AA3455" s="466"/>
      <c r="AB3455" s="466"/>
      <c r="AC3455" s="466"/>
      <c r="AD3455" s="466"/>
      <c r="AE3455" s="466"/>
      <c r="AF3455" s="466"/>
      <c r="AG3455" s="466"/>
      <c r="AH3455" s="466"/>
      <c r="AI3455" s="466"/>
      <c r="AJ3455" s="466"/>
      <c r="AK3455" s="466"/>
      <c r="AL3455" s="466"/>
      <c r="AM3455" s="466"/>
      <c r="AN3455" s="466"/>
      <c r="AO3455" s="466"/>
      <c r="AP3455" s="466"/>
      <c r="AQ3455" s="466"/>
      <c r="AR3455" s="466"/>
      <c r="AS3455" s="466"/>
      <c r="AT3455" s="466"/>
      <c r="AU3455" s="466"/>
      <c r="AV3455" s="466"/>
      <c r="AW3455" s="466"/>
      <c r="AX3455" s="466"/>
      <c r="AY3455" s="466"/>
      <c r="AZ3455" s="466"/>
      <c r="BA3455" s="466"/>
      <c r="BB3455" s="466"/>
      <c r="BC3455" s="466"/>
      <c r="BD3455" s="466"/>
      <c r="BE3455" s="467"/>
      <c r="BF3455" s="467"/>
      <c r="BG3455" s="466"/>
      <c r="BH3455" s="466"/>
      <c r="BI3455" s="467"/>
      <c r="BJ3455" s="467"/>
      <c r="BK3455" s="467"/>
      <c r="BL3455" s="467"/>
      <c r="BM3455" s="467"/>
      <c r="BN3455" s="467"/>
      <c r="BO3455" s="467"/>
      <c r="BP3455" s="467"/>
      <c r="BQ3455" s="467"/>
      <c r="BR3455" s="467"/>
      <c r="BS3455" s="467"/>
      <c r="BT3455" s="467"/>
      <c r="BU3455" s="467"/>
      <c r="BV3455" s="467"/>
      <c r="BW3455" s="467"/>
      <c r="BX3455" s="769"/>
      <c r="BY3455" s="769"/>
      <c r="BZ3455" s="769"/>
      <c r="CA3455" s="769"/>
      <c r="CB3455" s="769"/>
      <c r="CC3455" s="769"/>
      <c r="CD3455" s="769"/>
      <c r="CE3455" s="769"/>
      <c r="CF3455" s="769"/>
      <c r="CG3455" s="73"/>
      <c r="CH3455" s="438"/>
      <c r="CI3455" s="416"/>
      <c r="CJ3455" s="73"/>
      <c r="CK3455" s="650"/>
      <c r="CL3455" s="499"/>
      <c r="CM3455" s="650"/>
      <c r="CR3455" s="416"/>
      <c r="CS3455" s="650"/>
      <c r="CU3455" s="73"/>
      <c r="CV3455" s="73"/>
      <c r="CW3455" s="73"/>
      <c r="CX3455" s="73"/>
      <c r="DA3455" s="650"/>
    </row>
    <row r="3456" spans="1:105" s="45" customFormat="1" x14ac:dyDescent="0.2">
      <c r="A3456" s="650"/>
      <c r="B3456" s="438"/>
      <c r="D3456" s="73"/>
      <c r="E3456" s="650"/>
      <c r="F3456" s="650"/>
      <c r="G3456" s="73"/>
      <c r="I3456" s="111"/>
      <c r="J3456" s="81"/>
      <c r="K3456" s="81"/>
      <c r="L3456" s="499"/>
      <c r="M3456" s="73"/>
      <c r="N3456" s="499"/>
      <c r="O3456" s="73"/>
      <c r="P3456" s="73"/>
      <c r="Q3456" s="73"/>
      <c r="R3456" s="176"/>
      <c r="S3456" s="176"/>
      <c r="T3456" s="176"/>
      <c r="U3456" s="400"/>
      <c r="V3456" s="400"/>
      <c r="W3456" s="732"/>
      <c r="X3456" s="167"/>
      <c r="Y3456" s="509"/>
      <c r="Z3456" s="466"/>
      <c r="AA3456" s="466"/>
      <c r="AB3456" s="466"/>
      <c r="AC3456" s="466"/>
      <c r="AD3456" s="466"/>
      <c r="AE3456" s="466"/>
      <c r="AF3456" s="466"/>
      <c r="AG3456" s="466"/>
      <c r="AH3456" s="466"/>
      <c r="AI3456" s="466"/>
      <c r="AJ3456" s="466"/>
      <c r="AK3456" s="466"/>
      <c r="AL3456" s="466"/>
      <c r="AM3456" s="466"/>
      <c r="AN3456" s="466"/>
      <c r="AO3456" s="466"/>
      <c r="AP3456" s="466"/>
      <c r="AQ3456" s="466"/>
      <c r="AR3456" s="466"/>
      <c r="AS3456" s="466"/>
      <c r="AT3456" s="466"/>
      <c r="AU3456" s="466"/>
      <c r="AV3456" s="466"/>
      <c r="AW3456" s="466"/>
      <c r="AX3456" s="466"/>
      <c r="AY3456" s="466"/>
      <c r="AZ3456" s="466"/>
      <c r="BA3456" s="466"/>
      <c r="BB3456" s="466"/>
      <c r="BC3456" s="466"/>
      <c r="BD3456" s="466"/>
      <c r="BE3456" s="467"/>
      <c r="BF3456" s="467"/>
      <c r="BG3456" s="466"/>
      <c r="BH3456" s="466"/>
      <c r="BI3456" s="467"/>
      <c r="BJ3456" s="467"/>
      <c r="BK3456" s="467"/>
      <c r="BL3456" s="467"/>
      <c r="BM3456" s="467"/>
      <c r="BN3456" s="467"/>
      <c r="BO3456" s="467"/>
      <c r="BP3456" s="467"/>
      <c r="BQ3456" s="467"/>
      <c r="BR3456" s="467"/>
      <c r="BS3456" s="467"/>
      <c r="BT3456" s="467"/>
      <c r="BU3456" s="467"/>
      <c r="BV3456" s="467"/>
      <c r="BW3456" s="467"/>
      <c r="BX3456" s="769"/>
      <c r="BY3456" s="769"/>
      <c r="BZ3456" s="769"/>
      <c r="CA3456" s="769"/>
      <c r="CB3456" s="769"/>
      <c r="CC3456" s="769"/>
      <c r="CD3456" s="769"/>
      <c r="CE3456" s="769"/>
      <c r="CF3456" s="769"/>
      <c r="CG3456" s="73"/>
      <c r="CH3456" s="438"/>
      <c r="CI3456" s="416"/>
      <c r="CJ3456" s="73"/>
      <c r="CK3456" s="650"/>
      <c r="CL3456" s="499"/>
      <c r="CM3456" s="650"/>
      <c r="CR3456" s="416"/>
      <c r="CS3456" s="650"/>
      <c r="CU3456" s="73"/>
      <c r="CV3456" s="73"/>
      <c r="CW3456" s="73"/>
      <c r="CX3456" s="73"/>
      <c r="DA3456" s="650"/>
    </row>
    <row r="3457" spans="1:105" s="45" customFormat="1" x14ac:dyDescent="0.2">
      <c r="A3457" s="650"/>
      <c r="B3457" s="438"/>
      <c r="D3457" s="73"/>
      <c r="E3457" s="650"/>
      <c r="F3457" s="650"/>
      <c r="G3457" s="73"/>
      <c r="I3457" s="111"/>
      <c r="J3457" s="81"/>
      <c r="K3457" s="81"/>
      <c r="L3457" s="499"/>
      <c r="M3457" s="73"/>
      <c r="N3457" s="499"/>
      <c r="O3457" s="73"/>
      <c r="P3457" s="73"/>
      <c r="Q3457" s="73"/>
      <c r="R3457" s="176"/>
      <c r="S3457" s="176"/>
      <c r="T3457" s="176"/>
      <c r="U3457" s="400"/>
      <c r="V3457" s="400"/>
      <c r="W3457" s="732"/>
      <c r="X3457" s="167"/>
      <c r="Y3457" s="509"/>
      <c r="Z3457" s="466"/>
      <c r="AA3457" s="466"/>
      <c r="AB3457" s="466"/>
      <c r="AC3457" s="466"/>
      <c r="AD3457" s="466"/>
      <c r="AE3457" s="466"/>
      <c r="AF3457" s="466"/>
      <c r="AG3457" s="466"/>
      <c r="AH3457" s="466"/>
      <c r="AI3457" s="466"/>
      <c r="AJ3457" s="466"/>
      <c r="AK3457" s="466"/>
      <c r="AL3457" s="466"/>
      <c r="AM3457" s="466"/>
      <c r="AN3457" s="466"/>
      <c r="AO3457" s="466"/>
      <c r="AP3457" s="466"/>
      <c r="AQ3457" s="466"/>
      <c r="AR3457" s="466"/>
      <c r="AS3457" s="466"/>
      <c r="AT3457" s="466"/>
      <c r="AU3457" s="466"/>
      <c r="AV3457" s="466"/>
      <c r="AW3457" s="466"/>
      <c r="AX3457" s="466"/>
      <c r="AY3457" s="466"/>
      <c r="AZ3457" s="466"/>
      <c r="BA3457" s="466"/>
      <c r="BB3457" s="466"/>
      <c r="BC3457" s="466"/>
      <c r="BD3457" s="466"/>
      <c r="BE3457" s="467"/>
      <c r="BF3457" s="467"/>
      <c r="BG3457" s="466"/>
      <c r="BH3457" s="466"/>
      <c r="BI3457" s="467"/>
      <c r="BJ3457" s="467"/>
      <c r="BK3457" s="467"/>
      <c r="BL3457" s="467"/>
      <c r="BM3457" s="467"/>
      <c r="BN3457" s="467"/>
      <c r="BO3457" s="467"/>
      <c r="BP3457" s="467"/>
      <c r="BQ3457" s="467"/>
      <c r="BR3457" s="467"/>
      <c r="BS3457" s="467"/>
      <c r="BT3457" s="467"/>
      <c r="BU3457" s="467"/>
      <c r="BV3457" s="467"/>
      <c r="BW3457" s="467"/>
      <c r="BX3457" s="769"/>
      <c r="BY3457" s="769"/>
      <c r="BZ3457" s="769"/>
      <c r="CA3457" s="769"/>
      <c r="CB3457" s="769"/>
      <c r="CC3457" s="769"/>
      <c r="CD3457" s="769"/>
      <c r="CE3457" s="769"/>
      <c r="CF3457" s="769"/>
      <c r="CG3457" s="73"/>
      <c r="CH3457" s="438"/>
      <c r="CI3457" s="416"/>
      <c r="CJ3457" s="73"/>
      <c r="CK3457" s="650"/>
      <c r="CL3457" s="499"/>
      <c r="CM3457" s="650"/>
      <c r="CR3457" s="416"/>
      <c r="CS3457" s="650"/>
      <c r="CU3457" s="73"/>
      <c r="CV3457" s="73"/>
      <c r="CW3457" s="73"/>
      <c r="CX3457" s="73"/>
      <c r="DA3457" s="650"/>
    </row>
    <row r="3458" spans="1:105" s="45" customFormat="1" x14ac:dyDescent="0.2">
      <c r="A3458" s="650"/>
      <c r="B3458" s="438"/>
      <c r="D3458" s="73"/>
      <c r="E3458" s="650"/>
      <c r="F3458" s="650"/>
      <c r="G3458" s="73"/>
      <c r="I3458" s="111"/>
      <c r="J3458" s="81"/>
      <c r="K3458" s="81"/>
      <c r="L3458" s="499"/>
      <c r="M3458" s="73"/>
      <c r="N3458" s="499"/>
      <c r="O3458" s="73"/>
      <c r="P3458" s="73"/>
      <c r="Q3458" s="73"/>
      <c r="R3458" s="176"/>
      <c r="S3458" s="176"/>
      <c r="T3458" s="176"/>
      <c r="U3458" s="400"/>
      <c r="V3458" s="400"/>
      <c r="W3458" s="732"/>
      <c r="X3458" s="167"/>
      <c r="Y3458" s="509"/>
      <c r="Z3458" s="466"/>
      <c r="AA3458" s="466"/>
      <c r="AB3458" s="466"/>
      <c r="AC3458" s="466"/>
      <c r="AD3458" s="466"/>
      <c r="AE3458" s="466"/>
      <c r="AF3458" s="466"/>
      <c r="AG3458" s="466"/>
      <c r="AH3458" s="466"/>
      <c r="AI3458" s="466"/>
      <c r="AJ3458" s="466"/>
      <c r="AK3458" s="466"/>
      <c r="AL3458" s="466"/>
      <c r="AM3458" s="466"/>
      <c r="AN3458" s="466"/>
      <c r="AO3458" s="466"/>
      <c r="AP3458" s="466"/>
      <c r="AQ3458" s="466"/>
      <c r="AR3458" s="466"/>
      <c r="AS3458" s="466"/>
      <c r="AT3458" s="466"/>
      <c r="AU3458" s="466"/>
      <c r="AV3458" s="466"/>
      <c r="AW3458" s="466"/>
      <c r="AX3458" s="466"/>
      <c r="AY3458" s="466"/>
      <c r="AZ3458" s="466"/>
      <c r="BA3458" s="466"/>
      <c r="BB3458" s="466"/>
      <c r="BC3458" s="466"/>
      <c r="BD3458" s="466"/>
      <c r="BE3458" s="467"/>
      <c r="BF3458" s="467"/>
      <c r="BG3458" s="466"/>
      <c r="BH3458" s="466"/>
      <c r="BI3458" s="467"/>
      <c r="BJ3458" s="467"/>
      <c r="BK3458" s="467"/>
      <c r="BL3458" s="467"/>
      <c r="BM3458" s="467"/>
      <c r="BN3458" s="467"/>
      <c r="BO3458" s="467"/>
      <c r="BP3458" s="467"/>
      <c r="BQ3458" s="467"/>
      <c r="BR3458" s="467"/>
      <c r="BS3458" s="467"/>
      <c r="BT3458" s="467"/>
      <c r="BU3458" s="467"/>
      <c r="BV3458" s="467"/>
      <c r="BW3458" s="467"/>
      <c r="BX3458" s="769"/>
      <c r="BY3458" s="769"/>
      <c r="BZ3458" s="769"/>
      <c r="CA3458" s="769"/>
      <c r="CB3458" s="769"/>
      <c r="CC3458" s="769"/>
      <c r="CD3458" s="769"/>
      <c r="CE3458" s="769"/>
      <c r="CF3458" s="769"/>
      <c r="CG3458" s="73"/>
      <c r="CH3458" s="438"/>
      <c r="CI3458" s="416"/>
      <c r="CJ3458" s="73"/>
      <c r="CK3458" s="650"/>
      <c r="CL3458" s="499"/>
      <c r="CM3458" s="650"/>
      <c r="CR3458" s="416"/>
      <c r="CS3458" s="650"/>
      <c r="CU3458" s="73"/>
      <c r="CV3458" s="73"/>
      <c r="CW3458" s="73"/>
      <c r="CX3458" s="73"/>
      <c r="DA3458" s="650"/>
    </row>
    <row r="3459" spans="1:105" s="45" customFormat="1" x14ac:dyDescent="0.2">
      <c r="A3459" s="650"/>
      <c r="B3459" s="438"/>
      <c r="D3459" s="73"/>
      <c r="E3459" s="650"/>
      <c r="F3459" s="650"/>
      <c r="G3459" s="73"/>
      <c r="I3459" s="111"/>
      <c r="J3459" s="81"/>
      <c r="K3459" s="81"/>
      <c r="L3459" s="499"/>
      <c r="M3459" s="73"/>
      <c r="N3459" s="499"/>
      <c r="O3459" s="73"/>
      <c r="P3459" s="73"/>
      <c r="Q3459" s="73"/>
      <c r="R3459" s="176"/>
      <c r="S3459" s="176"/>
      <c r="T3459" s="176"/>
      <c r="U3459" s="400"/>
      <c r="V3459" s="400"/>
      <c r="W3459" s="732"/>
      <c r="X3459" s="167"/>
      <c r="Y3459" s="509"/>
      <c r="Z3459" s="466"/>
      <c r="AA3459" s="466"/>
      <c r="AB3459" s="466"/>
      <c r="AC3459" s="466"/>
      <c r="AD3459" s="466"/>
      <c r="AE3459" s="466"/>
      <c r="AF3459" s="466"/>
      <c r="AG3459" s="466"/>
      <c r="AH3459" s="466"/>
      <c r="AI3459" s="466"/>
      <c r="AJ3459" s="466"/>
      <c r="AK3459" s="466"/>
      <c r="AL3459" s="466"/>
      <c r="AM3459" s="466"/>
      <c r="AN3459" s="466"/>
      <c r="AO3459" s="466"/>
      <c r="AP3459" s="466"/>
      <c r="AQ3459" s="466"/>
      <c r="AR3459" s="466"/>
      <c r="AS3459" s="466"/>
      <c r="AT3459" s="466"/>
      <c r="AU3459" s="466"/>
      <c r="AV3459" s="466"/>
      <c r="AW3459" s="466"/>
      <c r="AX3459" s="466"/>
      <c r="AY3459" s="466"/>
      <c r="AZ3459" s="466"/>
      <c r="BA3459" s="466"/>
      <c r="BB3459" s="466"/>
      <c r="BC3459" s="466"/>
      <c r="BD3459" s="466"/>
      <c r="BE3459" s="467"/>
      <c r="BF3459" s="467"/>
      <c r="BG3459" s="466"/>
      <c r="BH3459" s="466"/>
      <c r="BI3459" s="467"/>
      <c r="BJ3459" s="467"/>
      <c r="BK3459" s="467"/>
      <c r="BL3459" s="467"/>
      <c r="BM3459" s="467"/>
      <c r="BN3459" s="467"/>
      <c r="BO3459" s="467"/>
      <c r="BP3459" s="467"/>
      <c r="BQ3459" s="467"/>
      <c r="BR3459" s="467"/>
      <c r="BS3459" s="467"/>
      <c r="BT3459" s="467"/>
      <c r="BU3459" s="467"/>
      <c r="BV3459" s="467"/>
      <c r="BW3459" s="467"/>
      <c r="BX3459" s="769"/>
      <c r="BY3459" s="769"/>
      <c r="BZ3459" s="769"/>
      <c r="CA3459" s="769"/>
      <c r="CB3459" s="769"/>
      <c r="CC3459" s="769"/>
      <c r="CD3459" s="769"/>
      <c r="CE3459" s="769"/>
      <c r="CF3459" s="769"/>
      <c r="CG3459" s="73"/>
      <c r="CH3459" s="438"/>
      <c r="CI3459" s="416"/>
      <c r="CJ3459" s="73"/>
      <c r="CK3459" s="650"/>
      <c r="CL3459" s="499"/>
      <c r="CM3459" s="650"/>
      <c r="CR3459" s="416"/>
      <c r="CS3459" s="650"/>
      <c r="CU3459" s="73"/>
      <c r="CV3459" s="73"/>
      <c r="CW3459" s="73"/>
      <c r="CX3459" s="73"/>
      <c r="DA3459" s="650"/>
    </row>
    <row r="3460" spans="1:105" s="45" customFormat="1" x14ac:dyDescent="0.2">
      <c r="A3460" s="650"/>
      <c r="B3460" s="438"/>
      <c r="D3460" s="73"/>
      <c r="E3460" s="650"/>
      <c r="F3460" s="650"/>
      <c r="G3460" s="73"/>
      <c r="I3460" s="111"/>
      <c r="J3460" s="81"/>
      <c r="K3460" s="81"/>
      <c r="L3460" s="499"/>
      <c r="M3460" s="73"/>
      <c r="N3460" s="499"/>
      <c r="O3460" s="73"/>
      <c r="P3460" s="73"/>
      <c r="Q3460" s="73"/>
      <c r="R3460" s="176"/>
      <c r="S3460" s="176"/>
      <c r="T3460" s="176"/>
      <c r="U3460" s="400"/>
      <c r="V3460" s="400"/>
      <c r="W3460" s="732"/>
      <c r="X3460" s="167"/>
      <c r="Y3460" s="509"/>
      <c r="Z3460" s="466"/>
      <c r="AA3460" s="466"/>
      <c r="AB3460" s="466"/>
      <c r="AC3460" s="466"/>
      <c r="AD3460" s="466"/>
      <c r="AE3460" s="466"/>
      <c r="AF3460" s="466"/>
      <c r="AG3460" s="466"/>
      <c r="AH3460" s="466"/>
      <c r="AI3460" s="466"/>
      <c r="AJ3460" s="466"/>
      <c r="AK3460" s="466"/>
      <c r="AL3460" s="466"/>
      <c r="AM3460" s="466"/>
      <c r="AN3460" s="466"/>
      <c r="AO3460" s="466"/>
      <c r="AP3460" s="466"/>
      <c r="AQ3460" s="466"/>
      <c r="AR3460" s="466"/>
      <c r="AS3460" s="466"/>
      <c r="AT3460" s="466"/>
      <c r="AU3460" s="466"/>
      <c r="AV3460" s="466"/>
      <c r="AW3460" s="466"/>
      <c r="AX3460" s="466"/>
      <c r="AY3460" s="466"/>
      <c r="AZ3460" s="466"/>
      <c r="BA3460" s="466"/>
      <c r="BB3460" s="466"/>
      <c r="BC3460" s="466"/>
      <c r="BD3460" s="466"/>
      <c r="BE3460" s="467"/>
      <c r="BF3460" s="467"/>
      <c r="BG3460" s="466"/>
      <c r="BH3460" s="466"/>
      <c r="BI3460" s="467"/>
      <c r="BJ3460" s="467"/>
      <c r="BK3460" s="467"/>
      <c r="BL3460" s="467"/>
      <c r="BM3460" s="467"/>
      <c r="BN3460" s="467"/>
      <c r="BO3460" s="467"/>
      <c r="BP3460" s="467"/>
      <c r="BQ3460" s="467"/>
      <c r="BR3460" s="467"/>
      <c r="BS3460" s="467"/>
      <c r="BT3460" s="467"/>
      <c r="BU3460" s="467"/>
      <c r="BV3460" s="467"/>
      <c r="BW3460" s="467"/>
      <c r="BX3460" s="769"/>
      <c r="BY3460" s="769"/>
      <c r="BZ3460" s="769"/>
      <c r="CA3460" s="769"/>
      <c r="CB3460" s="769"/>
      <c r="CC3460" s="769"/>
      <c r="CD3460" s="769"/>
      <c r="CE3460" s="769"/>
      <c r="CF3460" s="769"/>
      <c r="CG3460" s="73"/>
      <c r="CH3460" s="438"/>
      <c r="CI3460" s="416"/>
      <c r="CJ3460" s="73"/>
      <c r="CK3460" s="650"/>
      <c r="CL3460" s="499"/>
      <c r="CM3460" s="650"/>
      <c r="CR3460" s="416"/>
      <c r="CS3460" s="650"/>
      <c r="CU3460" s="73"/>
      <c r="CV3460" s="73"/>
      <c r="CW3460" s="73"/>
      <c r="CX3460" s="73"/>
      <c r="DA3460" s="650"/>
    </row>
    <row r="3461" spans="1:105" s="45" customFormat="1" x14ac:dyDescent="0.2">
      <c r="A3461" s="650"/>
      <c r="B3461" s="438"/>
      <c r="D3461" s="73"/>
      <c r="E3461" s="650"/>
      <c r="F3461" s="650"/>
      <c r="G3461" s="73"/>
      <c r="I3461" s="111"/>
      <c r="J3461" s="81"/>
      <c r="K3461" s="81"/>
      <c r="L3461" s="499"/>
      <c r="M3461" s="73"/>
      <c r="N3461" s="499"/>
      <c r="O3461" s="73"/>
      <c r="P3461" s="73"/>
      <c r="Q3461" s="73"/>
      <c r="R3461" s="176"/>
      <c r="S3461" s="176"/>
      <c r="T3461" s="176"/>
      <c r="U3461" s="400"/>
      <c r="V3461" s="400"/>
      <c r="W3461" s="732"/>
      <c r="X3461" s="167"/>
      <c r="Y3461" s="509"/>
      <c r="Z3461" s="466"/>
      <c r="AA3461" s="466"/>
      <c r="AB3461" s="466"/>
      <c r="AC3461" s="466"/>
      <c r="AD3461" s="466"/>
      <c r="AE3461" s="466"/>
      <c r="AF3461" s="466"/>
      <c r="AG3461" s="466"/>
      <c r="AH3461" s="466"/>
      <c r="AI3461" s="466"/>
      <c r="AJ3461" s="466"/>
      <c r="AK3461" s="466"/>
      <c r="AL3461" s="466"/>
      <c r="AM3461" s="466"/>
      <c r="AN3461" s="466"/>
      <c r="AO3461" s="466"/>
      <c r="AP3461" s="466"/>
      <c r="AQ3461" s="466"/>
      <c r="AR3461" s="466"/>
      <c r="AS3461" s="466"/>
      <c r="AT3461" s="466"/>
      <c r="AU3461" s="466"/>
      <c r="AV3461" s="466"/>
      <c r="AW3461" s="466"/>
      <c r="AX3461" s="466"/>
      <c r="AY3461" s="466"/>
      <c r="AZ3461" s="466"/>
      <c r="BA3461" s="466"/>
      <c r="BB3461" s="466"/>
      <c r="BC3461" s="466"/>
      <c r="BD3461" s="466"/>
      <c r="BE3461" s="467"/>
      <c r="BF3461" s="467"/>
      <c r="BG3461" s="466"/>
      <c r="BH3461" s="466"/>
      <c r="BI3461" s="467"/>
      <c r="BJ3461" s="467"/>
      <c r="BK3461" s="467"/>
      <c r="BL3461" s="467"/>
      <c r="BM3461" s="467"/>
      <c r="BN3461" s="467"/>
      <c r="BO3461" s="467"/>
      <c r="BP3461" s="467"/>
      <c r="BQ3461" s="467"/>
      <c r="BR3461" s="467"/>
      <c r="BS3461" s="467"/>
      <c r="BT3461" s="467"/>
      <c r="BU3461" s="467"/>
      <c r="BV3461" s="467"/>
      <c r="BW3461" s="467"/>
      <c r="BX3461" s="769"/>
      <c r="BY3461" s="769"/>
      <c r="BZ3461" s="769"/>
      <c r="CA3461" s="769"/>
      <c r="CB3461" s="769"/>
      <c r="CC3461" s="769"/>
      <c r="CD3461" s="769"/>
      <c r="CE3461" s="769"/>
      <c r="CF3461" s="769"/>
      <c r="CG3461" s="73"/>
      <c r="CH3461" s="438"/>
      <c r="CI3461" s="416"/>
      <c r="CJ3461" s="73"/>
      <c r="CK3461" s="650"/>
      <c r="CL3461" s="499"/>
      <c r="CM3461" s="650"/>
      <c r="CR3461" s="416"/>
      <c r="CS3461" s="650"/>
      <c r="CU3461" s="73"/>
      <c r="CV3461" s="73"/>
      <c r="CW3461" s="73"/>
      <c r="CX3461" s="73"/>
      <c r="DA3461" s="650"/>
    </row>
    <row r="3462" spans="1:105" s="45" customFormat="1" x14ac:dyDescent="0.2">
      <c r="A3462" s="650"/>
      <c r="B3462" s="438"/>
      <c r="D3462" s="73"/>
      <c r="E3462" s="650"/>
      <c r="F3462" s="650"/>
      <c r="G3462" s="73"/>
      <c r="I3462" s="111"/>
      <c r="J3462" s="81"/>
      <c r="K3462" s="81"/>
      <c r="L3462" s="499"/>
      <c r="M3462" s="73"/>
      <c r="N3462" s="499"/>
      <c r="O3462" s="73"/>
      <c r="P3462" s="73"/>
      <c r="Q3462" s="73"/>
      <c r="R3462" s="176"/>
      <c r="S3462" s="176"/>
      <c r="T3462" s="176"/>
      <c r="U3462" s="400"/>
      <c r="V3462" s="400"/>
      <c r="W3462" s="732"/>
      <c r="X3462" s="167"/>
      <c r="Y3462" s="509"/>
      <c r="Z3462" s="466"/>
      <c r="AA3462" s="466"/>
      <c r="AB3462" s="466"/>
      <c r="AC3462" s="466"/>
      <c r="AD3462" s="466"/>
      <c r="AE3462" s="466"/>
      <c r="AF3462" s="466"/>
      <c r="AG3462" s="466"/>
      <c r="AH3462" s="466"/>
      <c r="AI3462" s="466"/>
      <c r="AJ3462" s="466"/>
      <c r="AK3462" s="466"/>
      <c r="AL3462" s="466"/>
      <c r="AM3462" s="466"/>
      <c r="AN3462" s="466"/>
      <c r="AO3462" s="466"/>
      <c r="AP3462" s="466"/>
      <c r="AQ3462" s="466"/>
      <c r="AR3462" s="466"/>
      <c r="AS3462" s="466"/>
      <c r="AT3462" s="466"/>
      <c r="AU3462" s="466"/>
      <c r="AV3462" s="466"/>
      <c r="AW3462" s="466"/>
      <c r="AX3462" s="466"/>
      <c r="AY3462" s="466"/>
      <c r="AZ3462" s="466"/>
      <c r="BA3462" s="466"/>
      <c r="BB3462" s="466"/>
      <c r="BC3462" s="466"/>
      <c r="BD3462" s="466"/>
      <c r="BE3462" s="467"/>
      <c r="BF3462" s="467"/>
      <c r="BG3462" s="466"/>
      <c r="BH3462" s="466"/>
      <c r="BI3462" s="467"/>
      <c r="BJ3462" s="467"/>
      <c r="BK3462" s="467"/>
      <c r="BL3462" s="467"/>
      <c r="BM3462" s="467"/>
      <c r="BN3462" s="467"/>
      <c r="BO3462" s="467"/>
      <c r="BP3462" s="467"/>
      <c r="BQ3462" s="467"/>
      <c r="BR3462" s="467"/>
      <c r="BS3462" s="467"/>
      <c r="BT3462" s="467"/>
      <c r="BU3462" s="467"/>
      <c r="BV3462" s="467"/>
      <c r="BW3462" s="467"/>
      <c r="BX3462" s="769"/>
      <c r="BY3462" s="769"/>
      <c r="BZ3462" s="769"/>
      <c r="CA3462" s="769"/>
      <c r="CB3462" s="769"/>
      <c r="CC3462" s="769"/>
      <c r="CD3462" s="769"/>
      <c r="CE3462" s="769"/>
      <c r="CF3462" s="769"/>
      <c r="CG3462" s="73"/>
      <c r="CH3462" s="438"/>
      <c r="CI3462" s="416"/>
      <c r="CJ3462" s="73"/>
      <c r="CK3462" s="650"/>
      <c r="CL3462" s="499"/>
      <c r="CM3462" s="650"/>
      <c r="CR3462" s="416"/>
      <c r="CS3462" s="650"/>
      <c r="CU3462" s="73"/>
      <c r="CV3462" s="73"/>
      <c r="CW3462" s="73"/>
      <c r="CX3462" s="73"/>
      <c r="DA3462" s="650"/>
    </row>
    <row r="3463" spans="1:105" s="45" customFormat="1" x14ac:dyDescent="0.2">
      <c r="A3463" s="650"/>
      <c r="B3463" s="438"/>
      <c r="D3463" s="73"/>
      <c r="E3463" s="650"/>
      <c r="F3463" s="650"/>
      <c r="G3463" s="73"/>
      <c r="I3463" s="111"/>
      <c r="J3463" s="81"/>
      <c r="K3463" s="81"/>
      <c r="L3463" s="499"/>
      <c r="M3463" s="73"/>
      <c r="N3463" s="499"/>
      <c r="O3463" s="73"/>
      <c r="P3463" s="73"/>
      <c r="Q3463" s="73"/>
      <c r="R3463" s="176"/>
      <c r="S3463" s="176"/>
      <c r="T3463" s="176"/>
      <c r="U3463" s="400"/>
      <c r="V3463" s="400"/>
      <c r="W3463" s="732"/>
      <c r="X3463" s="167"/>
      <c r="Y3463" s="509"/>
      <c r="Z3463" s="466"/>
      <c r="AA3463" s="466"/>
      <c r="AB3463" s="466"/>
      <c r="AC3463" s="466"/>
      <c r="AD3463" s="466"/>
      <c r="AE3463" s="466"/>
      <c r="AF3463" s="466"/>
      <c r="AG3463" s="466"/>
      <c r="AH3463" s="466"/>
      <c r="AI3463" s="466"/>
      <c r="AJ3463" s="466"/>
      <c r="AK3463" s="466"/>
      <c r="AL3463" s="466"/>
      <c r="AM3463" s="466"/>
      <c r="AN3463" s="466"/>
      <c r="AO3463" s="466"/>
      <c r="AP3463" s="466"/>
      <c r="AQ3463" s="466"/>
      <c r="AR3463" s="466"/>
      <c r="AS3463" s="466"/>
      <c r="AT3463" s="466"/>
      <c r="AU3463" s="466"/>
      <c r="AV3463" s="466"/>
      <c r="AW3463" s="466"/>
      <c r="AX3463" s="466"/>
      <c r="AY3463" s="466"/>
      <c r="AZ3463" s="466"/>
      <c r="BA3463" s="466"/>
      <c r="BB3463" s="466"/>
      <c r="BC3463" s="466"/>
      <c r="BD3463" s="466"/>
      <c r="BE3463" s="467"/>
      <c r="BF3463" s="467"/>
      <c r="BG3463" s="466"/>
      <c r="BH3463" s="466"/>
      <c r="BI3463" s="467"/>
      <c r="BJ3463" s="467"/>
      <c r="BK3463" s="467"/>
      <c r="BL3463" s="467"/>
      <c r="BM3463" s="467"/>
      <c r="BN3463" s="467"/>
      <c r="BO3463" s="467"/>
      <c r="BP3463" s="467"/>
      <c r="BQ3463" s="467"/>
      <c r="BR3463" s="467"/>
      <c r="BS3463" s="467"/>
      <c r="BT3463" s="467"/>
      <c r="BU3463" s="467"/>
      <c r="BV3463" s="467"/>
      <c r="BW3463" s="467"/>
      <c r="BX3463" s="769"/>
      <c r="BY3463" s="769"/>
      <c r="BZ3463" s="769"/>
      <c r="CA3463" s="769"/>
      <c r="CB3463" s="769"/>
      <c r="CC3463" s="769"/>
      <c r="CD3463" s="769"/>
      <c r="CE3463" s="769"/>
      <c r="CF3463" s="769"/>
      <c r="CG3463" s="73"/>
      <c r="CH3463" s="438"/>
      <c r="CI3463" s="416"/>
      <c r="CJ3463" s="73"/>
      <c r="CK3463" s="650"/>
      <c r="CL3463" s="499"/>
      <c r="CM3463" s="650"/>
      <c r="CR3463" s="416"/>
      <c r="CS3463" s="650"/>
      <c r="CU3463" s="73"/>
      <c r="CV3463" s="73"/>
      <c r="CW3463" s="73"/>
      <c r="CX3463" s="73"/>
      <c r="DA3463" s="650"/>
    </row>
    <row r="3464" spans="1:105" s="45" customFormat="1" x14ac:dyDescent="0.2">
      <c r="A3464" s="650"/>
      <c r="B3464" s="438"/>
      <c r="D3464" s="73"/>
      <c r="E3464" s="650"/>
      <c r="F3464" s="650"/>
      <c r="G3464" s="73"/>
      <c r="I3464" s="111"/>
      <c r="J3464" s="81"/>
      <c r="K3464" s="81"/>
      <c r="L3464" s="499"/>
      <c r="M3464" s="73"/>
      <c r="N3464" s="499"/>
      <c r="O3464" s="73"/>
      <c r="P3464" s="73"/>
      <c r="Q3464" s="73"/>
      <c r="R3464" s="176"/>
      <c r="S3464" s="176"/>
      <c r="T3464" s="176"/>
      <c r="U3464" s="400"/>
      <c r="V3464" s="400"/>
      <c r="W3464" s="732"/>
      <c r="X3464" s="167"/>
      <c r="Y3464" s="509"/>
      <c r="Z3464" s="466"/>
      <c r="AA3464" s="466"/>
      <c r="AB3464" s="466"/>
      <c r="AC3464" s="466"/>
      <c r="AD3464" s="466"/>
      <c r="AE3464" s="466"/>
      <c r="AF3464" s="466"/>
      <c r="AG3464" s="466"/>
      <c r="AH3464" s="466"/>
      <c r="AI3464" s="466"/>
      <c r="AJ3464" s="466"/>
      <c r="AK3464" s="466"/>
      <c r="AL3464" s="466"/>
      <c r="AM3464" s="466"/>
      <c r="AN3464" s="466"/>
      <c r="AO3464" s="466"/>
      <c r="AP3464" s="466"/>
      <c r="AQ3464" s="466"/>
      <c r="AR3464" s="466"/>
      <c r="AS3464" s="466"/>
      <c r="AT3464" s="466"/>
      <c r="AU3464" s="466"/>
      <c r="AV3464" s="466"/>
      <c r="AW3464" s="466"/>
      <c r="AX3464" s="466"/>
      <c r="AY3464" s="466"/>
      <c r="AZ3464" s="466"/>
      <c r="BA3464" s="466"/>
      <c r="BB3464" s="466"/>
      <c r="BC3464" s="466"/>
      <c r="BD3464" s="466"/>
      <c r="BE3464" s="467"/>
      <c r="BF3464" s="467"/>
      <c r="BG3464" s="466"/>
      <c r="BH3464" s="466"/>
      <c r="BI3464" s="467"/>
      <c r="BJ3464" s="467"/>
      <c r="BK3464" s="467"/>
      <c r="BL3464" s="467"/>
      <c r="BM3464" s="467"/>
      <c r="BN3464" s="467"/>
      <c r="BO3464" s="467"/>
      <c r="BP3464" s="467"/>
      <c r="BQ3464" s="467"/>
      <c r="BR3464" s="467"/>
      <c r="BS3464" s="467"/>
      <c r="BT3464" s="467"/>
      <c r="BU3464" s="467"/>
      <c r="BV3464" s="467"/>
      <c r="BW3464" s="467"/>
      <c r="BX3464" s="769"/>
      <c r="BY3464" s="769"/>
      <c r="BZ3464" s="769"/>
      <c r="CA3464" s="769"/>
      <c r="CB3464" s="769"/>
      <c r="CC3464" s="769"/>
      <c r="CD3464" s="769"/>
      <c r="CE3464" s="769"/>
      <c r="CF3464" s="769"/>
      <c r="CG3464" s="73"/>
      <c r="CH3464" s="438"/>
      <c r="CI3464" s="416"/>
      <c r="CJ3464" s="73"/>
      <c r="CK3464" s="650"/>
      <c r="CL3464" s="499"/>
      <c r="CM3464" s="650"/>
      <c r="CR3464" s="416"/>
      <c r="CS3464" s="650"/>
      <c r="CU3464" s="73"/>
      <c r="CV3464" s="73"/>
      <c r="CW3464" s="73"/>
      <c r="CX3464" s="73"/>
      <c r="DA3464" s="650"/>
    </row>
    <row r="3465" spans="1:105" s="45" customFormat="1" x14ac:dyDescent="0.2">
      <c r="A3465" s="650"/>
      <c r="B3465" s="438"/>
      <c r="D3465" s="73"/>
      <c r="E3465" s="650"/>
      <c r="F3465" s="650"/>
      <c r="G3465" s="73"/>
      <c r="I3465" s="111"/>
      <c r="J3465" s="81"/>
      <c r="K3465" s="81"/>
      <c r="L3465" s="499"/>
      <c r="M3465" s="73"/>
      <c r="N3465" s="499"/>
      <c r="O3465" s="73"/>
      <c r="P3465" s="73"/>
      <c r="Q3465" s="73"/>
      <c r="R3465" s="176"/>
      <c r="S3465" s="176"/>
      <c r="T3465" s="176"/>
      <c r="U3465" s="400"/>
      <c r="V3465" s="400"/>
      <c r="W3465" s="732"/>
      <c r="X3465" s="167"/>
      <c r="Y3465" s="509"/>
      <c r="Z3465" s="466"/>
      <c r="AA3465" s="466"/>
      <c r="AB3465" s="466"/>
      <c r="AC3465" s="466"/>
      <c r="AD3465" s="466"/>
      <c r="AE3465" s="466"/>
      <c r="AF3465" s="466"/>
      <c r="AG3465" s="466"/>
      <c r="AH3465" s="466"/>
      <c r="AI3465" s="466"/>
      <c r="AJ3465" s="466"/>
      <c r="AK3465" s="466"/>
      <c r="AL3465" s="466"/>
      <c r="AM3465" s="466"/>
      <c r="AN3465" s="466"/>
      <c r="AO3465" s="466"/>
      <c r="AP3465" s="466"/>
      <c r="AQ3465" s="466"/>
      <c r="AR3465" s="466"/>
      <c r="AS3465" s="466"/>
      <c r="AT3465" s="466"/>
      <c r="AU3465" s="466"/>
      <c r="AV3465" s="466"/>
      <c r="AW3465" s="466"/>
      <c r="AX3465" s="466"/>
      <c r="AY3465" s="466"/>
      <c r="AZ3465" s="466"/>
      <c r="BA3465" s="466"/>
      <c r="BB3465" s="466"/>
      <c r="BC3465" s="466"/>
      <c r="BD3465" s="466"/>
      <c r="BE3465" s="467"/>
      <c r="BF3465" s="467"/>
      <c r="BG3465" s="466"/>
      <c r="BH3465" s="466"/>
      <c r="BI3465" s="467"/>
      <c r="BJ3465" s="467"/>
      <c r="BK3465" s="467"/>
      <c r="BL3465" s="467"/>
      <c r="BM3465" s="467"/>
      <c r="BN3465" s="467"/>
      <c r="BO3465" s="467"/>
      <c r="BP3465" s="467"/>
      <c r="BQ3465" s="467"/>
      <c r="BR3465" s="467"/>
      <c r="BS3465" s="467"/>
      <c r="BT3465" s="467"/>
      <c r="BU3465" s="467"/>
      <c r="BV3465" s="467"/>
      <c r="BW3465" s="467"/>
      <c r="BX3465" s="769"/>
      <c r="BY3465" s="769"/>
      <c r="BZ3465" s="769"/>
      <c r="CA3465" s="769"/>
      <c r="CB3465" s="769"/>
      <c r="CC3465" s="769"/>
      <c r="CD3465" s="769"/>
      <c r="CE3465" s="769"/>
      <c r="CF3465" s="769"/>
      <c r="CG3465" s="73"/>
      <c r="CH3465" s="438"/>
      <c r="CI3465" s="416"/>
      <c r="CJ3465" s="73"/>
      <c r="CK3465" s="650"/>
      <c r="CL3465" s="499"/>
      <c r="CM3465" s="650"/>
      <c r="CR3465" s="416"/>
      <c r="CS3465" s="650"/>
      <c r="CU3465" s="73"/>
      <c r="CV3465" s="73"/>
      <c r="CW3465" s="73"/>
      <c r="CX3465" s="73"/>
      <c r="DA3465" s="650"/>
    </row>
    <row r="3466" spans="1:105" s="45" customFormat="1" x14ac:dyDescent="0.2">
      <c r="A3466" s="650"/>
      <c r="B3466" s="438"/>
      <c r="D3466" s="73"/>
      <c r="E3466" s="650"/>
      <c r="F3466" s="650"/>
      <c r="G3466" s="73"/>
      <c r="I3466" s="111"/>
      <c r="J3466" s="81"/>
      <c r="K3466" s="81"/>
      <c r="L3466" s="499"/>
      <c r="M3466" s="73"/>
      <c r="N3466" s="499"/>
      <c r="O3466" s="73"/>
      <c r="P3466" s="73"/>
      <c r="Q3466" s="73"/>
      <c r="R3466" s="176"/>
      <c r="S3466" s="176"/>
      <c r="T3466" s="176"/>
      <c r="U3466" s="400"/>
      <c r="V3466" s="400"/>
      <c r="W3466" s="732"/>
      <c r="X3466" s="167"/>
      <c r="Y3466" s="509"/>
      <c r="Z3466" s="466"/>
      <c r="AA3466" s="466"/>
      <c r="AB3466" s="466"/>
      <c r="AC3466" s="466"/>
      <c r="AD3466" s="466"/>
      <c r="AE3466" s="466"/>
      <c r="AF3466" s="466"/>
      <c r="AG3466" s="466"/>
      <c r="AH3466" s="466"/>
      <c r="AI3466" s="466"/>
      <c r="AJ3466" s="466"/>
      <c r="AK3466" s="466"/>
      <c r="AL3466" s="466"/>
      <c r="AM3466" s="466"/>
      <c r="AN3466" s="466"/>
      <c r="AO3466" s="466"/>
      <c r="AP3466" s="466"/>
      <c r="AQ3466" s="466"/>
      <c r="AR3466" s="466"/>
      <c r="AS3466" s="466"/>
      <c r="AT3466" s="466"/>
      <c r="AU3466" s="466"/>
      <c r="AV3466" s="466"/>
      <c r="AW3466" s="466"/>
      <c r="AX3466" s="466"/>
      <c r="AY3466" s="466"/>
      <c r="AZ3466" s="466"/>
      <c r="BA3466" s="466"/>
      <c r="BB3466" s="466"/>
      <c r="BC3466" s="466"/>
      <c r="BD3466" s="466"/>
      <c r="BE3466" s="467"/>
      <c r="BF3466" s="467"/>
      <c r="BG3466" s="466"/>
      <c r="BH3466" s="466"/>
      <c r="BI3466" s="467"/>
      <c r="BJ3466" s="467"/>
      <c r="BK3466" s="467"/>
      <c r="BL3466" s="467"/>
      <c r="BM3466" s="467"/>
      <c r="BN3466" s="467"/>
      <c r="BO3466" s="467"/>
      <c r="BP3466" s="467"/>
      <c r="BQ3466" s="467"/>
      <c r="BR3466" s="467"/>
      <c r="BS3466" s="467"/>
      <c r="BT3466" s="467"/>
      <c r="BU3466" s="467"/>
      <c r="BV3466" s="467"/>
      <c r="BW3466" s="467"/>
      <c r="BX3466" s="769"/>
      <c r="BY3466" s="769"/>
      <c r="BZ3466" s="769"/>
      <c r="CA3466" s="769"/>
      <c r="CB3466" s="769"/>
      <c r="CC3466" s="769"/>
      <c r="CD3466" s="769"/>
      <c r="CE3466" s="769"/>
      <c r="CF3466" s="769"/>
      <c r="CG3466" s="73"/>
      <c r="CH3466" s="438"/>
      <c r="CI3466" s="416"/>
      <c r="CJ3466" s="73"/>
      <c r="CK3466" s="650"/>
      <c r="CL3466" s="499"/>
      <c r="CM3466" s="650"/>
      <c r="CR3466" s="416"/>
      <c r="CS3466" s="650"/>
      <c r="CU3466" s="73"/>
      <c r="CV3466" s="73"/>
      <c r="CW3466" s="73"/>
      <c r="CX3466" s="73"/>
      <c r="DA3466" s="650"/>
    </row>
    <row r="3467" spans="1:105" s="45" customFormat="1" x14ac:dyDescent="0.2">
      <c r="A3467" s="650"/>
      <c r="B3467" s="438"/>
      <c r="D3467" s="73"/>
      <c r="E3467" s="650"/>
      <c r="F3467" s="650"/>
      <c r="G3467" s="73"/>
      <c r="I3467" s="111"/>
      <c r="J3467" s="81"/>
      <c r="K3467" s="81"/>
      <c r="L3467" s="499"/>
      <c r="M3467" s="73"/>
      <c r="N3467" s="499"/>
      <c r="O3467" s="73"/>
      <c r="P3467" s="73"/>
      <c r="Q3467" s="73"/>
      <c r="R3467" s="176"/>
      <c r="S3467" s="176"/>
      <c r="T3467" s="176"/>
      <c r="U3467" s="400"/>
      <c r="V3467" s="400"/>
      <c r="W3467" s="732"/>
      <c r="X3467" s="167"/>
      <c r="Y3467" s="509"/>
      <c r="Z3467" s="466"/>
      <c r="AA3467" s="466"/>
      <c r="AB3467" s="466"/>
      <c r="AC3467" s="466"/>
      <c r="AD3467" s="466"/>
      <c r="AE3467" s="466"/>
      <c r="AF3467" s="466"/>
      <c r="AG3467" s="466"/>
      <c r="AH3467" s="466"/>
      <c r="AI3467" s="466"/>
      <c r="AJ3467" s="466"/>
      <c r="AK3467" s="466"/>
      <c r="AL3467" s="466"/>
      <c r="AM3467" s="466"/>
      <c r="AN3467" s="466"/>
      <c r="AO3467" s="466"/>
      <c r="AP3467" s="466"/>
      <c r="AQ3467" s="466"/>
      <c r="AR3467" s="466"/>
      <c r="AS3467" s="466"/>
      <c r="AT3467" s="466"/>
      <c r="AU3467" s="466"/>
      <c r="AV3467" s="466"/>
      <c r="AW3467" s="466"/>
      <c r="AX3467" s="466"/>
      <c r="AY3467" s="466"/>
      <c r="AZ3467" s="466"/>
      <c r="BA3467" s="466"/>
      <c r="BB3467" s="466"/>
      <c r="BC3467" s="466"/>
      <c r="BD3467" s="466"/>
      <c r="BE3467" s="467"/>
      <c r="BF3467" s="467"/>
      <c r="BG3467" s="466"/>
      <c r="BH3467" s="466"/>
      <c r="BI3467" s="467"/>
      <c r="BJ3467" s="467"/>
      <c r="BK3467" s="467"/>
      <c r="BL3467" s="467"/>
      <c r="BM3467" s="467"/>
      <c r="BN3467" s="467"/>
      <c r="BO3467" s="467"/>
      <c r="BP3467" s="467"/>
      <c r="BQ3467" s="467"/>
      <c r="BR3467" s="467"/>
      <c r="BS3467" s="467"/>
      <c r="BT3467" s="467"/>
      <c r="BU3467" s="467"/>
      <c r="BV3467" s="467"/>
      <c r="BW3467" s="467"/>
      <c r="BX3467" s="769"/>
      <c r="BY3467" s="769"/>
      <c r="BZ3467" s="769"/>
      <c r="CA3467" s="769"/>
      <c r="CB3467" s="769"/>
      <c r="CC3467" s="769"/>
      <c r="CD3467" s="769"/>
      <c r="CE3467" s="769"/>
      <c r="CF3467" s="769"/>
      <c r="CG3467" s="73"/>
      <c r="CH3467" s="438"/>
      <c r="CI3467" s="416"/>
      <c r="CJ3467" s="73"/>
      <c r="CK3467" s="650"/>
      <c r="CL3467" s="499"/>
      <c r="CM3467" s="650"/>
      <c r="CR3467" s="416"/>
      <c r="CS3467" s="650"/>
      <c r="CU3467" s="73"/>
      <c r="CV3467" s="73"/>
      <c r="CW3467" s="73"/>
      <c r="CX3467" s="73"/>
      <c r="DA3467" s="650"/>
    </row>
    <row r="3468" spans="1:105" s="45" customFormat="1" x14ac:dyDescent="0.2">
      <c r="A3468" s="650"/>
      <c r="B3468" s="438"/>
      <c r="D3468" s="73"/>
      <c r="E3468" s="650"/>
      <c r="F3468" s="650"/>
      <c r="G3468" s="73"/>
      <c r="I3468" s="111"/>
      <c r="J3468" s="81"/>
      <c r="K3468" s="81"/>
      <c r="L3468" s="499"/>
      <c r="M3468" s="73"/>
      <c r="N3468" s="499"/>
      <c r="O3468" s="73"/>
      <c r="P3468" s="73"/>
      <c r="Q3468" s="73"/>
      <c r="R3468" s="176"/>
      <c r="S3468" s="176"/>
      <c r="T3468" s="176"/>
      <c r="U3468" s="400"/>
      <c r="V3468" s="400"/>
      <c r="W3468" s="732"/>
      <c r="X3468" s="167"/>
      <c r="Y3468" s="509"/>
      <c r="Z3468" s="466"/>
      <c r="AA3468" s="466"/>
      <c r="AB3468" s="466"/>
      <c r="AC3468" s="466"/>
      <c r="AD3468" s="466"/>
      <c r="AE3468" s="466"/>
      <c r="AF3468" s="466"/>
      <c r="AG3468" s="466"/>
      <c r="AH3468" s="466"/>
      <c r="AI3468" s="466"/>
      <c r="AJ3468" s="466"/>
      <c r="AK3468" s="466"/>
      <c r="AL3468" s="466"/>
      <c r="AM3468" s="466"/>
      <c r="AN3468" s="466"/>
      <c r="AO3468" s="466"/>
      <c r="AP3468" s="466"/>
      <c r="AQ3468" s="466"/>
      <c r="AR3468" s="466"/>
      <c r="AS3468" s="466"/>
      <c r="AT3468" s="466"/>
      <c r="AU3468" s="466"/>
      <c r="AV3468" s="466"/>
      <c r="AW3468" s="466"/>
      <c r="AX3468" s="466"/>
      <c r="AY3468" s="466"/>
      <c r="AZ3468" s="466"/>
      <c r="BA3468" s="466"/>
      <c r="BB3468" s="466"/>
      <c r="BC3468" s="466"/>
      <c r="BD3468" s="466"/>
      <c r="BE3468" s="467"/>
      <c r="BF3468" s="467"/>
      <c r="BG3468" s="466"/>
      <c r="BH3468" s="466"/>
      <c r="BI3468" s="467"/>
      <c r="BJ3468" s="467"/>
      <c r="BK3468" s="467"/>
      <c r="BL3468" s="467"/>
      <c r="BM3468" s="467"/>
      <c r="BN3468" s="467"/>
      <c r="BO3468" s="467"/>
      <c r="BP3468" s="467"/>
      <c r="BQ3468" s="467"/>
      <c r="BR3468" s="467"/>
      <c r="BS3468" s="467"/>
      <c r="BT3468" s="467"/>
      <c r="BU3468" s="467"/>
      <c r="BV3468" s="467"/>
      <c r="BW3468" s="467"/>
      <c r="BX3468" s="769"/>
      <c r="BY3468" s="769"/>
      <c r="BZ3468" s="769"/>
      <c r="CA3468" s="769"/>
      <c r="CB3468" s="769"/>
      <c r="CC3468" s="769"/>
      <c r="CD3468" s="769"/>
      <c r="CE3468" s="769"/>
      <c r="CF3468" s="769"/>
      <c r="CG3468" s="73"/>
      <c r="CH3468" s="438"/>
      <c r="CI3468" s="416"/>
      <c r="CJ3468" s="73"/>
      <c r="CK3468" s="650"/>
      <c r="CL3468" s="499"/>
      <c r="CM3468" s="650"/>
      <c r="CR3468" s="416"/>
      <c r="CS3468" s="650"/>
      <c r="CU3468" s="73"/>
      <c r="CV3468" s="73"/>
      <c r="CW3468" s="73"/>
      <c r="CX3468" s="73"/>
      <c r="DA3468" s="650"/>
    </row>
    <row r="3469" spans="1:105" s="45" customFormat="1" x14ac:dyDescent="0.2">
      <c r="A3469" s="650"/>
      <c r="B3469" s="438"/>
      <c r="D3469" s="73"/>
      <c r="E3469" s="650"/>
      <c r="F3469" s="650"/>
      <c r="G3469" s="73"/>
      <c r="I3469" s="111"/>
      <c r="J3469" s="81"/>
      <c r="K3469" s="81"/>
      <c r="L3469" s="499"/>
      <c r="M3469" s="73"/>
      <c r="N3469" s="499"/>
      <c r="O3469" s="73"/>
      <c r="P3469" s="73"/>
      <c r="Q3469" s="73"/>
      <c r="R3469" s="176"/>
      <c r="S3469" s="176"/>
      <c r="T3469" s="176"/>
      <c r="U3469" s="400"/>
      <c r="V3469" s="400"/>
      <c r="W3469" s="732"/>
      <c r="X3469" s="167"/>
      <c r="Y3469" s="509"/>
      <c r="Z3469" s="466"/>
      <c r="AA3469" s="466"/>
      <c r="AB3469" s="466"/>
      <c r="AC3469" s="466"/>
      <c r="AD3469" s="466"/>
      <c r="AE3469" s="466"/>
      <c r="AF3469" s="466"/>
      <c r="AG3469" s="466"/>
      <c r="AH3469" s="466"/>
      <c r="AI3469" s="466"/>
      <c r="AJ3469" s="466"/>
      <c r="AK3469" s="466"/>
      <c r="AL3469" s="466"/>
      <c r="AM3469" s="466"/>
      <c r="AN3469" s="466"/>
      <c r="AO3469" s="466"/>
      <c r="AP3469" s="466"/>
      <c r="AQ3469" s="466"/>
      <c r="AR3469" s="466"/>
      <c r="AS3469" s="466"/>
      <c r="AT3469" s="466"/>
      <c r="AU3469" s="466"/>
      <c r="AV3469" s="466"/>
      <c r="AW3469" s="466"/>
      <c r="AX3469" s="466"/>
      <c r="AY3469" s="466"/>
      <c r="AZ3469" s="466"/>
      <c r="BA3469" s="466"/>
      <c r="BB3469" s="466"/>
      <c r="BC3469" s="466"/>
      <c r="BD3469" s="466"/>
      <c r="BE3469" s="467"/>
      <c r="BF3469" s="467"/>
      <c r="BG3469" s="466"/>
      <c r="BH3469" s="466"/>
      <c r="BI3469" s="467"/>
      <c r="BJ3469" s="467"/>
      <c r="BK3469" s="467"/>
      <c r="BL3469" s="467"/>
      <c r="BM3469" s="467"/>
      <c r="BN3469" s="467"/>
      <c r="BO3469" s="467"/>
      <c r="BP3469" s="467"/>
      <c r="BQ3469" s="467"/>
      <c r="BR3469" s="467"/>
      <c r="BS3469" s="467"/>
      <c r="BT3469" s="467"/>
      <c r="BU3469" s="467"/>
      <c r="BV3469" s="467"/>
      <c r="BW3469" s="467"/>
      <c r="BX3469" s="769"/>
      <c r="BY3469" s="769"/>
      <c r="BZ3469" s="769"/>
      <c r="CA3469" s="769"/>
      <c r="CB3469" s="769"/>
      <c r="CC3469" s="769"/>
      <c r="CD3469" s="769"/>
      <c r="CE3469" s="769"/>
      <c r="CF3469" s="769"/>
      <c r="CG3469" s="73"/>
      <c r="CH3469" s="438"/>
      <c r="CI3469" s="416"/>
      <c r="CJ3469" s="73"/>
      <c r="CK3469" s="650"/>
      <c r="CL3469" s="499"/>
      <c r="CM3469" s="650"/>
      <c r="CR3469" s="416"/>
      <c r="CS3469" s="650"/>
      <c r="CU3469" s="73"/>
      <c r="CV3469" s="73"/>
      <c r="CW3469" s="73"/>
      <c r="CX3469" s="73"/>
      <c r="DA3469" s="650"/>
    </row>
    <row r="3470" spans="1:105" s="45" customFormat="1" x14ac:dyDescent="0.2">
      <c r="A3470" s="650"/>
      <c r="B3470" s="438"/>
      <c r="D3470" s="73"/>
      <c r="E3470" s="650"/>
      <c r="F3470" s="650"/>
      <c r="G3470" s="73"/>
      <c r="I3470" s="111"/>
      <c r="J3470" s="81"/>
      <c r="K3470" s="81"/>
      <c r="L3470" s="499"/>
      <c r="M3470" s="73"/>
      <c r="N3470" s="499"/>
      <c r="O3470" s="73"/>
      <c r="P3470" s="73"/>
      <c r="Q3470" s="73"/>
      <c r="R3470" s="176"/>
      <c r="S3470" s="176"/>
      <c r="T3470" s="176"/>
      <c r="U3470" s="400"/>
      <c r="V3470" s="400"/>
      <c r="W3470" s="732"/>
      <c r="X3470" s="167"/>
      <c r="Y3470" s="509"/>
      <c r="Z3470" s="466"/>
      <c r="AA3470" s="466"/>
      <c r="AB3470" s="466"/>
      <c r="AC3470" s="466"/>
      <c r="AD3470" s="466"/>
      <c r="AE3470" s="466"/>
      <c r="AF3470" s="466"/>
      <c r="AG3470" s="466"/>
      <c r="AH3470" s="466"/>
      <c r="AI3470" s="466"/>
      <c r="AJ3470" s="466"/>
      <c r="AK3470" s="466"/>
      <c r="AL3470" s="466"/>
      <c r="AM3470" s="466"/>
      <c r="AN3470" s="466"/>
      <c r="AO3470" s="466"/>
      <c r="AP3470" s="466"/>
      <c r="AQ3470" s="466"/>
      <c r="AR3470" s="466"/>
      <c r="AS3470" s="466"/>
      <c r="AT3470" s="466"/>
      <c r="AU3470" s="466"/>
      <c r="AV3470" s="466"/>
      <c r="AW3470" s="466"/>
      <c r="AX3470" s="466"/>
      <c r="AY3470" s="466"/>
      <c r="AZ3470" s="466"/>
      <c r="BA3470" s="466"/>
      <c r="BB3470" s="466"/>
      <c r="BC3470" s="466"/>
      <c r="BD3470" s="466"/>
      <c r="BE3470" s="467"/>
      <c r="BF3470" s="467"/>
      <c r="BG3470" s="466"/>
      <c r="BH3470" s="466"/>
      <c r="BI3470" s="467"/>
      <c r="BJ3470" s="467"/>
      <c r="BK3470" s="467"/>
      <c r="BL3470" s="467"/>
      <c r="BM3470" s="467"/>
      <c r="BN3470" s="467"/>
      <c r="BO3470" s="467"/>
      <c r="BP3470" s="467"/>
      <c r="BQ3470" s="467"/>
      <c r="BR3470" s="467"/>
      <c r="BS3470" s="467"/>
      <c r="BT3470" s="467"/>
      <c r="BU3470" s="467"/>
      <c r="BV3470" s="467"/>
      <c r="BW3470" s="467"/>
      <c r="BX3470" s="769"/>
      <c r="BY3470" s="769"/>
      <c r="BZ3470" s="769"/>
      <c r="CA3470" s="769"/>
      <c r="CB3470" s="769"/>
      <c r="CC3470" s="769"/>
      <c r="CD3470" s="769"/>
      <c r="CE3470" s="769"/>
      <c r="CF3470" s="769"/>
      <c r="CG3470" s="73"/>
      <c r="CH3470" s="438"/>
      <c r="CI3470" s="416"/>
      <c r="CJ3470" s="73"/>
      <c r="CK3470" s="650"/>
      <c r="CL3470" s="499"/>
      <c r="CM3470" s="650"/>
      <c r="CR3470" s="416"/>
      <c r="CS3470" s="650"/>
      <c r="CU3470" s="73"/>
      <c r="CV3470" s="73"/>
      <c r="CW3470" s="73"/>
      <c r="CX3470" s="73"/>
      <c r="DA3470" s="650"/>
    </row>
    <row r="3471" spans="1:105" s="45" customFormat="1" x14ac:dyDescent="0.2">
      <c r="A3471" s="650"/>
      <c r="B3471" s="438"/>
      <c r="D3471" s="73"/>
      <c r="E3471" s="650"/>
      <c r="F3471" s="650"/>
      <c r="G3471" s="73"/>
      <c r="I3471" s="111"/>
      <c r="J3471" s="81"/>
      <c r="K3471" s="81"/>
      <c r="L3471" s="499"/>
      <c r="M3471" s="73"/>
      <c r="N3471" s="499"/>
      <c r="O3471" s="73"/>
      <c r="P3471" s="73"/>
      <c r="Q3471" s="73"/>
      <c r="R3471" s="176"/>
      <c r="S3471" s="176"/>
      <c r="T3471" s="176"/>
      <c r="U3471" s="400"/>
      <c r="V3471" s="400"/>
      <c r="W3471" s="732"/>
      <c r="X3471" s="167"/>
      <c r="Y3471" s="509"/>
      <c r="Z3471" s="466"/>
      <c r="AA3471" s="466"/>
      <c r="AB3471" s="466"/>
      <c r="AC3471" s="466"/>
      <c r="AD3471" s="466"/>
      <c r="AE3471" s="466"/>
      <c r="AF3471" s="466"/>
      <c r="AG3471" s="466"/>
      <c r="AH3471" s="466"/>
      <c r="AI3471" s="466"/>
      <c r="AJ3471" s="466"/>
      <c r="AK3471" s="466"/>
      <c r="AL3471" s="466"/>
      <c r="AM3471" s="466"/>
      <c r="AN3471" s="466"/>
      <c r="AO3471" s="466"/>
      <c r="AP3471" s="466"/>
      <c r="AQ3471" s="466"/>
      <c r="AR3471" s="466"/>
      <c r="AS3471" s="466"/>
      <c r="AT3471" s="466"/>
      <c r="AU3471" s="466"/>
      <c r="AV3471" s="466"/>
      <c r="AW3471" s="466"/>
      <c r="AX3471" s="466"/>
      <c r="AY3471" s="466"/>
      <c r="AZ3471" s="466"/>
      <c r="BA3471" s="466"/>
      <c r="BB3471" s="466"/>
      <c r="BC3471" s="466"/>
      <c r="BD3471" s="466"/>
      <c r="BE3471" s="467"/>
      <c r="BF3471" s="467"/>
      <c r="BG3471" s="466"/>
      <c r="BH3471" s="466"/>
      <c r="BI3471" s="467"/>
      <c r="BJ3471" s="467"/>
      <c r="BK3471" s="467"/>
      <c r="BL3471" s="467"/>
      <c r="BM3471" s="467"/>
      <c r="BN3471" s="467"/>
      <c r="BO3471" s="467"/>
      <c r="BP3471" s="467"/>
      <c r="BQ3471" s="467"/>
      <c r="BR3471" s="467"/>
      <c r="BS3471" s="467"/>
      <c r="BT3471" s="467"/>
      <c r="BU3471" s="467"/>
      <c r="BV3471" s="467"/>
      <c r="BW3471" s="467"/>
      <c r="BX3471" s="769"/>
      <c r="BY3471" s="769"/>
      <c r="BZ3471" s="769"/>
      <c r="CA3471" s="769"/>
      <c r="CB3471" s="769"/>
      <c r="CC3471" s="769"/>
      <c r="CD3471" s="769"/>
      <c r="CE3471" s="769"/>
      <c r="CF3471" s="769"/>
      <c r="CG3471" s="73"/>
      <c r="CH3471" s="438"/>
      <c r="CI3471" s="416"/>
      <c r="CJ3471" s="73"/>
      <c r="CK3471" s="650"/>
      <c r="CL3471" s="499"/>
      <c r="CM3471" s="650"/>
      <c r="CR3471" s="416"/>
      <c r="CS3471" s="650"/>
      <c r="CU3471" s="73"/>
      <c r="CV3471" s="73"/>
      <c r="CW3471" s="73"/>
      <c r="CX3471" s="73"/>
      <c r="DA3471" s="650"/>
    </row>
    <row r="3472" spans="1:105" s="45" customFormat="1" x14ac:dyDescent="0.2">
      <c r="A3472" s="650"/>
      <c r="B3472" s="438"/>
      <c r="D3472" s="73"/>
      <c r="E3472" s="650"/>
      <c r="F3472" s="650"/>
      <c r="G3472" s="73"/>
      <c r="I3472" s="111"/>
      <c r="J3472" s="81"/>
      <c r="K3472" s="81"/>
      <c r="L3472" s="499"/>
      <c r="M3472" s="73"/>
      <c r="N3472" s="499"/>
      <c r="O3472" s="73"/>
      <c r="P3472" s="73"/>
      <c r="Q3472" s="73"/>
      <c r="R3472" s="176"/>
      <c r="S3472" s="176"/>
      <c r="T3472" s="176"/>
      <c r="U3472" s="400"/>
      <c r="V3472" s="400"/>
      <c r="W3472" s="732"/>
      <c r="X3472" s="167"/>
      <c r="Y3472" s="509"/>
      <c r="Z3472" s="466"/>
      <c r="AA3472" s="466"/>
      <c r="AB3472" s="466"/>
      <c r="AC3472" s="466"/>
      <c r="AD3472" s="466"/>
      <c r="AE3472" s="466"/>
      <c r="AF3472" s="466"/>
      <c r="AG3472" s="466"/>
      <c r="AH3472" s="466"/>
      <c r="AI3472" s="466"/>
      <c r="AJ3472" s="466"/>
      <c r="AK3472" s="466"/>
      <c r="AL3472" s="466"/>
      <c r="AM3472" s="466"/>
      <c r="AN3472" s="466"/>
      <c r="AO3472" s="466"/>
      <c r="AP3472" s="466"/>
      <c r="AQ3472" s="466"/>
      <c r="AR3472" s="466"/>
      <c r="AS3472" s="466"/>
      <c r="AT3472" s="466"/>
      <c r="AU3472" s="466"/>
      <c r="AV3472" s="466"/>
      <c r="AW3472" s="466"/>
      <c r="AX3472" s="466"/>
      <c r="AY3472" s="466"/>
      <c r="AZ3472" s="466"/>
      <c r="BA3472" s="466"/>
      <c r="BB3472" s="466"/>
      <c r="BC3472" s="466"/>
      <c r="BD3472" s="466"/>
      <c r="BE3472" s="467"/>
      <c r="BF3472" s="467"/>
      <c r="BG3472" s="466"/>
      <c r="BH3472" s="466"/>
      <c r="BI3472" s="467"/>
      <c r="BJ3472" s="467"/>
      <c r="BK3472" s="467"/>
      <c r="BL3472" s="467"/>
      <c r="BM3472" s="467"/>
      <c r="BN3472" s="467"/>
      <c r="BO3472" s="467"/>
      <c r="BP3472" s="467"/>
      <c r="BQ3472" s="467"/>
      <c r="BR3472" s="467"/>
      <c r="BS3472" s="467"/>
      <c r="BT3472" s="467"/>
      <c r="BU3472" s="467"/>
      <c r="BV3472" s="467"/>
      <c r="BW3472" s="467"/>
      <c r="BX3472" s="769"/>
      <c r="BY3472" s="769"/>
      <c r="BZ3472" s="769"/>
      <c r="CA3472" s="769"/>
      <c r="CB3472" s="769"/>
      <c r="CC3472" s="769"/>
      <c r="CD3472" s="769"/>
      <c r="CE3472" s="769"/>
      <c r="CF3472" s="769"/>
      <c r="CG3472" s="73"/>
      <c r="CH3472" s="438"/>
      <c r="CI3472" s="416"/>
      <c r="CJ3472" s="73"/>
      <c r="CK3472" s="650"/>
      <c r="CL3472" s="499"/>
      <c r="CM3472" s="650"/>
      <c r="CR3472" s="416"/>
      <c r="CS3472" s="650"/>
      <c r="CU3472" s="73"/>
      <c r="CV3472" s="73"/>
      <c r="CW3472" s="73"/>
      <c r="CX3472" s="73"/>
      <c r="DA3472" s="650"/>
    </row>
    <row r="3473" spans="1:105" s="45" customFormat="1" x14ac:dyDescent="0.2">
      <c r="A3473" s="650"/>
      <c r="B3473" s="438"/>
      <c r="D3473" s="73"/>
      <c r="E3473" s="650"/>
      <c r="F3473" s="650"/>
      <c r="G3473" s="73"/>
      <c r="I3473" s="111"/>
      <c r="J3473" s="81"/>
      <c r="K3473" s="81"/>
      <c r="L3473" s="499"/>
      <c r="M3473" s="73"/>
      <c r="N3473" s="499"/>
      <c r="O3473" s="73"/>
      <c r="P3473" s="73"/>
      <c r="Q3473" s="73"/>
      <c r="R3473" s="176"/>
      <c r="S3473" s="176"/>
      <c r="T3473" s="176"/>
      <c r="U3473" s="400"/>
      <c r="V3473" s="400"/>
      <c r="W3473" s="732"/>
      <c r="X3473" s="167"/>
      <c r="Y3473" s="509"/>
      <c r="Z3473" s="466"/>
      <c r="AA3473" s="466"/>
      <c r="AB3473" s="466"/>
      <c r="AC3473" s="466"/>
      <c r="AD3473" s="466"/>
      <c r="AE3473" s="466"/>
      <c r="AF3473" s="466"/>
      <c r="AG3473" s="466"/>
      <c r="AH3473" s="466"/>
      <c r="AI3473" s="466"/>
      <c r="AJ3473" s="466"/>
      <c r="AK3473" s="466"/>
      <c r="AL3473" s="466"/>
      <c r="AM3473" s="466"/>
      <c r="AN3473" s="466"/>
      <c r="AO3473" s="466"/>
      <c r="AP3473" s="466"/>
      <c r="AQ3473" s="466"/>
      <c r="AR3473" s="466"/>
      <c r="AS3473" s="466"/>
      <c r="AT3473" s="466"/>
      <c r="AU3473" s="466"/>
      <c r="AV3473" s="466"/>
      <c r="AW3473" s="466"/>
      <c r="AX3473" s="466"/>
      <c r="AY3473" s="466"/>
      <c r="AZ3473" s="466"/>
      <c r="BA3473" s="466"/>
      <c r="BB3473" s="466"/>
      <c r="BC3473" s="466"/>
      <c r="BD3473" s="466"/>
      <c r="BE3473" s="467"/>
      <c r="BF3473" s="467"/>
      <c r="BG3473" s="466"/>
      <c r="BH3473" s="466"/>
      <c r="BI3473" s="467"/>
      <c r="BJ3473" s="467"/>
      <c r="BK3473" s="467"/>
      <c r="BL3473" s="467"/>
      <c r="BM3473" s="467"/>
      <c r="BN3473" s="467"/>
      <c r="BO3473" s="467"/>
      <c r="BP3473" s="467"/>
      <c r="BQ3473" s="467"/>
      <c r="BR3473" s="467"/>
      <c r="BS3473" s="467"/>
      <c r="BT3473" s="467"/>
      <c r="BU3473" s="467"/>
      <c r="BV3473" s="467"/>
      <c r="BW3473" s="467"/>
      <c r="BX3473" s="769"/>
      <c r="BY3473" s="769"/>
      <c r="BZ3473" s="769"/>
      <c r="CA3473" s="769"/>
      <c r="CB3473" s="769"/>
      <c r="CC3473" s="769"/>
      <c r="CD3473" s="769"/>
      <c r="CE3473" s="769"/>
      <c r="CF3473" s="769"/>
      <c r="CG3473" s="73"/>
      <c r="CH3473" s="438"/>
      <c r="CI3473" s="416"/>
      <c r="CJ3473" s="73"/>
      <c r="CK3473" s="650"/>
      <c r="CL3473" s="499"/>
      <c r="CM3473" s="650"/>
      <c r="CR3473" s="416"/>
      <c r="CS3473" s="650"/>
      <c r="CU3473" s="73"/>
      <c r="CV3473" s="73"/>
      <c r="CW3473" s="73"/>
      <c r="CX3473" s="73"/>
      <c r="DA3473" s="650"/>
    </row>
    <row r="3474" spans="1:105" s="45" customFormat="1" x14ac:dyDescent="0.2">
      <c r="A3474" s="650"/>
      <c r="B3474" s="438"/>
      <c r="D3474" s="73"/>
      <c r="E3474" s="650"/>
      <c r="F3474" s="650"/>
      <c r="G3474" s="73"/>
      <c r="I3474" s="111"/>
      <c r="J3474" s="81"/>
      <c r="K3474" s="81"/>
      <c r="L3474" s="499"/>
      <c r="M3474" s="73"/>
      <c r="N3474" s="499"/>
      <c r="O3474" s="73"/>
      <c r="P3474" s="73"/>
      <c r="Q3474" s="73"/>
      <c r="R3474" s="176"/>
      <c r="S3474" s="176"/>
      <c r="T3474" s="176"/>
      <c r="U3474" s="400"/>
      <c r="V3474" s="400"/>
      <c r="W3474" s="732"/>
      <c r="X3474" s="167"/>
      <c r="Y3474" s="509"/>
      <c r="Z3474" s="466"/>
      <c r="AA3474" s="466"/>
      <c r="AB3474" s="466"/>
      <c r="AC3474" s="466"/>
      <c r="AD3474" s="466"/>
      <c r="AE3474" s="466"/>
      <c r="AF3474" s="466"/>
      <c r="AG3474" s="466"/>
      <c r="AH3474" s="466"/>
      <c r="AI3474" s="466"/>
      <c r="AJ3474" s="466"/>
      <c r="AK3474" s="466"/>
      <c r="AL3474" s="466"/>
      <c r="AM3474" s="466"/>
      <c r="AN3474" s="466"/>
      <c r="AO3474" s="466"/>
      <c r="AP3474" s="466"/>
      <c r="AQ3474" s="466"/>
      <c r="AR3474" s="466"/>
      <c r="AS3474" s="466"/>
      <c r="AT3474" s="466"/>
      <c r="AU3474" s="466"/>
      <c r="AV3474" s="466"/>
      <c r="AW3474" s="466"/>
      <c r="AX3474" s="466"/>
      <c r="AY3474" s="466"/>
      <c r="AZ3474" s="466"/>
      <c r="BA3474" s="466"/>
      <c r="BB3474" s="466"/>
      <c r="BC3474" s="466"/>
      <c r="BD3474" s="466"/>
      <c r="BE3474" s="467"/>
      <c r="BF3474" s="467"/>
      <c r="BG3474" s="466"/>
      <c r="BH3474" s="466"/>
      <c r="BI3474" s="467"/>
      <c r="BJ3474" s="467"/>
      <c r="BK3474" s="467"/>
      <c r="BL3474" s="467"/>
      <c r="BM3474" s="467"/>
      <c r="BN3474" s="467"/>
      <c r="BO3474" s="467"/>
      <c r="BP3474" s="467"/>
      <c r="BQ3474" s="467"/>
      <c r="BR3474" s="467"/>
      <c r="BS3474" s="467"/>
      <c r="BT3474" s="467"/>
      <c r="BU3474" s="467"/>
      <c r="BV3474" s="467"/>
      <c r="BW3474" s="467"/>
      <c r="BX3474" s="769"/>
      <c r="BY3474" s="769"/>
      <c r="BZ3474" s="769"/>
      <c r="CA3474" s="769"/>
      <c r="CB3474" s="769"/>
      <c r="CC3474" s="769"/>
      <c r="CD3474" s="769"/>
      <c r="CE3474" s="769"/>
      <c r="CF3474" s="769"/>
      <c r="CG3474" s="73"/>
      <c r="CH3474" s="438"/>
      <c r="CI3474" s="416"/>
      <c r="CJ3474" s="73"/>
      <c r="CK3474" s="650"/>
      <c r="CL3474" s="499"/>
      <c r="CM3474" s="650"/>
      <c r="CR3474" s="416"/>
      <c r="CS3474" s="650"/>
      <c r="CU3474" s="73"/>
      <c r="CV3474" s="73"/>
      <c r="CW3474" s="73"/>
      <c r="CX3474" s="73"/>
      <c r="DA3474" s="650"/>
    </row>
    <row r="3475" spans="1:105" s="45" customFormat="1" x14ac:dyDescent="0.2">
      <c r="A3475" s="650"/>
      <c r="B3475" s="438"/>
      <c r="D3475" s="73"/>
      <c r="E3475" s="650"/>
      <c r="F3475" s="650"/>
      <c r="G3475" s="73"/>
      <c r="I3475" s="111"/>
      <c r="J3475" s="81"/>
      <c r="K3475" s="81"/>
      <c r="L3475" s="499"/>
      <c r="M3475" s="73"/>
      <c r="N3475" s="499"/>
      <c r="O3475" s="73"/>
      <c r="P3475" s="73"/>
      <c r="Q3475" s="73"/>
      <c r="R3475" s="176"/>
      <c r="S3475" s="176"/>
      <c r="T3475" s="176"/>
      <c r="U3475" s="400"/>
      <c r="V3475" s="400"/>
      <c r="W3475" s="732"/>
      <c r="X3475" s="167"/>
      <c r="Y3475" s="509"/>
      <c r="Z3475" s="466"/>
      <c r="AA3475" s="466"/>
      <c r="AB3475" s="466"/>
      <c r="AC3475" s="466"/>
      <c r="AD3475" s="466"/>
      <c r="AE3475" s="466"/>
      <c r="AF3475" s="466"/>
      <c r="AG3475" s="466"/>
      <c r="AH3475" s="466"/>
      <c r="AI3475" s="466"/>
      <c r="AJ3475" s="466"/>
      <c r="AK3475" s="466"/>
      <c r="AL3475" s="466"/>
      <c r="AM3475" s="466"/>
      <c r="AN3475" s="466"/>
      <c r="AO3475" s="466"/>
      <c r="AP3475" s="466"/>
      <c r="AQ3475" s="466"/>
      <c r="AR3475" s="466"/>
      <c r="AS3475" s="466"/>
      <c r="AT3475" s="466"/>
      <c r="AU3475" s="466"/>
      <c r="AV3475" s="466"/>
      <c r="AW3475" s="466"/>
      <c r="AX3475" s="466"/>
      <c r="AY3475" s="466"/>
      <c r="AZ3475" s="466"/>
      <c r="BA3475" s="466"/>
      <c r="BB3475" s="466"/>
      <c r="BC3475" s="466"/>
      <c r="BD3475" s="466"/>
      <c r="BE3475" s="467"/>
      <c r="BF3475" s="467"/>
      <c r="BG3475" s="466"/>
      <c r="BH3475" s="466"/>
      <c r="BI3475" s="467"/>
      <c r="BJ3475" s="467"/>
      <c r="BK3475" s="467"/>
      <c r="BL3475" s="467"/>
      <c r="BM3475" s="467"/>
      <c r="BN3475" s="467"/>
      <c r="BO3475" s="467"/>
      <c r="BP3475" s="467"/>
      <c r="BQ3475" s="467"/>
      <c r="BR3475" s="467"/>
      <c r="BS3475" s="467"/>
      <c r="BT3475" s="467"/>
      <c r="BU3475" s="467"/>
      <c r="BV3475" s="467"/>
      <c r="BW3475" s="467"/>
      <c r="BX3475" s="769"/>
      <c r="BY3475" s="769"/>
      <c r="BZ3475" s="769"/>
      <c r="CA3475" s="769"/>
      <c r="CB3475" s="769"/>
      <c r="CC3475" s="769"/>
      <c r="CD3475" s="769"/>
      <c r="CE3475" s="769"/>
      <c r="CF3475" s="769"/>
      <c r="CG3475" s="73"/>
      <c r="CH3475" s="438"/>
      <c r="CI3475" s="416"/>
      <c r="CJ3475" s="73"/>
      <c r="CK3475" s="650"/>
      <c r="CL3475" s="499"/>
      <c r="CM3475" s="650"/>
      <c r="CR3475" s="416"/>
      <c r="CS3475" s="650"/>
      <c r="CU3475" s="73"/>
      <c r="CV3475" s="73"/>
      <c r="CW3475" s="73"/>
      <c r="CX3475" s="73"/>
      <c r="DA3475" s="650"/>
    </row>
    <row r="3476" spans="1:105" s="45" customFormat="1" x14ac:dyDescent="0.2">
      <c r="A3476" s="650"/>
      <c r="B3476" s="438"/>
      <c r="D3476" s="73"/>
      <c r="E3476" s="650"/>
      <c r="F3476" s="650"/>
      <c r="G3476" s="73"/>
      <c r="I3476" s="111"/>
      <c r="J3476" s="81"/>
      <c r="K3476" s="81"/>
      <c r="L3476" s="499"/>
      <c r="M3476" s="73"/>
      <c r="N3476" s="499"/>
      <c r="O3476" s="73"/>
      <c r="P3476" s="73"/>
      <c r="Q3476" s="73"/>
      <c r="R3476" s="176"/>
      <c r="S3476" s="176"/>
      <c r="T3476" s="176"/>
      <c r="U3476" s="400"/>
      <c r="V3476" s="400"/>
      <c r="W3476" s="732"/>
      <c r="X3476" s="167"/>
      <c r="Y3476" s="509"/>
      <c r="Z3476" s="466"/>
      <c r="AA3476" s="466"/>
      <c r="AB3476" s="466"/>
      <c r="AC3476" s="466"/>
      <c r="AD3476" s="466"/>
      <c r="AE3476" s="466"/>
      <c r="AF3476" s="466"/>
      <c r="AG3476" s="466"/>
      <c r="AH3476" s="466"/>
      <c r="AI3476" s="466"/>
      <c r="AJ3476" s="466"/>
      <c r="AK3476" s="466"/>
      <c r="AL3476" s="466"/>
      <c r="AM3476" s="466"/>
      <c r="AN3476" s="466"/>
      <c r="AO3476" s="466"/>
      <c r="AP3476" s="466"/>
      <c r="AQ3476" s="466"/>
      <c r="AR3476" s="466"/>
      <c r="AS3476" s="466"/>
      <c r="AT3476" s="466"/>
      <c r="AU3476" s="466"/>
      <c r="AV3476" s="466"/>
      <c r="AW3476" s="466"/>
      <c r="AX3476" s="466"/>
      <c r="AY3476" s="466"/>
      <c r="AZ3476" s="466"/>
      <c r="BA3476" s="466"/>
      <c r="BB3476" s="466"/>
      <c r="BC3476" s="466"/>
      <c r="BD3476" s="466"/>
      <c r="BE3476" s="467"/>
      <c r="BF3476" s="467"/>
      <c r="BG3476" s="466"/>
      <c r="BH3476" s="466"/>
      <c r="BI3476" s="467"/>
      <c r="BJ3476" s="467"/>
      <c r="BK3476" s="467"/>
      <c r="BL3476" s="467"/>
      <c r="BM3476" s="467"/>
      <c r="BN3476" s="467"/>
      <c r="BO3476" s="467"/>
      <c r="BP3476" s="467"/>
      <c r="BQ3476" s="467"/>
      <c r="BR3476" s="467"/>
      <c r="BS3476" s="467"/>
      <c r="BT3476" s="467"/>
      <c r="BU3476" s="467"/>
      <c r="BV3476" s="467"/>
      <c r="BW3476" s="467"/>
      <c r="BX3476" s="769"/>
      <c r="BY3476" s="769"/>
      <c r="BZ3476" s="769"/>
      <c r="CA3476" s="769"/>
      <c r="CB3476" s="769"/>
      <c r="CC3476" s="769"/>
      <c r="CD3476" s="769"/>
      <c r="CE3476" s="769"/>
      <c r="CF3476" s="769"/>
      <c r="CG3476" s="73"/>
      <c r="CH3476" s="438"/>
      <c r="CI3476" s="416"/>
      <c r="CJ3476" s="73"/>
      <c r="CK3476" s="650"/>
      <c r="CL3476" s="499"/>
      <c r="CM3476" s="650"/>
      <c r="CR3476" s="416"/>
      <c r="CS3476" s="650"/>
      <c r="CU3476" s="73"/>
      <c r="CV3476" s="73"/>
      <c r="CW3476" s="73"/>
      <c r="CX3476" s="73"/>
      <c r="DA3476" s="650"/>
    </row>
    <row r="3477" spans="1:105" s="45" customFormat="1" x14ac:dyDescent="0.2">
      <c r="A3477" s="650"/>
      <c r="B3477" s="438"/>
      <c r="D3477" s="73"/>
      <c r="E3477" s="650"/>
      <c r="F3477" s="650"/>
      <c r="G3477" s="73"/>
      <c r="I3477" s="111"/>
      <c r="J3477" s="81"/>
      <c r="K3477" s="81"/>
      <c r="L3477" s="499"/>
      <c r="M3477" s="73"/>
      <c r="N3477" s="499"/>
      <c r="O3477" s="73"/>
      <c r="P3477" s="73"/>
      <c r="Q3477" s="73"/>
      <c r="R3477" s="176"/>
      <c r="S3477" s="176"/>
      <c r="T3477" s="176"/>
      <c r="U3477" s="400"/>
      <c r="V3477" s="400"/>
      <c r="W3477" s="732"/>
      <c r="X3477" s="167"/>
      <c r="Y3477" s="509"/>
      <c r="Z3477" s="466"/>
      <c r="AA3477" s="466"/>
      <c r="AB3477" s="466"/>
      <c r="AC3477" s="466"/>
      <c r="AD3477" s="466"/>
      <c r="AE3477" s="466"/>
      <c r="AF3477" s="466"/>
      <c r="AG3477" s="466"/>
      <c r="AH3477" s="466"/>
      <c r="AI3477" s="466"/>
      <c r="AJ3477" s="466"/>
      <c r="AK3477" s="466"/>
      <c r="AL3477" s="466"/>
      <c r="AM3477" s="466"/>
      <c r="AN3477" s="466"/>
      <c r="AO3477" s="466"/>
      <c r="AP3477" s="466"/>
      <c r="AQ3477" s="466"/>
      <c r="AR3477" s="466"/>
      <c r="AS3477" s="466"/>
      <c r="AT3477" s="466"/>
      <c r="AU3477" s="466"/>
      <c r="AV3477" s="466"/>
      <c r="AW3477" s="466"/>
      <c r="AX3477" s="466"/>
      <c r="AY3477" s="466"/>
      <c r="AZ3477" s="466"/>
      <c r="BA3477" s="466"/>
      <c r="BB3477" s="466"/>
      <c r="BC3477" s="466"/>
      <c r="BD3477" s="466"/>
      <c r="BE3477" s="467"/>
      <c r="BF3477" s="467"/>
      <c r="BG3477" s="466"/>
      <c r="BH3477" s="466"/>
      <c r="BI3477" s="467"/>
      <c r="BJ3477" s="467"/>
      <c r="BK3477" s="467"/>
      <c r="BL3477" s="467"/>
      <c r="BM3477" s="467"/>
      <c r="BN3477" s="467"/>
      <c r="BO3477" s="467"/>
      <c r="BP3477" s="467"/>
      <c r="BQ3477" s="467"/>
      <c r="BR3477" s="467"/>
      <c r="BS3477" s="467"/>
      <c r="BT3477" s="467"/>
      <c r="BU3477" s="467"/>
      <c r="BV3477" s="467"/>
      <c r="BW3477" s="467"/>
      <c r="BX3477" s="769"/>
      <c r="BY3477" s="769"/>
      <c r="BZ3477" s="769"/>
      <c r="CA3477" s="769"/>
      <c r="CB3477" s="769"/>
      <c r="CC3477" s="769"/>
      <c r="CD3477" s="769"/>
      <c r="CE3477" s="769"/>
      <c r="CF3477" s="769"/>
      <c r="CG3477" s="73"/>
      <c r="CH3477" s="438"/>
      <c r="CI3477" s="416"/>
      <c r="CJ3477" s="73"/>
      <c r="CK3477" s="650"/>
      <c r="CL3477" s="499"/>
      <c r="CM3477" s="650"/>
      <c r="CR3477" s="416"/>
      <c r="CS3477" s="650"/>
      <c r="CU3477" s="73"/>
      <c r="CV3477" s="73"/>
      <c r="CW3477" s="73"/>
      <c r="CX3477" s="73"/>
      <c r="DA3477" s="650"/>
    </row>
    <row r="3478" spans="1:105" s="45" customFormat="1" x14ac:dyDescent="0.2">
      <c r="A3478" s="650"/>
      <c r="B3478" s="438"/>
      <c r="D3478" s="73"/>
      <c r="E3478" s="650"/>
      <c r="F3478" s="650"/>
      <c r="G3478" s="73"/>
      <c r="I3478" s="111"/>
      <c r="J3478" s="81"/>
      <c r="K3478" s="81"/>
      <c r="L3478" s="499"/>
      <c r="M3478" s="73"/>
      <c r="N3478" s="499"/>
      <c r="O3478" s="73"/>
      <c r="P3478" s="73"/>
      <c r="Q3478" s="73"/>
      <c r="R3478" s="176"/>
      <c r="S3478" s="176"/>
      <c r="T3478" s="176"/>
      <c r="U3478" s="400"/>
      <c r="V3478" s="400"/>
      <c r="W3478" s="732"/>
      <c r="X3478" s="167"/>
      <c r="Y3478" s="509"/>
      <c r="Z3478" s="466"/>
      <c r="AA3478" s="466"/>
      <c r="AB3478" s="466"/>
      <c r="AC3478" s="466"/>
      <c r="AD3478" s="466"/>
      <c r="AE3478" s="466"/>
      <c r="AF3478" s="466"/>
      <c r="AG3478" s="466"/>
      <c r="AH3478" s="466"/>
      <c r="AI3478" s="466"/>
      <c r="AJ3478" s="466"/>
      <c r="AK3478" s="466"/>
      <c r="AL3478" s="466"/>
      <c r="AM3478" s="466"/>
      <c r="AN3478" s="466"/>
      <c r="AO3478" s="466"/>
      <c r="AP3478" s="466"/>
      <c r="AQ3478" s="466"/>
      <c r="AR3478" s="466"/>
      <c r="AS3478" s="466"/>
      <c r="AT3478" s="466"/>
      <c r="AU3478" s="466"/>
      <c r="AV3478" s="466"/>
      <c r="AW3478" s="466"/>
      <c r="AX3478" s="466"/>
      <c r="AY3478" s="466"/>
      <c r="AZ3478" s="466"/>
      <c r="BA3478" s="466"/>
      <c r="BB3478" s="466"/>
      <c r="BC3478" s="466"/>
      <c r="BD3478" s="466"/>
      <c r="BE3478" s="467"/>
      <c r="BF3478" s="467"/>
      <c r="BG3478" s="466"/>
      <c r="BH3478" s="466"/>
      <c r="BI3478" s="467"/>
      <c r="BJ3478" s="467"/>
      <c r="BK3478" s="467"/>
      <c r="BL3478" s="467"/>
      <c r="BM3478" s="467"/>
      <c r="BN3478" s="467"/>
      <c r="BO3478" s="467"/>
      <c r="BP3478" s="467"/>
      <c r="BQ3478" s="467"/>
      <c r="BR3478" s="467"/>
      <c r="BS3478" s="467"/>
      <c r="BT3478" s="467"/>
      <c r="BU3478" s="467"/>
      <c r="BV3478" s="467"/>
      <c r="BW3478" s="467"/>
      <c r="BX3478" s="769"/>
      <c r="BY3478" s="769"/>
      <c r="BZ3478" s="769"/>
      <c r="CA3478" s="769"/>
      <c r="CB3478" s="769"/>
      <c r="CC3478" s="769"/>
      <c r="CD3478" s="769"/>
      <c r="CE3478" s="769"/>
      <c r="CF3478" s="769"/>
      <c r="CG3478" s="73"/>
      <c r="CH3478" s="438"/>
      <c r="CI3478" s="416"/>
      <c r="CJ3478" s="73"/>
      <c r="CK3478" s="650"/>
      <c r="CL3478" s="499"/>
      <c r="CM3478" s="650"/>
      <c r="CR3478" s="416"/>
      <c r="CS3478" s="650"/>
      <c r="CU3478" s="73"/>
      <c r="CV3478" s="73"/>
      <c r="CW3478" s="73"/>
      <c r="CX3478" s="73"/>
      <c r="DA3478" s="650"/>
    </row>
    <row r="3479" spans="1:105" s="45" customFormat="1" x14ac:dyDescent="0.2">
      <c r="A3479" s="650"/>
      <c r="B3479" s="438"/>
      <c r="D3479" s="73"/>
      <c r="E3479" s="650"/>
      <c r="F3479" s="650"/>
      <c r="G3479" s="73"/>
      <c r="I3479" s="111"/>
      <c r="J3479" s="81"/>
      <c r="K3479" s="81"/>
      <c r="L3479" s="499"/>
      <c r="M3479" s="73"/>
      <c r="N3479" s="499"/>
      <c r="O3479" s="73"/>
      <c r="P3479" s="73"/>
      <c r="Q3479" s="73"/>
      <c r="R3479" s="176"/>
      <c r="S3479" s="176"/>
      <c r="T3479" s="176"/>
      <c r="U3479" s="400"/>
      <c r="V3479" s="400"/>
      <c r="W3479" s="732"/>
      <c r="X3479" s="167"/>
      <c r="Y3479" s="509"/>
      <c r="Z3479" s="466"/>
      <c r="AA3479" s="466"/>
      <c r="AB3479" s="466"/>
      <c r="AC3479" s="466"/>
      <c r="AD3479" s="466"/>
      <c r="AE3479" s="466"/>
      <c r="AF3479" s="466"/>
      <c r="AG3479" s="466"/>
      <c r="AH3479" s="466"/>
      <c r="AI3479" s="466"/>
      <c r="AJ3479" s="466"/>
      <c r="AK3479" s="466"/>
      <c r="AL3479" s="466"/>
      <c r="AM3479" s="466"/>
      <c r="AN3479" s="466"/>
      <c r="AO3479" s="466"/>
      <c r="AP3479" s="466"/>
      <c r="AQ3479" s="466"/>
      <c r="AR3479" s="466"/>
      <c r="AS3479" s="466"/>
      <c r="AT3479" s="466"/>
      <c r="AU3479" s="466"/>
      <c r="AV3479" s="466"/>
      <c r="AW3479" s="466"/>
      <c r="AX3479" s="466"/>
      <c r="AY3479" s="466"/>
      <c r="AZ3479" s="466"/>
      <c r="BA3479" s="466"/>
      <c r="BB3479" s="466"/>
      <c r="BC3479" s="466"/>
      <c r="BD3479" s="466"/>
      <c r="BE3479" s="467"/>
      <c r="BF3479" s="467"/>
      <c r="BG3479" s="466"/>
      <c r="BH3479" s="466"/>
      <c r="BI3479" s="467"/>
      <c r="BJ3479" s="467"/>
      <c r="BK3479" s="467"/>
      <c r="BL3479" s="467"/>
      <c r="BM3479" s="467"/>
      <c r="BN3479" s="467"/>
      <c r="BO3479" s="467"/>
      <c r="BP3479" s="467"/>
      <c r="BQ3479" s="467"/>
      <c r="BR3479" s="467"/>
      <c r="BS3479" s="467"/>
      <c r="BT3479" s="467"/>
      <c r="BU3479" s="467"/>
      <c r="BV3479" s="467"/>
      <c r="BW3479" s="467"/>
      <c r="BX3479" s="769"/>
      <c r="BY3479" s="769"/>
      <c r="BZ3479" s="769"/>
      <c r="CA3479" s="769"/>
      <c r="CB3479" s="769"/>
      <c r="CC3479" s="769"/>
      <c r="CD3479" s="769"/>
      <c r="CE3479" s="769"/>
      <c r="CF3479" s="769"/>
      <c r="CG3479" s="73"/>
      <c r="CH3479" s="438"/>
      <c r="CI3479" s="416"/>
      <c r="CJ3479" s="73"/>
      <c r="CK3479" s="650"/>
      <c r="CL3479" s="499"/>
      <c r="CM3479" s="650"/>
      <c r="CR3479" s="416"/>
      <c r="CS3479" s="650"/>
      <c r="CU3479" s="73"/>
      <c r="CV3479" s="73"/>
      <c r="CW3479" s="73"/>
      <c r="CX3479" s="73"/>
      <c r="DA3479" s="650"/>
    </row>
    <row r="3480" spans="1:105" s="45" customFormat="1" x14ac:dyDescent="0.2">
      <c r="A3480" s="650"/>
      <c r="B3480" s="438"/>
      <c r="D3480" s="73"/>
      <c r="E3480" s="650"/>
      <c r="F3480" s="650"/>
      <c r="G3480" s="73"/>
      <c r="I3480" s="111"/>
      <c r="J3480" s="81"/>
      <c r="K3480" s="81"/>
      <c r="L3480" s="499"/>
      <c r="M3480" s="73"/>
      <c r="N3480" s="499"/>
      <c r="O3480" s="73"/>
      <c r="P3480" s="73"/>
      <c r="Q3480" s="73"/>
      <c r="R3480" s="176"/>
      <c r="S3480" s="176"/>
      <c r="T3480" s="176"/>
      <c r="U3480" s="400"/>
      <c r="V3480" s="400"/>
      <c r="W3480" s="732"/>
      <c r="X3480" s="167"/>
      <c r="Y3480" s="509"/>
      <c r="Z3480" s="466"/>
      <c r="AA3480" s="466"/>
      <c r="AB3480" s="466"/>
      <c r="AC3480" s="466"/>
      <c r="AD3480" s="466"/>
      <c r="AE3480" s="466"/>
      <c r="AF3480" s="466"/>
      <c r="AG3480" s="466"/>
      <c r="AH3480" s="466"/>
      <c r="AI3480" s="466"/>
      <c r="AJ3480" s="466"/>
      <c r="AK3480" s="466"/>
      <c r="AL3480" s="466"/>
      <c r="AM3480" s="466"/>
      <c r="AN3480" s="466"/>
      <c r="AO3480" s="466"/>
      <c r="AP3480" s="466"/>
      <c r="AQ3480" s="466"/>
      <c r="AR3480" s="466"/>
      <c r="AS3480" s="466"/>
      <c r="AT3480" s="466"/>
      <c r="AU3480" s="466"/>
      <c r="AV3480" s="466"/>
      <c r="AW3480" s="466"/>
      <c r="AX3480" s="466"/>
      <c r="AY3480" s="466"/>
      <c r="AZ3480" s="466"/>
      <c r="BA3480" s="466"/>
      <c r="BB3480" s="466"/>
      <c r="BC3480" s="466"/>
      <c r="BD3480" s="466"/>
      <c r="BE3480" s="467"/>
      <c r="BF3480" s="467"/>
      <c r="BG3480" s="466"/>
      <c r="BH3480" s="466"/>
      <c r="BI3480" s="467"/>
      <c r="BJ3480" s="467"/>
      <c r="BK3480" s="467"/>
      <c r="BL3480" s="467"/>
      <c r="BM3480" s="467"/>
      <c r="BN3480" s="467"/>
      <c r="BO3480" s="467"/>
      <c r="BP3480" s="467"/>
      <c r="BQ3480" s="467"/>
      <c r="BR3480" s="467"/>
      <c r="BS3480" s="467"/>
      <c r="BT3480" s="467"/>
      <c r="BU3480" s="467"/>
      <c r="BV3480" s="467"/>
      <c r="BW3480" s="467"/>
      <c r="BX3480" s="769"/>
      <c r="BY3480" s="769"/>
      <c r="BZ3480" s="769"/>
      <c r="CA3480" s="769"/>
      <c r="CB3480" s="769"/>
      <c r="CC3480" s="769"/>
      <c r="CD3480" s="769"/>
      <c r="CE3480" s="769"/>
      <c r="CF3480" s="769"/>
      <c r="CG3480" s="73"/>
      <c r="CH3480" s="438"/>
      <c r="CI3480" s="416"/>
      <c r="CJ3480" s="73"/>
      <c r="CK3480" s="650"/>
      <c r="CL3480" s="499"/>
      <c r="CM3480" s="650"/>
      <c r="CR3480" s="416"/>
      <c r="CS3480" s="650"/>
      <c r="CU3480" s="73"/>
      <c r="CV3480" s="73"/>
      <c r="CW3480" s="73"/>
      <c r="CX3480" s="73"/>
      <c r="DA3480" s="650"/>
    </row>
    <row r="3481" spans="1:105" s="45" customFormat="1" x14ac:dyDescent="0.2">
      <c r="A3481" s="650"/>
      <c r="B3481" s="438"/>
      <c r="D3481" s="73"/>
      <c r="E3481" s="650"/>
      <c r="F3481" s="650"/>
      <c r="G3481" s="73"/>
      <c r="I3481" s="111"/>
      <c r="J3481" s="81"/>
      <c r="K3481" s="81"/>
      <c r="L3481" s="499"/>
      <c r="M3481" s="73"/>
      <c r="N3481" s="499"/>
      <c r="O3481" s="73"/>
      <c r="P3481" s="73"/>
      <c r="Q3481" s="73"/>
      <c r="R3481" s="176"/>
      <c r="S3481" s="176"/>
      <c r="T3481" s="176"/>
      <c r="U3481" s="400"/>
      <c r="V3481" s="400"/>
      <c r="W3481" s="732"/>
      <c r="X3481" s="167"/>
      <c r="Y3481" s="509"/>
      <c r="Z3481" s="466"/>
      <c r="AA3481" s="466"/>
      <c r="AB3481" s="466"/>
      <c r="AC3481" s="466"/>
      <c r="AD3481" s="466"/>
      <c r="AE3481" s="466"/>
      <c r="AF3481" s="466"/>
      <c r="AG3481" s="466"/>
      <c r="AH3481" s="466"/>
      <c r="AI3481" s="466"/>
      <c r="AJ3481" s="466"/>
      <c r="AK3481" s="466"/>
      <c r="AL3481" s="466"/>
      <c r="AM3481" s="466"/>
      <c r="AN3481" s="466"/>
      <c r="AO3481" s="466"/>
      <c r="AP3481" s="466"/>
      <c r="AQ3481" s="466"/>
      <c r="AR3481" s="466"/>
      <c r="AS3481" s="466"/>
      <c r="AT3481" s="466"/>
      <c r="AU3481" s="466"/>
      <c r="AV3481" s="466"/>
      <c r="AW3481" s="466"/>
      <c r="AX3481" s="466"/>
      <c r="AY3481" s="466"/>
      <c r="AZ3481" s="466"/>
      <c r="BA3481" s="466"/>
      <c r="BB3481" s="466"/>
      <c r="BC3481" s="466"/>
      <c r="BD3481" s="466"/>
      <c r="BE3481" s="467"/>
      <c r="BF3481" s="467"/>
      <c r="BG3481" s="466"/>
      <c r="BH3481" s="466"/>
      <c r="BI3481" s="467"/>
      <c r="BJ3481" s="467"/>
      <c r="BK3481" s="467"/>
      <c r="BL3481" s="467"/>
      <c r="BM3481" s="467"/>
      <c r="BN3481" s="467"/>
      <c r="BO3481" s="467"/>
      <c r="BP3481" s="467"/>
      <c r="BQ3481" s="467"/>
      <c r="BR3481" s="467"/>
      <c r="BS3481" s="467"/>
      <c r="BT3481" s="467"/>
      <c r="BU3481" s="467"/>
      <c r="BV3481" s="467"/>
      <c r="BW3481" s="467"/>
      <c r="BX3481" s="769"/>
      <c r="BY3481" s="769"/>
      <c r="BZ3481" s="769"/>
      <c r="CA3481" s="769"/>
      <c r="CB3481" s="769"/>
      <c r="CC3481" s="769"/>
      <c r="CD3481" s="769"/>
      <c r="CE3481" s="769"/>
      <c r="CF3481" s="769"/>
      <c r="CG3481" s="73"/>
      <c r="CH3481" s="438"/>
      <c r="CI3481" s="416"/>
      <c r="CJ3481" s="73"/>
      <c r="CK3481" s="650"/>
      <c r="CL3481" s="499"/>
      <c r="CM3481" s="650"/>
      <c r="CR3481" s="416"/>
      <c r="CS3481" s="650"/>
      <c r="CU3481" s="73"/>
      <c r="CV3481" s="73"/>
      <c r="CW3481" s="73"/>
      <c r="CX3481" s="73"/>
      <c r="DA3481" s="650"/>
    </row>
    <row r="3482" spans="1:105" s="45" customFormat="1" x14ac:dyDescent="0.2">
      <c r="A3482" s="650"/>
      <c r="B3482" s="438"/>
      <c r="D3482" s="73"/>
      <c r="E3482" s="650"/>
      <c r="F3482" s="650"/>
      <c r="G3482" s="73"/>
      <c r="I3482" s="111"/>
      <c r="J3482" s="81"/>
      <c r="K3482" s="81"/>
      <c r="L3482" s="499"/>
      <c r="M3482" s="73"/>
      <c r="N3482" s="499"/>
      <c r="O3482" s="73"/>
      <c r="P3482" s="73"/>
      <c r="Q3482" s="73"/>
      <c r="R3482" s="176"/>
      <c r="S3482" s="176"/>
      <c r="T3482" s="176"/>
      <c r="U3482" s="400"/>
      <c r="V3482" s="400"/>
      <c r="W3482" s="732"/>
      <c r="X3482" s="167"/>
      <c r="Y3482" s="509"/>
      <c r="Z3482" s="466"/>
      <c r="AA3482" s="466"/>
      <c r="AB3482" s="466"/>
      <c r="AC3482" s="466"/>
      <c r="AD3482" s="466"/>
      <c r="AE3482" s="466"/>
      <c r="AF3482" s="466"/>
      <c r="AG3482" s="466"/>
      <c r="AH3482" s="466"/>
      <c r="AI3482" s="466"/>
      <c r="AJ3482" s="466"/>
      <c r="AK3482" s="466"/>
      <c r="AL3482" s="466"/>
      <c r="AM3482" s="466"/>
      <c r="AN3482" s="466"/>
      <c r="AO3482" s="466"/>
      <c r="AP3482" s="466"/>
      <c r="AQ3482" s="466"/>
      <c r="AR3482" s="466"/>
      <c r="AS3482" s="466"/>
      <c r="AT3482" s="466"/>
      <c r="AU3482" s="466"/>
      <c r="AV3482" s="466"/>
      <c r="AW3482" s="466"/>
      <c r="AX3482" s="466"/>
      <c r="AY3482" s="466"/>
      <c r="AZ3482" s="466"/>
      <c r="BA3482" s="466"/>
      <c r="BB3482" s="466"/>
      <c r="BC3482" s="466"/>
      <c r="BD3482" s="466"/>
      <c r="BE3482" s="467"/>
      <c r="BF3482" s="467"/>
      <c r="BG3482" s="466"/>
      <c r="BH3482" s="466"/>
      <c r="BI3482" s="467"/>
      <c r="BJ3482" s="467"/>
      <c r="BK3482" s="467"/>
      <c r="BL3482" s="467"/>
      <c r="BM3482" s="467"/>
      <c r="BN3482" s="467"/>
      <c r="BO3482" s="467"/>
      <c r="BP3482" s="467"/>
      <c r="BQ3482" s="467"/>
      <c r="BR3482" s="467"/>
      <c r="BS3482" s="467"/>
      <c r="BT3482" s="467"/>
      <c r="BU3482" s="467"/>
      <c r="BV3482" s="467"/>
      <c r="BW3482" s="467"/>
      <c r="BX3482" s="769"/>
      <c r="BY3482" s="769"/>
      <c r="BZ3482" s="769"/>
      <c r="CA3482" s="769"/>
      <c r="CB3482" s="769"/>
      <c r="CC3482" s="769"/>
      <c r="CD3482" s="769"/>
      <c r="CE3482" s="769"/>
      <c r="CF3482" s="769"/>
      <c r="CG3482" s="73"/>
      <c r="CH3482" s="438"/>
      <c r="CI3482" s="416"/>
      <c r="CJ3482" s="73"/>
      <c r="CK3482" s="650"/>
      <c r="CL3482" s="499"/>
      <c r="CM3482" s="650"/>
      <c r="CR3482" s="416"/>
      <c r="CS3482" s="650"/>
      <c r="CU3482" s="73"/>
      <c r="CV3482" s="73"/>
      <c r="CW3482" s="73"/>
      <c r="CX3482" s="73"/>
      <c r="DA3482" s="650"/>
    </row>
    <row r="3483" spans="1:105" s="45" customFormat="1" x14ac:dyDescent="0.2">
      <c r="A3483" s="650"/>
      <c r="B3483" s="438"/>
      <c r="D3483" s="73"/>
      <c r="E3483" s="650"/>
      <c r="F3483" s="650"/>
      <c r="G3483" s="73"/>
      <c r="I3483" s="111"/>
      <c r="J3483" s="81"/>
      <c r="K3483" s="81"/>
      <c r="L3483" s="499"/>
      <c r="M3483" s="73"/>
      <c r="N3483" s="499"/>
      <c r="O3483" s="73"/>
      <c r="P3483" s="73"/>
      <c r="Q3483" s="73"/>
      <c r="R3483" s="176"/>
      <c r="S3483" s="176"/>
      <c r="T3483" s="176"/>
      <c r="U3483" s="400"/>
      <c r="V3483" s="400"/>
      <c r="W3483" s="732"/>
      <c r="X3483" s="167"/>
      <c r="Y3483" s="509"/>
      <c r="Z3483" s="466"/>
      <c r="AA3483" s="466"/>
      <c r="AB3483" s="466"/>
      <c r="AC3483" s="466"/>
      <c r="AD3483" s="466"/>
      <c r="AE3483" s="466"/>
      <c r="AF3483" s="466"/>
      <c r="AG3483" s="466"/>
      <c r="AH3483" s="466"/>
      <c r="AI3483" s="466"/>
      <c r="AJ3483" s="466"/>
      <c r="AK3483" s="466"/>
      <c r="AL3483" s="466"/>
      <c r="AM3483" s="466"/>
      <c r="AN3483" s="466"/>
      <c r="AO3483" s="466"/>
      <c r="AP3483" s="466"/>
      <c r="AQ3483" s="466"/>
      <c r="AR3483" s="466"/>
      <c r="AS3483" s="466"/>
      <c r="AT3483" s="466"/>
      <c r="AU3483" s="466"/>
      <c r="AV3483" s="466"/>
      <c r="AW3483" s="466"/>
      <c r="AX3483" s="466"/>
      <c r="AY3483" s="466"/>
      <c r="AZ3483" s="466"/>
      <c r="BA3483" s="466"/>
      <c r="BB3483" s="466"/>
      <c r="BC3483" s="466"/>
      <c r="BD3483" s="466"/>
      <c r="BE3483" s="467"/>
      <c r="BF3483" s="467"/>
      <c r="BG3483" s="466"/>
      <c r="BH3483" s="466"/>
      <c r="BI3483" s="467"/>
      <c r="BJ3483" s="467"/>
      <c r="BK3483" s="467"/>
      <c r="BL3483" s="467"/>
      <c r="BM3483" s="467"/>
      <c r="BN3483" s="467"/>
      <c r="BO3483" s="467"/>
      <c r="BP3483" s="467"/>
      <c r="BQ3483" s="467"/>
      <c r="BR3483" s="467"/>
      <c r="BS3483" s="467"/>
      <c r="BT3483" s="467"/>
      <c r="BU3483" s="467"/>
      <c r="BV3483" s="467"/>
      <c r="BW3483" s="467"/>
      <c r="BX3483" s="769"/>
      <c r="BY3483" s="769"/>
      <c r="BZ3483" s="769"/>
      <c r="CA3483" s="769"/>
      <c r="CB3483" s="769"/>
      <c r="CC3483" s="769"/>
      <c r="CD3483" s="769"/>
      <c r="CE3483" s="769"/>
      <c r="CF3483" s="769"/>
      <c r="CG3483" s="73"/>
      <c r="CH3483" s="438"/>
      <c r="CI3483" s="416"/>
      <c r="CJ3483" s="73"/>
      <c r="CK3483" s="650"/>
      <c r="CL3483" s="499"/>
      <c r="CM3483" s="650"/>
      <c r="CR3483" s="416"/>
      <c r="CS3483" s="650"/>
      <c r="CU3483" s="73"/>
      <c r="CV3483" s="73"/>
      <c r="CW3483" s="73"/>
      <c r="CX3483" s="73"/>
      <c r="DA3483" s="650"/>
    </row>
    <row r="3484" spans="1:105" s="45" customFormat="1" x14ac:dyDescent="0.2">
      <c r="A3484" s="650"/>
      <c r="B3484" s="438"/>
      <c r="D3484" s="73"/>
      <c r="E3484" s="650"/>
      <c r="F3484" s="650"/>
      <c r="G3484" s="73"/>
      <c r="I3484" s="111"/>
      <c r="J3484" s="81"/>
      <c r="K3484" s="81"/>
      <c r="L3484" s="499"/>
      <c r="M3484" s="73"/>
      <c r="N3484" s="499"/>
      <c r="O3484" s="73"/>
      <c r="P3484" s="73"/>
      <c r="Q3484" s="73"/>
      <c r="R3484" s="176"/>
      <c r="S3484" s="176"/>
      <c r="T3484" s="176"/>
      <c r="U3484" s="400"/>
      <c r="V3484" s="400"/>
      <c r="W3484" s="732"/>
      <c r="X3484" s="167"/>
      <c r="Y3484" s="509"/>
      <c r="Z3484" s="466"/>
      <c r="AA3484" s="466"/>
      <c r="AB3484" s="466"/>
      <c r="AC3484" s="466"/>
      <c r="AD3484" s="466"/>
      <c r="AE3484" s="466"/>
      <c r="AF3484" s="466"/>
      <c r="AG3484" s="466"/>
      <c r="AH3484" s="466"/>
      <c r="AI3484" s="466"/>
      <c r="AJ3484" s="466"/>
      <c r="AK3484" s="466"/>
      <c r="AL3484" s="466"/>
      <c r="AM3484" s="466"/>
      <c r="AN3484" s="466"/>
      <c r="AO3484" s="466"/>
      <c r="AP3484" s="466"/>
      <c r="AQ3484" s="466"/>
      <c r="AR3484" s="466"/>
      <c r="AS3484" s="466"/>
      <c r="AT3484" s="466"/>
      <c r="AU3484" s="466"/>
      <c r="AV3484" s="466"/>
      <c r="AW3484" s="466"/>
      <c r="AX3484" s="466"/>
      <c r="AY3484" s="466"/>
      <c r="AZ3484" s="466"/>
      <c r="BA3484" s="466"/>
      <c r="BB3484" s="466"/>
      <c r="BC3484" s="466"/>
      <c r="BD3484" s="466"/>
      <c r="BE3484" s="467"/>
      <c r="BF3484" s="467"/>
      <c r="BG3484" s="466"/>
      <c r="BH3484" s="466"/>
      <c r="BI3484" s="467"/>
      <c r="BJ3484" s="467"/>
      <c r="BK3484" s="467"/>
      <c r="BL3484" s="467"/>
      <c r="BM3484" s="467"/>
      <c r="BN3484" s="467"/>
      <c r="BO3484" s="467"/>
      <c r="BP3484" s="467"/>
      <c r="BQ3484" s="467"/>
      <c r="BR3484" s="467"/>
      <c r="BS3484" s="467"/>
      <c r="BT3484" s="467"/>
      <c r="BU3484" s="467"/>
      <c r="BV3484" s="467"/>
      <c r="BW3484" s="467"/>
      <c r="BX3484" s="769"/>
      <c r="BY3484" s="769"/>
      <c r="BZ3484" s="769"/>
      <c r="CA3484" s="769"/>
      <c r="CB3484" s="769"/>
      <c r="CC3484" s="769"/>
      <c r="CD3484" s="769"/>
      <c r="CE3484" s="769"/>
      <c r="CF3484" s="769"/>
      <c r="CG3484" s="73"/>
      <c r="CH3484" s="438"/>
      <c r="CI3484" s="416"/>
      <c r="CJ3484" s="73"/>
      <c r="CK3484" s="650"/>
      <c r="CL3484" s="499"/>
      <c r="CM3484" s="650"/>
      <c r="CR3484" s="416"/>
      <c r="CS3484" s="650"/>
      <c r="CU3484" s="73"/>
      <c r="CV3484" s="73"/>
      <c r="CW3484" s="73"/>
      <c r="CX3484" s="73"/>
      <c r="DA3484" s="650"/>
    </row>
    <row r="3485" spans="1:105" s="45" customFormat="1" x14ac:dyDescent="0.2">
      <c r="A3485" s="650"/>
      <c r="B3485" s="438"/>
      <c r="D3485" s="73"/>
      <c r="E3485" s="650"/>
      <c r="F3485" s="650"/>
      <c r="G3485" s="73"/>
      <c r="I3485" s="111"/>
      <c r="J3485" s="81"/>
      <c r="K3485" s="81"/>
      <c r="L3485" s="499"/>
      <c r="M3485" s="73"/>
      <c r="N3485" s="499"/>
      <c r="O3485" s="73"/>
      <c r="P3485" s="73"/>
      <c r="Q3485" s="73"/>
      <c r="R3485" s="176"/>
      <c r="S3485" s="176"/>
      <c r="T3485" s="176"/>
      <c r="U3485" s="400"/>
      <c r="V3485" s="400"/>
      <c r="W3485" s="732"/>
      <c r="X3485" s="167"/>
      <c r="Y3485" s="509"/>
      <c r="Z3485" s="466"/>
      <c r="AA3485" s="466"/>
      <c r="AB3485" s="466"/>
      <c r="AC3485" s="466"/>
      <c r="AD3485" s="466"/>
      <c r="AE3485" s="466"/>
      <c r="AF3485" s="466"/>
      <c r="AG3485" s="466"/>
      <c r="AH3485" s="466"/>
      <c r="AI3485" s="466"/>
      <c r="AJ3485" s="466"/>
      <c r="AK3485" s="466"/>
      <c r="AL3485" s="466"/>
      <c r="AM3485" s="466"/>
      <c r="AN3485" s="466"/>
      <c r="AO3485" s="466"/>
      <c r="AP3485" s="466"/>
      <c r="AQ3485" s="466"/>
      <c r="AR3485" s="466"/>
      <c r="AS3485" s="466"/>
      <c r="AT3485" s="466"/>
      <c r="AU3485" s="466"/>
      <c r="AV3485" s="466"/>
      <c r="AW3485" s="466"/>
      <c r="AX3485" s="466"/>
      <c r="AY3485" s="466"/>
      <c r="AZ3485" s="466"/>
      <c r="BA3485" s="466"/>
      <c r="BB3485" s="466"/>
      <c r="BC3485" s="466"/>
      <c r="BD3485" s="466"/>
      <c r="BE3485" s="467"/>
      <c r="BF3485" s="467"/>
      <c r="BG3485" s="466"/>
      <c r="BH3485" s="466"/>
      <c r="BI3485" s="467"/>
      <c r="BJ3485" s="467"/>
      <c r="BK3485" s="467"/>
      <c r="BL3485" s="467"/>
      <c r="BM3485" s="467"/>
      <c r="BN3485" s="467"/>
      <c r="BO3485" s="467"/>
      <c r="BP3485" s="467"/>
      <c r="BQ3485" s="467"/>
      <c r="BR3485" s="467"/>
      <c r="BS3485" s="467"/>
      <c r="BT3485" s="467"/>
      <c r="BU3485" s="467"/>
      <c r="BV3485" s="467"/>
      <c r="BW3485" s="467"/>
      <c r="BX3485" s="769"/>
      <c r="BY3485" s="769"/>
      <c r="BZ3485" s="769"/>
      <c r="CA3485" s="769"/>
      <c r="CB3485" s="769"/>
      <c r="CC3485" s="769"/>
      <c r="CD3485" s="769"/>
      <c r="CE3485" s="769"/>
      <c r="CF3485" s="769"/>
      <c r="CG3485" s="73"/>
      <c r="CH3485" s="438"/>
      <c r="CI3485" s="416"/>
      <c r="CJ3485" s="73"/>
      <c r="CK3485" s="650"/>
      <c r="CL3485" s="499"/>
      <c r="CM3485" s="650"/>
      <c r="CR3485" s="416"/>
      <c r="CS3485" s="650"/>
      <c r="CU3485" s="73"/>
      <c r="CV3485" s="73"/>
      <c r="CW3485" s="73"/>
      <c r="CX3485" s="73"/>
      <c r="DA3485" s="650"/>
    </row>
    <row r="3486" spans="1:105" s="45" customFormat="1" x14ac:dyDescent="0.2">
      <c r="A3486" s="650"/>
      <c r="B3486" s="438"/>
      <c r="D3486" s="73"/>
      <c r="E3486" s="650"/>
      <c r="F3486" s="650"/>
      <c r="G3486" s="73"/>
      <c r="I3486" s="111"/>
      <c r="J3486" s="81"/>
      <c r="K3486" s="81"/>
      <c r="L3486" s="499"/>
      <c r="M3486" s="73"/>
      <c r="N3486" s="499"/>
      <c r="O3486" s="73"/>
      <c r="P3486" s="73"/>
      <c r="Q3486" s="73"/>
      <c r="R3486" s="176"/>
      <c r="S3486" s="176"/>
      <c r="T3486" s="176"/>
      <c r="U3486" s="400"/>
      <c r="V3486" s="400"/>
      <c r="W3486" s="732"/>
      <c r="X3486" s="167"/>
      <c r="Y3486" s="509"/>
      <c r="Z3486" s="466"/>
      <c r="AA3486" s="466"/>
      <c r="AB3486" s="466"/>
      <c r="AC3486" s="466"/>
      <c r="AD3486" s="466"/>
      <c r="AE3486" s="466"/>
      <c r="AF3486" s="466"/>
      <c r="AG3486" s="466"/>
      <c r="AH3486" s="466"/>
      <c r="AI3486" s="466"/>
      <c r="AJ3486" s="466"/>
      <c r="AK3486" s="466"/>
      <c r="AL3486" s="466"/>
      <c r="AM3486" s="466"/>
      <c r="AN3486" s="466"/>
      <c r="AO3486" s="466"/>
      <c r="AP3486" s="466"/>
      <c r="AQ3486" s="466"/>
      <c r="AR3486" s="466"/>
      <c r="AS3486" s="466"/>
      <c r="AT3486" s="466"/>
      <c r="AU3486" s="466"/>
      <c r="AV3486" s="466"/>
      <c r="AW3486" s="466"/>
      <c r="AX3486" s="466"/>
      <c r="AY3486" s="466"/>
      <c r="AZ3486" s="466"/>
      <c r="BA3486" s="466"/>
      <c r="BB3486" s="466"/>
      <c r="BC3486" s="466"/>
      <c r="BD3486" s="466"/>
      <c r="BE3486" s="467"/>
      <c r="BF3486" s="467"/>
      <c r="BG3486" s="466"/>
      <c r="BH3486" s="466"/>
      <c r="BI3486" s="467"/>
      <c r="BJ3486" s="467"/>
      <c r="BK3486" s="467"/>
      <c r="BL3486" s="467"/>
      <c r="BM3486" s="467"/>
      <c r="BN3486" s="467"/>
      <c r="BO3486" s="467"/>
      <c r="BP3486" s="467"/>
      <c r="BQ3486" s="467"/>
      <c r="BR3486" s="467"/>
      <c r="BS3486" s="467"/>
      <c r="BT3486" s="467"/>
      <c r="BU3486" s="467"/>
      <c r="BV3486" s="467"/>
      <c r="BW3486" s="467"/>
      <c r="BX3486" s="769"/>
      <c r="BY3486" s="769"/>
      <c r="BZ3486" s="769"/>
      <c r="CA3486" s="769"/>
      <c r="CB3486" s="769"/>
      <c r="CC3486" s="769"/>
      <c r="CD3486" s="769"/>
      <c r="CE3486" s="769"/>
      <c r="CF3486" s="769"/>
      <c r="CG3486" s="73"/>
      <c r="CH3486" s="438"/>
      <c r="CI3486" s="416"/>
      <c r="CJ3486" s="73"/>
      <c r="CK3486" s="650"/>
      <c r="CL3486" s="499"/>
      <c r="CM3486" s="650"/>
      <c r="CR3486" s="416"/>
      <c r="CS3486" s="650"/>
      <c r="CU3486" s="73"/>
      <c r="CV3486" s="73"/>
      <c r="CW3486" s="73"/>
      <c r="CX3486" s="73"/>
      <c r="DA3486" s="650"/>
    </row>
    <row r="3487" spans="1:105" s="45" customFormat="1" x14ac:dyDescent="0.2">
      <c r="A3487" s="650"/>
      <c r="B3487" s="438"/>
      <c r="D3487" s="73"/>
      <c r="E3487" s="650"/>
      <c r="F3487" s="650"/>
      <c r="G3487" s="73"/>
      <c r="I3487" s="111"/>
      <c r="J3487" s="81"/>
      <c r="K3487" s="81"/>
      <c r="L3487" s="499"/>
      <c r="M3487" s="73"/>
      <c r="N3487" s="499"/>
      <c r="O3487" s="73"/>
      <c r="P3487" s="73"/>
      <c r="Q3487" s="73"/>
      <c r="R3487" s="176"/>
      <c r="S3487" s="176"/>
      <c r="T3487" s="176"/>
      <c r="U3487" s="400"/>
      <c r="V3487" s="400"/>
      <c r="W3487" s="732"/>
      <c r="X3487" s="167"/>
      <c r="Y3487" s="509"/>
      <c r="Z3487" s="466"/>
      <c r="AA3487" s="466"/>
      <c r="AB3487" s="466"/>
      <c r="AC3487" s="466"/>
      <c r="AD3487" s="466"/>
      <c r="AE3487" s="466"/>
      <c r="AF3487" s="466"/>
      <c r="AG3487" s="466"/>
      <c r="AH3487" s="466"/>
      <c r="AI3487" s="466"/>
      <c r="AJ3487" s="466"/>
      <c r="AK3487" s="466"/>
      <c r="AL3487" s="466"/>
      <c r="AM3487" s="466"/>
      <c r="AN3487" s="466"/>
      <c r="AO3487" s="466"/>
      <c r="AP3487" s="466"/>
      <c r="AQ3487" s="466"/>
      <c r="AR3487" s="466"/>
      <c r="AS3487" s="466"/>
      <c r="AT3487" s="466"/>
      <c r="AU3487" s="466"/>
      <c r="AV3487" s="466"/>
      <c r="AW3487" s="466"/>
      <c r="AX3487" s="466"/>
      <c r="AY3487" s="466"/>
      <c r="AZ3487" s="466"/>
      <c r="BA3487" s="466"/>
      <c r="BB3487" s="466"/>
      <c r="BC3487" s="466"/>
      <c r="BD3487" s="466"/>
      <c r="BE3487" s="467"/>
      <c r="BF3487" s="467"/>
      <c r="BG3487" s="466"/>
      <c r="BH3487" s="466"/>
      <c r="BI3487" s="467"/>
      <c r="BJ3487" s="467"/>
      <c r="BK3487" s="467"/>
      <c r="BL3487" s="467"/>
      <c r="BM3487" s="467"/>
      <c r="BN3487" s="467"/>
      <c r="BO3487" s="467"/>
      <c r="BP3487" s="467"/>
      <c r="BQ3487" s="467"/>
      <c r="BR3487" s="467"/>
      <c r="BS3487" s="467"/>
      <c r="BT3487" s="467"/>
      <c r="BU3487" s="467"/>
      <c r="BV3487" s="467"/>
      <c r="BW3487" s="467"/>
      <c r="BX3487" s="769"/>
      <c r="BY3487" s="769"/>
      <c r="BZ3487" s="769"/>
      <c r="CA3487" s="769"/>
      <c r="CB3487" s="769"/>
      <c r="CC3487" s="769"/>
      <c r="CD3487" s="769"/>
      <c r="CE3487" s="769"/>
      <c r="CF3487" s="769"/>
      <c r="CG3487" s="73"/>
      <c r="CH3487" s="438"/>
      <c r="CI3487" s="416"/>
      <c r="CJ3487" s="73"/>
      <c r="CK3487" s="650"/>
      <c r="CL3487" s="499"/>
      <c r="CM3487" s="650"/>
      <c r="CR3487" s="416"/>
      <c r="CS3487" s="650"/>
      <c r="CU3487" s="73"/>
      <c r="CV3487" s="73"/>
      <c r="CW3487" s="73"/>
      <c r="CX3487" s="73"/>
      <c r="DA3487" s="650"/>
    </row>
    <row r="3488" spans="1:105" s="45" customFormat="1" x14ac:dyDescent="0.2">
      <c r="A3488" s="650"/>
      <c r="B3488" s="438"/>
      <c r="D3488" s="73"/>
      <c r="E3488" s="650"/>
      <c r="F3488" s="650"/>
      <c r="G3488" s="73"/>
      <c r="I3488" s="111"/>
      <c r="J3488" s="81"/>
      <c r="K3488" s="81"/>
      <c r="L3488" s="499"/>
      <c r="M3488" s="73"/>
      <c r="N3488" s="499"/>
      <c r="O3488" s="73"/>
      <c r="P3488" s="73"/>
      <c r="Q3488" s="73"/>
      <c r="R3488" s="176"/>
      <c r="S3488" s="176"/>
      <c r="T3488" s="176"/>
      <c r="U3488" s="400"/>
      <c r="V3488" s="400"/>
      <c r="W3488" s="732"/>
      <c r="X3488" s="167"/>
      <c r="Y3488" s="509"/>
      <c r="Z3488" s="466"/>
      <c r="AA3488" s="466"/>
      <c r="AB3488" s="466"/>
      <c r="AC3488" s="466"/>
      <c r="AD3488" s="466"/>
      <c r="AE3488" s="466"/>
      <c r="AF3488" s="466"/>
      <c r="AG3488" s="466"/>
      <c r="AH3488" s="466"/>
      <c r="AI3488" s="466"/>
      <c r="AJ3488" s="466"/>
      <c r="AK3488" s="466"/>
      <c r="AL3488" s="466"/>
      <c r="AM3488" s="466"/>
      <c r="AN3488" s="466"/>
      <c r="AO3488" s="466"/>
      <c r="AP3488" s="466"/>
      <c r="AQ3488" s="466"/>
      <c r="AR3488" s="466"/>
      <c r="AS3488" s="466"/>
      <c r="AT3488" s="466"/>
      <c r="AU3488" s="466"/>
      <c r="AV3488" s="466"/>
      <c r="AW3488" s="466"/>
      <c r="AX3488" s="466"/>
      <c r="AY3488" s="466"/>
      <c r="AZ3488" s="466"/>
      <c r="BA3488" s="466"/>
      <c r="BB3488" s="466"/>
      <c r="BC3488" s="466"/>
      <c r="BD3488" s="466"/>
      <c r="BE3488" s="467"/>
      <c r="BF3488" s="467"/>
      <c r="BG3488" s="466"/>
      <c r="BH3488" s="466"/>
      <c r="BI3488" s="467"/>
      <c r="BJ3488" s="467"/>
      <c r="BK3488" s="467"/>
      <c r="BL3488" s="467"/>
      <c r="BM3488" s="467"/>
      <c r="BN3488" s="467"/>
      <c r="BO3488" s="467"/>
      <c r="BP3488" s="467"/>
      <c r="BQ3488" s="467"/>
      <c r="BR3488" s="467"/>
      <c r="BS3488" s="467"/>
      <c r="BT3488" s="467"/>
      <c r="BU3488" s="467"/>
      <c r="BV3488" s="467"/>
      <c r="BW3488" s="467"/>
      <c r="BX3488" s="769"/>
      <c r="BY3488" s="769"/>
      <c r="BZ3488" s="769"/>
      <c r="CA3488" s="769"/>
      <c r="CB3488" s="769"/>
      <c r="CC3488" s="769"/>
      <c r="CD3488" s="769"/>
      <c r="CE3488" s="769"/>
      <c r="CF3488" s="769"/>
      <c r="CG3488" s="73"/>
      <c r="CH3488" s="438"/>
      <c r="CI3488" s="416"/>
      <c r="CJ3488" s="73"/>
      <c r="CK3488" s="650"/>
      <c r="CL3488" s="499"/>
      <c r="CM3488" s="650"/>
      <c r="CR3488" s="416"/>
      <c r="CS3488" s="650"/>
      <c r="CU3488" s="73"/>
      <c r="CV3488" s="73"/>
      <c r="CW3488" s="73"/>
      <c r="CX3488" s="73"/>
      <c r="DA3488" s="650"/>
    </row>
    <row r="3489" spans="1:105" s="45" customFormat="1" x14ac:dyDescent="0.2">
      <c r="A3489" s="650"/>
      <c r="B3489" s="438"/>
      <c r="D3489" s="73"/>
      <c r="E3489" s="650"/>
      <c r="F3489" s="650"/>
      <c r="G3489" s="73"/>
      <c r="I3489" s="111"/>
      <c r="J3489" s="81"/>
      <c r="K3489" s="81"/>
      <c r="L3489" s="499"/>
      <c r="M3489" s="73"/>
      <c r="N3489" s="499"/>
      <c r="O3489" s="73"/>
      <c r="P3489" s="73"/>
      <c r="Q3489" s="73"/>
      <c r="R3489" s="176"/>
      <c r="S3489" s="176"/>
      <c r="T3489" s="176"/>
      <c r="U3489" s="400"/>
      <c r="V3489" s="400"/>
      <c r="W3489" s="732"/>
      <c r="X3489" s="167"/>
      <c r="Y3489" s="509"/>
      <c r="Z3489" s="466"/>
      <c r="AA3489" s="466"/>
      <c r="AB3489" s="466"/>
      <c r="AC3489" s="466"/>
      <c r="AD3489" s="466"/>
      <c r="AE3489" s="466"/>
      <c r="AF3489" s="466"/>
      <c r="AG3489" s="466"/>
      <c r="AH3489" s="466"/>
      <c r="AI3489" s="466"/>
      <c r="AJ3489" s="466"/>
      <c r="AK3489" s="466"/>
      <c r="AL3489" s="466"/>
      <c r="AM3489" s="466"/>
      <c r="AN3489" s="466"/>
      <c r="AO3489" s="466"/>
      <c r="AP3489" s="466"/>
      <c r="AQ3489" s="466"/>
      <c r="AR3489" s="466"/>
      <c r="AS3489" s="466"/>
      <c r="AT3489" s="466"/>
      <c r="AU3489" s="466"/>
      <c r="AV3489" s="466"/>
      <c r="AW3489" s="466"/>
      <c r="AX3489" s="466"/>
      <c r="AY3489" s="466"/>
      <c r="AZ3489" s="466"/>
      <c r="BA3489" s="466"/>
      <c r="BB3489" s="466"/>
      <c r="BC3489" s="466"/>
      <c r="BD3489" s="466"/>
      <c r="BE3489" s="467"/>
      <c r="BF3489" s="467"/>
      <c r="BG3489" s="466"/>
      <c r="BH3489" s="466"/>
      <c r="BI3489" s="467"/>
      <c r="BJ3489" s="467"/>
      <c r="BK3489" s="467"/>
      <c r="BL3489" s="467"/>
      <c r="BM3489" s="467"/>
      <c r="BN3489" s="467"/>
      <c r="BO3489" s="467"/>
      <c r="BP3489" s="467"/>
      <c r="BQ3489" s="467"/>
      <c r="BR3489" s="467"/>
      <c r="BS3489" s="467"/>
      <c r="BT3489" s="467"/>
      <c r="BU3489" s="467"/>
      <c r="BV3489" s="467"/>
      <c r="BW3489" s="467"/>
      <c r="BX3489" s="769"/>
      <c r="BY3489" s="769"/>
      <c r="BZ3489" s="769"/>
      <c r="CA3489" s="769"/>
      <c r="CB3489" s="769"/>
      <c r="CC3489" s="769"/>
      <c r="CD3489" s="769"/>
      <c r="CE3489" s="769"/>
      <c r="CF3489" s="769"/>
      <c r="CG3489" s="73"/>
      <c r="CH3489" s="438"/>
      <c r="CI3489" s="416"/>
      <c r="CJ3489" s="73"/>
      <c r="CK3489" s="650"/>
      <c r="CL3489" s="499"/>
      <c r="CM3489" s="650"/>
      <c r="CR3489" s="416"/>
      <c r="CS3489" s="650"/>
      <c r="CU3489" s="73"/>
      <c r="CV3489" s="73"/>
      <c r="CW3489" s="73"/>
      <c r="CX3489" s="73"/>
      <c r="DA3489" s="650"/>
    </row>
    <row r="3490" spans="1:105" s="45" customFormat="1" x14ac:dyDescent="0.2">
      <c r="A3490" s="650"/>
      <c r="B3490" s="438"/>
      <c r="D3490" s="73"/>
      <c r="E3490" s="650"/>
      <c r="F3490" s="650"/>
      <c r="G3490" s="73"/>
      <c r="I3490" s="111"/>
      <c r="J3490" s="81"/>
      <c r="K3490" s="81"/>
      <c r="L3490" s="499"/>
      <c r="M3490" s="73"/>
      <c r="N3490" s="499"/>
      <c r="O3490" s="73"/>
      <c r="P3490" s="73"/>
      <c r="Q3490" s="73"/>
      <c r="R3490" s="176"/>
      <c r="S3490" s="176"/>
      <c r="T3490" s="176"/>
      <c r="U3490" s="400"/>
      <c r="V3490" s="400"/>
      <c r="W3490" s="732"/>
      <c r="X3490" s="167"/>
      <c r="Y3490" s="509"/>
      <c r="Z3490" s="466"/>
      <c r="AA3490" s="466"/>
      <c r="AB3490" s="466"/>
      <c r="AC3490" s="466"/>
      <c r="AD3490" s="466"/>
      <c r="AE3490" s="466"/>
      <c r="AF3490" s="466"/>
      <c r="AG3490" s="466"/>
      <c r="AH3490" s="466"/>
      <c r="AI3490" s="466"/>
      <c r="AJ3490" s="466"/>
      <c r="AK3490" s="466"/>
      <c r="AL3490" s="466"/>
      <c r="AM3490" s="466"/>
      <c r="AN3490" s="466"/>
      <c r="AO3490" s="466"/>
      <c r="AP3490" s="466"/>
      <c r="AQ3490" s="466"/>
      <c r="AR3490" s="466"/>
      <c r="AS3490" s="466"/>
      <c r="AT3490" s="466"/>
      <c r="AU3490" s="466"/>
      <c r="AV3490" s="466"/>
      <c r="AW3490" s="466"/>
      <c r="AX3490" s="466"/>
      <c r="AY3490" s="466"/>
      <c r="AZ3490" s="466"/>
      <c r="BA3490" s="466"/>
      <c r="BB3490" s="466"/>
      <c r="BC3490" s="466"/>
      <c r="BD3490" s="466"/>
      <c r="BE3490" s="467"/>
      <c r="BF3490" s="467"/>
      <c r="BG3490" s="466"/>
      <c r="BH3490" s="466"/>
      <c r="BI3490" s="467"/>
      <c r="BJ3490" s="467"/>
      <c r="BK3490" s="467"/>
      <c r="BL3490" s="467"/>
      <c r="BM3490" s="467"/>
      <c r="BN3490" s="467"/>
      <c r="BO3490" s="467"/>
      <c r="BP3490" s="467"/>
      <c r="BQ3490" s="467"/>
      <c r="BR3490" s="467"/>
      <c r="BS3490" s="467"/>
      <c r="BT3490" s="467"/>
      <c r="BU3490" s="467"/>
      <c r="BV3490" s="467"/>
      <c r="BW3490" s="467"/>
      <c r="BX3490" s="769"/>
      <c r="BY3490" s="769"/>
      <c r="BZ3490" s="769"/>
      <c r="CA3490" s="769"/>
      <c r="CB3490" s="769"/>
      <c r="CC3490" s="769"/>
      <c r="CD3490" s="769"/>
      <c r="CE3490" s="769"/>
      <c r="CF3490" s="769"/>
      <c r="CG3490" s="73"/>
      <c r="CH3490" s="438"/>
      <c r="CI3490" s="416"/>
      <c r="CJ3490" s="73"/>
      <c r="CK3490" s="650"/>
      <c r="CL3490" s="499"/>
      <c r="CM3490" s="650"/>
      <c r="CR3490" s="416"/>
      <c r="CS3490" s="650"/>
      <c r="CU3490" s="73"/>
      <c r="CV3490" s="73"/>
      <c r="CW3490" s="73"/>
      <c r="CX3490" s="73"/>
      <c r="DA3490" s="650"/>
    </row>
    <row r="3491" spans="1:105" s="45" customFormat="1" x14ac:dyDescent="0.2">
      <c r="A3491" s="650"/>
      <c r="B3491" s="438"/>
      <c r="D3491" s="73"/>
      <c r="E3491" s="650"/>
      <c r="F3491" s="650"/>
      <c r="G3491" s="73"/>
      <c r="I3491" s="111"/>
      <c r="J3491" s="81"/>
      <c r="K3491" s="81"/>
      <c r="L3491" s="499"/>
      <c r="M3491" s="73"/>
      <c r="N3491" s="499"/>
      <c r="O3491" s="73"/>
      <c r="P3491" s="73"/>
      <c r="Q3491" s="73"/>
      <c r="R3491" s="176"/>
      <c r="S3491" s="176"/>
      <c r="T3491" s="176"/>
      <c r="U3491" s="400"/>
      <c r="V3491" s="400"/>
      <c r="W3491" s="732"/>
      <c r="X3491" s="167"/>
      <c r="Y3491" s="509"/>
      <c r="Z3491" s="466"/>
      <c r="AA3491" s="466"/>
      <c r="AB3491" s="466"/>
      <c r="AC3491" s="466"/>
      <c r="AD3491" s="466"/>
      <c r="AE3491" s="466"/>
      <c r="AF3491" s="466"/>
      <c r="AG3491" s="466"/>
      <c r="AH3491" s="466"/>
      <c r="AI3491" s="466"/>
      <c r="AJ3491" s="466"/>
      <c r="AK3491" s="466"/>
      <c r="AL3491" s="466"/>
      <c r="AM3491" s="466"/>
      <c r="AN3491" s="466"/>
      <c r="AO3491" s="466"/>
      <c r="AP3491" s="466"/>
      <c r="AQ3491" s="466"/>
      <c r="AR3491" s="466"/>
      <c r="AS3491" s="466"/>
      <c r="AT3491" s="466"/>
      <c r="AU3491" s="466"/>
      <c r="AV3491" s="466"/>
      <c r="AW3491" s="466"/>
      <c r="AX3491" s="466"/>
      <c r="AY3491" s="466"/>
      <c r="AZ3491" s="466"/>
      <c r="BA3491" s="466"/>
      <c r="BB3491" s="466"/>
      <c r="BC3491" s="466"/>
      <c r="BD3491" s="466"/>
      <c r="BE3491" s="467"/>
      <c r="BF3491" s="467"/>
      <c r="BG3491" s="466"/>
      <c r="BH3491" s="466"/>
      <c r="BI3491" s="467"/>
      <c r="BJ3491" s="467"/>
      <c r="BK3491" s="467"/>
      <c r="BL3491" s="467"/>
      <c r="BM3491" s="467"/>
      <c r="BN3491" s="467"/>
      <c r="BO3491" s="467"/>
      <c r="BP3491" s="467"/>
      <c r="BQ3491" s="467"/>
      <c r="BR3491" s="467"/>
      <c r="BS3491" s="467"/>
      <c r="BT3491" s="467"/>
      <c r="BU3491" s="467"/>
      <c r="BV3491" s="467"/>
      <c r="BW3491" s="467"/>
      <c r="BX3491" s="769"/>
      <c r="BY3491" s="769"/>
      <c r="BZ3491" s="769"/>
      <c r="CA3491" s="769"/>
      <c r="CB3491" s="769"/>
      <c r="CC3491" s="769"/>
      <c r="CD3491" s="769"/>
      <c r="CE3491" s="769"/>
      <c r="CF3491" s="769"/>
      <c r="CG3491" s="73"/>
      <c r="CH3491" s="438"/>
      <c r="CI3491" s="416"/>
      <c r="CJ3491" s="73"/>
      <c r="CK3491" s="650"/>
      <c r="CL3491" s="499"/>
      <c r="CM3491" s="650"/>
      <c r="CR3491" s="416"/>
      <c r="CS3491" s="650"/>
      <c r="CU3491" s="73"/>
      <c r="CV3491" s="73"/>
      <c r="CW3491" s="73"/>
      <c r="CX3491" s="73"/>
      <c r="DA3491" s="650"/>
    </row>
    <row r="3492" spans="1:105" s="45" customFormat="1" x14ac:dyDescent="0.2">
      <c r="A3492" s="650"/>
      <c r="B3492" s="438"/>
      <c r="D3492" s="73"/>
      <c r="E3492" s="650"/>
      <c r="F3492" s="650"/>
      <c r="G3492" s="73"/>
      <c r="I3492" s="111"/>
      <c r="J3492" s="81"/>
      <c r="K3492" s="81"/>
      <c r="L3492" s="499"/>
      <c r="M3492" s="73"/>
      <c r="N3492" s="499"/>
      <c r="O3492" s="73"/>
      <c r="P3492" s="73"/>
      <c r="Q3492" s="73"/>
      <c r="R3492" s="176"/>
      <c r="S3492" s="176"/>
      <c r="T3492" s="176"/>
      <c r="U3492" s="400"/>
      <c r="V3492" s="400"/>
      <c r="W3492" s="732"/>
      <c r="X3492" s="167"/>
      <c r="Y3492" s="509"/>
      <c r="Z3492" s="466"/>
      <c r="AA3492" s="466"/>
      <c r="AB3492" s="466"/>
      <c r="AC3492" s="466"/>
      <c r="AD3492" s="466"/>
      <c r="AE3492" s="466"/>
      <c r="AF3492" s="466"/>
      <c r="AG3492" s="466"/>
      <c r="AH3492" s="466"/>
      <c r="AI3492" s="466"/>
      <c r="AJ3492" s="466"/>
      <c r="AK3492" s="466"/>
      <c r="AL3492" s="466"/>
      <c r="AM3492" s="466"/>
      <c r="AN3492" s="466"/>
      <c r="AO3492" s="466"/>
      <c r="AP3492" s="466"/>
      <c r="AQ3492" s="466"/>
      <c r="AR3492" s="466"/>
      <c r="AS3492" s="466"/>
      <c r="AT3492" s="466"/>
      <c r="AU3492" s="466"/>
      <c r="AV3492" s="466"/>
      <c r="AW3492" s="466"/>
      <c r="AX3492" s="466"/>
      <c r="AY3492" s="466"/>
      <c r="AZ3492" s="466"/>
      <c r="BA3492" s="466"/>
      <c r="BB3492" s="466"/>
      <c r="BC3492" s="466"/>
      <c r="BD3492" s="466"/>
      <c r="BE3492" s="467"/>
      <c r="BF3492" s="467"/>
      <c r="BG3492" s="466"/>
      <c r="BH3492" s="466"/>
      <c r="BI3492" s="467"/>
      <c r="BJ3492" s="467"/>
      <c r="BK3492" s="467"/>
      <c r="BL3492" s="467"/>
      <c r="BM3492" s="467"/>
      <c r="BN3492" s="467"/>
      <c r="BO3492" s="467"/>
      <c r="BP3492" s="467"/>
      <c r="BQ3492" s="467"/>
      <c r="BR3492" s="467"/>
      <c r="BS3492" s="467"/>
      <c r="BT3492" s="467"/>
      <c r="BU3492" s="467"/>
      <c r="BV3492" s="467"/>
      <c r="BW3492" s="467"/>
      <c r="BX3492" s="769"/>
      <c r="BY3492" s="769"/>
      <c r="BZ3492" s="769"/>
      <c r="CA3492" s="769"/>
      <c r="CB3492" s="769"/>
      <c r="CC3492" s="769"/>
      <c r="CD3492" s="769"/>
      <c r="CE3492" s="769"/>
      <c r="CF3492" s="769"/>
      <c r="CG3492" s="73"/>
      <c r="CH3492" s="438"/>
      <c r="CI3492" s="416"/>
      <c r="CJ3492" s="73"/>
      <c r="CK3492" s="650"/>
      <c r="CL3492" s="499"/>
      <c r="CM3492" s="650"/>
      <c r="CR3492" s="416"/>
      <c r="CS3492" s="650"/>
      <c r="CU3492" s="73"/>
      <c r="CV3492" s="73"/>
      <c r="CW3492" s="73"/>
      <c r="CX3492" s="73"/>
      <c r="DA3492" s="650"/>
    </row>
    <row r="3493" spans="1:105" s="45" customFormat="1" x14ac:dyDescent="0.2">
      <c r="A3493" s="650"/>
      <c r="B3493" s="438"/>
      <c r="D3493" s="73"/>
      <c r="E3493" s="650"/>
      <c r="F3493" s="650"/>
      <c r="G3493" s="73"/>
      <c r="I3493" s="111"/>
      <c r="J3493" s="81"/>
      <c r="K3493" s="81"/>
      <c r="L3493" s="499"/>
      <c r="M3493" s="73"/>
      <c r="N3493" s="499"/>
      <c r="O3493" s="73"/>
      <c r="P3493" s="73"/>
      <c r="Q3493" s="73"/>
      <c r="R3493" s="176"/>
      <c r="S3493" s="176"/>
      <c r="T3493" s="176"/>
      <c r="U3493" s="400"/>
      <c r="V3493" s="400"/>
      <c r="W3493" s="732"/>
      <c r="X3493" s="167"/>
      <c r="Y3493" s="509"/>
      <c r="Z3493" s="466"/>
      <c r="AA3493" s="466"/>
      <c r="AB3493" s="466"/>
      <c r="AC3493" s="466"/>
      <c r="AD3493" s="466"/>
      <c r="AE3493" s="466"/>
      <c r="AF3493" s="466"/>
      <c r="AG3493" s="466"/>
      <c r="AH3493" s="466"/>
      <c r="AI3493" s="466"/>
      <c r="AJ3493" s="466"/>
      <c r="AK3493" s="466"/>
      <c r="AL3493" s="466"/>
      <c r="AM3493" s="466"/>
      <c r="AN3493" s="466"/>
      <c r="AO3493" s="466"/>
      <c r="AP3493" s="466"/>
      <c r="AQ3493" s="466"/>
      <c r="AR3493" s="466"/>
      <c r="AS3493" s="466"/>
      <c r="AT3493" s="466"/>
      <c r="AU3493" s="466"/>
      <c r="AV3493" s="466"/>
      <c r="AW3493" s="466"/>
      <c r="AX3493" s="466"/>
      <c r="AY3493" s="466"/>
      <c r="AZ3493" s="466"/>
      <c r="BA3493" s="466"/>
      <c r="BB3493" s="466"/>
      <c r="BC3493" s="466"/>
      <c r="BD3493" s="466"/>
      <c r="BE3493" s="467"/>
      <c r="BF3493" s="467"/>
      <c r="BG3493" s="466"/>
      <c r="BH3493" s="466"/>
      <c r="BI3493" s="467"/>
      <c r="BJ3493" s="467"/>
      <c r="BK3493" s="467"/>
      <c r="BL3493" s="467"/>
      <c r="BM3493" s="467"/>
      <c r="BN3493" s="467"/>
      <c r="BO3493" s="467"/>
      <c r="BP3493" s="467"/>
      <c r="BQ3493" s="467"/>
      <c r="BR3493" s="467"/>
      <c r="BS3493" s="467"/>
      <c r="BT3493" s="467"/>
      <c r="BU3493" s="467"/>
      <c r="BV3493" s="467"/>
      <c r="BW3493" s="467"/>
      <c r="BX3493" s="769"/>
      <c r="BY3493" s="769"/>
      <c r="BZ3493" s="769"/>
      <c r="CA3493" s="769"/>
      <c r="CB3493" s="769"/>
      <c r="CC3493" s="769"/>
      <c r="CD3493" s="769"/>
      <c r="CE3493" s="769"/>
      <c r="CF3493" s="769"/>
      <c r="CG3493" s="73"/>
      <c r="CH3493" s="438"/>
      <c r="CI3493" s="416"/>
      <c r="CJ3493" s="73"/>
      <c r="CK3493" s="650"/>
      <c r="CL3493" s="499"/>
      <c r="CM3493" s="650"/>
      <c r="CR3493" s="416"/>
      <c r="CS3493" s="650"/>
      <c r="CU3493" s="73"/>
      <c r="CV3493" s="73"/>
      <c r="CW3493" s="73"/>
      <c r="CX3493" s="73"/>
      <c r="DA3493" s="650"/>
    </row>
    <row r="3494" spans="1:105" s="45" customFormat="1" x14ac:dyDescent="0.2">
      <c r="A3494" s="650"/>
      <c r="B3494" s="438"/>
      <c r="D3494" s="73"/>
      <c r="E3494" s="650"/>
      <c r="F3494" s="650"/>
      <c r="G3494" s="73"/>
      <c r="I3494" s="111"/>
      <c r="J3494" s="81"/>
      <c r="K3494" s="81"/>
      <c r="L3494" s="499"/>
      <c r="M3494" s="73"/>
      <c r="N3494" s="499"/>
      <c r="O3494" s="73"/>
      <c r="P3494" s="73"/>
      <c r="Q3494" s="73"/>
      <c r="R3494" s="176"/>
      <c r="S3494" s="176"/>
      <c r="T3494" s="176"/>
      <c r="U3494" s="400"/>
      <c r="V3494" s="400"/>
      <c r="W3494" s="732"/>
      <c r="X3494" s="167"/>
      <c r="Y3494" s="509"/>
      <c r="Z3494" s="466"/>
      <c r="AA3494" s="466"/>
      <c r="AB3494" s="466"/>
      <c r="AC3494" s="466"/>
      <c r="AD3494" s="466"/>
      <c r="AE3494" s="466"/>
      <c r="AF3494" s="466"/>
      <c r="AG3494" s="466"/>
      <c r="AH3494" s="466"/>
      <c r="AI3494" s="466"/>
      <c r="AJ3494" s="466"/>
      <c r="AK3494" s="466"/>
      <c r="AL3494" s="466"/>
      <c r="AM3494" s="466"/>
      <c r="AN3494" s="466"/>
      <c r="AO3494" s="466"/>
      <c r="AP3494" s="466"/>
      <c r="AQ3494" s="466"/>
      <c r="AR3494" s="466"/>
      <c r="AS3494" s="466"/>
      <c r="AT3494" s="466"/>
      <c r="AU3494" s="466"/>
      <c r="AV3494" s="466"/>
      <c r="AW3494" s="466"/>
      <c r="AX3494" s="466"/>
      <c r="AY3494" s="466"/>
      <c r="AZ3494" s="466"/>
      <c r="BA3494" s="466"/>
      <c r="BB3494" s="466"/>
      <c r="BC3494" s="466"/>
      <c r="BD3494" s="466"/>
      <c r="BE3494" s="467"/>
      <c r="BF3494" s="467"/>
      <c r="BG3494" s="466"/>
      <c r="BH3494" s="466"/>
      <c r="BI3494" s="467"/>
      <c r="BJ3494" s="467"/>
      <c r="BK3494" s="467"/>
      <c r="BL3494" s="467"/>
      <c r="BM3494" s="467"/>
      <c r="BN3494" s="467"/>
      <c r="BO3494" s="467"/>
      <c r="BP3494" s="467"/>
      <c r="BQ3494" s="467"/>
      <c r="BR3494" s="467"/>
      <c r="BS3494" s="467"/>
      <c r="BT3494" s="467"/>
      <c r="BU3494" s="467"/>
      <c r="BV3494" s="467"/>
      <c r="BW3494" s="467"/>
      <c r="BX3494" s="769"/>
      <c r="BY3494" s="769"/>
      <c r="BZ3494" s="769"/>
      <c r="CA3494" s="769"/>
      <c r="CB3494" s="769"/>
      <c r="CC3494" s="769"/>
      <c r="CD3494" s="769"/>
      <c r="CE3494" s="769"/>
      <c r="CF3494" s="769"/>
      <c r="CG3494" s="73"/>
      <c r="CH3494" s="438"/>
      <c r="CI3494" s="416"/>
      <c r="CJ3494" s="73"/>
      <c r="CK3494" s="650"/>
      <c r="CL3494" s="499"/>
      <c r="CM3494" s="650"/>
      <c r="CR3494" s="416"/>
      <c r="CS3494" s="650"/>
      <c r="CU3494" s="73"/>
      <c r="CV3494" s="73"/>
      <c r="CW3494" s="73"/>
      <c r="CX3494" s="73"/>
      <c r="DA3494" s="650"/>
    </row>
    <row r="3495" spans="1:105" s="45" customFormat="1" x14ac:dyDescent="0.2">
      <c r="A3495" s="650"/>
      <c r="B3495" s="438"/>
      <c r="D3495" s="73"/>
      <c r="E3495" s="650"/>
      <c r="F3495" s="650"/>
      <c r="G3495" s="73"/>
      <c r="I3495" s="111"/>
      <c r="J3495" s="81"/>
      <c r="K3495" s="81"/>
      <c r="L3495" s="499"/>
      <c r="M3495" s="73"/>
      <c r="N3495" s="499"/>
      <c r="O3495" s="73"/>
      <c r="P3495" s="73"/>
      <c r="Q3495" s="73"/>
      <c r="R3495" s="176"/>
      <c r="S3495" s="176"/>
      <c r="T3495" s="176"/>
      <c r="U3495" s="400"/>
      <c r="V3495" s="400"/>
      <c r="W3495" s="732"/>
      <c r="X3495" s="167"/>
      <c r="Y3495" s="509"/>
      <c r="Z3495" s="466"/>
      <c r="AA3495" s="466"/>
      <c r="AB3495" s="466"/>
      <c r="AC3495" s="466"/>
      <c r="AD3495" s="466"/>
      <c r="AE3495" s="466"/>
      <c r="AF3495" s="466"/>
      <c r="AG3495" s="466"/>
      <c r="AH3495" s="466"/>
      <c r="AI3495" s="466"/>
      <c r="AJ3495" s="466"/>
      <c r="AK3495" s="466"/>
      <c r="AL3495" s="466"/>
      <c r="AM3495" s="466"/>
      <c r="AN3495" s="466"/>
      <c r="AO3495" s="466"/>
      <c r="AP3495" s="466"/>
      <c r="AQ3495" s="466"/>
      <c r="AR3495" s="466"/>
      <c r="AS3495" s="466"/>
      <c r="AT3495" s="466"/>
      <c r="AU3495" s="466"/>
      <c r="AV3495" s="466"/>
      <c r="AW3495" s="466"/>
      <c r="AX3495" s="466"/>
      <c r="AY3495" s="466"/>
      <c r="AZ3495" s="466"/>
      <c r="BA3495" s="466"/>
      <c r="BB3495" s="466"/>
      <c r="BC3495" s="466"/>
      <c r="BD3495" s="466"/>
      <c r="BE3495" s="467"/>
      <c r="BF3495" s="467"/>
      <c r="BG3495" s="466"/>
      <c r="BH3495" s="466"/>
      <c r="BI3495" s="467"/>
      <c r="BJ3495" s="467"/>
      <c r="BK3495" s="467"/>
      <c r="BL3495" s="467"/>
      <c r="BM3495" s="467"/>
      <c r="BN3495" s="467"/>
      <c r="BO3495" s="467"/>
      <c r="BP3495" s="467"/>
      <c r="BQ3495" s="467"/>
      <c r="BR3495" s="467"/>
      <c r="BS3495" s="467"/>
      <c r="BT3495" s="467"/>
      <c r="BU3495" s="467"/>
      <c r="BV3495" s="467"/>
      <c r="BW3495" s="467"/>
      <c r="BX3495" s="769"/>
      <c r="BY3495" s="769"/>
      <c r="BZ3495" s="769"/>
      <c r="CA3495" s="769"/>
      <c r="CB3495" s="769"/>
      <c r="CC3495" s="769"/>
      <c r="CD3495" s="769"/>
      <c r="CE3495" s="769"/>
      <c r="CF3495" s="769"/>
      <c r="CG3495" s="73"/>
      <c r="CH3495" s="438"/>
      <c r="CI3495" s="416"/>
      <c r="CJ3495" s="73"/>
      <c r="CK3495" s="650"/>
      <c r="CL3495" s="499"/>
      <c r="CM3495" s="650"/>
      <c r="CR3495" s="416"/>
      <c r="CS3495" s="650"/>
      <c r="CU3495" s="73"/>
      <c r="CV3495" s="73"/>
      <c r="CW3495" s="73"/>
      <c r="CX3495" s="73"/>
      <c r="DA3495" s="650"/>
    </row>
    <row r="3496" spans="1:105" s="45" customFormat="1" x14ac:dyDescent="0.2">
      <c r="A3496" s="650"/>
      <c r="B3496" s="438"/>
      <c r="D3496" s="73"/>
      <c r="E3496" s="650"/>
      <c r="F3496" s="650"/>
      <c r="G3496" s="73"/>
      <c r="I3496" s="111"/>
      <c r="J3496" s="81"/>
      <c r="K3496" s="81"/>
      <c r="L3496" s="499"/>
      <c r="M3496" s="73"/>
      <c r="N3496" s="499"/>
      <c r="O3496" s="73"/>
      <c r="P3496" s="73"/>
      <c r="Q3496" s="73"/>
      <c r="R3496" s="176"/>
      <c r="S3496" s="176"/>
      <c r="T3496" s="176"/>
      <c r="U3496" s="400"/>
      <c r="V3496" s="400"/>
      <c r="W3496" s="732"/>
      <c r="X3496" s="167"/>
      <c r="Y3496" s="509"/>
      <c r="Z3496" s="466"/>
      <c r="AA3496" s="466"/>
      <c r="AB3496" s="466"/>
      <c r="AC3496" s="466"/>
      <c r="AD3496" s="466"/>
      <c r="AE3496" s="466"/>
      <c r="AF3496" s="466"/>
      <c r="AG3496" s="466"/>
      <c r="AH3496" s="466"/>
      <c r="AI3496" s="466"/>
      <c r="AJ3496" s="466"/>
      <c r="AK3496" s="466"/>
      <c r="AL3496" s="466"/>
      <c r="AM3496" s="466"/>
      <c r="AN3496" s="466"/>
      <c r="AO3496" s="466"/>
      <c r="AP3496" s="466"/>
      <c r="AQ3496" s="466"/>
      <c r="AR3496" s="466"/>
      <c r="AS3496" s="466"/>
      <c r="AT3496" s="466"/>
      <c r="AU3496" s="466"/>
      <c r="AV3496" s="466"/>
      <c r="AW3496" s="466"/>
      <c r="AX3496" s="466"/>
      <c r="AY3496" s="466"/>
      <c r="AZ3496" s="466"/>
      <c r="BA3496" s="466"/>
      <c r="BB3496" s="466"/>
      <c r="BC3496" s="466"/>
      <c r="BD3496" s="466"/>
      <c r="BE3496" s="467"/>
      <c r="BF3496" s="467"/>
      <c r="BG3496" s="466"/>
      <c r="BH3496" s="466"/>
      <c r="BI3496" s="467"/>
      <c r="BJ3496" s="467"/>
      <c r="BK3496" s="467"/>
      <c r="BL3496" s="467"/>
      <c r="BM3496" s="467"/>
      <c r="BN3496" s="467"/>
      <c r="BO3496" s="467"/>
      <c r="BP3496" s="467"/>
      <c r="BQ3496" s="467"/>
      <c r="BR3496" s="467"/>
      <c r="BS3496" s="467"/>
      <c r="BT3496" s="467"/>
      <c r="BU3496" s="467"/>
      <c r="BV3496" s="467"/>
      <c r="BW3496" s="467"/>
      <c r="BX3496" s="769"/>
      <c r="BY3496" s="769"/>
      <c r="BZ3496" s="769"/>
      <c r="CA3496" s="769"/>
      <c r="CB3496" s="769"/>
      <c r="CC3496" s="769"/>
      <c r="CD3496" s="769"/>
      <c r="CE3496" s="769"/>
      <c r="CF3496" s="769"/>
      <c r="CG3496" s="73"/>
      <c r="CH3496" s="438"/>
      <c r="CI3496" s="416"/>
      <c r="CJ3496" s="73"/>
      <c r="CK3496" s="650"/>
      <c r="CL3496" s="499"/>
      <c r="CM3496" s="650"/>
      <c r="CR3496" s="416"/>
      <c r="CS3496" s="650"/>
      <c r="CU3496" s="73"/>
      <c r="CV3496" s="73"/>
      <c r="CW3496" s="73"/>
      <c r="CX3496" s="73"/>
      <c r="DA3496" s="650"/>
    </row>
    <row r="3497" spans="1:105" s="45" customFormat="1" x14ac:dyDescent="0.2">
      <c r="A3497" s="650"/>
      <c r="B3497" s="438"/>
      <c r="D3497" s="73"/>
      <c r="E3497" s="650"/>
      <c r="F3497" s="650"/>
      <c r="G3497" s="73"/>
      <c r="I3497" s="111"/>
      <c r="J3497" s="81"/>
      <c r="K3497" s="81"/>
      <c r="L3497" s="499"/>
      <c r="M3497" s="73"/>
      <c r="N3497" s="499"/>
      <c r="O3497" s="73"/>
      <c r="P3497" s="73"/>
      <c r="Q3497" s="73"/>
      <c r="R3497" s="176"/>
      <c r="S3497" s="176"/>
      <c r="T3497" s="176"/>
      <c r="U3497" s="400"/>
      <c r="V3497" s="400"/>
      <c r="W3497" s="732"/>
      <c r="X3497" s="167"/>
      <c r="Y3497" s="509"/>
      <c r="Z3497" s="466"/>
      <c r="AA3497" s="466"/>
      <c r="AB3497" s="466"/>
      <c r="AC3497" s="466"/>
      <c r="AD3497" s="466"/>
      <c r="AE3497" s="466"/>
      <c r="AF3497" s="466"/>
      <c r="AG3497" s="466"/>
      <c r="AH3497" s="466"/>
      <c r="AI3497" s="466"/>
      <c r="AJ3497" s="466"/>
      <c r="AK3497" s="466"/>
      <c r="AL3497" s="466"/>
      <c r="AM3497" s="466"/>
      <c r="AN3497" s="466"/>
      <c r="AO3497" s="466"/>
      <c r="AP3497" s="466"/>
      <c r="AQ3497" s="466"/>
      <c r="AR3497" s="466"/>
      <c r="AS3497" s="466"/>
      <c r="AT3497" s="466"/>
      <c r="AU3497" s="466"/>
      <c r="AV3497" s="466"/>
      <c r="AW3497" s="466"/>
      <c r="AX3497" s="466"/>
      <c r="AY3497" s="466"/>
      <c r="AZ3497" s="466"/>
      <c r="BA3497" s="466"/>
      <c r="BB3497" s="466"/>
      <c r="BC3497" s="466"/>
      <c r="BD3497" s="466"/>
      <c r="BE3497" s="467"/>
      <c r="BF3497" s="467"/>
      <c r="BG3497" s="466"/>
      <c r="BH3497" s="466"/>
      <c r="BI3497" s="467"/>
      <c r="BJ3497" s="467"/>
      <c r="BK3497" s="467"/>
      <c r="BL3497" s="467"/>
      <c r="BM3497" s="467"/>
      <c r="BN3497" s="467"/>
      <c r="BO3497" s="467"/>
      <c r="BP3497" s="467"/>
      <c r="BQ3497" s="467"/>
      <c r="BR3497" s="467"/>
      <c r="BS3497" s="467"/>
      <c r="BT3497" s="467"/>
      <c r="BU3497" s="467"/>
      <c r="BV3497" s="467"/>
      <c r="BW3497" s="467"/>
      <c r="BX3497" s="769"/>
      <c r="BY3497" s="769"/>
      <c r="BZ3497" s="769"/>
      <c r="CA3497" s="769"/>
      <c r="CB3497" s="769"/>
      <c r="CC3497" s="769"/>
      <c r="CD3497" s="769"/>
      <c r="CE3497" s="769"/>
      <c r="CF3497" s="769"/>
      <c r="CG3497" s="73"/>
      <c r="CH3497" s="438"/>
      <c r="CI3497" s="416"/>
      <c r="CJ3497" s="73"/>
      <c r="CK3497" s="650"/>
      <c r="CL3497" s="499"/>
      <c r="CM3497" s="650"/>
      <c r="CR3497" s="416"/>
      <c r="CS3497" s="650"/>
      <c r="CU3497" s="73"/>
      <c r="CV3497" s="73"/>
      <c r="CW3497" s="73"/>
      <c r="CX3497" s="73"/>
      <c r="DA3497" s="650"/>
    </row>
    <row r="3498" spans="1:105" s="45" customFormat="1" x14ac:dyDescent="0.2">
      <c r="A3498" s="650"/>
      <c r="B3498" s="438"/>
      <c r="D3498" s="73"/>
      <c r="E3498" s="650"/>
      <c r="F3498" s="650"/>
      <c r="G3498" s="73"/>
      <c r="I3498" s="111"/>
      <c r="J3498" s="81"/>
      <c r="K3498" s="81"/>
      <c r="L3498" s="499"/>
      <c r="M3498" s="73"/>
      <c r="N3498" s="499"/>
      <c r="O3498" s="73"/>
      <c r="P3498" s="73"/>
      <c r="Q3498" s="73"/>
      <c r="R3498" s="176"/>
      <c r="S3498" s="176"/>
      <c r="T3498" s="176"/>
      <c r="U3498" s="400"/>
      <c r="V3498" s="400"/>
      <c r="W3498" s="732"/>
      <c r="X3498" s="167"/>
      <c r="Y3498" s="509"/>
      <c r="Z3498" s="466"/>
      <c r="AA3498" s="466"/>
      <c r="AB3498" s="466"/>
      <c r="AC3498" s="466"/>
      <c r="AD3498" s="466"/>
      <c r="AE3498" s="466"/>
      <c r="AF3498" s="466"/>
      <c r="AG3498" s="466"/>
      <c r="AH3498" s="466"/>
      <c r="AI3498" s="466"/>
      <c r="AJ3498" s="466"/>
      <c r="AK3498" s="466"/>
      <c r="AL3498" s="466"/>
      <c r="AM3498" s="466"/>
      <c r="AN3498" s="466"/>
      <c r="AO3498" s="466"/>
      <c r="AP3498" s="466"/>
      <c r="AQ3498" s="466"/>
      <c r="AR3498" s="466"/>
      <c r="AS3498" s="466"/>
      <c r="AT3498" s="466"/>
      <c r="AU3498" s="466"/>
      <c r="AV3498" s="466"/>
      <c r="AW3498" s="466"/>
      <c r="AX3498" s="466"/>
      <c r="AY3498" s="466"/>
      <c r="AZ3498" s="466"/>
      <c r="BA3498" s="466"/>
      <c r="BB3498" s="466"/>
      <c r="BC3498" s="466"/>
      <c r="BD3498" s="466"/>
      <c r="BE3498" s="467"/>
      <c r="BF3498" s="467"/>
      <c r="BG3498" s="466"/>
      <c r="BH3498" s="466"/>
      <c r="BI3498" s="467"/>
      <c r="BJ3498" s="467"/>
      <c r="BK3498" s="467"/>
      <c r="BL3498" s="467"/>
      <c r="BM3498" s="467"/>
      <c r="BN3498" s="467"/>
      <c r="BO3498" s="467"/>
      <c r="BP3498" s="467"/>
      <c r="BQ3498" s="467"/>
      <c r="BR3498" s="467"/>
      <c r="BS3498" s="467"/>
      <c r="BT3498" s="467"/>
      <c r="BU3498" s="467"/>
      <c r="BV3498" s="467"/>
      <c r="BW3498" s="467"/>
      <c r="BX3498" s="769"/>
      <c r="BY3498" s="769"/>
      <c r="BZ3498" s="769"/>
      <c r="CA3498" s="769"/>
      <c r="CB3498" s="769"/>
      <c r="CC3498" s="769"/>
      <c r="CD3498" s="769"/>
      <c r="CE3498" s="769"/>
      <c r="CF3498" s="769"/>
      <c r="CG3498" s="73"/>
      <c r="CH3498" s="438"/>
      <c r="CI3498" s="416"/>
      <c r="CJ3498" s="73"/>
      <c r="CK3498" s="650"/>
      <c r="CL3498" s="499"/>
      <c r="CM3498" s="650"/>
      <c r="CR3498" s="416"/>
      <c r="CS3498" s="650"/>
      <c r="CU3498" s="73"/>
      <c r="CV3498" s="73"/>
      <c r="CW3498" s="73"/>
      <c r="CX3498" s="73"/>
      <c r="DA3498" s="650"/>
    </row>
    <row r="3499" spans="1:105" s="45" customFormat="1" x14ac:dyDescent="0.2">
      <c r="A3499" s="650"/>
      <c r="B3499" s="438"/>
      <c r="D3499" s="73"/>
      <c r="E3499" s="650"/>
      <c r="F3499" s="650"/>
      <c r="G3499" s="73"/>
      <c r="I3499" s="111"/>
      <c r="J3499" s="81"/>
      <c r="K3499" s="81"/>
      <c r="L3499" s="499"/>
      <c r="M3499" s="73"/>
      <c r="N3499" s="499"/>
      <c r="O3499" s="73"/>
      <c r="P3499" s="73"/>
      <c r="Q3499" s="73"/>
      <c r="R3499" s="176"/>
      <c r="S3499" s="176"/>
      <c r="T3499" s="176"/>
      <c r="U3499" s="400"/>
      <c r="V3499" s="400"/>
      <c r="W3499" s="732"/>
      <c r="X3499" s="167"/>
      <c r="Y3499" s="509"/>
      <c r="Z3499" s="466"/>
      <c r="AA3499" s="466"/>
      <c r="AB3499" s="466"/>
      <c r="AC3499" s="466"/>
      <c r="AD3499" s="466"/>
      <c r="AE3499" s="466"/>
      <c r="AF3499" s="466"/>
      <c r="AG3499" s="466"/>
      <c r="AH3499" s="466"/>
      <c r="AI3499" s="466"/>
      <c r="AJ3499" s="466"/>
      <c r="AK3499" s="466"/>
      <c r="AL3499" s="466"/>
      <c r="AM3499" s="466"/>
      <c r="AN3499" s="466"/>
      <c r="AO3499" s="466"/>
      <c r="AP3499" s="466"/>
      <c r="AQ3499" s="466"/>
      <c r="AR3499" s="466"/>
      <c r="AS3499" s="466"/>
      <c r="AT3499" s="466"/>
      <c r="AU3499" s="466"/>
      <c r="AV3499" s="466"/>
      <c r="AW3499" s="466"/>
      <c r="AX3499" s="466"/>
      <c r="AY3499" s="466"/>
      <c r="AZ3499" s="466"/>
      <c r="BA3499" s="466"/>
      <c r="BB3499" s="466"/>
      <c r="BC3499" s="466"/>
      <c r="BD3499" s="466"/>
      <c r="BE3499" s="467"/>
      <c r="BF3499" s="467"/>
      <c r="BG3499" s="466"/>
      <c r="BH3499" s="466"/>
      <c r="BI3499" s="467"/>
      <c r="BJ3499" s="467"/>
      <c r="BK3499" s="467"/>
      <c r="BL3499" s="467"/>
      <c r="BM3499" s="467"/>
      <c r="BN3499" s="467"/>
      <c r="BO3499" s="467"/>
      <c r="BP3499" s="467"/>
      <c r="BQ3499" s="467"/>
      <c r="BR3499" s="467"/>
      <c r="BS3499" s="467"/>
      <c r="BT3499" s="467"/>
      <c r="BU3499" s="467"/>
      <c r="BV3499" s="467"/>
      <c r="BW3499" s="467"/>
      <c r="BX3499" s="769"/>
      <c r="BY3499" s="769"/>
      <c r="BZ3499" s="769"/>
      <c r="CA3499" s="769"/>
      <c r="CB3499" s="769"/>
      <c r="CC3499" s="769"/>
      <c r="CD3499" s="769"/>
      <c r="CE3499" s="769"/>
      <c r="CF3499" s="769"/>
      <c r="CG3499" s="73"/>
      <c r="CH3499" s="438"/>
      <c r="CI3499" s="416"/>
      <c r="CJ3499" s="73"/>
      <c r="CK3499" s="650"/>
      <c r="CL3499" s="499"/>
      <c r="CM3499" s="650"/>
      <c r="CR3499" s="416"/>
      <c r="CS3499" s="650"/>
      <c r="CU3499" s="73"/>
      <c r="CV3499" s="73"/>
      <c r="CW3499" s="73"/>
      <c r="CX3499" s="73"/>
      <c r="DA3499" s="650"/>
    </row>
    <row r="3500" spans="1:105" s="45" customFormat="1" x14ac:dyDescent="0.2">
      <c r="A3500" s="650"/>
      <c r="B3500" s="438"/>
      <c r="D3500" s="73"/>
      <c r="E3500" s="650"/>
      <c r="F3500" s="650"/>
      <c r="G3500" s="73"/>
      <c r="I3500" s="111"/>
      <c r="J3500" s="81"/>
      <c r="K3500" s="81"/>
      <c r="L3500" s="499"/>
      <c r="M3500" s="73"/>
      <c r="N3500" s="499"/>
      <c r="O3500" s="73"/>
      <c r="P3500" s="73"/>
      <c r="Q3500" s="73"/>
      <c r="R3500" s="176"/>
      <c r="S3500" s="176"/>
      <c r="T3500" s="176"/>
      <c r="U3500" s="400"/>
      <c r="V3500" s="400"/>
      <c r="W3500" s="732"/>
      <c r="X3500" s="167"/>
      <c r="Y3500" s="509"/>
      <c r="Z3500" s="466"/>
      <c r="AA3500" s="466"/>
      <c r="AB3500" s="466"/>
      <c r="AC3500" s="466"/>
      <c r="AD3500" s="466"/>
      <c r="AE3500" s="466"/>
      <c r="AF3500" s="466"/>
      <c r="AG3500" s="466"/>
      <c r="AH3500" s="466"/>
      <c r="AI3500" s="466"/>
      <c r="AJ3500" s="466"/>
      <c r="AK3500" s="466"/>
      <c r="AL3500" s="466"/>
      <c r="AM3500" s="466"/>
      <c r="AN3500" s="466"/>
      <c r="AO3500" s="466"/>
      <c r="AP3500" s="466"/>
      <c r="AQ3500" s="466"/>
      <c r="AR3500" s="466"/>
      <c r="AS3500" s="466"/>
      <c r="AT3500" s="466"/>
      <c r="AU3500" s="466"/>
      <c r="AV3500" s="466"/>
      <c r="AW3500" s="466"/>
      <c r="AX3500" s="466"/>
      <c r="AY3500" s="466"/>
      <c r="AZ3500" s="466"/>
      <c r="BA3500" s="466"/>
      <c r="BB3500" s="466"/>
      <c r="BC3500" s="466"/>
      <c r="BD3500" s="466"/>
      <c r="BE3500" s="467"/>
      <c r="BF3500" s="467"/>
      <c r="BG3500" s="466"/>
      <c r="BH3500" s="466"/>
      <c r="BI3500" s="467"/>
      <c r="BJ3500" s="467"/>
      <c r="BK3500" s="467"/>
      <c r="BL3500" s="467"/>
      <c r="BM3500" s="467"/>
      <c r="BN3500" s="467"/>
      <c r="BO3500" s="467"/>
      <c r="BP3500" s="467"/>
      <c r="BQ3500" s="467"/>
      <c r="BR3500" s="467"/>
      <c r="BS3500" s="467"/>
      <c r="BT3500" s="467"/>
      <c r="BU3500" s="467"/>
      <c r="BV3500" s="467"/>
      <c r="BW3500" s="467"/>
      <c r="BX3500" s="769"/>
      <c r="BY3500" s="769"/>
      <c r="BZ3500" s="769"/>
      <c r="CA3500" s="769"/>
      <c r="CB3500" s="769"/>
      <c r="CC3500" s="769"/>
      <c r="CD3500" s="769"/>
      <c r="CE3500" s="769"/>
      <c r="CF3500" s="769"/>
      <c r="CG3500" s="73"/>
      <c r="CH3500" s="438"/>
      <c r="CI3500" s="416"/>
      <c r="CJ3500" s="73"/>
      <c r="CK3500" s="650"/>
      <c r="CL3500" s="499"/>
      <c r="CM3500" s="650"/>
      <c r="CR3500" s="416"/>
      <c r="CS3500" s="650"/>
      <c r="CU3500" s="73"/>
      <c r="CV3500" s="73"/>
      <c r="CW3500" s="73"/>
      <c r="CX3500" s="73"/>
      <c r="DA3500" s="650"/>
    </row>
    <row r="3501" spans="1:105" s="45" customFormat="1" x14ac:dyDescent="0.2">
      <c r="A3501" s="650"/>
      <c r="B3501" s="438"/>
      <c r="D3501" s="73"/>
      <c r="E3501" s="650"/>
      <c r="F3501" s="650"/>
      <c r="G3501" s="73"/>
      <c r="I3501" s="111"/>
      <c r="J3501" s="81"/>
      <c r="K3501" s="81"/>
      <c r="L3501" s="499"/>
      <c r="M3501" s="73"/>
      <c r="N3501" s="499"/>
      <c r="O3501" s="73"/>
      <c r="P3501" s="73"/>
      <c r="Q3501" s="73"/>
      <c r="R3501" s="176"/>
      <c r="S3501" s="176"/>
      <c r="T3501" s="176"/>
      <c r="U3501" s="400"/>
      <c r="V3501" s="400"/>
      <c r="W3501" s="732"/>
      <c r="X3501" s="167"/>
      <c r="Y3501" s="509"/>
      <c r="Z3501" s="466"/>
      <c r="AA3501" s="466"/>
      <c r="AB3501" s="466"/>
      <c r="AC3501" s="466"/>
      <c r="AD3501" s="466"/>
      <c r="AE3501" s="466"/>
      <c r="AF3501" s="466"/>
      <c r="AG3501" s="466"/>
      <c r="AH3501" s="466"/>
      <c r="AI3501" s="466"/>
      <c r="AJ3501" s="466"/>
      <c r="AK3501" s="466"/>
      <c r="AL3501" s="466"/>
      <c r="AM3501" s="466"/>
      <c r="AN3501" s="466"/>
      <c r="AO3501" s="466"/>
      <c r="AP3501" s="466"/>
      <c r="AQ3501" s="466"/>
      <c r="AR3501" s="466"/>
      <c r="AS3501" s="466"/>
      <c r="AT3501" s="466"/>
      <c r="AU3501" s="466"/>
      <c r="AV3501" s="466"/>
      <c r="AW3501" s="466"/>
      <c r="AX3501" s="466"/>
      <c r="AY3501" s="466"/>
      <c r="AZ3501" s="466"/>
      <c r="BA3501" s="466"/>
      <c r="BB3501" s="466"/>
      <c r="BC3501" s="466"/>
      <c r="BD3501" s="466"/>
      <c r="BE3501" s="467"/>
      <c r="BF3501" s="467"/>
      <c r="BG3501" s="466"/>
      <c r="BH3501" s="466"/>
      <c r="BI3501" s="467"/>
      <c r="BJ3501" s="467"/>
      <c r="BK3501" s="467"/>
      <c r="BL3501" s="467"/>
      <c r="BM3501" s="467"/>
      <c r="BN3501" s="467"/>
      <c r="BO3501" s="467"/>
      <c r="BP3501" s="467"/>
      <c r="BQ3501" s="467"/>
      <c r="BR3501" s="467"/>
      <c r="BS3501" s="467"/>
      <c r="BT3501" s="467"/>
      <c r="BU3501" s="467"/>
      <c r="BV3501" s="467"/>
      <c r="BW3501" s="467"/>
      <c r="BX3501" s="769"/>
      <c r="BY3501" s="769"/>
      <c r="BZ3501" s="769"/>
      <c r="CA3501" s="769"/>
      <c r="CB3501" s="769"/>
      <c r="CC3501" s="769"/>
      <c r="CD3501" s="769"/>
      <c r="CE3501" s="769"/>
      <c r="CF3501" s="769"/>
      <c r="CG3501" s="73"/>
      <c r="CH3501" s="438"/>
      <c r="CI3501" s="416"/>
      <c r="CJ3501" s="73"/>
      <c r="CK3501" s="650"/>
      <c r="CL3501" s="499"/>
      <c r="CM3501" s="650"/>
      <c r="CR3501" s="416"/>
      <c r="CS3501" s="650"/>
      <c r="CU3501" s="73"/>
      <c r="CV3501" s="73"/>
      <c r="CW3501" s="73"/>
      <c r="CX3501" s="73"/>
      <c r="DA3501" s="650"/>
    </row>
    <row r="3502" spans="1:105" s="45" customFormat="1" x14ac:dyDescent="0.2">
      <c r="A3502" s="650"/>
      <c r="B3502" s="438"/>
      <c r="D3502" s="73"/>
      <c r="E3502" s="650"/>
      <c r="F3502" s="650"/>
      <c r="G3502" s="73"/>
      <c r="I3502" s="111"/>
      <c r="J3502" s="81"/>
      <c r="K3502" s="81"/>
      <c r="L3502" s="499"/>
      <c r="M3502" s="73"/>
      <c r="N3502" s="499"/>
      <c r="O3502" s="73"/>
      <c r="P3502" s="73"/>
      <c r="Q3502" s="73"/>
      <c r="R3502" s="176"/>
      <c r="S3502" s="176"/>
      <c r="T3502" s="176"/>
      <c r="U3502" s="400"/>
      <c r="V3502" s="400"/>
      <c r="W3502" s="732"/>
      <c r="X3502" s="167"/>
      <c r="Y3502" s="509"/>
      <c r="Z3502" s="466"/>
      <c r="AA3502" s="466"/>
      <c r="AB3502" s="466"/>
      <c r="AC3502" s="466"/>
      <c r="AD3502" s="466"/>
      <c r="AE3502" s="466"/>
      <c r="AF3502" s="466"/>
      <c r="AG3502" s="466"/>
      <c r="AH3502" s="466"/>
      <c r="AI3502" s="466"/>
      <c r="AJ3502" s="466"/>
      <c r="AK3502" s="466"/>
      <c r="AL3502" s="466"/>
      <c r="AM3502" s="466"/>
      <c r="AN3502" s="466"/>
      <c r="AO3502" s="466"/>
      <c r="AP3502" s="466"/>
      <c r="AQ3502" s="466"/>
      <c r="AR3502" s="466"/>
      <c r="AS3502" s="466"/>
      <c r="AT3502" s="466"/>
      <c r="AU3502" s="466"/>
      <c r="AV3502" s="466"/>
      <c r="AW3502" s="466"/>
      <c r="AX3502" s="466"/>
      <c r="AY3502" s="466"/>
      <c r="AZ3502" s="466"/>
      <c r="BA3502" s="466"/>
      <c r="BB3502" s="466"/>
      <c r="BC3502" s="466"/>
      <c r="BD3502" s="466"/>
      <c r="BE3502" s="467"/>
      <c r="BF3502" s="467"/>
      <c r="BG3502" s="466"/>
      <c r="BH3502" s="466"/>
      <c r="BI3502" s="467"/>
      <c r="BJ3502" s="467"/>
      <c r="BK3502" s="467"/>
      <c r="BL3502" s="467"/>
      <c r="BM3502" s="467"/>
      <c r="BN3502" s="467"/>
      <c r="BO3502" s="467"/>
      <c r="BP3502" s="467"/>
      <c r="BQ3502" s="467"/>
      <c r="BR3502" s="467"/>
      <c r="BS3502" s="467"/>
      <c r="BT3502" s="467"/>
      <c r="BU3502" s="467"/>
      <c r="BV3502" s="467"/>
      <c r="BW3502" s="467"/>
      <c r="BX3502" s="769"/>
      <c r="BY3502" s="769"/>
      <c r="BZ3502" s="769"/>
      <c r="CA3502" s="769"/>
      <c r="CB3502" s="769"/>
      <c r="CC3502" s="769"/>
      <c r="CD3502" s="769"/>
      <c r="CE3502" s="769"/>
      <c r="CF3502" s="769"/>
      <c r="CG3502" s="73"/>
      <c r="CH3502" s="438"/>
      <c r="CI3502" s="416"/>
      <c r="CJ3502" s="73"/>
      <c r="CK3502" s="650"/>
      <c r="CL3502" s="499"/>
      <c r="CM3502" s="650"/>
      <c r="CR3502" s="416"/>
      <c r="CS3502" s="650"/>
      <c r="CU3502" s="73"/>
      <c r="CV3502" s="73"/>
      <c r="CW3502" s="73"/>
      <c r="CX3502" s="73"/>
      <c r="DA3502" s="650"/>
    </row>
    <row r="3503" spans="1:105" s="45" customFormat="1" x14ac:dyDescent="0.2">
      <c r="A3503" s="650"/>
      <c r="B3503" s="438"/>
      <c r="D3503" s="73"/>
      <c r="E3503" s="650"/>
      <c r="F3503" s="650"/>
      <c r="G3503" s="73"/>
      <c r="I3503" s="111"/>
      <c r="J3503" s="81"/>
      <c r="K3503" s="81"/>
      <c r="L3503" s="499"/>
      <c r="M3503" s="73"/>
      <c r="N3503" s="499"/>
      <c r="O3503" s="73"/>
      <c r="P3503" s="73"/>
      <c r="Q3503" s="73"/>
      <c r="R3503" s="176"/>
      <c r="S3503" s="176"/>
      <c r="T3503" s="176"/>
      <c r="U3503" s="400"/>
      <c r="V3503" s="400"/>
      <c r="W3503" s="732"/>
      <c r="X3503" s="167"/>
      <c r="Y3503" s="509"/>
      <c r="Z3503" s="466"/>
      <c r="AA3503" s="466"/>
      <c r="AB3503" s="466"/>
      <c r="AC3503" s="466"/>
      <c r="AD3503" s="466"/>
      <c r="AE3503" s="466"/>
      <c r="AF3503" s="466"/>
      <c r="AG3503" s="466"/>
      <c r="AH3503" s="466"/>
      <c r="AI3503" s="466"/>
      <c r="AJ3503" s="466"/>
      <c r="AK3503" s="466"/>
      <c r="AL3503" s="466"/>
      <c r="AM3503" s="466"/>
      <c r="AN3503" s="466"/>
      <c r="AO3503" s="466"/>
      <c r="AP3503" s="466"/>
      <c r="AQ3503" s="466"/>
      <c r="AR3503" s="466"/>
      <c r="AS3503" s="466"/>
      <c r="AT3503" s="466"/>
      <c r="AU3503" s="466"/>
      <c r="AV3503" s="466"/>
      <c r="AW3503" s="466"/>
      <c r="AX3503" s="466"/>
      <c r="AY3503" s="466"/>
      <c r="AZ3503" s="466"/>
      <c r="BA3503" s="466"/>
      <c r="BB3503" s="466"/>
      <c r="BC3503" s="466"/>
      <c r="BD3503" s="466"/>
      <c r="BE3503" s="467"/>
      <c r="BF3503" s="467"/>
      <c r="BG3503" s="466"/>
      <c r="BH3503" s="466"/>
      <c r="BI3503" s="467"/>
      <c r="BJ3503" s="467"/>
      <c r="BK3503" s="467"/>
      <c r="BL3503" s="467"/>
      <c r="BM3503" s="467"/>
      <c r="BN3503" s="467"/>
      <c r="BO3503" s="467"/>
      <c r="BP3503" s="467"/>
      <c r="BQ3503" s="467"/>
      <c r="BR3503" s="467"/>
      <c r="BS3503" s="467"/>
      <c r="BT3503" s="467"/>
      <c r="BU3503" s="467"/>
      <c r="BV3503" s="467"/>
      <c r="BW3503" s="467"/>
      <c r="BX3503" s="769"/>
      <c r="BY3503" s="769"/>
      <c r="BZ3503" s="769"/>
      <c r="CA3503" s="769"/>
      <c r="CB3503" s="769"/>
      <c r="CC3503" s="769"/>
      <c r="CD3503" s="769"/>
      <c r="CE3503" s="769"/>
      <c r="CF3503" s="769"/>
      <c r="CG3503" s="73"/>
      <c r="CH3503" s="438"/>
      <c r="CI3503" s="416"/>
      <c r="CJ3503" s="73"/>
      <c r="CK3503" s="650"/>
      <c r="CL3503" s="499"/>
      <c r="CM3503" s="650"/>
      <c r="CR3503" s="416"/>
      <c r="CS3503" s="650"/>
      <c r="CU3503" s="73"/>
      <c r="CV3503" s="73"/>
      <c r="CW3503" s="73"/>
      <c r="CX3503" s="73"/>
      <c r="DA3503" s="650"/>
    </row>
    <row r="3504" spans="1:105" s="45" customFormat="1" x14ac:dyDescent="0.2">
      <c r="A3504" s="650"/>
      <c r="B3504" s="438"/>
      <c r="D3504" s="73"/>
      <c r="E3504" s="650"/>
      <c r="F3504" s="650"/>
      <c r="G3504" s="73"/>
      <c r="I3504" s="111"/>
      <c r="J3504" s="81"/>
      <c r="K3504" s="81"/>
      <c r="L3504" s="499"/>
      <c r="M3504" s="73"/>
      <c r="N3504" s="499"/>
      <c r="O3504" s="73"/>
      <c r="P3504" s="73"/>
      <c r="Q3504" s="73"/>
      <c r="R3504" s="176"/>
      <c r="S3504" s="176"/>
      <c r="T3504" s="176"/>
      <c r="U3504" s="400"/>
      <c r="V3504" s="400"/>
      <c r="W3504" s="732"/>
      <c r="X3504" s="167"/>
      <c r="Y3504" s="509"/>
      <c r="Z3504" s="466"/>
      <c r="AA3504" s="466"/>
      <c r="AB3504" s="466"/>
      <c r="AC3504" s="466"/>
      <c r="AD3504" s="466"/>
      <c r="AE3504" s="466"/>
      <c r="AF3504" s="466"/>
      <c r="AG3504" s="466"/>
      <c r="AH3504" s="466"/>
      <c r="AI3504" s="466"/>
      <c r="AJ3504" s="466"/>
      <c r="AK3504" s="466"/>
      <c r="AL3504" s="466"/>
      <c r="AM3504" s="466"/>
      <c r="AN3504" s="466"/>
      <c r="AO3504" s="466"/>
      <c r="AP3504" s="466"/>
      <c r="AQ3504" s="466"/>
      <c r="AR3504" s="466"/>
      <c r="AS3504" s="466"/>
      <c r="AT3504" s="466"/>
      <c r="AU3504" s="466"/>
      <c r="AV3504" s="466"/>
      <c r="AW3504" s="466"/>
      <c r="AX3504" s="466"/>
      <c r="AY3504" s="466"/>
      <c r="AZ3504" s="466"/>
      <c r="BA3504" s="466"/>
      <c r="BB3504" s="466"/>
      <c r="BC3504" s="466"/>
      <c r="BD3504" s="466"/>
      <c r="BE3504" s="467"/>
      <c r="BF3504" s="467"/>
      <c r="BG3504" s="466"/>
      <c r="BH3504" s="466"/>
      <c r="BI3504" s="467"/>
      <c r="BJ3504" s="467"/>
      <c r="BK3504" s="467"/>
      <c r="BL3504" s="467"/>
      <c r="BM3504" s="467"/>
      <c r="BN3504" s="467"/>
      <c r="BO3504" s="467"/>
      <c r="BP3504" s="467"/>
      <c r="BQ3504" s="467"/>
      <c r="BR3504" s="467"/>
      <c r="BS3504" s="467"/>
      <c r="BT3504" s="467"/>
      <c r="BU3504" s="467"/>
      <c r="BV3504" s="467"/>
      <c r="BW3504" s="467"/>
      <c r="BX3504" s="769"/>
      <c r="BY3504" s="769"/>
      <c r="BZ3504" s="769"/>
      <c r="CA3504" s="769"/>
      <c r="CB3504" s="769"/>
      <c r="CC3504" s="769"/>
      <c r="CD3504" s="769"/>
      <c r="CE3504" s="769"/>
      <c r="CF3504" s="769"/>
      <c r="CG3504" s="73"/>
      <c r="CH3504" s="438"/>
      <c r="CI3504" s="416"/>
      <c r="CJ3504" s="73"/>
      <c r="CK3504" s="650"/>
      <c r="CL3504" s="499"/>
      <c r="CM3504" s="650"/>
      <c r="CR3504" s="416"/>
      <c r="CS3504" s="650"/>
      <c r="CU3504" s="73"/>
      <c r="CV3504" s="73"/>
      <c r="CW3504" s="73"/>
      <c r="CX3504" s="73"/>
      <c r="DA3504" s="650"/>
    </row>
    <row r="3505" spans="1:105" s="45" customFormat="1" x14ac:dyDescent="0.2">
      <c r="A3505" s="650"/>
      <c r="B3505" s="438"/>
      <c r="D3505" s="73"/>
      <c r="E3505" s="650"/>
      <c r="F3505" s="650"/>
      <c r="G3505" s="73"/>
      <c r="I3505" s="111"/>
      <c r="J3505" s="81"/>
      <c r="K3505" s="81"/>
      <c r="L3505" s="499"/>
      <c r="M3505" s="73"/>
      <c r="N3505" s="499"/>
      <c r="O3505" s="73"/>
      <c r="P3505" s="73"/>
      <c r="Q3505" s="73"/>
      <c r="R3505" s="176"/>
      <c r="S3505" s="176"/>
      <c r="T3505" s="176"/>
      <c r="U3505" s="400"/>
      <c r="V3505" s="400"/>
      <c r="W3505" s="732"/>
      <c r="X3505" s="167"/>
      <c r="Y3505" s="509"/>
      <c r="Z3505" s="466"/>
      <c r="AA3505" s="466"/>
      <c r="AB3505" s="466"/>
      <c r="AC3505" s="466"/>
      <c r="AD3505" s="466"/>
      <c r="AE3505" s="466"/>
      <c r="AF3505" s="466"/>
      <c r="AG3505" s="466"/>
      <c r="AH3505" s="466"/>
      <c r="AI3505" s="466"/>
      <c r="AJ3505" s="466"/>
      <c r="AK3505" s="466"/>
      <c r="AL3505" s="466"/>
      <c r="AM3505" s="466"/>
      <c r="AN3505" s="466"/>
      <c r="AO3505" s="466"/>
      <c r="AP3505" s="466"/>
      <c r="AQ3505" s="466"/>
      <c r="AR3505" s="466"/>
      <c r="AS3505" s="466"/>
      <c r="AT3505" s="466"/>
      <c r="AU3505" s="466"/>
      <c r="AV3505" s="466"/>
      <c r="AW3505" s="466"/>
      <c r="AX3505" s="466"/>
      <c r="AY3505" s="466"/>
      <c r="AZ3505" s="466"/>
      <c r="BA3505" s="466"/>
      <c r="BB3505" s="466"/>
      <c r="BC3505" s="466"/>
      <c r="BD3505" s="466"/>
      <c r="BE3505" s="467"/>
      <c r="BF3505" s="467"/>
      <c r="BG3505" s="466"/>
      <c r="BH3505" s="466"/>
      <c r="BI3505" s="467"/>
      <c r="BJ3505" s="467"/>
      <c r="BK3505" s="467"/>
      <c r="BL3505" s="467"/>
      <c r="BM3505" s="467"/>
      <c r="BN3505" s="467"/>
      <c r="BO3505" s="467"/>
      <c r="BP3505" s="467"/>
      <c r="BQ3505" s="467"/>
      <c r="BR3505" s="467"/>
      <c r="BS3505" s="467"/>
      <c r="BT3505" s="467"/>
      <c r="BU3505" s="467"/>
      <c r="BV3505" s="467"/>
      <c r="BW3505" s="467"/>
      <c r="BX3505" s="769"/>
      <c r="BY3505" s="769"/>
      <c r="BZ3505" s="769"/>
      <c r="CA3505" s="769"/>
      <c r="CB3505" s="769"/>
      <c r="CC3505" s="769"/>
      <c r="CD3505" s="769"/>
      <c r="CE3505" s="769"/>
      <c r="CF3505" s="769"/>
      <c r="CG3505" s="73"/>
      <c r="CH3505" s="438"/>
      <c r="CI3505" s="416"/>
      <c r="CJ3505" s="73"/>
      <c r="CK3505" s="650"/>
      <c r="CL3505" s="499"/>
      <c r="CM3505" s="650"/>
      <c r="CR3505" s="416"/>
      <c r="CS3505" s="650"/>
      <c r="CU3505" s="73"/>
      <c r="CV3505" s="73"/>
      <c r="CW3505" s="73"/>
      <c r="CX3505" s="73"/>
      <c r="DA3505" s="650"/>
    </row>
    <row r="3506" spans="1:105" s="45" customFormat="1" x14ac:dyDescent="0.2">
      <c r="A3506" s="650"/>
      <c r="B3506" s="438"/>
      <c r="D3506" s="73"/>
      <c r="E3506" s="650"/>
      <c r="F3506" s="650"/>
      <c r="G3506" s="73"/>
      <c r="I3506" s="111"/>
      <c r="J3506" s="81"/>
      <c r="K3506" s="81"/>
      <c r="L3506" s="499"/>
      <c r="M3506" s="73"/>
      <c r="N3506" s="499"/>
      <c r="O3506" s="73"/>
      <c r="P3506" s="73"/>
      <c r="Q3506" s="73"/>
      <c r="R3506" s="176"/>
      <c r="S3506" s="176"/>
      <c r="T3506" s="176"/>
      <c r="U3506" s="400"/>
      <c r="V3506" s="400"/>
      <c r="W3506" s="732"/>
      <c r="X3506" s="167"/>
      <c r="Y3506" s="509"/>
      <c r="Z3506" s="466"/>
      <c r="AA3506" s="466"/>
      <c r="AB3506" s="466"/>
      <c r="AC3506" s="466"/>
      <c r="AD3506" s="466"/>
      <c r="AE3506" s="466"/>
      <c r="AF3506" s="466"/>
      <c r="AG3506" s="466"/>
      <c r="AH3506" s="466"/>
      <c r="AI3506" s="466"/>
      <c r="AJ3506" s="466"/>
      <c r="AK3506" s="466"/>
      <c r="AL3506" s="466"/>
      <c r="AM3506" s="466"/>
      <c r="AN3506" s="466"/>
      <c r="AO3506" s="466"/>
      <c r="AP3506" s="466"/>
      <c r="AQ3506" s="466"/>
      <c r="AR3506" s="466"/>
      <c r="AS3506" s="466"/>
      <c r="AT3506" s="466"/>
      <c r="AU3506" s="466"/>
      <c r="AV3506" s="466"/>
      <c r="AW3506" s="466"/>
      <c r="AX3506" s="466"/>
      <c r="AY3506" s="466"/>
      <c r="AZ3506" s="466"/>
      <c r="BA3506" s="466"/>
      <c r="BB3506" s="466"/>
      <c r="BC3506" s="466"/>
      <c r="BD3506" s="466"/>
      <c r="BE3506" s="467"/>
      <c r="BF3506" s="467"/>
      <c r="BG3506" s="466"/>
      <c r="BH3506" s="466"/>
      <c r="BI3506" s="467"/>
      <c r="BJ3506" s="467"/>
      <c r="BK3506" s="467"/>
      <c r="BL3506" s="467"/>
      <c r="BM3506" s="467"/>
      <c r="BN3506" s="467"/>
      <c r="BO3506" s="467"/>
      <c r="BP3506" s="467"/>
      <c r="BQ3506" s="467"/>
      <c r="BR3506" s="467"/>
      <c r="BS3506" s="467"/>
      <c r="BT3506" s="467"/>
      <c r="BU3506" s="467"/>
      <c r="BV3506" s="467"/>
      <c r="BW3506" s="467"/>
      <c r="BX3506" s="769"/>
      <c r="BY3506" s="769"/>
      <c r="BZ3506" s="769"/>
      <c r="CA3506" s="769"/>
      <c r="CB3506" s="769"/>
      <c r="CC3506" s="769"/>
      <c r="CD3506" s="769"/>
      <c r="CE3506" s="769"/>
      <c r="CF3506" s="769"/>
      <c r="CG3506" s="73"/>
      <c r="CH3506" s="438"/>
      <c r="CI3506" s="416"/>
      <c r="CJ3506" s="73"/>
      <c r="CK3506" s="650"/>
      <c r="CL3506" s="499"/>
      <c r="CM3506" s="650"/>
      <c r="CR3506" s="416"/>
      <c r="CS3506" s="650"/>
      <c r="CU3506" s="73"/>
      <c r="CV3506" s="73"/>
      <c r="CW3506" s="73"/>
      <c r="CX3506" s="73"/>
      <c r="DA3506" s="650"/>
    </row>
    <row r="3507" spans="1:105" s="45" customFormat="1" x14ac:dyDescent="0.2">
      <c r="A3507" s="650"/>
      <c r="B3507" s="438"/>
      <c r="D3507" s="73"/>
      <c r="E3507" s="650"/>
      <c r="F3507" s="650"/>
      <c r="G3507" s="73"/>
      <c r="I3507" s="111"/>
      <c r="J3507" s="81"/>
      <c r="K3507" s="81"/>
      <c r="L3507" s="499"/>
      <c r="M3507" s="73"/>
      <c r="N3507" s="499"/>
      <c r="O3507" s="73"/>
      <c r="P3507" s="73"/>
      <c r="Q3507" s="73"/>
      <c r="R3507" s="176"/>
      <c r="S3507" s="176"/>
      <c r="T3507" s="176"/>
      <c r="U3507" s="400"/>
      <c r="V3507" s="400"/>
      <c r="W3507" s="732"/>
      <c r="X3507" s="167"/>
      <c r="Y3507" s="509"/>
      <c r="Z3507" s="466"/>
      <c r="AA3507" s="466"/>
      <c r="AB3507" s="466"/>
      <c r="AC3507" s="466"/>
      <c r="AD3507" s="466"/>
      <c r="AE3507" s="466"/>
      <c r="AF3507" s="466"/>
      <c r="AG3507" s="466"/>
      <c r="AH3507" s="466"/>
      <c r="AI3507" s="466"/>
      <c r="AJ3507" s="466"/>
      <c r="AK3507" s="466"/>
      <c r="AL3507" s="466"/>
      <c r="AM3507" s="466"/>
      <c r="AN3507" s="466"/>
      <c r="AO3507" s="466"/>
      <c r="AP3507" s="466"/>
      <c r="AQ3507" s="466"/>
      <c r="AR3507" s="466"/>
      <c r="AS3507" s="466"/>
      <c r="AT3507" s="466"/>
      <c r="AU3507" s="466"/>
      <c r="AV3507" s="466"/>
      <c r="AW3507" s="466"/>
      <c r="AX3507" s="466"/>
      <c r="AY3507" s="466"/>
      <c r="AZ3507" s="466"/>
      <c r="BA3507" s="466"/>
      <c r="BB3507" s="466"/>
      <c r="BC3507" s="466"/>
      <c r="BD3507" s="466"/>
      <c r="BE3507" s="467"/>
      <c r="BF3507" s="467"/>
      <c r="BG3507" s="466"/>
      <c r="BH3507" s="466"/>
      <c r="BI3507" s="467"/>
      <c r="BJ3507" s="467"/>
      <c r="BK3507" s="467"/>
      <c r="BL3507" s="467"/>
      <c r="BM3507" s="467"/>
      <c r="BN3507" s="467"/>
      <c r="BO3507" s="467"/>
      <c r="BP3507" s="467"/>
      <c r="BQ3507" s="467"/>
      <c r="BR3507" s="467"/>
      <c r="BS3507" s="467"/>
      <c r="BT3507" s="467"/>
      <c r="BU3507" s="467"/>
      <c r="BV3507" s="467"/>
      <c r="BW3507" s="467"/>
      <c r="BX3507" s="769"/>
      <c r="BY3507" s="769"/>
      <c r="BZ3507" s="769"/>
      <c r="CA3507" s="769"/>
      <c r="CB3507" s="769"/>
      <c r="CC3507" s="769"/>
      <c r="CD3507" s="769"/>
      <c r="CE3507" s="769"/>
      <c r="CF3507" s="769"/>
      <c r="CG3507" s="73"/>
      <c r="CH3507" s="438"/>
      <c r="CI3507" s="416"/>
      <c r="CJ3507" s="73"/>
      <c r="CK3507" s="650"/>
      <c r="CL3507" s="499"/>
      <c r="CM3507" s="650"/>
      <c r="CR3507" s="416"/>
      <c r="CS3507" s="650"/>
      <c r="CU3507" s="73"/>
      <c r="CV3507" s="73"/>
      <c r="CW3507" s="73"/>
      <c r="CX3507" s="73"/>
      <c r="DA3507" s="650"/>
    </row>
    <row r="3508" spans="1:105" s="45" customFormat="1" x14ac:dyDescent="0.2">
      <c r="A3508" s="650"/>
      <c r="B3508" s="438"/>
      <c r="D3508" s="73"/>
      <c r="E3508" s="650"/>
      <c r="F3508" s="650"/>
      <c r="G3508" s="73"/>
      <c r="I3508" s="111"/>
      <c r="J3508" s="81"/>
      <c r="K3508" s="81"/>
      <c r="L3508" s="499"/>
      <c r="M3508" s="73"/>
      <c r="N3508" s="499"/>
      <c r="O3508" s="73"/>
      <c r="P3508" s="73"/>
      <c r="Q3508" s="73"/>
      <c r="R3508" s="176"/>
      <c r="S3508" s="176"/>
      <c r="T3508" s="176"/>
      <c r="U3508" s="400"/>
      <c r="V3508" s="400"/>
      <c r="W3508" s="732"/>
      <c r="X3508" s="167"/>
      <c r="Y3508" s="509"/>
      <c r="Z3508" s="466"/>
      <c r="AA3508" s="466"/>
      <c r="AB3508" s="466"/>
      <c r="AC3508" s="466"/>
      <c r="AD3508" s="466"/>
      <c r="AE3508" s="466"/>
      <c r="AF3508" s="466"/>
      <c r="AG3508" s="466"/>
      <c r="AH3508" s="466"/>
      <c r="AI3508" s="466"/>
      <c r="AJ3508" s="466"/>
      <c r="AK3508" s="466"/>
      <c r="AL3508" s="466"/>
      <c r="AM3508" s="466"/>
      <c r="AN3508" s="466"/>
      <c r="AO3508" s="466"/>
      <c r="AP3508" s="466"/>
      <c r="AQ3508" s="466"/>
      <c r="AR3508" s="466"/>
      <c r="AS3508" s="466"/>
      <c r="AT3508" s="466"/>
      <c r="AU3508" s="466"/>
      <c r="AV3508" s="466"/>
      <c r="AW3508" s="466"/>
      <c r="AX3508" s="466"/>
      <c r="AY3508" s="466"/>
      <c r="AZ3508" s="466"/>
      <c r="BA3508" s="466"/>
      <c r="BB3508" s="466"/>
      <c r="BC3508" s="466"/>
      <c r="BD3508" s="466"/>
      <c r="BE3508" s="467"/>
      <c r="BF3508" s="467"/>
      <c r="BG3508" s="466"/>
      <c r="BH3508" s="466"/>
      <c r="BI3508" s="467"/>
      <c r="BJ3508" s="467"/>
      <c r="BK3508" s="467"/>
      <c r="BL3508" s="467"/>
      <c r="BM3508" s="467"/>
      <c r="BN3508" s="467"/>
      <c r="BO3508" s="467"/>
      <c r="BP3508" s="467"/>
      <c r="BQ3508" s="467"/>
      <c r="BR3508" s="467"/>
      <c r="BS3508" s="467"/>
      <c r="BT3508" s="467"/>
      <c r="BU3508" s="467"/>
      <c r="BV3508" s="467"/>
      <c r="BW3508" s="467"/>
      <c r="BX3508" s="769"/>
      <c r="BY3508" s="769"/>
      <c r="BZ3508" s="769"/>
      <c r="CA3508" s="769"/>
      <c r="CB3508" s="769"/>
      <c r="CC3508" s="769"/>
      <c r="CD3508" s="769"/>
      <c r="CE3508" s="769"/>
      <c r="CF3508" s="769"/>
      <c r="CG3508" s="73"/>
      <c r="CH3508" s="438"/>
      <c r="CI3508" s="416"/>
      <c r="CJ3508" s="73"/>
      <c r="CK3508" s="650"/>
      <c r="CL3508" s="499"/>
      <c r="CM3508" s="650"/>
      <c r="CR3508" s="416"/>
      <c r="CS3508" s="650"/>
      <c r="CU3508" s="73"/>
      <c r="CV3508" s="73"/>
      <c r="CW3508" s="73"/>
      <c r="CX3508" s="73"/>
      <c r="DA3508" s="650"/>
    </row>
    <row r="3509" spans="1:105" s="45" customFormat="1" x14ac:dyDescent="0.2">
      <c r="A3509" s="650"/>
      <c r="B3509" s="438"/>
      <c r="D3509" s="73"/>
      <c r="E3509" s="650"/>
      <c r="F3509" s="650"/>
      <c r="G3509" s="73"/>
      <c r="I3509" s="111"/>
      <c r="J3509" s="81"/>
      <c r="K3509" s="81"/>
      <c r="L3509" s="499"/>
      <c r="M3509" s="73"/>
      <c r="N3509" s="499"/>
      <c r="O3509" s="73"/>
      <c r="P3509" s="73"/>
      <c r="Q3509" s="73"/>
      <c r="R3509" s="176"/>
      <c r="S3509" s="176"/>
      <c r="T3509" s="176"/>
      <c r="U3509" s="400"/>
      <c r="V3509" s="400"/>
      <c r="W3509" s="732"/>
      <c r="X3509" s="167"/>
      <c r="Y3509" s="509"/>
      <c r="Z3509" s="466"/>
      <c r="AA3509" s="466"/>
      <c r="AB3509" s="466"/>
      <c r="AC3509" s="466"/>
      <c r="AD3509" s="466"/>
      <c r="AE3509" s="466"/>
      <c r="AF3509" s="466"/>
      <c r="AG3509" s="466"/>
      <c r="AH3509" s="466"/>
      <c r="AI3509" s="466"/>
      <c r="AJ3509" s="466"/>
      <c r="AK3509" s="466"/>
      <c r="AL3509" s="466"/>
      <c r="AM3509" s="466"/>
      <c r="AN3509" s="466"/>
      <c r="AO3509" s="466"/>
      <c r="AP3509" s="466"/>
      <c r="AQ3509" s="466"/>
      <c r="AR3509" s="466"/>
      <c r="AS3509" s="466"/>
      <c r="AT3509" s="466"/>
      <c r="AU3509" s="466"/>
      <c r="AV3509" s="466"/>
      <c r="AW3509" s="466"/>
      <c r="AX3509" s="466"/>
      <c r="AY3509" s="466"/>
      <c r="AZ3509" s="466"/>
      <c r="BA3509" s="466"/>
      <c r="BB3509" s="466"/>
      <c r="BC3509" s="466"/>
      <c r="BD3509" s="466"/>
      <c r="BE3509" s="467"/>
      <c r="BF3509" s="467"/>
      <c r="BG3509" s="466"/>
      <c r="BH3509" s="466"/>
      <c r="BI3509" s="467"/>
      <c r="BJ3509" s="467"/>
      <c r="BK3509" s="467"/>
      <c r="BL3509" s="467"/>
      <c r="BM3509" s="467"/>
      <c r="BN3509" s="467"/>
      <c r="BO3509" s="467"/>
      <c r="BP3509" s="467"/>
      <c r="BQ3509" s="467"/>
      <c r="BR3509" s="467"/>
      <c r="BS3509" s="467"/>
      <c r="BT3509" s="467"/>
      <c r="BU3509" s="467"/>
      <c r="BV3509" s="467"/>
      <c r="BW3509" s="467"/>
      <c r="BX3509" s="769"/>
      <c r="BY3509" s="769"/>
      <c r="BZ3509" s="769"/>
      <c r="CA3509" s="769"/>
      <c r="CB3509" s="769"/>
      <c r="CC3509" s="769"/>
      <c r="CD3509" s="769"/>
      <c r="CE3509" s="769"/>
      <c r="CF3509" s="769"/>
      <c r="CG3509" s="73"/>
      <c r="CH3509" s="438"/>
      <c r="CI3509" s="416"/>
      <c r="CJ3509" s="73"/>
      <c r="CK3509" s="650"/>
      <c r="CL3509" s="499"/>
      <c r="CM3509" s="650"/>
      <c r="CR3509" s="416"/>
      <c r="CS3509" s="650"/>
      <c r="CU3509" s="73"/>
      <c r="CV3509" s="73"/>
      <c r="CW3509" s="73"/>
      <c r="CX3509" s="73"/>
      <c r="DA3509" s="650"/>
    </row>
    <row r="3510" spans="1:105" s="45" customFormat="1" x14ac:dyDescent="0.2">
      <c r="A3510" s="650"/>
      <c r="B3510" s="438"/>
      <c r="D3510" s="73"/>
      <c r="E3510" s="650"/>
      <c r="F3510" s="650"/>
      <c r="G3510" s="73"/>
      <c r="I3510" s="111"/>
      <c r="J3510" s="81"/>
      <c r="K3510" s="81"/>
      <c r="L3510" s="499"/>
      <c r="M3510" s="73"/>
      <c r="N3510" s="499"/>
      <c r="O3510" s="73"/>
      <c r="P3510" s="73"/>
      <c r="Q3510" s="73"/>
      <c r="R3510" s="176"/>
      <c r="S3510" s="176"/>
      <c r="T3510" s="176"/>
      <c r="U3510" s="400"/>
      <c r="V3510" s="400"/>
      <c r="W3510" s="732"/>
      <c r="X3510" s="167"/>
      <c r="Y3510" s="509"/>
      <c r="Z3510" s="466"/>
      <c r="AA3510" s="466"/>
      <c r="AB3510" s="466"/>
      <c r="AC3510" s="466"/>
      <c r="AD3510" s="466"/>
      <c r="AE3510" s="466"/>
      <c r="AF3510" s="466"/>
      <c r="AG3510" s="466"/>
      <c r="AH3510" s="466"/>
      <c r="AI3510" s="466"/>
      <c r="AJ3510" s="466"/>
      <c r="AK3510" s="466"/>
      <c r="AL3510" s="466"/>
      <c r="AM3510" s="466"/>
      <c r="AN3510" s="466"/>
      <c r="AO3510" s="466"/>
      <c r="AP3510" s="466"/>
      <c r="AQ3510" s="466"/>
      <c r="AR3510" s="466"/>
      <c r="AS3510" s="466"/>
      <c r="AT3510" s="466"/>
      <c r="AU3510" s="466"/>
      <c r="AV3510" s="466"/>
      <c r="AW3510" s="466"/>
      <c r="AX3510" s="466"/>
      <c r="AY3510" s="466"/>
      <c r="AZ3510" s="466"/>
      <c r="BA3510" s="466"/>
      <c r="BB3510" s="466"/>
      <c r="BC3510" s="466"/>
      <c r="BD3510" s="466"/>
      <c r="BE3510" s="467"/>
      <c r="BF3510" s="467"/>
      <c r="BG3510" s="466"/>
      <c r="BH3510" s="466"/>
      <c r="BI3510" s="467"/>
      <c r="BJ3510" s="467"/>
      <c r="BK3510" s="467"/>
      <c r="BL3510" s="467"/>
      <c r="BM3510" s="467"/>
      <c r="BN3510" s="467"/>
      <c r="BO3510" s="467"/>
      <c r="BP3510" s="467"/>
      <c r="BQ3510" s="467"/>
      <c r="BR3510" s="467"/>
      <c r="BS3510" s="467"/>
      <c r="BT3510" s="467"/>
      <c r="BU3510" s="467"/>
      <c r="BV3510" s="467"/>
      <c r="BW3510" s="467"/>
      <c r="BX3510" s="769"/>
      <c r="BY3510" s="769"/>
      <c r="BZ3510" s="769"/>
      <c r="CA3510" s="769"/>
      <c r="CB3510" s="769"/>
      <c r="CC3510" s="769"/>
      <c r="CD3510" s="769"/>
      <c r="CE3510" s="769"/>
      <c r="CF3510" s="769"/>
      <c r="CG3510" s="73"/>
      <c r="CH3510" s="438"/>
      <c r="CI3510" s="416"/>
      <c r="CJ3510" s="73"/>
      <c r="CK3510" s="650"/>
      <c r="CL3510" s="499"/>
      <c r="CM3510" s="650"/>
      <c r="CR3510" s="416"/>
      <c r="CS3510" s="650"/>
      <c r="CU3510" s="73"/>
      <c r="CV3510" s="73"/>
      <c r="CW3510" s="73"/>
      <c r="CX3510" s="73"/>
      <c r="DA3510" s="650"/>
    </row>
    <row r="3511" spans="1:105" s="45" customFormat="1" x14ac:dyDescent="0.2">
      <c r="A3511" s="650"/>
      <c r="B3511" s="438"/>
      <c r="D3511" s="73"/>
      <c r="E3511" s="650"/>
      <c r="F3511" s="650"/>
      <c r="G3511" s="73"/>
      <c r="I3511" s="111"/>
      <c r="J3511" s="81"/>
      <c r="K3511" s="81"/>
      <c r="L3511" s="499"/>
      <c r="M3511" s="73"/>
      <c r="N3511" s="499"/>
      <c r="O3511" s="73"/>
      <c r="P3511" s="73"/>
      <c r="Q3511" s="73"/>
      <c r="R3511" s="176"/>
      <c r="S3511" s="176"/>
      <c r="T3511" s="176"/>
      <c r="U3511" s="400"/>
      <c r="V3511" s="400"/>
      <c r="W3511" s="732"/>
      <c r="X3511" s="167"/>
      <c r="Y3511" s="509"/>
      <c r="Z3511" s="466"/>
      <c r="AA3511" s="466"/>
      <c r="AB3511" s="466"/>
      <c r="AC3511" s="466"/>
      <c r="AD3511" s="466"/>
      <c r="AE3511" s="466"/>
      <c r="AF3511" s="466"/>
      <c r="AG3511" s="466"/>
      <c r="AH3511" s="466"/>
      <c r="AI3511" s="466"/>
      <c r="AJ3511" s="466"/>
      <c r="AK3511" s="466"/>
      <c r="AL3511" s="466"/>
      <c r="AM3511" s="466"/>
      <c r="AN3511" s="466"/>
      <c r="AO3511" s="466"/>
      <c r="AP3511" s="466"/>
      <c r="AQ3511" s="466"/>
      <c r="AR3511" s="466"/>
      <c r="AS3511" s="466"/>
      <c r="AT3511" s="466"/>
      <c r="AU3511" s="466"/>
      <c r="AV3511" s="466"/>
      <c r="AW3511" s="466"/>
      <c r="AX3511" s="466"/>
      <c r="AY3511" s="466"/>
      <c r="AZ3511" s="466"/>
      <c r="BA3511" s="466"/>
      <c r="BB3511" s="466"/>
      <c r="BC3511" s="466"/>
      <c r="BD3511" s="466"/>
      <c r="BE3511" s="467"/>
      <c r="BF3511" s="467"/>
      <c r="BG3511" s="466"/>
      <c r="BH3511" s="466"/>
      <c r="BI3511" s="467"/>
      <c r="BJ3511" s="467"/>
      <c r="BK3511" s="467"/>
      <c r="BL3511" s="467"/>
      <c r="BM3511" s="467"/>
      <c r="BN3511" s="467"/>
      <c r="BO3511" s="467"/>
      <c r="BP3511" s="467"/>
      <c r="BQ3511" s="467"/>
      <c r="BR3511" s="467"/>
      <c r="BS3511" s="467"/>
      <c r="BT3511" s="467"/>
      <c r="BU3511" s="467"/>
      <c r="BV3511" s="467"/>
      <c r="BW3511" s="467"/>
      <c r="BX3511" s="769"/>
      <c r="BY3511" s="769"/>
      <c r="BZ3511" s="769"/>
      <c r="CA3511" s="769"/>
      <c r="CB3511" s="769"/>
      <c r="CC3511" s="769"/>
      <c r="CD3511" s="769"/>
      <c r="CE3511" s="769"/>
      <c r="CF3511" s="769"/>
      <c r="CG3511" s="73"/>
      <c r="CH3511" s="438"/>
      <c r="CI3511" s="416"/>
      <c r="CJ3511" s="73"/>
      <c r="CK3511" s="650"/>
      <c r="CL3511" s="499"/>
      <c r="CM3511" s="650"/>
      <c r="CR3511" s="416"/>
      <c r="CS3511" s="650"/>
      <c r="CU3511" s="73"/>
      <c r="CV3511" s="73"/>
      <c r="CW3511" s="73"/>
      <c r="CX3511" s="73"/>
      <c r="DA3511" s="650"/>
    </row>
    <row r="3512" spans="1:105" s="45" customFormat="1" x14ac:dyDescent="0.2">
      <c r="A3512" s="650"/>
      <c r="B3512" s="438"/>
      <c r="D3512" s="73"/>
      <c r="E3512" s="650"/>
      <c r="F3512" s="650"/>
      <c r="G3512" s="73"/>
      <c r="I3512" s="111"/>
      <c r="J3512" s="81"/>
      <c r="K3512" s="81"/>
      <c r="L3512" s="499"/>
      <c r="M3512" s="73"/>
      <c r="N3512" s="499"/>
      <c r="O3512" s="73"/>
      <c r="P3512" s="73"/>
      <c r="Q3512" s="73"/>
      <c r="R3512" s="176"/>
      <c r="S3512" s="176"/>
      <c r="T3512" s="176"/>
      <c r="U3512" s="400"/>
      <c r="V3512" s="400"/>
      <c r="W3512" s="732"/>
      <c r="X3512" s="167"/>
      <c r="Y3512" s="509"/>
      <c r="Z3512" s="466"/>
      <c r="AA3512" s="466"/>
      <c r="AB3512" s="466"/>
      <c r="AC3512" s="466"/>
      <c r="AD3512" s="466"/>
      <c r="AE3512" s="466"/>
      <c r="AF3512" s="466"/>
      <c r="AG3512" s="466"/>
      <c r="AH3512" s="466"/>
      <c r="AI3512" s="466"/>
      <c r="AJ3512" s="466"/>
      <c r="AK3512" s="466"/>
      <c r="AL3512" s="466"/>
      <c r="AM3512" s="466"/>
      <c r="AN3512" s="466"/>
      <c r="AO3512" s="466"/>
      <c r="AP3512" s="466"/>
      <c r="AQ3512" s="466"/>
      <c r="AR3512" s="466"/>
      <c r="AS3512" s="466"/>
      <c r="AT3512" s="466"/>
      <c r="AU3512" s="466"/>
      <c r="AV3512" s="466"/>
      <c r="AW3512" s="466"/>
      <c r="AX3512" s="466"/>
      <c r="AY3512" s="466"/>
      <c r="AZ3512" s="466"/>
      <c r="BA3512" s="466"/>
      <c r="BB3512" s="466"/>
      <c r="BC3512" s="466"/>
      <c r="BD3512" s="466"/>
      <c r="BE3512" s="467"/>
      <c r="BF3512" s="467"/>
      <c r="BG3512" s="466"/>
      <c r="BH3512" s="466"/>
      <c r="BI3512" s="467"/>
      <c r="BJ3512" s="467"/>
      <c r="BK3512" s="467"/>
      <c r="BL3512" s="467"/>
      <c r="BM3512" s="467"/>
      <c r="BN3512" s="467"/>
      <c r="BO3512" s="467"/>
      <c r="BP3512" s="467"/>
      <c r="BQ3512" s="467"/>
      <c r="BR3512" s="467"/>
      <c r="BS3512" s="467"/>
      <c r="BT3512" s="467"/>
      <c r="BU3512" s="467"/>
      <c r="BV3512" s="467"/>
      <c r="BW3512" s="467"/>
      <c r="BX3512" s="769"/>
      <c r="BY3512" s="769"/>
      <c r="BZ3512" s="769"/>
      <c r="CA3512" s="769"/>
      <c r="CB3512" s="769"/>
      <c r="CC3512" s="769"/>
      <c r="CD3512" s="769"/>
      <c r="CE3512" s="769"/>
      <c r="CF3512" s="769"/>
      <c r="CG3512" s="73"/>
      <c r="CH3512" s="438"/>
      <c r="CI3512" s="416"/>
      <c r="CJ3512" s="73"/>
      <c r="CK3512" s="650"/>
      <c r="CL3512" s="499"/>
      <c r="CM3512" s="650"/>
      <c r="CR3512" s="416"/>
      <c r="CS3512" s="650"/>
      <c r="CU3512" s="73"/>
      <c r="CV3512" s="73"/>
      <c r="CW3512" s="73"/>
      <c r="CX3512" s="73"/>
      <c r="DA3512" s="650"/>
    </row>
    <row r="3513" spans="1:105" s="45" customFormat="1" x14ac:dyDescent="0.2">
      <c r="A3513" s="650"/>
      <c r="B3513" s="438"/>
      <c r="D3513" s="73"/>
      <c r="E3513" s="650"/>
      <c r="F3513" s="650"/>
      <c r="G3513" s="73"/>
      <c r="I3513" s="111"/>
      <c r="J3513" s="81"/>
      <c r="K3513" s="81"/>
      <c r="L3513" s="499"/>
      <c r="M3513" s="73"/>
      <c r="N3513" s="499"/>
      <c r="O3513" s="73"/>
      <c r="P3513" s="73"/>
      <c r="Q3513" s="73"/>
      <c r="R3513" s="176"/>
      <c r="S3513" s="176"/>
      <c r="T3513" s="176"/>
      <c r="U3513" s="400"/>
      <c r="V3513" s="400"/>
      <c r="W3513" s="732"/>
      <c r="X3513" s="167"/>
      <c r="Y3513" s="509"/>
      <c r="Z3513" s="466"/>
      <c r="AA3513" s="466"/>
      <c r="AB3513" s="466"/>
      <c r="AC3513" s="466"/>
      <c r="AD3513" s="466"/>
      <c r="AE3513" s="466"/>
      <c r="AF3513" s="466"/>
      <c r="AG3513" s="466"/>
      <c r="AH3513" s="466"/>
      <c r="AI3513" s="466"/>
      <c r="AJ3513" s="466"/>
      <c r="AK3513" s="466"/>
      <c r="AL3513" s="466"/>
      <c r="AM3513" s="466"/>
      <c r="AN3513" s="466"/>
      <c r="AO3513" s="466"/>
      <c r="AP3513" s="466"/>
      <c r="AQ3513" s="466"/>
      <c r="AR3513" s="466"/>
      <c r="AS3513" s="466"/>
      <c r="AT3513" s="466"/>
      <c r="AU3513" s="466"/>
      <c r="AV3513" s="466"/>
      <c r="AW3513" s="466"/>
      <c r="AX3513" s="466"/>
      <c r="AY3513" s="466"/>
      <c r="AZ3513" s="466"/>
      <c r="BA3513" s="466"/>
      <c r="BB3513" s="466"/>
      <c r="BC3513" s="466"/>
      <c r="BD3513" s="466"/>
      <c r="BE3513" s="467"/>
      <c r="BF3513" s="467"/>
      <c r="BG3513" s="466"/>
      <c r="BH3513" s="466"/>
      <c r="BI3513" s="467"/>
      <c r="BJ3513" s="467"/>
      <c r="BK3513" s="467"/>
      <c r="BL3513" s="467"/>
      <c r="BM3513" s="467"/>
      <c r="BN3513" s="467"/>
      <c r="BO3513" s="467"/>
      <c r="BP3513" s="467"/>
      <c r="BQ3513" s="467"/>
      <c r="BR3513" s="467"/>
      <c r="BS3513" s="467"/>
      <c r="BT3513" s="467"/>
      <c r="BU3513" s="467"/>
      <c r="BV3513" s="467"/>
      <c r="BW3513" s="467"/>
      <c r="BX3513" s="769"/>
      <c r="BY3513" s="769"/>
      <c r="BZ3513" s="769"/>
      <c r="CA3513" s="769"/>
      <c r="CB3513" s="769"/>
      <c r="CC3513" s="769"/>
      <c r="CD3513" s="769"/>
      <c r="CE3513" s="769"/>
      <c r="CF3513" s="769"/>
      <c r="CG3513" s="73"/>
      <c r="CH3513" s="438"/>
      <c r="CI3513" s="416"/>
      <c r="CJ3513" s="73"/>
      <c r="CK3513" s="650"/>
      <c r="CL3513" s="499"/>
      <c r="CM3513" s="650"/>
      <c r="CR3513" s="416"/>
      <c r="CS3513" s="650"/>
      <c r="CU3513" s="73"/>
      <c r="CV3513" s="73"/>
      <c r="CW3513" s="73"/>
      <c r="CX3513" s="73"/>
      <c r="DA3513" s="650"/>
    </row>
    <row r="3514" spans="1:105" s="45" customFormat="1" x14ac:dyDescent="0.2">
      <c r="A3514" s="650"/>
      <c r="B3514" s="438"/>
      <c r="D3514" s="73"/>
      <c r="E3514" s="650"/>
      <c r="F3514" s="650"/>
      <c r="G3514" s="73"/>
      <c r="I3514" s="111"/>
      <c r="J3514" s="81"/>
      <c r="K3514" s="81"/>
      <c r="L3514" s="499"/>
      <c r="M3514" s="73"/>
      <c r="N3514" s="499"/>
      <c r="O3514" s="73"/>
      <c r="P3514" s="73"/>
      <c r="Q3514" s="73"/>
      <c r="R3514" s="176"/>
      <c r="S3514" s="176"/>
      <c r="T3514" s="176"/>
      <c r="U3514" s="400"/>
      <c r="V3514" s="400"/>
      <c r="W3514" s="732"/>
      <c r="X3514" s="167"/>
      <c r="Y3514" s="509"/>
      <c r="Z3514" s="466"/>
      <c r="AA3514" s="466"/>
      <c r="AB3514" s="466"/>
      <c r="AC3514" s="466"/>
      <c r="AD3514" s="466"/>
      <c r="AE3514" s="466"/>
      <c r="AF3514" s="466"/>
      <c r="AG3514" s="466"/>
      <c r="AH3514" s="466"/>
      <c r="AI3514" s="466"/>
      <c r="AJ3514" s="466"/>
      <c r="AK3514" s="466"/>
      <c r="AL3514" s="466"/>
      <c r="AM3514" s="466"/>
      <c r="AN3514" s="466"/>
      <c r="AO3514" s="466"/>
      <c r="AP3514" s="466"/>
      <c r="AQ3514" s="466"/>
      <c r="AR3514" s="466"/>
      <c r="AS3514" s="466"/>
      <c r="AT3514" s="466"/>
      <c r="AU3514" s="466"/>
      <c r="AV3514" s="466"/>
      <c r="AW3514" s="466"/>
      <c r="AX3514" s="466"/>
      <c r="AY3514" s="466"/>
      <c r="AZ3514" s="466"/>
      <c r="BA3514" s="466"/>
      <c r="BB3514" s="466"/>
      <c r="BC3514" s="466"/>
      <c r="BD3514" s="466"/>
      <c r="BE3514" s="467"/>
      <c r="BF3514" s="467"/>
      <c r="BG3514" s="466"/>
      <c r="BH3514" s="466"/>
      <c r="BI3514" s="467"/>
      <c r="BJ3514" s="467"/>
      <c r="BK3514" s="467"/>
      <c r="BL3514" s="467"/>
      <c r="BM3514" s="467"/>
      <c r="BN3514" s="467"/>
      <c r="BO3514" s="467"/>
      <c r="BP3514" s="467"/>
      <c r="BQ3514" s="467"/>
      <c r="BR3514" s="467"/>
      <c r="BS3514" s="467"/>
      <c r="BT3514" s="467"/>
      <c r="BU3514" s="467"/>
      <c r="BV3514" s="467"/>
      <c r="BW3514" s="467"/>
      <c r="BX3514" s="769"/>
      <c r="BY3514" s="769"/>
      <c r="BZ3514" s="769"/>
      <c r="CA3514" s="769"/>
      <c r="CB3514" s="769"/>
      <c r="CC3514" s="769"/>
      <c r="CD3514" s="769"/>
      <c r="CE3514" s="769"/>
      <c r="CF3514" s="769"/>
      <c r="CG3514" s="73"/>
      <c r="CH3514" s="438"/>
      <c r="CI3514" s="416"/>
      <c r="CJ3514" s="73"/>
      <c r="CK3514" s="650"/>
      <c r="CL3514" s="499"/>
      <c r="CM3514" s="650"/>
      <c r="CR3514" s="416"/>
      <c r="CS3514" s="650"/>
      <c r="CU3514" s="73"/>
      <c r="CV3514" s="73"/>
      <c r="CW3514" s="73"/>
      <c r="CX3514" s="73"/>
      <c r="DA3514" s="650"/>
    </row>
    <row r="3515" spans="1:105" s="45" customFormat="1" x14ac:dyDescent="0.2">
      <c r="A3515" s="650"/>
      <c r="B3515" s="438"/>
      <c r="D3515" s="73"/>
      <c r="E3515" s="650"/>
      <c r="F3515" s="650"/>
      <c r="G3515" s="73"/>
      <c r="I3515" s="111"/>
      <c r="J3515" s="81"/>
      <c r="K3515" s="81"/>
      <c r="L3515" s="499"/>
      <c r="M3515" s="73"/>
      <c r="N3515" s="499"/>
      <c r="O3515" s="73"/>
      <c r="P3515" s="73"/>
      <c r="Q3515" s="73"/>
      <c r="R3515" s="176"/>
      <c r="S3515" s="176"/>
      <c r="T3515" s="176"/>
      <c r="U3515" s="400"/>
      <c r="V3515" s="400"/>
      <c r="W3515" s="732"/>
      <c r="X3515" s="167"/>
      <c r="Y3515" s="509"/>
      <c r="Z3515" s="466"/>
      <c r="AA3515" s="466"/>
      <c r="AB3515" s="466"/>
      <c r="AC3515" s="466"/>
      <c r="AD3515" s="466"/>
      <c r="AE3515" s="466"/>
      <c r="AF3515" s="466"/>
      <c r="AG3515" s="466"/>
      <c r="AH3515" s="466"/>
      <c r="AI3515" s="466"/>
      <c r="AJ3515" s="466"/>
      <c r="AK3515" s="466"/>
      <c r="AL3515" s="466"/>
      <c r="AM3515" s="466"/>
      <c r="AN3515" s="466"/>
      <c r="AO3515" s="466"/>
      <c r="AP3515" s="466"/>
      <c r="AQ3515" s="466"/>
      <c r="AR3515" s="466"/>
      <c r="AS3515" s="466"/>
      <c r="AT3515" s="466"/>
      <c r="AU3515" s="466"/>
      <c r="AV3515" s="466"/>
      <c r="AW3515" s="466"/>
      <c r="AX3515" s="466"/>
      <c r="AY3515" s="466"/>
      <c r="AZ3515" s="466"/>
      <c r="BA3515" s="466"/>
      <c r="BB3515" s="466"/>
      <c r="BC3515" s="466"/>
      <c r="BD3515" s="466"/>
      <c r="BE3515" s="467"/>
      <c r="BF3515" s="467"/>
      <c r="BG3515" s="466"/>
      <c r="BH3515" s="466"/>
      <c r="BI3515" s="467"/>
      <c r="BJ3515" s="467"/>
      <c r="BK3515" s="467"/>
      <c r="BL3515" s="467"/>
      <c r="BM3515" s="467"/>
      <c r="BN3515" s="467"/>
      <c r="BO3515" s="467"/>
      <c r="BP3515" s="467"/>
      <c r="BQ3515" s="467"/>
      <c r="BR3515" s="467"/>
      <c r="BS3515" s="467"/>
      <c r="BT3515" s="467"/>
      <c r="BU3515" s="467"/>
      <c r="BV3515" s="467"/>
      <c r="BW3515" s="467"/>
      <c r="BX3515" s="769"/>
      <c r="BY3515" s="769"/>
      <c r="BZ3515" s="769"/>
      <c r="CA3515" s="769"/>
      <c r="CB3515" s="769"/>
      <c r="CC3515" s="769"/>
      <c r="CD3515" s="769"/>
      <c r="CE3515" s="769"/>
      <c r="CF3515" s="769"/>
      <c r="CG3515" s="73"/>
      <c r="CH3515" s="438"/>
      <c r="CI3515" s="416"/>
      <c r="CJ3515" s="73"/>
      <c r="CK3515" s="650"/>
      <c r="CL3515" s="499"/>
      <c r="CM3515" s="650"/>
      <c r="CR3515" s="416"/>
      <c r="CS3515" s="650"/>
      <c r="CU3515" s="73"/>
      <c r="CV3515" s="73"/>
      <c r="CW3515" s="73"/>
      <c r="CX3515" s="73"/>
      <c r="DA3515" s="650"/>
    </row>
    <row r="3516" spans="1:105" s="45" customFormat="1" x14ac:dyDescent="0.2">
      <c r="A3516" s="650"/>
      <c r="B3516" s="438"/>
      <c r="D3516" s="73"/>
      <c r="E3516" s="650"/>
      <c r="F3516" s="650"/>
      <c r="G3516" s="73"/>
      <c r="I3516" s="111"/>
      <c r="J3516" s="81"/>
      <c r="K3516" s="81"/>
      <c r="L3516" s="499"/>
      <c r="M3516" s="73"/>
      <c r="N3516" s="499"/>
      <c r="O3516" s="73"/>
      <c r="P3516" s="73"/>
      <c r="Q3516" s="73"/>
      <c r="R3516" s="176"/>
      <c r="S3516" s="176"/>
      <c r="T3516" s="176"/>
      <c r="U3516" s="400"/>
      <c r="V3516" s="400"/>
      <c r="W3516" s="732"/>
      <c r="X3516" s="167"/>
      <c r="Y3516" s="509"/>
      <c r="Z3516" s="466"/>
      <c r="AA3516" s="466"/>
      <c r="AB3516" s="466"/>
      <c r="AC3516" s="466"/>
      <c r="AD3516" s="466"/>
      <c r="AE3516" s="466"/>
      <c r="AF3516" s="466"/>
      <c r="AG3516" s="466"/>
      <c r="AH3516" s="466"/>
      <c r="AI3516" s="466"/>
      <c r="AJ3516" s="466"/>
      <c r="AK3516" s="466"/>
      <c r="AL3516" s="466"/>
      <c r="AM3516" s="466"/>
      <c r="AN3516" s="466"/>
      <c r="AO3516" s="466"/>
      <c r="AP3516" s="466"/>
      <c r="AQ3516" s="466"/>
      <c r="AR3516" s="466"/>
      <c r="AS3516" s="466"/>
      <c r="AT3516" s="466"/>
      <c r="AU3516" s="466"/>
      <c r="AV3516" s="466"/>
      <c r="AW3516" s="466"/>
      <c r="AX3516" s="466"/>
      <c r="AY3516" s="466"/>
      <c r="AZ3516" s="466"/>
      <c r="BA3516" s="466"/>
      <c r="BB3516" s="466"/>
      <c r="BC3516" s="466"/>
      <c r="BD3516" s="466"/>
      <c r="BE3516" s="467"/>
      <c r="BF3516" s="467"/>
      <c r="BG3516" s="466"/>
      <c r="BH3516" s="466"/>
      <c r="BI3516" s="467"/>
      <c r="BJ3516" s="467"/>
      <c r="BK3516" s="467"/>
      <c r="BL3516" s="467"/>
      <c r="BM3516" s="467"/>
      <c r="BN3516" s="467"/>
      <c r="BO3516" s="467"/>
      <c r="BP3516" s="467"/>
      <c r="BQ3516" s="467"/>
      <c r="BR3516" s="467"/>
      <c r="BS3516" s="467"/>
      <c r="BT3516" s="467"/>
      <c r="BU3516" s="467"/>
      <c r="BV3516" s="467"/>
      <c r="BW3516" s="467"/>
      <c r="BX3516" s="769"/>
      <c r="BY3516" s="769"/>
      <c r="BZ3516" s="769"/>
      <c r="CA3516" s="769"/>
      <c r="CB3516" s="769"/>
      <c r="CC3516" s="769"/>
      <c r="CD3516" s="769"/>
      <c r="CE3516" s="769"/>
      <c r="CF3516" s="769"/>
      <c r="CG3516" s="73"/>
      <c r="CH3516" s="438"/>
      <c r="CI3516" s="416"/>
      <c r="CJ3516" s="73"/>
      <c r="CK3516" s="650"/>
      <c r="CL3516" s="499"/>
      <c r="CM3516" s="650"/>
      <c r="CR3516" s="416"/>
      <c r="CS3516" s="650"/>
      <c r="CU3516" s="73"/>
      <c r="CV3516" s="73"/>
      <c r="CW3516" s="73"/>
      <c r="CX3516" s="73"/>
      <c r="DA3516" s="650"/>
    </row>
    <row r="3517" spans="1:105" s="45" customFormat="1" x14ac:dyDescent="0.2">
      <c r="A3517" s="650"/>
      <c r="B3517" s="438"/>
      <c r="D3517" s="73"/>
      <c r="E3517" s="650"/>
      <c r="F3517" s="650"/>
      <c r="G3517" s="73"/>
      <c r="I3517" s="111"/>
      <c r="J3517" s="81"/>
      <c r="K3517" s="81"/>
      <c r="L3517" s="499"/>
      <c r="M3517" s="73"/>
      <c r="N3517" s="499"/>
      <c r="O3517" s="73"/>
      <c r="P3517" s="73"/>
      <c r="Q3517" s="73"/>
      <c r="R3517" s="176"/>
      <c r="S3517" s="176"/>
      <c r="T3517" s="176"/>
      <c r="U3517" s="400"/>
      <c r="V3517" s="400"/>
      <c r="W3517" s="732"/>
      <c r="X3517" s="167"/>
      <c r="Y3517" s="509"/>
      <c r="Z3517" s="466"/>
      <c r="AA3517" s="466"/>
      <c r="AB3517" s="466"/>
      <c r="AC3517" s="466"/>
      <c r="AD3517" s="466"/>
      <c r="AE3517" s="466"/>
      <c r="AF3517" s="466"/>
      <c r="AG3517" s="466"/>
      <c r="AH3517" s="466"/>
      <c r="AI3517" s="466"/>
      <c r="AJ3517" s="466"/>
      <c r="AK3517" s="466"/>
      <c r="AL3517" s="466"/>
      <c r="AM3517" s="466"/>
      <c r="AN3517" s="466"/>
      <c r="AO3517" s="466"/>
      <c r="AP3517" s="466"/>
      <c r="AQ3517" s="466"/>
      <c r="AR3517" s="466"/>
      <c r="AS3517" s="466"/>
      <c r="AT3517" s="466"/>
      <c r="AU3517" s="466"/>
      <c r="AV3517" s="466"/>
      <c r="AW3517" s="466"/>
      <c r="AX3517" s="466"/>
      <c r="AY3517" s="466"/>
      <c r="AZ3517" s="466"/>
      <c r="BA3517" s="466"/>
      <c r="BB3517" s="466"/>
      <c r="BC3517" s="466"/>
      <c r="BD3517" s="466"/>
      <c r="BE3517" s="467"/>
      <c r="BF3517" s="467"/>
      <c r="BG3517" s="466"/>
      <c r="BH3517" s="466"/>
      <c r="BI3517" s="467"/>
      <c r="BJ3517" s="467"/>
      <c r="BK3517" s="467"/>
      <c r="BL3517" s="467"/>
      <c r="BM3517" s="467"/>
      <c r="BN3517" s="467"/>
      <c r="BO3517" s="467"/>
      <c r="BP3517" s="467"/>
      <c r="BQ3517" s="467"/>
      <c r="BR3517" s="467"/>
      <c r="BS3517" s="467"/>
      <c r="BT3517" s="467"/>
      <c r="BU3517" s="467"/>
      <c r="BV3517" s="467"/>
      <c r="BW3517" s="467"/>
      <c r="BX3517" s="769"/>
      <c r="BY3517" s="769"/>
      <c r="BZ3517" s="769"/>
      <c r="CA3517" s="769"/>
      <c r="CB3517" s="769"/>
      <c r="CC3517" s="769"/>
      <c r="CD3517" s="769"/>
      <c r="CE3517" s="769"/>
      <c r="CF3517" s="769"/>
      <c r="CG3517" s="73"/>
      <c r="CH3517" s="438"/>
      <c r="CI3517" s="416"/>
      <c r="CJ3517" s="73"/>
      <c r="CK3517" s="650"/>
      <c r="CL3517" s="499"/>
      <c r="CM3517" s="650"/>
      <c r="CR3517" s="416"/>
      <c r="CS3517" s="650"/>
      <c r="CU3517" s="73"/>
      <c r="CV3517" s="73"/>
      <c r="CW3517" s="73"/>
      <c r="CX3517" s="73"/>
      <c r="DA3517" s="650"/>
    </row>
    <row r="3518" spans="1:105" s="45" customFormat="1" x14ac:dyDescent="0.2">
      <c r="A3518" s="650"/>
      <c r="B3518" s="438"/>
      <c r="D3518" s="73"/>
      <c r="E3518" s="650"/>
      <c r="F3518" s="650"/>
      <c r="G3518" s="73"/>
      <c r="I3518" s="111"/>
      <c r="J3518" s="81"/>
      <c r="K3518" s="81"/>
      <c r="L3518" s="499"/>
      <c r="M3518" s="73"/>
      <c r="N3518" s="499"/>
      <c r="O3518" s="73"/>
      <c r="P3518" s="73"/>
      <c r="Q3518" s="73"/>
      <c r="R3518" s="176"/>
      <c r="S3518" s="176"/>
      <c r="T3518" s="176"/>
      <c r="U3518" s="400"/>
      <c r="V3518" s="400"/>
      <c r="W3518" s="732"/>
      <c r="X3518" s="167"/>
      <c r="Y3518" s="509"/>
      <c r="Z3518" s="466"/>
      <c r="AA3518" s="466"/>
      <c r="AB3518" s="466"/>
      <c r="AC3518" s="466"/>
      <c r="AD3518" s="466"/>
      <c r="AE3518" s="466"/>
      <c r="AF3518" s="466"/>
      <c r="AG3518" s="466"/>
      <c r="AH3518" s="466"/>
      <c r="AI3518" s="466"/>
      <c r="AJ3518" s="466"/>
      <c r="AK3518" s="466"/>
      <c r="AL3518" s="466"/>
      <c r="AM3518" s="466"/>
      <c r="AN3518" s="466"/>
      <c r="AO3518" s="466"/>
      <c r="AP3518" s="466"/>
      <c r="AQ3518" s="466"/>
      <c r="AR3518" s="466"/>
      <c r="AS3518" s="466"/>
      <c r="AT3518" s="466"/>
      <c r="AU3518" s="466"/>
      <c r="AV3518" s="466"/>
      <c r="AW3518" s="466"/>
      <c r="AX3518" s="466"/>
      <c r="AY3518" s="466"/>
      <c r="AZ3518" s="466"/>
      <c r="BA3518" s="466"/>
      <c r="BB3518" s="466"/>
      <c r="BC3518" s="466"/>
      <c r="BD3518" s="466"/>
      <c r="BE3518" s="467"/>
      <c r="BF3518" s="467"/>
      <c r="BG3518" s="466"/>
      <c r="BH3518" s="466"/>
      <c r="BI3518" s="467"/>
      <c r="BJ3518" s="467"/>
      <c r="BK3518" s="467"/>
      <c r="BL3518" s="467"/>
      <c r="BM3518" s="467"/>
      <c r="BN3518" s="467"/>
      <c r="BO3518" s="467"/>
      <c r="BP3518" s="467"/>
      <c r="BQ3518" s="467"/>
      <c r="BR3518" s="467"/>
      <c r="BS3518" s="467"/>
      <c r="BT3518" s="467"/>
      <c r="BU3518" s="467"/>
      <c r="BV3518" s="467"/>
      <c r="BW3518" s="467"/>
      <c r="BX3518" s="769"/>
      <c r="BY3518" s="769"/>
      <c r="BZ3518" s="769"/>
      <c r="CA3518" s="769"/>
      <c r="CB3518" s="769"/>
      <c r="CC3518" s="769"/>
      <c r="CD3518" s="769"/>
      <c r="CE3518" s="769"/>
      <c r="CF3518" s="769"/>
      <c r="CG3518" s="73"/>
      <c r="CH3518" s="438"/>
      <c r="CI3518" s="416"/>
      <c r="CJ3518" s="73"/>
      <c r="CK3518" s="650"/>
      <c r="CL3518" s="499"/>
      <c r="CM3518" s="650"/>
      <c r="CR3518" s="416"/>
      <c r="CS3518" s="650"/>
      <c r="CU3518" s="73"/>
      <c r="CV3518" s="73"/>
      <c r="CW3518" s="73"/>
      <c r="CX3518" s="73"/>
      <c r="DA3518" s="650"/>
    </row>
    <row r="3519" spans="1:105" s="45" customFormat="1" x14ac:dyDescent="0.2">
      <c r="A3519" s="650"/>
      <c r="B3519" s="438"/>
      <c r="D3519" s="73"/>
      <c r="E3519" s="650"/>
      <c r="F3519" s="650"/>
      <c r="G3519" s="73"/>
      <c r="I3519" s="111"/>
      <c r="J3519" s="81"/>
      <c r="K3519" s="81"/>
      <c r="L3519" s="499"/>
      <c r="M3519" s="73"/>
      <c r="N3519" s="499"/>
      <c r="O3519" s="73"/>
      <c r="P3519" s="73"/>
      <c r="Q3519" s="73"/>
      <c r="R3519" s="176"/>
      <c r="S3519" s="176"/>
      <c r="T3519" s="176"/>
      <c r="U3519" s="400"/>
      <c r="V3519" s="400"/>
      <c r="W3519" s="732"/>
      <c r="X3519" s="167"/>
      <c r="Y3519" s="509"/>
      <c r="Z3519" s="466"/>
      <c r="AA3519" s="466"/>
      <c r="AB3519" s="466"/>
      <c r="AC3519" s="466"/>
      <c r="AD3519" s="466"/>
      <c r="AE3519" s="466"/>
      <c r="AF3519" s="466"/>
      <c r="AG3519" s="466"/>
      <c r="AH3519" s="466"/>
      <c r="AI3519" s="466"/>
      <c r="AJ3519" s="466"/>
      <c r="AK3519" s="466"/>
      <c r="AL3519" s="466"/>
      <c r="AM3519" s="466"/>
      <c r="AN3519" s="466"/>
      <c r="AO3519" s="466"/>
      <c r="AP3519" s="466"/>
      <c r="AQ3519" s="466"/>
      <c r="AR3519" s="466"/>
      <c r="AS3519" s="466"/>
      <c r="AT3519" s="466"/>
      <c r="AU3519" s="466"/>
      <c r="AV3519" s="466"/>
      <c r="AW3519" s="466"/>
      <c r="AX3519" s="466"/>
      <c r="AY3519" s="466"/>
      <c r="AZ3519" s="466"/>
      <c r="BA3519" s="466"/>
      <c r="BB3519" s="466"/>
      <c r="BC3519" s="466"/>
      <c r="BD3519" s="466"/>
      <c r="BE3519" s="467"/>
      <c r="BF3519" s="467"/>
      <c r="BG3519" s="466"/>
      <c r="BH3519" s="466"/>
      <c r="BI3519" s="467"/>
      <c r="BJ3519" s="467"/>
      <c r="BK3519" s="467"/>
      <c r="BL3519" s="467"/>
      <c r="BM3519" s="467"/>
      <c r="BN3519" s="467"/>
      <c r="BO3519" s="467"/>
      <c r="BP3519" s="467"/>
      <c r="BQ3519" s="467"/>
      <c r="BR3519" s="467"/>
      <c r="BS3519" s="467"/>
      <c r="BT3519" s="467"/>
      <c r="BU3519" s="467"/>
      <c r="BV3519" s="467"/>
      <c r="BW3519" s="467"/>
      <c r="BX3519" s="769"/>
      <c r="BY3519" s="769"/>
      <c r="BZ3519" s="769"/>
      <c r="CA3519" s="769"/>
      <c r="CB3519" s="769"/>
      <c r="CC3519" s="769"/>
      <c r="CD3519" s="769"/>
      <c r="CE3519" s="769"/>
      <c r="CF3519" s="769"/>
      <c r="CG3519" s="73"/>
      <c r="CH3519" s="438"/>
      <c r="CI3519" s="416"/>
      <c r="CJ3519" s="73"/>
      <c r="CK3519" s="650"/>
      <c r="CL3519" s="499"/>
      <c r="CM3519" s="650"/>
      <c r="CR3519" s="416"/>
      <c r="CS3519" s="650"/>
      <c r="CU3519" s="73"/>
      <c r="CV3519" s="73"/>
      <c r="CW3519" s="73"/>
      <c r="CX3519" s="73"/>
      <c r="DA3519" s="650"/>
    </row>
    <row r="3520" spans="1:105" s="45" customFormat="1" x14ac:dyDescent="0.2">
      <c r="A3520" s="650"/>
      <c r="B3520" s="438"/>
      <c r="D3520" s="73"/>
      <c r="E3520" s="650"/>
      <c r="F3520" s="650"/>
      <c r="G3520" s="73"/>
      <c r="I3520" s="111"/>
      <c r="J3520" s="81"/>
      <c r="K3520" s="81"/>
      <c r="L3520" s="499"/>
      <c r="M3520" s="73"/>
      <c r="N3520" s="499"/>
      <c r="O3520" s="73"/>
      <c r="P3520" s="73"/>
      <c r="Q3520" s="73"/>
      <c r="R3520" s="176"/>
      <c r="S3520" s="176"/>
      <c r="T3520" s="176"/>
      <c r="U3520" s="400"/>
      <c r="V3520" s="400"/>
      <c r="W3520" s="732"/>
      <c r="X3520" s="167"/>
      <c r="Y3520" s="509"/>
      <c r="Z3520" s="466"/>
      <c r="AA3520" s="466"/>
      <c r="AB3520" s="466"/>
      <c r="AC3520" s="466"/>
      <c r="AD3520" s="466"/>
      <c r="AE3520" s="466"/>
      <c r="AF3520" s="466"/>
      <c r="AG3520" s="466"/>
      <c r="AH3520" s="466"/>
      <c r="AI3520" s="466"/>
      <c r="AJ3520" s="466"/>
      <c r="AK3520" s="466"/>
      <c r="AL3520" s="466"/>
      <c r="AM3520" s="466"/>
      <c r="AN3520" s="466"/>
      <c r="AO3520" s="466"/>
      <c r="AP3520" s="466"/>
      <c r="AQ3520" s="466"/>
      <c r="AR3520" s="466"/>
      <c r="AS3520" s="466"/>
      <c r="AT3520" s="466"/>
      <c r="AU3520" s="466"/>
      <c r="AV3520" s="466"/>
      <c r="AW3520" s="466"/>
      <c r="AX3520" s="466"/>
      <c r="AY3520" s="466"/>
      <c r="AZ3520" s="466"/>
      <c r="BA3520" s="466"/>
      <c r="BB3520" s="466"/>
      <c r="BC3520" s="466"/>
      <c r="BD3520" s="466"/>
      <c r="BE3520" s="467"/>
      <c r="BF3520" s="467"/>
      <c r="BG3520" s="466"/>
      <c r="BH3520" s="466"/>
      <c r="BI3520" s="467"/>
      <c r="BJ3520" s="467"/>
      <c r="BK3520" s="467"/>
      <c r="BL3520" s="467"/>
      <c r="BM3520" s="467"/>
      <c r="BN3520" s="467"/>
      <c r="BO3520" s="467"/>
      <c r="BP3520" s="467"/>
      <c r="BQ3520" s="467"/>
      <c r="BR3520" s="467"/>
      <c r="BS3520" s="467"/>
      <c r="BT3520" s="467"/>
      <c r="BU3520" s="467"/>
      <c r="BV3520" s="467"/>
      <c r="BW3520" s="467"/>
      <c r="BX3520" s="769"/>
      <c r="BY3520" s="769"/>
      <c r="BZ3520" s="769"/>
      <c r="CA3520" s="769"/>
      <c r="CB3520" s="769"/>
      <c r="CC3520" s="769"/>
      <c r="CD3520" s="769"/>
      <c r="CE3520" s="769"/>
      <c r="CF3520" s="769"/>
      <c r="CG3520" s="73"/>
      <c r="CH3520" s="438"/>
      <c r="CI3520" s="416"/>
      <c r="CJ3520" s="73"/>
      <c r="CK3520" s="650"/>
      <c r="CL3520" s="499"/>
      <c r="CM3520" s="650"/>
      <c r="CR3520" s="416"/>
      <c r="CS3520" s="650"/>
      <c r="CU3520" s="73"/>
      <c r="CV3520" s="73"/>
      <c r="CW3520" s="73"/>
      <c r="CX3520" s="73"/>
      <c r="DA3520" s="650"/>
    </row>
    <row r="3521" spans="1:105" s="45" customFormat="1" x14ac:dyDescent="0.2">
      <c r="A3521" s="650"/>
      <c r="B3521" s="438"/>
      <c r="D3521" s="73"/>
      <c r="E3521" s="650"/>
      <c r="F3521" s="650"/>
      <c r="G3521" s="73"/>
      <c r="I3521" s="111"/>
      <c r="J3521" s="81"/>
      <c r="K3521" s="81"/>
      <c r="L3521" s="499"/>
      <c r="M3521" s="73"/>
      <c r="N3521" s="499"/>
      <c r="O3521" s="73"/>
      <c r="P3521" s="73"/>
      <c r="Q3521" s="73"/>
      <c r="R3521" s="176"/>
      <c r="S3521" s="176"/>
      <c r="T3521" s="176"/>
      <c r="U3521" s="400"/>
      <c r="V3521" s="400"/>
      <c r="W3521" s="732"/>
      <c r="X3521" s="167"/>
      <c r="Y3521" s="509"/>
      <c r="Z3521" s="466"/>
      <c r="AA3521" s="466"/>
      <c r="AB3521" s="466"/>
      <c r="AC3521" s="466"/>
      <c r="AD3521" s="466"/>
      <c r="AE3521" s="466"/>
      <c r="AF3521" s="466"/>
      <c r="AG3521" s="466"/>
      <c r="AH3521" s="466"/>
      <c r="AI3521" s="466"/>
      <c r="AJ3521" s="466"/>
      <c r="AK3521" s="466"/>
      <c r="AL3521" s="466"/>
      <c r="AM3521" s="466"/>
      <c r="AN3521" s="466"/>
      <c r="AO3521" s="466"/>
      <c r="AP3521" s="466"/>
      <c r="AQ3521" s="466"/>
      <c r="AR3521" s="466"/>
      <c r="AS3521" s="466"/>
      <c r="AT3521" s="466"/>
      <c r="AU3521" s="466"/>
      <c r="AV3521" s="466"/>
      <c r="AW3521" s="466"/>
      <c r="AX3521" s="466"/>
      <c r="AY3521" s="466"/>
      <c r="AZ3521" s="466"/>
      <c r="BA3521" s="466"/>
      <c r="BB3521" s="466"/>
      <c r="BC3521" s="466"/>
      <c r="BD3521" s="466"/>
      <c r="BE3521" s="467"/>
      <c r="BF3521" s="467"/>
      <c r="BG3521" s="466"/>
      <c r="BH3521" s="466"/>
      <c r="BI3521" s="467"/>
      <c r="BJ3521" s="467"/>
      <c r="BK3521" s="467"/>
      <c r="BL3521" s="467"/>
      <c r="BM3521" s="467"/>
      <c r="BN3521" s="467"/>
      <c r="BO3521" s="467"/>
      <c r="BP3521" s="467"/>
      <c r="BQ3521" s="467"/>
      <c r="BR3521" s="467"/>
      <c r="BS3521" s="467"/>
      <c r="BT3521" s="467"/>
      <c r="BU3521" s="467"/>
      <c r="BV3521" s="467"/>
      <c r="BW3521" s="467"/>
      <c r="BX3521" s="769"/>
      <c r="BY3521" s="769"/>
      <c r="BZ3521" s="769"/>
      <c r="CA3521" s="769"/>
      <c r="CB3521" s="769"/>
      <c r="CC3521" s="769"/>
      <c r="CD3521" s="769"/>
      <c r="CE3521" s="769"/>
      <c r="CF3521" s="769"/>
      <c r="CG3521" s="73"/>
      <c r="CH3521" s="438"/>
      <c r="CI3521" s="416"/>
      <c r="CJ3521" s="73"/>
      <c r="CK3521" s="650"/>
      <c r="CL3521" s="499"/>
      <c r="CM3521" s="650"/>
      <c r="CR3521" s="416"/>
      <c r="CS3521" s="650"/>
      <c r="CU3521" s="73"/>
      <c r="CV3521" s="73"/>
      <c r="CW3521" s="73"/>
      <c r="CX3521" s="73"/>
      <c r="DA3521" s="650"/>
    </row>
    <row r="3522" spans="1:105" s="45" customFormat="1" x14ac:dyDescent="0.2">
      <c r="A3522" s="650"/>
      <c r="B3522" s="438"/>
      <c r="D3522" s="73"/>
      <c r="E3522" s="650"/>
      <c r="F3522" s="650"/>
      <c r="G3522" s="73"/>
      <c r="I3522" s="111"/>
      <c r="J3522" s="81"/>
      <c r="K3522" s="81"/>
      <c r="L3522" s="499"/>
      <c r="M3522" s="73"/>
      <c r="N3522" s="499"/>
      <c r="O3522" s="73"/>
      <c r="P3522" s="73"/>
      <c r="Q3522" s="73"/>
      <c r="R3522" s="176"/>
      <c r="S3522" s="176"/>
      <c r="T3522" s="176"/>
      <c r="U3522" s="400"/>
      <c r="V3522" s="400"/>
      <c r="W3522" s="732"/>
      <c r="X3522" s="167"/>
      <c r="Y3522" s="509"/>
      <c r="Z3522" s="466"/>
      <c r="AA3522" s="466"/>
      <c r="AB3522" s="466"/>
      <c r="AC3522" s="466"/>
      <c r="AD3522" s="466"/>
      <c r="AE3522" s="466"/>
      <c r="AF3522" s="466"/>
      <c r="AG3522" s="466"/>
      <c r="AH3522" s="466"/>
      <c r="AI3522" s="466"/>
      <c r="AJ3522" s="466"/>
      <c r="AK3522" s="466"/>
      <c r="AL3522" s="466"/>
      <c r="AM3522" s="466"/>
      <c r="AN3522" s="466"/>
      <c r="AO3522" s="466"/>
      <c r="AP3522" s="466"/>
      <c r="AQ3522" s="466"/>
      <c r="AR3522" s="466"/>
      <c r="AS3522" s="466"/>
      <c r="AT3522" s="466"/>
      <c r="AU3522" s="466"/>
      <c r="AV3522" s="466"/>
      <c r="AW3522" s="466"/>
      <c r="AX3522" s="466"/>
      <c r="AY3522" s="466"/>
      <c r="AZ3522" s="466"/>
      <c r="BA3522" s="466"/>
      <c r="BB3522" s="466"/>
      <c r="BC3522" s="466"/>
      <c r="BD3522" s="466"/>
      <c r="BE3522" s="467"/>
      <c r="BF3522" s="467"/>
      <c r="BG3522" s="466"/>
      <c r="BH3522" s="466"/>
      <c r="BI3522" s="467"/>
      <c r="BJ3522" s="467"/>
      <c r="BK3522" s="467"/>
      <c r="BL3522" s="467"/>
      <c r="BM3522" s="467"/>
      <c r="BN3522" s="467"/>
      <c r="BO3522" s="467"/>
      <c r="BP3522" s="467"/>
      <c r="BQ3522" s="467"/>
      <c r="BR3522" s="467"/>
      <c r="BS3522" s="467"/>
      <c r="BT3522" s="467"/>
      <c r="BU3522" s="467"/>
      <c r="BV3522" s="467"/>
      <c r="BW3522" s="467"/>
      <c r="BX3522" s="769"/>
      <c r="BY3522" s="769"/>
      <c r="BZ3522" s="769"/>
      <c r="CA3522" s="769"/>
      <c r="CB3522" s="769"/>
      <c r="CC3522" s="769"/>
      <c r="CD3522" s="769"/>
      <c r="CE3522" s="769"/>
      <c r="CF3522" s="769"/>
      <c r="CG3522" s="73"/>
      <c r="CH3522" s="438"/>
      <c r="CI3522" s="416"/>
      <c r="CJ3522" s="73"/>
      <c r="CK3522" s="650"/>
      <c r="CL3522" s="499"/>
      <c r="CM3522" s="650"/>
      <c r="CR3522" s="416"/>
      <c r="CS3522" s="650"/>
      <c r="CU3522" s="73"/>
      <c r="CV3522" s="73"/>
      <c r="CW3522" s="73"/>
      <c r="CX3522" s="73"/>
      <c r="DA3522" s="650"/>
    </row>
    <row r="3523" spans="1:105" s="45" customFormat="1" x14ac:dyDescent="0.2">
      <c r="A3523" s="650"/>
      <c r="B3523" s="438"/>
      <c r="D3523" s="73"/>
      <c r="E3523" s="650"/>
      <c r="F3523" s="650"/>
      <c r="G3523" s="73"/>
      <c r="I3523" s="111"/>
      <c r="J3523" s="81"/>
      <c r="K3523" s="81"/>
      <c r="L3523" s="499"/>
      <c r="M3523" s="73"/>
      <c r="N3523" s="499"/>
      <c r="O3523" s="73"/>
      <c r="P3523" s="73"/>
      <c r="Q3523" s="73"/>
      <c r="R3523" s="176"/>
      <c r="S3523" s="176"/>
      <c r="T3523" s="176"/>
      <c r="U3523" s="400"/>
      <c r="V3523" s="400"/>
      <c r="W3523" s="732"/>
      <c r="X3523" s="167"/>
      <c r="Y3523" s="509"/>
      <c r="Z3523" s="466"/>
      <c r="AA3523" s="466"/>
      <c r="AB3523" s="466"/>
      <c r="AC3523" s="466"/>
      <c r="AD3523" s="466"/>
      <c r="AE3523" s="466"/>
      <c r="AF3523" s="466"/>
      <c r="AG3523" s="466"/>
      <c r="AH3523" s="466"/>
      <c r="AI3523" s="466"/>
      <c r="AJ3523" s="466"/>
      <c r="AK3523" s="466"/>
      <c r="AL3523" s="466"/>
      <c r="AM3523" s="466"/>
      <c r="AN3523" s="466"/>
      <c r="AO3523" s="466"/>
      <c r="AP3523" s="466"/>
      <c r="AQ3523" s="466"/>
      <c r="AR3523" s="466"/>
      <c r="AS3523" s="466"/>
      <c r="AT3523" s="466"/>
      <c r="AU3523" s="466"/>
      <c r="AV3523" s="466"/>
      <c r="AW3523" s="466"/>
      <c r="AX3523" s="466"/>
      <c r="AY3523" s="466"/>
      <c r="AZ3523" s="466"/>
      <c r="BA3523" s="466"/>
      <c r="BB3523" s="466"/>
      <c r="BC3523" s="466"/>
      <c r="BD3523" s="466"/>
      <c r="BE3523" s="467"/>
      <c r="BF3523" s="467"/>
      <c r="BG3523" s="466"/>
      <c r="BH3523" s="466"/>
      <c r="BI3523" s="467"/>
      <c r="BJ3523" s="467"/>
      <c r="BK3523" s="467"/>
      <c r="BL3523" s="467"/>
      <c r="BM3523" s="467"/>
      <c r="BN3523" s="467"/>
      <c r="BO3523" s="467"/>
      <c r="BP3523" s="467"/>
      <c r="BQ3523" s="467"/>
      <c r="BR3523" s="467"/>
      <c r="BS3523" s="467"/>
      <c r="BT3523" s="467"/>
      <c r="BU3523" s="467"/>
      <c r="BV3523" s="467"/>
      <c r="BW3523" s="467"/>
      <c r="BX3523" s="769"/>
      <c r="BY3523" s="769"/>
      <c r="BZ3523" s="769"/>
      <c r="CA3523" s="769"/>
      <c r="CB3523" s="769"/>
      <c r="CC3523" s="769"/>
      <c r="CD3523" s="769"/>
      <c r="CE3523" s="769"/>
      <c r="CF3523" s="769"/>
      <c r="CG3523" s="73"/>
      <c r="CH3523" s="438"/>
      <c r="CI3523" s="416"/>
      <c r="CJ3523" s="73"/>
      <c r="CK3523" s="650"/>
      <c r="CL3523" s="499"/>
      <c r="CM3523" s="650"/>
      <c r="CR3523" s="416"/>
      <c r="CS3523" s="650"/>
      <c r="CU3523" s="73"/>
      <c r="CV3523" s="73"/>
      <c r="CW3523" s="73"/>
      <c r="CX3523" s="73"/>
      <c r="DA3523" s="650"/>
    </row>
    <row r="3524" spans="1:105" s="45" customFormat="1" x14ac:dyDescent="0.2">
      <c r="A3524" s="650"/>
      <c r="B3524" s="438"/>
      <c r="D3524" s="73"/>
      <c r="E3524" s="650"/>
      <c r="F3524" s="650"/>
      <c r="G3524" s="73"/>
      <c r="I3524" s="111"/>
      <c r="J3524" s="81"/>
      <c r="K3524" s="81"/>
      <c r="L3524" s="499"/>
      <c r="M3524" s="73"/>
      <c r="N3524" s="499"/>
      <c r="O3524" s="73"/>
      <c r="P3524" s="73"/>
      <c r="Q3524" s="73"/>
      <c r="R3524" s="176"/>
      <c r="S3524" s="176"/>
      <c r="T3524" s="176"/>
      <c r="U3524" s="400"/>
      <c r="V3524" s="400"/>
      <c r="W3524" s="732"/>
      <c r="X3524" s="167"/>
      <c r="Y3524" s="509"/>
      <c r="Z3524" s="466"/>
      <c r="AA3524" s="466"/>
      <c r="AB3524" s="466"/>
      <c r="AC3524" s="466"/>
      <c r="AD3524" s="466"/>
      <c r="AE3524" s="466"/>
      <c r="AF3524" s="466"/>
      <c r="AG3524" s="466"/>
      <c r="AH3524" s="466"/>
      <c r="AI3524" s="466"/>
      <c r="AJ3524" s="466"/>
      <c r="AK3524" s="466"/>
      <c r="AL3524" s="466"/>
      <c r="AM3524" s="466"/>
      <c r="AN3524" s="466"/>
      <c r="AO3524" s="466"/>
      <c r="AP3524" s="466"/>
      <c r="AQ3524" s="466"/>
      <c r="AR3524" s="466"/>
      <c r="AS3524" s="466"/>
      <c r="AT3524" s="466"/>
      <c r="AU3524" s="466"/>
      <c r="AV3524" s="466"/>
      <c r="AW3524" s="466"/>
      <c r="AX3524" s="466"/>
      <c r="AY3524" s="466"/>
      <c r="AZ3524" s="466"/>
      <c r="BA3524" s="466"/>
      <c r="BB3524" s="466"/>
      <c r="BC3524" s="466"/>
      <c r="BD3524" s="466"/>
      <c r="BE3524" s="467"/>
      <c r="BF3524" s="467"/>
      <c r="BG3524" s="466"/>
      <c r="BH3524" s="466"/>
      <c r="BI3524" s="467"/>
      <c r="BJ3524" s="467"/>
      <c r="BK3524" s="467"/>
      <c r="BL3524" s="467"/>
      <c r="BM3524" s="467"/>
      <c r="BN3524" s="467"/>
      <c r="BO3524" s="467"/>
      <c r="BP3524" s="467"/>
      <c r="BQ3524" s="467"/>
      <c r="BR3524" s="467"/>
      <c r="BS3524" s="467"/>
      <c r="BT3524" s="467"/>
      <c r="BU3524" s="467"/>
      <c r="BV3524" s="467"/>
      <c r="BW3524" s="467"/>
      <c r="BX3524" s="769"/>
      <c r="BY3524" s="769"/>
      <c r="BZ3524" s="769"/>
      <c r="CA3524" s="769"/>
      <c r="CB3524" s="769"/>
      <c r="CC3524" s="769"/>
      <c r="CD3524" s="769"/>
      <c r="CE3524" s="769"/>
      <c r="CF3524" s="769"/>
      <c r="CG3524" s="73"/>
      <c r="CH3524" s="438"/>
      <c r="CI3524" s="416"/>
      <c r="CJ3524" s="73"/>
      <c r="CK3524" s="650"/>
      <c r="CL3524" s="499"/>
      <c r="CM3524" s="650"/>
      <c r="CR3524" s="416"/>
      <c r="CS3524" s="650"/>
      <c r="CU3524" s="73"/>
      <c r="CV3524" s="73"/>
      <c r="CW3524" s="73"/>
      <c r="CX3524" s="73"/>
      <c r="DA3524" s="650"/>
    </row>
    <row r="3525" spans="1:105" s="45" customFormat="1" x14ac:dyDescent="0.2">
      <c r="A3525" s="650"/>
      <c r="B3525" s="438"/>
      <c r="D3525" s="73"/>
      <c r="E3525" s="650"/>
      <c r="F3525" s="650"/>
      <c r="G3525" s="73"/>
      <c r="I3525" s="111"/>
      <c r="J3525" s="81"/>
      <c r="K3525" s="81"/>
      <c r="L3525" s="499"/>
      <c r="M3525" s="73"/>
      <c r="N3525" s="499"/>
      <c r="O3525" s="73"/>
      <c r="P3525" s="73"/>
      <c r="Q3525" s="73"/>
      <c r="R3525" s="176"/>
      <c r="S3525" s="176"/>
      <c r="T3525" s="176"/>
      <c r="U3525" s="400"/>
      <c r="V3525" s="400"/>
      <c r="W3525" s="732"/>
      <c r="X3525" s="167"/>
      <c r="Y3525" s="509"/>
      <c r="Z3525" s="466"/>
      <c r="AA3525" s="466"/>
      <c r="AB3525" s="466"/>
      <c r="AC3525" s="466"/>
      <c r="AD3525" s="466"/>
      <c r="AE3525" s="466"/>
      <c r="AF3525" s="466"/>
      <c r="AG3525" s="466"/>
      <c r="AH3525" s="466"/>
      <c r="AI3525" s="466"/>
      <c r="AJ3525" s="466"/>
      <c r="AK3525" s="466"/>
      <c r="AL3525" s="466"/>
      <c r="AM3525" s="466"/>
      <c r="AN3525" s="466"/>
      <c r="AO3525" s="466"/>
      <c r="AP3525" s="466"/>
      <c r="AQ3525" s="466"/>
      <c r="AR3525" s="466"/>
      <c r="AS3525" s="466"/>
      <c r="AT3525" s="466"/>
      <c r="AU3525" s="466"/>
      <c r="AV3525" s="466"/>
      <c r="AW3525" s="466"/>
      <c r="AX3525" s="466"/>
      <c r="AY3525" s="466"/>
      <c r="AZ3525" s="466"/>
      <c r="BA3525" s="466"/>
      <c r="BB3525" s="466"/>
      <c r="BC3525" s="466"/>
      <c r="BD3525" s="466"/>
      <c r="BE3525" s="467"/>
      <c r="BF3525" s="467"/>
      <c r="BG3525" s="466"/>
      <c r="BH3525" s="466"/>
      <c r="BI3525" s="467"/>
      <c r="BJ3525" s="467"/>
      <c r="BK3525" s="467"/>
      <c r="BL3525" s="467"/>
      <c r="BM3525" s="467"/>
      <c r="BN3525" s="467"/>
      <c r="BO3525" s="467"/>
      <c r="BP3525" s="467"/>
      <c r="BQ3525" s="467"/>
      <c r="BR3525" s="467"/>
      <c r="BS3525" s="467"/>
      <c r="BT3525" s="467"/>
      <c r="BU3525" s="467"/>
      <c r="BV3525" s="467"/>
      <c r="BW3525" s="467"/>
      <c r="BX3525" s="769"/>
      <c r="BY3525" s="769"/>
      <c r="BZ3525" s="769"/>
      <c r="CA3525" s="769"/>
      <c r="CB3525" s="769"/>
      <c r="CC3525" s="769"/>
      <c r="CD3525" s="769"/>
      <c r="CE3525" s="769"/>
      <c r="CF3525" s="769"/>
      <c r="CG3525" s="73"/>
      <c r="CH3525" s="438"/>
      <c r="CI3525" s="416"/>
      <c r="CJ3525" s="73"/>
      <c r="CK3525" s="650"/>
      <c r="CL3525" s="499"/>
      <c r="CM3525" s="650"/>
      <c r="CR3525" s="416"/>
      <c r="CS3525" s="650"/>
      <c r="CU3525" s="73"/>
      <c r="CV3525" s="73"/>
      <c r="CW3525" s="73"/>
      <c r="CX3525" s="73"/>
      <c r="DA3525" s="650"/>
    </row>
    <row r="3526" spans="1:105" s="45" customFormat="1" x14ac:dyDescent="0.2">
      <c r="A3526" s="650"/>
      <c r="B3526" s="438"/>
      <c r="D3526" s="73"/>
      <c r="E3526" s="650"/>
      <c r="F3526" s="650"/>
      <c r="G3526" s="73"/>
      <c r="I3526" s="111"/>
      <c r="J3526" s="81"/>
      <c r="K3526" s="81"/>
      <c r="L3526" s="499"/>
      <c r="M3526" s="73"/>
      <c r="N3526" s="499"/>
      <c r="O3526" s="73"/>
      <c r="P3526" s="73"/>
      <c r="Q3526" s="73"/>
      <c r="R3526" s="176"/>
      <c r="S3526" s="176"/>
      <c r="T3526" s="176"/>
      <c r="U3526" s="400"/>
      <c r="V3526" s="400"/>
      <c r="W3526" s="732"/>
      <c r="X3526" s="167"/>
      <c r="Y3526" s="509"/>
      <c r="Z3526" s="466"/>
      <c r="AA3526" s="466"/>
      <c r="AB3526" s="466"/>
      <c r="AC3526" s="466"/>
      <c r="AD3526" s="466"/>
      <c r="AE3526" s="466"/>
      <c r="AF3526" s="466"/>
      <c r="AG3526" s="466"/>
      <c r="AH3526" s="466"/>
      <c r="AI3526" s="466"/>
      <c r="AJ3526" s="466"/>
      <c r="AK3526" s="466"/>
      <c r="AL3526" s="466"/>
      <c r="AM3526" s="466"/>
      <c r="AN3526" s="466"/>
      <c r="AO3526" s="466"/>
      <c r="AP3526" s="466"/>
      <c r="AQ3526" s="466"/>
      <c r="AR3526" s="466"/>
      <c r="AS3526" s="466"/>
      <c r="AT3526" s="466"/>
      <c r="AU3526" s="466"/>
      <c r="AV3526" s="466"/>
      <c r="AW3526" s="466"/>
      <c r="AX3526" s="466"/>
      <c r="AY3526" s="466"/>
      <c r="AZ3526" s="466"/>
      <c r="BA3526" s="466"/>
      <c r="BB3526" s="466"/>
      <c r="BC3526" s="466"/>
      <c r="BD3526" s="466"/>
      <c r="BE3526" s="467"/>
      <c r="BF3526" s="467"/>
      <c r="BG3526" s="466"/>
      <c r="BH3526" s="466"/>
      <c r="BI3526" s="467"/>
      <c r="BJ3526" s="467"/>
      <c r="BK3526" s="467"/>
      <c r="BL3526" s="467"/>
      <c r="BM3526" s="467"/>
      <c r="BN3526" s="467"/>
      <c r="BO3526" s="467"/>
      <c r="BP3526" s="467"/>
      <c r="BQ3526" s="467"/>
      <c r="BR3526" s="467"/>
      <c r="BS3526" s="467"/>
      <c r="BT3526" s="467"/>
      <c r="BU3526" s="467"/>
      <c r="BV3526" s="467"/>
      <c r="BW3526" s="467"/>
      <c r="BX3526" s="769"/>
      <c r="BY3526" s="769"/>
      <c r="BZ3526" s="769"/>
      <c r="CA3526" s="769"/>
      <c r="CB3526" s="769"/>
      <c r="CC3526" s="769"/>
      <c r="CD3526" s="769"/>
      <c r="CE3526" s="769"/>
      <c r="CF3526" s="769"/>
      <c r="CG3526" s="73"/>
      <c r="CH3526" s="438"/>
      <c r="CI3526" s="416"/>
      <c r="CJ3526" s="73"/>
      <c r="CK3526" s="650"/>
      <c r="CL3526" s="499"/>
      <c r="CM3526" s="650"/>
      <c r="CR3526" s="416"/>
      <c r="CS3526" s="650"/>
      <c r="CU3526" s="73"/>
      <c r="CV3526" s="73"/>
      <c r="CW3526" s="73"/>
      <c r="CX3526" s="73"/>
      <c r="DA3526" s="650"/>
    </row>
    <row r="3527" spans="1:105" s="45" customFormat="1" x14ac:dyDescent="0.2">
      <c r="A3527" s="650"/>
      <c r="B3527" s="438"/>
      <c r="D3527" s="73"/>
      <c r="E3527" s="650"/>
      <c r="F3527" s="650"/>
      <c r="G3527" s="73"/>
      <c r="I3527" s="111"/>
      <c r="J3527" s="81"/>
      <c r="K3527" s="81"/>
      <c r="L3527" s="499"/>
      <c r="M3527" s="73"/>
      <c r="N3527" s="499"/>
      <c r="O3527" s="73"/>
      <c r="P3527" s="73"/>
      <c r="Q3527" s="73"/>
      <c r="R3527" s="176"/>
      <c r="S3527" s="176"/>
      <c r="T3527" s="176"/>
      <c r="U3527" s="400"/>
      <c r="V3527" s="400"/>
      <c r="W3527" s="732"/>
      <c r="X3527" s="167"/>
      <c r="Y3527" s="509"/>
      <c r="Z3527" s="466"/>
      <c r="AA3527" s="466"/>
      <c r="AB3527" s="466"/>
      <c r="AC3527" s="466"/>
      <c r="AD3527" s="466"/>
      <c r="AE3527" s="466"/>
      <c r="AF3527" s="466"/>
      <c r="AG3527" s="466"/>
      <c r="AH3527" s="466"/>
      <c r="AI3527" s="466"/>
      <c r="AJ3527" s="466"/>
      <c r="AK3527" s="466"/>
      <c r="AL3527" s="466"/>
      <c r="AM3527" s="466"/>
      <c r="AN3527" s="466"/>
      <c r="AO3527" s="466"/>
      <c r="AP3527" s="466"/>
      <c r="AQ3527" s="466"/>
      <c r="AR3527" s="466"/>
      <c r="AS3527" s="466"/>
      <c r="AT3527" s="466"/>
      <c r="AU3527" s="466"/>
      <c r="AV3527" s="466"/>
      <c r="AW3527" s="466"/>
      <c r="AX3527" s="466"/>
      <c r="AY3527" s="466"/>
      <c r="AZ3527" s="466"/>
      <c r="BA3527" s="466"/>
      <c r="BB3527" s="466"/>
      <c r="BC3527" s="466"/>
      <c r="BD3527" s="466"/>
      <c r="BE3527" s="467"/>
      <c r="BF3527" s="467"/>
      <c r="BG3527" s="466"/>
      <c r="BH3527" s="466"/>
      <c r="BI3527" s="467"/>
      <c r="BJ3527" s="467"/>
      <c r="BK3527" s="467"/>
      <c r="BL3527" s="467"/>
      <c r="BM3527" s="467"/>
      <c r="BN3527" s="467"/>
      <c r="BO3527" s="467"/>
      <c r="BP3527" s="467"/>
      <c r="BQ3527" s="467"/>
      <c r="BR3527" s="467"/>
      <c r="BS3527" s="467"/>
      <c r="BT3527" s="467"/>
      <c r="BU3527" s="467"/>
      <c r="BV3527" s="467"/>
      <c r="BW3527" s="467"/>
      <c r="BX3527" s="769"/>
      <c r="BY3527" s="769"/>
      <c r="BZ3527" s="769"/>
      <c r="CA3527" s="769"/>
      <c r="CB3527" s="769"/>
      <c r="CC3527" s="769"/>
      <c r="CD3527" s="769"/>
      <c r="CE3527" s="769"/>
      <c r="CF3527" s="769"/>
      <c r="CG3527" s="73"/>
      <c r="CH3527" s="438"/>
      <c r="CI3527" s="416"/>
      <c r="CJ3527" s="73"/>
      <c r="CK3527" s="650"/>
      <c r="CL3527" s="499"/>
      <c r="CM3527" s="650"/>
      <c r="CR3527" s="416"/>
      <c r="CS3527" s="650"/>
      <c r="CU3527" s="73"/>
      <c r="CV3527" s="73"/>
      <c r="CW3527" s="73"/>
      <c r="CX3527" s="73"/>
      <c r="DA3527" s="650"/>
    </row>
    <row r="3528" spans="1:105" s="45" customFormat="1" x14ac:dyDescent="0.2">
      <c r="A3528" s="650"/>
      <c r="B3528" s="438"/>
      <c r="D3528" s="73"/>
      <c r="E3528" s="650"/>
      <c r="F3528" s="650"/>
      <c r="G3528" s="73"/>
      <c r="I3528" s="111"/>
      <c r="J3528" s="81"/>
      <c r="K3528" s="81"/>
      <c r="L3528" s="499"/>
      <c r="M3528" s="73"/>
      <c r="N3528" s="499"/>
      <c r="O3528" s="73"/>
      <c r="P3528" s="73"/>
      <c r="Q3528" s="73"/>
      <c r="R3528" s="176"/>
      <c r="S3528" s="176"/>
      <c r="T3528" s="176"/>
      <c r="U3528" s="400"/>
      <c r="V3528" s="400"/>
      <c r="W3528" s="732"/>
      <c r="X3528" s="167"/>
      <c r="Y3528" s="509"/>
      <c r="Z3528" s="466"/>
      <c r="AA3528" s="466"/>
      <c r="AB3528" s="466"/>
      <c r="AC3528" s="466"/>
      <c r="AD3528" s="466"/>
      <c r="AE3528" s="466"/>
      <c r="AF3528" s="466"/>
      <c r="AG3528" s="466"/>
      <c r="AH3528" s="466"/>
      <c r="AI3528" s="466"/>
      <c r="AJ3528" s="466"/>
      <c r="AK3528" s="466"/>
      <c r="AL3528" s="466"/>
      <c r="AM3528" s="466"/>
      <c r="AN3528" s="466"/>
      <c r="AO3528" s="466"/>
      <c r="AP3528" s="466"/>
      <c r="AQ3528" s="466"/>
      <c r="AR3528" s="466"/>
      <c r="AS3528" s="466"/>
      <c r="AT3528" s="466"/>
      <c r="AU3528" s="466"/>
      <c r="AV3528" s="466"/>
      <c r="AW3528" s="466"/>
      <c r="AX3528" s="466"/>
      <c r="AY3528" s="466"/>
      <c r="AZ3528" s="466"/>
      <c r="BA3528" s="466"/>
      <c r="BB3528" s="466"/>
      <c r="BC3528" s="466"/>
      <c r="BD3528" s="466"/>
      <c r="BE3528" s="467"/>
      <c r="BF3528" s="467"/>
      <c r="BG3528" s="466"/>
      <c r="BH3528" s="466"/>
      <c r="BI3528" s="467"/>
      <c r="BJ3528" s="467"/>
      <c r="BK3528" s="467"/>
      <c r="BL3528" s="467"/>
      <c r="BM3528" s="467"/>
      <c r="BN3528" s="467"/>
      <c r="BO3528" s="467"/>
      <c r="BP3528" s="467"/>
      <c r="BQ3528" s="467"/>
      <c r="BR3528" s="467"/>
      <c r="BS3528" s="467"/>
      <c r="BT3528" s="467"/>
      <c r="BU3528" s="467"/>
      <c r="BV3528" s="467"/>
      <c r="BW3528" s="467"/>
      <c r="BX3528" s="769"/>
      <c r="BY3528" s="769"/>
      <c r="BZ3528" s="769"/>
      <c r="CA3528" s="769"/>
      <c r="CB3528" s="769"/>
      <c r="CC3528" s="769"/>
      <c r="CD3528" s="769"/>
      <c r="CE3528" s="769"/>
      <c r="CF3528" s="769"/>
      <c r="CG3528" s="73"/>
      <c r="CH3528" s="438"/>
      <c r="CI3528" s="416"/>
      <c r="CJ3528" s="73"/>
      <c r="CK3528" s="650"/>
      <c r="CL3528" s="499"/>
      <c r="CM3528" s="650"/>
      <c r="CR3528" s="416"/>
      <c r="CS3528" s="650"/>
      <c r="CU3528" s="73"/>
      <c r="CV3528" s="73"/>
      <c r="CW3528" s="73"/>
      <c r="CX3528" s="73"/>
      <c r="DA3528" s="650"/>
    </row>
    <row r="3529" spans="1:105" s="45" customFormat="1" x14ac:dyDescent="0.2">
      <c r="A3529" s="650"/>
      <c r="B3529" s="438"/>
      <c r="D3529" s="73"/>
      <c r="E3529" s="650"/>
      <c r="F3529" s="650"/>
      <c r="G3529" s="73"/>
      <c r="I3529" s="111"/>
      <c r="J3529" s="81"/>
      <c r="K3529" s="81"/>
      <c r="L3529" s="499"/>
      <c r="M3529" s="73"/>
      <c r="N3529" s="499"/>
      <c r="O3529" s="73"/>
      <c r="P3529" s="73"/>
      <c r="Q3529" s="73"/>
      <c r="R3529" s="176"/>
      <c r="S3529" s="176"/>
      <c r="T3529" s="176"/>
      <c r="U3529" s="400"/>
      <c r="V3529" s="400"/>
      <c r="W3529" s="732"/>
      <c r="X3529" s="167"/>
      <c r="Y3529" s="509"/>
      <c r="Z3529" s="466"/>
      <c r="AA3529" s="466"/>
      <c r="AB3529" s="466"/>
      <c r="AC3529" s="466"/>
      <c r="AD3529" s="466"/>
      <c r="AE3529" s="466"/>
      <c r="AF3529" s="466"/>
      <c r="AG3529" s="466"/>
      <c r="AH3529" s="466"/>
      <c r="AI3529" s="466"/>
      <c r="AJ3529" s="466"/>
      <c r="AK3529" s="466"/>
      <c r="AL3529" s="466"/>
      <c r="AM3529" s="466"/>
      <c r="AN3529" s="466"/>
      <c r="AO3529" s="466"/>
      <c r="AP3529" s="466"/>
      <c r="AQ3529" s="466"/>
      <c r="AR3529" s="466"/>
      <c r="AS3529" s="466"/>
      <c r="AT3529" s="466"/>
      <c r="AU3529" s="466"/>
      <c r="AV3529" s="466"/>
      <c r="AW3529" s="466"/>
      <c r="AX3529" s="466"/>
      <c r="AY3529" s="466"/>
      <c r="AZ3529" s="466"/>
      <c r="BA3529" s="466"/>
      <c r="BB3529" s="466"/>
      <c r="BC3529" s="466"/>
      <c r="BD3529" s="466"/>
      <c r="BE3529" s="467"/>
      <c r="BF3529" s="467"/>
      <c r="BG3529" s="466"/>
      <c r="BH3529" s="466"/>
      <c r="BI3529" s="467"/>
      <c r="BJ3529" s="467"/>
      <c r="BK3529" s="467"/>
      <c r="BL3529" s="467"/>
      <c r="BM3529" s="467"/>
      <c r="BN3529" s="467"/>
      <c r="BO3529" s="467"/>
      <c r="BP3529" s="467"/>
      <c r="BQ3529" s="467"/>
      <c r="BR3529" s="467"/>
      <c r="BS3529" s="467"/>
      <c r="BT3529" s="467"/>
      <c r="BU3529" s="467"/>
      <c r="BV3529" s="467"/>
      <c r="BW3529" s="467"/>
      <c r="BX3529" s="769"/>
      <c r="BY3529" s="769"/>
      <c r="BZ3529" s="769"/>
      <c r="CA3529" s="769"/>
      <c r="CB3529" s="769"/>
      <c r="CC3529" s="769"/>
      <c r="CD3529" s="769"/>
      <c r="CE3529" s="769"/>
      <c r="CF3529" s="769"/>
      <c r="CG3529" s="73"/>
      <c r="CH3529" s="438"/>
      <c r="CI3529" s="416"/>
      <c r="CJ3529" s="73"/>
      <c r="CK3529" s="650"/>
      <c r="CL3529" s="499"/>
      <c r="CM3529" s="650"/>
      <c r="CR3529" s="416"/>
      <c r="CS3529" s="650"/>
      <c r="CU3529" s="73"/>
      <c r="CV3529" s="73"/>
      <c r="CW3529" s="73"/>
      <c r="CX3529" s="73"/>
      <c r="DA3529" s="650"/>
    </row>
    <row r="3530" spans="1:105" s="45" customFormat="1" x14ac:dyDescent="0.2">
      <c r="A3530" s="650"/>
      <c r="B3530" s="438"/>
      <c r="D3530" s="73"/>
      <c r="E3530" s="650"/>
      <c r="F3530" s="650"/>
      <c r="G3530" s="73"/>
      <c r="I3530" s="111"/>
      <c r="J3530" s="81"/>
      <c r="K3530" s="81"/>
      <c r="L3530" s="499"/>
      <c r="M3530" s="73"/>
      <c r="N3530" s="499"/>
      <c r="O3530" s="73"/>
      <c r="P3530" s="73"/>
      <c r="Q3530" s="73"/>
      <c r="R3530" s="176"/>
      <c r="S3530" s="176"/>
      <c r="T3530" s="176"/>
      <c r="U3530" s="400"/>
      <c r="V3530" s="400"/>
      <c r="W3530" s="732"/>
      <c r="X3530" s="167"/>
      <c r="Y3530" s="509"/>
      <c r="Z3530" s="466"/>
      <c r="AA3530" s="466"/>
      <c r="AB3530" s="466"/>
      <c r="AC3530" s="466"/>
      <c r="AD3530" s="466"/>
      <c r="AE3530" s="466"/>
      <c r="AF3530" s="466"/>
      <c r="AG3530" s="466"/>
      <c r="AH3530" s="466"/>
      <c r="AI3530" s="466"/>
      <c r="AJ3530" s="466"/>
      <c r="AK3530" s="466"/>
      <c r="AL3530" s="466"/>
      <c r="AM3530" s="466"/>
      <c r="AN3530" s="466"/>
      <c r="AO3530" s="466"/>
      <c r="AP3530" s="466"/>
      <c r="AQ3530" s="466"/>
      <c r="AR3530" s="466"/>
      <c r="AS3530" s="466"/>
      <c r="AT3530" s="466"/>
      <c r="AU3530" s="466"/>
      <c r="AV3530" s="466"/>
      <c r="AW3530" s="466"/>
      <c r="AX3530" s="466"/>
      <c r="AY3530" s="466"/>
      <c r="AZ3530" s="466"/>
      <c r="BA3530" s="466"/>
      <c r="BB3530" s="466"/>
      <c r="BC3530" s="466"/>
      <c r="BD3530" s="466"/>
      <c r="BE3530" s="467"/>
      <c r="BF3530" s="467"/>
      <c r="BG3530" s="466"/>
      <c r="BH3530" s="466"/>
      <c r="BI3530" s="467"/>
      <c r="BJ3530" s="467"/>
      <c r="BK3530" s="467"/>
      <c r="BL3530" s="467"/>
      <c r="BM3530" s="467"/>
      <c r="BN3530" s="467"/>
      <c r="BO3530" s="467"/>
      <c r="BP3530" s="467"/>
      <c r="BQ3530" s="467"/>
      <c r="BR3530" s="467"/>
      <c r="BS3530" s="467"/>
      <c r="BT3530" s="467"/>
      <c r="BU3530" s="467"/>
      <c r="BV3530" s="467"/>
      <c r="BW3530" s="467"/>
      <c r="BX3530" s="769"/>
      <c r="BY3530" s="769"/>
      <c r="BZ3530" s="769"/>
      <c r="CA3530" s="769"/>
      <c r="CB3530" s="769"/>
      <c r="CC3530" s="769"/>
      <c r="CD3530" s="769"/>
      <c r="CE3530" s="769"/>
      <c r="CF3530" s="769"/>
      <c r="CG3530" s="73"/>
      <c r="CH3530" s="438"/>
      <c r="CI3530" s="416"/>
      <c r="CJ3530" s="73"/>
      <c r="CK3530" s="650"/>
      <c r="CL3530" s="499"/>
      <c r="CM3530" s="650"/>
      <c r="CR3530" s="416"/>
      <c r="CS3530" s="650"/>
      <c r="CU3530" s="73"/>
      <c r="CV3530" s="73"/>
      <c r="CW3530" s="73"/>
      <c r="CX3530" s="73"/>
      <c r="DA3530" s="650"/>
    </row>
    <row r="3531" spans="1:105" s="45" customFormat="1" x14ac:dyDescent="0.2">
      <c r="A3531" s="650"/>
      <c r="B3531" s="438"/>
      <c r="D3531" s="73"/>
      <c r="E3531" s="650"/>
      <c r="F3531" s="650"/>
      <c r="G3531" s="73"/>
      <c r="I3531" s="111"/>
      <c r="J3531" s="81"/>
      <c r="K3531" s="81"/>
      <c r="L3531" s="499"/>
      <c r="M3531" s="73"/>
      <c r="N3531" s="499"/>
      <c r="O3531" s="73"/>
      <c r="P3531" s="73"/>
      <c r="Q3531" s="73"/>
      <c r="R3531" s="176"/>
      <c r="S3531" s="176"/>
      <c r="T3531" s="176"/>
      <c r="U3531" s="400"/>
      <c r="V3531" s="400"/>
      <c r="W3531" s="732"/>
      <c r="X3531" s="167"/>
      <c r="Y3531" s="509"/>
      <c r="Z3531" s="466"/>
      <c r="AA3531" s="466"/>
      <c r="AB3531" s="466"/>
      <c r="AC3531" s="466"/>
      <c r="AD3531" s="466"/>
      <c r="AE3531" s="466"/>
      <c r="AF3531" s="466"/>
      <c r="AG3531" s="466"/>
      <c r="AH3531" s="466"/>
      <c r="AI3531" s="466"/>
      <c r="AJ3531" s="466"/>
      <c r="AK3531" s="466"/>
      <c r="AL3531" s="466"/>
      <c r="AM3531" s="466"/>
      <c r="AN3531" s="466"/>
      <c r="AO3531" s="466"/>
      <c r="AP3531" s="466"/>
      <c r="AQ3531" s="466"/>
      <c r="AR3531" s="466"/>
      <c r="AS3531" s="466"/>
      <c r="AT3531" s="466"/>
      <c r="AU3531" s="466"/>
      <c r="AV3531" s="466"/>
      <c r="AW3531" s="466"/>
      <c r="AX3531" s="466"/>
      <c r="AY3531" s="466"/>
      <c r="AZ3531" s="466"/>
      <c r="BA3531" s="466"/>
      <c r="BB3531" s="466"/>
      <c r="BC3531" s="466"/>
      <c r="BD3531" s="466"/>
      <c r="BE3531" s="467"/>
      <c r="BF3531" s="467"/>
      <c r="BG3531" s="466"/>
      <c r="BH3531" s="466"/>
      <c r="BI3531" s="467"/>
      <c r="BJ3531" s="467"/>
      <c r="BK3531" s="467"/>
      <c r="BL3531" s="467"/>
      <c r="BM3531" s="467"/>
      <c r="BN3531" s="467"/>
      <c r="BO3531" s="467"/>
      <c r="BP3531" s="467"/>
      <c r="BQ3531" s="467"/>
      <c r="BR3531" s="467"/>
      <c r="BS3531" s="467"/>
      <c r="BT3531" s="467"/>
      <c r="BU3531" s="467"/>
      <c r="BV3531" s="467"/>
      <c r="BW3531" s="467"/>
      <c r="BX3531" s="769"/>
      <c r="BY3531" s="769"/>
      <c r="BZ3531" s="769"/>
      <c r="CA3531" s="769"/>
      <c r="CB3531" s="769"/>
      <c r="CC3531" s="769"/>
      <c r="CD3531" s="769"/>
      <c r="CE3531" s="769"/>
      <c r="CF3531" s="769"/>
      <c r="CG3531" s="73"/>
      <c r="CH3531" s="438"/>
      <c r="CI3531" s="416"/>
      <c r="CJ3531" s="73"/>
      <c r="CK3531" s="650"/>
      <c r="CL3531" s="499"/>
      <c r="CM3531" s="650"/>
      <c r="CR3531" s="416"/>
      <c r="CS3531" s="650"/>
      <c r="CU3531" s="73"/>
      <c r="CV3531" s="73"/>
      <c r="CW3531" s="73"/>
      <c r="CX3531" s="73"/>
      <c r="DA3531" s="650"/>
    </row>
    <row r="3532" spans="1:105" s="45" customFormat="1" x14ac:dyDescent="0.2">
      <c r="A3532" s="650"/>
      <c r="B3532" s="438"/>
      <c r="D3532" s="73"/>
      <c r="E3532" s="650"/>
      <c r="F3532" s="650"/>
      <c r="G3532" s="73"/>
      <c r="I3532" s="111"/>
      <c r="J3532" s="81"/>
      <c r="K3532" s="81"/>
      <c r="L3532" s="499"/>
      <c r="M3532" s="73"/>
      <c r="N3532" s="499"/>
      <c r="O3532" s="73"/>
      <c r="P3532" s="73"/>
      <c r="Q3532" s="73"/>
      <c r="R3532" s="176"/>
      <c r="S3532" s="176"/>
      <c r="T3532" s="176"/>
      <c r="U3532" s="400"/>
      <c r="V3532" s="400"/>
      <c r="W3532" s="732"/>
      <c r="X3532" s="167"/>
      <c r="Y3532" s="509"/>
      <c r="Z3532" s="466"/>
      <c r="AA3532" s="466"/>
      <c r="AB3532" s="466"/>
      <c r="AC3532" s="466"/>
      <c r="AD3532" s="466"/>
      <c r="AE3532" s="466"/>
      <c r="AF3532" s="466"/>
      <c r="AG3532" s="466"/>
      <c r="AH3532" s="466"/>
      <c r="AI3532" s="466"/>
      <c r="AJ3532" s="466"/>
      <c r="AK3532" s="466"/>
      <c r="AL3532" s="466"/>
      <c r="AM3532" s="466"/>
      <c r="AN3532" s="466"/>
      <c r="AO3532" s="466"/>
      <c r="AP3532" s="466"/>
      <c r="AQ3532" s="466"/>
      <c r="AR3532" s="466"/>
      <c r="AS3532" s="466"/>
      <c r="AT3532" s="466"/>
      <c r="AU3532" s="466"/>
      <c r="AV3532" s="466"/>
      <c r="AW3532" s="466"/>
      <c r="AX3532" s="466"/>
      <c r="AY3532" s="466"/>
      <c r="AZ3532" s="466"/>
      <c r="BA3532" s="466"/>
      <c r="BB3532" s="466"/>
      <c r="BC3532" s="466"/>
      <c r="BD3532" s="466"/>
      <c r="BE3532" s="467"/>
      <c r="BF3532" s="467"/>
      <c r="BG3532" s="466"/>
      <c r="BH3532" s="466"/>
      <c r="BI3532" s="467"/>
      <c r="BJ3532" s="467"/>
      <c r="BK3532" s="467"/>
      <c r="BL3532" s="467"/>
      <c r="BM3532" s="467"/>
      <c r="BN3532" s="467"/>
      <c r="BO3532" s="467"/>
      <c r="BP3532" s="467"/>
      <c r="BQ3532" s="467"/>
      <c r="BR3532" s="467"/>
      <c r="BS3532" s="467"/>
      <c r="BT3532" s="467"/>
      <c r="BU3532" s="467"/>
      <c r="BV3532" s="467"/>
      <c r="BW3532" s="467"/>
      <c r="BX3532" s="769"/>
      <c r="BY3532" s="769"/>
      <c r="BZ3532" s="769"/>
      <c r="CA3532" s="769"/>
      <c r="CB3532" s="769"/>
      <c r="CC3532" s="769"/>
      <c r="CD3532" s="769"/>
      <c r="CE3532" s="769"/>
      <c r="CF3532" s="769"/>
      <c r="CG3532" s="73"/>
      <c r="CH3532" s="438"/>
      <c r="CI3532" s="416"/>
      <c r="CJ3532" s="73"/>
      <c r="CK3532" s="650"/>
      <c r="CL3532" s="499"/>
      <c r="CM3532" s="650"/>
      <c r="CR3532" s="416"/>
      <c r="CS3532" s="650"/>
      <c r="CU3532" s="73"/>
      <c r="CV3532" s="73"/>
      <c r="CW3532" s="73"/>
      <c r="CX3532" s="73"/>
      <c r="DA3532" s="650"/>
    </row>
    <row r="3533" spans="1:105" s="45" customFormat="1" x14ac:dyDescent="0.2">
      <c r="A3533" s="650"/>
      <c r="B3533" s="438"/>
      <c r="D3533" s="73"/>
      <c r="E3533" s="650"/>
      <c r="F3533" s="650"/>
      <c r="G3533" s="73"/>
      <c r="I3533" s="111"/>
      <c r="J3533" s="81"/>
      <c r="K3533" s="81"/>
      <c r="L3533" s="499"/>
      <c r="M3533" s="73"/>
      <c r="N3533" s="499"/>
      <c r="O3533" s="73"/>
      <c r="P3533" s="73"/>
      <c r="Q3533" s="73"/>
      <c r="R3533" s="176"/>
      <c r="S3533" s="176"/>
      <c r="T3533" s="176"/>
      <c r="U3533" s="400"/>
      <c r="V3533" s="400"/>
      <c r="W3533" s="732"/>
      <c r="X3533" s="167"/>
      <c r="Y3533" s="509"/>
      <c r="Z3533" s="466"/>
      <c r="AA3533" s="466"/>
      <c r="AB3533" s="466"/>
      <c r="AC3533" s="466"/>
      <c r="AD3533" s="466"/>
      <c r="AE3533" s="466"/>
      <c r="AF3533" s="466"/>
      <c r="AG3533" s="466"/>
      <c r="AH3533" s="466"/>
      <c r="AI3533" s="466"/>
      <c r="AJ3533" s="466"/>
      <c r="AK3533" s="466"/>
      <c r="AL3533" s="466"/>
      <c r="AM3533" s="466"/>
      <c r="AN3533" s="466"/>
      <c r="AO3533" s="466"/>
      <c r="AP3533" s="466"/>
      <c r="AQ3533" s="466"/>
      <c r="AR3533" s="466"/>
      <c r="AS3533" s="466"/>
      <c r="AT3533" s="466"/>
      <c r="AU3533" s="466"/>
      <c r="AV3533" s="466"/>
      <c r="AW3533" s="466"/>
      <c r="AX3533" s="466"/>
      <c r="AY3533" s="466"/>
      <c r="AZ3533" s="466"/>
      <c r="BA3533" s="466"/>
      <c r="BB3533" s="466"/>
      <c r="BC3533" s="466"/>
      <c r="BD3533" s="466"/>
      <c r="BE3533" s="467"/>
      <c r="BF3533" s="467"/>
      <c r="BG3533" s="466"/>
      <c r="BH3533" s="466"/>
      <c r="BI3533" s="467"/>
      <c r="BJ3533" s="467"/>
      <c r="BK3533" s="467"/>
      <c r="BL3533" s="467"/>
      <c r="BM3533" s="467"/>
      <c r="BN3533" s="467"/>
      <c r="BO3533" s="467"/>
      <c r="BP3533" s="467"/>
      <c r="BQ3533" s="467"/>
      <c r="BR3533" s="467"/>
      <c r="BS3533" s="467"/>
      <c r="BT3533" s="467"/>
      <c r="BU3533" s="467"/>
      <c r="BV3533" s="467"/>
      <c r="BW3533" s="467"/>
      <c r="BX3533" s="769"/>
      <c r="BY3533" s="769"/>
      <c r="BZ3533" s="769"/>
      <c r="CA3533" s="769"/>
      <c r="CB3533" s="769"/>
      <c r="CC3533" s="769"/>
      <c r="CD3533" s="769"/>
      <c r="CE3533" s="769"/>
      <c r="CF3533" s="769"/>
      <c r="CG3533" s="73"/>
      <c r="CH3533" s="438"/>
      <c r="CI3533" s="416"/>
      <c r="CJ3533" s="73"/>
      <c r="CK3533" s="650"/>
      <c r="CL3533" s="499"/>
      <c r="CM3533" s="650"/>
      <c r="CR3533" s="416"/>
      <c r="CS3533" s="650"/>
      <c r="CU3533" s="73"/>
      <c r="CV3533" s="73"/>
      <c r="CW3533" s="73"/>
      <c r="CX3533" s="73"/>
      <c r="DA3533" s="650"/>
    </row>
    <row r="3534" spans="1:105" s="45" customFormat="1" x14ac:dyDescent="0.2">
      <c r="A3534" s="650"/>
      <c r="B3534" s="438"/>
      <c r="D3534" s="73"/>
      <c r="E3534" s="650"/>
      <c r="F3534" s="650"/>
      <c r="G3534" s="73"/>
      <c r="I3534" s="111"/>
      <c r="J3534" s="81"/>
      <c r="K3534" s="81"/>
      <c r="L3534" s="499"/>
      <c r="M3534" s="73"/>
      <c r="N3534" s="499"/>
      <c r="O3534" s="73"/>
      <c r="P3534" s="73"/>
      <c r="Q3534" s="73"/>
      <c r="R3534" s="176"/>
      <c r="S3534" s="176"/>
      <c r="T3534" s="176"/>
      <c r="U3534" s="400"/>
      <c r="V3534" s="400"/>
      <c r="W3534" s="732"/>
      <c r="X3534" s="167"/>
      <c r="Y3534" s="509"/>
      <c r="Z3534" s="466"/>
      <c r="AA3534" s="466"/>
      <c r="AB3534" s="466"/>
      <c r="AC3534" s="466"/>
      <c r="AD3534" s="466"/>
      <c r="AE3534" s="466"/>
      <c r="AF3534" s="466"/>
      <c r="AG3534" s="466"/>
      <c r="AH3534" s="466"/>
      <c r="AI3534" s="466"/>
      <c r="AJ3534" s="466"/>
      <c r="AK3534" s="466"/>
      <c r="AL3534" s="466"/>
      <c r="AM3534" s="466"/>
      <c r="AN3534" s="466"/>
      <c r="AO3534" s="466"/>
      <c r="AP3534" s="466"/>
      <c r="AQ3534" s="466"/>
      <c r="AR3534" s="466"/>
      <c r="AS3534" s="466"/>
      <c r="AT3534" s="466"/>
      <c r="AU3534" s="466"/>
      <c r="AV3534" s="466"/>
      <c r="AW3534" s="466"/>
      <c r="AX3534" s="466"/>
      <c r="AY3534" s="466"/>
      <c r="AZ3534" s="466"/>
      <c r="BA3534" s="466"/>
      <c r="BB3534" s="466"/>
      <c r="BC3534" s="466"/>
      <c r="BD3534" s="466"/>
      <c r="BE3534" s="467"/>
      <c r="BF3534" s="467"/>
      <c r="BG3534" s="466"/>
      <c r="BH3534" s="466"/>
      <c r="BI3534" s="467"/>
      <c r="BJ3534" s="467"/>
      <c r="BK3534" s="467"/>
      <c r="BL3534" s="467"/>
      <c r="BM3534" s="467"/>
      <c r="BN3534" s="467"/>
      <c r="BO3534" s="467"/>
      <c r="BP3534" s="467"/>
      <c r="BQ3534" s="467"/>
      <c r="BR3534" s="467"/>
      <c r="BS3534" s="467"/>
      <c r="BT3534" s="467"/>
      <c r="BU3534" s="467"/>
      <c r="BV3534" s="467"/>
      <c r="BW3534" s="467"/>
      <c r="BX3534" s="769"/>
      <c r="BY3534" s="769"/>
      <c r="BZ3534" s="769"/>
      <c r="CA3534" s="769"/>
      <c r="CB3534" s="769"/>
      <c r="CC3534" s="769"/>
      <c r="CD3534" s="769"/>
      <c r="CE3534" s="769"/>
      <c r="CF3534" s="769"/>
      <c r="CG3534" s="73"/>
      <c r="CH3534" s="438"/>
      <c r="CI3534" s="416"/>
      <c r="CJ3534" s="73"/>
      <c r="CK3534" s="650"/>
      <c r="CL3534" s="499"/>
      <c r="CM3534" s="650"/>
      <c r="CR3534" s="416"/>
      <c r="CS3534" s="650"/>
      <c r="CU3534" s="73"/>
      <c r="CV3534" s="73"/>
      <c r="CW3534" s="73"/>
      <c r="CX3534" s="73"/>
      <c r="DA3534" s="650"/>
    </row>
    <row r="3535" spans="1:105" s="45" customFormat="1" x14ac:dyDescent="0.2">
      <c r="A3535" s="650"/>
      <c r="B3535" s="438"/>
      <c r="D3535" s="73"/>
      <c r="E3535" s="650"/>
      <c r="F3535" s="650"/>
      <c r="G3535" s="73"/>
      <c r="I3535" s="111"/>
      <c r="J3535" s="81"/>
      <c r="K3535" s="81"/>
      <c r="L3535" s="499"/>
      <c r="M3535" s="73"/>
      <c r="N3535" s="499"/>
      <c r="O3535" s="73"/>
      <c r="P3535" s="73"/>
      <c r="Q3535" s="73"/>
      <c r="R3535" s="176"/>
      <c r="S3535" s="176"/>
      <c r="T3535" s="176"/>
      <c r="U3535" s="400"/>
      <c r="V3535" s="400"/>
      <c r="W3535" s="732"/>
      <c r="X3535" s="167"/>
      <c r="Y3535" s="509"/>
      <c r="Z3535" s="466"/>
      <c r="AA3535" s="466"/>
      <c r="AB3535" s="466"/>
      <c r="AC3535" s="466"/>
      <c r="AD3535" s="466"/>
      <c r="AE3535" s="466"/>
      <c r="AF3535" s="466"/>
      <c r="AG3535" s="466"/>
      <c r="AH3535" s="466"/>
      <c r="AI3535" s="466"/>
      <c r="AJ3535" s="466"/>
      <c r="AK3535" s="466"/>
      <c r="AL3535" s="466"/>
      <c r="AM3535" s="466"/>
      <c r="AN3535" s="466"/>
      <c r="AO3535" s="466"/>
      <c r="AP3535" s="466"/>
      <c r="AQ3535" s="466"/>
      <c r="AR3535" s="466"/>
      <c r="AS3535" s="466"/>
      <c r="AT3535" s="466"/>
      <c r="AU3535" s="466"/>
      <c r="AV3535" s="466"/>
      <c r="AW3535" s="466"/>
      <c r="AX3535" s="466"/>
      <c r="AY3535" s="466"/>
      <c r="AZ3535" s="466"/>
      <c r="BA3535" s="466"/>
      <c r="BB3535" s="466"/>
      <c r="BC3535" s="466"/>
      <c r="BD3535" s="466"/>
      <c r="BE3535" s="467"/>
      <c r="BF3535" s="467"/>
      <c r="BG3535" s="466"/>
      <c r="BH3535" s="466"/>
      <c r="BI3535" s="467"/>
      <c r="BJ3535" s="467"/>
      <c r="BK3535" s="467"/>
      <c r="BL3535" s="467"/>
      <c r="BM3535" s="467"/>
      <c r="BN3535" s="467"/>
      <c r="BO3535" s="467"/>
      <c r="BP3535" s="467"/>
      <c r="BQ3535" s="467"/>
      <c r="BR3535" s="467"/>
      <c r="BS3535" s="467"/>
      <c r="BT3535" s="467"/>
      <c r="BU3535" s="467"/>
      <c r="BV3535" s="467"/>
      <c r="BW3535" s="467"/>
      <c r="BX3535" s="769"/>
      <c r="BY3535" s="769"/>
      <c r="BZ3535" s="769"/>
      <c r="CA3535" s="769"/>
      <c r="CB3535" s="769"/>
      <c r="CC3535" s="769"/>
      <c r="CD3535" s="769"/>
      <c r="CE3535" s="769"/>
      <c r="CF3535" s="769"/>
      <c r="CG3535" s="73"/>
      <c r="CH3535" s="438"/>
      <c r="CI3535" s="416"/>
      <c r="CJ3535" s="73"/>
      <c r="CK3535" s="650"/>
      <c r="CL3535" s="499"/>
      <c r="CM3535" s="650"/>
      <c r="CR3535" s="416"/>
      <c r="CS3535" s="650"/>
      <c r="CU3535" s="73"/>
      <c r="CV3535" s="73"/>
      <c r="CW3535" s="73"/>
      <c r="CX3535" s="73"/>
      <c r="DA3535" s="650"/>
    </row>
    <row r="3536" spans="1:105" s="45" customFormat="1" x14ac:dyDescent="0.2">
      <c r="A3536" s="650"/>
      <c r="B3536" s="438"/>
      <c r="D3536" s="73"/>
      <c r="E3536" s="650"/>
      <c r="F3536" s="650"/>
      <c r="G3536" s="73"/>
      <c r="I3536" s="111"/>
      <c r="J3536" s="81"/>
      <c r="K3536" s="81"/>
      <c r="L3536" s="499"/>
      <c r="M3536" s="73"/>
      <c r="N3536" s="499"/>
      <c r="O3536" s="73"/>
      <c r="P3536" s="73"/>
      <c r="Q3536" s="73"/>
      <c r="R3536" s="176"/>
      <c r="S3536" s="176"/>
      <c r="T3536" s="176"/>
      <c r="U3536" s="400"/>
      <c r="V3536" s="400"/>
      <c r="W3536" s="732"/>
      <c r="X3536" s="167"/>
      <c r="Y3536" s="509"/>
      <c r="Z3536" s="466"/>
      <c r="AA3536" s="466"/>
      <c r="AB3536" s="466"/>
      <c r="AC3536" s="466"/>
      <c r="AD3536" s="466"/>
      <c r="AE3536" s="466"/>
      <c r="AF3536" s="466"/>
      <c r="AG3536" s="466"/>
      <c r="AH3536" s="466"/>
      <c r="AI3536" s="466"/>
      <c r="AJ3536" s="466"/>
      <c r="AK3536" s="466"/>
      <c r="AL3536" s="466"/>
      <c r="AM3536" s="466"/>
      <c r="AN3536" s="466"/>
      <c r="AO3536" s="466"/>
      <c r="AP3536" s="466"/>
      <c r="AQ3536" s="466"/>
      <c r="AR3536" s="466"/>
      <c r="AS3536" s="466"/>
      <c r="AT3536" s="466"/>
      <c r="AU3536" s="466"/>
      <c r="AV3536" s="466"/>
      <c r="AW3536" s="466"/>
      <c r="AX3536" s="466"/>
      <c r="AY3536" s="466"/>
      <c r="AZ3536" s="466"/>
      <c r="BA3536" s="466"/>
      <c r="BB3536" s="466"/>
      <c r="BC3536" s="466"/>
      <c r="BD3536" s="466"/>
      <c r="BE3536" s="467"/>
      <c r="BF3536" s="467"/>
      <c r="BG3536" s="466"/>
      <c r="BH3536" s="466"/>
      <c r="BI3536" s="467"/>
      <c r="BJ3536" s="467"/>
      <c r="BK3536" s="467"/>
      <c r="BL3536" s="467"/>
      <c r="BM3536" s="467"/>
      <c r="BN3536" s="467"/>
      <c r="BO3536" s="467"/>
      <c r="BP3536" s="467"/>
      <c r="BQ3536" s="467"/>
      <c r="BR3536" s="467"/>
      <c r="BS3536" s="467"/>
      <c r="BT3536" s="467"/>
      <c r="BU3536" s="467"/>
      <c r="BV3536" s="467"/>
      <c r="BW3536" s="467"/>
      <c r="BX3536" s="769"/>
      <c r="BY3536" s="769"/>
      <c r="BZ3536" s="769"/>
      <c r="CA3536" s="769"/>
      <c r="CB3536" s="769"/>
      <c r="CC3536" s="769"/>
      <c r="CD3536" s="769"/>
      <c r="CE3536" s="769"/>
      <c r="CF3536" s="769"/>
      <c r="CG3536" s="73"/>
      <c r="CH3536" s="438"/>
      <c r="CI3536" s="416"/>
      <c r="CJ3536" s="73"/>
      <c r="CK3536" s="650"/>
      <c r="CL3536" s="499"/>
      <c r="CM3536" s="650"/>
      <c r="CR3536" s="416"/>
      <c r="CS3536" s="650"/>
      <c r="CU3536" s="73"/>
      <c r="CV3536" s="73"/>
      <c r="CW3536" s="73"/>
      <c r="CX3536" s="73"/>
      <c r="DA3536" s="650"/>
    </row>
    <row r="3537" spans="1:105" s="45" customFormat="1" x14ac:dyDescent="0.2">
      <c r="A3537" s="650"/>
      <c r="B3537" s="438"/>
      <c r="D3537" s="73"/>
      <c r="E3537" s="650"/>
      <c r="F3537" s="650"/>
      <c r="G3537" s="73"/>
      <c r="I3537" s="111"/>
      <c r="J3537" s="81"/>
      <c r="K3537" s="81"/>
      <c r="L3537" s="499"/>
      <c r="M3537" s="73"/>
      <c r="N3537" s="499"/>
      <c r="O3537" s="73"/>
      <c r="P3537" s="73"/>
      <c r="Q3537" s="73"/>
      <c r="R3537" s="176"/>
      <c r="S3537" s="176"/>
      <c r="T3537" s="176"/>
      <c r="U3537" s="400"/>
      <c r="V3537" s="400"/>
      <c r="W3537" s="732"/>
      <c r="X3537" s="167"/>
      <c r="Y3537" s="509"/>
      <c r="Z3537" s="466"/>
      <c r="AA3537" s="466"/>
      <c r="AB3537" s="466"/>
      <c r="AC3537" s="466"/>
      <c r="AD3537" s="466"/>
      <c r="AE3537" s="466"/>
      <c r="AF3537" s="466"/>
      <c r="AG3537" s="466"/>
      <c r="AH3537" s="466"/>
      <c r="AI3537" s="466"/>
      <c r="AJ3537" s="466"/>
      <c r="AK3537" s="466"/>
      <c r="AL3537" s="466"/>
      <c r="AM3537" s="466"/>
      <c r="AN3537" s="466"/>
      <c r="AO3537" s="466"/>
      <c r="AP3537" s="466"/>
      <c r="AQ3537" s="466"/>
      <c r="AR3537" s="466"/>
      <c r="AS3537" s="466"/>
      <c r="AT3537" s="466"/>
      <c r="AU3537" s="466"/>
      <c r="AV3537" s="466"/>
      <c r="AW3537" s="466"/>
      <c r="AX3537" s="466"/>
      <c r="AY3537" s="466"/>
      <c r="AZ3537" s="466"/>
      <c r="BA3537" s="466"/>
      <c r="BB3537" s="466"/>
      <c r="BC3537" s="466"/>
      <c r="BD3537" s="466"/>
      <c r="BE3537" s="467"/>
      <c r="BF3537" s="467"/>
      <c r="BG3537" s="466"/>
      <c r="BH3537" s="466"/>
      <c r="BI3537" s="467"/>
      <c r="BJ3537" s="467"/>
      <c r="BK3537" s="467"/>
      <c r="BL3537" s="467"/>
      <c r="BM3537" s="467"/>
      <c r="BN3537" s="467"/>
      <c r="BO3537" s="467"/>
      <c r="BP3537" s="467"/>
      <c r="BQ3537" s="467"/>
      <c r="BR3537" s="467"/>
      <c r="BS3537" s="467"/>
      <c r="BT3537" s="467"/>
      <c r="BU3537" s="467"/>
      <c r="BV3537" s="467"/>
      <c r="BW3537" s="467"/>
      <c r="BX3537" s="769"/>
      <c r="BY3537" s="769"/>
      <c r="BZ3537" s="769"/>
      <c r="CA3537" s="769"/>
      <c r="CB3537" s="769"/>
      <c r="CC3537" s="769"/>
      <c r="CD3537" s="769"/>
      <c r="CE3537" s="769"/>
      <c r="CF3537" s="769"/>
      <c r="CG3537" s="73"/>
      <c r="CH3537" s="438"/>
      <c r="CI3537" s="416"/>
      <c r="CJ3537" s="73"/>
      <c r="CK3537" s="650"/>
      <c r="CL3537" s="499"/>
      <c r="CM3537" s="650"/>
      <c r="CR3537" s="416"/>
      <c r="CS3537" s="650"/>
      <c r="CU3537" s="73"/>
      <c r="CV3537" s="73"/>
      <c r="CW3537" s="73"/>
      <c r="CX3537" s="73"/>
      <c r="DA3537" s="650"/>
    </row>
    <row r="3538" spans="1:105" s="45" customFormat="1" x14ac:dyDescent="0.2">
      <c r="A3538" s="650"/>
      <c r="B3538" s="438"/>
      <c r="D3538" s="73"/>
      <c r="E3538" s="650"/>
      <c r="F3538" s="650"/>
      <c r="G3538" s="73"/>
      <c r="I3538" s="111"/>
      <c r="J3538" s="81"/>
      <c r="K3538" s="81"/>
      <c r="L3538" s="499"/>
      <c r="M3538" s="73"/>
      <c r="N3538" s="499"/>
      <c r="O3538" s="73"/>
      <c r="P3538" s="73"/>
      <c r="Q3538" s="73"/>
      <c r="R3538" s="176"/>
      <c r="S3538" s="176"/>
      <c r="T3538" s="176"/>
      <c r="U3538" s="400"/>
      <c r="V3538" s="400"/>
      <c r="W3538" s="732"/>
      <c r="X3538" s="167"/>
      <c r="Y3538" s="509"/>
      <c r="Z3538" s="466"/>
      <c r="AA3538" s="466"/>
      <c r="AB3538" s="466"/>
      <c r="AC3538" s="466"/>
      <c r="AD3538" s="466"/>
      <c r="AE3538" s="466"/>
      <c r="AF3538" s="466"/>
      <c r="AG3538" s="466"/>
      <c r="AH3538" s="466"/>
      <c r="AI3538" s="466"/>
      <c r="AJ3538" s="466"/>
      <c r="AK3538" s="466"/>
      <c r="AL3538" s="466"/>
      <c r="AM3538" s="466"/>
      <c r="AN3538" s="466"/>
      <c r="AO3538" s="466"/>
      <c r="AP3538" s="466"/>
      <c r="AQ3538" s="466"/>
      <c r="AR3538" s="466"/>
      <c r="AS3538" s="466"/>
      <c r="AT3538" s="466"/>
      <c r="AU3538" s="466"/>
      <c r="AV3538" s="466"/>
      <c r="AW3538" s="466"/>
      <c r="AX3538" s="466"/>
      <c r="AY3538" s="466"/>
      <c r="AZ3538" s="466"/>
      <c r="BA3538" s="466"/>
      <c r="BB3538" s="466"/>
      <c r="BC3538" s="466"/>
      <c r="BD3538" s="466"/>
      <c r="BE3538" s="467"/>
      <c r="BF3538" s="467"/>
      <c r="BG3538" s="466"/>
      <c r="BH3538" s="466"/>
      <c r="BI3538" s="467"/>
      <c r="BJ3538" s="467"/>
      <c r="BK3538" s="467"/>
      <c r="BL3538" s="467"/>
      <c r="BM3538" s="467"/>
      <c r="BN3538" s="467"/>
      <c r="BO3538" s="467"/>
      <c r="BP3538" s="467"/>
      <c r="BQ3538" s="467"/>
      <c r="BR3538" s="467"/>
      <c r="BS3538" s="467"/>
      <c r="BT3538" s="467"/>
      <c r="BU3538" s="467"/>
      <c r="BV3538" s="467"/>
      <c r="BW3538" s="467"/>
      <c r="BX3538" s="769"/>
      <c r="BY3538" s="769"/>
      <c r="BZ3538" s="769"/>
      <c r="CA3538" s="769"/>
      <c r="CB3538" s="769"/>
      <c r="CC3538" s="769"/>
      <c r="CD3538" s="769"/>
      <c r="CE3538" s="769"/>
      <c r="CF3538" s="769"/>
      <c r="CG3538" s="73"/>
      <c r="CH3538" s="438"/>
      <c r="CI3538" s="416"/>
      <c r="CJ3538" s="73"/>
      <c r="CK3538" s="650"/>
      <c r="CL3538" s="499"/>
      <c r="CM3538" s="650"/>
      <c r="CR3538" s="416"/>
      <c r="CS3538" s="650"/>
      <c r="CU3538" s="73"/>
      <c r="CV3538" s="73"/>
      <c r="CW3538" s="73"/>
      <c r="CX3538" s="73"/>
      <c r="DA3538" s="650"/>
    </row>
    <row r="3539" spans="1:105" s="45" customFormat="1" x14ac:dyDescent="0.2">
      <c r="A3539" s="650"/>
      <c r="B3539" s="438"/>
      <c r="D3539" s="73"/>
      <c r="E3539" s="650"/>
      <c r="F3539" s="650"/>
      <c r="G3539" s="73"/>
      <c r="I3539" s="111"/>
      <c r="J3539" s="81"/>
      <c r="K3539" s="81"/>
      <c r="L3539" s="499"/>
      <c r="M3539" s="73"/>
      <c r="N3539" s="499"/>
      <c r="O3539" s="73"/>
      <c r="P3539" s="73"/>
      <c r="Q3539" s="73"/>
      <c r="R3539" s="176"/>
      <c r="S3539" s="176"/>
      <c r="T3539" s="176"/>
      <c r="U3539" s="400"/>
      <c r="V3539" s="400"/>
      <c r="W3539" s="732"/>
      <c r="X3539" s="167"/>
      <c r="Y3539" s="509"/>
      <c r="Z3539" s="466"/>
      <c r="AA3539" s="466"/>
      <c r="AB3539" s="466"/>
      <c r="AC3539" s="466"/>
      <c r="AD3539" s="466"/>
      <c r="AE3539" s="466"/>
      <c r="AF3539" s="466"/>
      <c r="AG3539" s="466"/>
      <c r="AH3539" s="466"/>
      <c r="AI3539" s="466"/>
      <c r="AJ3539" s="466"/>
      <c r="AK3539" s="466"/>
      <c r="AL3539" s="466"/>
      <c r="AM3539" s="466"/>
      <c r="AN3539" s="466"/>
      <c r="AO3539" s="466"/>
      <c r="AP3539" s="466"/>
      <c r="AQ3539" s="466"/>
      <c r="AR3539" s="466"/>
      <c r="AS3539" s="466"/>
      <c r="AT3539" s="466"/>
      <c r="AU3539" s="466"/>
      <c r="AV3539" s="466"/>
      <c r="AW3539" s="466"/>
      <c r="AX3539" s="466"/>
      <c r="AY3539" s="466"/>
      <c r="AZ3539" s="466"/>
      <c r="BA3539" s="466"/>
      <c r="BB3539" s="466"/>
      <c r="BC3539" s="466"/>
      <c r="BD3539" s="466"/>
      <c r="BE3539" s="467"/>
      <c r="BF3539" s="467"/>
      <c r="BG3539" s="466"/>
      <c r="BH3539" s="466"/>
      <c r="BI3539" s="467"/>
      <c r="BJ3539" s="467"/>
      <c r="BK3539" s="467"/>
      <c r="BL3539" s="467"/>
      <c r="BM3539" s="467"/>
      <c r="BN3539" s="467"/>
      <c r="BO3539" s="467"/>
      <c r="BP3539" s="467"/>
      <c r="BQ3539" s="467"/>
      <c r="BR3539" s="467"/>
      <c r="BS3539" s="467"/>
      <c r="BT3539" s="467"/>
      <c r="BU3539" s="467"/>
      <c r="BV3539" s="467"/>
      <c r="BW3539" s="467"/>
      <c r="BX3539" s="769"/>
      <c r="BY3539" s="769"/>
      <c r="BZ3539" s="769"/>
      <c r="CA3539" s="769"/>
      <c r="CB3539" s="769"/>
      <c r="CC3539" s="769"/>
      <c r="CD3539" s="769"/>
      <c r="CE3539" s="769"/>
      <c r="CF3539" s="769"/>
      <c r="CG3539" s="73"/>
      <c r="CH3539" s="438"/>
      <c r="CI3539" s="416"/>
      <c r="CJ3539" s="73"/>
      <c r="CK3539" s="650"/>
      <c r="CL3539" s="499"/>
      <c r="CM3539" s="650"/>
      <c r="CR3539" s="416"/>
      <c r="CS3539" s="650"/>
      <c r="CU3539" s="73"/>
      <c r="CV3539" s="73"/>
      <c r="CW3539" s="73"/>
      <c r="CX3539" s="73"/>
      <c r="DA3539" s="650"/>
    </row>
    <row r="3540" spans="1:105" s="45" customFormat="1" x14ac:dyDescent="0.2">
      <c r="A3540" s="650"/>
      <c r="B3540" s="438"/>
      <c r="D3540" s="73"/>
      <c r="E3540" s="650"/>
      <c r="F3540" s="650"/>
      <c r="G3540" s="73"/>
      <c r="I3540" s="111"/>
      <c r="J3540" s="81"/>
      <c r="K3540" s="81"/>
      <c r="L3540" s="499"/>
      <c r="M3540" s="73"/>
      <c r="N3540" s="499"/>
      <c r="O3540" s="73"/>
      <c r="P3540" s="73"/>
      <c r="Q3540" s="73"/>
      <c r="R3540" s="176"/>
      <c r="S3540" s="176"/>
      <c r="T3540" s="176"/>
      <c r="U3540" s="400"/>
      <c r="V3540" s="400"/>
      <c r="W3540" s="732"/>
      <c r="X3540" s="167"/>
      <c r="Y3540" s="509"/>
      <c r="Z3540" s="466"/>
      <c r="AA3540" s="466"/>
      <c r="AB3540" s="466"/>
      <c r="AC3540" s="466"/>
      <c r="AD3540" s="466"/>
      <c r="AE3540" s="466"/>
      <c r="AF3540" s="466"/>
      <c r="AG3540" s="466"/>
      <c r="AH3540" s="466"/>
      <c r="AI3540" s="466"/>
      <c r="AJ3540" s="466"/>
      <c r="AK3540" s="466"/>
      <c r="AL3540" s="466"/>
      <c r="AM3540" s="466"/>
      <c r="AN3540" s="466"/>
      <c r="AO3540" s="466"/>
      <c r="AP3540" s="466"/>
      <c r="AQ3540" s="466"/>
      <c r="AR3540" s="466"/>
      <c r="AS3540" s="466"/>
      <c r="AT3540" s="466"/>
      <c r="AU3540" s="466"/>
      <c r="AV3540" s="466"/>
      <c r="AW3540" s="466"/>
      <c r="AX3540" s="466"/>
      <c r="AY3540" s="466"/>
      <c r="AZ3540" s="466"/>
      <c r="BA3540" s="466"/>
      <c r="BB3540" s="466"/>
      <c r="BC3540" s="466"/>
      <c r="BD3540" s="466"/>
      <c r="BE3540" s="467"/>
      <c r="BF3540" s="467"/>
      <c r="BG3540" s="466"/>
      <c r="BH3540" s="466"/>
      <c r="BI3540" s="467"/>
      <c r="BJ3540" s="467"/>
      <c r="BK3540" s="467"/>
      <c r="BL3540" s="467"/>
      <c r="BM3540" s="467"/>
      <c r="BN3540" s="467"/>
      <c r="BO3540" s="467"/>
      <c r="BP3540" s="467"/>
      <c r="BQ3540" s="467"/>
      <c r="BR3540" s="467"/>
      <c r="BS3540" s="467"/>
      <c r="BT3540" s="467"/>
      <c r="BU3540" s="467"/>
      <c r="BV3540" s="467"/>
      <c r="BW3540" s="467"/>
      <c r="BX3540" s="769"/>
      <c r="BY3540" s="769"/>
      <c r="BZ3540" s="769"/>
      <c r="CA3540" s="769"/>
      <c r="CB3540" s="769"/>
      <c r="CC3540" s="769"/>
      <c r="CD3540" s="769"/>
      <c r="CE3540" s="769"/>
      <c r="CF3540" s="769"/>
      <c r="CG3540" s="73"/>
      <c r="CH3540" s="438"/>
      <c r="CI3540" s="416"/>
      <c r="CJ3540" s="73"/>
      <c r="CK3540" s="650"/>
      <c r="CL3540" s="499"/>
      <c r="CM3540" s="650"/>
      <c r="CR3540" s="416"/>
      <c r="CS3540" s="650"/>
      <c r="CU3540" s="73"/>
      <c r="CV3540" s="73"/>
      <c r="CW3540" s="73"/>
      <c r="CX3540" s="73"/>
      <c r="DA3540" s="650"/>
    </row>
    <row r="3541" spans="1:105" s="45" customFormat="1" x14ac:dyDescent="0.2">
      <c r="A3541" s="650"/>
      <c r="B3541" s="438"/>
      <c r="D3541" s="73"/>
      <c r="E3541" s="650"/>
      <c r="F3541" s="650"/>
      <c r="G3541" s="73"/>
      <c r="I3541" s="111"/>
      <c r="J3541" s="81"/>
      <c r="K3541" s="81"/>
      <c r="L3541" s="499"/>
      <c r="M3541" s="73"/>
      <c r="N3541" s="499"/>
      <c r="O3541" s="73"/>
      <c r="P3541" s="73"/>
      <c r="Q3541" s="73"/>
      <c r="R3541" s="176"/>
      <c r="S3541" s="176"/>
      <c r="T3541" s="176"/>
      <c r="U3541" s="400"/>
      <c r="V3541" s="400"/>
      <c r="W3541" s="732"/>
      <c r="X3541" s="167"/>
      <c r="Y3541" s="509"/>
      <c r="Z3541" s="466"/>
      <c r="AA3541" s="466"/>
      <c r="AB3541" s="466"/>
      <c r="AC3541" s="466"/>
      <c r="AD3541" s="466"/>
      <c r="AE3541" s="466"/>
      <c r="AF3541" s="466"/>
      <c r="AG3541" s="466"/>
      <c r="AH3541" s="466"/>
      <c r="AI3541" s="466"/>
      <c r="AJ3541" s="466"/>
      <c r="AK3541" s="466"/>
      <c r="AL3541" s="466"/>
      <c r="AM3541" s="466"/>
      <c r="AN3541" s="466"/>
      <c r="AO3541" s="466"/>
      <c r="AP3541" s="466"/>
      <c r="AQ3541" s="466"/>
      <c r="AR3541" s="466"/>
      <c r="AS3541" s="466"/>
      <c r="AT3541" s="466"/>
      <c r="AU3541" s="466"/>
      <c r="AV3541" s="466"/>
      <c r="AW3541" s="466"/>
      <c r="AX3541" s="466"/>
      <c r="AY3541" s="466"/>
      <c r="AZ3541" s="466"/>
      <c r="BA3541" s="466"/>
      <c r="BB3541" s="466"/>
      <c r="BC3541" s="466"/>
      <c r="BD3541" s="466"/>
      <c r="BE3541" s="467"/>
      <c r="BF3541" s="467"/>
      <c r="BG3541" s="466"/>
      <c r="BH3541" s="466"/>
      <c r="BI3541" s="467"/>
      <c r="BJ3541" s="467"/>
      <c r="BK3541" s="467"/>
      <c r="BL3541" s="467"/>
      <c r="BM3541" s="467"/>
      <c r="BN3541" s="467"/>
      <c r="BO3541" s="467"/>
      <c r="BP3541" s="467"/>
      <c r="BQ3541" s="467"/>
      <c r="BR3541" s="467"/>
      <c r="BS3541" s="467"/>
      <c r="BT3541" s="467"/>
      <c r="BU3541" s="467"/>
      <c r="BV3541" s="467"/>
      <c r="BW3541" s="467"/>
      <c r="BX3541" s="769"/>
      <c r="BY3541" s="769"/>
      <c r="BZ3541" s="769"/>
      <c r="CA3541" s="769"/>
      <c r="CB3541" s="769"/>
      <c r="CC3541" s="769"/>
      <c r="CD3541" s="769"/>
      <c r="CE3541" s="769"/>
      <c r="CF3541" s="769"/>
      <c r="CG3541" s="73"/>
      <c r="CH3541" s="438"/>
      <c r="CI3541" s="416"/>
      <c r="CJ3541" s="73"/>
      <c r="CK3541" s="650"/>
      <c r="CL3541" s="499"/>
      <c r="CM3541" s="650"/>
      <c r="CR3541" s="416"/>
      <c r="CS3541" s="650"/>
      <c r="CU3541" s="73"/>
      <c r="CV3541" s="73"/>
      <c r="CW3541" s="73"/>
      <c r="CX3541" s="73"/>
      <c r="DA3541" s="650"/>
    </row>
    <row r="3542" spans="1:105" s="45" customFormat="1" x14ac:dyDescent="0.2">
      <c r="A3542" s="650"/>
      <c r="B3542" s="438"/>
      <c r="D3542" s="73"/>
      <c r="E3542" s="650"/>
      <c r="F3542" s="650"/>
      <c r="G3542" s="73"/>
      <c r="I3542" s="111"/>
      <c r="J3542" s="81"/>
      <c r="K3542" s="81"/>
      <c r="L3542" s="499"/>
      <c r="M3542" s="73"/>
      <c r="N3542" s="499"/>
      <c r="O3542" s="73"/>
      <c r="P3542" s="73"/>
      <c r="Q3542" s="73"/>
      <c r="R3542" s="176"/>
      <c r="S3542" s="176"/>
      <c r="T3542" s="176"/>
      <c r="U3542" s="400"/>
      <c r="V3542" s="400"/>
      <c r="W3542" s="732"/>
      <c r="X3542" s="167"/>
      <c r="Y3542" s="509"/>
      <c r="Z3542" s="466"/>
      <c r="AA3542" s="466"/>
      <c r="AB3542" s="466"/>
      <c r="AC3542" s="466"/>
      <c r="AD3542" s="466"/>
      <c r="AE3542" s="466"/>
      <c r="AF3542" s="466"/>
      <c r="AG3542" s="466"/>
      <c r="AH3542" s="466"/>
      <c r="AI3542" s="466"/>
      <c r="AJ3542" s="466"/>
      <c r="AK3542" s="466"/>
      <c r="AL3542" s="466"/>
      <c r="AM3542" s="466"/>
      <c r="AN3542" s="466"/>
      <c r="AO3542" s="466"/>
      <c r="AP3542" s="466"/>
      <c r="AQ3542" s="466"/>
      <c r="AR3542" s="466"/>
      <c r="AS3542" s="466"/>
      <c r="AT3542" s="466"/>
      <c r="AU3542" s="466"/>
      <c r="AV3542" s="466"/>
      <c r="AW3542" s="466"/>
      <c r="AX3542" s="466"/>
      <c r="AY3542" s="466"/>
      <c r="AZ3542" s="466"/>
      <c r="BA3542" s="466"/>
      <c r="BB3542" s="466"/>
      <c r="BC3542" s="466"/>
      <c r="BD3542" s="466"/>
      <c r="BE3542" s="467"/>
      <c r="BF3542" s="467"/>
      <c r="BG3542" s="466"/>
      <c r="BH3542" s="466"/>
      <c r="BI3542" s="467"/>
      <c r="BJ3542" s="467"/>
      <c r="BK3542" s="467"/>
      <c r="BL3542" s="467"/>
      <c r="BM3542" s="467"/>
      <c r="BN3542" s="467"/>
      <c r="BO3542" s="467"/>
      <c r="BP3542" s="467"/>
      <c r="BQ3542" s="467"/>
      <c r="BR3542" s="467"/>
      <c r="BS3542" s="467"/>
      <c r="BT3542" s="467"/>
      <c r="BU3542" s="467"/>
      <c r="BV3542" s="467"/>
      <c r="BW3542" s="467"/>
      <c r="BX3542" s="769"/>
      <c r="BY3542" s="769"/>
      <c r="BZ3542" s="769"/>
      <c r="CA3542" s="769"/>
      <c r="CB3542" s="769"/>
      <c r="CC3542" s="769"/>
      <c r="CD3542" s="769"/>
      <c r="CE3542" s="769"/>
      <c r="CF3542" s="769"/>
      <c r="CG3542" s="73"/>
      <c r="CH3542" s="438"/>
      <c r="CI3542" s="416"/>
      <c r="CJ3542" s="73"/>
      <c r="CK3542" s="650"/>
      <c r="CL3542" s="499"/>
      <c r="CM3542" s="650"/>
      <c r="CR3542" s="416"/>
      <c r="CS3542" s="650"/>
      <c r="CU3542" s="73"/>
      <c r="CV3542" s="73"/>
      <c r="CW3542" s="73"/>
      <c r="CX3542" s="73"/>
      <c r="DA3542" s="650"/>
    </row>
    <row r="3543" spans="1:105" s="45" customFormat="1" x14ac:dyDescent="0.2">
      <c r="A3543" s="650"/>
      <c r="B3543" s="438"/>
      <c r="D3543" s="73"/>
      <c r="E3543" s="650"/>
      <c r="F3543" s="650"/>
      <c r="G3543" s="73"/>
      <c r="I3543" s="111"/>
      <c r="J3543" s="81"/>
      <c r="K3543" s="81"/>
      <c r="L3543" s="499"/>
      <c r="M3543" s="73"/>
      <c r="N3543" s="499"/>
      <c r="O3543" s="73"/>
      <c r="P3543" s="73"/>
      <c r="Q3543" s="73"/>
      <c r="R3543" s="176"/>
      <c r="S3543" s="176"/>
      <c r="T3543" s="176"/>
      <c r="U3543" s="400"/>
      <c r="V3543" s="400"/>
      <c r="W3543" s="732"/>
      <c r="X3543" s="167"/>
      <c r="Y3543" s="509"/>
      <c r="Z3543" s="466"/>
      <c r="AA3543" s="466"/>
      <c r="AB3543" s="466"/>
      <c r="AC3543" s="466"/>
      <c r="AD3543" s="466"/>
      <c r="AE3543" s="466"/>
      <c r="AF3543" s="466"/>
      <c r="AG3543" s="466"/>
      <c r="AH3543" s="466"/>
      <c r="AI3543" s="466"/>
      <c r="AJ3543" s="466"/>
      <c r="AK3543" s="466"/>
      <c r="AL3543" s="466"/>
      <c r="AM3543" s="466"/>
      <c r="AN3543" s="466"/>
      <c r="AO3543" s="466"/>
      <c r="AP3543" s="466"/>
      <c r="AQ3543" s="466"/>
      <c r="AR3543" s="466"/>
      <c r="AS3543" s="466"/>
      <c r="AT3543" s="466"/>
      <c r="AU3543" s="466"/>
      <c r="AV3543" s="466"/>
      <c r="AW3543" s="466"/>
      <c r="AX3543" s="466"/>
      <c r="AY3543" s="466"/>
      <c r="AZ3543" s="466"/>
      <c r="BA3543" s="466"/>
      <c r="BB3543" s="466"/>
      <c r="BC3543" s="466"/>
      <c r="BD3543" s="466"/>
      <c r="BE3543" s="467"/>
      <c r="BF3543" s="467"/>
      <c r="BG3543" s="466"/>
      <c r="BH3543" s="466"/>
      <c r="BI3543" s="467"/>
      <c r="BJ3543" s="467"/>
      <c r="BK3543" s="467"/>
      <c r="BL3543" s="467"/>
      <c r="BM3543" s="467"/>
      <c r="BN3543" s="467"/>
      <c r="BO3543" s="467"/>
      <c r="BP3543" s="467"/>
      <c r="BQ3543" s="467"/>
      <c r="BR3543" s="467"/>
      <c r="BS3543" s="467"/>
      <c r="BT3543" s="467"/>
      <c r="BU3543" s="467"/>
      <c r="BV3543" s="467"/>
      <c r="BW3543" s="467"/>
      <c r="BX3543" s="769"/>
      <c r="BY3543" s="769"/>
      <c r="BZ3543" s="769"/>
      <c r="CA3543" s="769"/>
      <c r="CB3543" s="769"/>
      <c r="CC3543" s="769"/>
      <c r="CD3543" s="769"/>
      <c r="CE3543" s="769"/>
      <c r="CF3543" s="769"/>
      <c r="CG3543" s="73"/>
      <c r="CH3543" s="438"/>
      <c r="CI3543" s="416"/>
      <c r="CJ3543" s="73"/>
      <c r="CK3543" s="650"/>
      <c r="CL3543" s="499"/>
      <c r="CM3543" s="650"/>
      <c r="CR3543" s="416"/>
      <c r="CS3543" s="650"/>
      <c r="CU3543" s="73"/>
      <c r="CV3543" s="73"/>
      <c r="CW3543" s="73"/>
      <c r="CX3543" s="73"/>
      <c r="DA3543" s="650"/>
    </row>
    <row r="3544" spans="1:105" s="45" customFormat="1" x14ac:dyDescent="0.2">
      <c r="A3544" s="650"/>
      <c r="B3544" s="438"/>
      <c r="D3544" s="73"/>
      <c r="E3544" s="650"/>
      <c r="F3544" s="650"/>
      <c r="G3544" s="73"/>
      <c r="I3544" s="111"/>
      <c r="J3544" s="81"/>
      <c r="K3544" s="81"/>
      <c r="L3544" s="499"/>
      <c r="M3544" s="73"/>
      <c r="N3544" s="499"/>
      <c r="O3544" s="73"/>
      <c r="P3544" s="73"/>
      <c r="Q3544" s="73"/>
      <c r="R3544" s="176"/>
      <c r="S3544" s="176"/>
      <c r="T3544" s="176"/>
      <c r="U3544" s="400"/>
      <c r="V3544" s="400"/>
      <c r="W3544" s="732"/>
      <c r="X3544" s="167"/>
      <c r="Y3544" s="509"/>
      <c r="Z3544" s="466"/>
      <c r="AA3544" s="466"/>
      <c r="AB3544" s="466"/>
      <c r="AC3544" s="466"/>
      <c r="AD3544" s="466"/>
      <c r="AE3544" s="466"/>
      <c r="AF3544" s="466"/>
      <c r="AG3544" s="466"/>
      <c r="AH3544" s="466"/>
      <c r="AI3544" s="466"/>
      <c r="AJ3544" s="466"/>
      <c r="AK3544" s="466"/>
      <c r="AL3544" s="466"/>
      <c r="AM3544" s="466"/>
      <c r="AN3544" s="466"/>
      <c r="AO3544" s="466"/>
      <c r="AP3544" s="466"/>
      <c r="AQ3544" s="466"/>
      <c r="AR3544" s="466"/>
      <c r="AS3544" s="466"/>
      <c r="AT3544" s="466"/>
      <c r="AU3544" s="466"/>
      <c r="AV3544" s="466"/>
      <c r="AW3544" s="466"/>
      <c r="AX3544" s="466"/>
      <c r="AY3544" s="466"/>
      <c r="AZ3544" s="466"/>
      <c r="BA3544" s="466"/>
      <c r="BB3544" s="466"/>
      <c r="BC3544" s="466"/>
      <c r="BD3544" s="466"/>
      <c r="BE3544" s="467"/>
      <c r="BF3544" s="467"/>
      <c r="BG3544" s="466"/>
      <c r="BH3544" s="466"/>
      <c r="BI3544" s="467"/>
      <c r="BJ3544" s="467"/>
      <c r="BK3544" s="467"/>
      <c r="BL3544" s="467"/>
      <c r="BM3544" s="467"/>
      <c r="BN3544" s="467"/>
      <c r="BO3544" s="467"/>
      <c r="BP3544" s="467"/>
      <c r="BQ3544" s="467"/>
      <c r="BR3544" s="467"/>
      <c r="BS3544" s="467"/>
      <c r="BT3544" s="467"/>
      <c r="BU3544" s="467"/>
      <c r="BV3544" s="467"/>
      <c r="BW3544" s="467"/>
      <c r="BX3544" s="769"/>
      <c r="BY3544" s="769"/>
      <c r="BZ3544" s="769"/>
      <c r="CA3544" s="769"/>
      <c r="CB3544" s="769"/>
      <c r="CC3544" s="769"/>
      <c r="CD3544" s="769"/>
      <c r="CE3544" s="769"/>
      <c r="CF3544" s="769"/>
      <c r="CG3544" s="73"/>
      <c r="CH3544" s="438"/>
      <c r="CI3544" s="416"/>
      <c r="CJ3544" s="73"/>
      <c r="CK3544" s="650"/>
      <c r="CL3544" s="499"/>
      <c r="CM3544" s="650"/>
      <c r="CR3544" s="416"/>
      <c r="CS3544" s="650"/>
      <c r="CU3544" s="73"/>
      <c r="CV3544" s="73"/>
      <c r="CW3544" s="73"/>
      <c r="CX3544" s="73"/>
      <c r="DA3544" s="650"/>
    </row>
    <row r="3545" spans="1:105" s="45" customFormat="1" x14ac:dyDescent="0.2">
      <c r="A3545" s="650"/>
      <c r="B3545" s="438"/>
      <c r="D3545" s="73"/>
      <c r="E3545" s="650"/>
      <c r="F3545" s="650"/>
      <c r="G3545" s="73"/>
      <c r="I3545" s="111"/>
      <c r="J3545" s="81"/>
      <c r="K3545" s="81"/>
      <c r="L3545" s="499"/>
      <c r="M3545" s="73"/>
      <c r="N3545" s="499"/>
      <c r="O3545" s="73"/>
      <c r="P3545" s="73"/>
      <c r="Q3545" s="73"/>
      <c r="R3545" s="176"/>
      <c r="S3545" s="176"/>
      <c r="T3545" s="176"/>
      <c r="U3545" s="400"/>
      <c r="V3545" s="400"/>
      <c r="W3545" s="732"/>
      <c r="X3545" s="167"/>
      <c r="Y3545" s="509"/>
      <c r="Z3545" s="466"/>
      <c r="AA3545" s="466"/>
      <c r="AB3545" s="466"/>
      <c r="AC3545" s="466"/>
      <c r="AD3545" s="466"/>
      <c r="AE3545" s="466"/>
      <c r="AF3545" s="466"/>
      <c r="AG3545" s="466"/>
      <c r="AH3545" s="466"/>
      <c r="AI3545" s="466"/>
      <c r="AJ3545" s="466"/>
      <c r="AK3545" s="466"/>
      <c r="AL3545" s="466"/>
      <c r="AM3545" s="466"/>
      <c r="AN3545" s="466"/>
      <c r="AO3545" s="466"/>
      <c r="AP3545" s="466"/>
      <c r="AQ3545" s="466"/>
      <c r="AR3545" s="466"/>
      <c r="AS3545" s="466"/>
      <c r="AT3545" s="466"/>
      <c r="AU3545" s="466"/>
      <c r="AV3545" s="466"/>
      <c r="AW3545" s="466"/>
      <c r="AX3545" s="466"/>
      <c r="AY3545" s="466"/>
      <c r="AZ3545" s="466"/>
      <c r="BA3545" s="466"/>
      <c r="BB3545" s="466"/>
      <c r="BC3545" s="466"/>
      <c r="BD3545" s="466"/>
      <c r="BE3545" s="467"/>
      <c r="BF3545" s="467"/>
      <c r="BG3545" s="466"/>
      <c r="BH3545" s="466"/>
      <c r="BI3545" s="467"/>
      <c r="BJ3545" s="467"/>
      <c r="BK3545" s="467"/>
      <c r="BL3545" s="467"/>
      <c r="BM3545" s="467"/>
      <c r="BN3545" s="467"/>
      <c r="BO3545" s="467"/>
      <c r="BP3545" s="467"/>
      <c r="BQ3545" s="467"/>
      <c r="BR3545" s="467"/>
      <c r="BS3545" s="467"/>
      <c r="BT3545" s="467"/>
      <c r="BU3545" s="467"/>
      <c r="BV3545" s="467"/>
      <c r="BW3545" s="467"/>
      <c r="BX3545" s="769"/>
      <c r="BY3545" s="769"/>
      <c r="BZ3545" s="769"/>
      <c r="CA3545" s="769"/>
      <c r="CB3545" s="769"/>
      <c r="CC3545" s="769"/>
      <c r="CD3545" s="769"/>
      <c r="CE3545" s="769"/>
      <c r="CF3545" s="769"/>
      <c r="CG3545" s="73"/>
      <c r="CH3545" s="438"/>
      <c r="CI3545" s="416"/>
      <c r="CJ3545" s="73"/>
      <c r="CK3545" s="650"/>
      <c r="CL3545" s="499"/>
      <c r="CM3545" s="650"/>
      <c r="CR3545" s="416"/>
      <c r="CS3545" s="650"/>
      <c r="CU3545" s="73"/>
      <c r="CV3545" s="73"/>
      <c r="CW3545" s="73"/>
      <c r="CX3545" s="73"/>
      <c r="DA3545" s="650"/>
    </row>
    <row r="3546" spans="1:105" s="45" customFormat="1" x14ac:dyDescent="0.2">
      <c r="A3546" s="650"/>
      <c r="B3546" s="438"/>
      <c r="D3546" s="73"/>
      <c r="E3546" s="650"/>
      <c r="F3546" s="650"/>
      <c r="G3546" s="73"/>
      <c r="I3546" s="111"/>
      <c r="J3546" s="81"/>
      <c r="K3546" s="81"/>
      <c r="L3546" s="499"/>
      <c r="M3546" s="73"/>
      <c r="N3546" s="499"/>
      <c r="O3546" s="73"/>
      <c r="P3546" s="73"/>
      <c r="Q3546" s="73"/>
      <c r="R3546" s="176"/>
      <c r="S3546" s="176"/>
      <c r="T3546" s="176"/>
      <c r="U3546" s="400"/>
      <c r="V3546" s="400"/>
      <c r="W3546" s="732"/>
      <c r="X3546" s="167"/>
      <c r="Y3546" s="509"/>
      <c r="Z3546" s="466"/>
      <c r="AA3546" s="466"/>
      <c r="AB3546" s="466"/>
      <c r="AC3546" s="466"/>
      <c r="AD3546" s="466"/>
      <c r="AE3546" s="466"/>
      <c r="AF3546" s="466"/>
      <c r="AG3546" s="466"/>
      <c r="AH3546" s="466"/>
      <c r="AI3546" s="466"/>
      <c r="AJ3546" s="466"/>
      <c r="AK3546" s="466"/>
      <c r="AL3546" s="466"/>
      <c r="AM3546" s="466"/>
      <c r="AN3546" s="466"/>
      <c r="AO3546" s="466"/>
      <c r="AP3546" s="466"/>
      <c r="AQ3546" s="466"/>
      <c r="AR3546" s="466"/>
      <c r="AS3546" s="466"/>
      <c r="AT3546" s="466"/>
      <c r="AU3546" s="466"/>
      <c r="AV3546" s="466"/>
      <c r="AW3546" s="466"/>
      <c r="AX3546" s="466"/>
      <c r="AY3546" s="466"/>
      <c r="AZ3546" s="466"/>
      <c r="BA3546" s="466"/>
      <c r="BB3546" s="466"/>
      <c r="BC3546" s="466"/>
      <c r="BD3546" s="466"/>
      <c r="BE3546" s="467"/>
      <c r="BF3546" s="467"/>
      <c r="BG3546" s="466"/>
      <c r="BH3546" s="466"/>
      <c r="BI3546" s="467"/>
      <c r="BJ3546" s="467"/>
      <c r="BK3546" s="467"/>
      <c r="BL3546" s="467"/>
      <c r="BM3546" s="467"/>
      <c r="BN3546" s="467"/>
      <c r="BO3546" s="467"/>
      <c r="BP3546" s="467"/>
      <c r="BQ3546" s="467"/>
      <c r="BR3546" s="467"/>
      <c r="BS3546" s="467"/>
      <c r="BT3546" s="467"/>
      <c r="BU3546" s="467"/>
      <c r="BV3546" s="467"/>
      <c r="BW3546" s="467"/>
      <c r="BX3546" s="769"/>
      <c r="BY3546" s="769"/>
      <c r="BZ3546" s="769"/>
      <c r="CA3546" s="769"/>
      <c r="CB3546" s="769"/>
      <c r="CC3546" s="769"/>
      <c r="CD3546" s="769"/>
      <c r="CE3546" s="769"/>
      <c r="CF3546" s="769"/>
      <c r="CG3546" s="73"/>
      <c r="CH3546" s="438"/>
      <c r="CI3546" s="416"/>
      <c r="CJ3546" s="73"/>
      <c r="CK3546" s="650"/>
      <c r="CL3546" s="499"/>
      <c r="CM3546" s="650"/>
      <c r="CR3546" s="416"/>
      <c r="CS3546" s="650"/>
      <c r="CU3546" s="73"/>
      <c r="CV3546" s="73"/>
      <c r="CW3546" s="73"/>
      <c r="CX3546" s="73"/>
      <c r="DA3546" s="650"/>
    </row>
    <row r="3547" spans="1:105" s="45" customFormat="1" x14ac:dyDescent="0.2">
      <c r="A3547" s="650"/>
      <c r="B3547" s="438"/>
      <c r="D3547" s="73"/>
      <c r="E3547" s="650"/>
      <c r="F3547" s="650"/>
      <c r="G3547" s="73"/>
      <c r="I3547" s="111"/>
      <c r="J3547" s="81"/>
      <c r="K3547" s="81"/>
      <c r="L3547" s="499"/>
      <c r="M3547" s="73"/>
      <c r="N3547" s="499"/>
      <c r="O3547" s="73"/>
      <c r="P3547" s="73"/>
      <c r="Q3547" s="73"/>
      <c r="R3547" s="176"/>
      <c r="S3547" s="176"/>
      <c r="T3547" s="176"/>
      <c r="U3547" s="400"/>
      <c r="V3547" s="400"/>
      <c r="W3547" s="732"/>
      <c r="X3547" s="167"/>
      <c r="Y3547" s="509"/>
      <c r="Z3547" s="466"/>
      <c r="AA3547" s="466"/>
      <c r="AB3547" s="466"/>
      <c r="AC3547" s="466"/>
      <c r="AD3547" s="466"/>
      <c r="AE3547" s="466"/>
      <c r="AF3547" s="466"/>
      <c r="AG3547" s="466"/>
      <c r="AH3547" s="466"/>
      <c r="AI3547" s="466"/>
      <c r="AJ3547" s="466"/>
      <c r="AK3547" s="466"/>
      <c r="AL3547" s="466"/>
      <c r="AM3547" s="466"/>
      <c r="AN3547" s="466"/>
      <c r="AO3547" s="466"/>
      <c r="AP3547" s="466"/>
      <c r="AQ3547" s="466"/>
      <c r="AR3547" s="466"/>
      <c r="AS3547" s="466"/>
      <c r="AT3547" s="466"/>
      <c r="AU3547" s="466"/>
      <c r="AV3547" s="466"/>
      <c r="AW3547" s="466"/>
      <c r="AX3547" s="466"/>
      <c r="AY3547" s="466"/>
      <c r="AZ3547" s="466"/>
      <c r="BA3547" s="466"/>
      <c r="BB3547" s="466"/>
      <c r="BC3547" s="466"/>
      <c r="BD3547" s="466"/>
      <c r="BE3547" s="467"/>
      <c r="BF3547" s="467"/>
      <c r="BG3547" s="466"/>
      <c r="BH3547" s="466"/>
      <c r="BI3547" s="467"/>
      <c r="BJ3547" s="467"/>
      <c r="BK3547" s="467"/>
      <c r="BL3547" s="467"/>
      <c r="BM3547" s="467"/>
      <c r="BN3547" s="467"/>
      <c r="BO3547" s="467"/>
      <c r="BP3547" s="467"/>
      <c r="BQ3547" s="467"/>
      <c r="BR3547" s="467"/>
      <c r="BS3547" s="467"/>
      <c r="BT3547" s="467"/>
      <c r="BU3547" s="467"/>
      <c r="BV3547" s="467"/>
      <c r="BW3547" s="467"/>
      <c r="BX3547" s="769"/>
      <c r="BY3547" s="769"/>
      <c r="BZ3547" s="769"/>
      <c r="CA3547" s="769"/>
      <c r="CB3547" s="769"/>
      <c r="CC3547" s="769"/>
      <c r="CD3547" s="769"/>
      <c r="CE3547" s="769"/>
      <c r="CF3547" s="769"/>
      <c r="CG3547" s="73"/>
      <c r="CH3547" s="438"/>
      <c r="CI3547" s="416"/>
      <c r="CJ3547" s="73"/>
      <c r="CK3547" s="650"/>
      <c r="CL3547" s="499"/>
      <c r="CM3547" s="650"/>
      <c r="CR3547" s="416"/>
      <c r="CS3547" s="650"/>
      <c r="CU3547" s="73"/>
      <c r="CV3547" s="73"/>
      <c r="CW3547" s="73"/>
      <c r="CX3547" s="73"/>
      <c r="DA3547" s="650"/>
    </row>
    <row r="3548" spans="1:105" s="45" customFormat="1" x14ac:dyDescent="0.2">
      <c r="A3548" s="650"/>
      <c r="B3548" s="438"/>
      <c r="D3548" s="73"/>
      <c r="E3548" s="650"/>
      <c r="F3548" s="650"/>
      <c r="G3548" s="73"/>
      <c r="I3548" s="111"/>
      <c r="J3548" s="81"/>
      <c r="K3548" s="81"/>
      <c r="L3548" s="499"/>
      <c r="M3548" s="73"/>
      <c r="N3548" s="499"/>
      <c r="O3548" s="73"/>
      <c r="P3548" s="73"/>
      <c r="Q3548" s="73"/>
      <c r="R3548" s="176"/>
      <c r="S3548" s="176"/>
      <c r="T3548" s="176"/>
      <c r="U3548" s="400"/>
      <c r="V3548" s="400"/>
      <c r="W3548" s="732"/>
      <c r="X3548" s="167"/>
      <c r="Y3548" s="509"/>
      <c r="Z3548" s="466"/>
      <c r="AA3548" s="466"/>
      <c r="AB3548" s="466"/>
      <c r="AC3548" s="466"/>
      <c r="AD3548" s="466"/>
      <c r="AE3548" s="466"/>
      <c r="AF3548" s="466"/>
      <c r="AG3548" s="466"/>
      <c r="AH3548" s="466"/>
      <c r="AI3548" s="466"/>
      <c r="AJ3548" s="466"/>
      <c r="AK3548" s="466"/>
      <c r="AL3548" s="466"/>
      <c r="AM3548" s="466"/>
      <c r="AN3548" s="466"/>
      <c r="AO3548" s="466"/>
      <c r="AP3548" s="466"/>
      <c r="AQ3548" s="466"/>
      <c r="AR3548" s="466"/>
      <c r="AS3548" s="466"/>
      <c r="AT3548" s="466"/>
      <c r="AU3548" s="466"/>
      <c r="AV3548" s="466"/>
      <c r="AW3548" s="466"/>
      <c r="AX3548" s="466"/>
      <c r="AY3548" s="466"/>
      <c r="AZ3548" s="466"/>
      <c r="BA3548" s="466"/>
      <c r="BB3548" s="466"/>
      <c r="BC3548" s="466"/>
      <c r="BD3548" s="466"/>
      <c r="BE3548" s="467"/>
      <c r="BF3548" s="467"/>
      <c r="BG3548" s="466"/>
      <c r="BH3548" s="466"/>
      <c r="BI3548" s="467"/>
      <c r="BJ3548" s="467"/>
      <c r="BK3548" s="467"/>
      <c r="BL3548" s="467"/>
      <c r="BM3548" s="467"/>
      <c r="BN3548" s="467"/>
      <c r="BO3548" s="467"/>
      <c r="BP3548" s="467"/>
      <c r="BQ3548" s="467"/>
      <c r="BR3548" s="467"/>
      <c r="BS3548" s="467"/>
      <c r="BT3548" s="467"/>
      <c r="BU3548" s="467"/>
      <c r="BV3548" s="467"/>
      <c r="BW3548" s="467"/>
      <c r="BX3548" s="769"/>
      <c r="BY3548" s="769"/>
      <c r="BZ3548" s="769"/>
      <c r="CA3548" s="769"/>
      <c r="CB3548" s="769"/>
      <c r="CC3548" s="769"/>
      <c r="CD3548" s="769"/>
      <c r="CE3548" s="769"/>
      <c r="CF3548" s="769"/>
      <c r="CG3548" s="73"/>
      <c r="CH3548" s="438"/>
      <c r="CI3548" s="416"/>
      <c r="CJ3548" s="73"/>
      <c r="CK3548" s="650"/>
      <c r="CL3548" s="499"/>
      <c r="CM3548" s="650"/>
      <c r="CR3548" s="416"/>
      <c r="CS3548" s="650"/>
      <c r="CU3548" s="73"/>
      <c r="CV3548" s="73"/>
      <c r="CW3548" s="73"/>
      <c r="CX3548" s="73"/>
      <c r="DA3548" s="650"/>
    </row>
    <row r="3549" spans="1:105" s="45" customFormat="1" x14ac:dyDescent="0.2">
      <c r="A3549" s="650"/>
      <c r="B3549" s="438"/>
      <c r="D3549" s="73"/>
      <c r="E3549" s="650"/>
      <c r="F3549" s="650"/>
      <c r="G3549" s="73"/>
      <c r="I3549" s="111"/>
      <c r="J3549" s="81"/>
      <c r="K3549" s="81"/>
      <c r="L3549" s="499"/>
      <c r="M3549" s="73"/>
      <c r="N3549" s="499"/>
      <c r="O3549" s="73"/>
      <c r="P3549" s="73"/>
      <c r="Q3549" s="73"/>
      <c r="R3549" s="176"/>
      <c r="S3549" s="176"/>
      <c r="T3549" s="176"/>
      <c r="U3549" s="400"/>
      <c r="V3549" s="400"/>
      <c r="W3549" s="732"/>
      <c r="X3549" s="167"/>
      <c r="Y3549" s="509"/>
      <c r="Z3549" s="466"/>
      <c r="AA3549" s="466"/>
      <c r="AB3549" s="466"/>
      <c r="AC3549" s="466"/>
      <c r="AD3549" s="466"/>
      <c r="AE3549" s="466"/>
      <c r="AF3549" s="466"/>
      <c r="AG3549" s="466"/>
      <c r="AH3549" s="466"/>
      <c r="AI3549" s="466"/>
      <c r="AJ3549" s="466"/>
      <c r="AK3549" s="466"/>
      <c r="AL3549" s="466"/>
      <c r="AM3549" s="466"/>
      <c r="AN3549" s="466"/>
      <c r="AO3549" s="466"/>
      <c r="AP3549" s="466"/>
      <c r="AQ3549" s="466"/>
      <c r="AR3549" s="466"/>
      <c r="AS3549" s="466"/>
      <c r="AT3549" s="466"/>
      <c r="AU3549" s="466"/>
      <c r="AV3549" s="466"/>
      <c r="AW3549" s="466"/>
      <c r="AX3549" s="466"/>
      <c r="AY3549" s="466"/>
      <c r="AZ3549" s="466"/>
      <c r="BA3549" s="466"/>
      <c r="BB3549" s="466"/>
      <c r="BC3549" s="466"/>
      <c r="BD3549" s="466"/>
      <c r="BE3549" s="467"/>
      <c r="BF3549" s="467"/>
      <c r="BG3549" s="466"/>
      <c r="BH3549" s="466"/>
      <c r="BI3549" s="467"/>
      <c r="BJ3549" s="467"/>
      <c r="BK3549" s="467"/>
      <c r="BL3549" s="467"/>
      <c r="BM3549" s="467"/>
      <c r="BN3549" s="467"/>
      <c r="BO3549" s="467"/>
      <c r="BP3549" s="467"/>
      <c r="BQ3549" s="467"/>
      <c r="BR3549" s="467"/>
      <c r="BS3549" s="467"/>
      <c r="BT3549" s="467"/>
      <c r="BU3549" s="467"/>
      <c r="BV3549" s="467"/>
      <c r="BW3549" s="467"/>
      <c r="BX3549" s="769"/>
      <c r="BY3549" s="769"/>
      <c r="BZ3549" s="769"/>
      <c r="CA3549" s="769"/>
      <c r="CB3549" s="769"/>
      <c r="CC3549" s="769"/>
      <c r="CD3549" s="769"/>
      <c r="CE3549" s="769"/>
      <c r="CF3549" s="769"/>
      <c r="CG3549" s="73"/>
      <c r="CH3549" s="438"/>
      <c r="CI3549" s="416"/>
      <c r="CJ3549" s="73"/>
      <c r="CK3549" s="650"/>
      <c r="CL3549" s="499"/>
      <c r="CM3549" s="650"/>
      <c r="CR3549" s="416"/>
      <c r="CS3549" s="650"/>
      <c r="CU3549" s="73"/>
      <c r="CV3549" s="73"/>
      <c r="CW3549" s="73"/>
      <c r="CX3549" s="73"/>
      <c r="DA3549" s="650"/>
    </row>
    <row r="3550" spans="1:105" s="45" customFormat="1" x14ac:dyDescent="0.2">
      <c r="A3550" s="650"/>
      <c r="B3550" s="438"/>
      <c r="D3550" s="73"/>
      <c r="E3550" s="650"/>
      <c r="F3550" s="650"/>
      <c r="G3550" s="73"/>
      <c r="I3550" s="111"/>
      <c r="J3550" s="81"/>
      <c r="K3550" s="81"/>
      <c r="L3550" s="499"/>
      <c r="M3550" s="73"/>
      <c r="N3550" s="499"/>
      <c r="O3550" s="73"/>
      <c r="P3550" s="73"/>
      <c r="Q3550" s="73"/>
      <c r="R3550" s="176"/>
      <c r="S3550" s="176"/>
      <c r="T3550" s="176"/>
      <c r="U3550" s="400"/>
      <c r="V3550" s="400"/>
      <c r="W3550" s="732"/>
      <c r="X3550" s="167"/>
      <c r="Y3550" s="509"/>
      <c r="Z3550" s="466"/>
      <c r="AA3550" s="466"/>
      <c r="AB3550" s="466"/>
      <c r="AC3550" s="466"/>
      <c r="AD3550" s="466"/>
      <c r="AE3550" s="466"/>
      <c r="AF3550" s="466"/>
      <c r="AG3550" s="466"/>
      <c r="AH3550" s="466"/>
      <c r="AI3550" s="466"/>
      <c r="AJ3550" s="466"/>
      <c r="AK3550" s="466"/>
      <c r="AL3550" s="466"/>
      <c r="AM3550" s="466"/>
      <c r="AN3550" s="466"/>
      <c r="AO3550" s="466"/>
      <c r="AP3550" s="466"/>
      <c r="AQ3550" s="466"/>
      <c r="AR3550" s="466"/>
      <c r="AS3550" s="466"/>
      <c r="AT3550" s="466"/>
      <c r="AU3550" s="466"/>
      <c r="AV3550" s="466"/>
      <c r="AW3550" s="466"/>
      <c r="AX3550" s="466"/>
      <c r="AY3550" s="466"/>
      <c r="AZ3550" s="466"/>
      <c r="BA3550" s="466"/>
      <c r="BB3550" s="466"/>
      <c r="BC3550" s="466"/>
      <c r="BD3550" s="466"/>
      <c r="BE3550" s="467"/>
      <c r="BF3550" s="467"/>
      <c r="BG3550" s="466"/>
      <c r="BH3550" s="466"/>
      <c r="BI3550" s="467"/>
      <c r="BJ3550" s="467"/>
      <c r="BK3550" s="467"/>
      <c r="BL3550" s="467"/>
      <c r="BM3550" s="467"/>
      <c r="BN3550" s="467"/>
      <c r="BO3550" s="467"/>
      <c r="BP3550" s="467"/>
      <c r="BQ3550" s="467"/>
      <c r="BR3550" s="467"/>
      <c r="BS3550" s="467"/>
      <c r="BT3550" s="467"/>
      <c r="BU3550" s="467"/>
      <c r="BV3550" s="467"/>
      <c r="BW3550" s="467"/>
      <c r="BX3550" s="769"/>
      <c r="BY3550" s="769"/>
      <c r="BZ3550" s="769"/>
      <c r="CA3550" s="769"/>
      <c r="CB3550" s="769"/>
      <c r="CC3550" s="769"/>
      <c r="CD3550" s="769"/>
      <c r="CE3550" s="769"/>
      <c r="CF3550" s="769"/>
      <c r="CG3550" s="73"/>
      <c r="CH3550" s="438"/>
      <c r="CI3550" s="416"/>
      <c r="CJ3550" s="73"/>
      <c r="CK3550" s="650"/>
      <c r="CL3550" s="499"/>
      <c r="CM3550" s="650"/>
      <c r="CR3550" s="416"/>
      <c r="CS3550" s="650"/>
      <c r="CU3550" s="73"/>
      <c r="CV3550" s="73"/>
      <c r="CW3550" s="73"/>
      <c r="CX3550" s="73"/>
      <c r="DA3550" s="650"/>
    </row>
    <row r="3551" spans="1:105" s="45" customFormat="1" x14ac:dyDescent="0.2">
      <c r="A3551" s="650"/>
      <c r="B3551" s="438"/>
      <c r="D3551" s="73"/>
      <c r="E3551" s="650"/>
      <c r="F3551" s="650"/>
      <c r="G3551" s="73"/>
      <c r="I3551" s="111"/>
      <c r="J3551" s="81"/>
      <c r="K3551" s="81"/>
      <c r="L3551" s="499"/>
      <c r="M3551" s="73"/>
      <c r="N3551" s="499"/>
      <c r="O3551" s="73"/>
      <c r="P3551" s="73"/>
      <c r="Q3551" s="73"/>
      <c r="R3551" s="176"/>
      <c r="S3551" s="176"/>
      <c r="T3551" s="176"/>
      <c r="U3551" s="400"/>
      <c r="V3551" s="400"/>
      <c r="W3551" s="732"/>
      <c r="X3551" s="167"/>
      <c r="Y3551" s="509"/>
      <c r="Z3551" s="466"/>
      <c r="AA3551" s="466"/>
      <c r="AB3551" s="466"/>
      <c r="AC3551" s="466"/>
      <c r="AD3551" s="466"/>
      <c r="AE3551" s="466"/>
      <c r="AF3551" s="466"/>
      <c r="AG3551" s="466"/>
      <c r="AH3551" s="466"/>
      <c r="AI3551" s="466"/>
      <c r="AJ3551" s="466"/>
      <c r="AK3551" s="466"/>
      <c r="AL3551" s="466"/>
      <c r="AM3551" s="466"/>
      <c r="AN3551" s="466"/>
      <c r="AO3551" s="466"/>
      <c r="AP3551" s="466"/>
      <c r="AQ3551" s="466"/>
      <c r="AR3551" s="466"/>
      <c r="AS3551" s="466"/>
      <c r="AT3551" s="466"/>
      <c r="AU3551" s="466"/>
      <c r="AV3551" s="466"/>
      <c r="AW3551" s="466"/>
      <c r="AX3551" s="466"/>
      <c r="AY3551" s="466"/>
      <c r="AZ3551" s="466"/>
      <c r="BA3551" s="466"/>
      <c r="BB3551" s="466"/>
      <c r="BC3551" s="466"/>
      <c r="BD3551" s="466"/>
      <c r="BE3551" s="467"/>
      <c r="BF3551" s="467"/>
      <c r="BG3551" s="466"/>
      <c r="BH3551" s="466"/>
      <c r="BI3551" s="467"/>
      <c r="BJ3551" s="467"/>
      <c r="BK3551" s="467"/>
      <c r="BL3551" s="467"/>
      <c r="BM3551" s="467"/>
      <c r="BN3551" s="467"/>
      <c r="BO3551" s="467"/>
      <c r="BP3551" s="467"/>
      <c r="BQ3551" s="467"/>
      <c r="BR3551" s="467"/>
      <c r="BS3551" s="467"/>
      <c r="BT3551" s="467"/>
      <c r="BU3551" s="467"/>
      <c r="BV3551" s="467"/>
      <c r="BW3551" s="467"/>
      <c r="BX3551" s="769"/>
      <c r="BY3551" s="769"/>
      <c r="BZ3551" s="769"/>
      <c r="CA3551" s="769"/>
      <c r="CB3551" s="769"/>
      <c r="CC3551" s="769"/>
      <c r="CD3551" s="769"/>
      <c r="CE3551" s="769"/>
      <c r="CF3551" s="769"/>
      <c r="CG3551" s="73"/>
      <c r="CH3551" s="438"/>
      <c r="CI3551" s="416"/>
      <c r="CJ3551" s="73"/>
      <c r="CK3551" s="650"/>
      <c r="CL3551" s="499"/>
      <c r="CM3551" s="650"/>
      <c r="CR3551" s="416"/>
      <c r="CS3551" s="650"/>
      <c r="CU3551" s="73"/>
      <c r="CV3551" s="73"/>
      <c r="CW3551" s="73"/>
      <c r="CX3551" s="73"/>
      <c r="DA3551" s="650"/>
    </row>
    <row r="3552" spans="1:105" s="45" customFormat="1" x14ac:dyDescent="0.2">
      <c r="A3552" s="650"/>
      <c r="B3552" s="438"/>
      <c r="D3552" s="73"/>
      <c r="E3552" s="650"/>
      <c r="F3552" s="650"/>
      <c r="G3552" s="73"/>
      <c r="I3552" s="111"/>
      <c r="J3552" s="81"/>
      <c r="K3552" s="81"/>
      <c r="L3552" s="499"/>
      <c r="M3552" s="73"/>
      <c r="N3552" s="499"/>
      <c r="O3552" s="73"/>
      <c r="P3552" s="73"/>
      <c r="Q3552" s="73"/>
      <c r="R3552" s="176"/>
      <c r="S3552" s="176"/>
      <c r="T3552" s="176"/>
      <c r="U3552" s="400"/>
      <c r="V3552" s="400"/>
      <c r="W3552" s="732"/>
      <c r="X3552" s="167"/>
      <c r="Y3552" s="509"/>
      <c r="Z3552" s="466"/>
      <c r="AA3552" s="466"/>
      <c r="AB3552" s="466"/>
      <c r="AC3552" s="466"/>
      <c r="AD3552" s="466"/>
      <c r="AE3552" s="466"/>
      <c r="AF3552" s="466"/>
      <c r="AG3552" s="466"/>
      <c r="AH3552" s="466"/>
      <c r="AI3552" s="466"/>
      <c r="AJ3552" s="466"/>
      <c r="AK3552" s="466"/>
      <c r="AL3552" s="466"/>
      <c r="AM3552" s="466"/>
      <c r="AN3552" s="466"/>
      <c r="AO3552" s="466"/>
      <c r="AP3552" s="466"/>
      <c r="AQ3552" s="466"/>
      <c r="AR3552" s="466"/>
      <c r="AS3552" s="466"/>
      <c r="AT3552" s="466"/>
      <c r="AU3552" s="466"/>
      <c r="AV3552" s="466"/>
      <c r="AW3552" s="466"/>
      <c r="AX3552" s="466"/>
      <c r="AY3552" s="466"/>
      <c r="AZ3552" s="466"/>
      <c r="BA3552" s="466"/>
      <c r="BB3552" s="466"/>
      <c r="BC3552" s="466"/>
      <c r="BD3552" s="466"/>
      <c r="BE3552" s="467"/>
      <c r="BF3552" s="467"/>
      <c r="BG3552" s="466"/>
      <c r="BH3552" s="466"/>
      <c r="BI3552" s="467"/>
      <c r="BJ3552" s="467"/>
      <c r="BK3552" s="467"/>
      <c r="BL3552" s="467"/>
      <c r="BM3552" s="467"/>
      <c r="BN3552" s="467"/>
      <c r="BO3552" s="467"/>
      <c r="BP3552" s="467"/>
      <c r="BQ3552" s="467"/>
      <c r="BR3552" s="467"/>
      <c r="BS3552" s="467"/>
      <c r="BT3552" s="467"/>
      <c r="BU3552" s="467"/>
      <c r="BV3552" s="467"/>
      <c r="BW3552" s="467"/>
      <c r="BX3552" s="769"/>
      <c r="BY3552" s="769"/>
      <c r="BZ3552" s="769"/>
      <c r="CA3552" s="769"/>
      <c r="CB3552" s="769"/>
      <c r="CC3552" s="769"/>
      <c r="CD3552" s="769"/>
      <c r="CE3552" s="769"/>
      <c r="CF3552" s="769"/>
      <c r="CG3552" s="73"/>
      <c r="CH3552" s="438"/>
      <c r="CI3552" s="416"/>
      <c r="CJ3552" s="73"/>
      <c r="CK3552" s="650"/>
      <c r="CL3552" s="499"/>
      <c r="CM3552" s="650"/>
      <c r="CR3552" s="416"/>
      <c r="CS3552" s="650"/>
      <c r="CU3552" s="73"/>
      <c r="CV3552" s="73"/>
      <c r="CW3552" s="73"/>
      <c r="CX3552" s="73"/>
      <c r="DA3552" s="650"/>
    </row>
    <row r="3553" spans="1:105" s="45" customFormat="1" x14ac:dyDescent="0.2">
      <c r="A3553" s="650"/>
      <c r="B3553" s="438"/>
      <c r="D3553" s="73"/>
      <c r="E3553" s="650"/>
      <c r="F3553" s="650"/>
      <c r="G3553" s="73"/>
      <c r="I3553" s="111"/>
      <c r="J3553" s="81"/>
      <c r="K3553" s="81"/>
      <c r="L3553" s="499"/>
      <c r="M3553" s="73"/>
      <c r="N3553" s="499"/>
      <c r="O3553" s="73"/>
      <c r="P3553" s="73"/>
      <c r="Q3553" s="73"/>
      <c r="R3553" s="176"/>
      <c r="S3553" s="176"/>
      <c r="T3553" s="176"/>
      <c r="U3553" s="400"/>
      <c r="V3553" s="400"/>
      <c r="W3553" s="732"/>
      <c r="X3553" s="167"/>
      <c r="Y3553" s="509"/>
      <c r="Z3553" s="466"/>
      <c r="AA3553" s="466"/>
      <c r="AB3553" s="466"/>
      <c r="AC3553" s="466"/>
      <c r="AD3553" s="466"/>
      <c r="AE3553" s="466"/>
      <c r="AF3553" s="466"/>
      <c r="AG3553" s="466"/>
      <c r="AH3553" s="466"/>
      <c r="AI3553" s="466"/>
      <c r="AJ3553" s="466"/>
      <c r="AK3553" s="466"/>
      <c r="AL3553" s="466"/>
      <c r="AM3553" s="466"/>
      <c r="AN3553" s="466"/>
      <c r="AO3553" s="466"/>
      <c r="AP3553" s="466"/>
      <c r="AQ3553" s="466"/>
      <c r="AR3553" s="466"/>
      <c r="AS3553" s="466"/>
      <c r="AT3553" s="466"/>
      <c r="AU3553" s="466"/>
      <c r="AV3553" s="466"/>
      <c r="AW3553" s="466"/>
      <c r="AX3553" s="466"/>
      <c r="AY3553" s="466"/>
      <c r="AZ3553" s="466"/>
      <c r="BA3553" s="466"/>
      <c r="BB3553" s="466"/>
      <c r="BC3553" s="466"/>
      <c r="BD3553" s="466"/>
      <c r="BE3553" s="467"/>
      <c r="BF3553" s="467"/>
      <c r="BG3553" s="466"/>
      <c r="BH3553" s="466"/>
      <c r="BI3553" s="467"/>
      <c r="BJ3553" s="467"/>
      <c r="BK3553" s="467"/>
      <c r="BL3553" s="467"/>
      <c r="BM3553" s="467"/>
      <c r="BN3553" s="467"/>
      <c r="BO3553" s="467"/>
      <c r="BP3553" s="467"/>
      <c r="BQ3553" s="467"/>
      <c r="BR3553" s="467"/>
      <c r="BS3553" s="467"/>
      <c r="BT3553" s="467"/>
      <c r="BU3553" s="467"/>
      <c r="BV3553" s="467"/>
      <c r="BW3553" s="467"/>
      <c r="BX3553" s="769"/>
      <c r="BY3553" s="769"/>
      <c r="BZ3553" s="769"/>
      <c r="CA3553" s="769"/>
      <c r="CB3553" s="769"/>
      <c r="CC3553" s="769"/>
      <c r="CD3553" s="769"/>
      <c r="CE3553" s="769"/>
      <c r="CF3553" s="769"/>
      <c r="CG3553" s="73"/>
      <c r="CH3553" s="438"/>
      <c r="CI3553" s="416"/>
      <c r="CJ3553" s="73"/>
      <c r="CK3553" s="650"/>
      <c r="CL3553" s="499"/>
      <c r="CM3553" s="650"/>
      <c r="CR3553" s="416"/>
      <c r="CS3553" s="650"/>
      <c r="CU3553" s="73"/>
      <c r="CV3553" s="73"/>
      <c r="CW3553" s="73"/>
      <c r="CX3553" s="73"/>
      <c r="DA3553" s="650"/>
    </row>
    <row r="3554" spans="1:105" s="45" customFormat="1" x14ac:dyDescent="0.2">
      <c r="A3554" s="650"/>
      <c r="B3554" s="438"/>
      <c r="D3554" s="73"/>
      <c r="E3554" s="650"/>
      <c r="F3554" s="650"/>
      <c r="G3554" s="73"/>
      <c r="I3554" s="111"/>
      <c r="J3554" s="81"/>
      <c r="K3554" s="81"/>
      <c r="L3554" s="499"/>
      <c r="M3554" s="73"/>
      <c r="N3554" s="499"/>
      <c r="O3554" s="73"/>
      <c r="P3554" s="73"/>
      <c r="Q3554" s="73"/>
      <c r="R3554" s="176"/>
      <c r="S3554" s="176"/>
      <c r="T3554" s="176"/>
      <c r="U3554" s="400"/>
      <c r="V3554" s="400"/>
      <c r="W3554" s="732"/>
      <c r="X3554" s="167"/>
      <c r="Y3554" s="509"/>
      <c r="Z3554" s="466"/>
      <c r="AA3554" s="466"/>
      <c r="AB3554" s="466"/>
      <c r="AC3554" s="466"/>
      <c r="AD3554" s="466"/>
      <c r="AE3554" s="466"/>
      <c r="AF3554" s="466"/>
      <c r="AG3554" s="466"/>
      <c r="AH3554" s="466"/>
      <c r="AI3554" s="466"/>
      <c r="AJ3554" s="466"/>
      <c r="AK3554" s="466"/>
      <c r="AL3554" s="466"/>
      <c r="AM3554" s="466"/>
      <c r="AN3554" s="466"/>
      <c r="AO3554" s="466"/>
      <c r="AP3554" s="466"/>
      <c r="AQ3554" s="466"/>
      <c r="AR3554" s="466"/>
      <c r="AS3554" s="466"/>
      <c r="AT3554" s="466"/>
      <c r="AU3554" s="466"/>
      <c r="AV3554" s="466"/>
      <c r="AW3554" s="466"/>
      <c r="AX3554" s="466"/>
      <c r="AY3554" s="466"/>
      <c r="AZ3554" s="466"/>
      <c r="BA3554" s="466"/>
      <c r="BB3554" s="466"/>
      <c r="BC3554" s="466"/>
      <c r="BD3554" s="466"/>
      <c r="BE3554" s="467"/>
      <c r="BF3554" s="467"/>
      <c r="BG3554" s="466"/>
      <c r="BH3554" s="466"/>
      <c r="BI3554" s="467"/>
      <c r="BJ3554" s="467"/>
      <c r="BK3554" s="467"/>
      <c r="BL3554" s="467"/>
      <c r="BM3554" s="467"/>
      <c r="BN3554" s="467"/>
      <c r="BO3554" s="467"/>
      <c r="BP3554" s="467"/>
      <c r="BQ3554" s="467"/>
      <c r="BR3554" s="467"/>
      <c r="BS3554" s="467"/>
      <c r="BT3554" s="467"/>
      <c r="BU3554" s="467"/>
      <c r="BV3554" s="467"/>
      <c r="BW3554" s="467"/>
      <c r="BX3554" s="769"/>
      <c r="BY3554" s="769"/>
      <c r="BZ3554" s="769"/>
      <c r="CA3554" s="769"/>
      <c r="CB3554" s="769"/>
      <c r="CC3554" s="769"/>
      <c r="CD3554" s="769"/>
      <c r="CE3554" s="769"/>
      <c r="CF3554" s="769"/>
      <c r="CG3554" s="73"/>
      <c r="CH3554" s="438"/>
      <c r="CI3554" s="416"/>
      <c r="CJ3554" s="73"/>
      <c r="CK3554" s="650"/>
      <c r="CL3554" s="499"/>
      <c r="CM3554" s="650"/>
      <c r="CR3554" s="416"/>
      <c r="CS3554" s="650"/>
      <c r="CU3554" s="73"/>
      <c r="CV3554" s="73"/>
      <c r="CW3554" s="73"/>
      <c r="CX3554" s="73"/>
      <c r="DA3554" s="650"/>
    </row>
    <row r="3555" spans="1:105" s="45" customFormat="1" x14ac:dyDescent="0.2">
      <c r="A3555" s="650"/>
      <c r="B3555" s="438"/>
      <c r="D3555" s="73"/>
      <c r="E3555" s="650"/>
      <c r="F3555" s="650"/>
      <c r="G3555" s="73"/>
      <c r="I3555" s="111"/>
      <c r="J3555" s="81"/>
      <c r="K3555" s="81"/>
      <c r="L3555" s="499"/>
      <c r="M3555" s="73"/>
      <c r="N3555" s="499"/>
      <c r="O3555" s="73"/>
      <c r="P3555" s="73"/>
      <c r="Q3555" s="73"/>
      <c r="R3555" s="176"/>
      <c r="S3555" s="176"/>
      <c r="T3555" s="176"/>
      <c r="U3555" s="400"/>
      <c r="V3555" s="400"/>
      <c r="W3555" s="732"/>
      <c r="X3555" s="167"/>
      <c r="Y3555" s="509"/>
      <c r="Z3555" s="466"/>
      <c r="AA3555" s="466"/>
      <c r="AB3555" s="466"/>
      <c r="AC3555" s="466"/>
      <c r="AD3555" s="466"/>
      <c r="AE3555" s="466"/>
      <c r="AF3555" s="466"/>
      <c r="AG3555" s="466"/>
      <c r="AH3555" s="466"/>
      <c r="AI3555" s="466"/>
      <c r="AJ3555" s="466"/>
      <c r="AK3555" s="466"/>
      <c r="AL3555" s="466"/>
      <c r="AM3555" s="466"/>
      <c r="AN3555" s="466"/>
      <c r="AO3555" s="466"/>
      <c r="AP3555" s="466"/>
      <c r="AQ3555" s="466"/>
      <c r="AR3555" s="466"/>
      <c r="AS3555" s="466"/>
      <c r="AT3555" s="466"/>
      <c r="AU3555" s="466"/>
      <c r="AV3555" s="466"/>
      <c r="AW3555" s="466"/>
      <c r="AX3555" s="466"/>
      <c r="AY3555" s="466"/>
      <c r="AZ3555" s="466"/>
      <c r="BA3555" s="466"/>
      <c r="BB3555" s="466"/>
      <c r="BC3555" s="466"/>
      <c r="BD3555" s="466"/>
      <c r="BE3555" s="467"/>
      <c r="BF3555" s="467"/>
      <c r="BG3555" s="466"/>
      <c r="BH3555" s="466"/>
      <c r="BI3555" s="467"/>
      <c r="BJ3555" s="467"/>
      <c r="BK3555" s="467"/>
      <c r="BL3555" s="467"/>
      <c r="BM3555" s="467"/>
      <c r="BN3555" s="467"/>
      <c r="BO3555" s="467"/>
      <c r="BP3555" s="467"/>
      <c r="BQ3555" s="467"/>
      <c r="BR3555" s="467"/>
      <c r="BS3555" s="467"/>
      <c r="BT3555" s="467"/>
      <c r="BU3555" s="467"/>
      <c r="BV3555" s="467"/>
      <c r="BW3555" s="467"/>
      <c r="BX3555" s="769"/>
      <c r="BY3555" s="769"/>
      <c r="BZ3555" s="769"/>
      <c r="CA3555" s="769"/>
      <c r="CB3555" s="769"/>
      <c r="CC3555" s="769"/>
      <c r="CD3555" s="769"/>
      <c r="CE3555" s="769"/>
      <c r="CF3555" s="769"/>
      <c r="CG3555" s="73"/>
      <c r="CH3555" s="438"/>
      <c r="CI3555" s="416"/>
      <c r="CJ3555" s="73"/>
      <c r="CK3555" s="650"/>
      <c r="CL3555" s="499"/>
      <c r="CM3555" s="650"/>
      <c r="CR3555" s="416"/>
      <c r="CS3555" s="650"/>
      <c r="CU3555" s="73"/>
      <c r="CV3555" s="73"/>
      <c r="CW3555" s="73"/>
      <c r="CX3555" s="73"/>
      <c r="DA3555" s="650"/>
    </row>
    <row r="3556" spans="1:105" s="45" customFormat="1" x14ac:dyDescent="0.2">
      <c r="A3556" s="650"/>
      <c r="B3556" s="438"/>
      <c r="D3556" s="73"/>
      <c r="E3556" s="650"/>
      <c r="F3556" s="650"/>
      <c r="G3556" s="73"/>
      <c r="I3556" s="111"/>
      <c r="J3556" s="81"/>
      <c r="K3556" s="81"/>
      <c r="L3556" s="499"/>
      <c r="M3556" s="73"/>
      <c r="N3556" s="499"/>
      <c r="O3556" s="73"/>
      <c r="P3556" s="73"/>
      <c r="Q3556" s="73"/>
      <c r="R3556" s="176"/>
      <c r="S3556" s="176"/>
      <c r="T3556" s="176"/>
      <c r="U3556" s="400"/>
      <c r="V3556" s="400"/>
      <c r="W3556" s="732"/>
      <c r="X3556" s="167"/>
      <c r="Y3556" s="509"/>
      <c r="Z3556" s="466"/>
      <c r="AA3556" s="466"/>
      <c r="AB3556" s="466"/>
      <c r="AC3556" s="466"/>
      <c r="AD3556" s="466"/>
      <c r="AE3556" s="466"/>
      <c r="AF3556" s="466"/>
      <c r="AG3556" s="466"/>
      <c r="AH3556" s="466"/>
      <c r="AI3556" s="466"/>
      <c r="AJ3556" s="466"/>
      <c r="AK3556" s="466"/>
      <c r="AL3556" s="466"/>
      <c r="AM3556" s="466"/>
      <c r="AN3556" s="466"/>
      <c r="AO3556" s="466"/>
      <c r="AP3556" s="466"/>
      <c r="AQ3556" s="466"/>
      <c r="AR3556" s="466"/>
      <c r="AS3556" s="466"/>
      <c r="AT3556" s="466"/>
      <c r="AU3556" s="466"/>
      <c r="AV3556" s="466"/>
      <c r="AW3556" s="466"/>
      <c r="AX3556" s="466"/>
      <c r="AY3556" s="466"/>
      <c r="AZ3556" s="466"/>
      <c r="BA3556" s="466"/>
      <c r="BB3556" s="466"/>
      <c r="BC3556" s="466"/>
      <c r="BD3556" s="466"/>
      <c r="BE3556" s="467"/>
      <c r="BF3556" s="467"/>
      <c r="BG3556" s="466"/>
      <c r="BH3556" s="466"/>
      <c r="BI3556" s="467"/>
      <c r="BJ3556" s="467"/>
      <c r="BK3556" s="467"/>
      <c r="BL3556" s="467"/>
      <c r="BM3556" s="467"/>
      <c r="BN3556" s="467"/>
      <c r="BO3556" s="467"/>
      <c r="BP3556" s="467"/>
      <c r="BQ3556" s="467"/>
      <c r="BR3556" s="467"/>
      <c r="BS3556" s="467"/>
      <c r="BT3556" s="467"/>
      <c r="BU3556" s="467"/>
      <c r="BV3556" s="467"/>
      <c r="BW3556" s="467"/>
      <c r="BX3556" s="769"/>
      <c r="BY3556" s="769"/>
      <c r="BZ3556" s="769"/>
      <c r="CA3556" s="769"/>
      <c r="CB3556" s="769"/>
      <c r="CC3556" s="769"/>
      <c r="CD3556" s="769"/>
      <c r="CE3556" s="769"/>
      <c r="CF3556" s="769"/>
      <c r="CG3556" s="73"/>
      <c r="CH3556" s="438"/>
      <c r="CI3556" s="416"/>
      <c r="CJ3556" s="73"/>
      <c r="CK3556" s="650"/>
      <c r="CL3556" s="499"/>
      <c r="CM3556" s="650"/>
      <c r="CR3556" s="416"/>
      <c r="CS3556" s="650"/>
      <c r="CU3556" s="73"/>
      <c r="CV3556" s="73"/>
      <c r="CW3556" s="73"/>
      <c r="CX3556" s="73"/>
      <c r="DA3556" s="650"/>
    </row>
    <row r="3557" spans="1:105" s="45" customFormat="1" x14ac:dyDescent="0.2">
      <c r="A3557" s="650"/>
      <c r="B3557" s="438"/>
      <c r="D3557" s="73"/>
      <c r="E3557" s="650"/>
      <c r="F3557" s="650"/>
      <c r="G3557" s="73"/>
      <c r="I3557" s="111"/>
      <c r="J3557" s="81"/>
      <c r="K3557" s="81"/>
      <c r="L3557" s="499"/>
      <c r="M3557" s="73"/>
      <c r="N3557" s="499"/>
      <c r="O3557" s="73"/>
      <c r="P3557" s="73"/>
      <c r="Q3557" s="73"/>
      <c r="R3557" s="176"/>
      <c r="S3557" s="176"/>
      <c r="T3557" s="176"/>
      <c r="U3557" s="400"/>
      <c r="V3557" s="400"/>
      <c r="W3557" s="732"/>
      <c r="X3557" s="167"/>
      <c r="Y3557" s="509"/>
      <c r="Z3557" s="466"/>
      <c r="AA3557" s="466"/>
      <c r="AB3557" s="466"/>
      <c r="AC3557" s="466"/>
      <c r="AD3557" s="466"/>
      <c r="AE3557" s="466"/>
      <c r="AF3557" s="466"/>
      <c r="AG3557" s="466"/>
      <c r="AH3557" s="466"/>
      <c r="AI3557" s="466"/>
      <c r="AJ3557" s="466"/>
      <c r="AK3557" s="466"/>
      <c r="AL3557" s="466"/>
      <c r="AM3557" s="466"/>
      <c r="AN3557" s="466"/>
      <c r="AO3557" s="466"/>
      <c r="AP3557" s="466"/>
      <c r="AQ3557" s="466"/>
      <c r="AR3557" s="466"/>
      <c r="AS3557" s="466"/>
      <c r="AT3557" s="466"/>
      <c r="AU3557" s="466"/>
      <c r="AV3557" s="466"/>
      <c r="AW3557" s="466"/>
      <c r="AX3557" s="466"/>
      <c r="AY3557" s="466"/>
      <c r="AZ3557" s="466"/>
      <c r="BA3557" s="466"/>
      <c r="BB3557" s="466"/>
      <c r="BC3557" s="466"/>
      <c r="BD3557" s="466"/>
      <c r="BE3557" s="467"/>
      <c r="BF3557" s="467"/>
      <c r="BG3557" s="466"/>
      <c r="BH3557" s="466"/>
      <c r="BI3557" s="467"/>
      <c r="BJ3557" s="467"/>
      <c r="BK3557" s="467"/>
      <c r="BL3557" s="467"/>
      <c r="BM3557" s="467"/>
      <c r="BN3557" s="467"/>
      <c r="BO3557" s="467"/>
      <c r="BP3557" s="467"/>
      <c r="BQ3557" s="467"/>
      <c r="BR3557" s="467"/>
      <c r="BS3557" s="467"/>
      <c r="BT3557" s="467"/>
      <c r="BU3557" s="467"/>
      <c r="BV3557" s="467"/>
      <c r="BW3557" s="467"/>
      <c r="BX3557" s="769"/>
      <c r="BY3557" s="769"/>
      <c r="BZ3557" s="769"/>
      <c r="CA3557" s="769"/>
      <c r="CB3557" s="769"/>
      <c r="CC3557" s="769"/>
      <c r="CD3557" s="769"/>
      <c r="CE3557" s="769"/>
      <c r="CF3557" s="769"/>
      <c r="CG3557" s="73"/>
      <c r="CH3557" s="438"/>
      <c r="CI3557" s="416"/>
      <c r="CJ3557" s="73"/>
      <c r="CK3557" s="650"/>
      <c r="CL3557" s="499"/>
      <c r="CM3557" s="650"/>
      <c r="CR3557" s="416"/>
      <c r="CS3557" s="650"/>
      <c r="CU3557" s="73"/>
      <c r="CV3557" s="73"/>
      <c r="CW3557" s="73"/>
      <c r="CX3557" s="73"/>
      <c r="DA3557" s="650"/>
    </row>
    <row r="3558" spans="1:105" s="45" customFormat="1" x14ac:dyDescent="0.2">
      <c r="A3558" s="650"/>
      <c r="B3558" s="438"/>
      <c r="D3558" s="73"/>
      <c r="E3558" s="650"/>
      <c r="F3558" s="650"/>
      <c r="G3558" s="73"/>
      <c r="I3558" s="111"/>
      <c r="J3558" s="81"/>
      <c r="K3558" s="81"/>
      <c r="L3558" s="499"/>
      <c r="M3558" s="73"/>
      <c r="N3558" s="499"/>
      <c r="O3558" s="73"/>
      <c r="P3558" s="73"/>
      <c r="Q3558" s="73"/>
      <c r="R3558" s="176"/>
      <c r="S3558" s="176"/>
      <c r="T3558" s="176"/>
      <c r="U3558" s="400"/>
      <c r="V3558" s="400"/>
      <c r="W3558" s="732"/>
      <c r="X3558" s="167"/>
      <c r="Y3558" s="509"/>
      <c r="Z3558" s="466"/>
      <c r="AA3558" s="466"/>
      <c r="AB3558" s="466"/>
      <c r="AC3558" s="466"/>
      <c r="AD3558" s="466"/>
      <c r="AE3558" s="466"/>
      <c r="AF3558" s="466"/>
      <c r="AG3558" s="466"/>
      <c r="AH3558" s="466"/>
      <c r="AI3558" s="466"/>
      <c r="AJ3558" s="466"/>
      <c r="AK3558" s="466"/>
      <c r="AL3558" s="466"/>
      <c r="AM3558" s="466"/>
      <c r="AN3558" s="466"/>
      <c r="AO3558" s="466"/>
      <c r="AP3558" s="466"/>
      <c r="AQ3558" s="466"/>
      <c r="AR3558" s="466"/>
      <c r="AS3558" s="466"/>
      <c r="AT3558" s="466"/>
      <c r="AU3558" s="466"/>
      <c r="AV3558" s="466"/>
      <c r="AW3558" s="466"/>
      <c r="AX3558" s="466"/>
      <c r="AY3558" s="466"/>
      <c r="AZ3558" s="466"/>
      <c r="BA3558" s="466"/>
      <c r="BB3558" s="466"/>
      <c r="BC3558" s="466"/>
      <c r="BD3558" s="466"/>
      <c r="BE3558" s="467"/>
      <c r="BF3558" s="467"/>
      <c r="BG3558" s="466"/>
      <c r="BH3558" s="466"/>
      <c r="BI3558" s="467"/>
      <c r="BJ3558" s="467"/>
      <c r="BK3558" s="467"/>
      <c r="BL3558" s="467"/>
      <c r="BM3558" s="467"/>
      <c r="BN3558" s="467"/>
      <c r="BO3558" s="467"/>
      <c r="BP3558" s="467"/>
      <c r="BQ3558" s="467"/>
      <c r="BR3558" s="467"/>
      <c r="BS3558" s="467"/>
      <c r="BT3558" s="467"/>
      <c r="BU3558" s="467"/>
      <c r="BV3558" s="467"/>
      <c r="BW3558" s="467"/>
      <c r="BX3558" s="769"/>
      <c r="BY3558" s="769"/>
      <c r="BZ3558" s="769"/>
      <c r="CA3558" s="769"/>
      <c r="CB3558" s="769"/>
      <c r="CC3558" s="769"/>
      <c r="CD3558" s="769"/>
      <c r="CE3558" s="769"/>
      <c r="CF3558" s="769"/>
      <c r="CG3558" s="73"/>
      <c r="CH3558" s="438"/>
      <c r="CI3558" s="416"/>
      <c r="CJ3558" s="73"/>
      <c r="CK3558" s="650"/>
      <c r="CL3558" s="499"/>
      <c r="CM3558" s="650"/>
      <c r="CR3558" s="416"/>
      <c r="CS3558" s="650"/>
      <c r="CU3558" s="73"/>
      <c r="CV3558" s="73"/>
      <c r="CW3558" s="73"/>
      <c r="CX3558" s="73"/>
      <c r="DA3558" s="650"/>
    </row>
    <row r="3559" spans="1:105" s="45" customFormat="1" x14ac:dyDescent="0.2">
      <c r="A3559" s="650"/>
      <c r="B3559" s="438"/>
      <c r="D3559" s="73"/>
      <c r="E3559" s="650"/>
      <c r="F3559" s="650"/>
      <c r="G3559" s="73"/>
      <c r="I3559" s="111"/>
      <c r="J3559" s="81"/>
      <c r="K3559" s="81"/>
      <c r="L3559" s="499"/>
      <c r="M3559" s="73"/>
      <c r="N3559" s="499"/>
      <c r="O3559" s="73"/>
      <c r="P3559" s="73"/>
      <c r="Q3559" s="73"/>
      <c r="R3559" s="176"/>
      <c r="S3559" s="176"/>
      <c r="T3559" s="176"/>
      <c r="U3559" s="400"/>
      <c r="V3559" s="400"/>
      <c r="W3559" s="732"/>
      <c r="X3559" s="167"/>
      <c r="Y3559" s="509"/>
      <c r="Z3559" s="466"/>
      <c r="AA3559" s="466"/>
      <c r="AB3559" s="466"/>
      <c r="AC3559" s="466"/>
      <c r="AD3559" s="466"/>
      <c r="AE3559" s="466"/>
      <c r="AF3559" s="466"/>
      <c r="AG3559" s="466"/>
      <c r="AH3559" s="466"/>
      <c r="AI3559" s="466"/>
      <c r="AJ3559" s="466"/>
      <c r="AK3559" s="466"/>
      <c r="AL3559" s="466"/>
      <c r="AM3559" s="466"/>
      <c r="AN3559" s="466"/>
      <c r="AO3559" s="466"/>
      <c r="AP3559" s="466"/>
      <c r="AQ3559" s="466"/>
      <c r="AR3559" s="466"/>
      <c r="AS3559" s="466"/>
      <c r="AT3559" s="466"/>
      <c r="AU3559" s="466"/>
      <c r="AV3559" s="466"/>
      <c r="AW3559" s="466"/>
      <c r="AX3559" s="466"/>
      <c r="AY3559" s="466"/>
      <c r="AZ3559" s="466"/>
      <c r="BA3559" s="466"/>
      <c r="BB3559" s="466"/>
      <c r="BC3559" s="466"/>
      <c r="BD3559" s="466"/>
      <c r="BE3559" s="467"/>
      <c r="BF3559" s="467"/>
      <c r="BG3559" s="466"/>
      <c r="BH3559" s="466"/>
      <c r="BI3559" s="467"/>
      <c r="BJ3559" s="467"/>
      <c r="BK3559" s="467"/>
      <c r="BL3559" s="467"/>
      <c r="BM3559" s="467"/>
      <c r="BN3559" s="467"/>
      <c r="BO3559" s="467"/>
      <c r="BP3559" s="467"/>
      <c r="BQ3559" s="467"/>
      <c r="BR3559" s="467"/>
      <c r="BS3559" s="467"/>
      <c r="BT3559" s="467"/>
      <c r="BU3559" s="467"/>
      <c r="BV3559" s="467"/>
      <c r="BW3559" s="467"/>
      <c r="BX3559" s="769"/>
      <c r="BY3559" s="769"/>
      <c r="BZ3559" s="769"/>
      <c r="CA3559" s="769"/>
      <c r="CB3559" s="769"/>
      <c r="CC3559" s="769"/>
      <c r="CD3559" s="769"/>
      <c r="CE3559" s="769"/>
      <c r="CF3559" s="769"/>
      <c r="CG3559" s="73"/>
      <c r="CH3559" s="438"/>
      <c r="CI3559" s="416"/>
      <c r="CJ3559" s="73"/>
      <c r="CK3559" s="650"/>
      <c r="CL3559" s="499"/>
      <c r="CM3559" s="650"/>
      <c r="CR3559" s="416"/>
      <c r="CS3559" s="650"/>
      <c r="CU3559" s="73"/>
      <c r="CV3559" s="73"/>
      <c r="CW3559" s="73"/>
      <c r="CX3559" s="73"/>
      <c r="DA3559" s="650"/>
    </row>
    <row r="3560" spans="1:105" s="45" customFormat="1" x14ac:dyDescent="0.2">
      <c r="A3560" s="650"/>
      <c r="B3560" s="438"/>
      <c r="D3560" s="73"/>
      <c r="E3560" s="650"/>
      <c r="F3560" s="650"/>
      <c r="G3560" s="73"/>
      <c r="I3560" s="111"/>
      <c r="J3560" s="81"/>
      <c r="K3560" s="81"/>
      <c r="L3560" s="499"/>
      <c r="M3560" s="73"/>
      <c r="N3560" s="499"/>
      <c r="O3560" s="73"/>
      <c r="P3560" s="73"/>
      <c r="Q3560" s="73"/>
      <c r="R3560" s="176"/>
      <c r="S3560" s="176"/>
      <c r="T3560" s="176"/>
      <c r="U3560" s="400"/>
      <c r="V3560" s="400"/>
      <c r="W3560" s="732"/>
      <c r="X3560" s="167"/>
      <c r="Y3560" s="509"/>
      <c r="Z3560" s="466"/>
      <c r="AA3560" s="466"/>
      <c r="AB3560" s="466"/>
      <c r="AC3560" s="466"/>
      <c r="AD3560" s="466"/>
      <c r="AE3560" s="466"/>
      <c r="AF3560" s="466"/>
      <c r="AG3560" s="466"/>
      <c r="AH3560" s="466"/>
      <c r="AI3560" s="466"/>
      <c r="AJ3560" s="466"/>
      <c r="AK3560" s="466"/>
      <c r="AL3560" s="466"/>
      <c r="AM3560" s="466"/>
      <c r="AN3560" s="466"/>
      <c r="AO3560" s="466"/>
      <c r="AP3560" s="466"/>
      <c r="AQ3560" s="466"/>
      <c r="AR3560" s="466"/>
      <c r="AS3560" s="466"/>
      <c r="AT3560" s="466"/>
      <c r="AU3560" s="466"/>
      <c r="AV3560" s="466"/>
      <c r="AW3560" s="466"/>
      <c r="AX3560" s="466"/>
      <c r="AY3560" s="466"/>
      <c r="AZ3560" s="466"/>
      <c r="BA3560" s="466"/>
      <c r="BB3560" s="466"/>
      <c r="BC3560" s="466"/>
      <c r="BD3560" s="466"/>
      <c r="BE3560" s="467"/>
      <c r="BF3560" s="467"/>
      <c r="BG3560" s="466"/>
      <c r="BH3560" s="466"/>
      <c r="BI3560" s="467"/>
      <c r="BJ3560" s="467"/>
      <c r="BK3560" s="467"/>
      <c r="BL3560" s="467"/>
      <c r="BM3560" s="467"/>
      <c r="BN3560" s="467"/>
      <c r="BO3560" s="467"/>
      <c r="BP3560" s="467"/>
      <c r="BQ3560" s="467"/>
      <c r="BR3560" s="467"/>
      <c r="BS3560" s="467"/>
      <c r="BT3560" s="467"/>
      <c r="BU3560" s="467"/>
      <c r="BV3560" s="467"/>
      <c r="BW3560" s="467"/>
      <c r="BX3560" s="769"/>
      <c r="BY3560" s="769"/>
      <c r="BZ3560" s="769"/>
      <c r="CA3560" s="769"/>
      <c r="CB3560" s="769"/>
      <c r="CC3560" s="769"/>
      <c r="CD3560" s="769"/>
      <c r="CE3560" s="769"/>
      <c r="CF3560" s="769"/>
      <c r="CG3560" s="73"/>
      <c r="CH3560" s="438"/>
      <c r="CI3560" s="416"/>
      <c r="CJ3560" s="73"/>
      <c r="CK3560" s="650"/>
      <c r="CL3560" s="499"/>
      <c r="CM3560" s="650"/>
      <c r="CR3560" s="416"/>
      <c r="CS3560" s="650"/>
      <c r="CU3560" s="73"/>
      <c r="CV3560" s="73"/>
      <c r="CW3560" s="73"/>
      <c r="CX3560" s="73"/>
      <c r="DA3560" s="650"/>
    </row>
    <row r="3561" spans="1:105" s="45" customFormat="1" x14ac:dyDescent="0.2">
      <c r="A3561" s="650"/>
      <c r="B3561" s="438"/>
      <c r="D3561" s="73"/>
      <c r="E3561" s="650"/>
      <c r="F3561" s="650"/>
      <c r="G3561" s="73"/>
      <c r="I3561" s="111"/>
      <c r="J3561" s="81"/>
      <c r="K3561" s="81"/>
      <c r="L3561" s="499"/>
      <c r="M3561" s="73"/>
      <c r="N3561" s="499"/>
      <c r="O3561" s="73"/>
      <c r="P3561" s="73"/>
      <c r="Q3561" s="73"/>
      <c r="R3561" s="176"/>
      <c r="S3561" s="176"/>
      <c r="T3561" s="176"/>
      <c r="U3561" s="400"/>
      <c r="V3561" s="400"/>
      <c r="W3561" s="732"/>
      <c r="X3561" s="167"/>
      <c r="Y3561" s="509"/>
      <c r="Z3561" s="466"/>
      <c r="AA3561" s="466"/>
      <c r="AB3561" s="466"/>
      <c r="AC3561" s="466"/>
      <c r="AD3561" s="466"/>
      <c r="AE3561" s="466"/>
      <c r="AF3561" s="466"/>
      <c r="AG3561" s="466"/>
      <c r="AH3561" s="466"/>
      <c r="AI3561" s="466"/>
      <c r="AJ3561" s="466"/>
      <c r="AK3561" s="466"/>
      <c r="AL3561" s="466"/>
      <c r="AM3561" s="466"/>
      <c r="AN3561" s="466"/>
      <c r="AO3561" s="466"/>
      <c r="AP3561" s="466"/>
      <c r="AQ3561" s="466"/>
      <c r="AR3561" s="466"/>
      <c r="AS3561" s="466"/>
      <c r="AT3561" s="466"/>
      <c r="AU3561" s="466"/>
      <c r="AV3561" s="466"/>
      <c r="AW3561" s="466"/>
      <c r="AX3561" s="466"/>
      <c r="AY3561" s="466"/>
      <c r="AZ3561" s="466"/>
      <c r="BA3561" s="466"/>
      <c r="BB3561" s="466"/>
      <c r="BC3561" s="466"/>
      <c r="BD3561" s="466"/>
      <c r="BE3561" s="467"/>
      <c r="BF3561" s="467"/>
      <c r="BG3561" s="466"/>
      <c r="BH3561" s="466"/>
      <c r="BI3561" s="467"/>
      <c r="BJ3561" s="467"/>
      <c r="BK3561" s="467"/>
      <c r="BL3561" s="467"/>
      <c r="BM3561" s="467"/>
      <c r="BN3561" s="467"/>
      <c r="BO3561" s="467"/>
      <c r="BP3561" s="467"/>
      <c r="BQ3561" s="467"/>
      <c r="BR3561" s="467"/>
      <c r="BS3561" s="467"/>
      <c r="BT3561" s="467"/>
      <c r="BU3561" s="467"/>
      <c r="BV3561" s="467"/>
      <c r="BW3561" s="467"/>
      <c r="BX3561" s="769"/>
      <c r="BY3561" s="769"/>
      <c r="BZ3561" s="769"/>
      <c r="CA3561" s="769"/>
      <c r="CB3561" s="769"/>
      <c r="CC3561" s="769"/>
      <c r="CD3561" s="769"/>
      <c r="CE3561" s="769"/>
      <c r="CF3561" s="769"/>
      <c r="CG3561" s="73"/>
      <c r="CH3561" s="438"/>
      <c r="CI3561" s="416"/>
      <c r="CJ3561" s="73"/>
      <c r="CK3561" s="650"/>
      <c r="CL3561" s="499"/>
      <c r="CM3561" s="650"/>
      <c r="CR3561" s="416"/>
      <c r="CS3561" s="650"/>
      <c r="CU3561" s="73"/>
      <c r="CV3561" s="73"/>
      <c r="CW3561" s="73"/>
      <c r="CX3561" s="73"/>
      <c r="DA3561" s="650"/>
    </row>
    <row r="3562" spans="1:105" s="45" customFormat="1" x14ac:dyDescent="0.2">
      <c r="A3562" s="650"/>
      <c r="B3562" s="438"/>
      <c r="D3562" s="73"/>
      <c r="E3562" s="650"/>
      <c r="F3562" s="650"/>
      <c r="G3562" s="73"/>
      <c r="I3562" s="111"/>
      <c r="J3562" s="81"/>
      <c r="K3562" s="81"/>
      <c r="L3562" s="499"/>
      <c r="M3562" s="73"/>
      <c r="N3562" s="499"/>
      <c r="O3562" s="73"/>
      <c r="P3562" s="73"/>
      <c r="Q3562" s="73"/>
      <c r="R3562" s="176"/>
      <c r="S3562" s="176"/>
      <c r="T3562" s="176"/>
      <c r="U3562" s="400"/>
      <c r="V3562" s="400"/>
      <c r="W3562" s="732"/>
      <c r="X3562" s="167"/>
      <c r="Y3562" s="509"/>
      <c r="Z3562" s="466"/>
      <c r="AA3562" s="466"/>
      <c r="AB3562" s="466"/>
      <c r="AC3562" s="466"/>
      <c r="AD3562" s="466"/>
      <c r="AE3562" s="466"/>
      <c r="AF3562" s="466"/>
      <c r="AG3562" s="466"/>
      <c r="AH3562" s="466"/>
      <c r="AI3562" s="466"/>
      <c r="AJ3562" s="466"/>
      <c r="AK3562" s="466"/>
      <c r="AL3562" s="466"/>
      <c r="AM3562" s="466"/>
      <c r="AN3562" s="466"/>
      <c r="AO3562" s="466"/>
      <c r="AP3562" s="466"/>
      <c r="AQ3562" s="466"/>
      <c r="AR3562" s="466"/>
      <c r="AS3562" s="466"/>
      <c r="AT3562" s="466"/>
      <c r="AU3562" s="466"/>
      <c r="AV3562" s="466"/>
      <c r="AW3562" s="466"/>
      <c r="AX3562" s="466"/>
      <c r="AY3562" s="466"/>
      <c r="AZ3562" s="466"/>
      <c r="BA3562" s="466"/>
      <c r="BB3562" s="466"/>
      <c r="BC3562" s="466"/>
      <c r="BD3562" s="466"/>
      <c r="BE3562" s="467"/>
      <c r="BF3562" s="467"/>
      <c r="BG3562" s="466"/>
      <c r="BH3562" s="466"/>
      <c r="BI3562" s="467"/>
      <c r="BJ3562" s="467"/>
      <c r="BK3562" s="467"/>
      <c r="BL3562" s="467"/>
      <c r="BM3562" s="467"/>
      <c r="BN3562" s="467"/>
      <c r="BO3562" s="467"/>
      <c r="BP3562" s="467"/>
      <c r="BQ3562" s="467"/>
      <c r="BR3562" s="467"/>
      <c r="BS3562" s="467"/>
      <c r="BT3562" s="467"/>
      <c r="BU3562" s="467"/>
      <c r="BV3562" s="467"/>
      <c r="BW3562" s="467"/>
      <c r="BX3562" s="769"/>
      <c r="BY3562" s="769"/>
      <c r="BZ3562" s="769"/>
      <c r="CA3562" s="769"/>
      <c r="CB3562" s="769"/>
      <c r="CC3562" s="769"/>
      <c r="CD3562" s="769"/>
      <c r="CE3562" s="769"/>
      <c r="CF3562" s="769"/>
      <c r="CG3562" s="73"/>
      <c r="CH3562" s="438"/>
      <c r="CI3562" s="416"/>
      <c r="CJ3562" s="73"/>
      <c r="CK3562" s="650"/>
      <c r="CL3562" s="499"/>
      <c r="CM3562" s="650"/>
      <c r="CR3562" s="416"/>
      <c r="CS3562" s="650"/>
      <c r="CU3562" s="73"/>
      <c r="CV3562" s="73"/>
      <c r="CW3562" s="73"/>
      <c r="CX3562" s="73"/>
      <c r="DA3562" s="650"/>
    </row>
    <row r="3563" spans="1:105" s="45" customFormat="1" x14ac:dyDescent="0.2">
      <c r="A3563" s="650"/>
      <c r="B3563" s="438"/>
      <c r="D3563" s="73"/>
      <c r="E3563" s="650"/>
      <c r="F3563" s="650"/>
      <c r="G3563" s="73"/>
      <c r="I3563" s="111"/>
      <c r="J3563" s="81"/>
      <c r="K3563" s="81"/>
      <c r="L3563" s="499"/>
      <c r="M3563" s="73"/>
      <c r="N3563" s="499"/>
      <c r="O3563" s="73"/>
      <c r="P3563" s="73"/>
      <c r="Q3563" s="73"/>
      <c r="R3563" s="176"/>
      <c r="S3563" s="176"/>
      <c r="T3563" s="176"/>
      <c r="U3563" s="400"/>
      <c r="V3563" s="400"/>
      <c r="W3563" s="732"/>
      <c r="X3563" s="167"/>
      <c r="Y3563" s="509"/>
      <c r="Z3563" s="466"/>
      <c r="AA3563" s="466"/>
      <c r="AB3563" s="466"/>
      <c r="AC3563" s="466"/>
      <c r="AD3563" s="466"/>
      <c r="AE3563" s="466"/>
      <c r="AF3563" s="466"/>
      <c r="AG3563" s="466"/>
      <c r="AH3563" s="466"/>
      <c r="AI3563" s="466"/>
      <c r="AJ3563" s="466"/>
      <c r="AK3563" s="466"/>
      <c r="AL3563" s="466"/>
      <c r="AM3563" s="466"/>
      <c r="AN3563" s="466"/>
      <c r="AO3563" s="466"/>
      <c r="AP3563" s="466"/>
      <c r="AQ3563" s="466"/>
      <c r="AR3563" s="466"/>
      <c r="AS3563" s="466"/>
      <c r="AT3563" s="466"/>
      <c r="AU3563" s="466"/>
      <c r="AV3563" s="466"/>
      <c r="AW3563" s="466"/>
      <c r="AX3563" s="466"/>
      <c r="AY3563" s="466"/>
      <c r="AZ3563" s="466"/>
      <c r="BA3563" s="466"/>
      <c r="BB3563" s="466"/>
      <c r="BC3563" s="466"/>
      <c r="BD3563" s="466"/>
      <c r="BE3563" s="467"/>
      <c r="BF3563" s="467"/>
      <c r="BG3563" s="466"/>
      <c r="BH3563" s="466"/>
      <c r="BI3563" s="467"/>
      <c r="BJ3563" s="467"/>
      <c r="BK3563" s="467"/>
      <c r="BL3563" s="467"/>
      <c r="BM3563" s="467"/>
      <c r="BN3563" s="467"/>
      <c r="BO3563" s="467"/>
      <c r="BP3563" s="467"/>
      <c r="BQ3563" s="467"/>
      <c r="BR3563" s="467"/>
      <c r="BS3563" s="467"/>
      <c r="BT3563" s="467"/>
      <c r="BU3563" s="467"/>
      <c r="BV3563" s="467"/>
      <c r="BW3563" s="467"/>
      <c r="BX3563" s="769"/>
      <c r="BY3563" s="769"/>
      <c r="BZ3563" s="769"/>
      <c r="CA3563" s="769"/>
      <c r="CB3563" s="769"/>
      <c r="CC3563" s="769"/>
      <c r="CD3563" s="769"/>
      <c r="CE3563" s="769"/>
      <c r="CF3563" s="769"/>
      <c r="CG3563" s="73"/>
      <c r="CH3563" s="438"/>
      <c r="CI3563" s="416"/>
      <c r="CJ3563" s="73"/>
      <c r="CK3563" s="650"/>
      <c r="CL3563" s="499"/>
      <c r="CM3563" s="650"/>
      <c r="CR3563" s="416"/>
      <c r="CS3563" s="650"/>
      <c r="CU3563" s="73"/>
      <c r="CV3563" s="73"/>
      <c r="CW3563" s="73"/>
      <c r="CX3563" s="73"/>
      <c r="DA3563" s="650"/>
    </row>
    <row r="3564" spans="1:105" s="45" customFormat="1" x14ac:dyDescent="0.2">
      <c r="A3564" s="650"/>
      <c r="B3564" s="438"/>
      <c r="D3564" s="73"/>
      <c r="E3564" s="650"/>
      <c r="F3564" s="650"/>
      <c r="G3564" s="73"/>
      <c r="I3564" s="111"/>
      <c r="J3564" s="81"/>
      <c r="K3564" s="81"/>
      <c r="L3564" s="499"/>
      <c r="M3564" s="73"/>
      <c r="N3564" s="499"/>
      <c r="O3564" s="73"/>
      <c r="P3564" s="73"/>
      <c r="Q3564" s="73"/>
      <c r="R3564" s="176"/>
      <c r="S3564" s="176"/>
      <c r="T3564" s="176"/>
      <c r="U3564" s="400"/>
      <c r="V3564" s="400"/>
      <c r="W3564" s="732"/>
      <c r="X3564" s="167"/>
      <c r="Y3564" s="509"/>
      <c r="Z3564" s="466"/>
      <c r="AA3564" s="466"/>
      <c r="AB3564" s="466"/>
      <c r="AC3564" s="466"/>
      <c r="AD3564" s="466"/>
      <c r="AE3564" s="466"/>
      <c r="AF3564" s="466"/>
      <c r="AG3564" s="466"/>
      <c r="AH3564" s="466"/>
      <c r="AI3564" s="466"/>
      <c r="AJ3564" s="466"/>
      <c r="AK3564" s="466"/>
      <c r="AL3564" s="466"/>
      <c r="AM3564" s="466"/>
      <c r="AN3564" s="466"/>
      <c r="AO3564" s="466"/>
      <c r="AP3564" s="466"/>
      <c r="AQ3564" s="466"/>
      <c r="AR3564" s="466"/>
      <c r="AS3564" s="466"/>
      <c r="AT3564" s="466"/>
      <c r="AU3564" s="466"/>
      <c r="AV3564" s="466"/>
      <c r="AW3564" s="466"/>
      <c r="AX3564" s="466"/>
      <c r="AY3564" s="466"/>
      <c r="AZ3564" s="466"/>
      <c r="BA3564" s="466"/>
      <c r="BB3564" s="466"/>
      <c r="BC3564" s="466"/>
      <c r="BD3564" s="466"/>
      <c r="BE3564" s="467"/>
      <c r="BF3564" s="467"/>
      <c r="BG3564" s="466"/>
      <c r="BH3564" s="466"/>
      <c r="BI3564" s="467"/>
      <c r="BJ3564" s="467"/>
      <c r="BK3564" s="467"/>
      <c r="BL3564" s="467"/>
      <c r="BM3564" s="467"/>
      <c r="BN3564" s="467"/>
      <c r="BO3564" s="467"/>
      <c r="BP3564" s="467"/>
      <c r="BQ3564" s="467"/>
      <c r="BR3564" s="467"/>
      <c r="BS3564" s="467"/>
      <c r="BT3564" s="467"/>
      <c r="BU3564" s="467"/>
      <c r="BV3564" s="467"/>
      <c r="BW3564" s="467"/>
      <c r="BX3564" s="769"/>
      <c r="BY3564" s="769"/>
      <c r="BZ3564" s="769"/>
      <c r="CA3564" s="769"/>
      <c r="CB3564" s="769"/>
      <c r="CC3564" s="769"/>
      <c r="CD3564" s="769"/>
      <c r="CE3564" s="769"/>
      <c r="CF3564" s="769"/>
      <c r="CG3564" s="73"/>
      <c r="CH3564" s="438"/>
      <c r="CI3564" s="416"/>
      <c r="CJ3564" s="73"/>
      <c r="CK3564" s="650"/>
      <c r="CL3564" s="499"/>
      <c r="CM3564" s="650"/>
      <c r="CR3564" s="416"/>
      <c r="CS3564" s="650"/>
      <c r="CU3564" s="73"/>
      <c r="CV3564" s="73"/>
      <c r="CW3564" s="73"/>
      <c r="CX3564" s="73"/>
      <c r="DA3564" s="650"/>
    </row>
    <row r="3565" spans="1:105" s="45" customFormat="1" x14ac:dyDescent="0.2">
      <c r="A3565" s="650"/>
      <c r="B3565" s="438"/>
      <c r="D3565" s="73"/>
      <c r="E3565" s="650"/>
      <c r="F3565" s="650"/>
      <c r="G3565" s="73"/>
      <c r="I3565" s="111"/>
      <c r="J3565" s="81"/>
      <c r="K3565" s="81"/>
      <c r="L3565" s="499"/>
      <c r="M3565" s="73"/>
      <c r="N3565" s="499"/>
      <c r="O3565" s="73"/>
      <c r="P3565" s="73"/>
      <c r="Q3565" s="73"/>
      <c r="R3565" s="176"/>
      <c r="S3565" s="176"/>
      <c r="T3565" s="176"/>
      <c r="U3565" s="400"/>
      <c r="V3565" s="400"/>
      <c r="W3565" s="732"/>
      <c r="X3565" s="167"/>
      <c r="Y3565" s="509"/>
      <c r="Z3565" s="466"/>
      <c r="AA3565" s="466"/>
      <c r="AB3565" s="466"/>
      <c r="AC3565" s="466"/>
      <c r="AD3565" s="466"/>
      <c r="AE3565" s="466"/>
      <c r="AF3565" s="466"/>
      <c r="AG3565" s="466"/>
      <c r="AH3565" s="466"/>
      <c r="AI3565" s="466"/>
      <c r="AJ3565" s="466"/>
      <c r="AK3565" s="466"/>
      <c r="AL3565" s="466"/>
      <c r="AM3565" s="466"/>
      <c r="AN3565" s="466"/>
      <c r="AO3565" s="466"/>
      <c r="AP3565" s="466"/>
      <c r="AQ3565" s="466"/>
      <c r="AR3565" s="466"/>
      <c r="AS3565" s="466"/>
      <c r="AT3565" s="466"/>
      <c r="AU3565" s="466"/>
      <c r="AV3565" s="466"/>
      <c r="AW3565" s="466"/>
      <c r="AX3565" s="466"/>
      <c r="AY3565" s="466"/>
      <c r="AZ3565" s="466"/>
      <c r="BA3565" s="466"/>
      <c r="BB3565" s="466"/>
      <c r="BC3565" s="466"/>
      <c r="BD3565" s="466"/>
      <c r="BE3565" s="467"/>
      <c r="BF3565" s="467"/>
      <c r="BG3565" s="466"/>
      <c r="BH3565" s="466"/>
      <c r="BI3565" s="467"/>
      <c r="BJ3565" s="467"/>
      <c r="BK3565" s="467"/>
      <c r="BL3565" s="467"/>
      <c r="BM3565" s="467"/>
      <c r="BN3565" s="467"/>
      <c r="BO3565" s="467"/>
      <c r="BP3565" s="467"/>
      <c r="BQ3565" s="467"/>
      <c r="BR3565" s="467"/>
      <c r="BS3565" s="467"/>
      <c r="BT3565" s="467"/>
      <c r="BU3565" s="467"/>
      <c r="BV3565" s="467"/>
      <c r="BW3565" s="467"/>
      <c r="BX3565" s="769"/>
      <c r="BY3565" s="769"/>
      <c r="BZ3565" s="769"/>
      <c r="CA3565" s="769"/>
      <c r="CB3565" s="769"/>
      <c r="CC3565" s="769"/>
      <c r="CD3565" s="769"/>
      <c r="CE3565" s="769"/>
      <c r="CF3565" s="769"/>
      <c r="CG3565" s="73"/>
      <c r="CH3565" s="438"/>
      <c r="CI3565" s="416"/>
      <c r="CJ3565" s="73"/>
      <c r="CK3565" s="650"/>
      <c r="CL3565" s="499"/>
      <c r="CM3565" s="650"/>
      <c r="CR3565" s="416"/>
      <c r="CS3565" s="650"/>
      <c r="CU3565" s="73"/>
      <c r="CV3565" s="73"/>
      <c r="CW3565" s="73"/>
      <c r="CX3565" s="73"/>
      <c r="DA3565" s="650"/>
    </row>
    <row r="3566" spans="1:105" s="45" customFormat="1" x14ac:dyDescent="0.2">
      <c r="A3566" s="650"/>
      <c r="B3566" s="438"/>
      <c r="D3566" s="73"/>
      <c r="E3566" s="650"/>
      <c r="F3566" s="650"/>
      <c r="G3566" s="73"/>
      <c r="I3566" s="111"/>
      <c r="J3566" s="81"/>
      <c r="K3566" s="81"/>
      <c r="L3566" s="499"/>
      <c r="M3566" s="73"/>
      <c r="N3566" s="499"/>
      <c r="O3566" s="73"/>
      <c r="P3566" s="73"/>
      <c r="Q3566" s="73"/>
      <c r="R3566" s="176"/>
      <c r="S3566" s="176"/>
      <c r="T3566" s="176"/>
      <c r="U3566" s="400"/>
      <c r="V3566" s="400"/>
      <c r="W3566" s="732"/>
      <c r="X3566" s="167"/>
      <c r="Y3566" s="509"/>
      <c r="Z3566" s="466"/>
      <c r="AA3566" s="466"/>
      <c r="AB3566" s="466"/>
      <c r="AC3566" s="466"/>
      <c r="AD3566" s="466"/>
      <c r="AE3566" s="466"/>
      <c r="AF3566" s="466"/>
      <c r="AG3566" s="466"/>
      <c r="AH3566" s="466"/>
      <c r="AI3566" s="466"/>
      <c r="AJ3566" s="466"/>
      <c r="AK3566" s="466"/>
      <c r="AL3566" s="466"/>
      <c r="AM3566" s="466"/>
      <c r="AN3566" s="466"/>
      <c r="AO3566" s="466"/>
      <c r="AP3566" s="466"/>
      <c r="AQ3566" s="466"/>
      <c r="AR3566" s="466"/>
      <c r="AS3566" s="466"/>
      <c r="AT3566" s="466"/>
      <c r="AU3566" s="466"/>
      <c r="AV3566" s="466"/>
      <c r="AW3566" s="466"/>
      <c r="AX3566" s="466"/>
      <c r="AY3566" s="466"/>
      <c r="AZ3566" s="466"/>
      <c r="BA3566" s="466"/>
      <c r="BB3566" s="466"/>
      <c r="BC3566" s="466"/>
      <c r="BD3566" s="466"/>
      <c r="BE3566" s="467"/>
      <c r="BF3566" s="467"/>
      <c r="BG3566" s="466"/>
      <c r="BH3566" s="466"/>
      <c r="BI3566" s="467"/>
      <c r="BJ3566" s="467"/>
      <c r="BK3566" s="467"/>
      <c r="BL3566" s="467"/>
      <c r="BM3566" s="467"/>
      <c r="BN3566" s="467"/>
      <c r="BO3566" s="467"/>
      <c r="BP3566" s="467"/>
      <c r="BQ3566" s="467"/>
      <c r="BR3566" s="467"/>
      <c r="BS3566" s="467"/>
      <c r="BT3566" s="467"/>
      <c r="BU3566" s="467"/>
      <c r="BV3566" s="467"/>
      <c r="BW3566" s="467"/>
      <c r="BX3566" s="769"/>
      <c r="BY3566" s="769"/>
      <c r="BZ3566" s="769"/>
      <c r="CA3566" s="769"/>
      <c r="CB3566" s="769"/>
      <c r="CC3566" s="769"/>
      <c r="CD3566" s="769"/>
      <c r="CE3566" s="769"/>
      <c r="CF3566" s="769"/>
      <c r="CG3566" s="73"/>
      <c r="CH3566" s="438"/>
      <c r="CI3566" s="416"/>
      <c r="CJ3566" s="73"/>
      <c r="CK3566" s="650"/>
      <c r="CL3566" s="499"/>
      <c r="CM3566" s="650"/>
      <c r="CR3566" s="416"/>
      <c r="CS3566" s="650"/>
      <c r="CU3566" s="73"/>
      <c r="CV3566" s="73"/>
      <c r="CW3566" s="73"/>
      <c r="CX3566" s="73"/>
      <c r="DA3566" s="650"/>
    </row>
    <row r="3567" spans="1:105" s="45" customFormat="1" x14ac:dyDescent="0.2">
      <c r="A3567" s="650"/>
      <c r="B3567" s="438"/>
      <c r="D3567" s="73"/>
      <c r="E3567" s="650"/>
      <c r="F3567" s="650"/>
      <c r="G3567" s="73"/>
      <c r="I3567" s="111"/>
      <c r="J3567" s="81"/>
      <c r="K3567" s="81"/>
      <c r="L3567" s="499"/>
      <c r="M3567" s="73"/>
      <c r="N3567" s="499"/>
      <c r="O3567" s="73"/>
      <c r="P3567" s="73"/>
      <c r="Q3567" s="73"/>
      <c r="R3567" s="176"/>
      <c r="S3567" s="176"/>
      <c r="T3567" s="176"/>
      <c r="U3567" s="400"/>
      <c r="V3567" s="400"/>
      <c r="W3567" s="732"/>
      <c r="X3567" s="167"/>
      <c r="Y3567" s="509"/>
      <c r="Z3567" s="466"/>
      <c r="AA3567" s="466"/>
      <c r="AB3567" s="466"/>
      <c r="AC3567" s="466"/>
      <c r="AD3567" s="466"/>
      <c r="AE3567" s="466"/>
      <c r="AF3567" s="466"/>
      <c r="AG3567" s="466"/>
      <c r="AH3567" s="466"/>
      <c r="AI3567" s="466"/>
      <c r="AJ3567" s="466"/>
      <c r="AK3567" s="466"/>
      <c r="AL3567" s="466"/>
      <c r="AM3567" s="466"/>
      <c r="AN3567" s="466"/>
      <c r="AO3567" s="466"/>
      <c r="AP3567" s="466"/>
      <c r="AQ3567" s="466"/>
      <c r="AR3567" s="466"/>
      <c r="AS3567" s="466"/>
      <c r="AT3567" s="466"/>
      <c r="AU3567" s="466"/>
      <c r="AV3567" s="466"/>
      <c r="AW3567" s="466"/>
      <c r="AX3567" s="466"/>
      <c r="AY3567" s="466"/>
      <c r="AZ3567" s="466"/>
      <c r="BA3567" s="466"/>
      <c r="BB3567" s="466"/>
      <c r="BC3567" s="466"/>
      <c r="BD3567" s="466"/>
      <c r="BE3567" s="467"/>
      <c r="BF3567" s="467"/>
      <c r="BG3567" s="466"/>
      <c r="BH3567" s="466"/>
      <c r="BI3567" s="467"/>
      <c r="BJ3567" s="467"/>
      <c r="BK3567" s="467"/>
      <c r="BL3567" s="467"/>
      <c r="BM3567" s="467"/>
      <c r="BN3567" s="467"/>
      <c r="BO3567" s="467"/>
      <c r="BP3567" s="467"/>
      <c r="BQ3567" s="467"/>
      <c r="BR3567" s="467"/>
      <c r="BS3567" s="467"/>
      <c r="BT3567" s="467"/>
      <c r="BU3567" s="467"/>
      <c r="BV3567" s="467"/>
      <c r="BW3567" s="467"/>
      <c r="BX3567" s="769"/>
      <c r="BY3567" s="769"/>
      <c r="BZ3567" s="769"/>
      <c r="CA3567" s="769"/>
      <c r="CB3567" s="769"/>
      <c r="CC3567" s="769"/>
      <c r="CD3567" s="769"/>
      <c r="CE3567" s="769"/>
      <c r="CF3567" s="769"/>
      <c r="CG3567" s="73"/>
      <c r="CH3567" s="438"/>
      <c r="CI3567" s="416"/>
      <c r="CJ3567" s="73"/>
      <c r="CK3567" s="650"/>
      <c r="CL3567" s="499"/>
      <c r="CM3567" s="650"/>
      <c r="CR3567" s="416"/>
      <c r="CS3567" s="650"/>
      <c r="CU3567" s="73"/>
      <c r="CV3567" s="73"/>
      <c r="CW3567" s="73"/>
      <c r="CX3567" s="73"/>
      <c r="DA3567" s="650"/>
    </row>
    <row r="3568" spans="1:105" s="45" customFormat="1" x14ac:dyDescent="0.2">
      <c r="A3568" s="650"/>
      <c r="B3568" s="438"/>
      <c r="D3568" s="73"/>
      <c r="E3568" s="650"/>
      <c r="F3568" s="650"/>
      <c r="G3568" s="73"/>
      <c r="I3568" s="111"/>
      <c r="J3568" s="81"/>
      <c r="K3568" s="81"/>
      <c r="L3568" s="499"/>
      <c r="M3568" s="73"/>
      <c r="N3568" s="499"/>
      <c r="O3568" s="73"/>
      <c r="P3568" s="73"/>
      <c r="Q3568" s="73"/>
      <c r="R3568" s="176"/>
      <c r="S3568" s="176"/>
      <c r="T3568" s="176"/>
      <c r="U3568" s="400"/>
      <c r="V3568" s="400"/>
      <c r="W3568" s="732"/>
      <c r="X3568" s="167"/>
      <c r="Y3568" s="509"/>
      <c r="Z3568" s="466"/>
      <c r="AA3568" s="466"/>
      <c r="AB3568" s="466"/>
      <c r="AC3568" s="466"/>
      <c r="AD3568" s="466"/>
      <c r="AE3568" s="466"/>
      <c r="AF3568" s="466"/>
      <c r="AG3568" s="466"/>
      <c r="AH3568" s="466"/>
      <c r="AI3568" s="466"/>
      <c r="AJ3568" s="466"/>
      <c r="AK3568" s="466"/>
      <c r="AL3568" s="466"/>
      <c r="AM3568" s="466"/>
      <c r="AN3568" s="466"/>
      <c r="AO3568" s="466"/>
      <c r="AP3568" s="466"/>
      <c r="AQ3568" s="466"/>
      <c r="AR3568" s="466"/>
      <c r="AS3568" s="466"/>
      <c r="AT3568" s="466"/>
      <c r="AU3568" s="466"/>
      <c r="AV3568" s="466"/>
      <c r="AW3568" s="466"/>
      <c r="AX3568" s="466"/>
      <c r="AY3568" s="466"/>
      <c r="AZ3568" s="466"/>
      <c r="BA3568" s="466"/>
      <c r="BB3568" s="466"/>
      <c r="BC3568" s="466"/>
      <c r="BD3568" s="466"/>
      <c r="BE3568" s="467"/>
      <c r="BF3568" s="467"/>
      <c r="BG3568" s="466"/>
      <c r="BH3568" s="466"/>
      <c r="BI3568" s="467"/>
      <c r="BJ3568" s="467"/>
      <c r="BK3568" s="467"/>
      <c r="BL3568" s="467"/>
      <c r="BM3568" s="467"/>
      <c r="BN3568" s="467"/>
      <c r="BO3568" s="467"/>
      <c r="BP3568" s="467"/>
      <c r="BQ3568" s="467"/>
      <c r="BR3568" s="467"/>
      <c r="BS3568" s="467"/>
      <c r="BT3568" s="467"/>
      <c r="BU3568" s="467"/>
      <c r="BV3568" s="467"/>
      <c r="BW3568" s="467"/>
      <c r="BX3568" s="769"/>
      <c r="BY3568" s="769"/>
      <c r="BZ3568" s="769"/>
      <c r="CA3568" s="769"/>
      <c r="CB3568" s="769"/>
      <c r="CC3568" s="769"/>
      <c r="CD3568" s="769"/>
      <c r="CE3568" s="769"/>
      <c r="CF3568" s="769"/>
      <c r="CG3568" s="73"/>
      <c r="CH3568" s="438"/>
      <c r="CI3568" s="416"/>
      <c r="CJ3568" s="73"/>
      <c r="CK3568" s="650"/>
      <c r="CL3568" s="499"/>
      <c r="CM3568" s="650"/>
      <c r="CR3568" s="416"/>
      <c r="CS3568" s="650"/>
      <c r="CU3568" s="73"/>
      <c r="CV3568" s="73"/>
      <c r="CW3568" s="73"/>
      <c r="CX3568" s="73"/>
      <c r="DA3568" s="650"/>
    </row>
    <row r="3569" spans="1:105" s="45" customFormat="1" x14ac:dyDescent="0.2">
      <c r="A3569" s="650"/>
      <c r="B3569" s="438"/>
      <c r="D3569" s="73"/>
      <c r="E3569" s="650"/>
      <c r="F3569" s="650"/>
      <c r="G3569" s="73"/>
      <c r="I3569" s="111"/>
      <c r="J3569" s="81"/>
      <c r="K3569" s="81"/>
      <c r="L3569" s="499"/>
      <c r="M3569" s="73"/>
      <c r="N3569" s="499"/>
      <c r="O3569" s="73"/>
      <c r="P3569" s="73"/>
      <c r="Q3569" s="73"/>
      <c r="R3569" s="176"/>
      <c r="S3569" s="176"/>
      <c r="T3569" s="176"/>
      <c r="U3569" s="400"/>
      <c r="V3569" s="400"/>
      <c r="W3569" s="732"/>
      <c r="X3569" s="167"/>
      <c r="Y3569" s="509"/>
      <c r="Z3569" s="466"/>
      <c r="AA3569" s="466"/>
      <c r="AB3569" s="466"/>
      <c r="AC3569" s="466"/>
      <c r="AD3569" s="466"/>
      <c r="AE3569" s="466"/>
      <c r="AF3569" s="466"/>
      <c r="AG3569" s="466"/>
      <c r="AH3569" s="466"/>
      <c r="AI3569" s="466"/>
      <c r="AJ3569" s="466"/>
      <c r="AK3569" s="466"/>
      <c r="AL3569" s="466"/>
      <c r="AM3569" s="466"/>
      <c r="AN3569" s="466"/>
      <c r="AO3569" s="466"/>
      <c r="AP3569" s="466"/>
      <c r="AQ3569" s="466"/>
      <c r="AR3569" s="466"/>
      <c r="AS3569" s="466"/>
      <c r="AT3569" s="466"/>
      <c r="AU3569" s="466"/>
      <c r="AV3569" s="466"/>
      <c r="AW3569" s="466"/>
      <c r="AX3569" s="466"/>
      <c r="AY3569" s="466"/>
      <c r="AZ3569" s="466"/>
      <c r="BA3569" s="466"/>
      <c r="BB3569" s="466"/>
      <c r="BC3569" s="466"/>
      <c r="BD3569" s="466"/>
      <c r="BE3569" s="467"/>
      <c r="BF3569" s="467"/>
      <c r="BG3569" s="466"/>
      <c r="BH3569" s="466"/>
      <c r="BI3569" s="467"/>
      <c r="BJ3569" s="467"/>
      <c r="BK3569" s="467"/>
      <c r="BL3569" s="467"/>
      <c r="BM3569" s="467"/>
      <c r="BN3569" s="467"/>
      <c r="BO3569" s="467"/>
      <c r="BP3569" s="467"/>
      <c r="BQ3569" s="467"/>
      <c r="BR3569" s="467"/>
      <c r="BS3569" s="467"/>
      <c r="BT3569" s="467"/>
      <c r="BU3569" s="467"/>
      <c r="BV3569" s="467"/>
      <c r="BW3569" s="467"/>
      <c r="BX3569" s="769"/>
      <c r="BY3569" s="769"/>
      <c r="BZ3569" s="769"/>
      <c r="CA3569" s="769"/>
      <c r="CB3569" s="769"/>
      <c r="CC3569" s="769"/>
      <c r="CD3569" s="769"/>
      <c r="CE3569" s="769"/>
      <c r="CF3569" s="769"/>
      <c r="CG3569" s="73"/>
      <c r="CH3569" s="438"/>
      <c r="CI3569" s="416"/>
      <c r="CJ3569" s="73"/>
      <c r="CK3569" s="650"/>
      <c r="CL3569" s="499"/>
      <c r="CM3569" s="650"/>
      <c r="CR3569" s="416"/>
      <c r="CS3569" s="650"/>
      <c r="CU3569" s="73"/>
      <c r="CV3569" s="73"/>
      <c r="CW3569" s="73"/>
      <c r="CX3569" s="73"/>
      <c r="DA3569" s="650"/>
    </row>
    <row r="3570" spans="1:105" s="45" customFormat="1" x14ac:dyDescent="0.2">
      <c r="A3570" s="650"/>
      <c r="B3570" s="438"/>
      <c r="D3570" s="73"/>
      <c r="E3570" s="650"/>
      <c r="F3570" s="650"/>
      <c r="G3570" s="73"/>
      <c r="I3570" s="111"/>
      <c r="J3570" s="81"/>
      <c r="K3570" s="81"/>
      <c r="L3570" s="499"/>
      <c r="M3570" s="73"/>
      <c r="N3570" s="499"/>
      <c r="O3570" s="73"/>
      <c r="P3570" s="73"/>
      <c r="Q3570" s="73"/>
      <c r="R3570" s="176"/>
      <c r="S3570" s="176"/>
      <c r="T3570" s="176"/>
      <c r="U3570" s="400"/>
      <c r="V3570" s="400"/>
      <c r="W3570" s="732"/>
      <c r="X3570" s="167"/>
      <c r="Y3570" s="509"/>
      <c r="Z3570" s="466"/>
      <c r="AA3570" s="466"/>
      <c r="AB3570" s="466"/>
      <c r="AC3570" s="466"/>
      <c r="AD3570" s="466"/>
      <c r="AE3570" s="466"/>
      <c r="AF3570" s="466"/>
      <c r="AG3570" s="466"/>
      <c r="AH3570" s="466"/>
      <c r="AI3570" s="466"/>
      <c r="AJ3570" s="466"/>
      <c r="AK3570" s="466"/>
      <c r="AL3570" s="466"/>
      <c r="AM3570" s="466"/>
      <c r="AN3570" s="466"/>
      <c r="AO3570" s="466"/>
      <c r="AP3570" s="466"/>
      <c r="AQ3570" s="466"/>
      <c r="AR3570" s="466"/>
      <c r="AS3570" s="466"/>
      <c r="AT3570" s="466"/>
      <c r="AU3570" s="466"/>
      <c r="AV3570" s="466"/>
      <c r="AW3570" s="466"/>
      <c r="AX3570" s="466"/>
      <c r="AY3570" s="466"/>
      <c r="AZ3570" s="466"/>
      <c r="BA3570" s="466"/>
      <c r="BB3570" s="466"/>
      <c r="BC3570" s="466"/>
      <c r="BD3570" s="466"/>
      <c r="BE3570" s="467"/>
      <c r="BF3570" s="467"/>
      <c r="BG3570" s="466"/>
      <c r="BH3570" s="466"/>
      <c r="BI3570" s="467"/>
      <c r="BJ3570" s="467"/>
      <c r="BK3570" s="467"/>
      <c r="BL3570" s="467"/>
      <c r="BM3570" s="467"/>
      <c r="BN3570" s="467"/>
      <c r="BO3570" s="467"/>
      <c r="BP3570" s="467"/>
      <c r="BQ3570" s="467"/>
      <c r="BR3570" s="467"/>
      <c r="BS3570" s="467"/>
      <c r="BT3570" s="467"/>
      <c r="BU3570" s="467"/>
      <c r="BV3570" s="467"/>
      <c r="BW3570" s="467"/>
      <c r="BX3570" s="769"/>
      <c r="BY3570" s="769"/>
      <c r="BZ3570" s="769"/>
      <c r="CA3570" s="769"/>
      <c r="CB3570" s="769"/>
      <c r="CC3570" s="769"/>
      <c r="CD3570" s="769"/>
      <c r="CE3570" s="769"/>
      <c r="CF3570" s="769"/>
      <c r="CG3570" s="73"/>
      <c r="CH3570" s="438"/>
      <c r="CI3570" s="416"/>
      <c r="CJ3570" s="73"/>
      <c r="CK3570" s="650"/>
      <c r="CL3570" s="499"/>
      <c r="CM3570" s="650"/>
      <c r="CR3570" s="416"/>
      <c r="CS3570" s="650"/>
      <c r="CU3570" s="73"/>
      <c r="CV3570" s="73"/>
      <c r="CW3570" s="73"/>
      <c r="CX3570" s="73"/>
      <c r="DA3570" s="650"/>
    </row>
    <row r="3571" spans="1:105" s="45" customFormat="1" x14ac:dyDescent="0.2">
      <c r="A3571" s="650"/>
      <c r="B3571" s="438"/>
      <c r="D3571" s="73"/>
      <c r="E3571" s="650"/>
      <c r="F3571" s="650"/>
      <c r="G3571" s="73"/>
      <c r="I3571" s="111"/>
      <c r="J3571" s="81"/>
      <c r="K3571" s="81"/>
      <c r="L3571" s="499"/>
      <c r="M3571" s="73"/>
      <c r="N3571" s="499"/>
      <c r="O3571" s="73"/>
      <c r="P3571" s="73"/>
      <c r="Q3571" s="73"/>
      <c r="R3571" s="176"/>
      <c r="S3571" s="176"/>
      <c r="T3571" s="176"/>
      <c r="U3571" s="400"/>
      <c r="V3571" s="400"/>
      <c r="W3571" s="732"/>
      <c r="X3571" s="167"/>
      <c r="Y3571" s="509"/>
      <c r="Z3571" s="466"/>
      <c r="AA3571" s="466"/>
      <c r="AB3571" s="466"/>
      <c r="AC3571" s="466"/>
      <c r="AD3571" s="466"/>
      <c r="AE3571" s="466"/>
      <c r="AF3571" s="466"/>
      <c r="AG3571" s="466"/>
      <c r="AH3571" s="466"/>
      <c r="AI3571" s="466"/>
      <c r="AJ3571" s="466"/>
      <c r="AK3571" s="466"/>
      <c r="AL3571" s="466"/>
      <c r="AM3571" s="466"/>
      <c r="AN3571" s="466"/>
      <c r="AO3571" s="466"/>
      <c r="AP3571" s="466"/>
      <c r="AQ3571" s="466"/>
      <c r="AR3571" s="466"/>
      <c r="AS3571" s="466"/>
      <c r="AT3571" s="466"/>
      <c r="AU3571" s="466"/>
      <c r="AV3571" s="466"/>
      <c r="AW3571" s="466"/>
      <c r="AX3571" s="466"/>
      <c r="AY3571" s="466"/>
      <c r="AZ3571" s="466"/>
      <c r="BA3571" s="466"/>
      <c r="BB3571" s="466"/>
      <c r="BC3571" s="466"/>
      <c r="BD3571" s="466"/>
      <c r="BE3571" s="467"/>
      <c r="BF3571" s="467"/>
      <c r="BG3571" s="466"/>
      <c r="BH3571" s="466"/>
      <c r="BI3571" s="467"/>
      <c r="BJ3571" s="467"/>
      <c r="BK3571" s="467"/>
      <c r="BL3571" s="467"/>
      <c r="BM3571" s="467"/>
      <c r="BN3571" s="467"/>
      <c r="BO3571" s="467"/>
      <c r="BP3571" s="467"/>
      <c r="BQ3571" s="467"/>
      <c r="BR3571" s="467"/>
      <c r="BS3571" s="467"/>
      <c r="BT3571" s="467"/>
      <c r="BU3571" s="467"/>
      <c r="BV3571" s="467"/>
      <c r="BW3571" s="467"/>
      <c r="BX3571" s="769"/>
      <c r="BY3571" s="769"/>
      <c r="BZ3571" s="769"/>
      <c r="CA3571" s="769"/>
      <c r="CB3571" s="769"/>
      <c r="CC3571" s="769"/>
      <c r="CD3571" s="769"/>
      <c r="CE3571" s="769"/>
      <c r="CF3571" s="769"/>
      <c r="CG3571" s="73"/>
      <c r="CH3571" s="438"/>
      <c r="CI3571" s="416"/>
      <c r="CJ3571" s="73"/>
      <c r="CK3571" s="650"/>
      <c r="CL3571" s="499"/>
      <c r="CM3571" s="650"/>
      <c r="CR3571" s="416"/>
      <c r="CS3571" s="650"/>
      <c r="CU3571" s="73"/>
      <c r="CV3571" s="73"/>
      <c r="CW3571" s="73"/>
      <c r="CX3571" s="73"/>
      <c r="DA3571" s="650"/>
    </row>
    <row r="3572" spans="1:105" s="45" customFormat="1" x14ac:dyDescent="0.2">
      <c r="A3572" s="650"/>
      <c r="B3572" s="438"/>
      <c r="D3572" s="73"/>
      <c r="E3572" s="650"/>
      <c r="F3572" s="650"/>
      <c r="G3572" s="73"/>
      <c r="I3572" s="111"/>
      <c r="J3572" s="81"/>
      <c r="K3572" s="81"/>
      <c r="L3572" s="499"/>
      <c r="M3572" s="73"/>
      <c r="N3572" s="499"/>
      <c r="O3572" s="73"/>
      <c r="P3572" s="73"/>
      <c r="Q3572" s="73"/>
      <c r="R3572" s="176"/>
      <c r="S3572" s="176"/>
      <c r="T3572" s="176"/>
      <c r="U3572" s="400"/>
      <c r="V3572" s="400"/>
      <c r="W3572" s="732"/>
      <c r="X3572" s="167"/>
      <c r="Y3572" s="509"/>
      <c r="Z3572" s="466"/>
      <c r="AA3572" s="466"/>
      <c r="AB3572" s="466"/>
      <c r="AC3572" s="466"/>
      <c r="AD3572" s="466"/>
      <c r="AE3572" s="466"/>
      <c r="AF3572" s="466"/>
      <c r="AG3572" s="466"/>
      <c r="AH3572" s="466"/>
      <c r="AI3572" s="466"/>
      <c r="AJ3572" s="466"/>
      <c r="AK3572" s="466"/>
      <c r="AL3572" s="466"/>
      <c r="AM3572" s="466"/>
      <c r="AN3572" s="466"/>
      <c r="AO3572" s="466"/>
      <c r="AP3572" s="466"/>
      <c r="AQ3572" s="466"/>
      <c r="AR3572" s="466"/>
      <c r="AS3572" s="466"/>
      <c r="AT3572" s="466"/>
      <c r="AU3572" s="466"/>
      <c r="AV3572" s="466"/>
      <c r="AW3572" s="466"/>
      <c r="AX3572" s="466"/>
      <c r="AY3572" s="466"/>
      <c r="AZ3572" s="466"/>
      <c r="BA3572" s="466"/>
      <c r="BB3572" s="466"/>
      <c r="BC3572" s="466"/>
      <c r="BD3572" s="466"/>
      <c r="BE3572" s="467"/>
      <c r="BF3572" s="467"/>
      <c r="BG3572" s="466"/>
      <c r="BH3572" s="466"/>
      <c r="BI3572" s="467"/>
      <c r="BJ3572" s="467"/>
      <c r="BK3572" s="467"/>
      <c r="BL3572" s="467"/>
      <c r="BM3572" s="467"/>
      <c r="BN3572" s="467"/>
      <c r="BO3572" s="467"/>
      <c r="BP3572" s="467"/>
      <c r="BQ3572" s="467"/>
      <c r="BR3572" s="467"/>
      <c r="BS3572" s="467"/>
      <c r="BT3572" s="467"/>
      <c r="BU3572" s="467"/>
      <c r="BV3572" s="467"/>
      <c r="BW3572" s="467"/>
      <c r="BX3572" s="769"/>
      <c r="BY3572" s="769"/>
      <c r="BZ3572" s="769"/>
      <c r="CA3572" s="769"/>
      <c r="CB3572" s="769"/>
      <c r="CC3572" s="769"/>
      <c r="CD3572" s="769"/>
      <c r="CE3572" s="769"/>
      <c r="CF3572" s="769"/>
      <c r="CG3572" s="73"/>
      <c r="CH3572" s="438"/>
      <c r="CI3572" s="416"/>
      <c r="CJ3572" s="73"/>
      <c r="CK3572" s="650"/>
      <c r="CL3572" s="499"/>
      <c r="CM3572" s="650"/>
      <c r="CR3572" s="416"/>
      <c r="CS3572" s="650"/>
      <c r="CU3572" s="73"/>
      <c r="CV3572" s="73"/>
      <c r="CW3572" s="73"/>
      <c r="CX3572" s="73"/>
      <c r="DA3572" s="650"/>
    </row>
    <row r="3573" spans="1:105" s="45" customFormat="1" x14ac:dyDescent="0.2">
      <c r="A3573" s="650"/>
      <c r="B3573" s="438"/>
      <c r="D3573" s="73"/>
      <c r="E3573" s="650"/>
      <c r="F3573" s="650"/>
      <c r="G3573" s="73"/>
      <c r="I3573" s="111"/>
      <c r="J3573" s="81"/>
      <c r="K3573" s="81"/>
      <c r="L3573" s="499"/>
      <c r="M3573" s="73"/>
      <c r="N3573" s="499"/>
      <c r="O3573" s="73"/>
      <c r="P3573" s="73"/>
      <c r="Q3573" s="73"/>
      <c r="R3573" s="176"/>
      <c r="S3573" s="176"/>
      <c r="T3573" s="176"/>
      <c r="U3573" s="400"/>
      <c r="V3573" s="400"/>
      <c r="W3573" s="732"/>
      <c r="X3573" s="167"/>
      <c r="Y3573" s="509"/>
      <c r="Z3573" s="466"/>
      <c r="AA3573" s="466"/>
      <c r="AB3573" s="466"/>
      <c r="AC3573" s="466"/>
      <c r="AD3573" s="466"/>
      <c r="AE3573" s="466"/>
      <c r="AF3573" s="466"/>
      <c r="AG3573" s="466"/>
      <c r="AH3573" s="466"/>
      <c r="AI3573" s="466"/>
      <c r="AJ3573" s="466"/>
      <c r="AK3573" s="466"/>
      <c r="AL3573" s="466"/>
      <c r="AM3573" s="466"/>
      <c r="AN3573" s="466"/>
      <c r="AO3573" s="466"/>
      <c r="AP3573" s="466"/>
      <c r="AQ3573" s="466"/>
      <c r="AR3573" s="466"/>
      <c r="AS3573" s="466"/>
      <c r="AT3573" s="466"/>
      <c r="AU3573" s="466"/>
      <c r="AV3573" s="466"/>
      <c r="AW3573" s="466"/>
      <c r="AX3573" s="466"/>
      <c r="AY3573" s="466"/>
      <c r="AZ3573" s="466"/>
      <c r="BA3573" s="466"/>
      <c r="BB3573" s="466"/>
      <c r="BC3573" s="466"/>
      <c r="BD3573" s="466"/>
      <c r="BE3573" s="467"/>
      <c r="BF3573" s="467"/>
      <c r="BG3573" s="466"/>
      <c r="BH3573" s="466"/>
      <c r="BI3573" s="467"/>
      <c r="BJ3573" s="467"/>
      <c r="BK3573" s="467"/>
      <c r="BL3573" s="467"/>
      <c r="BM3573" s="467"/>
      <c r="BN3573" s="467"/>
      <c r="BO3573" s="467"/>
      <c r="BP3573" s="467"/>
      <c r="BQ3573" s="467"/>
      <c r="BR3573" s="467"/>
      <c r="BS3573" s="467"/>
      <c r="BT3573" s="467"/>
      <c r="BU3573" s="467"/>
      <c r="BV3573" s="467"/>
      <c r="BW3573" s="467"/>
      <c r="BX3573" s="769"/>
      <c r="BY3573" s="769"/>
      <c r="BZ3573" s="769"/>
      <c r="CA3573" s="769"/>
      <c r="CB3573" s="769"/>
      <c r="CC3573" s="769"/>
      <c r="CD3573" s="769"/>
      <c r="CE3573" s="769"/>
      <c r="CF3573" s="769"/>
      <c r="CG3573" s="73"/>
      <c r="CH3573" s="438"/>
      <c r="CI3573" s="416"/>
      <c r="CJ3573" s="73"/>
      <c r="CK3573" s="650"/>
      <c r="CL3573" s="499"/>
      <c r="CM3573" s="650"/>
      <c r="CR3573" s="416"/>
      <c r="CS3573" s="650"/>
      <c r="CU3573" s="73"/>
      <c r="CV3573" s="73"/>
      <c r="CW3573" s="73"/>
      <c r="CX3573" s="73"/>
      <c r="DA3573" s="650"/>
    </row>
    <row r="3574" spans="1:105" s="45" customFormat="1" x14ac:dyDescent="0.2">
      <c r="A3574" s="650"/>
      <c r="B3574" s="438"/>
      <c r="D3574" s="73"/>
      <c r="E3574" s="650"/>
      <c r="F3574" s="650"/>
      <c r="G3574" s="73"/>
      <c r="I3574" s="111"/>
      <c r="J3574" s="81"/>
      <c r="K3574" s="81"/>
      <c r="L3574" s="499"/>
      <c r="M3574" s="73"/>
      <c r="N3574" s="499"/>
      <c r="O3574" s="73"/>
      <c r="P3574" s="73"/>
      <c r="Q3574" s="73"/>
      <c r="R3574" s="176"/>
      <c r="S3574" s="176"/>
      <c r="T3574" s="176"/>
      <c r="U3574" s="400"/>
      <c r="V3574" s="400"/>
      <c r="W3574" s="732"/>
      <c r="X3574" s="167"/>
      <c r="Y3574" s="509"/>
      <c r="Z3574" s="466"/>
      <c r="AA3574" s="466"/>
      <c r="AB3574" s="466"/>
      <c r="AC3574" s="466"/>
      <c r="AD3574" s="466"/>
      <c r="AE3574" s="466"/>
      <c r="AF3574" s="466"/>
      <c r="AG3574" s="466"/>
      <c r="AH3574" s="466"/>
      <c r="AI3574" s="466"/>
      <c r="AJ3574" s="466"/>
      <c r="AK3574" s="466"/>
      <c r="AL3574" s="466"/>
      <c r="AM3574" s="466"/>
      <c r="AN3574" s="466"/>
      <c r="AO3574" s="466"/>
      <c r="AP3574" s="466"/>
      <c r="AQ3574" s="466"/>
      <c r="AR3574" s="466"/>
      <c r="AS3574" s="466"/>
      <c r="AT3574" s="466"/>
      <c r="AU3574" s="466"/>
      <c r="AV3574" s="466"/>
      <c r="AW3574" s="466"/>
      <c r="AX3574" s="466"/>
      <c r="AY3574" s="466"/>
      <c r="AZ3574" s="466"/>
      <c r="BA3574" s="466"/>
      <c r="BB3574" s="466"/>
      <c r="BC3574" s="466"/>
      <c r="BD3574" s="466"/>
      <c r="BE3574" s="467"/>
      <c r="BF3574" s="467"/>
      <c r="BG3574" s="466"/>
      <c r="BH3574" s="466"/>
      <c r="BI3574" s="467"/>
      <c r="BJ3574" s="467"/>
      <c r="BK3574" s="467"/>
      <c r="BL3574" s="467"/>
      <c r="BM3574" s="467"/>
      <c r="BN3574" s="467"/>
      <c r="BO3574" s="467"/>
      <c r="BP3574" s="467"/>
      <c r="BQ3574" s="467"/>
      <c r="BR3574" s="467"/>
      <c r="BS3574" s="467"/>
      <c r="BT3574" s="467"/>
      <c r="BU3574" s="467"/>
      <c r="BV3574" s="467"/>
      <c r="BW3574" s="467"/>
      <c r="BX3574" s="769"/>
      <c r="BY3574" s="769"/>
      <c r="BZ3574" s="769"/>
      <c r="CA3574" s="769"/>
      <c r="CB3574" s="769"/>
      <c r="CC3574" s="769"/>
      <c r="CD3574" s="769"/>
      <c r="CE3574" s="769"/>
      <c r="CF3574" s="769"/>
      <c r="CG3574" s="73"/>
      <c r="CH3574" s="438"/>
      <c r="CI3574" s="416"/>
      <c r="CJ3574" s="73"/>
      <c r="CK3574" s="650"/>
      <c r="CL3574" s="499"/>
      <c r="CM3574" s="650"/>
      <c r="CR3574" s="416"/>
      <c r="CS3574" s="650"/>
      <c r="CU3574" s="73"/>
      <c r="CV3574" s="73"/>
      <c r="CW3574" s="73"/>
      <c r="CX3574" s="73"/>
      <c r="DA3574" s="650"/>
    </row>
    <row r="3575" spans="1:105" s="45" customFormat="1" x14ac:dyDescent="0.2">
      <c r="A3575" s="650"/>
      <c r="B3575" s="438"/>
      <c r="D3575" s="73"/>
      <c r="E3575" s="650"/>
      <c r="F3575" s="650"/>
      <c r="G3575" s="73"/>
      <c r="I3575" s="111"/>
      <c r="J3575" s="81"/>
      <c r="K3575" s="81"/>
      <c r="L3575" s="499"/>
      <c r="M3575" s="73"/>
      <c r="N3575" s="499"/>
      <c r="O3575" s="73"/>
      <c r="P3575" s="73"/>
      <c r="Q3575" s="73"/>
      <c r="R3575" s="176"/>
      <c r="S3575" s="176"/>
      <c r="T3575" s="176"/>
      <c r="U3575" s="400"/>
      <c r="V3575" s="400"/>
      <c r="W3575" s="732"/>
      <c r="X3575" s="167"/>
      <c r="Y3575" s="509"/>
      <c r="Z3575" s="466"/>
      <c r="AA3575" s="466"/>
      <c r="AB3575" s="466"/>
      <c r="AC3575" s="466"/>
      <c r="AD3575" s="466"/>
      <c r="AE3575" s="466"/>
      <c r="AF3575" s="466"/>
      <c r="AG3575" s="466"/>
      <c r="AH3575" s="466"/>
      <c r="AI3575" s="466"/>
      <c r="AJ3575" s="466"/>
      <c r="AK3575" s="466"/>
      <c r="AL3575" s="466"/>
      <c r="AM3575" s="466"/>
      <c r="AN3575" s="466"/>
      <c r="AO3575" s="466"/>
      <c r="AP3575" s="466"/>
      <c r="AQ3575" s="466"/>
      <c r="AR3575" s="466"/>
      <c r="AS3575" s="466"/>
      <c r="AT3575" s="466"/>
      <c r="AU3575" s="466"/>
      <c r="AV3575" s="466"/>
      <c r="AW3575" s="466"/>
      <c r="AX3575" s="466"/>
      <c r="AY3575" s="466"/>
      <c r="AZ3575" s="466"/>
      <c r="BA3575" s="466"/>
      <c r="BB3575" s="466"/>
      <c r="BC3575" s="466"/>
      <c r="BD3575" s="466"/>
      <c r="BE3575" s="467"/>
      <c r="BF3575" s="467"/>
      <c r="BG3575" s="466"/>
      <c r="BH3575" s="466"/>
      <c r="BI3575" s="467"/>
      <c r="BJ3575" s="467"/>
      <c r="BK3575" s="467"/>
      <c r="BL3575" s="467"/>
      <c r="BM3575" s="467"/>
      <c r="BN3575" s="467"/>
      <c r="BO3575" s="467"/>
      <c r="BP3575" s="467"/>
      <c r="BQ3575" s="467"/>
      <c r="BR3575" s="467"/>
      <c r="BS3575" s="467"/>
      <c r="BT3575" s="467"/>
      <c r="BU3575" s="467"/>
      <c r="BV3575" s="467"/>
      <c r="BW3575" s="467"/>
      <c r="BX3575" s="769"/>
      <c r="BY3575" s="769"/>
      <c r="BZ3575" s="769"/>
      <c r="CA3575" s="769"/>
      <c r="CB3575" s="769"/>
      <c r="CC3575" s="769"/>
      <c r="CD3575" s="769"/>
      <c r="CE3575" s="769"/>
      <c r="CF3575" s="769"/>
      <c r="CG3575" s="73"/>
      <c r="CH3575" s="438"/>
      <c r="CI3575" s="416"/>
      <c r="CJ3575" s="73"/>
      <c r="CK3575" s="650"/>
      <c r="CL3575" s="499"/>
      <c r="CM3575" s="650"/>
      <c r="CR3575" s="416"/>
      <c r="CS3575" s="650"/>
      <c r="CU3575" s="73"/>
      <c r="CV3575" s="73"/>
      <c r="CW3575" s="73"/>
      <c r="CX3575" s="73"/>
      <c r="DA3575" s="650"/>
    </row>
    <row r="3576" spans="1:105" s="45" customFormat="1" x14ac:dyDescent="0.2">
      <c r="A3576" s="650"/>
      <c r="B3576" s="438"/>
      <c r="D3576" s="73"/>
      <c r="E3576" s="650"/>
      <c r="F3576" s="650"/>
      <c r="G3576" s="73"/>
      <c r="I3576" s="111"/>
      <c r="J3576" s="81"/>
      <c r="K3576" s="81"/>
      <c r="L3576" s="499"/>
      <c r="M3576" s="73"/>
      <c r="N3576" s="499"/>
      <c r="O3576" s="73"/>
      <c r="P3576" s="73"/>
      <c r="Q3576" s="73"/>
      <c r="R3576" s="176"/>
      <c r="S3576" s="176"/>
      <c r="T3576" s="176"/>
      <c r="U3576" s="400"/>
      <c r="V3576" s="400"/>
      <c r="W3576" s="732"/>
      <c r="X3576" s="167"/>
      <c r="Y3576" s="509"/>
      <c r="Z3576" s="466"/>
      <c r="AA3576" s="466"/>
      <c r="AB3576" s="466"/>
      <c r="AC3576" s="466"/>
      <c r="AD3576" s="466"/>
      <c r="AE3576" s="466"/>
      <c r="AF3576" s="466"/>
      <c r="AG3576" s="466"/>
      <c r="AH3576" s="466"/>
      <c r="AI3576" s="466"/>
      <c r="AJ3576" s="466"/>
      <c r="AK3576" s="466"/>
      <c r="AL3576" s="466"/>
      <c r="AM3576" s="466"/>
      <c r="AN3576" s="466"/>
      <c r="AO3576" s="466"/>
      <c r="AP3576" s="466"/>
      <c r="AQ3576" s="466"/>
      <c r="AR3576" s="466"/>
      <c r="AS3576" s="466"/>
      <c r="AT3576" s="466"/>
      <c r="AU3576" s="466"/>
      <c r="AV3576" s="466"/>
      <c r="AW3576" s="466"/>
      <c r="AX3576" s="466"/>
      <c r="AY3576" s="466"/>
      <c r="AZ3576" s="466"/>
      <c r="BA3576" s="466"/>
      <c r="BB3576" s="466"/>
      <c r="BC3576" s="466"/>
      <c r="BD3576" s="466"/>
      <c r="BE3576" s="467"/>
      <c r="BF3576" s="467"/>
      <c r="BG3576" s="466"/>
      <c r="BH3576" s="466"/>
      <c r="BI3576" s="467"/>
      <c r="BJ3576" s="467"/>
      <c r="BK3576" s="467"/>
      <c r="BL3576" s="467"/>
      <c r="BM3576" s="467"/>
      <c r="BN3576" s="467"/>
      <c r="BO3576" s="467"/>
      <c r="BP3576" s="467"/>
      <c r="BQ3576" s="467"/>
      <c r="BR3576" s="467"/>
      <c r="BS3576" s="467"/>
      <c r="BT3576" s="467"/>
      <c r="BU3576" s="467"/>
      <c r="BV3576" s="467"/>
      <c r="BW3576" s="467"/>
      <c r="BX3576" s="769"/>
      <c r="BY3576" s="769"/>
      <c r="BZ3576" s="769"/>
      <c r="CA3576" s="769"/>
      <c r="CB3576" s="769"/>
      <c r="CC3576" s="769"/>
      <c r="CD3576" s="769"/>
      <c r="CE3576" s="769"/>
      <c r="CF3576" s="769"/>
      <c r="CG3576" s="73"/>
      <c r="CH3576" s="438"/>
      <c r="CI3576" s="416"/>
      <c r="CJ3576" s="73"/>
      <c r="CK3576" s="650"/>
      <c r="CL3576" s="499"/>
      <c r="CM3576" s="650"/>
      <c r="CR3576" s="416"/>
      <c r="CS3576" s="650"/>
      <c r="CU3576" s="73"/>
      <c r="CV3576" s="73"/>
      <c r="CW3576" s="73"/>
      <c r="CX3576" s="73"/>
      <c r="DA3576" s="650"/>
    </row>
    <row r="3577" spans="1:105" s="45" customFormat="1" x14ac:dyDescent="0.2">
      <c r="A3577" s="650"/>
      <c r="B3577" s="438"/>
      <c r="D3577" s="73"/>
      <c r="E3577" s="650"/>
      <c r="F3577" s="650"/>
      <c r="G3577" s="73"/>
      <c r="I3577" s="111"/>
      <c r="J3577" s="81"/>
      <c r="K3577" s="81"/>
      <c r="L3577" s="499"/>
      <c r="M3577" s="73"/>
      <c r="N3577" s="499"/>
      <c r="O3577" s="73"/>
      <c r="P3577" s="73"/>
      <c r="Q3577" s="73"/>
      <c r="R3577" s="176"/>
      <c r="S3577" s="176"/>
      <c r="T3577" s="176"/>
      <c r="U3577" s="400"/>
      <c r="V3577" s="400"/>
      <c r="W3577" s="732"/>
      <c r="X3577" s="167"/>
      <c r="Y3577" s="509"/>
      <c r="Z3577" s="466"/>
      <c r="AA3577" s="466"/>
      <c r="AB3577" s="466"/>
      <c r="AC3577" s="466"/>
      <c r="AD3577" s="466"/>
      <c r="AE3577" s="466"/>
      <c r="AF3577" s="466"/>
      <c r="AG3577" s="466"/>
      <c r="AH3577" s="466"/>
      <c r="AI3577" s="466"/>
      <c r="AJ3577" s="466"/>
      <c r="AK3577" s="466"/>
      <c r="AL3577" s="466"/>
      <c r="AM3577" s="466"/>
      <c r="AN3577" s="466"/>
      <c r="AO3577" s="466"/>
      <c r="AP3577" s="466"/>
      <c r="AQ3577" s="466"/>
      <c r="AR3577" s="466"/>
      <c r="AS3577" s="466"/>
      <c r="AT3577" s="466"/>
      <c r="AU3577" s="466"/>
      <c r="AV3577" s="466"/>
      <c r="AW3577" s="466"/>
      <c r="AX3577" s="466"/>
      <c r="AY3577" s="466"/>
      <c r="AZ3577" s="466"/>
      <c r="BA3577" s="466"/>
      <c r="BB3577" s="466"/>
      <c r="BC3577" s="466"/>
      <c r="BD3577" s="466"/>
      <c r="BE3577" s="467"/>
      <c r="BF3577" s="467"/>
      <c r="BG3577" s="466"/>
      <c r="BH3577" s="466"/>
      <c r="BI3577" s="467"/>
      <c r="BJ3577" s="467"/>
      <c r="BK3577" s="467"/>
      <c r="BL3577" s="467"/>
      <c r="BM3577" s="467"/>
      <c r="BN3577" s="467"/>
      <c r="BO3577" s="467"/>
      <c r="BP3577" s="467"/>
      <c r="BQ3577" s="467"/>
      <c r="BR3577" s="467"/>
      <c r="BS3577" s="467"/>
      <c r="BT3577" s="467"/>
      <c r="BU3577" s="467"/>
      <c r="BV3577" s="467"/>
      <c r="BW3577" s="467"/>
      <c r="BX3577" s="769"/>
      <c r="BY3577" s="769"/>
      <c r="BZ3577" s="769"/>
      <c r="CA3577" s="769"/>
      <c r="CB3577" s="769"/>
      <c r="CC3577" s="769"/>
      <c r="CD3577" s="769"/>
      <c r="CE3577" s="769"/>
      <c r="CF3577" s="769"/>
      <c r="CG3577" s="73"/>
      <c r="CH3577" s="438"/>
      <c r="CI3577" s="416"/>
      <c r="CJ3577" s="73"/>
      <c r="CK3577" s="650"/>
      <c r="CL3577" s="499"/>
      <c r="CM3577" s="650"/>
      <c r="CR3577" s="416"/>
      <c r="CS3577" s="650"/>
      <c r="CU3577" s="73"/>
      <c r="CV3577" s="73"/>
      <c r="CW3577" s="73"/>
      <c r="CX3577" s="73"/>
      <c r="DA3577" s="650"/>
    </row>
    <row r="3578" spans="1:105" s="45" customFormat="1" x14ac:dyDescent="0.2">
      <c r="A3578" s="650"/>
      <c r="B3578" s="438"/>
      <c r="D3578" s="73"/>
      <c r="E3578" s="650"/>
      <c r="F3578" s="650"/>
      <c r="G3578" s="73"/>
      <c r="I3578" s="111"/>
      <c r="J3578" s="81"/>
      <c r="K3578" s="81"/>
      <c r="L3578" s="499"/>
      <c r="M3578" s="73"/>
      <c r="N3578" s="499"/>
      <c r="O3578" s="73"/>
      <c r="P3578" s="73"/>
      <c r="Q3578" s="73"/>
      <c r="R3578" s="176"/>
      <c r="S3578" s="176"/>
      <c r="T3578" s="176"/>
      <c r="U3578" s="400"/>
      <c r="V3578" s="400"/>
      <c r="W3578" s="732"/>
      <c r="X3578" s="167"/>
      <c r="Y3578" s="509"/>
      <c r="Z3578" s="466"/>
      <c r="AA3578" s="466"/>
      <c r="AB3578" s="466"/>
      <c r="AC3578" s="466"/>
      <c r="AD3578" s="466"/>
      <c r="AE3578" s="466"/>
      <c r="AF3578" s="466"/>
      <c r="AG3578" s="466"/>
      <c r="AH3578" s="466"/>
      <c r="AI3578" s="466"/>
      <c r="AJ3578" s="466"/>
      <c r="AK3578" s="466"/>
      <c r="AL3578" s="466"/>
      <c r="AM3578" s="466"/>
      <c r="AN3578" s="466"/>
      <c r="AO3578" s="466"/>
      <c r="AP3578" s="466"/>
      <c r="AQ3578" s="466"/>
      <c r="AR3578" s="466"/>
      <c r="AS3578" s="466"/>
      <c r="AT3578" s="466"/>
      <c r="AU3578" s="466"/>
      <c r="AV3578" s="466"/>
      <c r="AW3578" s="466"/>
      <c r="AX3578" s="466"/>
      <c r="AY3578" s="466"/>
      <c r="AZ3578" s="466"/>
      <c r="BA3578" s="466"/>
      <c r="BB3578" s="466"/>
      <c r="BC3578" s="466"/>
      <c r="BD3578" s="466"/>
      <c r="BE3578" s="467"/>
      <c r="BF3578" s="467"/>
      <c r="BG3578" s="466"/>
      <c r="BH3578" s="466"/>
      <c r="BI3578" s="467"/>
      <c r="BJ3578" s="467"/>
      <c r="BK3578" s="467"/>
      <c r="BL3578" s="467"/>
      <c r="BM3578" s="467"/>
      <c r="BN3578" s="467"/>
      <c r="BO3578" s="467"/>
      <c r="BP3578" s="467"/>
      <c r="BQ3578" s="467"/>
      <c r="BR3578" s="467"/>
      <c r="BS3578" s="467"/>
      <c r="BT3578" s="467"/>
      <c r="BU3578" s="467"/>
      <c r="BV3578" s="467"/>
      <c r="BW3578" s="467"/>
      <c r="BX3578" s="769"/>
      <c r="BY3578" s="769"/>
      <c r="BZ3578" s="769"/>
      <c r="CA3578" s="769"/>
      <c r="CB3578" s="769"/>
      <c r="CC3578" s="769"/>
      <c r="CD3578" s="769"/>
      <c r="CE3578" s="769"/>
      <c r="CF3578" s="769"/>
      <c r="CG3578" s="73"/>
      <c r="CH3578" s="438"/>
      <c r="CI3578" s="416"/>
      <c r="CJ3578" s="73"/>
      <c r="CK3578" s="650"/>
      <c r="CL3578" s="499"/>
      <c r="CM3578" s="650"/>
      <c r="CR3578" s="416"/>
      <c r="CS3578" s="650"/>
      <c r="CU3578" s="73"/>
      <c r="CV3578" s="73"/>
      <c r="CW3578" s="73"/>
      <c r="CX3578" s="73"/>
      <c r="DA3578" s="650"/>
    </row>
    <row r="3579" spans="1:105" s="45" customFormat="1" x14ac:dyDescent="0.2">
      <c r="A3579" s="650"/>
      <c r="B3579" s="438"/>
      <c r="D3579" s="73"/>
      <c r="E3579" s="650"/>
      <c r="F3579" s="650"/>
      <c r="G3579" s="73"/>
      <c r="I3579" s="111"/>
      <c r="J3579" s="81"/>
      <c r="K3579" s="81"/>
      <c r="L3579" s="499"/>
      <c r="M3579" s="73"/>
      <c r="N3579" s="499"/>
      <c r="O3579" s="73"/>
      <c r="P3579" s="73"/>
      <c r="Q3579" s="73"/>
      <c r="R3579" s="176"/>
      <c r="S3579" s="176"/>
      <c r="T3579" s="176"/>
      <c r="U3579" s="400"/>
      <c r="V3579" s="400"/>
      <c r="W3579" s="732"/>
      <c r="X3579" s="167"/>
      <c r="Y3579" s="509"/>
      <c r="Z3579" s="466"/>
      <c r="AA3579" s="466"/>
      <c r="AB3579" s="466"/>
      <c r="AC3579" s="466"/>
      <c r="AD3579" s="466"/>
      <c r="AE3579" s="466"/>
      <c r="AF3579" s="466"/>
      <c r="AG3579" s="466"/>
      <c r="AH3579" s="466"/>
      <c r="AI3579" s="466"/>
      <c r="AJ3579" s="466"/>
      <c r="AK3579" s="466"/>
      <c r="AL3579" s="466"/>
      <c r="AM3579" s="466"/>
      <c r="AN3579" s="466"/>
      <c r="AO3579" s="466"/>
      <c r="AP3579" s="466"/>
      <c r="AQ3579" s="466"/>
      <c r="AR3579" s="466"/>
      <c r="AS3579" s="466"/>
      <c r="AT3579" s="466"/>
      <c r="AU3579" s="466"/>
      <c r="AV3579" s="466"/>
      <c r="AW3579" s="466"/>
      <c r="AX3579" s="466"/>
      <c r="AY3579" s="466"/>
      <c r="AZ3579" s="466"/>
      <c r="BA3579" s="466"/>
      <c r="BB3579" s="466"/>
      <c r="BC3579" s="466"/>
      <c r="BD3579" s="466"/>
      <c r="BE3579" s="467"/>
      <c r="BF3579" s="467"/>
      <c r="BG3579" s="466"/>
      <c r="BH3579" s="466"/>
      <c r="BI3579" s="467"/>
      <c r="BJ3579" s="467"/>
      <c r="BK3579" s="467"/>
      <c r="BL3579" s="467"/>
      <c r="BM3579" s="467"/>
      <c r="BN3579" s="467"/>
      <c r="BO3579" s="467"/>
      <c r="BP3579" s="467"/>
      <c r="BQ3579" s="467"/>
      <c r="BR3579" s="467"/>
      <c r="BS3579" s="467"/>
      <c r="BT3579" s="467"/>
      <c r="BU3579" s="467"/>
      <c r="BV3579" s="467"/>
      <c r="BW3579" s="467"/>
      <c r="BX3579" s="769"/>
      <c r="BY3579" s="769"/>
      <c r="BZ3579" s="769"/>
      <c r="CA3579" s="769"/>
      <c r="CB3579" s="769"/>
      <c r="CC3579" s="769"/>
      <c r="CD3579" s="769"/>
      <c r="CE3579" s="769"/>
      <c r="CF3579" s="769"/>
      <c r="CG3579" s="73"/>
      <c r="CH3579" s="438"/>
      <c r="CI3579" s="416"/>
      <c r="CJ3579" s="73"/>
      <c r="CK3579" s="650"/>
      <c r="CL3579" s="499"/>
      <c r="CM3579" s="650"/>
      <c r="CR3579" s="416"/>
      <c r="CS3579" s="650"/>
      <c r="CU3579" s="73"/>
      <c r="CV3579" s="73"/>
      <c r="CW3579" s="73"/>
      <c r="CX3579" s="73"/>
      <c r="DA3579" s="650"/>
    </row>
    <row r="3580" spans="1:105" s="45" customFormat="1" x14ac:dyDescent="0.2">
      <c r="A3580" s="650"/>
      <c r="B3580" s="438"/>
      <c r="D3580" s="73"/>
      <c r="E3580" s="650"/>
      <c r="F3580" s="650"/>
      <c r="G3580" s="73"/>
      <c r="I3580" s="111"/>
      <c r="J3580" s="81"/>
      <c r="K3580" s="81"/>
      <c r="L3580" s="499"/>
      <c r="M3580" s="73"/>
      <c r="N3580" s="499"/>
      <c r="O3580" s="73"/>
      <c r="P3580" s="73"/>
      <c r="Q3580" s="73"/>
      <c r="R3580" s="176"/>
      <c r="S3580" s="176"/>
      <c r="T3580" s="176"/>
      <c r="U3580" s="400"/>
      <c r="V3580" s="400"/>
      <c r="W3580" s="732"/>
      <c r="X3580" s="167"/>
      <c r="Y3580" s="509"/>
      <c r="Z3580" s="466"/>
      <c r="AA3580" s="466"/>
      <c r="AB3580" s="466"/>
      <c r="AC3580" s="466"/>
      <c r="AD3580" s="466"/>
      <c r="AE3580" s="466"/>
      <c r="AF3580" s="466"/>
      <c r="AG3580" s="466"/>
      <c r="AH3580" s="466"/>
      <c r="AI3580" s="466"/>
      <c r="AJ3580" s="466"/>
      <c r="AK3580" s="466"/>
      <c r="AL3580" s="466"/>
      <c r="AM3580" s="466"/>
      <c r="AN3580" s="466"/>
      <c r="AO3580" s="466"/>
      <c r="AP3580" s="466"/>
      <c r="AQ3580" s="466"/>
      <c r="AR3580" s="466"/>
      <c r="AS3580" s="466"/>
      <c r="AT3580" s="466"/>
      <c r="AU3580" s="466"/>
      <c r="AV3580" s="466"/>
      <c r="AW3580" s="466"/>
      <c r="AX3580" s="466"/>
      <c r="AY3580" s="466"/>
      <c r="AZ3580" s="466"/>
      <c r="BA3580" s="466"/>
      <c r="BB3580" s="466"/>
      <c r="BC3580" s="466"/>
      <c r="BD3580" s="466"/>
      <c r="BE3580" s="467"/>
      <c r="BF3580" s="467"/>
      <c r="BG3580" s="466"/>
      <c r="BH3580" s="466"/>
      <c r="BI3580" s="467"/>
      <c r="BJ3580" s="467"/>
      <c r="BK3580" s="467"/>
      <c r="BL3580" s="467"/>
      <c r="BM3580" s="467"/>
      <c r="BN3580" s="467"/>
      <c r="BO3580" s="467"/>
      <c r="BP3580" s="467"/>
      <c r="BQ3580" s="467"/>
      <c r="BR3580" s="467"/>
      <c r="BS3580" s="467"/>
      <c r="BT3580" s="467"/>
      <c r="BU3580" s="467"/>
      <c r="BV3580" s="467"/>
      <c r="BW3580" s="467"/>
      <c r="BX3580" s="769"/>
      <c r="BY3580" s="769"/>
      <c r="BZ3580" s="769"/>
      <c r="CA3580" s="769"/>
      <c r="CB3580" s="769"/>
      <c r="CC3580" s="769"/>
      <c r="CD3580" s="769"/>
      <c r="CE3580" s="769"/>
      <c r="CF3580" s="769"/>
      <c r="CG3580" s="73"/>
      <c r="CH3580" s="438"/>
      <c r="CI3580" s="416"/>
      <c r="CJ3580" s="73"/>
      <c r="CK3580" s="650"/>
      <c r="CL3580" s="499"/>
      <c r="CM3580" s="650"/>
      <c r="CR3580" s="416"/>
      <c r="CS3580" s="650"/>
      <c r="CU3580" s="73"/>
      <c r="CV3580" s="73"/>
      <c r="CW3580" s="73"/>
      <c r="CX3580" s="73"/>
      <c r="DA3580" s="650"/>
    </row>
    <row r="3581" spans="1:105" s="45" customFormat="1" x14ac:dyDescent="0.2">
      <c r="A3581" s="650"/>
      <c r="B3581" s="438"/>
      <c r="D3581" s="73"/>
      <c r="E3581" s="650"/>
      <c r="F3581" s="650"/>
      <c r="G3581" s="73"/>
      <c r="I3581" s="111"/>
      <c r="J3581" s="81"/>
      <c r="K3581" s="81"/>
      <c r="L3581" s="499"/>
      <c r="M3581" s="73"/>
      <c r="N3581" s="499"/>
      <c r="O3581" s="73"/>
      <c r="P3581" s="73"/>
      <c r="Q3581" s="73"/>
      <c r="R3581" s="176"/>
      <c r="S3581" s="176"/>
      <c r="T3581" s="176"/>
      <c r="U3581" s="400"/>
      <c r="V3581" s="400"/>
      <c r="W3581" s="732"/>
      <c r="X3581" s="167"/>
      <c r="Y3581" s="509"/>
      <c r="Z3581" s="466"/>
      <c r="AA3581" s="466"/>
      <c r="AB3581" s="466"/>
      <c r="AC3581" s="466"/>
      <c r="AD3581" s="466"/>
      <c r="AE3581" s="466"/>
      <c r="AF3581" s="466"/>
      <c r="AG3581" s="466"/>
      <c r="AH3581" s="466"/>
      <c r="AI3581" s="466"/>
      <c r="AJ3581" s="466"/>
      <c r="AK3581" s="466"/>
      <c r="AL3581" s="466"/>
      <c r="AM3581" s="466"/>
      <c r="AN3581" s="466"/>
      <c r="AO3581" s="466"/>
      <c r="AP3581" s="466"/>
      <c r="AQ3581" s="466"/>
      <c r="AR3581" s="466"/>
      <c r="AS3581" s="466"/>
      <c r="AT3581" s="466"/>
      <c r="AU3581" s="466"/>
      <c r="AV3581" s="466"/>
      <c r="AW3581" s="466"/>
      <c r="AX3581" s="466"/>
      <c r="AY3581" s="466"/>
      <c r="AZ3581" s="466"/>
      <c r="BA3581" s="466"/>
      <c r="BB3581" s="466"/>
      <c r="BC3581" s="466"/>
      <c r="BD3581" s="466"/>
      <c r="BE3581" s="467"/>
      <c r="BF3581" s="467"/>
      <c r="BG3581" s="466"/>
      <c r="BH3581" s="466"/>
      <c r="BI3581" s="467"/>
      <c r="BJ3581" s="467"/>
      <c r="BK3581" s="467"/>
      <c r="BL3581" s="467"/>
      <c r="BM3581" s="467"/>
      <c r="BN3581" s="467"/>
      <c r="BO3581" s="467"/>
      <c r="BP3581" s="467"/>
      <c r="BQ3581" s="467"/>
      <c r="BR3581" s="467"/>
      <c r="BS3581" s="467"/>
      <c r="BT3581" s="467"/>
      <c r="BU3581" s="467"/>
      <c r="BV3581" s="467"/>
      <c r="BW3581" s="467"/>
      <c r="BX3581" s="769"/>
      <c r="BY3581" s="769"/>
      <c r="BZ3581" s="769"/>
      <c r="CA3581" s="769"/>
      <c r="CB3581" s="769"/>
      <c r="CC3581" s="769"/>
      <c r="CD3581" s="769"/>
      <c r="CE3581" s="769"/>
      <c r="CF3581" s="769"/>
      <c r="CG3581" s="73"/>
      <c r="CH3581" s="438"/>
      <c r="CI3581" s="416"/>
      <c r="CJ3581" s="73"/>
      <c r="CK3581" s="650"/>
      <c r="CL3581" s="499"/>
      <c r="CM3581" s="650"/>
      <c r="CR3581" s="416"/>
      <c r="CS3581" s="650"/>
      <c r="CU3581" s="73"/>
      <c r="CV3581" s="73"/>
      <c r="CW3581" s="73"/>
      <c r="CX3581" s="73"/>
      <c r="DA3581" s="650"/>
    </row>
    <row r="3582" spans="1:105" s="45" customFormat="1" x14ac:dyDescent="0.2">
      <c r="A3582" s="650"/>
      <c r="B3582" s="438"/>
      <c r="D3582" s="73"/>
      <c r="E3582" s="650"/>
      <c r="F3582" s="650"/>
      <c r="G3582" s="73"/>
      <c r="I3582" s="111"/>
      <c r="J3582" s="81"/>
      <c r="K3582" s="81"/>
      <c r="L3582" s="499"/>
      <c r="M3582" s="73"/>
      <c r="N3582" s="499"/>
      <c r="O3582" s="73"/>
      <c r="P3582" s="73"/>
      <c r="Q3582" s="73"/>
      <c r="R3582" s="176"/>
      <c r="S3582" s="176"/>
      <c r="T3582" s="176"/>
      <c r="U3582" s="400"/>
      <c r="V3582" s="400"/>
      <c r="W3582" s="732"/>
      <c r="X3582" s="167"/>
      <c r="Y3582" s="509"/>
      <c r="Z3582" s="466"/>
      <c r="AA3582" s="466"/>
      <c r="AB3582" s="466"/>
      <c r="AC3582" s="466"/>
      <c r="AD3582" s="466"/>
      <c r="AE3582" s="466"/>
      <c r="AF3582" s="466"/>
      <c r="AG3582" s="466"/>
      <c r="AH3582" s="466"/>
      <c r="AI3582" s="466"/>
      <c r="AJ3582" s="466"/>
      <c r="AK3582" s="466"/>
      <c r="AL3582" s="466"/>
      <c r="AM3582" s="466"/>
      <c r="AN3582" s="466"/>
      <c r="AO3582" s="466"/>
      <c r="AP3582" s="466"/>
      <c r="AQ3582" s="466"/>
      <c r="AR3582" s="466"/>
      <c r="AS3582" s="466"/>
      <c r="AT3582" s="466"/>
      <c r="AU3582" s="466"/>
      <c r="AV3582" s="466"/>
      <c r="AW3582" s="466"/>
      <c r="AX3582" s="466"/>
      <c r="AY3582" s="466"/>
      <c r="AZ3582" s="466"/>
      <c r="BA3582" s="466"/>
      <c r="BB3582" s="466"/>
      <c r="BC3582" s="466"/>
      <c r="BD3582" s="466"/>
      <c r="BE3582" s="467"/>
      <c r="BF3582" s="467"/>
      <c r="BG3582" s="466"/>
      <c r="BH3582" s="466"/>
      <c r="BI3582" s="467"/>
      <c r="BJ3582" s="467"/>
      <c r="BK3582" s="467"/>
      <c r="BL3582" s="467"/>
      <c r="BM3582" s="467"/>
      <c r="BN3582" s="467"/>
      <c r="BO3582" s="467"/>
      <c r="BP3582" s="467"/>
      <c r="BQ3582" s="467"/>
      <c r="BR3582" s="467"/>
      <c r="BS3582" s="467"/>
      <c r="BT3582" s="467"/>
      <c r="BU3582" s="467"/>
      <c r="BV3582" s="467"/>
      <c r="BW3582" s="467"/>
      <c r="BX3582" s="769"/>
      <c r="BY3582" s="769"/>
      <c r="BZ3582" s="769"/>
      <c r="CA3582" s="769"/>
      <c r="CB3582" s="769"/>
      <c r="CC3582" s="769"/>
      <c r="CD3582" s="769"/>
      <c r="CE3582" s="769"/>
      <c r="CF3582" s="769"/>
      <c r="CG3582" s="73"/>
      <c r="CH3582" s="438"/>
      <c r="CI3582" s="416"/>
      <c r="CJ3582" s="73"/>
      <c r="CK3582" s="650"/>
      <c r="CL3582" s="499"/>
      <c r="CM3582" s="650"/>
      <c r="CR3582" s="416"/>
      <c r="CS3582" s="650"/>
      <c r="CU3582" s="73"/>
      <c r="CV3582" s="73"/>
      <c r="CW3582" s="73"/>
      <c r="CX3582" s="73"/>
      <c r="DA3582" s="650"/>
    </row>
    <row r="3583" spans="1:105" s="45" customFormat="1" x14ac:dyDescent="0.2">
      <c r="A3583" s="650"/>
      <c r="B3583" s="438"/>
      <c r="D3583" s="73"/>
      <c r="E3583" s="650"/>
      <c r="F3583" s="650"/>
      <c r="G3583" s="73"/>
      <c r="I3583" s="111"/>
      <c r="J3583" s="81"/>
      <c r="K3583" s="81"/>
      <c r="L3583" s="499"/>
      <c r="M3583" s="73"/>
      <c r="N3583" s="499"/>
      <c r="O3583" s="73"/>
      <c r="P3583" s="73"/>
      <c r="Q3583" s="73"/>
      <c r="R3583" s="176"/>
      <c r="S3583" s="176"/>
      <c r="T3583" s="176"/>
      <c r="U3583" s="400"/>
      <c r="V3583" s="400"/>
      <c r="W3583" s="732"/>
      <c r="X3583" s="167"/>
      <c r="Y3583" s="509"/>
      <c r="Z3583" s="466"/>
      <c r="AA3583" s="466"/>
      <c r="AB3583" s="466"/>
      <c r="AC3583" s="466"/>
      <c r="AD3583" s="466"/>
      <c r="AE3583" s="466"/>
      <c r="AF3583" s="466"/>
      <c r="AG3583" s="466"/>
      <c r="AH3583" s="466"/>
      <c r="AI3583" s="466"/>
      <c r="AJ3583" s="466"/>
      <c r="AK3583" s="466"/>
      <c r="AL3583" s="466"/>
      <c r="AM3583" s="466"/>
      <c r="AN3583" s="466"/>
      <c r="AO3583" s="466"/>
      <c r="AP3583" s="466"/>
      <c r="AQ3583" s="466"/>
      <c r="AR3583" s="466"/>
      <c r="AS3583" s="466"/>
      <c r="AT3583" s="466"/>
      <c r="AU3583" s="466"/>
      <c r="AV3583" s="466"/>
      <c r="AW3583" s="466"/>
      <c r="AX3583" s="466"/>
      <c r="AY3583" s="466"/>
      <c r="AZ3583" s="466"/>
      <c r="BA3583" s="466"/>
      <c r="BB3583" s="466"/>
      <c r="BC3583" s="466"/>
      <c r="BD3583" s="466"/>
      <c r="BE3583" s="467"/>
      <c r="BF3583" s="467"/>
      <c r="BG3583" s="466"/>
      <c r="BH3583" s="466"/>
      <c r="BI3583" s="467"/>
      <c r="BJ3583" s="467"/>
      <c r="BK3583" s="467"/>
      <c r="BL3583" s="467"/>
      <c r="BM3583" s="467"/>
      <c r="BN3583" s="467"/>
      <c r="BO3583" s="467"/>
      <c r="BP3583" s="467"/>
      <c r="BQ3583" s="467"/>
      <c r="BR3583" s="467"/>
      <c r="BS3583" s="467"/>
      <c r="BT3583" s="467"/>
      <c r="BU3583" s="467"/>
      <c r="BV3583" s="467"/>
      <c r="BW3583" s="467"/>
      <c r="BX3583" s="769"/>
      <c r="BY3583" s="769"/>
      <c r="BZ3583" s="769"/>
      <c r="CA3583" s="769"/>
      <c r="CB3583" s="769"/>
      <c r="CC3583" s="769"/>
      <c r="CD3583" s="769"/>
      <c r="CE3583" s="769"/>
      <c r="CF3583" s="769"/>
      <c r="CG3583" s="73"/>
      <c r="CH3583" s="438"/>
      <c r="CI3583" s="416"/>
      <c r="CJ3583" s="73"/>
      <c r="CK3583" s="650"/>
      <c r="CL3583" s="499"/>
      <c r="CM3583" s="650"/>
      <c r="CR3583" s="416"/>
      <c r="CS3583" s="650"/>
      <c r="CU3583" s="73"/>
      <c r="CV3583" s="73"/>
      <c r="CW3583" s="73"/>
      <c r="CX3583" s="73"/>
      <c r="DA3583" s="650"/>
    </row>
    <row r="3584" spans="1:105" s="45" customFormat="1" x14ac:dyDescent="0.2">
      <c r="A3584" s="650"/>
      <c r="B3584" s="438"/>
      <c r="D3584" s="73"/>
      <c r="E3584" s="650"/>
      <c r="F3584" s="650"/>
      <c r="G3584" s="73"/>
      <c r="I3584" s="111"/>
      <c r="J3584" s="81"/>
      <c r="K3584" s="81"/>
      <c r="L3584" s="499"/>
      <c r="M3584" s="73"/>
      <c r="N3584" s="499"/>
      <c r="O3584" s="73"/>
      <c r="P3584" s="73"/>
      <c r="Q3584" s="73"/>
      <c r="R3584" s="176"/>
      <c r="S3584" s="176"/>
      <c r="T3584" s="176"/>
      <c r="U3584" s="400"/>
      <c r="V3584" s="400"/>
      <c r="W3584" s="732"/>
      <c r="X3584" s="167"/>
      <c r="Y3584" s="509"/>
      <c r="Z3584" s="466"/>
      <c r="AA3584" s="466"/>
      <c r="AB3584" s="466"/>
      <c r="AC3584" s="466"/>
      <c r="AD3584" s="466"/>
      <c r="AE3584" s="466"/>
      <c r="AF3584" s="466"/>
      <c r="AG3584" s="466"/>
      <c r="AH3584" s="466"/>
      <c r="AI3584" s="466"/>
      <c r="AJ3584" s="466"/>
      <c r="AK3584" s="466"/>
      <c r="AL3584" s="466"/>
      <c r="AM3584" s="466"/>
      <c r="AN3584" s="466"/>
      <c r="AO3584" s="466"/>
      <c r="AP3584" s="466"/>
      <c r="AQ3584" s="466"/>
      <c r="AR3584" s="466"/>
      <c r="AS3584" s="466"/>
      <c r="AT3584" s="466"/>
      <c r="AU3584" s="466"/>
      <c r="AV3584" s="466"/>
      <c r="AW3584" s="466"/>
      <c r="AX3584" s="466"/>
      <c r="AY3584" s="466"/>
      <c r="AZ3584" s="466"/>
      <c r="BA3584" s="466"/>
      <c r="BB3584" s="466"/>
      <c r="BC3584" s="466"/>
      <c r="BD3584" s="466"/>
      <c r="BE3584" s="467"/>
      <c r="BF3584" s="467"/>
      <c r="BG3584" s="466"/>
      <c r="BH3584" s="466"/>
      <c r="BI3584" s="467"/>
      <c r="BJ3584" s="467"/>
      <c r="BK3584" s="467"/>
      <c r="BL3584" s="467"/>
      <c r="BM3584" s="467"/>
      <c r="BN3584" s="467"/>
      <c r="BO3584" s="467"/>
      <c r="BP3584" s="467"/>
      <c r="BQ3584" s="467"/>
      <c r="BR3584" s="467"/>
      <c r="BS3584" s="467"/>
      <c r="BT3584" s="467"/>
      <c r="BU3584" s="467"/>
      <c r="BV3584" s="467"/>
      <c r="BW3584" s="467"/>
      <c r="BX3584" s="769"/>
      <c r="BY3584" s="769"/>
      <c r="BZ3584" s="769"/>
      <c r="CA3584" s="769"/>
      <c r="CB3584" s="769"/>
      <c r="CC3584" s="769"/>
      <c r="CD3584" s="769"/>
      <c r="CE3584" s="769"/>
      <c r="CF3584" s="769"/>
      <c r="CG3584" s="73"/>
      <c r="CH3584" s="438"/>
      <c r="CI3584" s="416"/>
      <c r="CJ3584" s="73"/>
      <c r="CK3584" s="650"/>
      <c r="CL3584" s="499"/>
      <c r="CM3584" s="650"/>
      <c r="CR3584" s="416"/>
      <c r="CS3584" s="650"/>
      <c r="CU3584" s="73"/>
      <c r="CV3584" s="73"/>
      <c r="CW3584" s="73"/>
      <c r="CX3584" s="73"/>
      <c r="DA3584" s="650"/>
    </row>
    <row r="3585" spans="1:105" s="45" customFormat="1" x14ac:dyDescent="0.2">
      <c r="A3585" s="650"/>
      <c r="B3585" s="438"/>
      <c r="D3585" s="73"/>
      <c r="E3585" s="650"/>
      <c r="F3585" s="650"/>
      <c r="G3585" s="73"/>
      <c r="I3585" s="111"/>
      <c r="J3585" s="81"/>
      <c r="K3585" s="81"/>
      <c r="L3585" s="499"/>
      <c r="M3585" s="73"/>
      <c r="N3585" s="499"/>
      <c r="O3585" s="73"/>
      <c r="P3585" s="73"/>
      <c r="Q3585" s="73"/>
      <c r="R3585" s="176"/>
      <c r="S3585" s="176"/>
      <c r="T3585" s="176"/>
      <c r="U3585" s="400"/>
      <c r="V3585" s="400"/>
      <c r="W3585" s="732"/>
      <c r="X3585" s="167"/>
      <c r="Y3585" s="509"/>
      <c r="Z3585" s="466"/>
      <c r="AA3585" s="466"/>
      <c r="AB3585" s="466"/>
      <c r="AC3585" s="466"/>
      <c r="AD3585" s="466"/>
      <c r="AE3585" s="466"/>
      <c r="AF3585" s="466"/>
      <c r="AG3585" s="466"/>
      <c r="AH3585" s="466"/>
      <c r="AI3585" s="466"/>
      <c r="AJ3585" s="466"/>
      <c r="AK3585" s="466"/>
      <c r="AL3585" s="466"/>
      <c r="AM3585" s="466"/>
      <c r="AN3585" s="466"/>
      <c r="AO3585" s="466"/>
      <c r="AP3585" s="466"/>
      <c r="AQ3585" s="466"/>
      <c r="AR3585" s="466"/>
      <c r="AS3585" s="466"/>
      <c r="AT3585" s="466"/>
      <c r="AU3585" s="466"/>
      <c r="AV3585" s="466"/>
      <c r="AW3585" s="466"/>
      <c r="AX3585" s="466"/>
      <c r="AY3585" s="466"/>
      <c r="AZ3585" s="466"/>
      <c r="BA3585" s="466"/>
      <c r="BB3585" s="466"/>
      <c r="BC3585" s="466"/>
      <c r="BD3585" s="466"/>
      <c r="BE3585" s="467"/>
      <c r="BF3585" s="467"/>
      <c r="BG3585" s="466"/>
      <c r="BH3585" s="466"/>
      <c r="BI3585" s="467"/>
      <c r="BJ3585" s="467"/>
      <c r="BK3585" s="467"/>
      <c r="BL3585" s="467"/>
      <c r="BM3585" s="467"/>
      <c r="BN3585" s="467"/>
      <c r="BO3585" s="467"/>
      <c r="BP3585" s="467"/>
      <c r="BQ3585" s="467"/>
      <c r="BR3585" s="467"/>
      <c r="BS3585" s="467"/>
      <c r="BT3585" s="467"/>
      <c r="BU3585" s="467"/>
      <c r="BV3585" s="467"/>
      <c r="BW3585" s="467"/>
      <c r="BX3585" s="769"/>
      <c r="BY3585" s="769"/>
      <c r="BZ3585" s="769"/>
      <c r="CA3585" s="769"/>
      <c r="CB3585" s="769"/>
      <c r="CC3585" s="769"/>
      <c r="CD3585" s="769"/>
      <c r="CE3585" s="769"/>
      <c r="CF3585" s="769"/>
      <c r="CG3585" s="73"/>
      <c r="CH3585" s="438"/>
      <c r="CI3585" s="416"/>
      <c r="CJ3585" s="73"/>
      <c r="CK3585" s="650"/>
      <c r="CL3585" s="499"/>
      <c r="CM3585" s="650"/>
      <c r="CR3585" s="416"/>
      <c r="CS3585" s="650"/>
      <c r="CU3585" s="73"/>
      <c r="CV3585" s="73"/>
      <c r="CW3585" s="73"/>
      <c r="CX3585" s="73"/>
      <c r="DA3585" s="650"/>
    </row>
    <row r="3586" spans="1:105" s="45" customFormat="1" x14ac:dyDescent="0.2">
      <c r="A3586" s="650"/>
      <c r="B3586" s="438"/>
      <c r="D3586" s="73"/>
      <c r="E3586" s="650"/>
      <c r="F3586" s="650"/>
      <c r="G3586" s="73"/>
      <c r="I3586" s="111"/>
      <c r="J3586" s="81"/>
      <c r="K3586" s="81"/>
      <c r="L3586" s="499"/>
      <c r="M3586" s="73"/>
      <c r="N3586" s="499"/>
      <c r="O3586" s="73"/>
      <c r="P3586" s="73"/>
      <c r="Q3586" s="73"/>
      <c r="R3586" s="176"/>
      <c r="S3586" s="176"/>
      <c r="T3586" s="176"/>
      <c r="U3586" s="400"/>
      <c r="V3586" s="400"/>
      <c r="W3586" s="732"/>
      <c r="X3586" s="167"/>
      <c r="Y3586" s="509"/>
      <c r="Z3586" s="466"/>
      <c r="AA3586" s="466"/>
      <c r="AB3586" s="466"/>
      <c r="AC3586" s="466"/>
      <c r="AD3586" s="466"/>
      <c r="AE3586" s="466"/>
      <c r="AF3586" s="466"/>
      <c r="AG3586" s="466"/>
      <c r="AH3586" s="466"/>
      <c r="AI3586" s="466"/>
      <c r="AJ3586" s="466"/>
      <c r="AK3586" s="466"/>
      <c r="AL3586" s="466"/>
      <c r="AM3586" s="466"/>
      <c r="AN3586" s="466"/>
      <c r="AO3586" s="466"/>
      <c r="AP3586" s="466"/>
      <c r="AQ3586" s="466"/>
      <c r="AR3586" s="466"/>
      <c r="AS3586" s="466"/>
      <c r="AT3586" s="466"/>
      <c r="AU3586" s="466"/>
      <c r="AV3586" s="466"/>
      <c r="AW3586" s="466"/>
      <c r="AX3586" s="466"/>
      <c r="AY3586" s="466"/>
      <c r="AZ3586" s="466"/>
      <c r="BA3586" s="466"/>
      <c r="BB3586" s="466"/>
      <c r="BC3586" s="466"/>
      <c r="BD3586" s="466"/>
      <c r="BE3586" s="467"/>
      <c r="BF3586" s="467"/>
      <c r="BG3586" s="466"/>
      <c r="BH3586" s="466"/>
      <c r="BI3586" s="467"/>
      <c r="BJ3586" s="467"/>
      <c r="BK3586" s="467"/>
      <c r="BL3586" s="467"/>
      <c r="BM3586" s="467"/>
      <c r="BN3586" s="467"/>
      <c r="BO3586" s="467"/>
      <c r="BP3586" s="467"/>
      <c r="BQ3586" s="467"/>
      <c r="BR3586" s="467"/>
      <c r="BS3586" s="467"/>
      <c r="BT3586" s="467"/>
      <c r="BU3586" s="467"/>
      <c r="BV3586" s="467"/>
      <c r="BW3586" s="467"/>
      <c r="BX3586" s="769"/>
      <c r="BY3586" s="769"/>
      <c r="BZ3586" s="769"/>
      <c r="CA3586" s="769"/>
      <c r="CB3586" s="769"/>
      <c r="CC3586" s="769"/>
      <c r="CD3586" s="769"/>
      <c r="CE3586" s="769"/>
      <c r="CF3586" s="769"/>
      <c r="CG3586" s="73"/>
      <c r="CH3586" s="438"/>
      <c r="CI3586" s="416"/>
      <c r="CJ3586" s="73"/>
      <c r="CK3586" s="650"/>
      <c r="CL3586" s="499"/>
      <c r="CM3586" s="650"/>
      <c r="CR3586" s="416"/>
      <c r="CS3586" s="650"/>
      <c r="CU3586" s="73"/>
      <c r="CV3586" s="73"/>
      <c r="CW3586" s="73"/>
      <c r="CX3586" s="73"/>
      <c r="DA3586" s="650"/>
    </row>
    <row r="3587" spans="1:105" s="45" customFormat="1" x14ac:dyDescent="0.2">
      <c r="A3587" s="650"/>
      <c r="B3587" s="438"/>
      <c r="D3587" s="73"/>
      <c r="E3587" s="650"/>
      <c r="F3587" s="650"/>
      <c r="G3587" s="73"/>
      <c r="I3587" s="111"/>
      <c r="J3587" s="81"/>
      <c r="K3587" s="81"/>
      <c r="L3587" s="499"/>
      <c r="M3587" s="73"/>
      <c r="N3587" s="499"/>
      <c r="O3587" s="73"/>
      <c r="P3587" s="73"/>
      <c r="Q3587" s="73"/>
      <c r="R3587" s="176"/>
      <c r="S3587" s="176"/>
      <c r="T3587" s="176"/>
      <c r="U3587" s="400"/>
      <c r="V3587" s="400"/>
      <c r="W3587" s="732"/>
      <c r="X3587" s="167"/>
      <c r="Y3587" s="509"/>
      <c r="Z3587" s="466"/>
      <c r="AA3587" s="466"/>
      <c r="AB3587" s="466"/>
      <c r="AC3587" s="466"/>
      <c r="AD3587" s="466"/>
      <c r="AE3587" s="466"/>
      <c r="AF3587" s="466"/>
      <c r="AG3587" s="466"/>
      <c r="AH3587" s="466"/>
      <c r="AI3587" s="466"/>
      <c r="AJ3587" s="466"/>
      <c r="AK3587" s="466"/>
      <c r="AL3587" s="466"/>
      <c r="AM3587" s="466"/>
      <c r="AN3587" s="466"/>
      <c r="AO3587" s="466"/>
      <c r="AP3587" s="466"/>
      <c r="AQ3587" s="466"/>
      <c r="AR3587" s="466"/>
      <c r="AS3587" s="466"/>
      <c r="AT3587" s="466"/>
      <c r="AU3587" s="466"/>
      <c r="AV3587" s="466"/>
      <c r="AW3587" s="466"/>
      <c r="AX3587" s="466"/>
      <c r="AY3587" s="466"/>
      <c r="AZ3587" s="466"/>
      <c r="BA3587" s="466"/>
      <c r="BB3587" s="466"/>
      <c r="BC3587" s="466"/>
      <c r="BD3587" s="466"/>
      <c r="BE3587" s="467"/>
      <c r="BF3587" s="467"/>
      <c r="BG3587" s="466"/>
      <c r="BH3587" s="466"/>
      <c r="BI3587" s="467"/>
      <c r="BJ3587" s="467"/>
      <c r="BK3587" s="467"/>
      <c r="BL3587" s="467"/>
      <c r="BM3587" s="467"/>
      <c r="BN3587" s="467"/>
      <c r="BO3587" s="467"/>
      <c r="BP3587" s="467"/>
      <c r="BQ3587" s="467"/>
      <c r="BR3587" s="467"/>
      <c r="BS3587" s="467"/>
      <c r="BT3587" s="467"/>
      <c r="BU3587" s="467"/>
      <c r="BV3587" s="467"/>
      <c r="BW3587" s="467"/>
      <c r="BX3587" s="769"/>
      <c r="BY3587" s="769"/>
      <c r="BZ3587" s="769"/>
      <c r="CA3587" s="769"/>
      <c r="CB3587" s="769"/>
      <c r="CC3587" s="769"/>
      <c r="CD3587" s="769"/>
      <c r="CE3587" s="769"/>
      <c r="CF3587" s="769"/>
      <c r="CG3587" s="73"/>
      <c r="CH3587" s="438"/>
      <c r="CI3587" s="416"/>
      <c r="CJ3587" s="73"/>
      <c r="CK3587" s="650"/>
      <c r="CL3587" s="499"/>
      <c r="CM3587" s="650"/>
      <c r="CR3587" s="416"/>
      <c r="CS3587" s="650"/>
      <c r="CU3587" s="73"/>
      <c r="CV3587" s="73"/>
      <c r="CW3587" s="73"/>
      <c r="CX3587" s="73"/>
      <c r="DA3587" s="650"/>
    </row>
    <row r="3588" spans="1:105" s="45" customFormat="1" x14ac:dyDescent="0.2">
      <c r="A3588" s="650"/>
      <c r="B3588" s="438"/>
      <c r="D3588" s="73"/>
      <c r="E3588" s="650"/>
      <c r="F3588" s="650"/>
      <c r="G3588" s="73"/>
      <c r="I3588" s="111"/>
      <c r="J3588" s="81"/>
      <c r="K3588" s="81"/>
      <c r="L3588" s="499"/>
      <c r="M3588" s="73"/>
      <c r="N3588" s="499"/>
      <c r="O3588" s="73"/>
      <c r="P3588" s="73"/>
      <c r="Q3588" s="73"/>
      <c r="R3588" s="176"/>
      <c r="S3588" s="176"/>
      <c r="T3588" s="176"/>
      <c r="U3588" s="400"/>
      <c r="V3588" s="400"/>
      <c r="W3588" s="732"/>
      <c r="X3588" s="167"/>
      <c r="Y3588" s="509"/>
      <c r="Z3588" s="466"/>
      <c r="AA3588" s="466"/>
      <c r="AB3588" s="466"/>
      <c r="AC3588" s="466"/>
      <c r="AD3588" s="466"/>
      <c r="AE3588" s="466"/>
      <c r="AF3588" s="466"/>
      <c r="AG3588" s="466"/>
      <c r="AH3588" s="466"/>
      <c r="AI3588" s="466"/>
      <c r="AJ3588" s="466"/>
      <c r="AK3588" s="466"/>
      <c r="AL3588" s="466"/>
      <c r="AM3588" s="466"/>
      <c r="AN3588" s="466"/>
      <c r="AO3588" s="466"/>
      <c r="AP3588" s="466"/>
      <c r="AQ3588" s="466"/>
      <c r="AR3588" s="466"/>
      <c r="AS3588" s="466"/>
      <c r="AT3588" s="466"/>
      <c r="AU3588" s="466"/>
      <c r="AV3588" s="466"/>
      <c r="AW3588" s="466"/>
      <c r="AX3588" s="466"/>
      <c r="AY3588" s="466"/>
      <c r="AZ3588" s="466"/>
      <c r="BA3588" s="466"/>
      <c r="BB3588" s="466"/>
      <c r="BC3588" s="466"/>
      <c r="BD3588" s="466"/>
      <c r="BE3588" s="467"/>
      <c r="BF3588" s="467"/>
      <c r="BG3588" s="466"/>
      <c r="BH3588" s="466"/>
      <c r="BI3588" s="467"/>
      <c r="BJ3588" s="467"/>
      <c r="BK3588" s="467"/>
      <c r="BL3588" s="467"/>
      <c r="BM3588" s="467"/>
      <c r="BN3588" s="467"/>
      <c r="BO3588" s="467"/>
      <c r="BP3588" s="467"/>
      <c r="BQ3588" s="467"/>
      <c r="BR3588" s="467"/>
      <c r="BS3588" s="467"/>
      <c r="BT3588" s="467"/>
      <c r="BU3588" s="467"/>
      <c r="BV3588" s="467"/>
      <c r="BW3588" s="467"/>
      <c r="BX3588" s="769"/>
      <c r="BY3588" s="769"/>
      <c r="BZ3588" s="769"/>
      <c r="CA3588" s="769"/>
      <c r="CB3588" s="769"/>
      <c r="CC3588" s="769"/>
      <c r="CD3588" s="769"/>
      <c r="CE3588" s="769"/>
      <c r="CF3588" s="769"/>
      <c r="CG3588" s="73"/>
      <c r="CH3588" s="438"/>
      <c r="CI3588" s="416"/>
      <c r="CJ3588" s="73"/>
      <c r="CK3588" s="650"/>
      <c r="CL3588" s="499"/>
      <c r="CM3588" s="650"/>
      <c r="CR3588" s="416"/>
      <c r="CS3588" s="650"/>
      <c r="CU3588" s="73"/>
      <c r="CV3588" s="73"/>
      <c r="CW3588" s="73"/>
      <c r="CX3588" s="73"/>
      <c r="DA3588" s="650"/>
    </row>
    <row r="3589" spans="1:105" s="45" customFormat="1" x14ac:dyDescent="0.2">
      <c r="A3589" s="650"/>
      <c r="B3589" s="438"/>
      <c r="D3589" s="73"/>
      <c r="E3589" s="650"/>
      <c r="F3589" s="650"/>
      <c r="G3589" s="73"/>
      <c r="I3589" s="111"/>
      <c r="J3589" s="81"/>
      <c r="K3589" s="81"/>
      <c r="L3589" s="499"/>
      <c r="M3589" s="73"/>
      <c r="N3589" s="499"/>
      <c r="O3589" s="73"/>
      <c r="P3589" s="73"/>
      <c r="Q3589" s="73"/>
      <c r="R3589" s="176"/>
      <c r="S3589" s="176"/>
      <c r="T3589" s="176"/>
      <c r="U3589" s="400"/>
      <c r="V3589" s="400"/>
      <c r="W3589" s="732"/>
      <c r="X3589" s="167"/>
      <c r="Y3589" s="509"/>
      <c r="Z3589" s="466"/>
      <c r="AA3589" s="466"/>
      <c r="AB3589" s="466"/>
      <c r="AC3589" s="466"/>
      <c r="AD3589" s="466"/>
      <c r="AE3589" s="466"/>
      <c r="AF3589" s="466"/>
      <c r="AG3589" s="466"/>
      <c r="AH3589" s="466"/>
      <c r="AI3589" s="466"/>
      <c r="AJ3589" s="466"/>
      <c r="AK3589" s="466"/>
      <c r="AL3589" s="466"/>
      <c r="AM3589" s="466"/>
      <c r="AN3589" s="466"/>
      <c r="AO3589" s="466"/>
      <c r="AP3589" s="466"/>
      <c r="AQ3589" s="466"/>
      <c r="AR3589" s="466"/>
      <c r="AS3589" s="466"/>
      <c r="AT3589" s="466"/>
      <c r="AU3589" s="466"/>
      <c r="AV3589" s="466"/>
      <c r="AW3589" s="466"/>
      <c r="AX3589" s="466"/>
      <c r="AY3589" s="466"/>
      <c r="AZ3589" s="466"/>
      <c r="BA3589" s="466"/>
      <c r="BB3589" s="466"/>
      <c r="BC3589" s="466"/>
      <c r="BD3589" s="466"/>
      <c r="BE3589" s="467"/>
      <c r="BF3589" s="467"/>
      <c r="BG3589" s="466"/>
      <c r="BH3589" s="466"/>
      <c r="BI3589" s="467"/>
      <c r="BJ3589" s="467"/>
      <c r="BK3589" s="467"/>
      <c r="BL3589" s="467"/>
      <c r="BM3589" s="467"/>
      <c r="BN3589" s="467"/>
      <c r="BO3589" s="467"/>
      <c r="BP3589" s="467"/>
      <c r="BQ3589" s="467"/>
      <c r="BR3589" s="467"/>
      <c r="BS3589" s="467"/>
      <c r="BT3589" s="467"/>
      <c r="BU3589" s="467"/>
      <c r="BV3589" s="467"/>
      <c r="BW3589" s="467"/>
      <c r="BX3589" s="769"/>
      <c r="BY3589" s="769"/>
      <c r="BZ3589" s="769"/>
      <c r="CA3589" s="769"/>
      <c r="CB3589" s="769"/>
      <c r="CC3589" s="769"/>
      <c r="CD3589" s="769"/>
      <c r="CE3589" s="769"/>
      <c r="CF3589" s="769"/>
      <c r="CG3589" s="73"/>
      <c r="CH3589" s="438"/>
      <c r="CI3589" s="416"/>
      <c r="CJ3589" s="73"/>
      <c r="CK3589" s="650"/>
      <c r="CL3589" s="499"/>
      <c r="CM3589" s="650"/>
      <c r="CR3589" s="416"/>
      <c r="CS3589" s="650"/>
      <c r="CU3589" s="73"/>
      <c r="CV3589" s="73"/>
      <c r="CW3589" s="73"/>
      <c r="CX3589" s="73"/>
      <c r="DA3589" s="650"/>
    </row>
    <row r="3590" spans="1:105" s="45" customFormat="1" x14ac:dyDescent="0.2">
      <c r="A3590" s="650"/>
      <c r="B3590" s="438"/>
      <c r="D3590" s="73"/>
      <c r="E3590" s="650"/>
      <c r="F3590" s="650"/>
      <c r="G3590" s="73"/>
      <c r="I3590" s="111"/>
      <c r="J3590" s="81"/>
      <c r="K3590" s="81"/>
      <c r="L3590" s="499"/>
      <c r="M3590" s="73"/>
      <c r="N3590" s="499"/>
      <c r="O3590" s="73"/>
      <c r="P3590" s="73"/>
      <c r="Q3590" s="73"/>
      <c r="R3590" s="176"/>
      <c r="S3590" s="176"/>
      <c r="T3590" s="176"/>
      <c r="U3590" s="400"/>
      <c r="V3590" s="400"/>
      <c r="W3590" s="732"/>
      <c r="X3590" s="167"/>
      <c r="Y3590" s="509"/>
      <c r="Z3590" s="466"/>
      <c r="AA3590" s="466"/>
      <c r="AB3590" s="466"/>
      <c r="AC3590" s="466"/>
      <c r="AD3590" s="466"/>
      <c r="AE3590" s="466"/>
      <c r="AF3590" s="466"/>
      <c r="AG3590" s="466"/>
      <c r="AH3590" s="466"/>
      <c r="AI3590" s="466"/>
      <c r="AJ3590" s="466"/>
      <c r="AK3590" s="466"/>
      <c r="AL3590" s="466"/>
      <c r="AM3590" s="466"/>
      <c r="AN3590" s="466"/>
      <c r="AO3590" s="466"/>
      <c r="AP3590" s="466"/>
      <c r="AQ3590" s="466"/>
      <c r="AR3590" s="466"/>
      <c r="AS3590" s="466"/>
      <c r="AT3590" s="466"/>
      <c r="AU3590" s="466"/>
      <c r="AV3590" s="466"/>
      <c r="AW3590" s="466"/>
      <c r="AX3590" s="466"/>
      <c r="AY3590" s="466"/>
      <c r="AZ3590" s="466"/>
      <c r="BA3590" s="466"/>
      <c r="BB3590" s="466"/>
      <c r="BC3590" s="466"/>
      <c r="BD3590" s="466"/>
      <c r="BE3590" s="467"/>
      <c r="BF3590" s="467"/>
      <c r="BG3590" s="466"/>
      <c r="BH3590" s="466"/>
      <c r="BI3590" s="467"/>
      <c r="BJ3590" s="467"/>
      <c r="BK3590" s="467"/>
      <c r="BL3590" s="467"/>
      <c r="BM3590" s="467"/>
      <c r="BN3590" s="467"/>
      <c r="BO3590" s="467"/>
      <c r="BP3590" s="467"/>
      <c r="BQ3590" s="467"/>
      <c r="BR3590" s="467"/>
      <c r="BS3590" s="467"/>
      <c r="BT3590" s="467"/>
      <c r="BU3590" s="467"/>
      <c r="BV3590" s="467"/>
      <c r="BW3590" s="467"/>
      <c r="BX3590" s="769"/>
      <c r="BY3590" s="769"/>
      <c r="BZ3590" s="769"/>
      <c r="CA3590" s="769"/>
      <c r="CB3590" s="769"/>
      <c r="CC3590" s="769"/>
      <c r="CD3590" s="769"/>
      <c r="CE3590" s="769"/>
      <c r="CF3590" s="769"/>
      <c r="CG3590" s="73"/>
      <c r="CH3590" s="438"/>
      <c r="CI3590" s="416"/>
      <c r="CJ3590" s="73"/>
      <c r="CK3590" s="650"/>
      <c r="CL3590" s="499"/>
      <c r="CM3590" s="650"/>
      <c r="CR3590" s="416"/>
      <c r="CS3590" s="650"/>
      <c r="CU3590" s="73"/>
      <c r="CV3590" s="73"/>
      <c r="CW3590" s="73"/>
      <c r="CX3590" s="73"/>
      <c r="DA3590" s="650"/>
    </row>
    <row r="3591" spans="1:105" s="45" customFormat="1" x14ac:dyDescent="0.2">
      <c r="A3591" s="650"/>
      <c r="B3591" s="438"/>
      <c r="D3591" s="73"/>
      <c r="E3591" s="650"/>
      <c r="F3591" s="650"/>
      <c r="G3591" s="73"/>
      <c r="I3591" s="111"/>
      <c r="J3591" s="81"/>
      <c r="K3591" s="81"/>
      <c r="L3591" s="499"/>
      <c r="M3591" s="73"/>
      <c r="N3591" s="499"/>
      <c r="O3591" s="73"/>
      <c r="P3591" s="73"/>
      <c r="Q3591" s="73"/>
      <c r="R3591" s="176"/>
      <c r="S3591" s="176"/>
      <c r="T3591" s="176"/>
      <c r="U3591" s="400"/>
      <c r="V3591" s="400"/>
      <c r="W3591" s="732"/>
      <c r="X3591" s="167"/>
      <c r="Y3591" s="509"/>
      <c r="Z3591" s="466"/>
      <c r="AA3591" s="466"/>
      <c r="AB3591" s="466"/>
      <c r="AC3591" s="466"/>
      <c r="AD3591" s="466"/>
      <c r="AE3591" s="466"/>
      <c r="AF3591" s="466"/>
      <c r="AG3591" s="466"/>
      <c r="AH3591" s="466"/>
      <c r="AI3591" s="466"/>
      <c r="AJ3591" s="466"/>
      <c r="AK3591" s="466"/>
      <c r="AL3591" s="466"/>
      <c r="AM3591" s="466"/>
      <c r="AN3591" s="466"/>
      <c r="AO3591" s="466"/>
      <c r="AP3591" s="466"/>
      <c r="AQ3591" s="466"/>
      <c r="AR3591" s="466"/>
      <c r="AS3591" s="466"/>
      <c r="AT3591" s="466"/>
      <c r="AU3591" s="466"/>
      <c r="AV3591" s="466"/>
      <c r="AW3591" s="466"/>
      <c r="AX3591" s="466"/>
      <c r="AY3591" s="466"/>
      <c r="AZ3591" s="466"/>
      <c r="BA3591" s="466"/>
      <c r="BB3591" s="466"/>
      <c r="BC3591" s="466"/>
      <c r="BD3591" s="466"/>
      <c r="BE3591" s="467"/>
      <c r="BF3591" s="467"/>
      <c r="BG3591" s="466"/>
      <c r="BH3591" s="466"/>
      <c r="BI3591" s="467"/>
      <c r="BJ3591" s="467"/>
      <c r="BK3591" s="467"/>
      <c r="BL3591" s="467"/>
      <c r="BM3591" s="467"/>
      <c r="BN3591" s="467"/>
      <c r="BO3591" s="467"/>
      <c r="BP3591" s="467"/>
      <c r="BQ3591" s="467"/>
      <c r="BR3591" s="467"/>
      <c r="BS3591" s="467"/>
      <c r="BT3591" s="467"/>
      <c r="BU3591" s="467"/>
      <c r="BV3591" s="467"/>
      <c r="BW3591" s="467"/>
      <c r="BX3591" s="769"/>
      <c r="BY3591" s="769"/>
      <c r="BZ3591" s="769"/>
      <c r="CA3591" s="769"/>
      <c r="CB3591" s="769"/>
      <c r="CC3591" s="769"/>
      <c r="CD3591" s="769"/>
      <c r="CE3591" s="769"/>
      <c r="CF3591" s="769"/>
      <c r="CG3591" s="73"/>
      <c r="CH3591" s="438"/>
      <c r="CI3591" s="416"/>
      <c r="CJ3591" s="73"/>
      <c r="CK3591" s="650"/>
      <c r="CL3591" s="499"/>
      <c r="CM3591" s="650"/>
      <c r="CR3591" s="416"/>
      <c r="CS3591" s="650"/>
      <c r="CU3591" s="73"/>
      <c r="CV3591" s="73"/>
      <c r="CW3591" s="73"/>
      <c r="CX3591" s="73"/>
      <c r="DA3591" s="650"/>
    </row>
    <row r="3592" spans="1:105" s="45" customFormat="1" x14ac:dyDescent="0.2">
      <c r="A3592" s="650"/>
      <c r="B3592" s="438"/>
      <c r="D3592" s="73"/>
      <c r="E3592" s="650"/>
      <c r="F3592" s="650"/>
      <c r="G3592" s="73"/>
      <c r="I3592" s="111"/>
      <c r="J3592" s="81"/>
      <c r="K3592" s="81"/>
      <c r="L3592" s="499"/>
      <c r="M3592" s="73"/>
      <c r="N3592" s="499"/>
      <c r="O3592" s="73"/>
      <c r="P3592" s="73"/>
      <c r="Q3592" s="73"/>
      <c r="R3592" s="176"/>
      <c r="S3592" s="176"/>
      <c r="T3592" s="176"/>
      <c r="U3592" s="400"/>
      <c r="V3592" s="400"/>
      <c r="W3592" s="732"/>
      <c r="X3592" s="167"/>
      <c r="Y3592" s="509"/>
      <c r="Z3592" s="466"/>
      <c r="AA3592" s="466"/>
      <c r="AB3592" s="466"/>
      <c r="AC3592" s="466"/>
      <c r="AD3592" s="466"/>
      <c r="AE3592" s="466"/>
      <c r="AF3592" s="466"/>
      <c r="AG3592" s="466"/>
      <c r="AH3592" s="466"/>
      <c r="AI3592" s="466"/>
      <c r="AJ3592" s="466"/>
      <c r="AK3592" s="466"/>
      <c r="AL3592" s="466"/>
      <c r="AM3592" s="466"/>
      <c r="AN3592" s="466"/>
      <c r="AO3592" s="466"/>
      <c r="AP3592" s="466"/>
      <c r="AQ3592" s="466"/>
      <c r="AR3592" s="466"/>
      <c r="AS3592" s="466"/>
      <c r="AT3592" s="466"/>
      <c r="AU3592" s="466"/>
      <c r="AV3592" s="466"/>
      <c r="AW3592" s="466"/>
      <c r="AX3592" s="466"/>
      <c r="AY3592" s="466"/>
      <c r="AZ3592" s="466"/>
      <c r="BA3592" s="466"/>
      <c r="BB3592" s="466"/>
      <c r="BC3592" s="466"/>
      <c r="BD3592" s="466"/>
      <c r="BE3592" s="467"/>
      <c r="BF3592" s="467"/>
      <c r="BG3592" s="466"/>
      <c r="BH3592" s="466"/>
      <c r="BI3592" s="467"/>
      <c r="BJ3592" s="467"/>
      <c r="BK3592" s="467"/>
      <c r="BL3592" s="467"/>
      <c r="BM3592" s="467"/>
      <c r="BN3592" s="467"/>
      <c r="BO3592" s="467"/>
      <c r="BP3592" s="467"/>
      <c r="BQ3592" s="467"/>
      <c r="BR3592" s="467"/>
      <c r="BS3592" s="467"/>
      <c r="BT3592" s="467"/>
      <c r="BU3592" s="467"/>
      <c r="BV3592" s="467"/>
      <c r="BW3592" s="467"/>
      <c r="BX3592" s="769"/>
      <c r="BY3592" s="769"/>
      <c r="BZ3592" s="769"/>
      <c r="CA3592" s="769"/>
      <c r="CB3592" s="769"/>
      <c r="CC3592" s="769"/>
      <c r="CD3592" s="769"/>
      <c r="CE3592" s="769"/>
      <c r="CF3592" s="769"/>
      <c r="CG3592" s="73"/>
      <c r="CH3592" s="438"/>
      <c r="CI3592" s="416"/>
      <c r="CJ3592" s="73"/>
      <c r="CK3592" s="650"/>
      <c r="CL3592" s="499"/>
      <c r="CM3592" s="650"/>
      <c r="CR3592" s="416"/>
      <c r="CS3592" s="650"/>
      <c r="CU3592" s="73"/>
      <c r="CV3592" s="73"/>
      <c r="CW3592" s="73"/>
      <c r="CX3592" s="73"/>
      <c r="DA3592" s="650"/>
    </row>
    <row r="3593" spans="1:105" s="45" customFormat="1" x14ac:dyDescent="0.2">
      <c r="A3593" s="650"/>
      <c r="B3593" s="438"/>
      <c r="D3593" s="73"/>
      <c r="E3593" s="650"/>
      <c r="F3593" s="650"/>
      <c r="G3593" s="73"/>
      <c r="I3593" s="111"/>
      <c r="J3593" s="81"/>
      <c r="K3593" s="81"/>
      <c r="L3593" s="499"/>
      <c r="M3593" s="73"/>
      <c r="N3593" s="499"/>
      <c r="O3593" s="73"/>
      <c r="P3593" s="73"/>
      <c r="Q3593" s="73"/>
      <c r="R3593" s="176"/>
      <c r="S3593" s="176"/>
      <c r="T3593" s="176"/>
      <c r="U3593" s="400"/>
      <c r="V3593" s="400"/>
      <c r="W3593" s="732"/>
      <c r="X3593" s="167"/>
      <c r="Y3593" s="509"/>
      <c r="Z3593" s="466"/>
      <c r="AA3593" s="466"/>
      <c r="AB3593" s="466"/>
      <c r="AC3593" s="466"/>
      <c r="AD3593" s="466"/>
      <c r="AE3593" s="466"/>
      <c r="AF3593" s="466"/>
      <c r="AG3593" s="466"/>
      <c r="AH3593" s="466"/>
      <c r="AI3593" s="466"/>
      <c r="AJ3593" s="466"/>
      <c r="AK3593" s="466"/>
      <c r="AL3593" s="466"/>
      <c r="AM3593" s="466"/>
      <c r="AN3593" s="466"/>
      <c r="AO3593" s="466"/>
      <c r="AP3593" s="466"/>
      <c r="AQ3593" s="466"/>
      <c r="AR3593" s="466"/>
      <c r="AS3593" s="466"/>
      <c r="AT3593" s="466"/>
      <c r="AU3593" s="466"/>
      <c r="AV3593" s="466"/>
      <c r="AW3593" s="466"/>
      <c r="AX3593" s="466"/>
      <c r="AY3593" s="466"/>
      <c r="AZ3593" s="466"/>
      <c r="BA3593" s="466"/>
      <c r="BB3593" s="466"/>
      <c r="BC3593" s="466"/>
      <c r="BD3593" s="466"/>
      <c r="BE3593" s="467"/>
      <c r="BF3593" s="467"/>
      <c r="BG3593" s="466"/>
      <c r="BH3593" s="466"/>
      <c r="BI3593" s="467"/>
      <c r="BJ3593" s="467"/>
      <c r="BK3593" s="467"/>
      <c r="BL3593" s="467"/>
      <c r="BM3593" s="467"/>
      <c r="BN3593" s="467"/>
      <c r="BO3593" s="467"/>
      <c r="BP3593" s="467"/>
      <c r="BQ3593" s="467"/>
      <c r="BR3593" s="467"/>
      <c r="BS3593" s="467"/>
      <c r="BT3593" s="467"/>
      <c r="BU3593" s="467"/>
      <c r="BV3593" s="467"/>
      <c r="BW3593" s="467"/>
      <c r="BX3593" s="769"/>
      <c r="BY3593" s="769"/>
      <c r="BZ3593" s="769"/>
      <c r="CA3593" s="769"/>
      <c r="CB3593" s="769"/>
      <c r="CC3593" s="769"/>
      <c r="CD3593" s="769"/>
      <c r="CE3593" s="769"/>
      <c r="CF3593" s="769"/>
      <c r="CG3593" s="73"/>
      <c r="CH3593" s="438"/>
      <c r="CI3593" s="416"/>
      <c r="CJ3593" s="73"/>
      <c r="CK3593" s="650"/>
      <c r="CL3593" s="499"/>
      <c r="CM3593" s="650"/>
      <c r="CR3593" s="416"/>
      <c r="CS3593" s="650"/>
      <c r="CU3593" s="73"/>
      <c r="CV3593" s="73"/>
      <c r="CW3593" s="73"/>
      <c r="CX3593" s="73"/>
      <c r="DA3593" s="650"/>
    </row>
    <row r="3594" spans="1:105" s="45" customFormat="1" x14ac:dyDescent="0.2">
      <c r="A3594" s="650"/>
      <c r="B3594" s="438"/>
      <c r="D3594" s="73"/>
      <c r="E3594" s="650"/>
      <c r="F3594" s="650"/>
      <c r="G3594" s="73"/>
      <c r="I3594" s="111"/>
      <c r="J3594" s="81"/>
      <c r="K3594" s="81"/>
      <c r="L3594" s="499"/>
      <c r="M3594" s="73"/>
      <c r="N3594" s="499"/>
      <c r="O3594" s="73"/>
      <c r="P3594" s="73"/>
      <c r="Q3594" s="73"/>
      <c r="R3594" s="176"/>
      <c r="S3594" s="176"/>
      <c r="T3594" s="176"/>
      <c r="U3594" s="400"/>
      <c r="V3594" s="400"/>
      <c r="W3594" s="732"/>
      <c r="X3594" s="167"/>
      <c r="Y3594" s="509"/>
      <c r="Z3594" s="466"/>
      <c r="AA3594" s="466"/>
      <c r="AB3594" s="466"/>
      <c r="AC3594" s="466"/>
      <c r="AD3594" s="466"/>
      <c r="AE3594" s="466"/>
      <c r="AF3594" s="466"/>
      <c r="AG3594" s="466"/>
      <c r="AH3594" s="466"/>
      <c r="AI3594" s="466"/>
      <c r="AJ3594" s="466"/>
      <c r="AK3594" s="466"/>
      <c r="AL3594" s="466"/>
      <c r="AM3594" s="466"/>
      <c r="AN3594" s="466"/>
      <c r="AO3594" s="466"/>
      <c r="AP3594" s="466"/>
      <c r="AQ3594" s="466"/>
      <c r="AR3594" s="466"/>
      <c r="AS3594" s="466"/>
      <c r="AT3594" s="466"/>
      <c r="AU3594" s="466"/>
      <c r="AV3594" s="466"/>
      <c r="AW3594" s="466"/>
      <c r="AX3594" s="466"/>
      <c r="AY3594" s="466"/>
      <c r="AZ3594" s="466"/>
      <c r="BA3594" s="466"/>
      <c r="BB3594" s="466"/>
      <c r="BC3594" s="466"/>
      <c r="BD3594" s="466"/>
      <c r="BE3594" s="467"/>
      <c r="BF3594" s="467"/>
      <c r="BG3594" s="466"/>
      <c r="BH3594" s="466"/>
      <c r="BI3594" s="467"/>
      <c r="BJ3594" s="467"/>
      <c r="BK3594" s="467"/>
      <c r="BL3594" s="467"/>
      <c r="BM3594" s="467"/>
      <c r="BN3594" s="467"/>
      <c r="BO3594" s="467"/>
      <c r="BP3594" s="467"/>
      <c r="BQ3594" s="467"/>
      <c r="BR3594" s="467"/>
      <c r="BS3594" s="467"/>
      <c r="BT3594" s="467"/>
      <c r="BU3594" s="467"/>
      <c r="BV3594" s="467"/>
      <c r="BW3594" s="467"/>
      <c r="BX3594" s="769"/>
      <c r="BY3594" s="769"/>
      <c r="BZ3594" s="769"/>
      <c r="CA3594" s="769"/>
      <c r="CB3594" s="769"/>
      <c r="CC3594" s="769"/>
      <c r="CD3594" s="769"/>
      <c r="CE3594" s="769"/>
      <c r="CF3594" s="769"/>
      <c r="CG3594" s="73"/>
      <c r="CH3594" s="438"/>
      <c r="CI3594" s="416"/>
      <c r="CJ3594" s="73"/>
      <c r="CK3594" s="650"/>
      <c r="CL3594" s="499"/>
      <c r="CM3594" s="650"/>
      <c r="CR3594" s="416"/>
      <c r="CS3594" s="650"/>
      <c r="CU3594" s="73"/>
      <c r="CV3594" s="73"/>
      <c r="CW3594" s="73"/>
      <c r="CX3594" s="73"/>
      <c r="DA3594" s="650"/>
    </row>
    <row r="3595" spans="1:105" s="45" customFormat="1" x14ac:dyDescent="0.2">
      <c r="A3595" s="650"/>
      <c r="B3595" s="438"/>
      <c r="D3595" s="73"/>
      <c r="E3595" s="650"/>
      <c r="F3595" s="650"/>
      <c r="G3595" s="73"/>
      <c r="I3595" s="111"/>
      <c r="J3595" s="81"/>
      <c r="K3595" s="81"/>
      <c r="L3595" s="499"/>
      <c r="M3595" s="73"/>
      <c r="N3595" s="499"/>
      <c r="O3595" s="73"/>
      <c r="P3595" s="73"/>
      <c r="Q3595" s="73"/>
      <c r="R3595" s="176"/>
      <c r="S3595" s="176"/>
      <c r="T3595" s="176"/>
      <c r="U3595" s="400"/>
      <c r="V3595" s="400"/>
      <c r="W3595" s="732"/>
      <c r="X3595" s="167"/>
      <c r="Y3595" s="509"/>
      <c r="Z3595" s="466"/>
      <c r="AA3595" s="466"/>
      <c r="AB3595" s="466"/>
      <c r="AC3595" s="466"/>
      <c r="AD3595" s="466"/>
      <c r="AE3595" s="466"/>
      <c r="AF3595" s="466"/>
      <c r="AG3595" s="466"/>
      <c r="AH3595" s="466"/>
      <c r="AI3595" s="466"/>
      <c r="AJ3595" s="466"/>
      <c r="AK3595" s="466"/>
      <c r="AL3595" s="466"/>
      <c r="AM3595" s="466"/>
      <c r="AN3595" s="466"/>
      <c r="AO3595" s="466"/>
      <c r="AP3595" s="466"/>
      <c r="AQ3595" s="466"/>
      <c r="AR3595" s="466"/>
      <c r="AS3595" s="466"/>
      <c r="AT3595" s="466"/>
      <c r="AU3595" s="466"/>
      <c r="AV3595" s="466"/>
      <c r="AW3595" s="466"/>
      <c r="AX3595" s="466"/>
      <c r="AY3595" s="466"/>
      <c r="AZ3595" s="466"/>
      <c r="BA3595" s="466"/>
      <c r="BB3595" s="466"/>
      <c r="BC3595" s="466"/>
      <c r="BD3595" s="466"/>
      <c r="BE3595" s="467"/>
      <c r="BF3595" s="467"/>
      <c r="BG3595" s="466"/>
      <c r="BH3595" s="466"/>
      <c r="BI3595" s="467"/>
      <c r="BJ3595" s="467"/>
      <c r="BK3595" s="467"/>
      <c r="BL3595" s="467"/>
      <c r="BM3595" s="467"/>
      <c r="BN3595" s="467"/>
      <c r="BO3595" s="467"/>
      <c r="BP3595" s="467"/>
      <c r="BQ3595" s="467"/>
      <c r="BR3595" s="467"/>
      <c r="BS3595" s="467"/>
      <c r="BT3595" s="467"/>
      <c r="BU3595" s="467"/>
      <c r="BV3595" s="467"/>
      <c r="BW3595" s="467"/>
      <c r="BX3595" s="769"/>
      <c r="BY3595" s="769"/>
      <c r="BZ3595" s="769"/>
      <c r="CA3595" s="769"/>
      <c r="CB3595" s="769"/>
      <c r="CC3595" s="769"/>
      <c r="CD3595" s="769"/>
      <c r="CE3595" s="769"/>
      <c r="CF3595" s="769"/>
      <c r="CG3595" s="73"/>
      <c r="CH3595" s="438"/>
      <c r="CI3595" s="416"/>
      <c r="CJ3595" s="73"/>
      <c r="CK3595" s="650"/>
      <c r="CL3595" s="499"/>
      <c r="CM3595" s="650"/>
      <c r="CR3595" s="416"/>
      <c r="CS3595" s="650"/>
      <c r="CU3595" s="73"/>
      <c r="CV3595" s="73"/>
      <c r="CW3595" s="73"/>
      <c r="CX3595" s="73"/>
      <c r="DA3595" s="650"/>
    </row>
    <row r="3596" spans="1:105" s="45" customFormat="1" x14ac:dyDescent="0.2">
      <c r="A3596" s="650"/>
      <c r="B3596" s="438"/>
      <c r="D3596" s="73"/>
      <c r="E3596" s="650"/>
      <c r="F3596" s="650"/>
      <c r="G3596" s="73"/>
      <c r="I3596" s="111"/>
      <c r="J3596" s="81"/>
      <c r="K3596" s="81"/>
      <c r="L3596" s="499"/>
      <c r="M3596" s="73"/>
      <c r="N3596" s="499"/>
      <c r="O3596" s="73"/>
      <c r="P3596" s="73"/>
      <c r="Q3596" s="73"/>
      <c r="R3596" s="176"/>
      <c r="S3596" s="176"/>
      <c r="T3596" s="176"/>
      <c r="U3596" s="400"/>
      <c r="V3596" s="400"/>
      <c r="W3596" s="732"/>
      <c r="X3596" s="167"/>
      <c r="Y3596" s="509"/>
      <c r="Z3596" s="466"/>
      <c r="AA3596" s="466"/>
      <c r="AB3596" s="466"/>
      <c r="AC3596" s="466"/>
      <c r="AD3596" s="466"/>
      <c r="AE3596" s="466"/>
      <c r="AF3596" s="466"/>
      <c r="AG3596" s="466"/>
      <c r="AH3596" s="466"/>
      <c r="AI3596" s="466"/>
      <c r="AJ3596" s="466"/>
      <c r="AK3596" s="466"/>
      <c r="AL3596" s="466"/>
      <c r="AM3596" s="466"/>
      <c r="AN3596" s="466"/>
      <c r="AO3596" s="466"/>
      <c r="AP3596" s="466"/>
      <c r="AQ3596" s="466"/>
      <c r="AR3596" s="466"/>
      <c r="AS3596" s="466"/>
      <c r="AT3596" s="466"/>
      <c r="AU3596" s="466"/>
      <c r="AV3596" s="466"/>
      <c r="AW3596" s="466"/>
      <c r="AX3596" s="466"/>
      <c r="AY3596" s="466"/>
      <c r="AZ3596" s="466"/>
      <c r="BA3596" s="466"/>
      <c r="BB3596" s="466"/>
      <c r="BC3596" s="466"/>
      <c r="BD3596" s="466"/>
      <c r="BE3596" s="467"/>
      <c r="BF3596" s="467"/>
      <c r="BG3596" s="466"/>
      <c r="BH3596" s="466"/>
      <c r="BI3596" s="467"/>
      <c r="BJ3596" s="467"/>
      <c r="BK3596" s="467"/>
      <c r="BL3596" s="467"/>
      <c r="BM3596" s="467"/>
      <c r="BN3596" s="467"/>
      <c r="BO3596" s="467"/>
      <c r="BP3596" s="467"/>
      <c r="BQ3596" s="467"/>
      <c r="BR3596" s="467"/>
      <c r="BS3596" s="467"/>
      <c r="BT3596" s="467"/>
      <c r="BU3596" s="467"/>
      <c r="BV3596" s="467"/>
      <c r="BW3596" s="467"/>
      <c r="BX3596" s="769"/>
      <c r="BY3596" s="769"/>
      <c r="BZ3596" s="769"/>
      <c r="CA3596" s="769"/>
      <c r="CB3596" s="769"/>
      <c r="CC3596" s="769"/>
      <c r="CD3596" s="769"/>
      <c r="CE3596" s="769"/>
      <c r="CF3596" s="769"/>
      <c r="CG3596" s="73"/>
      <c r="CH3596" s="438"/>
      <c r="CI3596" s="416"/>
      <c r="CJ3596" s="73"/>
      <c r="CK3596" s="650"/>
      <c r="CL3596" s="499"/>
      <c r="CM3596" s="650"/>
      <c r="CR3596" s="416"/>
      <c r="CS3596" s="650"/>
      <c r="CU3596" s="73"/>
      <c r="CV3596" s="73"/>
      <c r="CW3596" s="73"/>
      <c r="CX3596" s="73"/>
      <c r="DA3596" s="650"/>
    </row>
    <row r="3597" spans="1:105" s="45" customFormat="1" x14ac:dyDescent="0.2">
      <c r="A3597" s="650"/>
      <c r="B3597" s="438"/>
      <c r="D3597" s="73"/>
      <c r="E3597" s="650"/>
      <c r="F3597" s="650"/>
      <c r="G3597" s="73"/>
      <c r="I3597" s="111"/>
      <c r="J3597" s="81"/>
      <c r="K3597" s="81"/>
      <c r="L3597" s="499"/>
      <c r="M3597" s="73"/>
      <c r="N3597" s="499"/>
      <c r="O3597" s="73"/>
      <c r="P3597" s="73"/>
      <c r="Q3597" s="73"/>
      <c r="R3597" s="176"/>
      <c r="S3597" s="176"/>
      <c r="T3597" s="176"/>
      <c r="U3597" s="400"/>
      <c r="V3597" s="400"/>
      <c r="W3597" s="732"/>
      <c r="X3597" s="167"/>
      <c r="Y3597" s="509"/>
      <c r="Z3597" s="466"/>
      <c r="AA3597" s="466"/>
      <c r="AB3597" s="466"/>
      <c r="AC3597" s="466"/>
      <c r="AD3597" s="466"/>
      <c r="AE3597" s="466"/>
      <c r="AF3597" s="466"/>
      <c r="AG3597" s="466"/>
      <c r="AH3597" s="466"/>
      <c r="AI3597" s="466"/>
      <c r="AJ3597" s="466"/>
      <c r="AK3597" s="466"/>
      <c r="AL3597" s="466"/>
      <c r="AM3597" s="466"/>
      <c r="AN3597" s="466"/>
      <c r="AO3597" s="466"/>
      <c r="AP3597" s="466"/>
      <c r="AQ3597" s="466"/>
      <c r="AR3597" s="466"/>
      <c r="AS3597" s="466"/>
      <c r="AT3597" s="466"/>
      <c r="AU3597" s="466"/>
      <c r="AV3597" s="466"/>
      <c r="AW3597" s="466"/>
      <c r="AX3597" s="466"/>
      <c r="AY3597" s="466"/>
      <c r="AZ3597" s="466"/>
      <c r="BA3597" s="466"/>
      <c r="BB3597" s="466"/>
      <c r="BC3597" s="466"/>
      <c r="BD3597" s="466"/>
      <c r="BE3597" s="467"/>
      <c r="BF3597" s="467"/>
      <c r="BG3597" s="466"/>
      <c r="BH3597" s="466"/>
      <c r="BI3597" s="467"/>
      <c r="BJ3597" s="467"/>
      <c r="BK3597" s="467"/>
      <c r="BL3597" s="467"/>
      <c r="BM3597" s="467"/>
      <c r="BN3597" s="467"/>
      <c r="BO3597" s="467"/>
      <c r="BP3597" s="467"/>
      <c r="BQ3597" s="467"/>
      <c r="BR3597" s="467"/>
      <c r="BS3597" s="467"/>
      <c r="BT3597" s="467"/>
      <c r="BU3597" s="467"/>
      <c r="BV3597" s="467"/>
      <c r="BW3597" s="467"/>
      <c r="BX3597" s="769"/>
      <c r="BY3597" s="769"/>
      <c r="BZ3597" s="769"/>
      <c r="CA3597" s="769"/>
      <c r="CB3597" s="769"/>
      <c r="CC3597" s="769"/>
      <c r="CD3597" s="769"/>
      <c r="CE3597" s="769"/>
      <c r="CF3597" s="769"/>
      <c r="CG3597" s="73"/>
      <c r="CH3597" s="438"/>
      <c r="CI3597" s="416"/>
      <c r="CJ3597" s="73"/>
      <c r="CK3597" s="650"/>
      <c r="CL3597" s="499"/>
      <c r="CM3597" s="650"/>
      <c r="CR3597" s="416"/>
      <c r="CS3597" s="650"/>
      <c r="CU3597" s="73"/>
      <c r="CV3597" s="73"/>
      <c r="CW3597" s="73"/>
      <c r="CX3597" s="73"/>
      <c r="DA3597" s="650"/>
    </row>
    <row r="3598" spans="1:105" s="45" customFormat="1" x14ac:dyDescent="0.2">
      <c r="A3598" s="650"/>
      <c r="B3598" s="438"/>
      <c r="D3598" s="73"/>
      <c r="E3598" s="650"/>
      <c r="F3598" s="650"/>
      <c r="G3598" s="73"/>
      <c r="I3598" s="111"/>
      <c r="J3598" s="81"/>
      <c r="K3598" s="81"/>
      <c r="L3598" s="499"/>
      <c r="M3598" s="73"/>
      <c r="N3598" s="499"/>
      <c r="O3598" s="73"/>
      <c r="P3598" s="73"/>
      <c r="Q3598" s="73"/>
      <c r="R3598" s="176"/>
      <c r="S3598" s="176"/>
      <c r="T3598" s="176"/>
      <c r="U3598" s="400"/>
      <c r="V3598" s="400"/>
      <c r="W3598" s="732"/>
      <c r="X3598" s="167"/>
      <c r="Y3598" s="509"/>
      <c r="Z3598" s="466"/>
      <c r="AA3598" s="466"/>
      <c r="AB3598" s="466"/>
      <c r="AC3598" s="466"/>
      <c r="AD3598" s="466"/>
      <c r="AE3598" s="466"/>
      <c r="AF3598" s="466"/>
      <c r="AG3598" s="466"/>
      <c r="AH3598" s="466"/>
      <c r="AI3598" s="466"/>
      <c r="AJ3598" s="466"/>
      <c r="AK3598" s="466"/>
      <c r="AL3598" s="466"/>
      <c r="AM3598" s="466"/>
      <c r="AN3598" s="466"/>
      <c r="AO3598" s="466"/>
      <c r="AP3598" s="466"/>
      <c r="AQ3598" s="466"/>
      <c r="AR3598" s="466"/>
      <c r="AS3598" s="466"/>
      <c r="AT3598" s="466"/>
      <c r="AU3598" s="466"/>
      <c r="AV3598" s="466"/>
      <c r="AW3598" s="466"/>
      <c r="AX3598" s="466"/>
      <c r="AY3598" s="466"/>
      <c r="AZ3598" s="466"/>
      <c r="BA3598" s="466"/>
      <c r="BB3598" s="466"/>
      <c r="BC3598" s="466"/>
      <c r="BD3598" s="466"/>
      <c r="BE3598" s="467"/>
      <c r="BF3598" s="467"/>
      <c r="BG3598" s="466"/>
      <c r="BH3598" s="466"/>
      <c r="BI3598" s="467"/>
      <c r="BJ3598" s="467"/>
      <c r="BK3598" s="467"/>
      <c r="BL3598" s="467"/>
      <c r="BM3598" s="467"/>
      <c r="BN3598" s="467"/>
      <c r="BO3598" s="467"/>
      <c r="BP3598" s="467"/>
      <c r="BQ3598" s="467"/>
      <c r="BR3598" s="467"/>
      <c r="BS3598" s="467"/>
      <c r="BT3598" s="467"/>
      <c r="BU3598" s="467"/>
      <c r="BV3598" s="467"/>
      <c r="BW3598" s="467"/>
      <c r="BX3598" s="769"/>
      <c r="BY3598" s="769"/>
      <c r="BZ3598" s="769"/>
      <c r="CA3598" s="769"/>
      <c r="CB3598" s="769"/>
      <c r="CC3598" s="769"/>
      <c r="CD3598" s="769"/>
      <c r="CE3598" s="769"/>
      <c r="CF3598" s="769"/>
      <c r="CG3598" s="73"/>
      <c r="CH3598" s="438"/>
      <c r="CI3598" s="416"/>
      <c r="CJ3598" s="73"/>
      <c r="CK3598" s="650"/>
      <c r="CL3598" s="499"/>
      <c r="CM3598" s="650"/>
      <c r="CR3598" s="416"/>
      <c r="CS3598" s="650"/>
      <c r="CU3598" s="73"/>
      <c r="CV3598" s="73"/>
      <c r="CW3598" s="73"/>
      <c r="CX3598" s="73"/>
      <c r="DA3598" s="650"/>
    </row>
    <row r="3599" spans="1:105" s="45" customFormat="1" x14ac:dyDescent="0.2">
      <c r="A3599" s="650"/>
      <c r="B3599" s="438"/>
      <c r="D3599" s="73"/>
      <c r="E3599" s="650"/>
      <c r="F3599" s="650"/>
      <c r="G3599" s="73"/>
      <c r="I3599" s="111"/>
      <c r="J3599" s="81"/>
      <c r="K3599" s="81"/>
      <c r="L3599" s="499"/>
      <c r="M3599" s="73"/>
      <c r="N3599" s="499"/>
      <c r="O3599" s="73"/>
      <c r="P3599" s="73"/>
      <c r="Q3599" s="73"/>
      <c r="R3599" s="176"/>
      <c r="S3599" s="176"/>
      <c r="T3599" s="176"/>
      <c r="U3599" s="400"/>
      <c r="V3599" s="400"/>
      <c r="W3599" s="732"/>
      <c r="X3599" s="167"/>
      <c r="Y3599" s="509"/>
      <c r="Z3599" s="466"/>
      <c r="AA3599" s="466"/>
      <c r="AB3599" s="466"/>
      <c r="AC3599" s="466"/>
      <c r="AD3599" s="466"/>
      <c r="AE3599" s="466"/>
      <c r="AF3599" s="466"/>
      <c r="AG3599" s="466"/>
      <c r="AH3599" s="466"/>
      <c r="AI3599" s="466"/>
      <c r="AJ3599" s="466"/>
      <c r="AK3599" s="466"/>
      <c r="AL3599" s="466"/>
      <c r="AM3599" s="466"/>
      <c r="AN3599" s="466"/>
      <c r="AO3599" s="466"/>
      <c r="AP3599" s="466"/>
      <c r="AQ3599" s="466"/>
      <c r="AR3599" s="466"/>
      <c r="AS3599" s="466"/>
      <c r="AT3599" s="466"/>
      <c r="AU3599" s="466"/>
      <c r="AV3599" s="466"/>
      <c r="AW3599" s="466"/>
      <c r="AX3599" s="466"/>
      <c r="AY3599" s="466"/>
      <c r="AZ3599" s="466"/>
      <c r="BA3599" s="466"/>
      <c r="BB3599" s="466"/>
      <c r="BC3599" s="466"/>
      <c r="BD3599" s="466"/>
      <c r="BE3599" s="467"/>
      <c r="BF3599" s="467"/>
      <c r="BG3599" s="466"/>
      <c r="BH3599" s="466"/>
      <c r="BI3599" s="467"/>
      <c r="BJ3599" s="467"/>
      <c r="BK3599" s="467"/>
      <c r="BL3599" s="467"/>
      <c r="BM3599" s="467"/>
      <c r="BN3599" s="467"/>
      <c r="BO3599" s="467"/>
      <c r="BP3599" s="467"/>
      <c r="BQ3599" s="467"/>
      <c r="BR3599" s="467"/>
      <c r="BS3599" s="467"/>
      <c r="BT3599" s="467"/>
      <c r="BU3599" s="467"/>
      <c r="BV3599" s="467"/>
      <c r="BW3599" s="467"/>
      <c r="BX3599" s="769"/>
      <c r="BY3599" s="769"/>
      <c r="BZ3599" s="769"/>
      <c r="CA3599" s="769"/>
      <c r="CB3599" s="769"/>
      <c r="CC3599" s="769"/>
      <c r="CD3599" s="769"/>
      <c r="CE3599" s="769"/>
      <c r="CF3599" s="769"/>
      <c r="CG3599" s="73"/>
      <c r="CH3599" s="438"/>
      <c r="CI3599" s="416"/>
      <c r="CJ3599" s="73"/>
      <c r="CK3599" s="650"/>
      <c r="CL3599" s="499"/>
      <c r="CM3599" s="650"/>
      <c r="CR3599" s="416"/>
      <c r="CS3599" s="650"/>
      <c r="CU3599" s="73"/>
      <c r="CV3599" s="73"/>
      <c r="CW3599" s="73"/>
      <c r="CX3599" s="73"/>
      <c r="DA3599" s="650"/>
    </row>
    <row r="3600" spans="1:105" s="45" customFormat="1" x14ac:dyDescent="0.2">
      <c r="A3600" s="650"/>
      <c r="B3600" s="438"/>
      <c r="D3600" s="73"/>
      <c r="E3600" s="650"/>
      <c r="F3600" s="650"/>
      <c r="G3600" s="73"/>
      <c r="I3600" s="111"/>
      <c r="J3600" s="81"/>
      <c r="K3600" s="81"/>
      <c r="L3600" s="499"/>
      <c r="M3600" s="73"/>
      <c r="N3600" s="499"/>
      <c r="O3600" s="73"/>
      <c r="P3600" s="73"/>
      <c r="Q3600" s="73"/>
      <c r="R3600" s="176"/>
      <c r="S3600" s="176"/>
      <c r="T3600" s="176"/>
      <c r="U3600" s="400"/>
      <c r="V3600" s="400"/>
      <c r="W3600" s="732"/>
      <c r="X3600" s="167"/>
      <c r="Y3600" s="509"/>
      <c r="Z3600" s="466"/>
      <c r="AA3600" s="466"/>
      <c r="AB3600" s="466"/>
      <c r="AC3600" s="466"/>
      <c r="AD3600" s="466"/>
      <c r="AE3600" s="466"/>
      <c r="AF3600" s="466"/>
      <c r="AG3600" s="466"/>
      <c r="AH3600" s="466"/>
      <c r="AI3600" s="466"/>
      <c r="AJ3600" s="466"/>
      <c r="AK3600" s="466"/>
      <c r="AL3600" s="466"/>
      <c r="AM3600" s="466"/>
      <c r="AN3600" s="466"/>
      <c r="AO3600" s="466"/>
      <c r="AP3600" s="466"/>
      <c r="AQ3600" s="466"/>
      <c r="AR3600" s="466"/>
      <c r="AS3600" s="466"/>
      <c r="AT3600" s="466"/>
      <c r="AU3600" s="466"/>
      <c r="AV3600" s="466"/>
      <c r="AW3600" s="466"/>
      <c r="AX3600" s="466"/>
      <c r="AY3600" s="466"/>
      <c r="AZ3600" s="466"/>
      <c r="BA3600" s="466"/>
      <c r="BB3600" s="466"/>
      <c r="BC3600" s="466"/>
      <c r="BD3600" s="466"/>
      <c r="BE3600" s="467"/>
      <c r="BF3600" s="467"/>
      <c r="BG3600" s="466"/>
      <c r="BH3600" s="466"/>
      <c r="BI3600" s="467"/>
      <c r="BJ3600" s="467"/>
      <c r="BK3600" s="467"/>
      <c r="BL3600" s="467"/>
      <c r="BM3600" s="467"/>
      <c r="BN3600" s="467"/>
      <c r="BO3600" s="467"/>
      <c r="BP3600" s="467"/>
      <c r="BQ3600" s="467"/>
      <c r="BR3600" s="467"/>
      <c r="BS3600" s="467"/>
      <c r="BT3600" s="467"/>
      <c r="BU3600" s="467"/>
      <c r="BV3600" s="467"/>
      <c r="BW3600" s="467"/>
      <c r="BX3600" s="769"/>
      <c r="BY3600" s="769"/>
      <c r="BZ3600" s="769"/>
      <c r="CA3600" s="769"/>
      <c r="CB3600" s="769"/>
      <c r="CC3600" s="769"/>
      <c r="CD3600" s="769"/>
      <c r="CE3600" s="769"/>
      <c r="CF3600" s="769"/>
      <c r="CG3600" s="73"/>
      <c r="CH3600" s="438"/>
      <c r="CI3600" s="416"/>
      <c r="CJ3600" s="73"/>
      <c r="CK3600" s="650"/>
      <c r="CL3600" s="499"/>
      <c r="CM3600" s="650"/>
      <c r="CR3600" s="416"/>
      <c r="CS3600" s="650"/>
      <c r="CU3600" s="73"/>
      <c r="CV3600" s="73"/>
      <c r="CW3600" s="73"/>
      <c r="CX3600" s="73"/>
      <c r="DA3600" s="650"/>
    </row>
    <row r="3601" spans="1:105" s="45" customFormat="1" x14ac:dyDescent="0.2">
      <c r="A3601" s="650"/>
      <c r="B3601" s="438"/>
      <c r="D3601" s="73"/>
      <c r="E3601" s="650"/>
      <c r="F3601" s="650"/>
      <c r="G3601" s="73"/>
      <c r="I3601" s="111"/>
      <c r="J3601" s="81"/>
      <c r="K3601" s="81"/>
      <c r="L3601" s="499"/>
      <c r="M3601" s="73"/>
      <c r="N3601" s="499"/>
      <c r="O3601" s="73"/>
      <c r="P3601" s="73"/>
      <c r="Q3601" s="73"/>
      <c r="R3601" s="176"/>
      <c r="S3601" s="176"/>
      <c r="T3601" s="176"/>
      <c r="U3601" s="400"/>
      <c r="V3601" s="400"/>
      <c r="W3601" s="732"/>
      <c r="X3601" s="167"/>
      <c r="Y3601" s="509"/>
      <c r="Z3601" s="466"/>
      <c r="AA3601" s="466"/>
      <c r="AB3601" s="466"/>
      <c r="AC3601" s="466"/>
      <c r="AD3601" s="466"/>
      <c r="AE3601" s="466"/>
      <c r="AF3601" s="466"/>
      <c r="AG3601" s="466"/>
      <c r="AH3601" s="466"/>
      <c r="AI3601" s="466"/>
      <c r="AJ3601" s="466"/>
      <c r="AK3601" s="466"/>
      <c r="AL3601" s="466"/>
      <c r="AM3601" s="466"/>
      <c r="AN3601" s="466"/>
      <c r="AO3601" s="466"/>
      <c r="AP3601" s="466"/>
      <c r="AQ3601" s="466"/>
      <c r="AR3601" s="466"/>
      <c r="AS3601" s="466"/>
      <c r="AT3601" s="466"/>
      <c r="AU3601" s="466"/>
      <c r="AV3601" s="466"/>
      <c r="AW3601" s="466"/>
      <c r="AX3601" s="466"/>
      <c r="AY3601" s="466"/>
      <c r="AZ3601" s="466"/>
      <c r="BA3601" s="466"/>
      <c r="BB3601" s="466"/>
      <c r="BC3601" s="466"/>
      <c r="BD3601" s="466"/>
      <c r="BE3601" s="467"/>
      <c r="BF3601" s="467"/>
      <c r="BG3601" s="466"/>
      <c r="BH3601" s="466"/>
      <c r="BI3601" s="467"/>
      <c r="BJ3601" s="467"/>
      <c r="BK3601" s="467"/>
      <c r="BL3601" s="467"/>
      <c r="BM3601" s="467"/>
      <c r="BN3601" s="467"/>
      <c r="BO3601" s="467"/>
      <c r="BP3601" s="467"/>
      <c r="BQ3601" s="467"/>
      <c r="BR3601" s="467"/>
      <c r="BS3601" s="467"/>
      <c r="BT3601" s="467"/>
      <c r="BU3601" s="467"/>
      <c r="BV3601" s="467"/>
      <c r="BW3601" s="467"/>
      <c r="BX3601" s="769"/>
      <c r="BY3601" s="769"/>
      <c r="BZ3601" s="769"/>
      <c r="CA3601" s="769"/>
      <c r="CB3601" s="769"/>
      <c r="CC3601" s="769"/>
      <c r="CD3601" s="769"/>
      <c r="CE3601" s="769"/>
      <c r="CF3601" s="769"/>
      <c r="CG3601" s="73"/>
      <c r="CH3601" s="438"/>
      <c r="CI3601" s="416"/>
      <c r="CJ3601" s="73"/>
      <c r="CK3601" s="650"/>
      <c r="CL3601" s="499"/>
      <c r="CM3601" s="650"/>
      <c r="CR3601" s="416"/>
      <c r="CS3601" s="650"/>
      <c r="CU3601" s="73"/>
      <c r="CV3601" s="73"/>
      <c r="CW3601" s="73"/>
      <c r="CX3601" s="73"/>
      <c r="DA3601" s="650"/>
    </row>
    <row r="3602" spans="1:105" s="45" customFormat="1" x14ac:dyDescent="0.2">
      <c r="A3602" s="650"/>
      <c r="B3602" s="438"/>
      <c r="D3602" s="73"/>
      <c r="E3602" s="650"/>
      <c r="F3602" s="650"/>
      <c r="G3602" s="73"/>
      <c r="I3602" s="111"/>
      <c r="J3602" s="81"/>
      <c r="K3602" s="81"/>
      <c r="L3602" s="499"/>
      <c r="M3602" s="73"/>
      <c r="N3602" s="499"/>
      <c r="O3602" s="73"/>
      <c r="P3602" s="73"/>
      <c r="Q3602" s="73"/>
      <c r="R3602" s="176"/>
      <c r="S3602" s="176"/>
      <c r="T3602" s="176"/>
      <c r="U3602" s="400"/>
      <c r="V3602" s="400"/>
      <c r="W3602" s="732"/>
      <c r="X3602" s="167"/>
      <c r="Y3602" s="509"/>
      <c r="Z3602" s="466"/>
      <c r="AA3602" s="466"/>
      <c r="AB3602" s="466"/>
      <c r="AC3602" s="466"/>
      <c r="AD3602" s="466"/>
      <c r="AE3602" s="466"/>
      <c r="AF3602" s="466"/>
      <c r="AG3602" s="466"/>
      <c r="AH3602" s="466"/>
      <c r="AI3602" s="466"/>
      <c r="AJ3602" s="466"/>
      <c r="AK3602" s="466"/>
      <c r="AL3602" s="466"/>
      <c r="AM3602" s="466"/>
      <c r="AN3602" s="466"/>
      <c r="AO3602" s="466"/>
      <c r="AP3602" s="466"/>
      <c r="AQ3602" s="466"/>
      <c r="AR3602" s="466"/>
      <c r="AS3602" s="466"/>
      <c r="AT3602" s="466"/>
      <c r="AU3602" s="466"/>
      <c r="AV3602" s="466"/>
      <c r="AW3602" s="466"/>
      <c r="AX3602" s="466"/>
      <c r="AY3602" s="466"/>
      <c r="AZ3602" s="466"/>
      <c r="BA3602" s="466"/>
      <c r="BB3602" s="466"/>
      <c r="BC3602" s="466"/>
      <c r="BD3602" s="466"/>
      <c r="BE3602" s="467"/>
      <c r="BF3602" s="467"/>
      <c r="BG3602" s="466"/>
      <c r="BH3602" s="466"/>
      <c r="BI3602" s="467"/>
      <c r="BJ3602" s="467"/>
      <c r="BK3602" s="467"/>
      <c r="BL3602" s="467"/>
      <c r="BM3602" s="467"/>
      <c r="BN3602" s="467"/>
      <c r="BO3602" s="467"/>
      <c r="BP3602" s="467"/>
      <c r="BQ3602" s="467"/>
      <c r="BR3602" s="467"/>
      <c r="BS3602" s="467"/>
      <c r="BT3602" s="467"/>
      <c r="BU3602" s="467"/>
      <c r="BV3602" s="467"/>
      <c r="BW3602" s="467"/>
      <c r="BX3602" s="769"/>
      <c r="BY3602" s="769"/>
      <c r="BZ3602" s="769"/>
      <c r="CA3602" s="769"/>
      <c r="CB3602" s="769"/>
      <c r="CC3602" s="769"/>
      <c r="CD3602" s="769"/>
      <c r="CE3602" s="769"/>
      <c r="CF3602" s="769"/>
      <c r="CG3602" s="73"/>
      <c r="CH3602" s="438"/>
      <c r="CI3602" s="416"/>
      <c r="CJ3602" s="73"/>
      <c r="CK3602" s="650"/>
      <c r="CL3602" s="499"/>
      <c r="CM3602" s="650"/>
      <c r="CR3602" s="416"/>
      <c r="CS3602" s="650"/>
      <c r="CU3602" s="73"/>
      <c r="CV3602" s="73"/>
      <c r="CW3602" s="73"/>
      <c r="CX3602" s="73"/>
      <c r="DA3602" s="650"/>
    </row>
    <row r="3603" spans="1:105" s="45" customFormat="1" x14ac:dyDescent="0.2">
      <c r="A3603" s="650"/>
      <c r="B3603" s="438"/>
      <c r="D3603" s="73"/>
      <c r="E3603" s="650"/>
      <c r="F3603" s="650"/>
      <c r="G3603" s="73"/>
      <c r="I3603" s="111"/>
      <c r="J3603" s="81"/>
      <c r="K3603" s="81"/>
      <c r="L3603" s="499"/>
      <c r="M3603" s="73"/>
      <c r="N3603" s="499"/>
      <c r="O3603" s="73"/>
      <c r="P3603" s="73"/>
      <c r="Q3603" s="73"/>
      <c r="R3603" s="176"/>
      <c r="S3603" s="176"/>
      <c r="T3603" s="176"/>
      <c r="U3603" s="400"/>
      <c r="V3603" s="400"/>
      <c r="W3603" s="732"/>
      <c r="X3603" s="167"/>
      <c r="Y3603" s="509"/>
      <c r="Z3603" s="466"/>
      <c r="AA3603" s="466"/>
      <c r="AB3603" s="466"/>
      <c r="AC3603" s="466"/>
      <c r="AD3603" s="466"/>
      <c r="AE3603" s="466"/>
      <c r="AF3603" s="466"/>
      <c r="AG3603" s="466"/>
      <c r="AH3603" s="466"/>
      <c r="AI3603" s="466"/>
      <c r="AJ3603" s="466"/>
      <c r="AK3603" s="466"/>
      <c r="AL3603" s="466"/>
      <c r="AM3603" s="466"/>
      <c r="AN3603" s="466"/>
      <c r="AO3603" s="466"/>
      <c r="AP3603" s="466"/>
      <c r="AQ3603" s="466"/>
      <c r="AR3603" s="466"/>
      <c r="AS3603" s="466"/>
      <c r="AT3603" s="466"/>
      <c r="AU3603" s="466"/>
      <c r="AV3603" s="466"/>
      <c r="AW3603" s="466"/>
      <c r="AX3603" s="466"/>
      <c r="AY3603" s="466"/>
      <c r="AZ3603" s="466"/>
      <c r="BA3603" s="466"/>
      <c r="BB3603" s="466"/>
      <c r="BC3603" s="466"/>
      <c r="BD3603" s="466"/>
      <c r="BE3603" s="467"/>
      <c r="BF3603" s="467"/>
      <c r="BG3603" s="466"/>
      <c r="BH3603" s="466"/>
      <c r="BI3603" s="467"/>
      <c r="BJ3603" s="467"/>
      <c r="BK3603" s="467"/>
      <c r="BL3603" s="467"/>
      <c r="BM3603" s="467"/>
      <c r="BN3603" s="467"/>
      <c r="BO3603" s="467"/>
      <c r="BP3603" s="467"/>
      <c r="BQ3603" s="467"/>
      <c r="BR3603" s="467"/>
      <c r="BS3603" s="467"/>
      <c r="BT3603" s="467"/>
      <c r="BU3603" s="467"/>
      <c r="BV3603" s="467"/>
      <c r="BW3603" s="467"/>
      <c r="BX3603" s="769"/>
      <c r="BY3603" s="769"/>
      <c r="BZ3603" s="769"/>
      <c r="CA3603" s="769"/>
      <c r="CB3603" s="769"/>
      <c r="CC3603" s="769"/>
      <c r="CD3603" s="769"/>
      <c r="CE3603" s="769"/>
      <c r="CF3603" s="769"/>
      <c r="CG3603" s="73"/>
      <c r="CH3603" s="438"/>
      <c r="CI3603" s="416"/>
      <c r="CJ3603" s="73"/>
      <c r="CK3603" s="650"/>
      <c r="CL3603" s="499"/>
      <c r="CM3603" s="650"/>
      <c r="CR3603" s="416"/>
      <c r="CS3603" s="650"/>
      <c r="CU3603" s="73"/>
      <c r="CV3603" s="73"/>
      <c r="CW3603" s="73"/>
      <c r="CX3603" s="73"/>
      <c r="DA3603" s="650"/>
    </row>
    <row r="3604" spans="1:105" s="45" customFormat="1" x14ac:dyDescent="0.2">
      <c r="A3604" s="650"/>
      <c r="B3604" s="438"/>
      <c r="D3604" s="73"/>
      <c r="E3604" s="650"/>
      <c r="F3604" s="650"/>
      <c r="G3604" s="73"/>
      <c r="I3604" s="111"/>
      <c r="J3604" s="81"/>
      <c r="K3604" s="81"/>
      <c r="L3604" s="499"/>
      <c r="M3604" s="73"/>
      <c r="N3604" s="499"/>
      <c r="O3604" s="73"/>
      <c r="P3604" s="73"/>
      <c r="Q3604" s="73"/>
      <c r="R3604" s="176"/>
      <c r="S3604" s="176"/>
      <c r="T3604" s="176"/>
      <c r="U3604" s="400"/>
      <c r="V3604" s="400"/>
      <c r="W3604" s="732"/>
      <c r="X3604" s="167"/>
      <c r="Y3604" s="509"/>
      <c r="Z3604" s="466"/>
      <c r="AA3604" s="466"/>
      <c r="AB3604" s="466"/>
      <c r="AC3604" s="466"/>
      <c r="AD3604" s="466"/>
      <c r="AE3604" s="466"/>
      <c r="AF3604" s="466"/>
      <c r="AG3604" s="466"/>
      <c r="AH3604" s="466"/>
      <c r="AI3604" s="466"/>
      <c r="AJ3604" s="466"/>
      <c r="AK3604" s="466"/>
      <c r="AL3604" s="466"/>
      <c r="AM3604" s="466"/>
      <c r="AN3604" s="466"/>
      <c r="AO3604" s="466"/>
      <c r="AP3604" s="466"/>
      <c r="AQ3604" s="466"/>
      <c r="AR3604" s="466"/>
      <c r="AS3604" s="466"/>
      <c r="AT3604" s="466"/>
      <c r="AU3604" s="466"/>
      <c r="AV3604" s="466"/>
      <c r="AW3604" s="466"/>
      <c r="AX3604" s="466"/>
      <c r="AY3604" s="466"/>
      <c r="AZ3604" s="466"/>
      <c r="BA3604" s="466"/>
      <c r="BB3604" s="466"/>
      <c r="BC3604" s="466"/>
      <c r="BD3604" s="466"/>
      <c r="BE3604" s="467"/>
      <c r="BF3604" s="467"/>
      <c r="BG3604" s="466"/>
      <c r="BH3604" s="466"/>
      <c r="BI3604" s="467"/>
      <c r="BJ3604" s="467"/>
      <c r="BK3604" s="467"/>
      <c r="BL3604" s="467"/>
      <c r="BM3604" s="467"/>
      <c r="BN3604" s="467"/>
      <c r="BO3604" s="467"/>
      <c r="BP3604" s="467"/>
      <c r="BQ3604" s="467"/>
      <c r="BR3604" s="467"/>
      <c r="BS3604" s="467"/>
      <c r="BT3604" s="467"/>
      <c r="BU3604" s="467"/>
      <c r="BV3604" s="467"/>
      <c r="BW3604" s="467"/>
      <c r="BX3604" s="769"/>
      <c r="BY3604" s="769"/>
      <c r="BZ3604" s="769"/>
      <c r="CA3604" s="769"/>
      <c r="CB3604" s="769"/>
      <c r="CC3604" s="769"/>
      <c r="CD3604" s="769"/>
      <c r="CE3604" s="769"/>
      <c r="CF3604" s="769"/>
      <c r="CG3604" s="73"/>
      <c r="CH3604" s="438"/>
      <c r="CI3604" s="416"/>
      <c r="CJ3604" s="73"/>
      <c r="CK3604" s="650"/>
      <c r="CL3604" s="499"/>
      <c r="CM3604" s="650"/>
      <c r="CR3604" s="416"/>
      <c r="CS3604" s="650"/>
      <c r="CU3604" s="73"/>
      <c r="CV3604" s="73"/>
      <c r="CW3604" s="73"/>
      <c r="CX3604" s="73"/>
      <c r="DA3604" s="650"/>
    </row>
    <row r="3605" spans="1:105" s="45" customFormat="1" x14ac:dyDescent="0.2">
      <c r="A3605" s="650"/>
      <c r="B3605" s="438"/>
      <c r="D3605" s="73"/>
      <c r="E3605" s="650"/>
      <c r="F3605" s="650"/>
      <c r="G3605" s="73"/>
      <c r="I3605" s="111"/>
      <c r="J3605" s="81"/>
      <c r="K3605" s="81"/>
      <c r="L3605" s="499"/>
      <c r="M3605" s="73"/>
      <c r="N3605" s="499"/>
      <c r="O3605" s="73"/>
      <c r="P3605" s="73"/>
      <c r="Q3605" s="73"/>
      <c r="R3605" s="176"/>
      <c r="S3605" s="176"/>
      <c r="T3605" s="176"/>
      <c r="U3605" s="400"/>
      <c r="V3605" s="400"/>
      <c r="W3605" s="732"/>
      <c r="X3605" s="167"/>
      <c r="Y3605" s="509"/>
      <c r="Z3605" s="466"/>
      <c r="AA3605" s="466"/>
      <c r="AB3605" s="466"/>
      <c r="AC3605" s="466"/>
      <c r="AD3605" s="466"/>
      <c r="AE3605" s="466"/>
      <c r="AF3605" s="466"/>
      <c r="AG3605" s="466"/>
      <c r="AH3605" s="466"/>
      <c r="AI3605" s="466"/>
      <c r="AJ3605" s="466"/>
      <c r="AK3605" s="466"/>
      <c r="AL3605" s="466"/>
      <c r="AM3605" s="466"/>
      <c r="AN3605" s="466"/>
      <c r="AO3605" s="466"/>
      <c r="AP3605" s="466"/>
      <c r="AQ3605" s="466"/>
      <c r="AR3605" s="466"/>
      <c r="AS3605" s="466"/>
      <c r="AT3605" s="466"/>
      <c r="AU3605" s="466"/>
      <c r="AV3605" s="466"/>
      <c r="AW3605" s="466"/>
      <c r="AX3605" s="466"/>
      <c r="AY3605" s="466"/>
      <c r="AZ3605" s="466"/>
      <c r="BA3605" s="466"/>
      <c r="BB3605" s="466"/>
      <c r="BC3605" s="466"/>
      <c r="BD3605" s="466"/>
      <c r="BE3605" s="467"/>
      <c r="BF3605" s="467"/>
      <c r="BG3605" s="466"/>
      <c r="BH3605" s="466"/>
      <c r="BI3605" s="467"/>
      <c r="BJ3605" s="467"/>
      <c r="BK3605" s="467"/>
      <c r="BL3605" s="467"/>
      <c r="BM3605" s="467"/>
      <c r="BN3605" s="467"/>
      <c r="BO3605" s="467"/>
      <c r="BP3605" s="467"/>
      <c r="BQ3605" s="467"/>
      <c r="BR3605" s="467"/>
      <c r="BS3605" s="467"/>
      <c r="BT3605" s="467"/>
      <c r="BU3605" s="467"/>
      <c r="BV3605" s="467"/>
      <c r="BW3605" s="467"/>
      <c r="BX3605" s="769"/>
      <c r="BY3605" s="769"/>
      <c r="BZ3605" s="769"/>
      <c r="CA3605" s="769"/>
      <c r="CB3605" s="769"/>
      <c r="CC3605" s="769"/>
      <c r="CD3605" s="769"/>
      <c r="CE3605" s="769"/>
      <c r="CF3605" s="769"/>
      <c r="CG3605" s="73"/>
      <c r="CH3605" s="438"/>
      <c r="CI3605" s="416"/>
      <c r="CJ3605" s="73"/>
      <c r="CK3605" s="650"/>
      <c r="CL3605" s="499"/>
      <c r="CM3605" s="650"/>
      <c r="CR3605" s="416"/>
      <c r="CS3605" s="650"/>
      <c r="CU3605" s="73"/>
      <c r="CV3605" s="73"/>
      <c r="CW3605" s="73"/>
      <c r="CX3605" s="73"/>
      <c r="DA3605" s="650"/>
    </row>
    <row r="3606" spans="1:105" s="45" customFormat="1" x14ac:dyDescent="0.2">
      <c r="A3606" s="650"/>
      <c r="B3606" s="438"/>
      <c r="D3606" s="73"/>
      <c r="E3606" s="650"/>
      <c r="F3606" s="650"/>
      <c r="G3606" s="73"/>
      <c r="I3606" s="111"/>
      <c r="J3606" s="81"/>
      <c r="K3606" s="81"/>
      <c r="L3606" s="499"/>
      <c r="M3606" s="73"/>
      <c r="N3606" s="499"/>
      <c r="O3606" s="73"/>
      <c r="P3606" s="73"/>
      <c r="Q3606" s="73"/>
      <c r="R3606" s="176"/>
      <c r="S3606" s="176"/>
      <c r="T3606" s="176"/>
      <c r="U3606" s="400"/>
      <c r="V3606" s="400"/>
      <c r="W3606" s="732"/>
      <c r="X3606" s="167"/>
      <c r="Y3606" s="509"/>
      <c r="Z3606" s="466"/>
      <c r="AA3606" s="466"/>
      <c r="AB3606" s="466"/>
      <c r="AC3606" s="466"/>
      <c r="AD3606" s="466"/>
      <c r="AE3606" s="466"/>
      <c r="AF3606" s="466"/>
      <c r="AG3606" s="466"/>
      <c r="AH3606" s="466"/>
      <c r="AI3606" s="466"/>
      <c r="AJ3606" s="466"/>
      <c r="AK3606" s="466"/>
      <c r="AL3606" s="466"/>
      <c r="AM3606" s="466"/>
      <c r="AN3606" s="466"/>
      <c r="AO3606" s="466"/>
      <c r="AP3606" s="466"/>
      <c r="AQ3606" s="466"/>
      <c r="AR3606" s="466"/>
      <c r="AS3606" s="466"/>
      <c r="AT3606" s="466"/>
      <c r="AU3606" s="466"/>
      <c r="AV3606" s="466"/>
      <c r="AW3606" s="466"/>
      <c r="AX3606" s="466"/>
      <c r="AY3606" s="466"/>
      <c r="AZ3606" s="466"/>
      <c r="BA3606" s="466"/>
      <c r="BB3606" s="466"/>
      <c r="BC3606" s="466"/>
      <c r="BD3606" s="466"/>
      <c r="BE3606" s="467"/>
      <c r="BF3606" s="467"/>
      <c r="BG3606" s="466"/>
      <c r="BH3606" s="466"/>
      <c r="BI3606" s="467"/>
      <c r="BJ3606" s="467"/>
      <c r="BK3606" s="467"/>
      <c r="BL3606" s="467"/>
      <c r="BM3606" s="467"/>
      <c r="BN3606" s="467"/>
      <c r="BO3606" s="467"/>
      <c r="BP3606" s="467"/>
      <c r="BQ3606" s="467"/>
      <c r="BR3606" s="467"/>
      <c r="BS3606" s="467"/>
      <c r="BT3606" s="467"/>
      <c r="BU3606" s="467"/>
      <c r="BV3606" s="467"/>
      <c r="BW3606" s="467"/>
      <c r="BX3606" s="769"/>
      <c r="BY3606" s="769"/>
      <c r="BZ3606" s="769"/>
      <c r="CA3606" s="769"/>
      <c r="CB3606" s="769"/>
      <c r="CC3606" s="769"/>
      <c r="CD3606" s="769"/>
      <c r="CE3606" s="769"/>
      <c r="CF3606" s="769"/>
      <c r="CG3606" s="73"/>
      <c r="CH3606" s="438"/>
      <c r="CI3606" s="416"/>
      <c r="CJ3606" s="73"/>
      <c r="CK3606" s="650"/>
      <c r="CL3606" s="499"/>
      <c r="CM3606" s="650"/>
      <c r="CR3606" s="416"/>
      <c r="CS3606" s="650"/>
      <c r="CU3606" s="73"/>
      <c r="CV3606" s="73"/>
      <c r="CW3606" s="73"/>
      <c r="CX3606" s="73"/>
      <c r="DA3606" s="650"/>
    </row>
    <row r="3607" spans="1:105" s="45" customFormat="1" x14ac:dyDescent="0.2">
      <c r="A3607" s="650"/>
      <c r="B3607" s="438"/>
      <c r="D3607" s="73"/>
      <c r="E3607" s="650"/>
      <c r="F3607" s="650"/>
      <c r="G3607" s="73"/>
      <c r="I3607" s="111"/>
      <c r="J3607" s="81"/>
      <c r="K3607" s="81"/>
      <c r="L3607" s="499"/>
      <c r="M3607" s="73"/>
      <c r="N3607" s="499"/>
      <c r="O3607" s="73"/>
      <c r="P3607" s="73"/>
      <c r="Q3607" s="73"/>
      <c r="R3607" s="176"/>
      <c r="S3607" s="176"/>
      <c r="T3607" s="176"/>
      <c r="U3607" s="400"/>
      <c r="V3607" s="400"/>
      <c r="W3607" s="732"/>
      <c r="X3607" s="167"/>
      <c r="Y3607" s="509"/>
      <c r="Z3607" s="466"/>
      <c r="AA3607" s="466"/>
      <c r="AB3607" s="466"/>
      <c r="AC3607" s="466"/>
      <c r="AD3607" s="466"/>
      <c r="AE3607" s="466"/>
      <c r="AF3607" s="466"/>
      <c r="AG3607" s="466"/>
      <c r="AH3607" s="466"/>
      <c r="AI3607" s="466"/>
      <c r="AJ3607" s="466"/>
      <c r="AK3607" s="466"/>
      <c r="AL3607" s="466"/>
      <c r="AM3607" s="466"/>
      <c r="AN3607" s="466"/>
      <c r="AO3607" s="466"/>
      <c r="AP3607" s="466"/>
      <c r="AQ3607" s="466"/>
      <c r="AR3607" s="466"/>
      <c r="AS3607" s="466"/>
      <c r="AT3607" s="466"/>
      <c r="AU3607" s="466"/>
      <c r="AV3607" s="466"/>
      <c r="AW3607" s="466"/>
      <c r="AX3607" s="466"/>
      <c r="AY3607" s="466"/>
      <c r="AZ3607" s="466"/>
      <c r="BA3607" s="466"/>
      <c r="BB3607" s="466"/>
      <c r="BC3607" s="466"/>
      <c r="BD3607" s="466"/>
      <c r="BE3607" s="467"/>
      <c r="BF3607" s="467"/>
      <c r="BG3607" s="466"/>
      <c r="BH3607" s="466"/>
      <c r="BI3607" s="467"/>
      <c r="BJ3607" s="467"/>
      <c r="BK3607" s="467"/>
      <c r="BL3607" s="467"/>
      <c r="BM3607" s="467"/>
      <c r="BN3607" s="467"/>
      <c r="BO3607" s="467"/>
      <c r="BP3607" s="467"/>
      <c r="BQ3607" s="467"/>
      <c r="BR3607" s="467"/>
      <c r="BS3607" s="467"/>
      <c r="BT3607" s="467"/>
      <c r="BU3607" s="467"/>
      <c r="BV3607" s="467"/>
      <c r="BW3607" s="467"/>
      <c r="BX3607" s="769"/>
      <c r="BY3607" s="769"/>
      <c r="BZ3607" s="769"/>
      <c r="CA3607" s="769"/>
      <c r="CB3607" s="769"/>
      <c r="CC3607" s="769"/>
      <c r="CD3607" s="769"/>
      <c r="CE3607" s="769"/>
      <c r="CF3607" s="769"/>
      <c r="CG3607" s="73"/>
      <c r="CH3607" s="438"/>
      <c r="CI3607" s="416"/>
      <c r="CJ3607" s="73"/>
      <c r="CK3607" s="650"/>
      <c r="CL3607" s="499"/>
      <c r="CM3607" s="650"/>
      <c r="CR3607" s="416"/>
      <c r="CS3607" s="650"/>
      <c r="CU3607" s="73"/>
      <c r="CV3607" s="73"/>
      <c r="CW3607" s="73"/>
      <c r="CX3607" s="73"/>
      <c r="DA3607" s="650"/>
    </row>
    <row r="3608" spans="1:105" s="45" customFormat="1" x14ac:dyDescent="0.2">
      <c r="A3608" s="650"/>
      <c r="B3608" s="438"/>
      <c r="D3608" s="73"/>
      <c r="E3608" s="650"/>
      <c r="F3608" s="650"/>
      <c r="G3608" s="73"/>
      <c r="I3608" s="111"/>
      <c r="J3608" s="81"/>
      <c r="K3608" s="81"/>
      <c r="L3608" s="499"/>
      <c r="M3608" s="73"/>
      <c r="N3608" s="499"/>
      <c r="O3608" s="73"/>
      <c r="P3608" s="73"/>
      <c r="Q3608" s="73"/>
      <c r="R3608" s="176"/>
      <c r="S3608" s="176"/>
      <c r="T3608" s="176"/>
      <c r="U3608" s="400"/>
      <c r="V3608" s="400"/>
      <c r="W3608" s="732"/>
      <c r="X3608" s="167"/>
      <c r="Y3608" s="509"/>
      <c r="Z3608" s="466"/>
      <c r="AA3608" s="466"/>
      <c r="AB3608" s="466"/>
      <c r="AC3608" s="466"/>
      <c r="AD3608" s="466"/>
      <c r="AE3608" s="466"/>
      <c r="AF3608" s="466"/>
      <c r="AG3608" s="466"/>
      <c r="AH3608" s="466"/>
      <c r="AI3608" s="466"/>
      <c r="AJ3608" s="466"/>
      <c r="AK3608" s="466"/>
      <c r="AL3608" s="466"/>
      <c r="AM3608" s="466"/>
      <c r="AN3608" s="466"/>
      <c r="AO3608" s="466"/>
      <c r="AP3608" s="466"/>
      <c r="AQ3608" s="466"/>
      <c r="AR3608" s="466"/>
      <c r="AS3608" s="466"/>
      <c r="AT3608" s="466"/>
      <c r="AU3608" s="466"/>
      <c r="AV3608" s="466"/>
      <c r="AW3608" s="466"/>
      <c r="AX3608" s="466"/>
      <c r="AY3608" s="466"/>
      <c r="AZ3608" s="466"/>
      <c r="BA3608" s="466"/>
      <c r="BB3608" s="466"/>
      <c r="BC3608" s="466"/>
      <c r="BD3608" s="466"/>
      <c r="BE3608" s="467"/>
      <c r="BF3608" s="467"/>
      <c r="BG3608" s="466"/>
      <c r="BH3608" s="466"/>
      <c r="BI3608" s="467"/>
      <c r="BJ3608" s="467"/>
      <c r="BK3608" s="467"/>
      <c r="BL3608" s="467"/>
      <c r="BM3608" s="467"/>
      <c r="BN3608" s="467"/>
      <c r="BO3608" s="467"/>
      <c r="BP3608" s="467"/>
      <c r="BQ3608" s="467"/>
      <c r="BR3608" s="467"/>
      <c r="BS3608" s="467"/>
      <c r="BT3608" s="467"/>
      <c r="BU3608" s="467"/>
      <c r="BV3608" s="467"/>
      <c r="BW3608" s="467"/>
      <c r="BX3608" s="769"/>
      <c r="BY3608" s="769"/>
      <c r="BZ3608" s="769"/>
      <c r="CA3608" s="769"/>
      <c r="CB3608" s="769"/>
      <c r="CC3608" s="769"/>
      <c r="CD3608" s="769"/>
      <c r="CE3608" s="769"/>
      <c r="CF3608" s="769"/>
      <c r="CG3608" s="73"/>
      <c r="CH3608" s="438"/>
      <c r="CI3608" s="416"/>
      <c r="CJ3608" s="73"/>
      <c r="CK3608" s="650"/>
      <c r="CL3608" s="499"/>
      <c r="CM3608" s="650"/>
      <c r="CR3608" s="416"/>
      <c r="CS3608" s="650"/>
      <c r="CU3608" s="73"/>
      <c r="CV3608" s="73"/>
      <c r="CW3608" s="73"/>
      <c r="CX3608" s="73"/>
      <c r="DA3608" s="650"/>
    </row>
    <row r="3609" spans="1:105" s="45" customFormat="1" x14ac:dyDescent="0.2">
      <c r="A3609" s="650"/>
      <c r="B3609" s="438"/>
      <c r="D3609" s="73"/>
      <c r="E3609" s="650"/>
      <c r="F3609" s="650"/>
      <c r="G3609" s="73"/>
      <c r="I3609" s="111"/>
      <c r="J3609" s="81"/>
      <c r="K3609" s="81"/>
      <c r="L3609" s="499"/>
      <c r="M3609" s="73"/>
      <c r="N3609" s="499"/>
      <c r="O3609" s="73"/>
      <c r="P3609" s="73"/>
      <c r="Q3609" s="73"/>
      <c r="R3609" s="176"/>
      <c r="S3609" s="176"/>
      <c r="T3609" s="176"/>
      <c r="U3609" s="400"/>
      <c r="V3609" s="400"/>
      <c r="W3609" s="732"/>
      <c r="X3609" s="167"/>
      <c r="Y3609" s="509"/>
      <c r="Z3609" s="466"/>
      <c r="AA3609" s="466"/>
      <c r="AB3609" s="466"/>
      <c r="AC3609" s="466"/>
      <c r="AD3609" s="466"/>
      <c r="AE3609" s="466"/>
      <c r="AF3609" s="466"/>
      <c r="AG3609" s="466"/>
      <c r="AH3609" s="466"/>
      <c r="AI3609" s="466"/>
      <c r="AJ3609" s="466"/>
      <c r="AK3609" s="466"/>
      <c r="AL3609" s="466"/>
      <c r="AM3609" s="466"/>
      <c r="AN3609" s="466"/>
      <c r="AO3609" s="466"/>
      <c r="AP3609" s="466"/>
      <c r="AQ3609" s="466"/>
      <c r="AR3609" s="466"/>
      <c r="AS3609" s="466"/>
      <c r="AT3609" s="466"/>
      <c r="AU3609" s="466"/>
      <c r="AV3609" s="466"/>
      <c r="AW3609" s="466"/>
      <c r="AX3609" s="466"/>
      <c r="AY3609" s="466"/>
      <c r="AZ3609" s="466"/>
      <c r="BA3609" s="466"/>
      <c r="BB3609" s="466"/>
      <c r="BC3609" s="466"/>
      <c r="BD3609" s="466"/>
      <c r="BE3609" s="467"/>
      <c r="BF3609" s="467"/>
      <c r="BG3609" s="466"/>
      <c r="BH3609" s="466"/>
      <c r="BI3609" s="467"/>
      <c r="BJ3609" s="467"/>
      <c r="BK3609" s="467"/>
      <c r="BL3609" s="467"/>
      <c r="BM3609" s="467"/>
      <c r="BN3609" s="467"/>
      <c r="BO3609" s="467"/>
      <c r="BP3609" s="467"/>
      <c r="BQ3609" s="467"/>
      <c r="BR3609" s="467"/>
      <c r="BS3609" s="467"/>
      <c r="BT3609" s="467"/>
      <c r="BU3609" s="467"/>
      <c r="BV3609" s="467"/>
      <c r="BW3609" s="467"/>
      <c r="BX3609" s="769"/>
      <c r="BY3609" s="769"/>
      <c r="BZ3609" s="769"/>
      <c r="CA3609" s="769"/>
      <c r="CB3609" s="769"/>
      <c r="CC3609" s="769"/>
      <c r="CD3609" s="769"/>
      <c r="CE3609" s="769"/>
      <c r="CF3609" s="769"/>
      <c r="CG3609" s="73"/>
      <c r="CH3609" s="438"/>
      <c r="CI3609" s="416"/>
      <c r="CJ3609" s="73"/>
      <c r="CK3609" s="650"/>
      <c r="CL3609" s="499"/>
      <c r="CM3609" s="650"/>
      <c r="CR3609" s="416"/>
      <c r="CS3609" s="650"/>
      <c r="CU3609" s="73"/>
      <c r="CV3609" s="73"/>
      <c r="CW3609" s="73"/>
      <c r="CX3609" s="73"/>
      <c r="DA3609" s="650"/>
    </row>
    <row r="3610" spans="1:105" s="45" customFormat="1" x14ac:dyDescent="0.2">
      <c r="A3610" s="650"/>
      <c r="B3610" s="438"/>
      <c r="D3610" s="73"/>
      <c r="E3610" s="650"/>
      <c r="F3610" s="650"/>
      <c r="G3610" s="73"/>
      <c r="I3610" s="111"/>
      <c r="J3610" s="81"/>
      <c r="K3610" s="81"/>
      <c r="L3610" s="499"/>
      <c r="M3610" s="73"/>
      <c r="N3610" s="499"/>
      <c r="O3610" s="73"/>
      <c r="P3610" s="73"/>
      <c r="Q3610" s="73"/>
      <c r="R3610" s="176"/>
      <c r="S3610" s="176"/>
      <c r="T3610" s="176"/>
      <c r="U3610" s="400"/>
      <c r="V3610" s="400"/>
      <c r="W3610" s="732"/>
      <c r="X3610" s="167"/>
      <c r="Y3610" s="509"/>
      <c r="Z3610" s="466"/>
      <c r="AA3610" s="466"/>
      <c r="AB3610" s="466"/>
      <c r="AC3610" s="466"/>
      <c r="AD3610" s="466"/>
      <c r="AE3610" s="466"/>
      <c r="AF3610" s="466"/>
      <c r="AG3610" s="466"/>
      <c r="AH3610" s="466"/>
      <c r="AI3610" s="466"/>
      <c r="AJ3610" s="466"/>
      <c r="AK3610" s="466"/>
      <c r="AL3610" s="466"/>
      <c r="AM3610" s="466"/>
      <c r="AN3610" s="466"/>
      <c r="AO3610" s="466"/>
      <c r="AP3610" s="466"/>
      <c r="AQ3610" s="466"/>
      <c r="AR3610" s="466"/>
      <c r="AS3610" s="466"/>
      <c r="AT3610" s="466"/>
      <c r="AU3610" s="466"/>
      <c r="AV3610" s="466"/>
      <c r="AW3610" s="466"/>
      <c r="AX3610" s="466"/>
      <c r="AY3610" s="466"/>
      <c r="AZ3610" s="466"/>
      <c r="BA3610" s="466"/>
      <c r="BB3610" s="466"/>
      <c r="BC3610" s="466"/>
      <c r="BD3610" s="466"/>
      <c r="BE3610" s="467"/>
      <c r="BF3610" s="467"/>
      <c r="BG3610" s="466"/>
      <c r="BH3610" s="466"/>
      <c r="BI3610" s="467"/>
      <c r="BJ3610" s="467"/>
      <c r="BK3610" s="467"/>
      <c r="BL3610" s="467"/>
      <c r="BM3610" s="467"/>
      <c r="BN3610" s="467"/>
      <c r="BO3610" s="467"/>
      <c r="BP3610" s="467"/>
      <c r="BQ3610" s="467"/>
      <c r="BR3610" s="467"/>
      <c r="BS3610" s="467"/>
      <c r="BT3610" s="467"/>
      <c r="BU3610" s="467"/>
      <c r="BV3610" s="467"/>
      <c r="BW3610" s="467"/>
      <c r="BX3610" s="769"/>
      <c r="BY3610" s="769"/>
      <c r="BZ3610" s="769"/>
      <c r="CA3610" s="769"/>
      <c r="CB3610" s="769"/>
      <c r="CC3610" s="769"/>
      <c r="CD3610" s="769"/>
      <c r="CE3610" s="769"/>
      <c r="CF3610" s="769"/>
      <c r="CG3610" s="73"/>
      <c r="CH3610" s="438"/>
      <c r="CI3610" s="416"/>
      <c r="CJ3610" s="73"/>
      <c r="CK3610" s="650"/>
      <c r="CL3610" s="499"/>
      <c r="CM3610" s="650"/>
      <c r="CR3610" s="416"/>
      <c r="CS3610" s="650"/>
      <c r="CU3610" s="73"/>
      <c r="CV3610" s="73"/>
      <c r="CW3610" s="73"/>
      <c r="CX3610" s="73"/>
      <c r="DA3610" s="650"/>
    </row>
    <row r="3611" spans="1:105" s="45" customFormat="1" x14ac:dyDescent="0.2">
      <c r="A3611" s="650"/>
      <c r="B3611" s="438"/>
      <c r="D3611" s="73"/>
      <c r="E3611" s="650"/>
      <c r="F3611" s="650"/>
      <c r="G3611" s="73"/>
      <c r="I3611" s="111"/>
      <c r="J3611" s="81"/>
      <c r="K3611" s="81"/>
      <c r="L3611" s="499"/>
      <c r="M3611" s="73"/>
      <c r="N3611" s="499"/>
      <c r="O3611" s="73"/>
      <c r="P3611" s="73"/>
      <c r="Q3611" s="73"/>
      <c r="R3611" s="176"/>
      <c r="S3611" s="176"/>
      <c r="T3611" s="176"/>
      <c r="U3611" s="400"/>
      <c r="V3611" s="400"/>
      <c r="W3611" s="732"/>
      <c r="X3611" s="167"/>
      <c r="Y3611" s="509"/>
      <c r="Z3611" s="466"/>
      <c r="AA3611" s="466"/>
      <c r="AB3611" s="466"/>
      <c r="AC3611" s="466"/>
      <c r="AD3611" s="466"/>
      <c r="AE3611" s="466"/>
      <c r="AF3611" s="466"/>
      <c r="AG3611" s="466"/>
      <c r="AH3611" s="466"/>
      <c r="AI3611" s="466"/>
      <c r="AJ3611" s="466"/>
      <c r="AK3611" s="466"/>
      <c r="AL3611" s="466"/>
      <c r="AM3611" s="466"/>
      <c r="AN3611" s="466"/>
      <c r="AO3611" s="466"/>
      <c r="AP3611" s="466"/>
      <c r="AQ3611" s="466"/>
      <c r="AR3611" s="466"/>
      <c r="AS3611" s="466"/>
      <c r="AT3611" s="466"/>
      <c r="AU3611" s="466"/>
      <c r="AV3611" s="466"/>
      <c r="AW3611" s="466"/>
      <c r="AX3611" s="466"/>
      <c r="AY3611" s="466"/>
      <c r="AZ3611" s="466"/>
      <c r="BA3611" s="466"/>
      <c r="BB3611" s="466"/>
      <c r="BC3611" s="466"/>
      <c r="BD3611" s="466"/>
      <c r="BE3611" s="467"/>
      <c r="BF3611" s="467"/>
      <c r="BG3611" s="466"/>
      <c r="BH3611" s="466"/>
      <c r="BI3611" s="467"/>
      <c r="BJ3611" s="467"/>
      <c r="BK3611" s="467"/>
      <c r="BL3611" s="467"/>
      <c r="BM3611" s="467"/>
      <c r="BN3611" s="467"/>
      <c r="BO3611" s="467"/>
      <c r="BP3611" s="467"/>
      <c r="BQ3611" s="467"/>
      <c r="BR3611" s="467"/>
      <c r="BS3611" s="467"/>
      <c r="BT3611" s="467"/>
      <c r="BU3611" s="467"/>
      <c r="BV3611" s="467"/>
      <c r="BW3611" s="467"/>
      <c r="BX3611" s="769"/>
      <c r="BY3611" s="769"/>
      <c r="BZ3611" s="769"/>
      <c r="CA3611" s="769"/>
      <c r="CB3611" s="769"/>
      <c r="CC3611" s="769"/>
      <c r="CD3611" s="769"/>
      <c r="CE3611" s="769"/>
      <c r="CF3611" s="769"/>
      <c r="CG3611" s="73"/>
      <c r="CH3611" s="438"/>
      <c r="CI3611" s="416"/>
      <c r="CJ3611" s="73"/>
      <c r="CK3611" s="650"/>
      <c r="CL3611" s="499"/>
      <c r="CM3611" s="650"/>
      <c r="CR3611" s="416"/>
      <c r="CS3611" s="650"/>
      <c r="CU3611" s="73"/>
      <c r="CV3611" s="73"/>
      <c r="CW3611" s="73"/>
      <c r="CX3611" s="73"/>
      <c r="DA3611" s="650"/>
    </row>
    <row r="3612" spans="1:105" s="45" customFormat="1" x14ac:dyDescent="0.2">
      <c r="A3612" s="650"/>
      <c r="B3612" s="438"/>
      <c r="D3612" s="73"/>
      <c r="E3612" s="650"/>
      <c r="F3612" s="650"/>
      <c r="G3612" s="73"/>
      <c r="I3612" s="111"/>
      <c r="J3612" s="81"/>
      <c r="K3612" s="81"/>
      <c r="L3612" s="499"/>
      <c r="M3612" s="73"/>
      <c r="N3612" s="499"/>
      <c r="O3612" s="73"/>
      <c r="P3612" s="73"/>
      <c r="Q3612" s="73"/>
      <c r="R3612" s="176"/>
      <c r="S3612" s="176"/>
      <c r="T3612" s="176"/>
      <c r="U3612" s="400"/>
      <c r="V3612" s="400"/>
      <c r="W3612" s="732"/>
      <c r="X3612" s="167"/>
      <c r="Y3612" s="509"/>
      <c r="Z3612" s="466"/>
      <c r="AA3612" s="466"/>
      <c r="AB3612" s="466"/>
      <c r="AC3612" s="466"/>
      <c r="AD3612" s="466"/>
      <c r="AE3612" s="466"/>
      <c r="AF3612" s="466"/>
      <c r="AG3612" s="466"/>
      <c r="AH3612" s="466"/>
      <c r="AI3612" s="466"/>
      <c r="AJ3612" s="466"/>
      <c r="AK3612" s="466"/>
      <c r="AL3612" s="466"/>
      <c r="AM3612" s="466"/>
      <c r="AN3612" s="466"/>
      <c r="AO3612" s="466"/>
      <c r="AP3612" s="466"/>
      <c r="AQ3612" s="466"/>
      <c r="AR3612" s="466"/>
      <c r="AS3612" s="466"/>
      <c r="AT3612" s="466"/>
      <c r="AU3612" s="466"/>
      <c r="AV3612" s="466"/>
      <c r="AW3612" s="466"/>
      <c r="AX3612" s="466"/>
      <c r="AY3612" s="466"/>
      <c r="AZ3612" s="466"/>
      <c r="BA3612" s="466"/>
      <c r="BB3612" s="466"/>
      <c r="BC3612" s="466"/>
      <c r="BD3612" s="466"/>
      <c r="BE3612" s="467"/>
      <c r="BF3612" s="467"/>
      <c r="BG3612" s="466"/>
      <c r="BH3612" s="466"/>
      <c r="BI3612" s="467"/>
      <c r="BJ3612" s="467"/>
      <c r="BK3612" s="467"/>
      <c r="BL3612" s="467"/>
      <c r="BM3612" s="467"/>
      <c r="BN3612" s="467"/>
      <c r="BO3612" s="467"/>
      <c r="BP3612" s="467"/>
      <c r="BQ3612" s="467"/>
      <c r="BR3612" s="467"/>
      <c r="BS3612" s="467"/>
      <c r="BT3612" s="467"/>
      <c r="BU3612" s="467"/>
      <c r="BV3612" s="467"/>
      <c r="BW3612" s="467"/>
      <c r="BX3612" s="769"/>
      <c r="BY3612" s="769"/>
      <c r="BZ3612" s="769"/>
      <c r="CA3612" s="769"/>
      <c r="CB3612" s="769"/>
      <c r="CC3612" s="769"/>
      <c r="CD3612" s="769"/>
      <c r="CE3612" s="769"/>
      <c r="CF3612" s="769"/>
      <c r="CG3612" s="73"/>
      <c r="CH3612" s="438"/>
      <c r="CI3612" s="416"/>
      <c r="CJ3612" s="73"/>
      <c r="CK3612" s="650"/>
      <c r="CL3612" s="499"/>
      <c r="CM3612" s="650"/>
      <c r="CR3612" s="416"/>
      <c r="CS3612" s="650"/>
      <c r="CU3612" s="73"/>
      <c r="CV3612" s="73"/>
      <c r="CW3612" s="73"/>
      <c r="CX3612" s="73"/>
      <c r="DA3612" s="650"/>
    </row>
    <row r="3613" spans="1:105" s="45" customFormat="1" x14ac:dyDescent="0.2">
      <c r="A3613" s="650"/>
      <c r="B3613" s="438"/>
      <c r="D3613" s="73"/>
      <c r="E3613" s="650"/>
      <c r="F3613" s="650"/>
      <c r="G3613" s="73"/>
      <c r="I3613" s="111"/>
      <c r="J3613" s="81"/>
      <c r="K3613" s="81"/>
      <c r="L3613" s="499"/>
      <c r="M3613" s="73"/>
      <c r="N3613" s="499"/>
      <c r="O3613" s="73"/>
      <c r="P3613" s="73"/>
      <c r="Q3613" s="73"/>
      <c r="R3613" s="176"/>
      <c r="S3613" s="176"/>
      <c r="T3613" s="176"/>
      <c r="U3613" s="400"/>
      <c r="V3613" s="400"/>
      <c r="W3613" s="732"/>
      <c r="X3613" s="167"/>
      <c r="Y3613" s="509"/>
      <c r="Z3613" s="466"/>
      <c r="AA3613" s="466"/>
      <c r="AB3613" s="466"/>
      <c r="AC3613" s="466"/>
      <c r="AD3613" s="466"/>
      <c r="AE3613" s="466"/>
      <c r="AF3613" s="466"/>
      <c r="AG3613" s="466"/>
      <c r="AH3613" s="466"/>
      <c r="AI3613" s="466"/>
      <c r="AJ3613" s="466"/>
      <c r="AK3613" s="466"/>
      <c r="AL3613" s="466"/>
      <c r="AM3613" s="466"/>
      <c r="AN3613" s="466"/>
      <c r="AO3613" s="466"/>
      <c r="AP3613" s="466"/>
      <c r="AQ3613" s="466"/>
      <c r="AR3613" s="466"/>
      <c r="AS3613" s="466"/>
      <c r="AT3613" s="466"/>
      <c r="AU3613" s="466"/>
      <c r="AV3613" s="466"/>
      <c r="AW3613" s="466"/>
      <c r="AX3613" s="466"/>
      <c r="AY3613" s="466"/>
      <c r="AZ3613" s="466"/>
      <c r="BA3613" s="466"/>
      <c r="BB3613" s="466"/>
      <c r="BC3613" s="466"/>
      <c r="BD3613" s="466"/>
      <c r="BE3613" s="467"/>
      <c r="BF3613" s="467"/>
      <c r="BG3613" s="466"/>
      <c r="BH3613" s="466"/>
      <c r="BI3613" s="467"/>
      <c r="BJ3613" s="467"/>
      <c r="BK3613" s="467"/>
      <c r="BL3613" s="467"/>
      <c r="BM3613" s="467"/>
      <c r="BN3613" s="467"/>
      <c r="BO3613" s="467"/>
      <c r="BP3613" s="467"/>
      <c r="BQ3613" s="467"/>
      <c r="BR3613" s="467"/>
      <c r="BS3613" s="467"/>
      <c r="BT3613" s="467"/>
      <c r="BU3613" s="467"/>
      <c r="BV3613" s="467"/>
      <c r="BW3613" s="467"/>
      <c r="BX3613" s="769"/>
      <c r="BY3613" s="769"/>
      <c r="BZ3613" s="769"/>
      <c r="CA3613" s="769"/>
      <c r="CB3613" s="769"/>
      <c r="CC3613" s="769"/>
      <c r="CD3613" s="769"/>
      <c r="CE3613" s="769"/>
      <c r="CF3613" s="769"/>
      <c r="CG3613" s="73"/>
      <c r="CH3613" s="438"/>
      <c r="CI3613" s="416"/>
      <c r="CJ3613" s="73"/>
      <c r="CK3613" s="650"/>
      <c r="CL3613" s="499"/>
      <c r="CM3613" s="650"/>
      <c r="CR3613" s="416"/>
      <c r="CS3613" s="650"/>
      <c r="CU3613" s="73"/>
      <c r="CV3613" s="73"/>
      <c r="CW3613" s="73"/>
      <c r="CX3613" s="73"/>
      <c r="DA3613" s="650"/>
    </row>
    <row r="3614" spans="1:105" s="45" customFormat="1" x14ac:dyDescent="0.2">
      <c r="A3614" s="650"/>
      <c r="B3614" s="438"/>
      <c r="D3614" s="73"/>
      <c r="E3614" s="650"/>
      <c r="F3614" s="650"/>
      <c r="G3614" s="73"/>
      <c r="I3614" s="111"/>
      <c r="J3614" s="81"/>
      <c r="K3614" s="81"/>
      <c r="L3614" s="499"/>
      <c r="M3614" s="73"/>
      <c r="N3614" s="499"/>
      <c r="O3614" s="73"/>
      <c r="P3614" s="73"/>
      <c r="Q3614" s="73"/>
      <c r="R3614" s="176"/>
      <c r="S3614" s="176"/>
      <c r="T3614" s="176"/>
      <c r="U3614" s="400"/>
      <c r="V3614" s="400"/>
      <c r="W3614" s="732"/>
      <c r="X3614" s="167"/>
      <c r="Y3614" s="509"/>
      <c r="Z3614" s="466"/>
      <c r="AA3614" s="466"/>
      <c r="AB3614" s="466"/>
      <c r="AC3614" s="466"/>
      <c r="AD3614" s="466"/>
      <c r="AE3614" s="466"/>
      <c r="AF3614" s="466"/>
      <c r="AG3614" s="466"/>
      <c r="AH3614" s="466"/>
      <c r="AI3614" s="466"/>
      <c r="AJ3614" s="466"/>
      <c r="AK3614" s="466"/>
      <c r="AL3614" s="466"/>
      <c r="AM3614" s="466"/>
      <c r="AN3614" s="466"/>
      <c r="AO3614" s="466"/>
      <c r="AP3614" s="466"/>
      <c r="AQ3614" s="466"/>
      <c r="AR3614" s="466"/>
      <c r="AS3614" s="466"/>
      <c r="AT3614" s="466"/>
      <c r="AU3614" s="466"/>
      <c r="AV3614" s="466"/>
      <c r="AW3614" s="466"/>
      <c r="AX3614" s="466"/>
      <c r="AY3614" s="466"/>
      <c r="AZ3614" s="466"/>
      <c r="BA3614" s="466"/>
      <c r="BB3614" s="466"/>
      <c r="BC3614" s="466"/>
      <c r="BD3614" s="466"/>
      <c r="BE3614" s="467"/>
      <c r="BF3614" s="467"/>
      <c r="BG3614" s="466"/>
      <c r="BH3614" s="466"/>
      <c r="BI3614" s="467"/>
      <c r="BJ3614" s="467"/>
      <c r="BK3614" s="467"/>
      <c r="BL3614" s="467"/>
      <c r="BM3614" s="467"/>
      <c r="BN3614" s="467"/>
      <c r="BO3614" s="467"/>
      <c r="BP3614" s="467"/>
      <c r="BQ3614" s="467"/>
      <c r="BR3614" s="467"/>
      <c r="BS3614" s="467"/>
      <c r="BT3614" s="467"/>
      <c r="BU3614" s="467"/>
      <c r="BV3614" s="467"/>
      <c r="BW3614" s="467"/>
      <c r="BX3614" s="769"/>
      <c r="BY3614" s="769"/>
      <c r="BZ3614" s="769"/>
      <c r="CA3614" s="769"/>
      <c r="CB3614" s="769"/>
      <c r="CC3614" s="769"/>
      <c r="CD3614" s="769"/>
      <c r="CE3614" s="769"/>
      <c r="CF3614" s="769"/>
      <c r="CG3614" s="73"/>
      <c r="CH3614" s="438"/>
      <c r="CI3614" s="416"/>
      <c r="CJ3614" s="73"/>
      <c r="CK3614" s="650"/>
      <c r="CL3614" s="499"/>
      <c r="CM3614" s="650"/>
      <c r="CR3614" s="416"/>
      <c r="CS3614" s="650"/>
      <c r="CU3614" s="73"/>
      <c r="CV3614" s="73"/>
      <c r="CW3614" s="73"/>
      <c r="CX3614" s="73"/>
      <c r="DA3614" s="650"/>
    </row>
    <row r="3615" spans="1:105" s="45" customFormat="1" x14ac:dyDescent="0.2">
      <c r="A3615" s="650"/>
      <c r="B3615" s="438"/>
      <c r="D3615" s="73"/>
      <c r="E3615" s="650"/>
      <c r="F3615" s="650"/>
      <c r="G3615" s="73"/>
      <c r="I3615" s="111"/>
      <c r="J3615" s="81"/>
      <c r="K3615" s="81"/>
      <c r="L3615" s="499"/>
      <c r="M3615" s="73"/>
      <c r="N3615" s="499"/>
      <c r="O3615" s="73"/>
      <c r="P3615" s="73"/>
      <c r="Q3615" s="73"/>
      <c r="R3615" s="176"/>
      <c r="S3615" s="176"/>
      <c r="T3615" s="176"/>
      <c r="U3615" s="400"/>
      <c r="V3615" s="400"/>
      <c r="W3615" s="732"/>
      <c r="X3615" s="167"/>
      <c r="Y3615" s="509"/>
      <c r="Z3615" s="466"/>
      <c r="AA3615" s="466"/>
      <c r="AB3615" s="466"/>
      <c r="AC3615" s="466"/>
      <c r="AD3615" s="466"/>
      <c r="AE3615" s="466"/>
      <c r="AF3615" s="466"/>
      <c r="AG3615" s="466"/>
      <c r="AH3615" s="466"/>
      <c r="AI3615" s="466"/>
      <c r="AJ3615" s="466"/>
      <c r="AK3615" s="466"/>
      <c r="AL3615" s="466"/>
      <c r="AM3615" s="466"/>
      <c r="AN3615" s="466"/>
      <c r="AO3615" s="466"/>
      <c r="AP3615" s="466"/>
      <c r="AQ3615" s="466"/>
      <c r="AR3615" s="466"/>
      <c r="AS3615" s="466"/>
      <c r="AT3615" s="466"/>
      <c r="AU3615" s="466"/>
      <c r="AV3615" s="466"/>
      <c r="AW3615" s="466"/>
      <c r="AX3615" s="466"/>
      <c r="AY3615" s="466"/>
      <c r="AZ3615" s="466"/>
      <c r="BA3615" s="466"/>
      <c r="BB3615" s="466"/>
      <c r="BC3615" s="466"/>
      <c r="BD3615" s="466"/>
      <c r="BE3615" s="467"/>
      <c r="BF3615" s="467"/>
      <c r="BG3615" s="466"/>
      <c r="BH3615" s="466"/>
      <c r="BI3615" s="467"/>
      <c r="BJ3615" s="467"/>
      <c r="BK3615" s="467"/>
      <c r="BL3615" s="467"/>
      <c r="BM3615" s="467"/>
      <c r="BN3615" s="467"/>
      <c r="BO3615" s="467"/>
      <c r="BP3615" s="467"/>
      <c r="BQ3615" s="467"/>
      <c r="BR3615" s="467"/>
      <c r="BS3615" s="467"/>
      <c r="BT3615" s="467"/>
      <c r="BU3615" s="467"/>
      <c r="BV3615" s="467"/>
      <c r="BW3615" s="467"/>
      <c r="BX3615" s="769"/>
      <c r="BY3615" s="769"/>
      <c r="BZ3615" s="769"/>
      <c r="CA3615" s="769"/>
      <c r="CB3615" s="769"/>
      <c r="CC3615" s="769"/>
      <c r="CD3615" s="769"/>
      <c r="CE3615" s="769"/>
      <c r="CF3615" s="769"/>
      <c r="CG3615" s="73"/>
      <c r="CH3615" s="438"/>
      <c r="CI3615" s="416"/>
      <c r="CJ3615" s="73"/>
      <c r="CK3615" s="650"/>
      <c r="CL3615" s="499"/>
      <c r="CM3615" s="650"/>
      <c r="CR3615" s="416"/>
      <c r="CS3615" s="650"/>
      <c r="CU3615" s="73"/>
      <c r="CV3615" s="73"/>
      <c r="CW3615" s="73"/>
      <c r="CX3615" s="73"/>
      <c r="DA3615" s="650"/>
    </row>
    <row r="3616" spans="1:105" s="45" customFormat="1" x14ac:dyDescent="0.2">
      <c r="A3616" s="650"/>
      <c r="B3616" s="438"/>
      <c r="D3616" s="73"/>
      <c r="E3616" s="650"/>
      <c r="F3616" s="650"/>
      <c r="G3616" s="73"/>
      <c r="I3616" s="111"/>
      <c r="J3616" s="81"/>
      <c r="K3616" s="81"/>
      <c r="L3616" s="499"/>
      <c r="M3616" s="73"/>
      <c r="N3616" s="499"/>
      <c r="O3616" s="73"/>
      <c r="P3616" s="73"/>
      <c r="Q3616" s="73"/>
      <c r="R3616" s="176"/>
      <c r="S3616" s="176"/>
      <c r="T3616" s="176"/>
      <c r="U3616" s="400"/>
      <c r="V3616" s="400"/>
      <c r="W3616" s="732"/>
      <c r="X3616" s="167"/>
      <c r="Y3616" s="509"/>
      <c r="Z3616" s="466"/>
      <c r="AA3616" s="466"/>
      <c r="AB3616" s="466"/>
      <c r="AC3616" s="466"/>
      <c r="AD3616" s="466"/>
      <c r="AE3616" s="466"/>
      <c r="AF3616" s="466"/>
      <c r="AG3616" s="466"/>
      <c r="AH3616" s="466"/>
      <c r="AI3616" s="466"/>
      <c r="AJ3616" s="466"/>
      <c r="AK3616" s="466"/>
      <c r="AL3616" s="466"/>
      <c r="AM3616" s="466"/>
      <c r="AN3616" s="466"/>
      <c r="AO3616" s="466"/>
      <c r="AP3616" s="466"/>
      <c r="AQ3616" s="466"/>
      <c r="AR3616" s="466"/>
      <c r="AS3616" s="466"/>
      <c r="AT3616" s="466"/>
      <c r="AU3616" s="466"/>
      <c r="AV3616" s="466"/>
      <c r="AW3616" s="466"/>
      <c r="AX3616" s="466"/>
      <c r="AY3616" s="466"/>
      <c r="AZ3616" s="466"/>
      <c r="BA3616" s="466"/>
      <c r="BB3616" s="466"/>
      <c r="BC3616" s="466"/>
      <c r="BD3616" s="466"/>
      <c r="BE3616" s="467"/>
      <c r="BF3616" s="467"/>
      <c r="BG3616" s="466"/>
      <c r="BH3616" s="466"/>
      <c r="BI3616" s="467"/>
      <c r="BJ3616" s="467"/>
      <c r="BK3616" s="467"/>
      <c r="BL3616" s="467"/>
      <c r="BM3616" s="467"/>
      <c r="BN3616" s="467"/>
      <c r="BO3616" s="467"/>
      <c r="BP3616" s="467"/>
      <c r="BQ3616" s="467"/>
      <c r="BR3616" s="467"/>
      <c r="BS3616" s="467"/>
      <c r="BT3616" s="467"/>
      <c r="BU3616" s="467"/>
      <c r="BV3616" s="467"/>
      <c r="BW3616" s="467"/>
      <c r="BX3616" s="769"/>
      <c r="BY3616" s="769"/>
      <c r="BZ3616" s="769"/>
      <c r="CA3616" s="769"/>
      <c r="CB3616" s="769"/>
      <c r="CC3616" s="769"/>
      <c r="CD3616" s="769"/>
      <c r="CE3616" s="769"/>
      <c r="CF3616" s="769"/>
      <c r="CG3616" s="73"/>
      <c r="CH3616" s="438"/>
      <c r="CI3616" s="416"/>
      <c r="CJ3616" s="73"/>
      <c r="CK3616" s="650"/>
      <c r="CL3616" s="499"/>
      <c r="CM3616" s="650"/>
      <c r="CR3616" s="416"/>
      <c r="CS3616" s="650"/>
      <c r="CU3616" s="73"/>
      <c r="CV3616" s="73"/>
      <c r="CW3616" s="73"/>
      <c r="CX3616" s="73"/>
      <c r="DA3616" s="650"/>
    </row>
    <row r="3617" spans="1:105" s="45" customFormat="1" x14ac:dyDescent="0.2">
      <c r="A3617" s="650"/>
      <c r="B3617" s="438"/>
      <c r="D3617" s="73"/>
      <c r="E3617" s="650"/>
      <c r="F3617" s="650"/>
      <c r="G3617" s="73"/>
      <c r="I3617" s="111"/>
      <c r="J3617" s="81"/>
      <c r="K3617" s="81"/>
      <c r="L3617" s="499"/>
      <c r="M3617" s="73"/>
      <c r="N3617" s="499"/>
      <c r="O3617" s="73"/>
      <c r="P3617" s="73"/>
      <c r="Q3617" s="73"/>
      <c r="R3617" s="176"/>
      <c r="S3617" s="176"/>
      <c r="T3617" s="176"/>
      <c r="U3617" s="400"/>
      <c r="V3617" s="400"/>
      <c r="W3617" s="732"/>
      <c r="X3617" s="167"/>
      <c r="Y3617" s="509"/>
      <c r="Z3617" s="466"/>
      <c r="AA3617" s="466"/>
      <c r="AB3617" s="466"/>
      <c r="AC3617" s="466"/>
      <c r="AD3617" s="466"/>
      <c r="AE3617" s="466"/>
      <c r="AF3617" s="466"/>
      <c r="AG3617" s="466"/>
      <c r="AH3617" s="466"/>
      <c r="AI3617" s="466"/>
      <c r="AJ3617" s="466"/>
      <c r="AK3617" s="466"/>
      <c r="AL3617" s="466"/>
      <c r="AM3617" s="466"/>
      <c r="AN3617" s="466"/>
      <c r="AO3617" s="466"/>
      <c r="AP3617" s="466"/>
      <c r="AQ3617" s="466"/>
      <c r="AR3617" s="466"/>
      <c r="AS3617" s="466"/>
      <c r="AT3617" s="466"/>
      <c r="AU3617" s="466"/>
      <c r="AV3617" s="466"/>
      <c r="AW3617" s="466"/>
      <c r="AX3617" s="466"/>
      <c r="AY3617" s="466"/>
      <c r="AZ3617" s="466"/>
      <c r="BA3617" s="466"/>
      <c r="BB3617" s="466"/>
      <c r="BC3617" s="466"/>
      <c r="BD3617" s="466"/>
      <c r="BE3617" s="467"/>
      <c r="BF3617" s="467"/>
      <c r="BG3617" s="466"/>
      <c r="BH3617" s="466"/>
      <c r="BI3617" s="467"/>
      <c r="BJ3617" s="467"/>
      <c r="BK3617" s="467"/>
      <c r="BL3617" s="467"/>
      <c r="BM3617" s="467"/>
      <c r="BN3617" s="467"/>
      <c r="BO3617" s="467"/>
      <c r="BP3617" s="467"/>
      <c r="BQ3617" s="467"/>
      <c r="BR3617" s="467"/>
      <c r="BS3617" s="467"/>
      <c r="BT3617" s="467"/>
      <c r="BU3617" s="467"/>
      <c r="BV3617" s="467"/>
      <c r="BW3617" s="467"/>
      <c r="BX3617" s="769"/>
      <c r="BY3617" s="769"/>
      <c r="BZ3617" s="769"/>
      <c r="CA3617" s="769"/>
      <c r="CB3617" s="769"/>
      <c r="CC3617" s="769"/>
      <c r="CD3617" s="769"/>
      <c r="CE3617" s="769"/>
      <c r="CF3617" s="769"/>
      <c r="CG3617" s="73"/>
      <c r="CH3617" s="438"/>
      <c r="CI3617" s="416"/>
      <c r="CJ3617" s="73"/>
      <c r="CK3617" s="650"/>
      <c r="CL3617" s="499"/>
      <c r="CM3617" s="650"/>
      <c r="CR3617" s="416"/>
      <c r="CS3617" s="650"/>
      <c r="CU3617" s="73"/>
      <c r="CV3617" s="73"/>
      <c r="CW3617" s="73"/>
      <c r="CX3617" s="73"/>
      <c r="DA3617" s="650"/>
    </row>
    <row r="3618" spans="1:105" s="45" customFormat="1" x14ac:dyDescent="0.2">
      <c r="A3618" s="650"/>
      <c r="B3618" s="438"/>
      <c r="D3618" s="73"/>
      <c r="E3618" s="650"/>
      <c r="F3618" s="650"/>
      <c r="G3618" s="73"/>
      <c r="I3618" s="111"/>
      <c r="J3618" s="81"/>
      <c r="K3618" s="81"/>
      <c r="L3618" s="499"/>
      <c r="M3618" s="73"/>
      <c r="N3618" s="499"/>
      <c r="O3618" s="73"/>
      <c r="P3618" s="73"/>
      <c r="Q3618" s="73"/>
      <c r="R3618" s="176"/>
      <c r="S3618" s="176"/>
      <c r="T3618" s="176"/>
      <c r="U3618" s="400"/>
      <c r="V3618" s="400"/>
      <c r="W3618" s="732"/>
      <c r="X3618" s="167"/>
      <c r="Y3618" s="509"/>
      <c r="Z3618" s="466"/>
      <c r="AA3618" s="466"/>
      <c r="AB3618" s="466"/>
      <c r="AC3618" s="466"/>
      <c r="AD3618" s="466"/>
      <c r="AE3618" s="466"/>
      <c r="AF3618" s="466"/>
      <c r="AG3618" s="466"/>
      <c r="AH3618" s="466"/>
      <c r="AI3618" s="466"/>
      <c r="AJ3618" s="466"/>
      <c r="AK3618" s="466"/>
      <c r="AL3618" s="466"/>
      <c r="AM3618" s="466"/>
      <c r="AN3618" s="466"/>
      <c r="AO3618" s="466"/>
      <c r="AP3618" s="466"/>
      <c r="AQ3618" s="466"/>
      <c r="AR3618" s="466"/>
      <c r="AS3618" s="466"/>
      <c r="AT3618" s="466"/>
      <c r="AU3618" s="466"/>
      <c r="AV3618" s="466"/>
      <c r="AW3618" s="466"/>
      <c r="AX3618" s="466"/>
      <c r="AY3618" s="466"/>
      <c r="AZ3618" s="466"/>
      <c r="BA3618" s="466"/>
      <c r="BB3618" s="466"/>
      <c r="BC3618" s="466"/>
      <c r="BD3618" s="466"/>
      <c r="BE3618" s="467"/>
      <c r="BF3618" s="467"/>
      <c r="BG3618" s="466"/>
      <c r="BH3618" s="466"/>
      <c r="BI3618" s="467"/>
      <c r="BJ3618" s="467"/>
      <c r="BK3618" s="467"/>
      <c r="BL3618" s="467"/>
      <c r="BM3618" s="467"/>
      <c r="BN3618" s="467"/>
      <c r="BO3618" s="467"/>
      <c r="BP3618" s="467"/>
      <c r="BQ3618" s="467"/>
      <c r="BR3618" s="467"/>
      <c r="BS3618" s="467"/>
      <c r="BT3618" s="467"/>
      <c r="BU3618" s="467"/>
      <c r="BV3618" s="467"/>
      <c r="BW3618" s="467"/>
      <c r="BX3618" s="769"/>
      <c r="BY3618" s="769"/>
      <c r="BZ3618" s="769"/>
      <c r="CA3618" s="769"/>
      <c r="CB3618" s="769"/>
      <c r="CC3618" s="769"/>
      <c r="CD3618" s="769"/>
      <c r="CE3618" s="769"/>
      <c r="CF3618" s="769"/>
      <c r="CG3618" s="73"/>
      <c r="CH3618" s="438"/>
      <c r="CI3618" s="416"/>
      <c r="CJ3618" s="73"/>
      <c r="CK3618" s="650"/>
      <c r="CL3618" s="499"/>
      <c r="CM3618" s="650"/>
      <c r="CR3618" s="416"/>
      <c r="CS3618" s="650"/>
      <c r="CU3618" s="73"/>
      <c r="CV3618" s="73"/>
      <c r="CW3618" s="73"/>
      <c r="CX3618" s="73"/>
      <c r="DA3618" s="650"/>
    </row>
    <row r="3619" spans="1:105" s="45" customFormat="1" x14ac:dyDescent="0.2">
      <c r="A3619" s="650"/>
      <c r="B3619" s="438"/>
      <c r="D3619" s="73"/>
      <c r="E3619" s="650"/>
      <c r="F3619" s="650"/>
      <c r="G3619" s="73"/>
      <c r="I3619" s="111"/>
      <c r="J3619" s="81"/>
      <c r="K3619" s="81"/>
      <c r="L3619" s="499"/>
      <c r="M3619" s="73"/>
      <c r="N3619" s="499"/>
      <c r="O3619" s="73"/>
      <c r="P3619" s="73"/>
      <c r="Q3619" s="73"/>
      <c r="R3619" s="176"/>
      <c r="S3619" s="176"/>
      <c r="T3619" s="176"/>
      <c r="U3619" s="400"/>
      <c r="V3619" s="400"/>
      <c r="W3619" s="732"/>
      <c r="X3619" s="167"/>
      <c r="Y3619" s="509"/>
      <c r="Z3619" s="466"/>
      <c r="AA3619" s="466"/>
      <c r="AB3619" s="466"/>
      <c r="AC3619" s="466"/>
      <c r="AD3619" s="466"/>
      <c r="AE3619" s="466"/>
      <c r="AF3619" s="466"/>
      <c r="AG3619" s="466"/>
      <c r="AH3619" s="466"/>
      <c r="AI3619" s="466"/>
      <c r="AJ3619" s="466"/>
      <c r="AK3619" s="466"/>
      <c r="AL3619" s="466"/>
      <c r="AM3619" s="466"/>
      <c r="AN3619" s="466"/>
      <c r="AO3619" s="466"/>
      <c r="AP3619" s="466"/>
      <c r="AQ3619" s="466"/>
      <c r="AR3619" s="466"/>
      <c r="AS3619" s="466"/>
      <c r="AT3619" s="466"/>
      <c r="AU3619" s="466"/>
      <c r="AV3619" s="466"/>
      <c r="AW3619" s="466"/>
      <c r="AX3619" s="466"/>
      <c r="AY3619" s="466"/>
      <c r="AZ3619" s="466"/>
      <c r="BA3619" s="466"/>
      <c r="BB3619" s="466"/>
      <c r="BC3619" s="466"/>
      <c r="BD3619" s="466"/>
      <c r="BE3619" s="467"/>
      <c r="BF3619" s="467"/>
      <c r="BG3619" s="466"/>
      <c r="BH3619" s="466"/>
      <c r="BI3619" s="467"/>
      <c r="BJ3619" s="467"/>
      <c r="BK3619" s="467"/>
      <c r="BL3619" s="467"/>
      <c r="BM3619" s="467"/>
      <c r="BN3619" s="467"/>
      <c r="BO3619" s="467"/>
      <c r="BP3619" s="467"/>
      <c r="BQ3619" s="467"/>
      <c r="BR3619" s="467"/>
      <c r="BS3619" s="467"/>
      <c r="BT3619" s="467"/>
      <c r="BU3619" s="467"/>
      <c r="BV3619" s="467"/>
      <c r="BW3619" s="467"/>
      <c r="BX3619" s="769"/>
      <c r="BY3619" s="769"/>
      <c r="BZ3619" s="769"/>
      <c r="CA3619" s="769"/>
      <c r="CB3619" s="769"/>
      <c r="CC3619" s="769"/>
      <c r="CD3619" s="769"/>
      <c r="CE3619" s="769"/>
      <c r="CF3619" s="769"/>
      <c r="CG3619" s="73"/>
      <c r="CH3619" s="438"/>
      <c r="CI3619" s="416"/>
      <c r="CJ3619" s="73"/>
      <c r="CK3619" s="650"/>
      <c r="CL3619" s="499"/>
      <c r="CM3619" s="650"/>
      <c r="CR3619" s="416"/>
      <c r="CS3619" s="650"/>
      <c r="CU3619" s="73"/>
      <c r="CV3619" s="73"/>
      <c r="CW3619" s="73"/>
      <c r="CX3619" s="73"/>
      <c r="DA3619" s="650"/>
    </row>
    <row r="3620" spans="1:105" s="45" customFormat="1" x14ac:dyDescent="0.2">
      <c r="A3620" s="650"/>
      <c r="B3620" s="438"/>
      <c r="D3620" s="73"/>
      <c r="E3620" s="650"/>
      <c r="F3620" s="650"/>
      <c r="G3620" s="73"/>
      <c r="I3620" s="111"/>
      <c r="J3620" s="81"/>
      <c r="K3620" s="81"/>
      <c r="L3620" s="499"/>
      <c r="M3620" s="73"/>
      <c r="N3620" s="499"/>
      <c r="O3620" s="73"/>
      <c r="P3620" s="73"/>
      <c r="Q3620" s="73"/>
      <c r="R3620" s="176"/>
      <c r="S3620" s="176"/>
      <c r="T3620" s="176"/>
      <c r="U3620" s="400"/>
      <c r="V3620" s="400"/>
      <c r="W3620" s="732"/>
      <c r="X3620" s="167"/>
      <c r="Y3620" s="509"/>
      <c r="Z3620" s="466"/>
      <c r="AA3620" s="466"/>
      <c r="AB3620" s="466"/>
      <c r="AC3620" s="466"/>
      <c r="AD3620" s="466"/>
      <c r="AE3620" s="466"/>
      <c r="AF3620" s="466"/>
      <c r="AG3620" s="466"/>
      <c r="AH3620" s="466"/>
      <c r="AI3620" s="466"/>
      <c r="AJ3620" s="466"/>
      <c r="AK3620" s="466"/>
      <c r="AL3620" s="466"/>
      <c r="AM3620" s="466"/>
      <c r="AN3620" s="466"/>
      <c r="AO3620" s="466"/>
      <c r="AP3620" s="466"/>
      <c r="AQ3620" s="466"/>
      <c r="AR3620" s="466"/>
      <c r="AS3620" s="466"/>
      <c r="AT3620" s="466"/>
      <c r="AU3620" s="466"/>
      <c r="AV3620" s="466"/>
      <c r="AW3620" s="466"/>
      <c r="AX3620" s="466"/>
      <c r="AY3620" s="466"/>
      <c r="AZ3620" s="466"/>
      <c r="BA3620" s="466"/>
      <c r="BB3620" s="466"/>
      <c r="BC3620" s="466"/>
      <c r="BD3620" s="466"/>
      <c r="BE3620" s="467"/>
      <c r="BF3620" s="467"/>
      <c r="BG3620" s="466"/>
      <c r="BH3620" s="466"/>
      <c r="BI3620" s="467"/>
      <c r="BJ3620" s="467"/>
      <c r="BK3620" s="467"/>
      <c r="BL3620" s="467"/>
      <c r="BM3620" s="467"/>
      <c r="BN3620" s="467"/>
      <c r="BO3620" s="467"/>
      <c r="BP3620" s="467"/>
      <c r="BQ3620" s="467"/>
      <c r="BR3620" s="467"/>
      <c r="BS3620" s="467"/>
      <c r="BT3620" s="467"/>
      <c r="BU3620" s="467"/>
      <c r="BV3620" s="467"/>
      <c r="BW3620" s="467"/>
      <c r="BX3620" s="769"/>
      <c r="BY3620" s="769"/>
      <c r="BZ3620" s="769"/>
      <c r="CA3620" s="769"/>
      <c r="CB3620" s="769"/>
      <c r="CC3620" s="769"/>
      <c r="CD3620" s="769"/>
      <c r="CE3620" s="769"/>
      <c r="CF3620" s="769"/>
      <c r="CG3620" s="73"/>
      <c r="CH3620" s="438"/>
      <c r="CI3620" s="416"/>
      <c r="CJ3620" s="73"/>
      <c r="CK3620" s="650"/>
      <c r="CL3620" s="499"/>
      <c r="CM3620" s="650"/>
      <c r="CR3620" s="416"/>
      <c r="CS3620" s="650"/>
      <c r="CU3620" s="73"/>
      <c r="CV3620" s="73"/>
      <c r="CW3620" s="73"/>
      <c r="CX3620" s="73"/>
      <c r="DA3620" s="650"/>
    </row>
    <row r="3621" spans="1:105" s="45" customFormat="1" x14ac:dyDescent="0.2">
      <c r="A3621" s="650"/>
      <c r="B3621" s="438"/>
      <c r="D3621" s="73"/>
      <c r="E3621" s="650"/>
      <c r="F3621" s="650"/>
      <c r="G3621" s="73"/>
      <c r="I3621" s="111"/>
      <c r="J3621" s="81"/>
      <c r="K3621" s="81"/>
      <c r="L3621" s="499"/>
      <c r="M3621" s="73"/>
      <c r="N3621" s="499"/>
      <c r="O3621" s="73"/>
      <c r="P3621" s="73"/>
      <c r="Q3621" s="73"/>
      <c r="R3621" s="176"/>
      <c r="S3621" s="176"/>
      <c r="T3621" s="176"/>
      <c r="U3621" s="400"/>
      <c r="V3621" s="400"/>
      <c r="W3621" s="732"/>
      <c r="X3621" s="167"/>
      <c r="Y3621" s="509"/>
      <c r="Z3621" s="466"/>
      <c r="AA3621" s="466"/>
      <c r="AB3621" s="466"/>
      <c r="AC3621" s="466"/>
      <c r="AD3621" s="466"/>
      <c r="AE3621" s="466"/>
      <c r="AF3621" s="466"/>
      <c r="AG3621" s="466"/>
      <c r="AH3621" s="466"/>
      <c r="AI3621" s="466"/>
      <c r="AJ3621" s="466"/>
      <c r="AK3621" s="466"/>
      <c r="AL3621" s="466"/>
      <c r="AM3621" s="466"/>
      <c r="AN3621" s="466"/>
      <c r="AO3621" s="466"/>
      <c r="AP3621" s="466"/>
      <c r="AQ3621" s="466"/>
      <c r="AR3621" s="466"/>
      <c r="AS3621" s="466"/>
      <c r="AT3621" s="466"/>
      <c r="AU3621" s="466"/>
      <c r="AV3621" s="466"/>
      <c r="AW3621" s="466"/>
      <c r="AX3621" s="466"/>
      <c r="AY3621" s="466"/>
      <c r="AZ3621" s="466"/>
      <c r="BA3621" s="466"/>
      <c r="BB3621" s="466"/>
      <c r="BC3621" s="466"/>
      <c r="BD3621" s="466"/>
      <c r="BE3621" s="467"/>
      <c r="BF3621" s="467"/>
      <c r="BG3621" s="466"/>
      <c r="BH3621" s="466"/>
      <c r="BI3621" s="467"/>
      <c r="BJ3621" s="467"/>
      <c r="BK3621" s="467"/>
      <c r="BL3621" s="467"/>
      <c r="BM3621" s="467"/>
      <c r="BN3621" s="467"/>
      <c r="BO3621" s="467"/>
      <c r="BP3621" s="467"/>
      <c r="BQ3621" s="467"/>
      <c r="BR3621" s="467"/>
      <c r="BS3621" s="467"/>
      <c r="BT3621" s="467"/>
      <c r="BU3621" s="467"/>
      <c r="BV3621" s="467"/>
      <c r="BW3621" s="467"/>
      <c r="BX3621" s="769"/>
      <c r="BY3621" s="769"/>
      <c r="BZ3621" s="769"/>
      <c r="CA3621" s="769"/>
      <c r="CB3621" s="769"/>
      <c r="CC3621" s="769"/>
      <c r="CD3621" s="769"/>
      <c r="CE3621" s="769"/>
      <c r="CF3621" s="769"/>
      <c r="CG3621" s="73"/>
      <c r="CH3621" s="438"/>
      <c r="CI3621" s="416"/>
      <c r="CJ3621" s="73"/>
      <c r="CK3621" s="650"/>
      <c r="CL3621" s="499"/>
      <c r="CM3621" s="650"/>
      <c r="CR3621" s="416"/>
      <c r="CS3621" s="650"/>
      <c r="CU3621" s="73"/>
      <c r="CV3621" s="73"/>
      <c r="CW3621" s="73"/>
      <c r="CX3621" s="73"/>
      <c r="DA3621" s="650"/>
    </row>
    <row r="3622" spans="1:105" s="45" customFormat="1" x14ac:dyDescent="0.2">
      <c r="A3622" s="650"/>
      <c r="B3622" s="438"/>
      <c r="D3622" s="73"/>
      <c r="E3622" s="650"/>
      <c r="F3622" s="650"/>
      <c r="G3622" s="73"/>
      <c r="I3622" s="111"/>
      <c r="J3622" s="81"/>
      <c r="K3622" s="81"/>
      <c r="L3622" s="499"/>
      <c r="M3622" s="73"/>
      <c r="N3622" s="499"/>
      <c r="O3622" s="73"/>
      <c r="P3622" s="73"/>
      <c r="Q3622" s="73"/>
      <c r="R3622" s="176"/>
      <c r="S3622" s="176"/>
      <c r="T3622" s="176"/>
      <c r="U3622" s="400"/>
      <c r="V3622" s="400"/>
      <c r="W3622" s="732"/>
      <c r="X3622" s="167"/>
      <c r="Y3622" s="509"/>
      <c r="Z3622" s="466"/>
      <c r="AA3622" s="466"/>
      <c r="AB3622" s="466"/>
      <c r="AC3622" s="466"/>
      <c r="AD3622" s="466"/>
      <c r="AE3622" s="466"/>
      <c r="AF3622" s="466"/>
      <c r="AG3622" s="466"/>
      <c r="AH3622" s="466"/>
      <c r="AI3622" s="466"/>
      <c r="AJ3622" s="466"/>
      <c r="AK3622" s="466"/>
      <c r="AL3622" s="466"/>
      <c r="AM3622" s="466"/>
      <c r="AN3622" s="466"/>
      <c r="AO3622" s="466"/>
      <c r="AP3622" s="466"/>
      <c r="AQ3622" s="466"/>
      <c r="AR3622" s="466"/>
      <c r="AS3622" s="466"/>
      <c r="AT3622" s="466"/>
      <c r="AU3622" s="466"/>
      <c r="AV3622" s="466"/>
      <c r="AW3622" s="466"/>
      <c r="AX3622" s="466"/>
      <c r="AY3622" s="466"/>
      <c r="AZ3622" s="466"/>
      <c r="BA3622" s="466"/>
      <c r="BB3622" s="466"/>
      <c r="BC3622" s="466"/>
      <c r="BD3622" s="466"/>
      <c r="BE3622" s="467"/>
      <c r="BF3622" s="467"/>
      <c r="BG3622" s="466"/>
      <c r="BH3622" s="466"/>
      <c r="BI3622" s="467"/>
      <c r="BJ3622" s="467"/>
      <c r="BK3622" s="467"/>
      <c r="BL3622" s="467"/>
      <c r="BM3622" s="467"/>
      <c r="BN3622" s="467"/>
      <c r="BO3622" s="467"/>
      <c r="BP3622" s="467"/>
      <c r="BQ3622" s="467"/>
      <c r="BR3622" s="467"/>
      <c r="BS3622" s="467"/>
      <c r="BT3622" s="467"/>
      <c r="BU3622" s="467"/>
      <c r="BV3622" s="467"/>
      <c r="BW3622" s="467"/>
      <c r="BX3622" s="769"/>
      <c r="BY3622" s="769"/>
      <c r="BZ3622" s="769"/>
      <c r="CA3622" s="769"/>
      <c r="CB3622" s="769"/>
      <c r="CC3622" s="769"/>
      <c r="CD3622" s="769"/>
      <c r="CE3622" s="769"/>
      <c r="CF3622" s="769"/>
      <c r="CG3622" s="73"/>
      <c r="CH3622" s="438"/>
      <c r="CI3622" s="416"/>
      <c r="CJ3622" s="73"/>
      <c r="CK3622" s="650"/>
      <c r="CL3622" s="499"/>
      <c r="CM3622" s="650"/>
      <c r="CR3622" s="416"/>
      <c r="CS3622" s="650"/>
      <c r="CU3622" s="73"/>
      <c r="CV3622" s="73"/>
      <c r="CW3622" s="73"/>
      <c r="CX3622" s="73"/>
      <c r="DA3622" s="650"/>
    </row>
    <row r="3623" spans="1:105" s="45" customFormat="1" x14ac:dyDescent="0.2">
      <c r="A3623" s="650"/>
      <c r="B3623" s="438"/>
      <c r="D3623" s="73"/>
      <c r="E3623" s="650"/>
      <c r="F3623" s="650"/>
      <c r="G3623" s="73"/>
      <c r="I3623" s="111"/>
      <c r="J3623" s="81"/>
      <c r="K3623" s="81"/>
      <c r="L3623" s="499"/>
      <c r="M3623" s="73"/>
      <c r="N3623" s="499"/>
      <c r="O3623" s="73"/>
      <c r="P3623" s="73"/>
      <c r="Q3623" s="73"/>
      <c r="R3623" s="176"/>
      <c r="S3623" s="176"/>
      <c r="T3623" s="176"/>
      <c r="U3623" s="400"/>
      <c r="V3623" s="400"/>
      <c r="W3623" s="732"/>
      <c r="X3623" s="167"/>
      <c r="Y3623" s="509"/>
      <c r="Z3623" s="466"/>
      <c r="AA3623" s="466"/>
      <c r="AB3623" s="466"/>
      <c r="AC3623" s="466"/>
      <c r="AD3623" s="466"/>
      <c r="AE3623" s="466"/>
      <c r="AF3623" s="466"/>
      <c r="AG3623" s="466"/>
      <c r="AH3623" s="466"/>
      <c r="AI3623" s="466"/>
      <c r="AJ3623" s="466"/>
      <c r="AK3623" s="466"/>
      <c r="AL3623" s="466"/>
      <c r="AM3623" s="466"/>
      <c r="AN3623" s="466"/>
      <c r="AO3623" s="466"/>
      <c r="AP3623" s="466"/>
      <c r="AQ3623" s="466"/>
      <c r="AR3623" s="466"/>
      <c r="AS3623" s="466"/>
      <c r="AT3623" s="466"/>
      <c r="AU3623" s="466"/>
      <c r="AV3623" s="466"/>
      <c r="AW3623" s="466"/>
      <c r="AX3623" s="466"/>
      <c r="AY3623" s="466"/>
      <c r="AZ3623" s="466"/>
      <c r="BA3623" s="466"/>
      <c r="BB3623" s="466"/>
      <c r="BC3623" s="466"/>
      <c r="BD3623" s="466"/>
      <c r="BE3623" s="467"/>
      <c r="BF3623" s="467"/>
      <c r="BG3623" s="466"/>
      <c r="BH3623" s="466"/>
      <c r="BI3623" s="467"/>
      <c r="BJ3623" s="467"/>
      <c r="BK3623" s="467"/>
      <c r="BL3623" s="467"/>
      <c r="BM3623" s="467"/>
      <c r="BN3623" s="467"/>
      <c r="BO3623" s="467"/>
      <c r="BP3623" s="467"/>
      <c r="BQ3623" s="467"/>
      <c r="BR3623" s="467"/>
      <c r="BS3623" s="467"/>
      <c r="BT3623" s="467"/>
      <c r="BU3623" s="467"/>
      <c r="BV3623" s="467"/>
      <c r="BW3623" s="467"/>
      <c r="BX3623" s="769"/>
      <c r="BY3623" s="769"/>
      <c r="BZ3623" s="769"/>
      <c r="CA3623" s="769"/>
      <c r="CB3623" s="769"/>
      <c r="CC3623" s="769"/>
      <c r="CD3623" s="769"/>
      <c r="CE3623" s="769"/>
      <c r="CF3623" s="769"/>
      <c r="CG3623" s="73"/>
      <c r="CH3623" s="438"/>
      <c r="CI3623" s="416"/>
      <c r="CJ3623" s="73"/>
      <c r="CK3623" s="650"/>
      <c r="CL3623" s="499"/>
      <c r="CM3623" s="650"/>
      <c r="CR3623" s="416"/>
      <c r="CS3623" s="650"/>
      <c r="CU3623" s="73"/>
      <c r="CV3623" s="73"/>
      <c r="CW3623" s="73"/>
      <c r="CX3623" s="73"/>
      <c r="DA3623" s="650"/>
    </row>
    <row r="3624" spans="1:105" s="45" customFormat="1" x14ac:dyDescent="0.2">
      <c r="A3624" s="650"/>
      <c r="B3624" s="438"/>
      <c r="D3624" s="73"/>
      <c r="E3624" s="650"/>
      <c r="F3624" s="650"/>
      <c r="G3624" s="73"/>
      <c r="I3624" s="111"/>
      <c r="J3624" s="81"/>
      <c r="K3624" s="81"/>
      <c r="L3624" s="499"/>
      <c r="M3624" s="73"/>
      <c r="N3624" s="499"/>
      <c r="O3624" s="73"/>
      <c r="P3624" s="73"/>
      <c r="Q3624" s="73"/>
      <c r="R3624" s="176"/>
      <c r="S3624" s="176"/>
      <c r="T3624" s="176"/>
      <c r="U3624" s="400"/>
      <c r="V3624" s="400"/>
      <c r="W3624" s="732"/>
      <c r="X3624" s="167"/>
      <c r="Y3624" s="509"/>
      <c r="Z3624" s="466"/>
      <c r="AA3624" s="466"/>
      <c r="AB3624" s="466"/>
      <c r="AC3624" s="466"/>
      <c r="AD3624" s="466"/>
      <c r="AE3624" s="466"/>
      <c r="AF3624" s="466"/>
      <c r="AG3624" s="466"/>
      <c r="AH3624" s="466"/>
      <c r="AI3624" s="466"/>
      <c r="AJ3624" s="466"/>
      <c r="AK3624" s="466"/>
      <c r="AL3624" s="466"/>
      <c r="AM3624" s="466"/>
      <c r="AN3624" s="466"/>
      <c r="AO3624" s="466"/>
      <c r="AP3624" s="466"/>
      <c r="AQ3624" s="466"/>
      <c r="AR3624" s="466"/>
      <c r="AS3624" s="466"/>
      <c r="AT3624" s="466"/>
      <c r="AU3624" s="466"/>
      <c r="AV3624" s="466"/>
      <c r="AW3624" s="466"/>
      <c r="AX3624" s="466"/>
      <c r="AY3624" s="466"/>
      <c r="AZ3624" s="466"/>
      <c r="BA3624" s="466"/>
      <c r="BB3624" s="466"/>
      <c r="BC3624" s="466"/>
      <c r="BD3624" s="466"/>
      <c r="BE3624" s="467"/>
      <c r="BF3624" s="467"/>
      <c r="BG3624" s="466"/>
      <c r="BH3624" s="466"/>
      <c r="BI3624" s="467"/>
      <c r="BJ3624" s="467"/>
      <c r="BK3624" s="467"/>
      <c r="BL3624" s="467"/>
      <c r="BM3624" s="467"/>
      <c r="BN3624" s="467"/>
      <c r="BO3624" s="467"/>
      <c r="BP3624" s="467"/>
      <c r="BQ3624" s="467"/>
      <c r="BR3624" s="467"/>
      <c r="BS3624" s="467"/>
      <c r="BT3624" s="467"/>
      <c r="BU3624" s="467"/>
      <c r="BV3624" s="467"/>
      <c r="BW3624" s="467"/>
      <c r="BX3624" s="769"/>
      <c r="BY3624" s="769"/>
      <c r="BZ3624" s="769"/>
      <c r="CA3624" s="769"/>
      <c r="CB3624" s="769"/>
      <c r="CC3624" s="769"/>
      <c r="CD3624" s="769"/>
      <c r="CE3624" s="769"/>
      <c r="CF3624" s="769"/>
      <c r="CG3624" s="73"/>
      <c r="CH3624" s="438"/>
      <c r="CI3624" s="416"/>
      <c r="CJ3624" s="73"/>
      <c r="CK3624" s="650"/>
      <c r="CL3624" s="499"/>
      <c r="CM3624" s="650"/>
      <c r="CR3624" s="416"/>
      <c r="CS3624" s="650"/>
      <c r="CU3624" s="73"/>
      <c r="CV3624" s="73"/>
      <c r="CW3624" s="73"/>
      <c r="CX3624" s="73"/>
      <c r="DA3624" s="650"/>
    </row>
    <row r="3625" spans="1:105" s="45" customFormat="1" x14ac:dyDescent="0.2">
      <c r="A3625" s="650"/>
      <c r="B3625" s="438"/>
      <c r="D3625" s="73"/>
      <c r="E3625" s="650"/>
      <c r="F3625" s="650"/>
      <c r="G3625" s="73"/>
      <c r="I3625" s="111"/>
      <c r="J3625" s="81"/>
      <c r="K3625" s="81"/>
      <c r="L3625" s="499"/>
      <c r="M3625" s="73"/>
      <c r="N3625" s="499"/>
      <c r="O3625" s="73"/>
      <c r="P3625" s="73"/>
      <c r="Q3625" s="73"/>
      <c r="R3625" s="176"/>
      <c r="S3625" s="176"/>
      <c r="T3625" s="176"/>
      <c r="U3625" s="400"/>
      <c r="V3625" s="400"/>
      <c r="W3625" s="732"/>
      <c r="X3625" s="167"/>
      <c r="Y3625" s="509"/>
      <c r="Z3625" s="466"/>
      <c r="AA3625" s="466"/>
      <c r="AB3625" s="466"/>
      <c r="AC3625" s="466"/>
      <c r="AD3625" s="466"/>
      <c r="AE3625" s="466"/>
      <c r="AF3625" s="466"/>
      <c r="AG3625" s="466"/>
      <c r="AH3625" s="466"/>
      <c r="AI3625" s="466"/>
      <c r="AJ3625" s="466"/>
      <c r="AK3625" s="466"/>
      <c r="AL3625" s="466"/>
      <c r="AM3625" s="466"/>
      <c r="AN3625" s="466"/>
      <c r="AO3625" s="466"/>
      <c r="AP3625" s="466"/>
      <c r="AQ3625" s="466"/>
      <c r="AR3625" s="466"/>
      <c r="AS3625" s="466"/>
      <c r="AT3625" s="466"/>
      <c r="AU3625" s="466"/>
      <c r="AV3625" s="466"/>
      <c r="AW3625" s="466"/>
      <c r="AX3625" s="466"/>
      <c r="AY3625" s="466"/>
      <c r="AZ3625" s="466"/>
      <c r="BA3625" s="466"/>
      <c r="BB3625" s="466"/>
      <c r="BC3625" s="466"/>
      <c r="BD3625" s="466"/>
      <c r="BE3625" s="467"/>
      <c r="BF3625" s="467"/>
      <c r="BG3625" s="466"/>
      <c r="BH3625" s="466"/>
      <c r="BI3625" s="467"/>
      <c r="BJ3625" s="467"/>
      <c r="BK3625" s="467"/>
      <c r="BL3625" s="467"/>
      <c r="BM3625" s="467"/>
      <c r="BN3625" s="467"/>
      <c r="BO3625" s="467"/>
      <c r="BP3625" s="467"/>
      <c r="BQ3625" s="467"/>
      <c r="BR3625" s="467"/>
      <c r="BS3625" s="467"/>
      <c r="BT3625" s="467"/>
      <c r="BU3625" s="467"/>
      <c r="BV3625" s="467"/>
      <c r="BW3625" s="467"/>
      <c r="BX3625" s="769"/>
      <c r="BY3625" s="769"/>
      <c r="BZ3625" s="769"/>
      <c r="CA3625" s="769"/>
      <c r="CB3625" s="769"/>
      <c r="CC3625" s="769"/>
      <c r="CD3625" s="769"/>
      <c r="CE3625" s="769"/>
      <c r="CF3625" s="769"/>
      <c r="CG3625" s="73"/>
      <c r="CH3625" s="438"/>
      <c r="CI3625" s="416"/>
      <c r="CJ3625" s="73"/>
      <c r="CK3625" s="650"/>
      <c r="CL3625" s="499"/>
      <c r="CM3625" s="650"/>
      <c r="CR3625" s="416"/>
      <c r="CS3625" s="650"/>
      <c r="CU3625" s="73"/>
      <c r="CV3625" s="73"/>
      <c r="CW3625" s="73"/>
      <c r="CX3625" s="73"/>
      <c r="DA3625" s="650"/>
    </row>
    <row r="3626" spans="1:105" s="45" customFormat="1" x14ac:dyDescent="0.2">
      <c r="A3626" s="650"/>
      <c r="B3626" s="438"/>
      <c r="D3626" s="73"/>
      <c r="E3626" s="650"/>
      <c r="F3626" s="650"/>
      <c r="G3626" s="73"/>
      <c r="I3626" s="111"/>
      <c r="J3626" s="81"/>
      <c r="K3626" s="81"/>
      <c r="L3626" s="499"/>
      <c r="M3626" s="73"/>
      <c r="N3626" s="499"/>
      <c r="O3626" s="73"/>
      <c r="P3626" s="73"/>
      <c r="Q3626" s="73"/>
      <c r="R3626" s="176"/>
      <c r="S3626" s="176"/>
      <c r="T3626" s="176"/>
      <c r="U3626" s="400"/>
      <c r="V3626" s="400"/>
      <c r="W3626" s="732"/>
      <c r="X3626" s="167"/>
      <c r="Y3626" s="509"/>
      <c r="Z3626" s="466"/>
      <c r="AA3626" s="466"/>
      <c r="AB3626" s="466"/>
      <c r="AC3626" s="466"/>
      <c r="AD3626" s="466"/>
      <c r="AE3626" s="466"/>
      <c r="AF3626" s="466"/>
      <c r="AG3626" s="466"/>
      <c r="AH3626" s="466"/>
      <c r="AI3626" s="466"/>
      <c r="AJ3626" s="466"/>
      <c r="AK3626" s="466"/>
      <c r="AL3626" s="466"/>
      <c r="AM3626" s="466"/>
      <c r="AN3626" s="466"/>
      <c r="AO3626" s="466"/>
      <c r="AP3626" s="466"/>
      <c r="AQ3626" s="466"/>
      <c r="AR3626" s="466"/>
      <c r="AS3626" s="466"/>
      <c r="AT3626" s="466"/>
      <c r="AU3626" s="466"/>
      <c r="AV3626" s="466"/>
      <c r="AW3626" s="466"/>
      <c r="AX3626" s="466"/>
      <c r="AY3626" s="466"/>
      <c r="AZ3626" s="466"/>
      <c r="BA3626" s="466"/>
      <c r="BB3626" s="466"/>
      <c r="BC3626" s="466"/>
      <c r="BD3626" s="466"/>
      <c r="BE3626" s="467"/>
      <c r="BF3626" s="467"/>
      <c r="BG3626" s="466"/>
      <c r="BH3626" s="466"/>
      <c r="BI3626" s="467"/>
      <c r="BJ3626" s="467"/>
      <c r="BK3626" s="467"/>
      <c r="BL3626" s="467"/>
      <c r="BM3626" s="467"/>
      <c r="BN3626" s="467"/>
      <c r="BO3626" s="467"/>
      <c r="BP3626" s="467"/>
      <c r="BQ3626" s="467"/>
      <c r="BR3626" s="467"/>
      <c r="BS3626" s="467"/>
      <c r="BT3626" s="467"/>
      <c r="BU3626" s="467"/>
      <c r="BV3626" s="467"/>
      <c r="BW3626" s="467"/>
      <c r="BX3626" s="769"/>
      <c r="BY3626" s="769"/>
      <c r="BZ3626" s="769"/>
      <c r="CA3626" s="769"/>
      <c r="CB3626" s="769"/>
      <c r="CC3626" s="769"/>
      <c r="CD3626" s="769"/>
      <c r="CE3626" s="769"/>
      <c r="CF3626" s="769"/>
      <c r="CG3626" s="73"/>
      <c r="CH3626" s="438"/>
      <c r="CI3626" s="416"/>
      <c r="CJ3626" s="73"/>
      <c r="CK3626" s="650"/>
      <c r="CL3626" s="499"/>
      <c r="CM3626" s="650"/>
      <c r="CR3626" s="416"/>
      <c r="CS3626" s="650"/>
      <c r="CU3626" s="73"/>
      <c r="CV3626" s="73"/>
      <c r="CW3626" s="73"/>
      <c r="CX3626" s="73"/>
      <c r="DA3626" s="650"/>
    </row>
    <row r="3627" spans="1:105" s="45" customFormat="1" x14ac:dyDescent="0.2">
      <c r="A3627" s="650"/>
      <c r="B3627" s="438"/>
      <c r="D3627" s="73"/>
      <c r="E3627" s="650"/>
      <c r="F3627" s="650"/>
      <c r="G3627" s="73"/>
      <c r="I3627" s="111"/>
      <c r="J3627" s="81"/>
      <c r="K3627" s="81"/>
      <c r="L3627" s="499"/>
      <c r="M3627" s="73"/>
      <c r="N3627" s="499"/>
      <c r="O3627" s="73"/>
      <c r="P3627" s="73"/>
      <c r="Q3627" s="73"/>
      <c r="R3627" s="176"/>
      <c r="S3627" s="176"/>
      <c r="T3627" s="176"/>
      <c r="U3627" s="400"/>
      <c r="V3627" s="400"/>
      <c r="W3627" s="732"/>
      <c r="X3627" s="167"/>
      <c r="Y3627" s="509"/>
      <c r="Z3627" s="466"/>
      <c r="AA3627" s="466"/>
      <c r="AB3627" s="466"/>
      <c r="AC3627" s="466"/>
      <c r="AD3627" s="466"/>
      <c r="AE3627" s="466"/>
      <c r="AF3627" s="466"/>
      <c r="AG3627" s="466"/>
      <c r="AH3627" s="466"/>
      <c r="AI3627" s="466"/>
      <c r="AJ3627" s="466"/>
      <c r="AK3627" s="466"/>
      <c r="AL3627" s="466"/>
      <c r="AM3627" s="466"/>
      <c r="AN3627" s="466"/>
      <c r="AO3627" s="466"/>
      <c r="AP3627" s="466"/>
      <c r="AQ3627" s="466"/>
      <c r="AR3627" s="466"/>
      <c r="AS3627" s="466"/>
      <c r="AT3627" s="466"/>
      <c r="AU3627" s="466"/>
      <c r="AV3627" s="466"/>
      <c r="AW3627" s="466"/>
      <c r="AX3627" s="466"/>
      <c r="AY3627" s="466"/>
      <c r="AZ3627" s="466"/>
      <c r="BA3627" s="466"/>
      <c r="BB3627" s="466"/>
      <c r="BC3627" s="466"/>
      <c r="BD3627" s="466"/>
      <c r="BE3627" s="467"/>
      <c r="BF3627" s="467"/>
      <c r="BG3627" s="466"/>
      <c r="BH3627" s="466"/>
      <c r="BI3627" s="467"/>
      <c r="BJ3627" s="467"/>
      <c r="BK3627" s="467"/>
      <c r="BL3627" s="467"/>
      <c r="BM3627" s="467"/>
      <c r="BN3627" s="467"/>
      <c r="BO3627" s="467"/>
      <c r="BP3627" s="467"/>
      <c r="BQ3627" s="467"/>
      <c r="BR3627" s="467"/>
      <c r="BS3627" s="467"/>
      <c r="BT3627" s="467"/>
      <c r="BU3627" s="467"/>
      <c r="BV3627" s="467"/>
      <c r="BW3627" s="467"/>
      <c r="BX3627" s="769"/>
      <c r="BY3627" s="769"/>
      <c r="BZ3627" s="769"/>
      <c r="CA3627" s="769"/>
      <c r="CB3627" s="769"/>
      <c r="CC3627" s="769"/>
      <c r="CD3627" s="769"/>
      <c r="CE3627" s="769"/>
      <c r="CF3627" s="769"/>
      <c r="CG3627" s="73"/>
      <c r="CH3627" s="438"/>
      <c r="CI3627" s="416"/>
      <c r="CJ3627" s="73"/>
      <c r="CK3627" s="650"/>
      <c r="CL3627" s="499"/>
      <c r="CM3627" s="650"/>
      <c r="CR3627" s="416"/>
      <c r="CS3627" s="650"/>
      <c r="CU3627" s="73"/>
      <c r="CV3627" s="73"/>
      <c r="CW3627" s="73"/>
      <c r="CX3627" s="73"/>
      <c r="DA3627" s="650"/>
    </row>
    <row r="3628" spans="1:105" s="45" customFormat="1" x14ac:dyDescent="0.2">
      <c r="A3628" s="650"/>
      <c r="B3628" s="438"/>
      <c r="D3628" s="73"/>
      <c r="E3628" s="650"/>
      <c r="F3628" s="650"/>
      <c r="G3628" s="73"/>
      <c r="I3628" s="111"/>
      <c r="J3628" s="81"/>
      <c r="K3628" s="81"/>
      <c r="L3628" s="499"/>
      <c r="M3628" s="73"/>
      <c r="N3628" s="499"/>
      <c r="O3628" s="73"/>
      <c r="P3628" s="73"/>
      <c r="Q3628" s="73"/>
      <c r="R3628" s="176"/>
      <c r="S3628" s="176"/>
      <c r="T3628" s="176"/>
      <c r="U3628" s="400"/>
      <c r="V3628" s="400"/>
      <c r="W3628" s="732"/>
      <c r="X3628" s="167"/>
      <c r="Y3628" s="509"/>
      <c r="Z3628" s="466"/>
      <c r="AA3628" s="466"/>
      <c r="AB3628" s="466"/>
      <c r="AC3628" s="466"/>
      <c r="AD3628" s="466"/>
      <c r="AE3628" s="466"/>
      <c r="AF3628" s="466"/>
      <c r="AG3628" s="466"/>
      <c r="AH3628" s="466"/>
      <c r="AI3628" s="466"/>
      <c r="AJ3628" s="466"/>
      <c r="AK3628" s="466"/>
      <c r="AL3628" s="466"/>
      <c r="AM3628" s="466"/>
      <c r="AN3628" s="466"/>
      <c r="AO3628" s="466"/>
      <c r="AP3628" s="466"/>
      <c r="AQ3628" s="466"/>
      <c r="AR3628" s="466"/>
      <c r="AS3628" s="466"/>
      <c r="AT3628" s="466"/>
      <c r="AU3628" s="466"/>
      <c r="AV3628" s="466"/>
      <c r="AW3628" s="466"/>
      <c r="AX3628" s="466"/>
      <c r="AY3628" s="466"/>
      <c r="AZ3628" s="466"/>
      <c r="BA3628" s="466"/>
      <c r="BB3628" s="466"/>
      <c r="BC3628" s="466"/>
      <c r="BD3628" s="466"/>
      <c r="BE3628" s="467"/>
      <c r="BF3628" s="467"/>
      <c r="BG3628" s="466"/>
      <c r="BH3628" s="466"/>
      <c r="BI3628" s="467"/>
      <c r="BJ3628" s="467"/>
      <c r="BK3628" s="467"/>
      <c r="BL3628" s="467"/>
      <c r="BM3628" s="467"/>
      <c r="BN3628" s="467"/>
      <c r="BO3628" s="467"/>
      <c r="BP3628" s="467"/>
      <c r="BQ3628" s="467"/>
      <c r="BR3628" s="467"/>
      <c r="BS3628" s="467"/>
      <c r="BT3628" s="467"/>
      <c r="BU3628" s="467"/>
      <c r="BV3628" s="467"/>
      <c r="BW3628" s="467"/>
      <c r="BX3628" s="769"/>
      <c r="BY3628" s="769"/>
      <c r="BZ3628" s="769"/>
      <c r="CA3628" s="769"/>
      <c r="CB3628" s="769"/>
      <c r="CC3628" s="769"/>
      <c r="CD3628" s="769"/>
      <c r="CE3628" s="769"/>
      <c r="CF3628" s="769"/>
      <c r="CG3628" s="73"/>
      <c r="CH3628" s="438"/>
      <c r="CI3628" s="416"/>
      <c r="CJ3628" s="73"/>
      <c r="CK3628" s="650"/>
      <c r="CL3628" s="499"/>
      <c r="CM3628" s="650"/>
      <c r="CR3628" s="416"/>
      <c r="CS3628" s="650"/>
      <c r="CU3628" s="73"/>
      <c r="CV3628" s="73"/>
      <c r="CW3628" s="73"/>
      <c r="CX3628" s="73"/>
      <c r="DA3628" s="650"/>
    </row>
    <row r="3629" spans="1:105" s="45" customFormat="1" x14ac:dyDescent="0.2">
      <c r="A3629" s="650"/>
      <c r="B3629" s="438"/>
      <c r="D3629" s="73"/>
      <c r="E3629" s="650"/>
      <c r="F3629" s="650"/>
      <c r="G3629" s="73"/>
      <c r="I3629" s="111"/>
      <c r="J3629" s="81"/>
      <c r="K3629" s="81"/>
      <c r="L3629" s="499"/>
      <c r="M3629" s="73"/>
      <c r="N3629" s="499"/>
      <c r="O3629" s="73"/>
      <c r="P3629" s="73"/>
      <c r="Q3629" s="73"/>
      <c r="R3629" s="176"/>
      <c r="S3629" s="176"/>
      <c r="T3629" s="176"/>
      <c r="U3629" s="400"/>
      <c r="V3629" s="400"/>
      <c r="W3629" s="732"/>
      <c r="X3629" s="167"/>
      <c r="Y3629" s="509"/>
      <c r="Z3629" s="466"/>
      <c r="AA3629" s="466"/>
      <c r="AB3629" s="466"/>
      <c r="AC3629" s="466"/>
      <c r="AD3629" s="466"/>
      <c r="AE3629" s="466"/>
      <c r="AF3629" s="466"/>
      <c r="AG3629" s="466"/>
      <c r="AH3629" s="466"/>
      <c r="AI3629" s="466"/>
      <c r="AJ3629" s="466"/>
      <c r="AK3629" s="466"/>
      <c r="AL3629" s="466"/>
      <c r="AM3629" s="466"/>
      <c r="AN3629" s="466"/>
      <c r="AO3629" s="466"/>
      <c r="AP3629" s="466"/>
      <c r="AQ3629" s="466"/>
      <c r="AR3629" s="466"/>
      <c r="AS3629" s="466"/>
      <c r="AT3629" s="466"/>
      <c r="AU3629" s="466"/>
      <c r="AV3629" s="466"/>
      <c r="AW3629" s="466"/>
      <c r="AX3629" s="466"/>
      <c r="AY3629" s="466"/>
      <c r="AZ3629" s="466"/>
      <c r="BA3629" s="466"/>
      <c r="BB3629" s="466"/>
      <c r="BC3629" s="466"/>
      <c r="BD3629" s="466"/>
      <c r="BE3629" s="467"/>
      <c r="BF3629" s="467"/>
      <c r="BG3629" s="466"/>
      <c r="BH3629" s="466"/>
      <c r="BI3629" s="467"/>
      <c r="BJ3629" s="467"/>
      <c r="BK3629" s="467"/>
      <c r="BL3629" s="467"/>
      <c r="BM3629" s="467"/>
      <c r="BN3629" s="467"/>
      <c r="BO3629" s="467"/>
      <c r="BP3629" s="467"/>
      <c r="BQ3629" s="467"/>
      <c r="BR3629" s="467"/>
      <c r="BS3629" s="467"/>
      <c r="BT3629" s="467"/>
      <c r="BU3629" s="467"/>
      <c r="BV3629" s="467"/>
      <c r="BW3629" s="467"/>
      <c r="BX3629" s="769"/>
      <c r="BY3629" s="769"/>
      <c r="BZ3629" s="769"/>
      <c r="CA3629" s="769"/>
      <c r="CB3629" s="769"/>
      <c r="CC3629" s="769"/>
      <c r="CD3629" s="769"/>
      <c r="CE3629" s="769"/>
      <c r="CF3629" s="769"/>
      <c r="CG3629" s="73"/>
      <c r="CH3629" s="438"/>
      <c r="CI3629" s="416"/>
      <c r="CJ3629" s="73"/>
      <c r="CK3629" s="650"/>
      <c r="CL3629" s="499"/>
      <c r="CM3629" s="650"/>
      <c r="CR3629" s="416"/>
      <c r="CS3629" s="650"/>
      <c r="CU3629" s="73"/>
      <c r="CV3629" s="73"/>
      <c r="CW3629" s="73"/>
      <c r="CX3629" s="73"/>
      <c r="DA3629" s="650"/>
    </row>
    <row r="3630" spans="1:105" s="45" customFormat="1" x14ac:dyDescent="0.2">
      <c r="A3630" s="650"/>
      <c r="B3630" s="438"/>
      <c r="D3630" s="73"/>
      <c r="E3630" s="650"/>
      <c r="F3630" s="650"/>
      <c r="G3630" s="73"/>
      <c r="I3630" s="111"/>
      <c r="J3630" s="81"/>
      <c r="K3630" s="81"/>
      <c r="L3630" s="499"/>
      <c r="M3630" s="73"/>
      <c r="N3630" s="499"/>
      <c r="O3630" s="73"/>
      <c r="P3630" s="73"/>
      <c r="Q3630" s="73"/>
      <c r="R3630" s="176"/>
      <c r="S3630" s="176"/>
      <c r="T3630" s="176"/>
      <c r="U3630" s="400"/>
      <c r="V3630" s="400"/>
      <c r="W3630" s="732"/>
      <c r="X3630" s="167"/>
      <c r="Y3630" s="509"/>
      <c r="Z3630" s="466"/>
      <c r="AA3630" s="466"/>
      <c r="AB3630" s="466"/>
      <c r="AC3630" s="466"/>
      <c r="AD3630" s="466"/>
      <c r="AE3630" s="466"/>
      <c r="AF3630" s="466"/>
      <c r="AG3630" s="466"/>
      <c r="AH3630" s="466"/>
      <c r="AI3630" s="466"/>
      <c r="AJ3630" s="466"/>
      <c r="AK3630" s="466"/>
      <c r="AL3630" s="466"/>
      <c r="AM3630" s="466"/>
      <c r="AN3630" s="466"/>
      <c r="AO3630" s="466"/>
      <c r="AP3630" s="466"/>
      <c r="AQ3630" s="466"/>
      <c r="AR3630" s="466"/>
      <c r="AS3630" s="466"/>
      <c r="AT3630" s="466"/>
      <c r="AU3630" s="466"/>
      <c r="AV3630" s="466"/>
      <c r="AW3630" s="466"/>
      <c r="AX3630" s="466"/>
      <c r="AY3630" s="466"/>
      <c r="AZ3630" s="466"/>
      <c r="BA3630" s="466"/>
      <c r="BB3630" s="466"/>
      <c r="BC3630" s="466"/>
      <c r="BD3630" s="466"/>
      <c r="BE3630" s="467"/>
      <c r="BF3630" s="467"/>
      <c r="BG3630" s="466"/>
      <c r="BH3630" s="466"/>
      <c r="BI3630" s="467"/>
      <c r="BJ3630" s="467"/>
      <c r="BK3630" s="467"/>
      <c r="BL3630" s="467"/>
      <c r="BM3630" s="467"/>
      <c r="BN3630" s="467"/>
      <c r="BO3630" s="467"/>
      <c r="BP3630" s="467"/>
      <c r="BQ3630" s="467"/>
      <c r="BR3630" s="467"/>
      <c r="BS3630" s="467"/>
      <c r="BT3630" s="467"/>
      <c r="BU3630" s="467"/>
      <c r="BV3630" s="467"/>
      <c r="BW3630" s="467"/>
      <c r="BX3630" s="769"/>
      <c r="BY3630" s="769"/>
      <c r="BZ3630" s="769"/>
      <c r="CA3630" s="769"/>
      <c r="CB3630" s="769"/>
      <c r="CC3630" s="769"/>
      <c r="CD3630" s="769"/>
      <c r="CE3630" s="769"/>
      <c r="CF3630" s="769"/>
      <c r="CG3630" s="73"/>
      <c r="CH3630" s="438"/>
      <c r="CI3630" s="416"/>
      <c r="CJ3630" s="73"/>
      <c r="CK3630" s="650"/>
      <c r="CL3630" s="499"/>
      <c r="CM3630" s="650"/>
      <c r="CR3630" s="416"/>
      <c r="CS3630" s="650"/>
      <c r="CU3630" s="73"/>
      <c r="CV3630" s="73"/>
      <c r="CW3630" s="73"/>
      <c r="CX3630" s="73"/>
      <c r="DA3630" s="650"/>
    </row>
    <row r="3631" spans="1:105" s="45" customFormat="1" x14ac:dyDescent="0.2">
      <c r="A3631" s="650"/>
      <c r="B3631" s="438"/>
      <c r="D3631" s="73"/>
      <c r="E3631" s="650"/>
      <c r="F3631" s="650"/>
      <c r="G3631" s="73"/>
      <c r="I3631" s="111"/>
      <c r="J3631" s="81"/>
      <c r="K3631" s="81"/>
      <c r="L3631" s="499"/>
      <c r="M3631" s="73"/>
      <c r="N3631" s="499"/>
      <c r="O3631" s="73"/>
      <c r="P3631" s="73"/>
      <c r="Q3631" s="73"/>
      <c r="R3631" s="176"/>
      <c r="S3631" s="176"/>
      <c r="T3631" s="176"/>
      <c r="U3631" s="400"/>
      <c r="V3631" s="400"/>
      <c r="W3631" s="732"/>
      <c r="X3631" s="167"/>
      <c r="Y3631" s="509"/>
      <c r="Z3631" s="466"/>
      <c r="AA3631" s="466"/>
      <c r="AB3631" s="466"/>
      <c r="AC3631" s="466"/>
      <c r="AD3631" s="466"/>
      <c r="AE3631" s="466"/>
      <c r="AF3631" s="466"/>
      <c r="AG3631" s="466"/>
      <c r="AH3631" s="466"/>
      <c r="AI3631" s="466"/>
      <c r="AJ3631" s="466"/>
      <c r="AK3631" s="466"/>
      <c r="AL3631" s="466"/>
      <c r="AM3631" s="466"/>
      <c r="AN3631" s="466"/>
      <c r="AO3631" s="466"/>
      <c r="AP3631" s="466"/>
      <c r="AQ3631" s="466"/>
      <c r="AR3631" s="466"/>
      <c r="AS3631" s="466"/>
      <c r="AT3631" s="466"/>
      <c r="AU3631" s="466"/>
      <c r="AV3631" s="466"/>
      <c r="AW3631" s="466"/>
      <c r="AX3631" s="466"/>
      <c r="AY3631" s="466"/>
      <c r="AZ3631" s="466"/>
      <c r="BA3631" s="466"/>
      <c r="BB3631" s="466"/>
      <c r="BC3631" s="466"/>
      <c r="BD3631" s="466"/>
      <c r="BE3631" s="467"/>
      <c r="BF3631" s="467"/>
      <c r="BG3631" s="466"/>
      <c r="BH3631" s="466"/>
      <c r="BI3631" s="467"/>
      <c r="BJ3631" s="467"/>
      <c r="BK3631" s="467"/>
      <c r="BL3631" s="467"/>
      <c r="BM3631" s="467"/>
      <c r="BN3631" s="467"/>
      <c r="BO3631" s="467"/>
      <c r="BP3631" s="467"/>
      <c r="BQ3631" s="467"/>
      <c r="BR3631" s="467"/>
      <c r="BS3631" s="467"/>
      <c r="BT3631" s="467"/>
      <c r="BU3631" s="467"/>
      <c r="BV3631" s="467"/>
      <c r="BW3631" s="467"/>
      <c r="BX3631" s="769"/>
      <c r="BY3631" s="769"/>
      <c r="BZ3631" s="769"/>
      <c r="CA3631" s="769"/>
      <c r="CB3631" s="769"/>
      <c r="CC3631" s="769"/>
      <c r="CD3631" s="769"/>
      <c r="CE3631" s="769"/>
      <c r="CF3631" s="769"/>
      <c r="CG3631" s="73"/>
      <c r="CH3631" s="438"/>
      <c r="CI3631" s="416"/>
      <c r="CJ3631" s="73"/>
      <c r="CK3631" s="650"/>
      <c r="CL3631" s="499"/>
      <c r="CM3631" s="650"/>
      <c r="CR3631" s="416"/>
      <c r="CS3631" s="650"/>
      <c r="CU3631" s="73"/>
      <c r="CV3631" s="73"/>
      <c r="CW3631" s="73"/>
      <c r="CX3631" s="73"/>
      <c r="DA3631" s="650"/>
    </row>
    <row r="3632" spans="1:105" s="45" customFormat="1" x14ac:dyDescent="0.2">
      <c r="A3632" s="650"/>
      <c r="B3632" s="438"/>
      <c r="D3632" s="73"/>
      <c r="E3632" s="650"/>
      <c r="F3632" s="650"/>
      <c r="G3632" s="73"/>
      <c r="I3632" s="111"/>
      <c r="J3632" s="81"/>
      <c r="K3632" s="81"/>
      <c r="L3632" s="499"/>
      <c r="M3632" s="73"/>
      <c r="N3632" s="499"/>
      <c r="O3632" s="73"/>
      <c r="P3632" s="73"/>
      <c r="Q3632" s="73"/>
      <c r="R3632" s="176"/>
      <c r="S3632" s="176"/>
      <c r="T3632" s="176"/>
      <c r="U3632" s="400"/>
      <c r="V3632" s="400"/>
      <c r="W3632" s="732"/>
      <c r="X3632" s="167"/>
      <c r="Y3632" s="509"/>
      <c r="Z3632" s="466"/>
      <c r="AA3632" s="466"/>
      <c r="AB3632" s="466"/>
      <c r="AC3632" s="466"/>
      <c r="AD3632" s="466"/>
      <c r="AE3632" s="466"/>
      <c r="AF3632" s="466"/>
      <c r="AG3632" s="466"/>
      <c r="AH3632" s="466"/>
      <c r="AI3632" s="466"/>
      <c r="AJ3632" s="466"/>
      <c r="AK3632" s="466"/>
      <c r="AL3632" s="466"/>
      <c r="AM3632" s="466"/>
      <c r="AN3632" s="466"/>
      <c r="AO3632" s="466"/>
      <c r="AP3632" s="466"/>
      <c r="AQ3632" s="466"/>
      <c r="AR3632" s="466"/>
      <c r="AS3632" s="466"/>
      <c r="AT3632" s="466"/>
      <c r="AU3632" s="466"/>
      <c r="AV3632" s="466"/>
      <c r="AW3632" s="466"/>
      <c r="AX3632" s="466"/>
      <c r="AY3632" s="466"/>
      <c r="AZ3632" s="466"/>
      <c r="BA3632" s="466"/>
      <c r="BB3632" s="466"/>
      <c r="BC3632" s="466"/>
      <c r="BD3632" s="466"/>
      <c r="BE3632" s="467"/>
      <c r="BF3632" s="467"/>
      <c r="BG3632" s="466"/>
      <c r="BH3632" s="466"/>
      <c r="BI3632" s="467"/>
      <c r="BJ3632" s="467"/>
      <c r="BK3632" s="467"/>
      <c r="BL3632" s="467"/>
      <c r="BM3632" s="467"/>
      <c r="BN3632" s="467"/>
      <c r="BO3632" s="467"/>
      <c r="BP3632" s="467"/>
      <c r="BQ3632" s="467"/>
      <c r="BR3632" s="467"/>
      <c r="BS3632" s="467"/>
      <c r="BT3632" s="467"/>
      <c r="BU3632" s="467"/>
      <c r="BV3632" s="467"/>
      <c r="BW3632" s="467"/>
      <c r="BX3632" s="769"/>
      <c r="BY3632" s="769"/>
      <c r="BZ3632" s="769"/>
      <c r="CA3632" s="769"/>
      <c r="CB3632" s="769"/>
      <c r="CC3632" s="769"/>
      <c r="CD3632" s="769"/>
      <c r="CE3632" s="769"/>
      <c r="CF3632" s="769"/>
      <c r="CG3632" s="73"/>
      <c r="CH3632" s="438"/>
      <c r="CI3632" s="416"/>
      <c r="CJ3632" s="73"/>
      <c r="CK3632" s="650"/>
      <c r="CL3632" s="499"/>
      <c r="CM3632" s="650"/>
      <c r="CR3632" s="416"/>
      <c r="CS3632" s="650"/>
      <c r="CU3632" s="73"/>
      <c r="CV3632" s="73"/>
      <c r="CW3632" s="73"/>
      <c r="CX3632" s="73"/>
      <c r="DA3632" s="650"/>
    </row>
    <row r="3633" spans="1:105" s="45" customFormat="1" x14ac:dyDescent="0.2">
      <c r="A3633" s="650"/>
      <c r="B3633" s="438"/>
      <c r="D3633" s="73"/>
      <c r="E3633" s="650"/>
      <c r="F3633" s="650"/>
      <c r="G3633" s="73"/>
      <c r="I3633" s="111"/>
      <c r="J3633" s="81"/>
      <c r="K3633" s="81"/>
      <c r="L3633" s="499"/>
      <c r="M3633" s="73"/>
      <c r="N3633" s="499"/>
      <c r="O3633" s="73"/>
      <c r="P3633" s="73"/>
      <c r="Q3633" s="73"/>
      <c r="R3633" s="176"/>
      <c r="S3633" s="176"/>
      <c r="T3633" s="176"/>
      <c r="U3633" s="400"/>
      <c r="V3633" s="400"/>
      <c r="W3633" s="732"/>
      <c r="X3633" s="167"/>
      <c r="Y3633" s="509"/>
      <c r="Z3633" s="466"/>
      <c r="AA3633" s="466"/>
      <c r="AB3633" s="466"/>
      <c r="AC3633" s="466"/>
      <c r="AD3633" s="466"/>
      <c r="AE3633" s="466"/>
      <c r="AF3633" s="466"/>
      <c r="AG3633" s="466"/>
      <c r="AH3633" s="466"/>
      <c r="AI3633" s="466"/>
      <c r="AJ3633" s="466"/>
      <c r="AK3633" s="466"/>
      <c r="AL3633" s="466"/>
      <c r="AM3633" s="466"/>
      <c r="AN3633" s="466"/>
      <c r="AO3633" s="466"/>
      <c r="AP3633" s="466"/>
      <c r="AQ3633" s="466"/>
      <c r="AR3633" s="466"/>
      <c r="AS3633" s="466"/>
      <c r="AT3633" s="466"/>
      <c r="AU3633" s="466"/>
      <c r="AV3633" s="466"/>
      <c r="AW3633" s="466"/>
      <c r="AX3633" s="466"/>
      <c r="AY3633" s="466"/>
      <c r="AZ3633" s="466"/>
      <c r="BA3633" s="466"/>
      <c r="BB3633" s="466"/>
      <c r="BC3633" s="466"/>
      <c r="BD3633" s="466"/>
      <c r="BE3633" s="467"/>
      <c r="BF3633" s="467"/>
      <c r="BG3633" s="466"/>
      <c r="BH3633" s="466"/>
      <c r="BI3633" s="467"/>
      <c r="BJ3633" s="467"/>
      <c r="BK3633" s="467"/>
      <c r="BL3633" s="467"/>
      <c r="BM3633" s="467"/>
      <c r="BN3633" s="467"/>
      <c r="BO3633" s="467"/>
      <c r="BP3633" s="467"/>
      <c r="BQ3633" s="467"/>
      <c r="BR3633" s="467"/>
      <c r="BS3633" s="467"/>
      <c r="BT3633" s="467"/>
      <c r="BU3633" s="467"/>
      <c r="BV3633" s="467"/>
      <c r="BW3633" s="467"/>
      <c r="BX3633" s="769"/>
      <c r="BY3633" s="769"/>
      <c r="BZ3633" s="769"/>
      <c r="CA3633" s="769"/>
      <c r="CB3633" s="769"/>
      <c r="CC3633" s="769"/>
      <c r="CD3633" s="769"/>
      <c r="CE3633" s="769"/>
      <c r="CF3633" s="769"/>
      <c r="CG3633" s="73"/>
      <c r="CH3633" s="438"/>
      <c r="CI3633" s="416"/>
      <c r="CJ3633" s="73"/>
      <c r="CK3633" s="650"/>
      <c r="CL3633" s="499"/>
      <c r="CM3633" s="650"/>
      <c r="CR3633" s="416"/>
      <c r="CS3633" s="650"/>
      <c r="CU3633" s="73"/>
      <c r="CV3633" s="73"/>
      <c r="CW3633" s="73"/>
      <c r="CX3633" s="73"/>
      <c r="DA3633" s="650"/>
    </row>
    <row r="3634" spans="1:105" s="45" customFormat="1" x14ac:dyDescent="0.2">
      <c r="A3634" s="650"/>
      <c r="B3634" s="438"/>
      <c r="D3634" s="73"/>
      <c r="E3634" s="650"/>
      <c r="F3634" s="650"/>
      <c r="G3634" s="73"/>
      <c r="I3634" s="111"/>
      <c r="J3634" s="81"/>
      <c r="K3634" s="81"/>
      <c r="L3634" s="499"/>
      <c r="M3634" s="73"/>
      <c r="N3634" s="499"/>
      <c r="O3634" s="73"/>
      <c r="P3634" s="73"/>
      <c r="Q3634" s="73"/>
      <c r="R3634" s="176"/>
      <c r="S3634" s="176"/>
      <c r="T3634" s="176"/>
      <c r="U3634" s="400"/>
      <c r="V3634" s="400"/>
      <c r="W3634" s="732"/>
      <c r="X3634" s="167"/>
      <c r="Y3634" s="509"/>
      <c r="Z3634" s="466"/>
      <c r="AA3634" s="466"/>
      <c r="AB3634" s="466"/>
      <c r="AC3634" s="466"/>
      <c r="AD3634" s="466"/>
      <c r="AE3634" s="466"/>
      <c r="AF3634" s="466"/>
      <c r="AG3634" s="466"/>
      <c r="AH3634" s="466"/>
      <c r="AI3634" s="466"/>
      <c r="AJ3634" s="466"/>
      <c r="AK3634" s="466"/>
      <c r="AL3634" s="466"/>
      <c r="AM3634" s="466"/>
      <c r="AN3634" s="466"/>
      <c r="AO3634" s="466"/>
      <c r="AP3634" s="466"/>
      <c r="AQ3634" s="466"/>
      <c r="AR3634" s="466"/>
      <c r="AS3634" s="466"/>
      <c r="AT3634" s="466"/>
      <c r="AU3634" s="466"/>
      <c r="AV3634" s="466"/>
      <c r="AW3634" s="466"/>
      <c r="AX3634" s="466"/>
      <c r="AY3634" s="466"/>
      <c r="AZ3634" s="466"/>
      <c r="BA3634" s="466"/>
      <c r="BB3634" s="466"/>
      <c r="BC3634" s="466"/>
      <c r="BD3634" s="466"/>
      <c r="BE3634" s="467"/>
      <c r="BF3634" s="467"/>
      <c r="BG3634" s="466"/>
      <c r="BH3634" s="466"/>
      <c r="BI3634" s="467"/>
      <c r="BJ3634" s="467"/>
      <c r="BK3634" s="467"/>
      <c r="BL3634" s="467"/>
      <c r="BM3634" s="467"/>
      <c r="BN3634" s="467"/>
      <c r="BO3634" s="467"/>
      <c r="BP3634" s="467"/>
      <c r="BQ3634" s="467"/>
      <c r="BR3634" s="467"/>
      <c r="BS3634" s="467"/>
      <c r="BT3634" s="467"/>
      <c r="BU3634" s="467"/>
      <c r="BV3634" s="467"/>
      <c r="BW3634" s="467"/>
      <c r="BX3634" s="769"/>
      <c r="BY3634" s="769"/>
      <c r="BZ3634" s="769"/>
      <c r="CA3634" s="769"/>
      <c r="CB3634" s="769"/>
      <c r="CC3634" s="769"/>
      <c r="CD3634" s="769"/>
      <c r="CE3634" s="769"/>
      <c r="CF3634" s="769"/>
      <c r="CG3634" s="73"/>
      <c r="CH3634" s="438"/>
      <c r="CI3634" s="416"/>
      <c r="CJ3634" s="73"/>
      <c r="CK3634" s="650"/>
      <c r="CL3634" s="499"/>
      <c r="CM3634" s="650"/>
      <c r="CR3634" s="416"/>
      <c r="CS3634" s="650"/>
      <c r="CU3634" s="73"/>
      <c r="CV3634" s="73"/>
      <c r="CW3634" s="73"/>
      <c r="CX3634" s="73"/>
      <c r="DA3634" s="650"/>
    </row>
    <row r="3635" spans="1:105" s="45" customFormat="1" x14ac:dyDescent="0.2">
      <c r="A3635" s="650"/>
      <c r="B3635" s="438"/>
      <c r="D3635" s="73"/>
      <c r="E3635" s="650"/>
      <c r="F3635" s="650"/>
      <c r="G3635" s="73"/>
      <c r="I3635" s="111"/>
      <c r="J3635" s="81"/>
      <c r="K3635" s="81"/>
      <c r="L3635" s="499"/>
      <c r="M3635" s="73"/>
      <c r="N3635" s="499"/>
      <c r="O3635" s="73"/>
      <c r="P3635" s="73"/>
      <c r="Q3635" s="73"/>
      <c r="R3635" s="176"/>
      <c r="S3635" s="176"/>
      <c r="T3635" s="176"/>
      <c r="U3635" s="400"/>
      <c r="V3635" s="400"/>
      <c r="W3635" s="732"/>
      <c r="X3635" s="167"/>
      <c r="Y3635" s="509"/>
      <c r="Z3635" s="466"/>
      <c r="AA3635" s="466"/>
      <c r="AB3635" s="466"/>
      <c r="AC3635" s="466"/>
      <c r="AD3635" s="466"/>
      <c r="AE3635" s="466"/>
      <c r="AF3635" s="466"/>
      <c r="AG3635" s="466"/>
      <c r="AH3635" s="466"/>
      <c r="AI3635" s="466"/>
      <c r="AJ3635" s="466"/>
      <c r="AK3635" s="466"/>
      <c r="AL3635" s="466"/>
      <c r="AM3635" s="466"/>
      <c r="AN3635" s="466"/>
      <c r="AO3635" s="466"/>
      <c r="AP3635" s="466"/>
      <c r="AQ3635" s="466"/>
      <c r="AR3635" s="466"/>
      <c r="AS3635" s="466"/>
      <c r="AT3635" s="466"/>
      <c r="AU3635" s="466"/>
      <c r="AV3635" s="466"/>
      <c r="AW3635" s="466"/>
      <c r="AX3635" s="466"/>
      <c r="AY3635" s="466"/>
      <c r="AZ3635" s="466"/>
      <c r="BA3635" s="466"/>
      <c r="BB3635" s="466"/>
      <c r="BC3635" s="466"/>
      <c r="BD3635" s="466"/>
      <c r="BE3635" s="467"/>
      <c r="BF3635" s="467"/>
      <c r="BG3635" s="466"/>
      <c r="BH3635" s="466"/>
      <c r="BI3635" s="467"/>
      <c r="BJ3635" s="467"/>
      <c r="BK3635" s="467"/>
      <c r="BL3635" s="467"/>
      <c r="BM3635" s="467"/>
      <c r="BN3635" s="467"/>
      <c r="BO3635" s="467"/>
      <c r="BP3635" s="467"/>
      <c r="BQ3635" s="467"/>
      <c r="BR3635" s="467"/>
      <c r="BS3635" s="467"/>
      <c r="BT3635" s="467"/>
      <c r="BU3635" s="467"/>
      <c r="BV3635" s="467"/>
      <c r="BW3635" s="467"/>
      <c r="BX3635" s="769"/>
      <c r="BY3635" s="769"/>
      <c r="BZ3635" s="769"/>
      <c r="CA3635" s="769"/>
      <c r="CB3635" s="769"/>
      <c r="CC3635" s="769"/>
      <c r="CD3635" s="769"/>
      <c r="CE3635" s="769"/>
      <c r="CF3635" s="769"/>
      <c r="CG3635" s="73"/>
      <c r="CH3635" s="438"/>
      <c r="CI3635" s="416"/>
      <c r="CJ3635" s="73"/>
      <c r="CK3635" s="650"/>
      <c r="CL3635" s="499"/>
      <c r="CM3635" s="650"/>
      <c r="CR3635" s="416"/>
      <c r="CS3635" s="650"/>
      <c r="CU3635" s="73"/>
      <c r="CV3635" s="73"/>
      <c r="CW3635" s="73"/>
      <c r="CX3635" s="73"/>
      <c r="DA3635" s="650"/>
    </row>
    <row r="3636" spans="1:105" s="45" customFormat="1" x14ac:dyDescent="0.2">
      <c r="A3636" s="650"/>
      <c r="B3636" s="438"/>
      <c r="D3636" s="73"/>
      <c r="E3636" s="650"/>
      <c r="F3636" s="650"/>
      <c r="G3636" s="73"/>
      <c r="I3636" s="111"/>
      <c r="J3636" s="81"/>
      <c r="K3636" s="81"/>
      <c r="L3636" s="499"/>
      <c r="M3636" s="73"/>
      <c r="N3636" s="499"/>
      <c r="O3636" s="73"/>
      <c r="P3636" s="73"/>
      <c r="Q3636" s="73"/>
      <c r="R3636" s="176"/>
      <c r="S3636" s="176"/>
      <c r="T3636" s="176"/>
      <c r="U3636" s="400"/>
      <c r="V3636" s="400"/>
      <c r="W3636" s="732"/>
      <c r="X3636" s="167"/>
      <c r="Y3636" s="509"/>
      <c r="Z3636" s="466"/>
      <c r="AA3636" s="466"/>
      <c r="AB3636" s="466"/>
      <c r="AC3636" s="466"/>
      <c r="AD3636" s="466"/>
      <c r="AE3636" s="466"/>
      <c r="AF3636" s="466"/>
      <c r="AG3636" s="466"/>
      <c r="AH3636" s="466"/>
      <c r="AI3636" s="466"/>
      <c r="AJ3636" s="466"/>
      <c r="AK3636" s="466"/>
      <c r="AL3636" s="466"/>
      <c r="AM3636" s="466"/>
      <c r="AN3636" s="466"/>
      <c r="AO3636" s="466"/>
      <c r="AP3636" s="466"/>
      <c r="AQ3636" s="466"/>
      <c r="AR3636" s="466"/>
      <c r="AS3636" s="466"/>
      <c r="AT3636" s="466"/>
      <c r="AU3636" s="466"/>
      <c r="AV3636" s="466"/>
      <c r="AW3636" s="466"/>
      <c r="AX3636" s="466"/>
      <c r="AY3636" s="466"/>
      <c r="AZ3636" s="466"/>
      <c r="BA3636" s="466"/>
      <c r="BB3636" s="466"/>
      <c r="BC3636" s="466"/>
      <c r="BD3636" s="466"/>
      <c r="BE3636" s="467"/>
      <c r="BF3636" s="467"/>
      <c r="BG3636" s="466"/>
      <c r="BH3636" s="466"/>
      <c r="BI3636" s="467"/>
      <c r="BJ3636" s="467"/>
      <c r="BK3636" s="467"/>
      <c r="BL3636" s="467"/>
      <c r="BM3636" s="467"/>
      <c r="BN3636" s="467"/>
      <c r="BO3636" s="467"/>
      <c r="BP3636" s="467"/>
      <c r="BQ3636" s="467"/>
      <c r="BR3636" s="467"/>
      <c r="BS3636" s="467"/>
      <c r="BT3636" s="467"/>
      <c r="BU3636" s="467"/>
      <c r="BV3636" s="467"/>
      <c r="BW3636" s="467"/>
      <c r="BX3636" s="769"/>
      <c r="BY3636" s="769"/>
      <c r="BZ3636" s="769"/>
      <c r="CA3636" s="769"/>
      <c r="CB3636" s="769"/>
      <c r="CC3636" s="769"/>
      <c r="CD3636" s="769"/>
      <c r="CE3636" s="769"/>
      <c r="CF3636" s="769"/>
      <c r="CG3636" s="73"/>
      <c r="CH3636" s="438"/>
      <c r="CI3636" s="416"/>
      <c r="CJ3636" s="73"/>
      <c r="CK3636" s="650"/>
      <c r="CL3636" s="499"/>
      <c r="CM3636" s="650"/>
      <c r="CR3636" s="416"/>
      <c r="CS3636" s="650"/>
      <c r="CU3636" s="73"/>
      <c r="CV3636" s="73"/>
      <c r="CW3636" s="73"/>
      <c r="CX3636" s="73"/>
      <c r="DA3636" s="650"/>
    </row>
    <row r="3637" spans="1:105" s="45" customFormat="1" x14ac:dyDescent="0.2">
      <c r="A3637" s="650"/>
      <c r="B3637" s="438"/>
      <c r="D3637" s="73"/>
      <c r="E3637" s="650"/>
      <c r="F3637" s="650"/>
      <c r="G3637" s="73"/>
      <c r="I3637" s="111"/>
      <c r="J3637" s="81"/>
      <c r="K3637" s="81"/>
      <c r="L3637" s="499"/>
      <c r="M3637" s="73"/>
      <c r="N3637" s="499"/>
      <c r="O3637" s="73"/>
      <c r="P3637" s="73"/>
      <c r="Q3637" s="73"/>
      <c r="R3637" s="176"/>
      <c r="S3637" s="176"/>
      <c r="T3637" s="176"/>
      <c r="U3637" s="400"/>
      <c r="V3637" s="400"/>
      <c r="W3637" s="732"/>
      <c r="X3637" s="167"/>
      <c r="Y3637" s="509"/>
      <c r="Z3637" s="466"/>
      <c r="AA3637" s="466"/>
      <c r="AB3637" s="466"/>
      <c r="AC3637" s="466"/>
      <c r="AD3637" s="466"/>
      <c r="AE3637" s="466"/>
      <c r="AF3637" s="466"/>
      <c r="AG3637" s="466"/>
      <c r="AH3637" s="466"/>
      <c r="AI3637" s="466"/>
      <c r="AJ3637" s="466"/>
      <c r="AK3637" s="466"/>
      <c r="AL3637" s="466"/>
      <c r="AM3637" s="466"/>
      <c r="AN3637" s="466"/>
      <c r="AO3637" s="466"/>
      <c r="AP3637" s="466"/>
      <c r="AQ3637" s="466"/>
      <c r="AR3637" s="466"/>
      <c r="AS3637" s="466"/>
      <c r="AT3637" s="466"/>
      <c r="AU3637" s="466"/>
      <c r="AV3637" s="466"/>
      <c r="AW3637" s="466"/>
      <c r="AX3637" s="466"/>
      <c r="AY3637" s="466"/>
      <c r="AZ3637" s="466"/>
      <c r="BA3637" s="466"/>
      <c r="BB3637" s="466"/>
      <c r="BC3637" s="466"/>
      <c r="BD3637" s="466"/>
      <c r="BE3637" s="467"/>
      <c r="BF3637" s="467"/>
      <c r="BG3637" s="466"/>
      <c r="BH3637" s="466"/>
      <c r="BI3637" s="467"/>
      <c r="BJ3637" s="467"/>
      <c r="BK3637" s="467"/>
      <c r="BL3637" s="467"/>
      <c r="BM3637" s="467"/>
      <c r="BN3637" s="467"/>
      <c r="BO3637" s="467"/>
      <c r="BP3637" s="467"/>
      <c r="BQ3637" s="467"/>
      <c r="BR3637" s="467"/>
      <c r="BS3637" s="467"/>
      <c r="BT3637" s="467"/>
      <c r="BU3637" s="467"/>
      <c r="BV3637" s="467"/>
      <c r="BW3637" s="467"/>
      <c r="BX3637" s="769"/>
      <c r="BY3637" s="769"/>
      <c r="BZ3637" s="769"/>
      <c r="CA3637" s="769"/>
      <c r="CB3637" s="769"/>
      <c r="CC3637" s="769"/>
      <c r="CD3637" s="769"/>
      <c r="CE3637" s="769"/>
      <c r="CF3637" s="769"/>
      <c r="CG3637" s="73"/>
      <c r="CH3637" s="438"/>
      <c r="CI3637" s="416"/>
      <c r="CJ3637" s="73"/>
      <c r="CK3637" s="650"/>
      <c r="CL3637" s="499"/>
      <c r="CM3637" s="650"/>
      <c r="CR3637" s="416"/>
      <c r="CS3637" s="650"/>
      <c r="CU3637" s="73"/>
      <c r="CV3637" s="73"/>
      <c r="CW3637" s="73"/>
      <c r="CX3637" s="73"/>
      <c r="DA3637" s="650"/>
    </row>
    <row r="3638" spans="1:105" s="45" customFormat="1" x14ac:dyDescent="0.2">
      <c r="A3638" s="650"/>
      <c r="B3638" s="438"/>
      <c r="D3638" s="73"/>
      <c r="E3638" s="650"/>
      <c r="F3638" s="650"/>
      <c r="G3638" s="73"/>
      <c r="I3638" s="111"/>
      <c r="J3638" s="81"/>
      <c r="K3638" s="81"/>
      <c r="L3638" s="499"/>
      <c r="M3638" s="73"/>
      <c r="N3638" s="499"/>
      <c r="O3638" s="73"/>
      <c r="P3638" s="73"/>
      <c r="Q3638" s="73"/>
      <c r="R3638" s="176"/>
      <c r="S3638" s="176"/>
      <c r="T3638" s="176"/>
      <c r="U3638" s="400"/>
      <c r="V3638" s="400"/>
      <c r="W3638" s="732"/>
      <c r="X3638" s="167"/>
      <c r="Y3638" s="509"/>
      <c r="Z3638" s="466"/>
      <c r="AA3638" s="466"/>
      <c r="AB3638" s="466"/>
      <c r="AC3638" s="466"/>
      <c r="AD3638" s="466"/>
      <c r="AE3638" s="466"/>
      <c r="AF3638" s="466"/>
      <c r="AG3638" s="466"/>
      <c r="AH3638" s="466"/>
      <c r="AI3638" s="466"/>
      <c r="AJ3638" s="466"/>
      <c r="AK3638" s="466"/>
      <c r="AL3638" s="466"/>
      <c r="AM3638" s="466"/>
      <c r="AN3638" s="466"/>
      <c r="AO3638" s="466"/>
      <c r="AP3638" s="466"/>
      <c r="AQ3638" s="466"/>
      <c r="AR3638" s="466"/>
      <c r="AS3638" s="466"/>
      <c r="AT3638" s="466"/>
      <c r="AU3638" s="466"/>
      <c r="AV3638" s="466"/>
      <c r="AW3638" s="466"/>
      <c r="AX3638" s="466"/>
      <c r="AY3638" s="466"/>
      <c r="AZ3638" s="466"/>
      <c r="BA3638" s="466"/>
      <c r="BB3638" s="466"/>
      <c r="BC3638" s="466"/>
      <c r="BD3638" s="466"/>
      <c r="BE3638" s="467"/>
      <c r="BF3638" s="467"/>
      <c r="BG3638" s="466"/>
      <c r="BH3638" s="466"/>
      <c r="BI3638" s="467"/>
      <c r="BJ3638" s="467"/>
      <c r="BK3638" s="467"/>
      <c r="BL3638" s="467"/>
      <c r="BM3638" s="467"/>
      <c r="BN3638" s="467"/>
      <c r="BO3638" s="467"/>
      <c r="BP3638" s="467"/>
      <c r="BQ3638" s="467"/>
      <c r="BR3638" s="467"/>
      <c r="BS3638" s="467"/>
      <c r="BT3638" s="467"/>
      <c r="BU3638" s="467"/>
      <c r="BV3638" s="467"/>
      <c r="BW3638" s="467"/>
      <c r="BX3638" s="769"/>
      <c r="BY3638" s="769"/>
      <c r="BZ3638" s="769"/>
      <c r="CA3638" s="769"/>
      <c r="CB3638" s="769"/>
      <c r="CC3638" s="769"/>
      <c r="CD3638" s="769"/>
      <c r="CE3638" s="769"/>
      <c r="CF3638" s="769"/>
      <c r="CG3638" s="73"/>
      <c r="CH3638" s="438"/>
      <c r="CI3638" s="416"/>
      <c r="CJ3638" s="73"/>
      <c r="CK3638" s="650"/>
      <c r="CL3638" s="499"/>
      <c r="CM3638" s="650"/>
      <c r="CR3638" s="416"/>
      <c r="CS3638" s="650"/>
      <c r="CU3638" s="73"/>
      <c r="CV3638" s="73"/>
      <c r="CW3638" s="73"/>
      <c r="CX3638" s="73"/>
      <c r="DA3638" s="650"/>
    </row>
    <row r="3639" spans="1:105" s="45" customFormat="1" x14ac:dyDescent="0.2">
      <c r="A3639" s="650"/>
      <c r="B3639" s="438"/>
      <c r="D3639" s="73"/>
      <c r="E3639" s="650"/>
      <c r="F3639" s="650"/>
      <c r="G3639" s="73"/>
      <c r="I3639" s="111"/>
      <c r="J3639" s="81"/>
      <c r="K3639" s="81"/>
      <c r="L3639" s="499"/>
      <c r="M3639" s="73"/>
      <c r="N3639" s="499"/>
      <c r="O3639" s="73"/>
      <c r="P3639" s="73"/>
      <c r="Q3639" s="73"/>
      <c r="R3639" s="176"/>
      <c r="S3639" s="176"/>
      <c r="T3639" s="176"/>
      <c r="U3639" s="400"/>
      <c r="V3639" s="400"/>
      <c r="W3639" s="732"/>
      <c r="X3639" s="167"/>
      <c r="Y3639" s="509"/>
      <c r="Z3639" s="466"/>
      <c r="AA3639" s="466"/>
      <c r="AB3639" s="466"/>
      <c r="AC3639" s="466"/>
      <c r="AD3639" s="466"/>
      <c r="AE3639" s="466"/>
      <c r="AF3639" s="466"/>
      <c r="AG3639" s="466"/>
      <c r="AH3639" s="466"/>
      <c r="AI3639" s="466"/>
      <c r="AJ3639" s="466"/>
      <c r="AK3639" s="466"/>
      <c r="AL3639" s="466"/>
      <c r="AM3639" s="466"/>
      <c r="AN3639" s="466"/>
      <c r="AO3639" s="466"/>
      <c r="AP3639" s="466"/>
      <c r="AQ3639" s="466"/>
      <c r="AR3639" s="466"/>
      <c r="AS3639" s="466"/>
      <c r="AT3639" s="466"/>
      <c r="AU3639" s="466"/>
      <c r="AV3639" s="466"/>
      <c r="AW3639" s="466"/>
      <c r="AX3639" s="466"/>
      <c r="AY3639" s="466"/>
      <c r="AZ3639" s="466"/>
      <c r="BA3639" s="466"/>
      <c r="BB3639" s="466"/>
      <c r="BC3639" s="466"/>
      <c r="BD3639" s="466"/>
      <c r="BE3639" s="467"/>
      <c r="BF3639" s="467"/>
      <c r="BG3639" s="466"/>
      <c r="BH3639" s="466"/>
      <c r="BI3639" s="467"/>
      <c r="BJ3639" s="467"/>
      <c r="BK3639" s="467"/>
      <c r="BL3639" s="467"/>
      <c r="BM3639" s="467"/>
      <c r="BN3639" s="467"/>
      <c r="BO3639" s="467"/>
      <c r="BP3639" s="467"/>
      <c r="BQ3639" s="467"/>
      <c r="BR3639" s="467"/>
      <c r="BS3639" s="467"/>
      <c r="BT3639" s="467"/>
      <c r="BU3639" s="467"/>
      <c r="BV3639" s="467"/>
      <c r="BW3639" s="467"/>
      <c r="BX3639" s="769"/>
      <c r="BY3639" s="769"/>
      <c r="BZ3639" s="769"/>
      <c r="CA3639" s="769"/>
      <c r="CB3639" s="769"/>
      <c r="CC3639" s="769"/>
      <c r="CD3639" s="769"/>
      <c r="CE3639" s="769"/>
      <c r="CF3639" s="769"/>
      <c r="CG3639" s="73"/>
      <c r="CH3639" s="438"/>
      <c r="CI3639" s="416"/>
      <c r="CJ3639" s="73"/>
      <c r="CK3639" s="650"/>
      <c r="CL3639" s="499"/>
      <c r="CM3639" s="650"/>
      <c r="CR3639" s="416"/>
      <c r="CS3639" s="650"/>
      <c r="CU3639" s="73"/>
      <c r="CV3639" s="73"/>
      <c r="CW3639" s="73"/>
      <c r="CX3639" s="73"/>
      <c r="DA3639" s="650"/>
    </row>
    <row r="3640" spans="1:105" s="45" customFormat="1" x14ac:dyDescent="0.2">
      <c r="A3640" s="650"/>
      <c r="B3640" s="438"/>
      <c r="D3640" s="73"/>
      <c r="E3640" s="650"/>
      <c r="F3640" s="650"/>
      <c r="G3640" s="73"/>
      <c r="I3640" s="111"/>
      <c r="J3640" s="81"/>
      <c r="K3640" s="81"/>
      <c r="L3640" s="499"/>
      <c r="M3640" s="73"/>
      <c r="N3640" s="499"/>
      <c r="O3640" s="73"/>
      <c r="P3640" s="73"/>
      <c r="Q3640" s="73"/>
      <c r="R3640" s="176"/>
      <c r="S3640" s="176"/>
      <c r="T3640" s="176"/>
      <c r="U3640" s="400"/>
      <c r="V3640" s="400"/>
      <c r="W3640" s="732"/>
      <c r="X3640" s="167"/>
      <c r="Y3640" s="509"/>
      <c r="Z3640" s="466"/>
      <c r="AA3640" s="466"/>
      <c r="AB3640" s="466"/>
      <c r="AC3640" s="466"/>
      <c r="AD3640" s="466"/>
      <c r="AE3640" s="466"/>
      <c r="AF3640" s="466"/>
      <c r="AG3640" s="466"/>
      <c r="AH3640" s="466"/>
      <c r="AI3640" s="466"/>
      <c r="AJ3640" s="466"/>
      <c r="AK3640" s="466"/>
      <c r="AL3640" s="466"/>
      <c r="AM3640" s="466"/>
      <c r="AN3640" s="466"/>
      <c r="AO3640" s="466"/>
      <c r="AP3640" s="466"/>
      <c r="AQ3640" s="466"/>
      <c r="AR3640" s="466"/>
      <c r="AS3640" s="466"/>
      <c r="AT3640" s="466"/>
      <c r="AU3640" s="466"/>
      <c r="AV3640" s="466"/>
      <c r="AW3640" s="466"/>
      <c r="AX3640" s="466"/>
      <c r="AY3640" s="466"/>
      <c r="AZ3640" s="466"/>
      <c r="BA3640" s="466"/>
      <c r="BB3640" s="466"/>
      <c r="BC3640" s="466"/>
      <c r="BD3640" s="466"/>
      <c r="BE3640" s="467"/>
      <c r="BF3640" s="467"/>
      <c r="BG3640" s="466"/>
      <c r="BH3640" s="466"/>
      <c r="BI3640" s="467"/>
      <c r="BJ3640" s="467"/>
      <c r="BK3640" s="467"/>
      <c r="BL3640" s="467"/>
      <c r="BM3640" s="467"/>
      <c r="BN3640" s="467"/>
      <c r="BO3640" s="467"/>
      <c r="BP3640" s="467"/>
      <c r="BQ3640" s="467"/>
      <c r="BR3640" s="467"/>
      <c r="BS3640" s="467"/>
      <c r="BT3640" s="467"/>
      <c r="BU3640" s="467"/>
      <c r="BV3640" s="467"/>
      <c r="BW3640" s="467"/>
      <c r="BX3640" s="769"/>
      <c r="BY3640" s="769"/>
      <c r="BZ3640" s="769"/>
      <c r="CA3640" s="769"/>
      <c r="CB3640" s="769"/>
      <c r="CC3640" s="769"/>
      <c r="CD3640" s="769"/>
      <c r="CE3640" s="769"/>
      <c r="CF3640" s="769"/>
      <c r="CG3640" s="73"/>
      <c r="CH3640" s="438"/>
      <c r="CI3640" s="416"/>
      <c r="CJ3640" s="73"/>
      <c r="CK3640" s="650"/>
      <c r="CL3640" s="499"/>
      <c r="CM3640" s="650"/>
      <c r="CR3640" s="416"/>
      <c r="CS3640" s="650"/>
      <c r="CU3640" s="73"/>
      <c r="CV3640" s="73"/>
      <c r="CW3640" s="73"/>
      <c r="CX3640" s="73"/>
      <c r="DA3640" s="650"/>
    </row>
    <row r="3641" spans="1:105" s="45" customFormat="1" x14ac:dyDescent="0.2">
      <c r="A3641" s="650"/>
      <c r="B3641" s="438"/>
      <c r="D3641" s="73"/>
      <c r="E3641" s="650"/>
      <c r="F3641" s="650"/>
      <c r="G3641" s="73"/>
      <c r="I3641" s="111"/>
      <c r="J3641" s="81"/>
      <c r="K3641" s="81"/>
      <c r="L3641" s="499"/>
      <c r="M3641" s="73"/>
      <c r="N3641" s="499"/>
      <c r="O3641" s="73"/>
      <c r="P3641" s="73"/>
      <c r="Q3641" s="73"/>
      <c r="R3641" s="176"/>
      <c r="S3641" s="176"/>
      <c r="T3641" s="176"/>
      <c r="U3641" s="400"/>
      <c r="V3641" s="400"/>
      <c r="W3641" s="732"/>
      <c r="X3641" s="167"/>
      <c r="Y3641" s="509"/>
      <c r="Z3641" s="466"/>
      <c r="AA3641" s="466"/>
      <c r="AB3641" s="466"/>
      <c r="AC3641" s="466"/>
      <c r="AD3641" s="466"/>
      <c r="AE3641" s="466"/>
      <c r="AF3641" s="466"/>
      <c r="AG3641" s="466"/>
      <c r="AH3641" s="466"/>
      <c r="AI3641" s="466"/>
      <c r="AJ3641" s="466"/>
      <c r="AK3641" s="466"/>
      <c r="AL3641" s="466"/>
      <c r="AM3641" s="466"/>
      <c r="AN3641" s="466"/>
      <c r="AO3641" s="466"/>
      <c r="AP3641" s="466"/>
      <c r="AQ3641" s="466"/>
      <c r="AR3641" s="466"/>
      <c r="AS3641" s="466"/>
      <c r="AT3641" s="466"/>
      <c r="AU3641" s="466"/>
      <c r="AV3641" s="466"/>
      <c r="AW3641" s="466"/>
      <c r="AX3641" s="466"/>
      <c r="AY3641" s="466"/>
      <c r="AZ3641" s="466"/>
      <c r="BA3641" s="466"/>
      <c r="BB3641" s="466"/>
      <c r="BC3641" s="466"/>
      <c r="BD3641" s="466"/>
      <c r="BE3641" s="467"/>
      <c r="BF3641" s="467"/>
      <c r="BG3641" s="466"/>
      <c r="BH3641" s="466"/>
      <c r="BI3641" s="467"/>
      <c r="BJ3641" s="467"/>
      <c r="BK3641" s="467"/>
      <c r="BL3641" s="467"/>
      <c r="BM3641" s="467"/>
      <c r="BN3641" s="467"/>
      <c r="BO3641" s="467"/>
      <c r="BP3641" s="467"/>
      <c r="BQ3641" s="467"/>
      <c r="BR3641" s="467"/>
      <c r="BS3641" s="467"/>
      <c r="BT3641" s="467"/>
      <c r="BU3641" s="467"/>
      <c r="BV3641" s="467"/>
      <c r="BW3641" s="467"/>
      <c r="BX3641" s="769"/>
      <c r="BY3641" s="769"/>
      <c r="BZ3641" s="769"/>
      <c r="CA3641" s="769"/>
      <c r="CB3641" s="769"/>
      <c r="CC3641" s="769"/>
      <c r="CD3641" s="769"/>
      <c r="CE3641" s="769"/>
      <c r="CF3641" s="769"/>
      <c r="CG3641" s="73"/>
      <c r="CH3641" s="438"/>
      <c r="CI3641" s="416"/>
      <c r="CJ3641" s="73"/>
      <c r="CK3641" s="650"/>
      <c r="CL3641" s="499"/>
      <c r="CM3641" s="650"/>
      <c r="CR3641" s="416"/>
      <c r="CS3641" s="650"/>
      <c r="CU3641" s="73"/>
      <c r="CV3641" s="73"/>
      <c r="CW3641" s="73"/>
      <c r="CX3641" s="73"/>
      <c r="DA3641" s="650"/>
    </row>
    <row r="3642" spans="1:105" s="45" customFormat="1" x14ac:dyDescent="0.2">
      <c r="A3642" s="650"/>
      <c r="B3642" s="438"/>
      <c r="D3642" s="73"/>
      <c r="E3642" s="650"/>
      <c r="F3642" s="650"/>
      <c r="G3642" s="73"/>
      <c r="I3642" s="111"/>
      <c r="J3642" s="81"/>
      <c r="K3642" s="81"/>
      <c r="L3642" s="499"/>
      <c r="M3642" s="73"/>
      <c r="N3642" s="499"/>
      <c r="O3642" s="73"/>
      <c r="P3642" s="73"/>
      <c r="Q3642" s="73"/>
      <c r="R3642" s="176"/>
      <c r="S3642" s="176"/>
      <c r="T3642" s="176"/>
      <c r="U3642" s="400"/>
      <c r="V3642" s="400"/>
      <c r="W3642" s="732"/>
      <c r="X3642" s="167"/>
      <c r="Y3642" s="509"/>
      <c r="Z3642" s="466"/>
      <c r="AA3642" s="466"/>
      <c r="AB3642" s="466"/>
      <c r="AC3642" s="466"/>
      <c r="AD3642" s="466"/>
      <c r="AE3642" s="466"/>
      <c r="AF3642" s="466"/>
      <c r="AG3642" s="466"/>
      <c r="AH3642" s="466"/>
      <c r="AI3642" s="466"/>
      <c r="AJ3642" s="466"/>
      <c r="AK3642" s="466"/>
      <c r="AL3642" s="466"/>
      <c r="AM3642" s="466"/>
      <c r="AN3642" s="466"/>
      <c r="AO3642" s="466"/>
      <c r="AP3642" s="466"/>
      <c r="AQ3642" s="466"/>
      <c r="AR3642" s="466"/>
      <c r="AS3642" s="466"/>
      <c r="AT3642" s="466"/>
      <c r="AU3642" s="466"/>
      <c r="AV3642" s="466"/>
      <c r="AW3642" s="466"/>
      <c r="AX3642" s="466"/>
      <c r="AY3642" s="466"/>
      <c r="AZ3642" s="466"/>
      <c r="BA3642" s="466"/>
      <c r="BB3642" s="466"/>
      <c r="BC3642" s="466"/>
      <c r="BD3642" s="466"/>
      <c r="BE3642" s="467"/>
      <c r="BF3642" s="467"/>
      <c r="BG3642" s="466"/>
      <c r="BH3642" s="466"/>
      <c r="BI3642" s="467"/>
      <c r="BJ3642" s="467"/>
      <c r="BK3642" s="467"/>
      <c r="BL3642" s="467"/>
      <c r="BM3642" s="467"/>
      <c r="BN3642" s="467"/>
      <c r="BO3642" s="467"/>
      <c r="BP3642" s="467"/>
      <c r="BQ3642" s="467"/>
      <c r="BR3642" s="467"/>
      <c r="BS3642" s="467"/>
      <c r="BT3642" s="467"/>
      <c r="BU3642" s="467"/>
      <c r="BV3642" s="467"/>
      <c r="BW3642" s="467"/>
      <c r="BX3642" s="769"/>
      <c r="BY3642" s="769"/>
      <c r="BZ3642" s="769"/>
      <c r="CA3642" s="769"/>
      <c r="CB3642" s="769"/>
      <c r="CC3642" s="769"/>
      <c r="CD3642" s="769"/>
      <c r="CE3642" s="769"/>
      <c r="CF3642" s="769"/>
      <c r="CG3642" s="73"/>
      <c r="CH3642" s="438"/>
      <c r="CI3642" s="416"/>
      <c r="CJ3642" s="73"/>
      <c r="CK3642" s="650"/>
      <c r="CL3642" s="499"/>
      <c r="CM3642" s="650"/>
      <c r="CR3642" s="416"/>
      <c r="CS3642" s="650"/>
      <c r="CU3642" s="73"/>
      <c r="CV3642" s="73"/>
      <c r="CW3642" s="73"/>
      <c r="CX3642" s="73"/>
      <c r="DA3642" s="650"/>
    </row>
    <row r="3643" spans="1:105" s="45" customFormat="1" x14ac:dyDescent="0.2">
      <c r="A3643" s="650"/>
      <c r="B3643" s="438"/>
      <c r="D3643" s="73"/>
      <c r="E3643" s="650"/>
      <c r="F3643" s="650"/>
      <c r="G3643" s="73"/>
      <c r="I3643" s="111"/>
      <c r="J3643" s="81"/>
      <c r="K3643" s="81"/>
      <c r="L3643" s="499"/>
      <c r="M3643" s="73"/>
      <c r="N3643" s="499"/>
      <c r="O3643" s="73"/>
      <c r="P3643" s="73"/>
      <c r="Q3643" s="73"/>
      <c r="R3643" s="176"/>
      <c r="S3643" s="176"/>
      <c r="T3643" s="176"/>
      <c r="U3643" s="400"/>
      <c r="V3643" s="400"/>
      <c r="W3643" s="732"/>
      <c r="X3643" s="167"/>
      <c r="Y3643" s="509"/>
      <c r="Z3643" s="466"/>
      <c r="AA3643" s="466"/>
      <c r="AB3643" s="466"/>
      <c r="AC3643" s="466"/>
      <c r="AD3643" s="466"/>
      <c r="AE3643" s="466"/>
      <c r="AF3643" s="466"/>
      <c r="AG3643" s="466"/>
      <c r="AH3643" s="466"/>
      <c r="AI3643" s="466"/>
      <c r="AJ3643" s="466"/>
      <c r="AK3643" s="466"/>
      <c r="AL3643" s="466"/>
      <c r="AM3643" s="466"/>
      <c r="AN3643" s="466"/>
      <c r="AO3643" s="466"/>
      <c r="AP3643" s="466"/>
      <c r="AQ3643" s="466"/>
      <c r="AR3643" s="466"/>
      <c r="AS3643" s="466"/>
      <c r="AT3643" s="466"/>
      <c r="AU3643" s="466"/>
      <c r="AV3643" s="466"/>
      <c r="AW3643" s="466"/>
      <c r="AX3643" s="466"/>
      <c r="AY3643" s="466"/>
      <c r="AZ3643" s="466"/>
      <c r="BA3643" s="466"/>
      <c r="BB3643" s="466"/>
      <c r="BC3643" s="466"/>
      <c r="BD3643" s="466"/>
      <c r="BE3643" s="467"/>
      <c r="BF3643" s="467"/>
      <c r="BG3643" s="466"/>
      <c r="BH3643" s="466"/>
      <c r="BI3643" s="467"/>
      <c r="BJ3643" s="467"/>
      <c r="BK3643" s="467"/>
      <c r="BL3643" s="467"/>
      <c r="BM3643" s="467"/>
      <c r="BN3643" s="467"/>
      <c r="BO3643" s="467"/>
      <c r="BP3643" s="467"/>
      <c r="BQ3643" s="467"/>
      <c r="BR3643" s="467"/>
      <c r="BS3643" s="467"/>
      <c r="BT3643" s="467"/>
      <c r="BU3643" s="467"/>
      <c r="BV3643" s="467"/>
      <c r="BW3643" s="467"/>
      <c r="BX3643" s="769"/>
      <c r="BY3643" s="769"/>
      <c r="BZ3643" s="769"/>
      <c r="CA3643" s="769"/>
      <c r="CB3643" s="769"/>
      <c r="CC3643" s="769"/>
      <c r="CD3643" s="769"/>
      <c r="CE3643" s="769"/>
      <c r="CF3643" s="769"/>
      <c r="CG3643" s="73"/>
      <c r="CH3643" s="438"/>
      <c r="CI3643" s="416"/>
      <c r="CJ3643" s="73"/>
      <c r="CK3643" s="650"/>
      <c r="CL3643" s="499"/>
      <c r="CM3643" s="650"/>
      <c r="CR3643" s="416"/>
      <c r="CS3643" s="650"/>
      <c r="CU3643" s="73"/>
      <c r="CV3643" s="73"/>
      <c r="CW3643" s="73"/>
      <c r="CX3643" s="73"/>
      <c r="DA3643" s="650"/>
    </row>
    <row r="3644" spans="1:105" s="45" customFormat="1" x14ac:dyDescent="0.2">
      <c r="A3644" s="650"/>
      <c r="B3644" s="438"/>
      <c r="D3644" s="73"/>
      <c r="E3644" s="650"/>
      <c r="F3644" s="650"/>
      <c r="G3644" s="73"/>
      <c r="I3644" s="111"/>
      <c r="J3644" s="81"/>
      <c r="K3644" s="81"/>
      <c r="L3644" s="499"/>
      <c r="M3644" s="73"/>
      <c r="N3644" s="499"/>
      <c r="O3644" s="73"/>
      <c r="P3644" s="73"/>
      <c r="Q3644" s="73"/>
      <c r="R3644" s="176"/>
      <c r="S3644" s="176"/>
      <c r="T3644" s="176"/>
      <c r="U3644" s="400"/>
      <c r="V3644" s="400"/>
      <c r="W3644" s="732"/>
      <c r="X3644" s="167"/>
      <c r="Y3644" s="509"/>
      <c r="Z3644" s="466"/>
      <c r="AA3644" s="466"/>
      <c r="AB3644" s="466"/>
      <c r="AC3644" s="466"/>
      <c r="AD3644" s="466"/>
      <c r="AE3644" s="466"/>
      <c r="AF3644" s="466"/>
      <c r="AG3644" s="466"/>
      <c r="AH3644" s="466"/>
      <c r="AI3644" s="466"/>
      <c r="AJ3644" s="466"/>
      <c r="AK3644" s="466"/>
      <c r="AL3644" s="466"/>
      <c r="AM3644" s="466"/>
      <c r="AN3644" s="466"/>
      <c r="AO3644" s="466"/>
      <c r="AP3644" s="466"/>
      <c r="AQ3644" s="466"/>
      <c r="AR3644" s="466"/>
      <c r="AS3644" s="466"/>
      <c r="AT3644" s="466"/>
      <c r="AU3644" s="466"/>
      <c r="AV3644" s="466"/>
      <c r="AW3644" s="466"/>
      <c r="AX3644" s="466"/>
      <c r="AY3644" s="466"/>
      <c r="AZ3644" s="466"/>
      <c r="BA3644" s="466"/>
      <c r="BB3644" s="466"/>
      <c r="BC3644" s="466"/>
      <c r="BD3644" s="466"/>
      <c r="BE3644" s="467"/>
      <c r="BF3644" s="467"/>
      <c r="BG3644" s="466"/>
      <c r="BH3644" s="466"/>
      <c r="BI3644" s="467"/>
      <c r="BJ3644" s="467"/>
      <c r="BK3644" s="467"/>
      <c r="BL3644" s="467"/>
      <c r="BM3644" s="467"/>
      <c r="BN3644" s="467"/>
      <c r="BO3644" s="467"/>
      <c r="BP3644" s="467"/>
      <c r="BQ3644" s="467"/>
      <c r="BR3644" s="467"/>
      <c r="BS3644" s="467"/>
      <c r="BT3644" s="467"/>
      <c r="BU3644" s="467"/>
      <c r="BV3644" s="467"/>
      <c r="BW3644" s="467"/>
      <c r="BX3644" s="769"/>
      <c r="BY3644" s="769"/>
      <c r="BZ3644" s="769"/>
      <c r="CA3644" s="769"/>
      <c r="CB3644" s="769"/>
      <c r="CC3644" s="769"/>
      <c r="CD3644" s="769"/>
      <c r="CE3644" s="769"/>
      <c r="CF3644" s="769"/>
      <c r="CG3644" s="73"/>
      <c r="CH3644" s="438"/>
      <c r="CI3644" s="416"/>
      <c r="CJ3644" s="73"/>
      <c r="CK3644" s="650"/>
      <c r="CL3644" s="499"/>
      <c r="CM3644" s="650"/>
      <c r="CR3644" s="416"/>
      <c r="CS3644" s="650"/>
      <c r="CU3644" s="73"/>
      <c r="CV3644" s="73"/>
      <c r="CW3644" s="73"/>
      <c r="CX3644" s="73"/>
      <c r="DA3644" s="650"/>
    </row>
    <row r="3645" spans="1:105" s="45" customFormat="1" x14ac:dyDescent="0.2">
      <c r="A3645" s="650"/>
      <c r="B3645" s="438"/>
      <c r="D3645" s="73"/>
      <c r="E3645" s="650"/>
      <c r="F3645" s="650"/>
      <c r="G3645" s="73"/>
      <c r="I3645" s="111"/>
      <c r="J3645" s="81"/>
      <c r="K3645" s="81"/>
      <c r="L3645" s="499"/>
      <c r="M3645" s="73"/>
      <c r="N3645" s="499"/>
      <c r="O3645" s="73"/>
      <c r="P3645" s="73"/>
      <c r="Q3645" s="73"/>
      <c r="R3645" s="176"/>
      <c r="S3645" s="176"/>
      <c r="T3645" s="176"/>
      <c r="U3645" s="400"/>
      <c r="V3645" s="400"/>
      <c r="W3645" s="732"/>
      <c r="X3645" s="167"/>
      <c r="Y3645" s="509"/>
      <c r="Z3645" s="466"/>
      <c r="AA3645" s="466"/>
      <c r="AB3645" s="466"/>
      <c r="AC3645" s="466"/>
      <c r="AD3645" s="466"/>
      <c r="AE3645" s="466"/>
      <c r="AF3645" s="466"/>
      <c r="AG3645" s="466"/>
      <c r="AH3645" s="466"/>
      <c r="AI3645" s="466"/>
      <c r="AJ3645" s="466"/>
      <c r="AK3645" s="466"/>
      <c r="AL3645" s="466"/>
      <c r="AM3645" s="466"/>
      <c r="AN3645" s="466"/>
      <c r="AO3645" s="466"/>
      <c r="AP3645" s="466"/>
      <c r="AQ3645" s="466"/>
      <c r="AR3645" s="466"/>
      <c r="AS3645" s="466"/>
      <c r="AT3645" s="466"/>
      <c r="AU3645" s="466"/>
      <c r="AV3645" s="466"/>
      <c r="AW3645" s="466"/>
      <c r="AX3645" s="466"/>
      <c r="AY3645" s="466"/>
      <c r="AZ3645" s="466"/>
      <c r="BA3645" s="466"/>
      <c r="BB3645" s="466"/>
      <c r="BC3645" s="466"/>
      <c r="BD3645" s="466"/>
      <c r="BE3645" s="467"/>
      <c r="BF3645" s="467"/>
      <c r="BG3645" s="466"/>
      <c r="BH3645" s="466"/>
      <c r="BI3645" s="467"/>
      <c r="BJ3645" s="467"/>
      <c r="BK3645" s="467"/>
      <c r="BL3645" s="467"/>
      <c r="BM3645" s="467"/>
      <c r="BN3645" s="467"/>
      <c r="BO3645" s="467"/>
      <c r="BP3645" s="467"/>
      <c r="BQ3645" s="467"/>
      <c r="BR3645" s="467"/>
      <c r="BS3645" s="467"/>
      <c r="BT3645" s="467"/>
      <c r="BU3645" s="467"/>
      <c r="BV3645" s="467"/>
      <c r="BW3645" s="467"/>
      <c r="BX3645" s="769"/>
      <c r="BY3645" s="769"/>
      <c r="BZ3645" s="769"/>
      <c r="CA3645" s="769"/>
      <c r="CB3645" s="769"/>
      <c r="CC3645" s="769"/>
      <c r="CD3645" s="769"/>
      <c r="CE3645" s="769"/>
      <c r="CF3645" s="769"/>
      <c r="CG3645" s="73"/>
      <c r="CH3645" s="438"/>
      <c r="CI3645" s="416"/>
      <c r="CJ3645" s="73"/>
      <c r="CK3645" s="650"/>
      <c r="CL3645" s="499"/>
      <c r="CM3645" s="650"/>
      <c r="CR3645" s="416"/>
      <c r="CS3645" s="650"/>
      <c r="CU3645" s="73"/>
      <c r="CV3645" s="73"/>
      <c r="CW3645" s="73"/>
      <c r="CX3645" s="73"/>
      <c r="DA3645" s="650"/>
    </row>
    <row r="3646" spans="1:105" s="45" customFormat="1" x14ac:dyDescent="0.2">
      <c r="A3646" s="650"/>
      <c r="B3646" s="438"/>
      <c r="D3646" s="73"/>
      <c r="E3646" s="650"/>
      <c r="F3646" s="650"/>
      <c r="G3646" s="73"/>
      <c r="I3646" s="111"/>
      <c r="J3646" s="81"/>
      <c r="K3646" s="81"/>
      <c r="L3646" s="499"/>
      <c r="M3646" s="73"/>
      <c r="N3646" s="499"/>
      <c r="O3646" s="73"/>
      <c r="P3646" s="73"/>
      <c r="Q3646" s="73"/>
      <c r="R3646" s="176"/>
      <c r="S3646" s="176"/>
      <c r="T3646" s="176"/>
      <c r="U3646" s="400"/>
      <c r="V3646" s="400"/>
      <c r="W3646" s="732"/>
      <c r="X3646" s="167"/>
      <c r="Y3646" s="509"/>
      <c r="Z3646" s="466"/>
      <c r="AA3646" s="466"/>
      <c r="AB3646" s="466"/>
      <c r="AC3646" s="466"/>
      <c r="AD3646" s="466"/>
      <c r="AE3646" s="466"/>
      <c r="AF3646" s="466"/>
      <c r="AG3646" s="466"/>
      <c r="AH3646" s="466"/>
      <c r="AI3646" s="466"/>
      <c r="AJ3646" s="466"/>
      <c r="AK3646" s="466"/>
      <c r="AL3646" s="466"/>
      <c r="AM3646" s="466"/>
      <c r="AN3646" s="466"/>
      <c r="AO3646" s="466"/>
      <c r="AP3646" s="466"/>
      <c r="AQ3646" s="466"/>
      <c r="AR3646" s="466"/>
      <c r="AS3646" s="466"/>
      <c r="AT3646" s="466"/>
      <c r="AU3646" s="466"/>
      <c r="AV3646" s="466"/>
      <c r="AW3646" s="466"/>
      <c r="AX3646" s="466"/>
      <c r="AY3646" s="466"/>
      <c r="AZ3646" s="466"/>
      <c r="BA3646" s="466"/>
      <c r="BB3646" s="466"/>
      <c r="BC3646" s="466"/>
      <c r="BD3646" s="466"/>
      <c r="BE3646" s="467"/>
      <c r="BF3646" s="467"/>
      <c r="BG3646" s="466"/>
      <c r="BH3646" s="466"/>
      <c r="BI3646" s="467"/>
      <c r="BJ3646" s="467"/>
      <c r="BK3646" s="467"/>
      <c r="BL3646" s="467"/>
      <c r="BM3646" s="467"/>
      <c r="BN3646" s="467"/>
      <c r="BO3646" s="467"/>
      <c r="BP3646" s="467"/>
      <c r="BQ3646" s="467"/>
      <c r="BR3646" s="467"/>
      <c r="BS3646" s="467"/>
      <c r="BT3646" s="467"/>
      <c r="BU3646" s="467"/>
      <c r="BV3646" s="467"/>
      <c r="BW3646" s="467"/>
      <c r="BX3646" s="769"/>
      <c r="BY3646" s="769"/>
      <c r="BZ3646" s="769"/>
      <c r="CA3646" s="769"/>
      <c r="CB3646" s="769"/>
      <c r="CC3646" s="769"/>
      <c r="CD3646" s="769"/>
      <c r="CE3646" s="769"/>
      <c r="CF3646" s="769"/>
      <c r="CG3646" s="73"/>
      <c r="CH3646" s="438"/>
      <c r="CI3646" s="416"/>
      <c r="CJ3646" s="73"/>
      <c r="CK3646" s="650"/>
      <c r="CL3646" s="499"/>
      <c r="CM3646" s="650"/>
      <c r="CR3646" s="416"/>
      <c r="CS3646" s="650"/>
      <c r="CU3646" s="73"/>
      <c r="CV3646" s="73"/>
      <c r="CW3646" s="73"/>
      <c r="CX3646" s="73"/>
      <c r="DA3646" s="650"/>
    </row>
    <row r="3647" spans="1:105" s="45" customFormat="1" x14ac:dyDescent="0.2">
      <c r="A3647" s="650"/>
      <c r="B3647" s="438"/>
      <c r="D3647" s="73"/>
      <c r="E3647" s="650"/>
      <c r="F3647" s="650"/>
      <c r="G3647" s="73"/>
      <c r="I3647" s="111"/>
      <c r="J3647" s="81"/>
      <c r="K3647" s="81"/>
      <c r="L3647" s="499"/>
      <c r="M3647" s="73"/>
      <c r="N3647" s="499"/>
      <c r="O3647" s="73"/>
      <c r="P3647" s="73"/>
      <c r="Q3647" s="73"/>
      <c r="R3647" s="176"/>
      <c r="S3647" s="176"/>
      <c r="T3647" s="176"/>
      <c r="U3647" s="400"/>
      <c r="V3647" s="400"/>
      <c r="W3647" s="732"/>
      <c r="X3647" s="167"/>
      <c r="Y3647" s="509"/>
      <c r="Z3647" s="466"/>
      <c r="AA3647" s="466"/>
      <c r="AB3647" s="466"/>
      <c r="AC3647" s="466"/>
      <c r="AD3647" s="466"/>
      <c r="AE3647" s="466"/>
      <c r="AF3647" s="466"/>
      <c r="AG3647" s="466"/>
      <c r="AH3647" s="466"/>
      <c r="AI3647" s="466"/>
      <c r="AJ3647" s="466"/>
      <c r="AK3647" s="466"/>
      <c r="AL3647" s="466"/>
      <c r="AM3647" s="466"/>
      <c r="AN3647" s="466"/>
      <c r="AO3647" s="466"/>
      <c r="AP3647" s="466"/>
      <c r="AQ3647" s="466"/>
      <c r="AR3647" s="466"/>
      <c r="AS3647" s="466"/>
      <c r="AT3647" s="466"/>
      <c r="AU3647" s="466"/>
      <c r="AV3647" s="466"/>
      <c r="AW3647" s="466"/>
      <c r="AX3647" s="466"/>
      <c r="AY3647" s="466"/>
      <c r="AZ3647" s="466"/>
      <c r="BA3647" s="466"/>
      <c r="BB3647" s="466"/>
      <c r="BC3647" s="466"/>
      <c r="BD3647" s="466"/>
      <c r="BE3647" s="467"/>
      <c r="BF3647" s="467"/>
      <c r="BG3647" s="466"/>
      <c r="BH3647" s="466"/>
      <c r="BI3647" s="467"/>
      <c r="BJ3647" s="467"/>
      <c r="BK3647" s="467"/>
      <c r="BL3647" s="467"/>
      <c r="BM3647" s="467"/>
      <c r="BN3647" s="467"/>
      <c r="BO3647" s="467"/>
      <c r="BP3647" s="467"/>
      <c r="BQ3647" s="467"/>
      <c r="BR3647" s="467"/>
      <c r="BS3647" s="467"/>
      <c r="BT3647" s="467"/>
      <c r="BU3647" s="467"/>
      <c r="BV3647" s="467"/>
      <c r="BW3647" s="467"/>
      <c r="BX3647" s="769"/>
      <c r="BY3647" s="769"/>
      <c r="BZ3647" s="769"/>
      <c r="CA3647" s="769"/>
      <c r="CB3647" s="769"/>
      <c r="CC3647" s="769"/>
      <c r="CD3647" s="769"/>
      <c r="CE3647" s="769"/>
      <c r="CF3647" s="769"/>
      <c r="CG3647" s="73"/>
      <c r="CH3647" s="438"/>
      <c r="CI3647" s="416"/>
      <c r="CJ3647" s="73"/>
      <c r="CK3647" s="650"/>
      <c r="CL3647" s="499"/>
      <c r="CM3647" s="650"/>
      <c r="CR3647" s="416"/>
      <c r="CS3647" s="650"/>
      <c r="CU3647" s="73"/>
      <c r="CV3647" s="73"/>
      <c r="CW3647" s="73"/>
      <c r="CX3647" s="73"/>
      <c r="DA3647" s="650"/>
    </row>
    <row r="3648" spans="1:105" s="45" customFormat="1" x14ac:dyDescent="0.2">
      <c r="A3648" s="650"/>
      <c r="B3648" s="438"/>
      <c r="D3648" s="73"/>
      <c r="E3648" s="650"/>
      <c r="F3648" s="650"/>
      <c r="G3648" s="73"/>
      <c r="I3648" s="111"/>
      <c r="J3648" s="81"/>
      <c r="K3648" s="81"/>
      <c r="L3648" s="499"/>
      <c r="M3648" s="73"/>
      <c r="N3648" s="499"/>
      <c r="O3648" s="73"/>
      <c r="P3648" s="73"/>
      <c r="Q3648" s="73"/>
      <c r="R3648" s="176"/>
      <c r="S3648" s="176"/>
      <c r="T3648" s="176"/>
      <c r="U3648" s="400"/>
      <c r="V3648" s="400"/>
      <c r="W3648" s="732"/>
      <c r="X3648" s="167"/>
      <c r="Y3648" s="509"/>
      <c r="Z3648" s="466"/>
      <c r="AA3648" s="466"/>
      <c r="AB3648" s="466"/>
      <c r="AC3648" s="466"/>
      <c r="AD3648" s="466"/>
      <c r="AE3648" s="466"/>
      <c r="AF3648" s="466"/>
      <c r="AG3648" s="466"/>
      <c r="AH3648" s="466"/>
      <c r="AI3648" s="466"/>
      <c r="AJ3648" s="466"/>
      <c r="AK3648" s="466"/>
      <c r="AL3648" s="466"/>
      <c r="AM3648" s="466"/>
      <c r="AN3648" s="466"/>
      <c r="AO3648" s="466"/>
      <c r="AP3648" s="466"/>
      <c r="AQ3648" s="466"/>
      <c r="AR3648" s="466"/>
      <c r="AS3648" s="466"/>
      <c r="AT3648" s="466"/>
      <c r="AU3648" s="466"/>
      <c r="AV3648" s="466"/>
      <c r="AW3648" s="466"/>
      <c r="AX3648" s="466"/>
      <c r="AY3648" s="466"/>
      <c r="AZ3648" s="466"/>
      <c r="BA3648" s="466"/>
      <c r="BB3648" s="466"/>
      <c r="BC3648" s="466"/>
      <c r="BD3648" s="466"/>
      <c r="BE3648" s="467"/>
      <c r="BF3648" s="467"/>
      <c r="BG3648" s="466"/>
      <c r="BH3648" s="466"/>
      <c r="BI3648" s="467"/>
      <c r="BJ3648" s="467"/>
      <c r="BK3648" s="467"/>
      <c r="BL3648" s="467"/>
      <c r="BM3648" s="467"/>
      <c r="BN3648" s="467"/>
      <c r="BO3648" s="467"/>
      <c r="BP3648" s="467"/>
      <c r="BQ3648" s="467"/>
      <c r="BR3648" s="467"/>
      <c r="BS3648" s="467"/>
      <c r="BT3648" s="467"/>
      <c r="BU3648" s="467"/>
      <c r="BV3648" s="467"/>
      <c r="BW3648" s="467"/>
      <c r="BX3648" s="769"/>
      <c r="BY3648" s="769"/>
      <c r="BZ3648" s="769"/>
      <c r="CA3648" s="769"/>
      <c r="CB3648" s="769"/>
      <c r="CC3648" s="769"/>
      <c r="CD3648" s="769"/>
      <c r="CE3648" s="769"/>
      <c r="CF3648" s="769"/>
      <c r="CG3648" s="73"/>
      <c r="CH3648" s="438"/>
      <c r="CI3648" s="416"/>
      <c r="CJ3648" s="73"/>
      <c r="CK3648" s="650"/>
      <c r="CL3648" s="499"/>
      <c r="CM3648" s="650"/>
      <c r="CR3648" s="416"/>
      <c r="CS3648" s="650"/>
      <c r="CU3648" s="73"/>
      <c r="CV3648" s="73"/>
      <c r="CW3648" s="73"/>
      <c r="CX3648" s="73"/>
      <c r="DA3648" s="650"/>
    </row>
    <row r="3649" spans="1:105" s="45" customFormat="1" x14ac:dyDescent="0.2">
      <c r="A3649" s="650"/>
      <c r="B3649" s="438"/>
      <c r="D3649" s="73"/>
      <c r="E3649" s="650"/>
      <c r="F3649" s="650"/>
      <c r="G3649" s="73"/>
      <c r="I3649" s="111"/>
      <c r="J3649" s="81"/>
      <c r="K3649" s="81"/>
      <c r="L3649" s="499"/>
      <c r="M3649" s="73"/>
      <c r="N3649" s="499"/>
      <c r="O3649" s="73"/>
      <c r="P3649" s="73"/>
      <c r="Q3649" s="73"/>
      <c r="R3649" s="176"/>
      <c r="S3649" s="176"/>
      <c r="T3649" s="176"/>
      <c r="U3649" s="400"/>
      <c r="V3649" s="400"/>
      <c r="W3649" s="732"/>
      <c r="X3649" s="167"/>
      <c r="Y3649" s="509"/>
      <c r="Z3649" s="466"/>
      <c r="AA3649" s="466"/>
      <c r="AB3649" s="466"/>
      <c r="AC3649" s="466"/>
      <c r="AD3649" s="466"/>
      <c r="AE3649" s="466"/>
      <c r="AF3649" s="466"/>
      <c r="AG3649" s="466"/>
      <c r="AH3649" s="466"/>
      <c r="AI3649" s="466"/>
      <c r="AJ3649" s="466"/>
      <c r="AK3649" s="466"/>
      <c r="AL3649" s="466"/>
      <c r="AM3649" s="466"/>
      <c r="AN3649" s="466"/>
      <c r="AO3649" s="466"/>
      <c r="AP3649" s="466"/>
      <c r="AQ3649" s="466"/>
      <c r="AR3649" s="466"/>
      <c r="AS3649" s="466"/>
      <c r="AT3649" s="466"/>
      <c r="AU3649" s="466"/>
      <c r="AV3649" s="466"/>
      <c r="AW3649" s="466"/>
      <c r="AX3649" s="466"/>
      <c r="AY3649" s="466"/>
      <c r="AZ3649" s="466"/>
      <c r="BA3649" s="466"/>
      <c r="BB3649" s="466"/>
      <c r="BC3649" s="466"/>
      <c r="BD3649" s="466"/>
      <c r="BE3649" s="467"/>
      <c r="BF3649" s="467"/>
      <c r="BG3649" s="466"/>
      <c r="BH3649" s="466"/>
      <c r="BI3649" s="467"/>
      <c r="BJ3649" s="467"/>
      <c r="BK3649" s="467"/>
      <c r="BL3649" s="467"/>
      <c r="BM3649" s="467"/>
      <c r="BN3649" s="467"/>
      <c r="BO3649" s="467"/>
      <c r="BP3649" s="467"/>
      <c r="BQ3649" s="467"/>
      <c r="BR3649" s="467"/>
      <c r="BS3649" s="467"/>
      <c r="BT3649" s="467"/>
      <c r="BU3649" s="467"/>
      <c r="BV3649" s="467"/>
      <c r="BW3649" s="467"/>
      <c r="BX3649" s="769"/>
      <c r="BY3649" s="769"/>
      <c r="BZ3649" s="769"/>
      <c r="CA3649" s="769"/>
      <c r="CB3649" s="769"/>
      <c r="CC3649" s="769"/>
      <c r="CD3649" s="769"/>
      <c r="CE3649" s="769"/>
      <c r="CF3649" s="769"/>
      <c r="CG3649" s="73"/>
      <c r="CH3649" s="438"/>
      <c r="CI3649" s="416"/>
      <c r="CJ3649" s="73"/>
      <c r="CK3649" s="650"/>
      <c r="CL3649" s="499"/>
      <c r="CM3649" s="650"/>
      <c r="CR3649" s="416"/>
      <c r="CS3649" s="650"/>
      <c r="CU3649" s="73"/>
      <c r="CV3649" s="73"/>
      <c r="CW3649" s="73"/>
      <c r="CX3649" s="73"/>
      <c r="DA3649" s="650"/>
    </row>
    <row r="3650" spans="1:105" s="45" customFormat="1" x14ac:dyDescent="0.2">
      <c r="A3650" s="650"/>
      <c r="B3650" s="438"/>
      <c r="D3650" s="73"/>
      <c r="E3650" s="650"/>
      <c r="F3650" s="650"/>
      <c r="G3650" s="73"/>
      <c r="I3650" s="111"/>
      <c r="J3650" s="81"/>
      <c r="K3650" s="81"/>
      <c r="L3650" s="499"/>
      <c r="M3650" s="73"/>
      <c r="N3650" s="499"/>
      <c r="O3650" s="73"/>
      <c r="P3650" s="73"/>
      <c r="Q3650" s="73"/>
      <c r="R3650" s="176"/>
      <c r="S3650" s="176"/>
      <c r="T3650" s="176"/>
      <c r="U3650" s="400"/>
      <c r="V3650" s="400"/>
      <c r="W3650" s="732"/>
      <c r="X3650" s="167"/>
      <c r="Y3650" s="509"/>
      <c r="Z3650" s="466"/>
      <c r="AA3650" s="466"/>
      <c r="AB3650" s="466"/>
      <c r="AC3650" s="466"/>
      <c r="AD3650" s="466"/>
      <c r="AE3650" s="466"/>
      <c r="AF3650" s="466"/>
      <c r="AG3650" s="466"/>
      <c r="AH3650" s="466"/>
      <c r="AI3650" s="466"/>
      <c r="AJ3650" s="466"/>
      <c r="AK3650" s="466"/>
      <c r="AL3650" s="466"/>
      <c r="AM3650" s="466"/>
      <c r="AN3650" s="466"/>
      <c r="AO3650" s="466"/>
      <c r="AP3650" s="466"/>
      <c r="AQ3650" s="466"/>
      <c r="AR3650" s="466"/>
      <c r="AS3650" s="466"/>
      <c r="AT3650" s="466"/>
      <c r="AU3650" s="466"/>
      <c r="AV3650" s="466"/>
      <c r="AW3650" s="466"/>
      <c r="AX3650" s="466"/>
      <c r="AY3650" s="466"/>
      <c r="AZ3650" s="466"/>
      <c r="BA3650" s="466"/>
      <c r="BB3650" s="466"/>
      <c r="BC3650" s="466"/>
      <c r="BD3650" s="466"/>
      <c r="BE3650" s="467"/>
      <c r="BF3650" s="467"/>
      <c r="BG3650" s="466"/>
      <c r="BH3650" s="466"/>
      <c r="BI3650" s="467"/>
      <c r="BJ3650" s="467"/>
      <c r="BK3650" s="467"/>
      <c r="BL3650" s="467"/>
      <c r="BM3650" s="467"/>
      <c r="BN3650" s="467"/>
      <c r="BO3650" s="467"/>
      <c r="BP3650" s="467"/>
      <c r="BQ3650" s="467"/>
      <c r="BR3650" s="467"/>
      <c r="BS3650" s="467"/>
      <c r="BT3650" s="467"/>
      <c r="BU3650" s="467"/>
      <c r="BV3650" s="467"/>
      <c r="BW3650" s="467"/>
      <c r="BX3650" s="769"/>
      <c r="BY3650" s="769"/>
      <c r="BZ3650" s="769"/>
      <c r="CA3650" s="769"/>
      <c r="CB3650" s="769"/>
      <c r="CC3650" s="769"/>
      <c r="CD3650" s="769"/>
      <c r="CE3650" s="769"/>
      <c r="CF3650" s="769"/>
      <c r="CG3650" s="73"/>
      <c r="CH3650" s="438"/>
      <c r="CI3650" s="416"/>
      <c r="CJ3650" s="73"/>
      <c r="CK3650" s="650"/>
      <c r="CL3650" s="499"/>
      <c r="CM3650" s="650"/>
      <c r="CR3650" s="416"/>
      <c r="CS3650" s="650"/>
      <c r="CU3650" s="73"/>
      <c r="CV3650" s="73"/>
      <c r="CW3650" s="73"/>
      <c r="CX3650" s="73"/>
      <c r="DA3650" s="650"/>
    </row>
    <row r="3651" spans="1:105" s="45" customFormat="1" x14ac:dyDescent="0.2">
      <c r="A3651" s="650"/>
      <c r="B3651" s="438"/>
      <c r="D3651" s="73"/>
      <c r="E3651" s="650"/>
      <c r="F3651" s="650"/>
      <c r="G3651" s="73"/>
      <c r="I3651" s="111"/>
      <c r="J3651" s="81"/>
      <c r="K3651" s="81"/>
      <c r="L3651" s="499"/>
      <c r="M3651" s="73"/>
      <c r="N3651" s="499"/>
      <c r="O3651" s="73"/>
      <c r="P3651" s="73"/>
      <c r="Q3651" s="73"/>
      <c r="R3651" s="176"/>
      <c r="S3651" s="176"/>
      <c r="T3651" s="176"/>
      <c r="U3651" s="400"/>
      <c r="V3651" s="400"/>
      <c r="W3651" s="732"/>
      <c r="X3651" s="167"/>
      <c r="Y3651" s="509"/>
      <c r="Z3651" s="466"/>
      <c r="AA3651" s="466"/>
      <c r="AB3651" s="466"/>
      <c r="AC3651" s="466"/>
      <c r="AD3651" s="466"/>
      <c r="AE3651" s="466"/>
      <c r="AF3651" s="466"/>
      <c r="AG3651" s="466"/>
      <c r="AH3651" s="466"/>
      <c r="AI3651" s="466"/>
      <c r="AJ3651" s="466"/>
      <c r="AK3651" s="466"/>
      <c r="AL3651" s="466"/>
      <c r="AM3651" s="466"/>
      <c r="AN3651" s="466"/>
      <c r="AO3651" s="466"/>
      <c r="AP3651" s="466"/>
      <c r="AQ3651" s="466"/>
      <c r="AR3651" s="466"/>
      <c r="AS3651" s="466"/>
      <c r="AT3651" s="466"/>
      <c r="AU3651" s="466"/>
      <c r="AV3651" s="466"/>
      <c r="AW3651" s="466"/>
      <c r="AX3651" s="466"/>
      <c r="AY3651" s="466"/>
      <c r="AZ3651" s="466"/>
      <c r="BA3651" s="466"/>
      <c r="BB3651" s="466"/>
      <c r="BC3651" s="466"/>
      <c r="BD3651" s="466"/>
      <c r="BE3651" s="467"/>
      <c r="BF3651" s="467"/>
      <c r="BG3651" s="466"/>
      <c r="BH3651" s="466"/>
      <c r="BI3651" s="467"/>
      <c r="BJ3651" s="467"/>
      <c r="BK3651" s="467"/>
      <c r="BL3651" s="467"/>
      <c r="BM3651" s="467"/>
      <c r="BN3651" s="467"/>
      <c r="BO3651" s="467"/>
      <c r="BP3651" s="467"/>
      <c r="BQ3651" s="467"/>
      <c r="BR3651" s="467"/>
      <c r="BS3651" s="467"/>
      <c r="BT3651" s="467"/>
      <c r="BU3651" s="467"/>
      <c r="BV3651" s="467"/>
      <c r="BW3651" s="467"/>
      <c r="BX3651" s="769"/>
      <c r="BY3651" s="769"/>
      <c r="BZ3651" s="769"/>
      <c r="CA3651" s="769"/>
      <c r="CB3651" s="769"/>
      <c r="CC3651" s="769"/>
      <c r="CD3651" s="769"/>
      <c r="CE3651" s="769"/>
      <c r="CF3651" s="769"/>
      <c r="CG3651" s="73"/>
      <c r="CH3651" s="438"/>
      <c r="CI3651" s="416"/>
      <c r="CJ3651" s="73"/>
      <c r="CK3651" s="650"/>
      <c r="CL3651" s="499"/>
      <c r="CM3651" s="650"/>
      <c r="CR3651" s="416"/>
      <c r="CS3651" s="650"/>
      <c r="CU3651" s="73"/>
      <c r="CV3651" s="73"/>
      <c r="CW3651" s="73"/>
      <c r="CX3651" s="73"/>
      <c r="DA3651" s="650"/>
    </row>
    <row r="3652" spans="1:105" s="45" customFormat="1" x14ac:dyDescent="0.2">
      <c r="A3652" s="650"/>
      <c r="B3652" s="438"/>
      <c r="D3652" s="73"/>
      <c r="E3652" s="650"/>
      <c r="F3652" s="650"/>
      <c r="G3652" s="73"/>
      <c r="I3652" s="111"/>
      <c r="J3652" s="81"/>
      <c r="K3652" s="81"/>
      <c r="L3652" s="499"/>
      <c r="M3652" s="73"/>
      <c r="N3652" s="499"/>
      <c r="O3652" s="73"/>
      <c r="P3652" s="73"/>
      <c r="Q3652" s="73"/>
      <c r="R3652" s="176"/>
      <c r="S3652" s="176"/>
      <c r="T3652" s="176"/>
      <c r="U3652" s="400"/>
      <c r="V3652" s="400"/>
      <c r="W3652" s="732"/>
      <c r="X3652" s="167"/>
      <c r="Y3652" s="509"/>
      <c r="Z3652" s="466"/>
      <c r="AA3652" s="466"/>
      <c r="AB3652" s="466"/>
      <c r="AC3652" s="466"/>
      <c r="AD3652" s="466"/>
      <c r="AE3652" s="466"/>
      <c r="AF3652" s="466"/>
      <c r="AG3652" s="466"/>
      <c r="AH3652" s="466"/>
      <c r="AI3652" s="466"/>
      <c r="AJ3652" s="466"/>
      <c r="AK3652" s="466"/>
      <c r="AL3652" s="466"/>
      <c r="AM3652" s="466"/>
      <c r="AN3652" s="466"/>
      <c r="AO3652" s="466"/>
      <c r="AP3652" s="466"/>
      <c r="AQ3652" s="466"/>
      <c r="AR3652" s="466"/>
      <c r="AS3652" s="466"/>
      <c r="AT3652" s="466"/>
      <c r="AU3652" s="466"/>
      <c r="AV3652" s="466"/>
      <c r="AW3652" s="466"/>
      <c r="AX3652" s="466"/>
      <c r="AY3652" s="466"/>
      <c r="AZ3652" s="466"/>
      <c r="BA3652" s="466"/>
      <c r="BB3652" s="466"/>
      <c r="BC3652" s="466"/>
      <c r="BD3652" s="466"/>
      <c r="BE3652" s="467"/>
      <c r="BF3652" s="467"/>
      <c r="BG3652" s="466"/>
      <c r="BH3652" s="466"/>
      <c r="BI3652" s="467"/>
      <c r="BJ3652" s="467"/>
      <c r="BK3652" s="467"/>
      <c r="BL3652" s="467"/>
      <c r="BM3652" s="467"/>
      <c r="BN3652" s="467"/>
      <c r="BO3652" s="467"/>
      <c r="BP3652" s="467"/>
      <c r="BQ3652" s="467"/>
      <c r="BR3652" s="467"/>
      <c r="BS3652" s="467"/>
      <c r="BT3652" s="467"/>
      <c r="BU3652" s="467"/>
      <c r="BV3652" s="467"/>
      <c r="BW3652" s="467"/>
      <c r="BX3652" s="769"/>
      <c r="BY3652" s="769"/>
      <c r="BZ3652" s="769"/>
      <c r="CA3652" s="769"/>
      <c r="CB3652" s="769"/>
      <c r="CC3652" s="769"/>
      <c r="CD3652" s="769"/>
      <c r="CE3652" s="769"/>
      <c r="CF3652" s="769"/>
      <c r="CG3652" s="73"/>
      <c r="CH3652" s="438"/>
      <c r="CI3652" s="416"/>
      <c r="CJ3652" s="73"/>
      <c r="CK3652" s="650"/>
      <c r="CL3652" s="499"/>
      <c r="CM3652" s="650"/>
      <c r="CR3652" s="416"/>
      <c r="CS3652" s="650"/>
      <c r="CU3652" s="73"/>
      <c r="CV3652" s="73"/>
      <c r="CW3652" s="73"/>
      <c r="CX3652" s="73"/>
      <c r="DA3652" s="650"/>
    </row>
    <row r="3653" spans="1:105" s="45" customFormat="1" x14ac:dyDescent="0.2">
      <c r="A3653" s="650"/>
      <c r="B3653" s="438"/>
      <c r="D3653" s="73"/>
      <c r="E3653" s="650"/>
      <c r="F3653" s="650"/>
      <c r="G3653" s="73"/>
      <c r="I3653" s="111"/>
      <c r="J3653" s="81"/>
      <c r="K3653" s="81"/>
      <c r="L3653" s="499"/>
      <c r="M3653" s="73"/>
      <c r="N3653" s="499"/>
      <c r="O3653" s="73"/>
      <c r="P3653" s="73"/>
      <c r="Q3653" s="73"/>
      <c r="R3653" s="176"/>
      <c r="S3653" s="176"/>
      <c r="T3653" s="176"/>
      <c r="U3653" s="400"/>
      <c r="V3653" s="400"/>
      <c r="W3653" s="732"/>
      <c r="X3653" s="167"/>
      <c r="Y3653" s="509"/>
      <c r="Z3653" s="466"/>
      <c r="AA3653" s="466"/>
      <c r="AB3653" s="466"/>
      <c r="AC3653" s="466"/>
      <c r="AD3653" s="466"/>
      <c r="AE3653" s="466"/>
      <c r="AF3653" s="466"/>
      <c r="AG3653" s="466"/>
      <c r="AH3653" s="466"/>
      <c r="AI3653" s="466"/>
      <c r="AJ3653" s="466"/>
      <c r="AK3653" s="466"/>
      <c r="AL3653" s="466"/>
      <c r="AM3653" s="466"/>
      <c r="AN3653" s="466"/>
      <c r="AO3653" s="466"/>
      <c r="AP3653" s="466"/>
      <c r="AQ3653" s="466"/>
      <c r="AR3653" s="466"/>
      <c r="AS3653" s="466"/>
      <c r="AT3653" s="466"/>
      <c r="AU3653" s="466"/>
      <c r="AV3653" s="466"/>
      <c r="AW3653" s="466"/>
      <c r="AX3653" s="466"/>
      <c r="AY3653" s="466"/>
      <c r="AZ3653" s="466"/>
      <c r="BA3653" s="466"/>
      <c r="BB3653" s="466"/>
      <c r="BC3653" s="466"/>
      <c r="BD3653" s="466"/>
      <c r="BE3653" s="467"/>
      <c r="BF3653" s="467"/>
      <c r="BG3653" s="466"/>
      <c r="BH3653" s="466"/>
      <c r="BI3653" s="467"/>
      <c r="BJ3653" s="467"/>
      <c r="BK3653" s="467"/>
      <c r="BL3653" s="467"/>
      <c r="BM3653" s="467"/>
      <c r="BN3653" s="467"/>
      <c r="BO3653" s="467"/>
      <c r="BP3653" s="467"/>
      <c r="BQ3653" s="467"/>
      <c r="BR3653" s="467"/>
      <c r="BS3653" s="467"/>
      <c r="BT3653" s="467"/>
      <c r="BU3653" s="467"/>
      <c r="BV3653" s="467"/>
      <c r="BW3653" s="467"/>
      <c r="BX3653" s="769"/>
      <c r="BY3653" s="769"/>
      <c r="BZ3653" s="769"/>
      <c r="CA3653" s="769"/>
      <c r="CB3653" s="769"/>
      <c r="CC3653" s="769"/>
      <c r="CD3653" s="769"/>
      <c r="CE3653" s="769"/>
      <c r="CF3653" s="769"/>
      <c r="CG3653" s="73"/>
      <c r="CH3653" s="438"/>
      <c r="CI3653" s="416"/>
      <c r="CJ3653" s="73"/>
      <c r="CK3653" s="650"/>
      <c r="CL3653" s="499"/>
      <c r="CM3653" s="650"/>
      <c r="CR3653" s="416"/>
      <c r="CS3653" s="650"/>
      <c r="CU3653" s="73"/>
      <c r="CV3653" s="73"/>
      <c r="CW3653" s="73"/>
      <c r="CX3653" s="73"/>
      <c r="DA3653" s="650"/>
    </row>
    <row r="3654" spans="1:105" s="45" customFormat="1" x14ac:dyDescent="0.2">
      <c r="A3654" s="650"/>
      <c r="B3654" s="438"/>
      <c r="D3654" s="73"/>
      <c r="E3654" s="650"/>
      <c r="F3654" s="650"/>
      <c r="G3654" s="73"/>
      <c r="I3654" s="111"/>
      <c r="J3654" s="81"/>
      <c r="K3654" s="81"/>
      <c r="L3654" s="499"/>
      <c r="M3654" s="73"/>
      <c r="N3654" s="499"/>
      <c r="O3654" s="73"/>
      <c r="P3654" s="73"/>
      <c r="Q3654" s="73"/>
      <c r="R3654" s="176"/>
      <c r="S3654" s="176"/>
      <c r="T3654" s="176"/>
      <c r="U3654" s="400"/>
      <c r="V3654" s="400"/>
      <c r="W3654" s="732"/>
      <c r="X3654" s="167"/>
      <c r="Y3654" s="509"/>
      <c r="Z3654" s="466"/>
      <c r="AA3654" s="466"/>
      <c r="AB3654" s="466"/>
      <c r="AC3654" s="466"/>
      <c r="AD3654" s="466"/>
      <c r="AE3654" s="466"/>
      <c r="AF3654" s="466"/>
      <c r="AG3654" s="466"/>
      <c r="AH3654" s="466"/>
      <c r="AI3654" s="466"/>
      <c r="AJ3654" s="466"/>
      <c r="AK3654" s="466"/>
      <c r="AL3654" s="466"/>
      <c r="AM3654" s="466"/>
      <c r="AN3654" s="466"/>
      <c r="AO3654" s="466"/>
      <c r="AP3654" s="466"/>
      <c r="AQ3654" s="466"/>
      <c r="AR3654" s="466"/>
      <c r="AS3654" s="466"/>
      <c r="AT3654" s="466"/>
      <c r="AU3654" s="466"/>
      <c r="AV3654" s="466"/>
      <c r="AW3654" s="466"/>
      <c r="AX3654" s="466"/>
      <c r="AY3654" s="466"/>
      <c r="AZ3654" s="466"/>
      <c r="BA3654" s="466"/>
      <c r="BB3654" s="466"/>
      <c r="BC3654" s="466"/>
      <c r="BD3654" s="466"/>
      <c r="BE3654" s="467"/>
      <c r="BF3654" s="467"/>
      <c r="BG3654" s="466"/>
      <c r="BH3654" s="466"/>
      <c r="BI3654" s="467"/>
      <c r="BJ3654" s="467"/>
      <c r="BK3654" s="467"/>
      <c r="BL3654" s="467"/>
      <c r="BM3654" s="467"/>
      <c r="BN3654" s="467"/>
      <c r="BO3654" s="467"/>
      <c r="BP3654" s="467"/>
      <c r="BQ3654" s="467"/>
      <c r="BR3654" s="467"/>
      <c r="BS3654" s="467"/>
      <c r="BT3654" s="467"/>
      <c r="BU3654" s="467"/>
      <c r="BV3654" s="467"/>
      <c r="BW3654" s="467"/>
      <c r="BX3654" s="769"/>
      <c r="BY3654" s="769"/>
      <c r="BZ3654" s="769"/>
      <c r="CA3654" s="769"/>
      <c r="CB3654" s="769"/>
      <c r="CC3654" s="769"/>
      <c r="CD3654" s="769"/>
      <c r="CE3654" s="769"/>
      <c r="CF3654" s="769"/>
      <c r="CG3654" s="73"/>
      <c r="CH3654" s="438"/>
      <c r="CI3654" s="416"/>
      <c r="CJ3654" s="73"/>
      <c r="CK3654" s="650"/>
      <c r="CL3654" s="499"/>
      <c r="CM3654" s="650"/>
      <c r="CR3654" s="416"/>
      <c r="CS3654" s="650"/>
      <c r="CU3654" s="73"/>
      <c r="CV3654" s="73"/>
      <c r="CW3654" s="73"/>
      <c r="CX3654" s="73"/>
      <c r="DA3654" s="650"/>
    </row>
    <row r="3655" spans="1:105" s="45" customFormat="1" x14ac:dyDescent="0.2">
      <c r="A3655" s="650"/>
      <c r="B3655" s="438"/>
      <c r="D3655" s="73"/>
      <c r="E3655" s="650"/>
      <c r="F3655" s="650"/>
      <c r="G3655" s="73"/>
      <c r="I3655" s="111"/>
      <c r="J3655" s="81"/>
      <c r="K3655" s="81"/>
      <c r="L3655" s="499"/>
      <c r="M3655" s="73"/>
      <c r="N3655" s="499"/>
      <c r="O3655" s="73"/>
      <c r="P3655" s="73"/>
      <c r="Q3655" s="73"/>
      <c r="R3655" s="176"/>
      <c r="S3655" s="176"/>
      <c r="T3655" s="176"/>
      <c r="U3655" s="400"/>
      <c r="V3655" s="400"/>
      <c r="W3655" s="732"/>
      <c r="X3655" s="167"/>
      <c r="Y3655" s="509"/>
      <c r="Z3655" s="466"/>
      <c r="AA3655" s="466"/>
      <c r="AB3655" s="466"/>
      <c r="AC3655" s="466"/>
      <c r="AD3655" s="466"/>
      <c r="AE3655" s="466"/>
      <c r="AF3655" s="466"/>
      <c r="AG3655" s="466"/>
      <c r="AH3655" s="466"/>
      <c r="AI3655" s="466"/>
      <c r="AJ3655" s="466"/>
      <c r="AK3655" s="466"/>
      <c r="AL3655" s="466"/>
      <c r="AM3655" s="466"/>
      <c r="AN3655" s="466"/>
      <c r="AO3655" s="466"/>
      <c r="AP3655" s="466"/>
      <c r="AQ3655" s="466"/>
      <c r="AR3655" s="466"/>
      <c r="AS3655" s="466"/>
      <c r="AT3655" s="466"/>
      <c r="AU3655" s="466"/>
      <c r="AV3655" s="466"/>
      <c r="AW3655" s="466"/>
      <c r="AX3655" s="466"/>
      <c r="AY3655" s="466"/>
      <c r="AZ3655" s="466"/>
      <c r="BA3655" s="466"/>
      <c r="BB3655" s="466"/>
      <c r="BC3655" s="466"/>
      <c r="BD3655" s="466"/>
      <c r="BE3655" s="467"/>
      <c r="BF3655" s="467"/>
      <c r="BG3655" s="466"/>
      <c r="BH3655" s="466"/>
      <c r="BI3655" s="467"/>
      <c r="BJ3655" s="467"/>
      <c r="BK3655" s="467"/>
      <c r="BL3655" s="467"/>
      <c r="BM3655" s="467"/>
      <c r="BN3655" s="467"/>
      <c r="BO3655" s="467"/>
      <c r="BP3655" s="467"/>
      <c r="BQ3655" s="467"/>
      <c r="BR3655" s="467"/>
      <c r="BS3655" s="467"/>
      <c r="BT3655" s="467"/>
      <c r="BU3655" s="467"/>
      <c r="BV3655" s="467"/>
      <c r="BW3655" s="467"/>
      <c r="BX3655" s="769"/>
      <c r="BY3655" s="769"/>
      <c r="BZ3655" s="769"/>
      <c r="CA3655" s="769"/>
      <c r="CB3655" s="769"/>
      <c r="CC3655" s="769"/>
      <c r="CD3655" s="769"/>
      <c r="CE3655" s="769"/>
      <c r="CF3655" s="769"/>
      <c r="CG3655" s="73"/>
      <c r="CH3655" s="438"/>
      <c r="CI3655" s="416"/>
      <c r="CJ3655" s="73"/>
      <c r="CK3655" s="650"/>
      <c r="CL3655" s="499"/>
      <c r="CM3655" s="650"/>
      <c r="CR3655" s="416"/>
      <c r="CS3655" s="650"/>
      <c r="CU3655" s="73"/>
      <c r="CV3655" s="73"/>
      <c r="CW3655" s="73"/>
      <c r="CX3655" s="73"/>
      <c r="DA3655" s="650"/>
    </row>
    <row r="3656" spans="1:105" s="45" customFormat="1" x14ac:dyDescent="0.2">
      <c r="A3656" s="650"/>
      <c r="B3656" s="438"/>
      <c r="D3656" s="73"/>
      <c r="E3656" s="650"/>
      <c r="F3656" s="650"/>
      <c r="G3656" s="73"/>
      <c r="I3656" s="111"/>
      <c r="J3656" s="81"/>
      <c r="K3656" s="81"/>
      <c r="L3656" s="499"/>
      <c r="M3656" s="73"/>
      <c r="N3656" s="499"/>
      <c r="O3656" s="73"/>
      <c r="P3656" s="73"/>
      <c r="Q3656" s="73"/>
      <c r="R3656" s="176"/>
      <c r="S3656" s="176"/>
      <c r="T3656" s="176"/>
      <c r="U3656" s="400"/>
      <c r="V3656" s="400"/>
      <c r="W3656" s="732"/>
      <c r="X3656" s="167"/>
      <c r="Y3656" s="509"/>
      <c r="Z3656" s="466"/>
      <c r="AA3656" s="466"/>
      <c r="AB3656" s="466"/>
      <c r="AC3656" s="466"/>
      <c r="AD3656" s="466"/>
      <c r="AE3656" s="466"/>
      <c r="AF3656" s="466"/>
      <c r="AG3656" s="466"/>
      <c r="AH3656" s="466"/>
      <c r="AI3656" s="466"/>
      <c r="AJ3656" s="466"/>
      <c r="AK3656" s="466"/>
      <c r="AL3656" s="466"/>
      <c r="AM3656" s="466"/>
      <c r="AN3656" s="466"/>
      <c r="AO3656" s="466"/>
      <c r="AP3656" s="466"/>
      <c r="AQ3656" s="466"/>
      <c r="AR3656" s="466"/>
      <c r="AS3656" s="466"/>
      <c r="AT3656" s="466"/>
      <c r="AU3656" s="466"/>
      <c r="AV3656" s="466"/>
      <c r="AW3656" s="466"/>
      <c r="AX3656" s="466"/>
      <c r="AY3656" s="466"/>
      <c r="AZ3656" s="466"/>
      <c r="BA3656" s="466"/>
      <c r="BB3656" s="466"/>
      <c r="BC3656" s="466"/>
      <c r="BD3656" s="466"/>
      <c r="BE3656" s="467"/>
      <c r="BF3656" s="467"/>
      <c r="BG3656" s="466"/>
      <c r="BH3656" s="466"/>
      <c r="BI3656" s="467"/>
      <c r="BJ3656" s="467"/>
      <c r="BK3656" s="467"/>
      <c r="BL3656" s="467"/>
      <c r="BM3656" s="467"/>
      <c r="BN3656" s="467"/>
      <c r="BO3656" s="467"/>
      <c r="BP3656" s="467"/>
      <c r="BQ3656" s="467"/>
      <c r="BR3656" s="467"/>
      <c r="BS3656" s="467"/>
      <c r="BT3656" s="467"/>
      <c r="BU3656" s="467"/>
      <c r="BV3656" s="467"/>
      <c r="BW3656" s="467"/>
      <c r="BX3656" s="769"/>
      <c r="BY3656" s="769"/>
      <c r="BZ3656" s="769"/>
      <c r="CA3656" s="769"/>
      <c r="CB3656" s="769"/>
      <c r="CC3656" s="769"/>
      <c r="CD3656" s="769"/>
      <c r="CE3656" s="769"/>
      <c r="CF3656" s="769"/>
      <c r="CG3656" s="73"/>
      <c r="CH3656" s="438"/>
      <c r="CI3656" s="416"/>
      <c r="CJ3656" s="73"/>
      <c r="CK3656" s="650"/>
      <c r="CL3656" s="499"/>
      <c r="CM3656" s="650"/>
      <c r="CR3656" s="416"/>
      <c r="CS3656" s="650"/>
      <c r="CU3656" s="73"/>
      <c r="CV3656" s="73"/>
      <c r="CW3656" s="73"/>
      <c r="CX3656" s="73"/>
      <c r="DA3656" s="650"/>
    </row>
    <row r="3657" spans="1:105" s="45" customFormat="1" x14ac:dyDescent="0.2">
      <c r="A3657" s="650"/>
      <c r="B3657" s="438"/>
      <c r="D3657" s="73"/>
      <c r="E3657" s="650"/>
      <c r="F3657" s="650"/>
      <c r="G3657" s="73"/>
      <c r="I3657" s="111"/>
      <c r="J3657" s="81"/>
      <c r="K3657" s="81"/>
      <c r="L3657" s="499"/>
      <c r="M3657" s="73"/>
      <c r="N3657" s="499"/>
      <c r="O3657" s="73"/>
      <c r="P3657" s="73"/>
      <c r="Q3657" s="73"/>
      <c r="R3657" s="176"/>
      <c r="S3657" s="176"/>
      <c r="T3657" s="176"/>
      <c r="U3657" s="400"/>
      <c r="V3657" s="400"/>
      <c r="W3657" s="732"/>
      <c r="X3657" s="167"/>
      <c r="Y3657" s="509"/>
      <c r="Z3657" s="466"/>
      <c r="AA3657" s="466"/>
      <c r="AB3657" s="466"/>
      <c r="AC3657" s="466"/>
      <c r="AD3657" s="466"/>
      <c r="AE3657" s="466"/>
      <c r="AF3657" s="466"/>
      <c r="AG3657" s="466"/>
      <c r="AH3657" s="466"/>
      <c r="AI3657" s="466"/>
      <c r="AJ3657" s="466"/>
      <c r="AK3657" s="466"/>
      <c r="AL3657" s="466"/>
      <c r="AM3657" s="466"/>
      <c r="AN3657" s="466"/>
      <c r="AO3657" s="466"/>
      <c r="AP3657" s="466"/>
      <c r="AQ3657" s="466"/>
      <c r="AR3657" s="466"/>
      <c r="AS3657" s="466"/>
      <c r="AT3657" s="466"/>
      <c r="AU3657" s="466"/>
      <c r="AV3657" s="466"/>
      <c r="AW3657" s="466"/>
      <c r="AX3657" s="466"/>
      <c r="AY3657" s="466"/>
      <c r="AZ3657" s="466"/>
      <c r="BA3657" s="466"/>
      <c r="BB3657" s="466"/>
      <c r="BC3657" s="466"/>
      <c r="BD3657" s="466"/>
      <c r="BE3657" s="467"/>
      <c r="BF3657" s="467"/>
      <c r="BG3657" s="466"/>
      <c r="BH3657" s="466"/>
      <c r="BI3657" s="467"/>
      <c r="BJ3657" s="467"/>
      <c r="BK3657" s="467"/>
      <c r="BL3657" s="467"/>
      <c r="BM3657" s="467"/>
      <c r="BN3657" s="467"/>
      <c r="BO3657" s="467"/>
      <c r="BP3657" s="467"/>
      <c r="BQ3657" s="467"/>
      <c r="BR3657" s="467"/>
      <c r="BS3657" s="467"/>
      <c r="BT3657" s="467"/>
      <c r="BU3657" s="467"/>
      <c r="BV3657" s="467"/>
      <c r="BW3657" s="467"/>
      <c r="BX3657" s="769"/>
      <c r="BY3657" s="769"/>
      <c r="BZ3657" s="769"/>
      <c r="CA3657" s="769"/>
      <c r="CB3657" s="769"/>
      <c r="CC3657" s="769"/>
      <c r="CD3657" s="769"/>
      <c r="CE3657" s="769"/>
      <c r="CF3657" s="769"/>
      <c r="CG3657" s="73"/>
      <c r="CH3657" s="438"/>
      <c r="CI3657" s="416"/>
      <c r="CJ3657" s="73"/>
      <c r="CK3657" s="650"/>
      <c r="CL3657" s="499"/>
      <c r="CM3657" s="650"/>
      <c r="CR3657" s="416"/>
      <c r="CS3657" s="650"/>
      <c r="CU3657" s="73"/>
      <c r="CV3657" s="73"/>
      <c r="CW3657" s="73"/>
      <c r="CX3657" s="73"/>
      <c r="DA3657" s="650"/>
    </row>
    <row r="3658" spans="1:105" s="45" customFormat="1" x14ac:dyDescent="0.2">
      <c r="A3658" s="650"/>
      <c r="B3658" s="438"/>
      <c r="D3658" s="73"/>
      <c r="E3658" s="650"/>
      <c r="F3658" s="650"/>
      <c r="G3658" s="73"/>
      <c r="I3658" s="111"/>
      <c r="J3658" s="81"/>
      <c r="K3658" s="81"/>
      <c r="L3658" s="499"/>
      <c r="M3658" s="73"/>
      <c r="N3658" s="499"/>
      <c r="O3658" s="73"/>
      <c r="P3658" s="73"/>
      <c r="Q3658" s="73"/>
      <c r="R3658" s="176"/>
      <c r="S3658" s="176"/>
      <c r="T3658" s="176"/>
      <c r="U3658" s="400"/>
      <c r="V3658" s="400"/>
      <c r="W3658" s="732"/>
      <c r="X3658" s="167"/>
      <c r="Y3658" s="509"/>
      <c r="Z3658" s="466"/>
      <c r="AA3658" s="466"/>
      <c r="AB3658" s="466"/>
      <c r="AC3658" s="466"/>
      <c r="AD3658" s="466"/>
      <c r="AE3658" s="466"/>
      <c r="AF3658" s="466"/>
      <c r="AG3658" s="466"/>
      <c r="AH3658" s="466"/>
      <c r="AI3658" s="466"/>
      <c r="AJ3658" s="466"/>
      <c r="AK3658" s="466"/>
      <c r="AL3658" s="466"/>
      <c r="AM3658" s="466"/>
      <c r="AN3658" s="466"/>
      <c r="AO3658" s="466"/>
      <c r="AP3658" s="466"/>
      <c r="AQ3658" s="466"/>
      <c r="AR3658" s="466"/>
      <c r="AS3658" s="466"/>
      <c r="AT3658" s="466"/>
      <c r="AU3658" s="466"/>
      <c r="AV3658" s="466"/>
      <c r="AW3658" s="466"/>
      <c r="AX3658" s="466"/>
      <c r="AY3658" s="466"/>
      <c r="AZ3658" s="466"/>
      <c r="BA3658" s="466"/>
      <c r="BB3658" s="466"/>
      <c r="BC3658" s="466"/>
      <c r="BD3658" s="466"/>
      <c r="BE3658" s="467"/>
      <c r="BF3658" s="467"/>
      <c r="BG3658" s="466"/>
      <c r="BH3658" s="466"/>
      <c r="BI3658" s="467"/>
      <c r="BJ3658" s="467"/>
      <c r="BK3658" s="467"/>
      <c r="BL3658" s="467"/>
      <c r="BM3658" s="467"/>
      <c r="BN3658" s="467"/>
      <c r="BO3658" s="467"/>
      <c r="BP3658" s="467"/>
      <c r="BQ3658" s="467"/>
      <c r="BR3658" s="467"/>
      <c r="BS3658" s="467"/>
      <c r="BT3658" s="467"/>
      <c r="BU3658" s="467"/>
      <c r="BV3658" s="467"/>
      <c r="BW3658" s="467"/>
      <c r="BX3658" s="769"/>
      <c r="BY3658" s="769"/>
      <c r="BZ3658" s="769"/>
      <c r="CA3658" s="769"/>
      <c r="CB3658" s="769"/>
      <c r="CC3658" s="769"/>
      <c r="CD3658" s="769"/>
      <c r="CE3658" s="769"/>
      <c r="CF3658" s="769"/>
      <c r="CG3658" s="73"/>
      <c r="CH3658" s="438"/>
      <c r="CI3658" s="416"/>
      <c r="CJ3658" s="73"/>
      <c r="CK3658" s="650"/>
      <c r="CL3658" s="499"/>
      <c r="CM3658" s="650"/>
      <c r="CR3658" s="416"/>
      <c r="CS3658" s="650"/>
      <c r="CU3658" s="73"/>
      <c r="CV3658" s="73"/>
      <c r="CW3658" s="73"/>
      <c r="CX3658" s="73"/>
      <c r="DA3658" s="650"/>
    </row>
    <row r="3659" spans="1:105" s="45" customFormat="1" x14ac:dyDescent="0.2">
      <c r="A3659" s="650"/>
      <c r="B3659" s="438"/>
      <c r="D3659" s="73"/>
      <c r="E3659" s="650"/>
      <c r="F3659" s="650"/>
      <c r="G3659" s="73"/>
      <c r="I3659" s="111"/>
      <c r="J3659" s="81"/>
      <c r="K3659" s="81"/>
      <c r="L3659" s="499"/>
      <c r="M3659" s="73"/>
      <c r="N3659" s="499"/>
      <c r="O3659" s="73"/>
      <c r="P3659" s="73"/>
      <c r="Q3659" s="73"/>
      <c r="R3659" s="176"/>
      <c r="S3659" s="176"/>
      <c r="T3659" s="176"/>
      <c r="U3659" s="400"/>
      <c r="V3659" s="400"/>
      <c r="W3659" s="732"/>
      <c r="X3659" s="167"/>
      <c r="Y3659" s="509"/>
      <c r="Z3659" s="466"/>
      <c r="AA3659" s="466"/>
      <c r="AB3659" s="466"/>
      <c r="AC3659" s="466"/>
      <c r="AD3659" s="466"/>
      <c r="AE3659" s="466"/>
      <c r="AF3659" s="466"/>
      <c r="AG3659" s="466"/>
      <c r="AH3659" s="466"/>
      <c r="AI3659" s="466"/>
      <c r="AJ3659" s="466"/>
      <c r="AK3659" s="466"/>
      <c r="AL3659" s="466"/>
      <c r="AM3659" s="466"/>
      <c r="AN3659" s="466"/>
      <c r="AO3659" s="466"/>
      <c r="AP3659" s="466"/>
      <c r="AQ3659" s="466"/>
      <c r="AR3659" s="466"/>
      <c r="AS3659" s="466"/>
      <c r="AT3659" s="466"/>
      <c r="AU3659" s="466"/>
      <c r="AV3659" s="466"/>
      <c r="AW3659" s="466"/>
      <c r="AX3659" s="466"/>
      <c r="AY3659" s="466"/>
      <c r="AZ3659" s="466"/>
      <c r="BA3659" s="466"/>
      <c r="BB3659" s="466"/>
      <c r="BC3659" s="466"/>
      <c r="BD3659" s="466"/>
      <c r="BE3659" s="467"/>
      <c r="BF3659" s="467"/>
      <c r="BG3659" s="466"/>
      <c r="BH3659" s="466"/>
      <c r="BI3659" s="467"/>
      <c r="BJ3659" s="467"/>
      <c r="BK3659" s="467"/>
      <c r="BL3659" s="467"/>
      <c r="BM3659" s="467"/>
      <c r="BN3659" s="467"/>
      <c r="BO3659" s="467"/>
      <c r="BP3659" s="467"/>
      <c r="BQ3659" s="467"/>
      <c r="BR3659" s="467"/>
      <c r="BS3659" s="467"/>
      <c r="BT3659" s="467"/>
      <c r="BU3659" s="467"/>
      <c r="BV3659" s="467"/>
      <c r="BW3659" s="467"/>
      <c r="BX3659" s="769"/>
      <c r="BY3659" s="769"/>
      <c r="BZ3659" s="769"/>
      <c r="CA3659" s="769"/>
      <c r="CB3659" s="769"/>
      <c r="CC3659" s="769"/>
      <c r="CD3659" s="769"/>
      <c r="CE3659" s="769"/>
      <c r="CF3659" s="769"/>
      <c r="CG3659" s="73"/>
      <c r="CH3659" s="438"/>
      <c r="CI3659" s="416"/>
      <c r="CJ3659" s="73"/>
      <c r="CK3659" s="650"/>
      <c r="CL3659" s="499"/>
      <c r="CM3659" s="650"/>
      <c r="CR3659" s="416"/>
      <c r="CS3659" s="650"/>
      <c r="CU3659" s="73"/>
      <c r="CV3659" s="73"/>
      <c r="CW3659" s="73"/>
      <c r="CX3659" s="73"/>
      <c r="DA3659" s="650"/>
    </row>
    <row r="3660" spans="1:105" s="45" customFormat="1" x14ac:dyDescent="0.2">
      <c r="A3660" s="650"/>
      <c r="B3660" s="438"/>
      <c r="D3660" s="73"/>
      <c r="E3660" s="650"/>
      <c r="F3660" s="650"/>
      <c r="G3660" s="73"/>
      <c r="I3660" s="111"/>
      <c r="J3660" s="81"/>
      <c r="K3660" s="81"/>
      <c r="L3660" s="499"/>
      <c r="M3660" s="73"/>
      <c r="N3660" s="499"/>
      <c r="O3660" s="73"/>
      <c r="P3660" s="73"/>
      <c r="Q3660" s="73"/>
      <c r="R3660" s="176"/>
      <c r="S3660" s="176"/>
      <c r="T3660" s="176"/>
      <c r="U3660" s="400"/>
      <c r="V3660" s="400"/>
      <c r="W3660" s="732"/>
      <c r="X3660" s="167"/>
      <c r="Y3660" s="509"/>
      <c r="Z3660" s="466"/>
      <c r="AA3660" s="466"/>
      <c r="AB3660" s="466"/>
      <c r="AC3660" s="466"/>
      <c r="AD3660" s="466"/>
      <c r="AE3660" s="466"/>
      <c r="AF3660" s="466"/>
      <c r="AG3660" s="466"/>
      <c r="AH3660" s="466"/>
      <c r="AI3660" s="466"/>
      <c r="AJ3660" s="466"/>
      <c r="AK3660" s="466"/>
      <c r="AL3660" s="466"/>
      <c r="AM3660" s="466"/>
      <c r="AN3660" s="466"/>
      <c r="AO3660" s="466"/>
      <c r="AP3660" s="466"/>
      <c r="AQ3660" s="466"/>
      <c r="AR3660" s="466"/>
      <c r="AS3660" s="466"/>
      <c r="AT3660" s="466"/>
      <c r="AU3660" s="466"/>
      <c r="AV3660" s="466"/>
      <c r="AW3660" s="466"/>
      <c r="AX3660" s="466"/>
      <c r="AY3660" s="466"/>
      <c r="AZ3660" s="466"/>
      <c r="BA3660" s="466"/>
      <c r="BB3660" s="466"/>
      <c r="BC3660" s="466"/>
      <c r="BD3660" s="466"/>
      <c r="BE3660" s="467"/>
      <c r="BF3660" s="467"/>
      <c r="BG3660" s="466"/>
      <c r="BH3660" s="466"/>
      <c r="BI3660" s="467"/>
      <c r="BJ3660" s="467"/>
      <c r="BK3660" s="467"/>
      <c r="BL3660" s="467"/>
      <c r="BM3660" s="467"/>
      <c r="BN3660" s="467"/>
      <c r="BO3660" s="467"/>
      <c r="BP3660" s="467"/>
      <c r="BQ3660" s="467"/>
      <c r="BR3660" s="467"/>
      <c r="BS3660" s="467"/>
      <c r="BT3660" s="467"/>
      <c r="BU3660" s="467"/>
      <c r="BV3660" s="467"/>
      <c r="BW3660" s="467"/>
      <c r="BX3660" s="769"/>
      <c r="BY3660" s="769"/>
      <c r="BZ3660" s="769"/>
      <c r="CA3660" s="769"/>
      <c r="CB3660" s="769"/>
      <c r="CC3660" s="769"/>
      <c r="CD3660" s="769"/>
      <c r="CE3660" s="769"/>
      <c r="CF3660" s="769"/>
      <c r="CG3660" s="73"/>
      <c r="CH3660" s="438"/>
      <c r="CI3660" s="416"/>
      <c r="CJ3660" s="73"/>
      <c r="CK3660" s="650"/>
      <c r="CL3660" s="499"/>
      <c r="CM3660" s="650"/>
      <c r="CR3660" s="416"/>
      <c r="CS3660" s="650"/>
      <c r="CU3660" s="73"/>
      <c r="CV3660" s="73"/>
      <c r="CW3660" s="73"/>
      <c r="CX3660" s="73"/>
      <c r="DA3660" s="650"/>
    </row>
    <row r="3661" spans="1:105" s="45" customFormat="1" x14ac:dyDescent="0.2">
      <c r="A3661" s="650"/>
      <c r="B3661" s="438"/>
      <c r="D3661" s="73"/>
      <c r="E3661" s="650"/>
      <c r="F3661" s="650"/>
      <c r="G3661" s="73"/>
      <c r="I3661" s="111"/>
      <c r="J3661" s="81"/>
      <c r="K3661" s="81"/>
      <c r="L3661" s="499"/>
      <c r="M3661" s="73"/>
      <c r="N3661" s="499"/>
      <c r="O3661" s="73"/>
      <c r="P3661" s="73"/>
      <c r="Q3661" s="73"/>
      <c r="R3661" s="176"/>
      <c r="S3661" s="176"/>
      <c r="T3661" s="176"/>
      <c r="U3661" s="400"/>
      <c r="V3661" s="400"/>
      <c r="W3661" s="732"/>
      <c r="X3661" s="167"/>
      <c r="Y3661" s="509"/>
      <c r="Z3661" s="466"/>
      <c r="AA3661" s="466"/>
      <c r="AB3661" s="466"/>
      <c r="AC3661" s="466"/>
      <c r="AD3661" s="466"/>
      <c r="AE3661" s="466"/>
      <c r="AF3661" s="466"/>
      <c r="AG3661" s="466"/>
      <c r="AH3661" s="466"/>
      <c r="AI3661" s="466"/>
      <c r="AJ3661" s="466"/>
      <c r="AK3661" s="466"/>
      <c r="AL3661" s="466"/>
      <c r="AM3661" s="466"/>
      <c r="AN3661" s="466"/>
      <c r="AO3661" s="466"/>
      <c r="AP3661" s="466"/>
      <c r="AQ3661" s="466"/>
      <c r="AR3661" s="466"/>
      <c r="AS3661" s="466"/>
      <c r="AT3661" s="466"/>
      <c r="AU3661" s="466"/>
      <c r="AV3661" s="466"/>
      <c r="AW3661" s="466"/>
      <c r="AX3661" s="466"/>
      <c r="AY3661" s="466"/>
      <c r="AZ3661" s="466"/>
      <c r="BA3661" s="466"/>
      <c r="BB3661" s="466"/>
      <c r="BC3661" s="466"/>
      <c r="BD3661" s="466"/>
      <c r="BE3661" s="467"/>
      <c r="BF3661" s="467"/>
      <c r="BG3661" s="466"/>
      <c r="BH3661" s="466"/>
      <c r="BI3661" s="467"/>
      <c r="BJ3661" s="467"/>
      <c r="BK3661" s="467"/>
      <c r="BL3661" s="467"/>
      <c r="BM3661" s="467"/>
      <c r="BN3661" s="467"/>
      <c r="BO3661" s="467"/>
      <c r="BP3661" s="467"/>
      <c r="BQ3661" s="467"/>
      <c r="BR3661" s="467"/>
      <c r="BS3661" s="467"/>
      <c r="BT3661" s="467"/>
      <c r="BU3661" s="467"/>
      <c r="BV3661" s="467"/>
      <c r="BW3661" s="467"/>
      <c r="BX3661" s="769"/>
      <c r="BY3661" s="769"/>
      <c r="BZ3661" s="769"/>
      <c r="CA3661" s="769"/>
      <c r="CB3661" s="769"/>
      <c r="CC3661" s="769"/>
      <c r="CD3661" s="769"/>
      <c r="CE3661" s="769"/>
      <c r="CF3661" s="769"/>
      <c r="CG3661" s="73"/>
      <c r="CH3661" s="438"/>
      <c r="CI3661" s="416"/>
      <c r="CJ3661" s="73"/>
      <c r="CK3661" s="650"/>
      <c r="CL3661" s="499"/>
      <c r="CM3661" s="650"/>
      <c r="CR3661" s="416"/>
      <c r="CS3661" s="650"/>
      <c r="CU3661" s="73"/>
      <c r="CV3661" s="73"/>
      <c r="CW3661" s="73"/>
      <c r="CX3661" s="73"/>
      <c r="DA3661" s="650"/>
    </row>
    <row r="3662" spans="1:105" s="45" customFormat="1" x14ac:dyDescent="0.2">
      <c r="A3662" s="650"/>
      <c r="B3662" s="438"/>
      <c r="D3662" s="73"/>
      <c r="E3662" s="650"/>
      <c r="F3662" s="650"/>
      <c r="G3662" s="73"/>
      <c r="I3662" s="111"/>
      <c r="J3662" s="81"/>
      <c r="K3662" s="81"/>
      <c r="L3662" s="499"/>
      <c r="M3662" s="73"/>
      <c r="N3662" s="499"/>
      <c r="O3662" s="73"/>
      <c r="P3662" s="73"/>
      <c r="Q3662" s="73"/>
      <c r="R3662" s="176"/>
      <c r="S3662" s="176"/>
      <c r="T3662" s="176"/>
      <c r="U3662" s="400"/>
      <c r="V3662" s="400"/>
      <c r="W3662" s="732"/>
      <c r="X3662" s="167"/>
      <c r="Y3662" s="509"/>
      <c r="Z3662" s="466"/>
      <c r="AA3662" s="466"/>
      <c r="AB3662" s="466"/>
      <c r="AC3662" s="466"/>
      <c r="AD3662" s="466"/>
      <c r="AE3662" s="466"/>
      <c r="AF3662" s="466"/>
      <c r="AG3662" s="466"/>
      <c r="AH3662" s="466"/>
      <c r="AI3662" s="466"/>
      <c r="AJ3662" s="466"/>
      <c r="AK3662" s="466"/>
      <c r="AL3662" s="466"/>
      <c r="AM3662" s="466"/>
      <c r="AN3662" s="466"/>
      <c r="AO3662" s="466"/>
      <c r="AP3662" s="466"/>
      <c r="AQ3662" s="466"/>
      <c r="AR3662" s="466"/>
      <c r="AS3662" s="466"/>
      <c r="AT3662" s="466"/>
      <c r="AU3662" s="466"/>
      <c r="AV3662" s="466"/>
      <c r="AW3662" s="466"/>
      <c r="AX3662" s="466"/>
      <c r="AY3662" s="466"/>
      <c r="AZ3662" s="466"/>
      <c r="BA3662" s="466"/>
      <c r="BB3662" s="466"/>
      <c r="BC3662" s="466"/>
      <c r="BD3662" s="466"/>
      <c r="BE3662" s="467"/>
      <c r="BF3662" s="467"/>
      <c r="BG3662" s="466"/>
      <c r="BH3662" s="466"/>
      <c r="BI3662" s="467"/>
      <c r="BJ3662" s="467"/>
      <c r="BK3662" s="467"/>
      <c r="BL3662" s="467"/>
      <c r="BM3662" s="467"/>
      <c r="BN3662" s="467"/>
      <c r="BO3662" s="467"/>
      <c r="BP3662" s="467"/>
      <c r="BQ3662" s="467"/>
      <c r="BR3662" s="467"/>
      <c r="BS3662" s="467"/>
      <c r="BT3662" s="467"/>
      <c r="BU3662" s="467"/>
      <c r="BV3662" s="467"/>
      <c r="BW3662" s="467"/>
      <c r="BX3662" s="769"/>
      <c r="BY3662" s="769"/>
      <c r="BZ3662" s="769"/>
      <c r="CA3662" s="769"/>
      <c r="CB3662" s="769"/>
      <c r="CC3662" s="769"/>
      <c r="CD3662" s="769"/>
      <c r="CE3662" s="769"/>
      <c r="CF3662" s="769"/>
      <c r="CG3662" s="73"/>
      <c r="CH3662" s="438"/>
      <c r="CI3662" s="416"/>
      <c r="CJ3662" s="73"/>
      <c r="CK3662" s="650"/>
      <c r="CL3662" s="499"/>
      <c r="CM3662" s="650"/>
      <c r="CR3662" s="416"/>
      <c r="CS3662" s="650"/>
      <c r="CU3662" s="73"/>
      <c r="CV3662" s="73"/>
      <c r="CW3662" s="73"/>
      <c r="CX3662" s="73"/>
      <c r="DA3662" s="650"/>
    </row>
    <row r="3663" spans="1:105" s="45" customFormat="1" x14ac:dyDescent="0.2">
      <c r="A3663" s="650"/>
      <c r="B3663" s="438"/>
      <c r="D3663" s="73"/>
      <c r="E3663" s="650"/>
      <c r="F3663" s="650"/>
      <c r="G3663" s="73"/>
      <c r="I3663" s="111"/>
      <c r="J3663" s="81"/>
      <c r="K3663" s="81"/>
      <c r="L3663" s="499"/>
      <c r="M3663" s="73"/>
      <c r="N3663" s="499"/>
      <c r="O3663" s="73"/>
      <c r="P3663" s="73"/>
      <c r="Q3663" s="73"/>
      <c r="R3663" s="176"/>
      <c r="S3663" s="176"/>
      <c r="T3663" s="176"/>
      <c r="U3663" s="400"/>
      <c r="V3663" s="400"/>
      <c r="W3663" s="732"/>
      <c r="X3663" s="167"/>
      <c r="Y3663" s="509"/>
      <c r="Z3663" s="466"/>
      <c r="AA3663" s="466"/>
      <c r="AB3663" s="466"/>
      <c r="AC3663" s="466"/>
      <c r="AD3663" s="466"/>
      <c r="AE3663" s="466"/>
      <c r="AF3663" s="466"/>
      <c r="AG3663" s="466"/>
      <c r="AH3663" s="466"/>
      <c r="AI3663" s="466"/>
      <c r="AJ3663" s="466"/>
      <c r="AK3663" s="466"/>
      <c r="AL3663" s="466"/>
      <c r="AM3663" s="466"/>
      <c r="AN3663" s="466"/>
      <c r="AO3663" s="466"/>
      <c r="AP3663" s="466"/>
      <c r="AQ3663" s="466"/>
      <c r="AR3663" s="466"/>
      <c r="AS3663" s="466"/>
      <c r="AT3663" s="466"/>
      <c r="AU3663" s="466"/>
      <c r="AV3663" s="466"/>
      <c r="AW3663" s="466"/>
      <c r="AX3663" s="466"/>
      <c r="AY3663" s="466"/>
      <c r="AZ3663" s="466"/>
      <c r="BA3663" s="466"/>
      <c r="BB3663" s="466"/>
      <c r="BC3663" s="466"/>
      <c r="BD3663" s="466"/>
      <c r="BE3663" s="467"/>
      <c r="BF3663" s="467"/>
      <c r="BG3663" s="466"/>
      <c r="BH3663" s="466"/>
      <c r="BI3663" s="467"/>
      <c r="BJ3663" s="467"/>
      <c r="BK3663" s="467"/>
      <c r="BL3663" s="467"/>
      <c r="BM3663" s="467"/>
      <c r="BN3663" s="467"/>
      <c r="BO3663" s="467"/>
      <c r="BP3663" s="467"/>
      <c r="BQ3663" s="467"/>
      <c r="BR3663" s="467"/>
      <c r="BS3663" s="467"/>
      <c r="BT3663" s="467"/>
      <c r="BU3663" s="467"/>
      <c r="BV3663" s="467"/>
      <c r="BW3663" s="467"/>
      <c r="BX3663" s="769"/>
      <c r="BY3663" s="769"/>
      <c r="BZ3663" s="769"/>
      <c r="CA3663" s="769"/>
      <c r="CB3663" s="769"/>
      <c r="CC3663" s="769"/>
      <c r="CD3663" s="769"/>
      <c r="CE3663" s="769"/>
      <c r="CF3663" s="769"/>
      <c r="CG3663" s="73"/>
      <c r="CH3663" s="438"/>
      <c r="CI3663" s="416"/>
      <c r="CJ3663" s="73"/>
      <c r="CK3663" s="650"/>
      <c r="CL3663" s="499"/>
      <c r="CM3663" s="650"/>
      <c r="CR3663" s="416"/>
      <c r="CS3663" s="650"/>
      <c r="CU3663" s="73"/>
      <c r="CV3663" s="73"/>
      <c r="CW3663" s="73"/>
      <c r="CX3663" s="73"/>
      <c r="DA3663" s="650"/>
    </row>
    <row r="3664" spans="1:105" s="45" customFormat="1" x14ac:dyDescent="0.2">
      <c r="A3664" s="650"/>
      <c r="B3664" s="438"/>
      <c r="D3664" s="73"/>
      <c r="E3664" s="650"/>
      <c r="F3664" s="650"/>
      <c r="G3664" s="73"/>
      <c r="I3664" s="111"/>
      <c r="J3664" s="81"/>
      <c r="K3664" s="81"/>
      <c r="L3664" s="499"/>
      <c r="M3664" s="73"/>
      <c r="N3664" s="499"/>
      <c r="O3664" s="73"/>
      <c r="P3664" s="73"/>
      <c r="Q3664" s="73"/>
      <c r="R3664" s="176"/>
      <c r="S3664" s="176"/>
      <c r="T3664" s="176"/>
      <c r="U3664" s="400"/>
      <c r="V3664" s="400"/>
      <c r="W3664" s="732"/>
      <c r="X3664" s="167"/>
      <c r="Y3664" s="509"/>
      <c r="Z3664" s="466"/>
      <c r="AA3664" s="466"/>
      <c r="AB3664" s="466"/>
      <c r="AC3664" s="466"/>
      <c r="AD3664" s="466"/>
      <c r="AE3664" s="466"/>
      <c r="AF3664" s="466"/>
      <c r="AG3664" s="466"/>
      <c r="AH3664" s="466"/>
      <c r="AI3664" s="466"/>
      <c r="AJ3664" s="466"/>
      <c r="AK3664" s="466"/>
      <c r="AL3664" s="466"/>
      <c r="AM3664" s="466"/>
      <c r="AN3664" s="466"/>
      <c r="AO3664" s="466"/>
      <c r="AP3664" s="466"/>
      <c r="AQ3664" s="466"/>
      <c r="AR3664" s="466"/>
      <c r="AS3664" s="466"/>
      <c r="AT3664" s="466"/>
      <c r="AU3664" s="466"/>
      <c r="AV3664" s="466"/>
      <c r="AW3664" s="466"/>
      <c r="AX3664" s="466"/>
      <c r="AY3664" s="466"/>
      <c r="AZ3664" s="466"/>
      <c r="BA3664" s="466"/>
      <c r="BB3664" s="466"/>
      <c r="BC3664" s="466"/>
      <c r="BD3664" s="466"/>
      <c r="BE3664" s="467"/>
      <c r="BF3664" s="467"/>
      <c r="BG3664" s="466"/>
      <c r="BH3664" s="466"/>
      <c r="BI3664" s="467"/>
      <c r="BJ3664" s="467"/>
      <c r="BK3664" s="467"/>
      <c r="BL3664" s="467"/>
      <c r="BM3664" s="467"/>
      <c r="BN3664" s="467"/>
      <c r="BO3664" s="467"/>
      <c r="BP3664" s="467"/>
      <c r="BQ3664" s="467"/>
      <c r="BR3664" s="467"/>
      <c r="BS3664" s="467"/>
      <c r="BT3664" s="467"/>
      <c r="BU3664" s="467"/>
      <c r="BV3664" s="467"/>
      <c r="BW3664" s="467"/>
      <c r="BX3664" s="769"/>
      <c r="BY3664" s="769"/>
      <c r="BZ3664" s="769"/>
      <c r="CA3664" s="769"/>
      <c r="CB3664" s="769"/>
      <c r="CC3664" s="769"/>
      <c r="CD3664" s="769"/>
      <c r="CE3664" s="769"/>
      <c r="CF3664" s="769"/>
      <c r="CG3664" s="73"/>
      <c r="CH3664" s="438"/>
      <c r="CI3664" s="416"/>
      <c r="CJ3664" s="73"/>
      <c r="CK3664" s="650"/>
      <c r="CL3664" s="499"/>
      <c r="CM3664" s="650"/>
      <c r="CR3664" s="416"/>
      <c r="CS3664" s="650"/>
      <c r="CU3664" s="73"/>
      <c r="CV3664" s="73"/>
      <c r="CW3664" s="73"/>
      <c r="CX3664" s="73"/>
      <c r="DA3664" s="650"/>
    </row>
    <row r="3665" spans="1:105" s="45" customFormat="1" x14ac:dyDescent="0.2">
      <c r="A3665" s="650"/>
      <c r="B3665" s="438"/>
      <c r="D3665" s="73"/>
      <c r="E3665" s="650"/>
      <c r="F3665" s="650"/>
      <c r="G3665" s="73"/>
      <c r="I3665" s="111"/>
      <c r="J3665" s="81"/>
      <c r="K3665" s="81"/>
      <c r="L3665" s="499"/>
      <c r="M3665" s="73"/>
      <c r="N3665" s="499"/>
      <c r="O3665" s="73"/>
      <c r="P3665" s="73"/>
      <c r="Q3665" s="73"/>
      <c r="R3665" s="176"/>
      <c r="S3665" s="176"/>
      <c r="T3665" s="176"/>
      <c r="U3665" s="400"/>
      <c r="V3665" s="400"/>
      <c r="W3665" s="732"/>
      <c r="X3665" s="167"/>
      <c r="Y3665" s="509"/>
      <c r="Z3665" s="466"/>
      <c r="AA3665" s="466"/>
      <c r="AB3665" s="466"/>
      <c r="AC3665" s="466"/>
      <c r="AD3665" s="466"/>
      <c r="AE3665" s="466"/>
      <c r="AF3665" s="466"/>
      <c r="AG3665" s="466"/>
      <c r="AH3665" s="466"/>
      <c r="AI3665" s="466"/>
      <c r="AJ3665" s="466"/>
      <c r="AK3665" s="466"/>
      <c r="AL3665" s="466"/>
      <c r="AM3665" s="466"/>
      <c r="AN3665" s="466"/>
      <c r="AO3665" s="466"/>
      <c r="AP3665" s="466"/>
      <c r="AQ3665" s="466"/>
      <c r="AR3665" s="466"/>
      <c r="AS3665" s="466"/>
      <c r="AT3665" s="466"/>
      <c r="AU3665" s="466"/>
      <c r="AV3665" s="466"/>
      <c r="AW3665" s="466"/>
      <c r="AX3665" s="466"/>
      <c r="AY3665" s="466"/>
      <c r="AZ3665" s="466"/>
      <c r="BA3665" s="466"/>
      <c r="BB3665" s="466"/>
      <c r="BC3665" s="466"/>
      <c r="BD3665" s="466"/>
      <c r="BE3665" s="467"/>
      <c r="BF3665" s="467"/>
      <c r="BG3665" s="466"/>
      <c r="BH3665" s="466"/>
      <c r="BI3665" s="467"/>
      <c r="BJ3665" s="467"/>
      <c r="BK3665" s="467"/>
      <c r="BL3665" s="467"/>
      <c r="BM3665" s="467"/>
      <c r="BN3665" s="467"/>
      <c r="BO3665" s="467"/>
      <c r="BP3665" s="467"/>
      <c r="BQ3665" s="467"/>
      <c r="BR3665" s="467"/>
      <c r="BS3665" s="467"/>
      <c r="BT3665" s="467"/>
      <c r="BU3665" s="467"/>
      <c r="BV3665" s="467"/>
      <c r="BW3665" s="467"/>
      <c r="BX3665" s="769"/>
      <c r="BY3665" s="769"/>
      <c r="BZ3665" s="769"/>
      <c r="CA3665" s="769"/>
      <c r="CB3665" s="769"/>
      <c r="CC3665" s="769"/>
      <c r="CD3665" s="769"/>
      <c r="CE3665" s="769"/>
      <c r="CF3665" s="769"/>
      <c r="CG3665" s="73"/>
      <c r="CH3665" s="438"/>
      <c r="CI3665" s="416"/>
      <c r="CJ3665" s="73"/>
      <c r="CK3665" s="650"/>
      <c r="CL3665" s="499"/>
      <c r="CM3665" s="650"/>
      <c r="CR3665" s="416"/>
      <c r="CS3665" s="650"/>
      <c r="CU3665" s="73"/>
      <c r="CV3665" s="73"/>
      <c r="CW3665" s="73"/>
      <c r="CX3665" s="73"/>
      <c r="DA3665" s="650"/>
    </row>
    <row r="3666" spans="1:105" s="45" customFormat="1" x14ac:dyDescent="0.2">
      <c r="A3666" s="650"/>
      <c r="B3666" s="438"/>
      <c r="D3666" s="73"/>
      <c r="E3666" s="650"/>
      <c r="F3666" s="650"/>
      <c r="G3666" s="73"/>
      <c r="I3666" s="111"/>
      <c r="J3666" s="81"/>
      <c r="K3666" s="81"/>
      <c r="L3666" s="499"/>
      <c r="M3666" s="73"/>
      <c r="N3666" s="499"/>
      <c r="O3666" s="73"/>
      <c r="P3666" s="73"/>
      <c r="Q3666" s="73"/>
      <c r="R3666" s="176"/>
      <c r="S3666" s="176"/>
      <c r="T3666" s="176"/>
      <c r="U3666" s="400"/>
      <c r="V3666" s="400"/>
      <c r="W3666" s="732"/>
      <c r="X3666" s="167"/>
      <c r="Y3666" s="509"/>
      <c r="Z3666" s="466"/>
      <c r="AA3666" s="466"/>
      <c r="AB3666" s="466"/>
      <c r="AC3666" s="466"/>
      <c r="AD3666" s="466"/>
      <c r="AE3666" s="466"/>
      <c r="AF3666" s="466"/>
      <c r="AG3666" s="466"/>
      <c r="AH3666" s="466"/>
      <c r="AI3666" s="466"/>
      <c r="AJ3666" s="466"/>
      <c r="AK3666" s="466"/>
      <c r="AL3666" s="466"/>
      <c r="AM3666" s="466"/>
      <c r="AN3666" s="466"/>
      <c r="AO3666" s="466"/>
      <c r="AP3666" s="466"/>
      <c r="AQ3666" s="466"/>
      <c r="AR3666" s="466"/>
      <c r="AS3666" s="466"/>
      <c r="AT3666" s="466"/>
      <c r="AU3666" s="466"/>
      <c r="AV3666" s="466"/>
      <c r="AW3666" s="466"/>
      <c r="AX3666" s="466"/>
      <c r="AY3666" s="466"/>
      <c r="AZ3666" s="466"/>
      <c r="BA3666" s="466"/>
      <c r="BB3666" s="466"/>
      <c r="BC3666" s="466"/>
      <c r="BD3666" s="466"/>
      <c r="BE3666" s="467"/>
      <c r="BF3666" s="467"/>
      <c r="BG3666" s="466"/>
      <c r="BH3666" s="466"/>
      <c r="BI3666" s="467"/>
      <c r="BJ3666" s="467"/>
      <c r="BK3666" s="467"/>
      <c r="BL3666" s="467"/>
      <c r="BM3666" s="467"/>
      <c r="BN3666" s="467"/>
      <c r="BO3666" s="467"/>
      <c r="BP3666" s="467"/>
      <c r="BQ3666" s="467"/>
      <c r="BR3666" s="467"/>
      <c r="BS3666" s="467"/>
      <c r="BT3666" s="467"/>
      <c r="BU3666" s="467"/>
      <c r="BV3666" s="467"/>
      <c r="BW3666" s="467"/>
      <c r="BX3666" s="769"/>
      <c r="BY3666" s="769"/>
      <c r="BZ3666" s="769"/>
      <c r="CA3666" s="769"/>
      <c r="CB3666" s="769"/>
      <c r="CC3666" s="769"/>
      <c r="CD3666" s="769"/>
      <c r="CE3666" s="769"/>
      <c r="CF3666" s="769"/>
      <c r="CG3666" s="73"/>
      <c r="CH3666" s="438"/>
      <c r="CI3666" s="416"/>
      <c r="CJ3666" s="73"/>
      <c r="CK3666" s="650"/>
      <c r="CL3666" s="499"/>
      <c r="CM3666" s="650"/>
      <c r="CR3666" s="416"/>
      <c r="CS3666" s="650"/>
      <c r="CU3666" s="73"/>
      <c r="CV3666" s="73"/>
      <c r="CW3666" s="73"/>
      <c r="CX3666" s="73"/>
      <c r="DA3666" s="650"/>
    </row>
    <row r="3667" spans="1:105" s="45" customFormat="1" x14ac:dyDescent="0.2">
      <c r="A3667" s="650"/>
      <c r="B3667" s="438"/>
      <c r="D3667" s="73"/>
      <c r="E3667" s="650"/>
      <c r="F3667" s="650"/>
      <c r="G3667" s="73"/>
      <c r="I3667" s="111"/>
      <c r="J3667" s="81"/>
      <c r="K3667" s="81"/>
      <c r="L3667" s="499"/>
      <c r="M3667" s="73"/>
      <c r="N3667" s="499"/>
      <c r="O3667" s="73"/>
      <c r="P3667" s="73"/>
      <c r="Q3667" s="73"/>
      <c r="R3667" s="176"/>
      <c r="S3667" s="176"/>
      <c r="T3667" s="176"/>
      <c r="U3667" s="400"/>
      <c r="V3667" s="400"/>
      <c r="W3667" s="732"/>
      <c r="X3667" s="167"/>
      <c r="Y3667" s="509"/>
      <c r="Z3667" s="466"/>
      <c r="AA3667" s="466"/>
      <c r="AB3667" s="466"/>
      <c r="AC3667" s="466"/>
      <c r="AD3667" s="466"/>
      <c r="AE3667" s="466"/>
      <c r="AF3667" s="466"/>
      <c r="AG3667" s="466"/>
      <c r="AH3667" s="466"/>
      <c r="AI3667" s="466"/>
      <c r="AJ3667" s="466"/>
      <c r="AK3667" s="466"/>
      <c r="AL3667" s="466"/>
      <c r="AM3667" s="466"/>
      <c r="AN3667" s="466"/>
      <c r="AO3667" s="466"/>
      <c r="AP3667" s="466"/>
      <c r="AQ3667" s="466"/>
      <c r="AR3667" s="466"/>
      <c r="AS3667" s="466"/>
      <c r="AT3667" s="466"/>
      <c r="AU3667" s="466"/>
      <c r="AV3667" s="466"/>
      <c r="AW3667" s="466"/>
      <c r="AX3667" s="466"/>
      <c r="AY3667" s="466"/>
      <c r="AZ3667" s="466"/>
      <c r="BA3667" s="466"/>
      <c r="BB3667" s="466"/>
      <c r="BC3667" s="466"/>
      <c r="BD3667" s="466"/>
      <c r="BE3667" s="467"/>
      <c r="BF3667" s="467"/>
      <c r="BG3667" s="466"/>
      <c r="BH3667" s="466"/>
      <c r="BI3667" s="467"/>
      <c r="BJ3667" s="467"/>
      <c r="BK3667" s="467"/>
      <c r="BL3667" s="467"/>
      <c r="BM3667" s="467"/>
      <c r="BN3667" s="467"/>
      <c r="BO3667" s="467"/>
      <c r="BP3667" s="467"/>
      <c r="BQ3667" s="467"/>
      <c r="BR3667" s="467"/>
      <c r="BS3667" s="467"/>
      <c r="BT3667" s="467"/>
      <c r="BU3667" s="467"/>
      <c r="BV3667" s="467"/>
      <c r="BW3667" s="467"/>
      <c r="BX3667" s="769"/>
      <c r="BY3667" s="769"/>
      <c r="BZ3667" s="769"/>
      <c r="CA3667" s="769"/>
      <c r="CB3667" s="769"/>
      <c r="CC3667" s="769"/>
      <c r="CD3667" s="769"/>
      <c r="CE3667" s="769"/>
      <c r="CF3667" s="769"/>
      <c r="CG3667" s="73"/>
      <c r="CH3667" s="438"/>
      <c r="CI3667" s="416"/>
      <c r="CJ3667" s="73"/>
      <c r="CK3667" s="650"/>
      <c r="CL3667" s="499"/>
      <c r="CM3667" s="650"/>
      <c r="CR3667" s="416"/>
      <c r="CS3667" s="650"/>
      <c r="CU3667" s="73"/>
      <c r="CV3667" s="73"/>
      <c r="CW3667" s="73"/>
      <c r="CX3667" s="73"/>
      <c r="DA3667" s="650"/>
    </row>
    <row r="3668" spans="1:105" s="45" customFormat="1" x14ac:dyDescent="0.2">
      <c r="A3668" s="650"/>
      <c r="B3668" s="438"/>
      <c r="D3668" s="73"/>
      <c r="E3668" s="650"/>
      <c r="F3668" s="650"/>
      <c r="G3668" s="73"/>
      <c r="I3668" s="111"/>
      <c r="J3668" s="81"/>
      <c r="K3668" s="81"/>
      <c r="L3668" s="499"/>
      <c r="M3668" s="73"/>
      <c r="N3668" s="499"/>
      <c r="O3668" s="73"/>
      <c r="P3668" s="73"/>
      <c r="Q3668" s="73"/>
      <c r="R3668" s="176"/>
      <c r="S3668" s="176"/>
      <c r="T3668" s="176"/>
      <c r="U3668" s="400"/>
      <c r="V3668" s="400"/>
      <c r="W3668" s="732"/>
      <c r="X3668" s="167"/>
      <c r="Y3668" s="509"/>
      <c r="Z3668" s="466"/>
      <c r="AA3668" s="466"/>
      <c r="AB3668" s="466"/>
      <c r="AC3668" s="466"/>
      <c r="AD3668" s="466"/>
      <c r="AE3668" s="466"/>
      <c r="AF3668" s="466"/>
      <c r="AG3668" s="466"/>
      <c r="AH3668" s="466"/>
      <c r="AI3668" s="466"/>
      <c r="AJ3668" s="466"/>
      <c r="AK3668" s="466"/>
      <c r="AL3668" s="466"/>
      <c r="AM3668" s="466"/>
      <c r="AN3668" s="466"/>
      <c r="AO3668" s="466"/>
      <c r="AP3668" s="466"/>
      <c r="AQ3668" s="466"/>
      <c r="AR3668" s="466"/>
      <c r="AS3668" s="466"/>
      <c r="AT3668" s="466"/>
      <c r="AU3668" s="466"/>
      <c r="AV3668" s="466"/>
      <c r="AW3668" s="466"/>
      <c r="AX3668" s="466"/>
      <c r="AY3668" s="466"/>
      <c r="AZ3668" s="466"/>
      <c r="BA3668" s="466"/>
      <c r="BB3668" s="466"/>
      <c r="BC3668" s="466"/>
      <c r="BD3668" s="466"/>
      <c r="BE3668" s="467"/>
      <c r="BF3668" s="467"/>
      <c r="BG3668" s="466"/>
      <c r="BH3668" s="466"/>
      <c r="BI3668" s="467"/>
      <c r="BJ3668" s="467"/>
      <c r="BK3668" s="467"/>
      <c r="BL3668" s="467"/>
      <c r="BM3668" s="467"/>
      <c r="BN3668" s="467"/>
      <c r="BO3668" s="467"/>
      <c r="BP3668" s="467"/>
      <c r="BQ3668" s="467"/>
      <c r="BR3668" s="467"/>
      <c r="BS3668" s="467"/>
      <c r="BT3668" s="467"/>
      <c r="BU3668" s="467"/>
      <c r="BV3668" s="467"/>
      <c r="BW3668" s="467"/>
      <c r="BX3668" s="769"/>
      <c r="BY3668" s="769"/>
      <c r="BZ3668" s="769"/>
      <c r="CA3668" s="769"/>
      <c r="CB3668" s="769"/>
      <c r="CC3668" s="769"/>
      <c r="CD3668" s="769"/>
      <c r="CE3668" s="769"/>
      <c r="CF3668" s="769"/>
      <c r="CG3668" s="73"/>
      <c r="CH3668" s="438"/>
      <c r="CI3668" s="416"/>
      <c r="CJ3668" s="73"/>
      <c r="CK3668" s="650"/>
      <c r="CL3668" s="499"/>
      <c r="CM3668" s="650"/>
      <c r="CR3668" s="416"/>
      <c r="CS3668" s="650"/>
      <c r="CU3668" s="73"/>
      <c r="CV3668" s="73"/>
      <c r="CW3668" s="73"/>
      <c r="CX3668" s="73"/>
      <c r="DA3668" s="650"/>
    </row>
    <row r="3669" spans="1:105" s="45" customFormat="1" x14ac:dyDescent="0.2">
      <c r="A3669" s="650"/>
      <c r="B3669" s="438"/>
      <c r="D3669" s="73"/>
      <c r="E3669" s="650"/>
      <c r="F3669" s="650"/>
      <c r="G3669" s="73"/>
      <c r="I3669" s="111"/>
      <c r="J3669" s="81"/>
      <c r="K3669" s="81"/>
      <c r="L3669" s="499"/>
      <c r="M3669" s="73"/>
      <c r="N3669" s="499"/>
      <c r="O3669" s="73"/>
      <c r="P3669" s="73"/>
      <c r="Q3669" s="73"/>
      <c r="R3669" s="176"/>
      <c r="S3669" s="176"/>
      <c r="T3669" s="176"/>
      <c r="U3669" s="400"/>
      <c r="V3669" s="400"/>
      <c r="W3669" s="732"/>
      <c r="X3669" s="167"/>
      <c r="Y3669" s="509"/>
      <c r="Z3669" s="466"/>
      <c r="AA3669" s="466"/>
      <c r="AB3669" s="466"/>
      <c r="AC3669" s="466"/>
      <c r="AD3669" s="466"/>
      <c r="AE3669" s="466"/>
      <c r="AF3669" s="466"/>
      <c r="AG3669" s="466"/>
      <c r="AH3669" s="466"/>
      <c r="AI3669" s="466"/>
      <c r="AJ3669" s="466"/>
      <c r="AK3669" s="466"/>
      <c r="AL3669" s="466"/>
      <c r="AM3669" s="466"/>
      <c r="AN3669" s="466"/>
      <c r="AO3669" s="466"/>
      <c r="AP3669" s="466"/>
      <c r="AQ3669" s="466"/>
      <c r="AR3669" s="466"/>
      <c r="AS3669" s="466"/>
      <c r="AT3669" s="466"/>
      <c r="AU3669" s="466"/>
      <c r="AV3669" s="466"/>
      <c r="AW3669" s="466"/>
      <c r="AX3669" s="466"/>
      <c r="AY3669" s="466"/>
      <c r="AZ3669" s="466"/>
      <c r="BA3669" s="466"/>
      <c r="BB3669" s="466"/>
      <c r="BC3669" s="466"/>
      <c r="BD3669" s="466"/>
      <c r="BE3669" s="467"/>
      <c r="BF3669" s="467"/>
      <c r="BG3669" s="466"/>
      <c r="BH3669" s="466"/>
      <c r="BI3669" s="467"/>
      <c r="BJ3669" s="467"/>
      <c r="BK3669" s="467"/>
      <c r="BL3669" s="467"/>
      <c r="BM3669" s="467"/>
      <c r="BN3669" s="467"/>
      <c r="BO3669" s="467"/>
      <c r="BP3669" s="467"/>
      <c r="BQ3669" s="467"/>
      <c r="BR3669" s="467"/>
      <c r="BS3669" s="467"/>
      <c r="BT3669" s="467"/>
      <c r="BU3669" s="467"/>
      <c r="BV3669" s="467"/>
      <c r="BW3669" s="467"/>
      <c r="BX3669" s="769"/>
      <c r="BY3669" s="769"/>
      <c r="BZ3669" s="769"/>
      <c r="CA3669" s="769"/>
      <c r="CB3669" s="769"/>
      <c r="CC3669" s="769"/>
      <c r="CD3669" s="769"/>
      <c r="CE3669" s="769"/>
      <c r="CF3669" s="769"/>
      <c r="CG3669" s="73"/>
      <c r="CH3669" s="438"/>
      <c r="CI3669" s="416"/>
      <c r="CJ3669" s="73"/>
      <c r="CK3669" s="650"/>
      <c r="CL3669" s="499"/>
      <c r="CM3669" s="650"/>
      <c r="CR3669" s="416"/>
      <c r="CS3669" s="650"/>
      <c r="CU3669" s="73"/>
      <c r="CV3669" s="73"/>
      <c r="CW3669" s="73"/>
      <c r="CX3669" s="73"/>
      <c r="DA3669" s="650"/>
    </row>
    <row r="3670" spans="1:105" s="45" customFormat="1" x14ac:dyDescent="0.2">
      <c r="A3670" s="650"/>
      <c r="B3670" s="438"/>
      <c r="D3670" s="73"/>
      <c r="E3670" s="650"/>
      <c r="F3670" s="650"/>
      <c r="G3670" s="73"/>
      <c r="I3670" s="111"/>
      <c r="J3670" s="81"/>
      <c r="K3670" s="81"/>
      <c r="L3670" s="499"/>
      <c r="M3670" s="73"/>
      <c r="N3670" s="499"/>
      <c r="O3670" s="73"/>
      <c r="P3670" s="73"/>
      <c r="Q3670" s="73"/>
      <c r="R3670" s="176"/>
      <c r="S3670" s="176"/>
      <c r="T3670" s="176"/>
      <c r="U3670" s="400"/>
      <c r="V3670" s="400"/>
      <c r="W3670" s="732"/>
      <c r="X3670" s="167"/>
      <c r="Y3670" s="509"/>
      <c r="Z3670" s="466"/>
      <c r="AA3670" s="466"/>
      <c r="AB3670" s="466"/>
      <c r="AC3670" s="466"/>
      <c r="AD3670" s="466"/>
      <c r="AE3670" s="466"/>
      <c r="AF3670" s="466"/>
      <c r="AG3670" s="466"/>
      <c r="AH3670" s="466"/>
      <c r="AI3670" s="466"/>
      <c r="AJ3670" s="466"/>
      <c r="AK3670" s="466"/>
      <c r="AL3670" s="466"/>
      <c r="AM3670" s="466"/>
      <c r="AN3670" s="466"/>
      <c r="AO3670" s="466"/>
      <c r="AP3670" s="466"/>
      <c r="AQ3670" s="466"/>
      <c r="AR3670" s="466"/>
      <c r="AS3670" s="466"/>
      <c r="AT3670" s="466"/>
      <c r="AU3670" s="466"/>
      <c r="AV3670" s="466"/>
      <c r="AW3670" s="466"/>
      <c r="AX3670" s="466"/>
      <c r="AY3670" s="466"/>
      <c r="AZ3670" s="466"/>
      <c r="BA3670" s="466"/>
      <c r="BB3670" s="466"/>
      <c r="BC3670" s="466"/>
      <c r="BD3670" s="466"/>
      <c r="BE3670" s="467"/>
      <c r="BF3670" s="467"/>
      <c r="BG3670" s="466"/>
      <c r="BH3670" s="466"/>
      <c r="BI3670" s="467"/>
      <c r="BJ3670" s="467"/>
      <c r="BK3670" s="467"/>
      <c r="BL3670" s="467"/>
      <c r="BM3670" s="467"/>
      <c r="BN3670" s="467"/>
      <c r="BO3670" s="467"/>
      <c r="BP3670" s="467"/>
      <c r="BQ3670" s="467"/>
      <c r="BR3670" s="467"/>
      <c r="BS3670" s="467"/>
      <c r="BT3670" s="467"/>
      <c r="BU3670" s="467"/>
      <c r="BV3670" s="467"/>
      <c r="BW3670" s="467"/>
      <c r="BX3670" s="769"/>
      <c r="BY3670" s="769"/>
      <c r="BZ3670" s="769"/>
      <c r="CA3670" s="769"/>
      <c r="CB3670" s="769"/>
      <c r="CC3670" s="769"/>
      <c r="CD3670" s="769"/>
      <c r="CE3670" s="769"/>
      <c r="CF3670" s="769"/>
      <c r="CG3670" s="73"/>
      <c r="CH3670" s="438"/>
      <c r="CI3670" s="416"/>
      <c r="CJ3670" s="73"/>
      <c r="CK3670" s="650"/>
      <c r="CL3670" s="499"/>
      <c r="CM3670" s="650"/>
      <c r="CR3670" s="416"/>
      <c r="CS3670" s="650"/>
      <c r="CU3670" s="73"/>
      <c r="CV3670" s="73"/>
      <c r="CW3670" s="73"/>
      <c r="CX3670" s="73"/>
      <c r="DA3670" s="650"/>
    </row>
    <row r="3671" spans="1:105" s="45" customFormat="1" x14ac:dyDescent="0.2">
      <c r="A3671" s="650"/>
      <c r="B3671" s="438"/>
      <c r="D3671" s="73"/>
      <c r="E3671" s="650"/>
      <c r="F3671" s="650"/>
      <c r="G3671" s="73"/>
      <c r="I3671" s="111"/>
      <c r="J3671" s="81"/>
      <c r="K3671" s="81"/>
      <c r="L3671" s="499"/>
      <c r="M3671" s="73"/>
      <c r="N3671" s="499"/>
      <c r="O3671" s="73"/>
      <c r="P3671" s="73"/>
      <c r="Q3671" s="73"/>
      <c r="R3671" s="176"/>
      <c r="S3671" s="176"/>
      <c r="T3671" s="176"/>
      <c r="U3671" s="400"/>
      <c r="V3671" s="400"/>
      <c r="W3671" s="732"/>
      <c r="X3671" s="167"/>
      <c r="Y3671" s="509"/>
      <c r="Z3671" s="466"/>
      <c r="AA3671" s="466"/>
      <c r="AB3671" s="466"/>
      <c r="AC3671" s="466"/>
      <c r="AD3671" s="466"/>
      <c r="AE3671" s="466"/>
      <c r="AF3671" s="466"/>
      <c r="AG3671" s="466"/>
      <c r="AH3671" s="466"/>
      <c r="AI3671" s="466"/>
      <c r="AJ3671" s="466"/>
      <c r="AK3671" s="466"/>
      <c r="AL3671" s="466"/>
      <c r="AM3671" s="466"/>
      <c r="AN3671" s="466"/>
      <c r="AO3671" s="466"/>
      <c r="AP3671" s="466"/>
      <c r="AQ3671" s="466"/>
      <c r="AR3671" s="466"/>
      <c r="AS3671" s="466"/>
      <c r="AT3671" s="466"/>
      <c r="AU3671" s="466"/>
      <c r="AV3671" s="466"/>
      <c r="AW3671" s="466"/>
      <c r="AX3671" s="466"/>
      <c r="AY3671" s="466"/>
      <c r="AZ3671" s="466"/>
      <c r="BA3671" s="466"/>
      <c r="BB3671" s="466"/>
      <c r="BC3671" s="466"/>
      <c r="BD3671" s="466"/>
      <c r="BE3671" s="467"/>
      <c r="BF3671" s="467"/>
      <c r="BG3671" s="466"/>
      <c r="BH3671" s="466"/>
      <c r="BI3671" s="467"/>
      <c r="BJ3671" s="467"/>
      <c r="BK3671" s="467"/>
      <c r="BL3671" s="467"/>
      <c r="BM3671" s="467"/>
      <c r="BN3671" s="467"/>
      <c r="BO3671" s="467"/>
      <c r="BP3671" s="467"/>
      <c r="BQ3671" s="467"/>
      <c r="BR3671" s="467"/>
      <c r="BS3671" s="467"/>
      <c r="BT3671" s="467"/>
      <c r="BU3671" s="467"/>
      <c r="BV3671" s="467"/>
      <c r="BW3671" s="467"/>
      <c r="BX3671" s="769"/>
      <c r="BY3671" s="769"/>
      <c r="BZ3671" s="769"/>
      <c r="CA3671" s="769"/>
      <c r="CB3671" s="769"/>
      <c r="CC3671" s="769"/>
      <c r="CD3671" s="769"/>
      <c r="CE3671" s="769"/>
      <c r="CF3671" s="769"/>
      <c r="CG3671" s="73"/>
      <c r="CH3671" s="438"/>
      <c r="CI3671" s="416"/>
      <c r="CJ3671" s="73"/>
      <c r="CK3671" s="650"/>
      <c r="CL3671" s="499"/>
      <c r="CM3671" s="650"/>
      <c r="CR3671" s="416"/>
      <c r="CS3671" s="650"/>
      <c r="CU3671" s="73"/>
      <c r="CV3671" s="73"/>
      <c r="CW3671" s="73"/>
      <c r="CX3671" s="73"/>
      <c r="DA3671" s="650"/>
    </row>
    <row r="3672" spans="1:105" s="45" customFormat="1" x14ac:dyDescent="0.2">
      <c r="A3672" s="650"/>
      <c r="B3672" s="438"/>
      <c r="D3672" s="73"/>
      <c r="E3672" s="650"/>
      <c r="F3672" s="650"/>
      <c r="G3672" s="73"/>
      <c r="I3672" s="111"/>
      <c r="J3672" s="81"/>
      <c r="K3672" s="81"/>
      <c r="L3672" s="499"/>
      <c r="M3672" s="73"/>
      <c r="N3672" s="499"/>
      <c r="O3672" s="73"/>
      <c r="P3672" s="73"/>
      <c r="Q3672" s="73"/>
      <c r="R3672" s="176"/>
      <c r="S3672" s="176"/>
      <c r="T3672" s="176"/>
      <c r="U3672" s="400"/>
      <c r="V3672" s="400"/>
      <c r="W3672" s="732"/>
      <c r="X3672" s="167"/>
      <c r="Y3672" s="509"/>
      <c r="Z3672" s="466"/>
      <c r="AA3672" s="466"/>
      <c r="AB3672" s="466"/>
      <c r="AC3672" s="466"/>
      <c r="AD3672" s="466"/>
      <c r="AE3672" s="466"/>
      <c r="AF3672" s="466"/>
      <c r="AG3672" s="466"/>
      <c r="AH3672" s="466"/>
      <c r="AI3672" s="466"/>
      <c r="AJ3672" s="466"/>
      <c r="AK3672" s="466"/>
      <c r="AL3672" s="466"/>
      <c r="AM3672" s="466"/>
      <c r="AN3672" s="466"/>
      <c r="AO3672" s="466"/>
      <c r="AP3672" s="466"/>
      <c r="AQ3672" s="466"/>
      <c r="AR3672" s="466"/>
      <c r="AS3672" s="466"/>
      <c r="AT3672" s="466"/>
      <c r="AU3672" s="466"/>
      <c r="AV3672" s="466"/>
      <c r="AW3672" s="466"/>
      <c r="AX3672" s="466"/>
      <c r="AY3672" s="466"/>
      <c r="AZ3672" s="466"/>
      <c r="BA3672" s="466"/>
      <c r="BB3672" s="466"/>
      <c r="BC3672" s="466"/>
      <c r="BD3672" s="466"/>
      <c r="BE3672" s="467"/>
      <c r="BF3672" s="467"/>
      <c r="BG3672" s="466"/>
      <c r="BH3672" s="466"/>
      <c r="BI3672" s="467"/>
      <c r="BJ3672" s="467"/>
      <c r="BK3672" s="467"/>
      <c r="BL3672" s="467"/>
      <c r="BM3672" s="467"/>
      <c r="BN3672" s="467"/>
      <c r="BO3672" s="467"/>
      <c r="BP3672" s="467"/>
      <c r="BQ3672" s="467"/>
      <c r="BR3672" s="467"/>
      <c r="BS3672" s="467"/>
      <c r="BT3672" s="467"/>
      <c r="BU3672" s="467"/>
      <c r="BV3672" s="467"/>
      <c r="BW3672" s="467"/>
      <c r="BX3672" s="769"/>
      <c r="BY3672" s="769"/>
      <c r="BZ3672" s="769"/>
      <c r="CA3672" s="769"/>
      <c r="CB3672" s="769"/>
      <c r="CC3672" s="769"/>
      <c r="CD3672" s="769"/>
      <c r="CE3672" s="769"/>
      <c r="CF3672" s="769"/>
      <c r="CG3672" s="73"/>
      <c r="CH3672" s="438"/>
      <c r="CI3672" s="416"/>
      <c r="CJ3672" s="73"/>
      <c r="CK3672" s="650"/>
      <c r="CL3672" s="499"/>
      <c r="CM3672" s="650"/>
      <c r="CR3672" s="416"/>
      <c r="CS3672" s="650"/>
      <c r="CU3672" s="73"/>
      <c r="CV3672" s="73"/>
      <c r="CW3672" s="73"/>
      <c r="CX3672" s="73"/>
      <c r="DA3672" s="650"/>
    </row>
    <row r="3673" spans="1:105" s="45" customFormat="1" x14ac:dyDescent="0.2">
      <c r="A3673" s="650"/>
      <c r="B3673" s="438"/>
      <c r="D3673" s="73"/>
      <c r="E3673" s="650"/>
      <c r="F3673" s="650"/>
      <c r="G3673" s="73"/>
      <c r="I3673" s="111"/>
      <c r="J3673" s="81"/>
      <c r="K3673" s="81"/>
      <c r="L3673" s="499"/>
      <c r="M3673" s="73"/>
      <c r="N3673" s="499"/>
      <c r="O3673" s="73"/>
      <c r="P3673" s="73"/>
      <c r="Q3673" s="73"/>
      <c r="R3673" s="176"/>
      <c r="S3673" s="176"/>
      <c r="T3673" s="176"/>
      <c r="U3673" s="400"/>
      <c r="V3673" s="400"/>
      <c r="W3673" s="732"/>
      <c r="X3673" s="167"/>
      <c r="Y3673" s="509"/>
      <c r="Z3673" s="466"/>
      <c r="AA3673" s="466"/>
      <c r="AB3673" s="466"/>
      <c r="AC3673" s="466"/>
      <c r="AD3673" s="466"/>
      <c r="AE3673" s="466"/>
      <c r="AF3673" s="466"/>
      <c r="AG3673" s="466"/>
      <c r="AH3673" s="466"/>
      <c r="AI3673" s="466"/>
      <c r="AJ3673" s="466"/>
      <c r="AK3673" s="466"/>
      <c r="AL3673" s="466"/>
      <c r="AM3673" s="466"/>
      <c r="AN3673" s="466"/>
      <c r="AO3673" s="466"/>
      <c r="AP3673" s="466"/>
      <c r="AQ3673" s="466"/>
      <c r="AR3673" s="466"/>
      <c r="AS3673" s="466"/>
      <c r="AT3673" s="466"/>
      <c r="AU3673" s="466"/>
      <c r="AV3673" s="466"/>
      <c r="AW3673" s="466"/>
      <c r="AX3673" s="466"/>
      <c r="AY3673" s="466"/>
      <c r="AZ3673" s="466"/>
      <c r="BA3673" s="466"/>
      <c r="BB3673" s="466"/>
      <c r="BC3673" s="466"/>
      <c r="BD3673" s="466"/>
      <c r="BE3673" s="467"/>
      <c r="BF3673" s="467"/>
      <c r="BG3673" s="466"/>
      <c r="BH3673" s="466"/>
      <c r="BI3673" s="467"/>
      <c r="BJ3673" s="467"/>
      <c r="BK3673" s="467"/>
      <c r="BL3673" s="467"/>
      <c r="BM3673" s="467"/>
      <c r="BN3673" s="467"/>
      <c r="BO3673" s="467"/>
      <c r="BP3673" s="467"/>
      <c r="BQ3673" s="467"/>
      <c r="BR3673" s="467"/>
      <c r="BS3673" s="467"/>
      <c r="BT3673" s="467"/>
      <c r="BU3673" s="467"/>
      <c r="BV3673" s="467"/>
      <c r="BW3673" s="467"/>
      <c r="BX3673" s="769"/>
      <c r="BY3673" s="769"/>
      <c r="BZ3673" s="769"/>
      <c r="CA3673" s="769"/>
      <c r="CB3673" s="769"/>
      <c r="CC3673" s="769"/>
      <c r="CD3673" s="769"/>
      <c r="CE3673" s="769"/>
      <c r="CF3673" s="769"/>
      <c r="CG3673" s="73"/>
      <c r="CH3673" s="438"/>
      <c r="CI3673" s="416"/>
      <c r="CJ3673" s="73"/>
      <c r="CK3673" s="650"/>
      <c r="CL3673" s="499"/>
      <c r="CM3673" s="650"/>
      <c r="CR3673" s="416"/>
      <c r="CS3673" s="650"/>
      <c r="CU3673" s="73"/>
      <c r="CV3673" s="73"/>
      <c r="CW3673" s="73"/>
      <c r="CX3673" s="73"/>
      <c r="DA3673" s="650"/>
    </row>
    <row r="3674" spans="1:105" s="45" customFormat="1" x14ac:dyDescent="0.2">
      <c r="A3674" s="650"/>
      <c r="B3674" s="438"/>
      <c r="D3674" s="73"/>
      <c r="E3674" s="650"/>
      <c r="F3674" s="650"/>
      <c r="G3674" s="73"/>
      <c r="I3674" s="111"/>
      <c r="J3674" s="81"/>
      <c r="K3674" s="81"/>
      <c r="L3674" s="499"/>
      <c r="M3674" s="73"/>
      <c r="N3674" s="499"/>
      <c r="O3674" s="73"/>
      <c r="P3674" s="73"/>
      <c r="Q3674" s="73"/>
      <c r="R3674" s="176"/>
      <c r="S3674" s="176"/>
      <c r="T3674" s="176"/>
      <c r="U3674" s="400"/>
      <c r="V3674" s="400"/>
      <c r="W3674" s="732"/>
      <c r="X3674" s="167"/>
      <c r="Y3674" s="509"/>
      <c r="Z3674" s="466"/>
      <c r="AA3674" s="466"/>
      <c r="AB3674" s="466"/>
      <c r="AC3674" s="466"/>
      <c r="AD3674" s="466"/>
      <c r="AE3674" s="466"/>
      <c r="AF3674" s="466"/>
      <c r="AG3674" s="466"/>
      <c r="AH3674" s="466"/>
      <c r="AI3674" s="466"/>
      <c r="AJ3674" s="466"/>
      <c r="AK3674" s="466"/>
      <c r="AL3674" s="466"/>
      <c r="AM3674" s="466"/>
      <c r="AN3674" s="466"/>
      <c r="AO3674" s="466"/>
      <c r="AP3674" s="466"/>
      <c r="AQ3674" s="466"/>
      <c r="AR3674" s="466"/>
      <c r="AS3674" s="466"/>
      <c r="AT3674" s="466"/>
      <c r="AU3674" s="466"/>
      <c r="AV3674" s="466"/>
      <c r="AW3674" s="466"/>
      <c r="AX3674" s="466"/>
      <c r="AY3674" s="466"/>
      <c r="AZ3674" s="466"/>
      <c r="BA3674" s="466"/>
      <c r="BB3674" s="466"/>
      <c r="BC3674" s="466"/>
      <c r="BD3674" s="466"/>
      <c r="BE3674" s="467"/>
      <c r="BF3674" s="467"/>
      <c r="BG3674" s="466"/>
      <c r="BH3674" s="466"/>
      <c r="BI3674" s="467"/>
      <c r="BJ3674" s="467"/>
      <c r="BK3674" s="467"/>
      <c r="BL3674" s="467"/>
      <c r="BM3674" s="467"/>
      <c r="BN3674" s="467"/>
      <c r="BO3674" s="467"/>
      <c r="BP3674" s="467"/>
      <c r="BQ3674" s="467"/>
      <c r="BR3674" s="467"/>
      <c r="BS3674" s="467"/>
      <c r="BT3674" s="467"/>
      <c r="BU3674" s="467"/>
      <c r="BV3674" s="467"/>
      <c r="BW3674" s="467"/>
      <c r="BX3674" s="769"/>
      <c r="BY3674" s="769"/>
      <c r="BZ3674" s="769"/>
      <c r="CA3674" s="769"/>
      <c r="CB3674" s="769"/>
      <c r="CC3674" s="769"/>
      <c r="CD3674" s="769"/>
      <c r="CE3674" s="769"/>
      <c r="CF3674" s="769"/>
      <c r="CG3674" s="73"/>
      <c r="CH3674" s="438"/>
      <c r="CI3674" s="416"/>
      <c r="CJ3674" s="73"/>
      <c r="CK3674" s="650"/>
      <c r="CL3674" s="499"/>
      <c r="CM3674" s="650"/>
      <c r="CR3674" s="416"/>
      <c r="CS3674" s="650"/>
      <c r="CU3674" s="73"/>
      <c r="CV3674" s="73"/>
      <c r="CW3674" s="73"/>
      <c r="CX3674" s="73"/>
      <c r="DA3674" s="650"/>
    </row>
    <row r="3675" spans="1:105" s="45" customFormat="1" x14ac:dyDescent="0.2">
      <c r="A3675" s="650"/>
      <c r="B3675" s="438"/>
      <c r="D3675" s="73"/>
      <c r="E3675" s="650"/>
      <c r="F3675" s="650"/>
      <c r="G3675" s="73"/>
      <c r="I3675" s="111"/>
      <c r="J3675" s="81"/>
      <c r="K3675" s="81"/>
      <c r="L3675" s="499"/>
      <c r="M3675" s="73"/>
      <c r="N3675" s="499"/>
      <c r="O3675" s="73"/>
      <c r="P3675" s="73"/>
      <c r="Q3675" s="73"/>
      <c r="R3675" s="176"/>
      <c r="S3675" s="176"/>
      <c r="T3675" s="176"/>
      <c r="U3675" s="400"/>
      <c r="V3675" s="400"/>
      <c r="W3675" s="732"/>
      <c r="X3675" s="167"/>
      <c r="Y3675" s="509"/>
      <c r="Z3675" s="466"/>
      <c r="AA3675" s="466"/>
      <c r="AB3675" s="466"/>
      <c r="AC3675" s="466"/>
      <c r="AD3675" s="466"/>
      <c r="AE3675" s="466"/>
      <c r="AF3675" s="466"/>
      <c r="AG3675" s="466"/>
      <c r="AH3675" s="466"/>
      <c r="AI3675" s="466"/>
      <c r="AJ3675" s="466"/>
      <c r="AK3675" s="466"/>
      <c r="AL3675" s="466"/>
      <c r="AM3675" s="466"/>
      <c r="AN3675" s="466"/>
      <c r="AO3675" s="466"/>
      <c r="AP3675" s="466"/>
      <c r="AQ3675" s="466"/>
      <c r="AR3675" s="466"/>
      <c r="AS3675" s="466"/>
      <c r="AT3675" s="466"/>
      <c r="AU3675" s="466"/>
      <c r="AV3675" s="466"/>
      <c r="AW3675" s="466"/>
      <c r="AX3675" s="466"/>
      <c r="AY3675" s="466"/>
      <c r="AZ3675" s="466"/>
      <c r="BA3675" s="466"/>
      <c r="BB3675" s="466"/>
      <c r="BC3675" s="466"/>
      <c r="BD3675" s="466"/>
      <c r="BE3675" s="467"/>
      <c r="BF3675" s="467"/>
      <c r="BG3675" s="466"/>
      <c r="BH3675" s="466"/>
      <c r="BI3675" s="467"/>
      <c r="BJ3675" s="467"/>
      <c r="BK3675" s="467"/>
      <c r="BL3675" s="467"/>
      <c r="BM3675" s="467"/>
      <c r="BN3675" s="467"/>
      <c r="BO3675" s="467"/>
      <c r="BP3675" s="467"/>
      <c r="BQ3675" s="467"/>
      <c r="BR3675" s="467"/>
      <c r="BS3675" s="467"/>
      <c r="BT3675" s="467"/>
      <c r="BU3675" s="467"/>
      <c r="BV3675" s="467"/>
      <c r="BW3675" s="467"/>
      <c r="BX3675" s="769"/>
      <c r="BY3675" s="769"/>
      <c r="BZ3675" s="769"/>
      <c r="CA3675" s="769"/>
      <c r="CB3675" s="769"/>
      <c r="CC3675" s="769"/>
      <c r="CD3675" s="769"/>
      <c r="CE3675" s="769"/>
      <c r="CF3675" s="769"/>
      <c r="CG3675" s="73"/>
      <c r="CH3675" s="438"/>
      <c r="CI3675" s="416"/>
      <c r="CJ3675" s="73"/>
      <c r="CK3675" s="650"/>
      <c r="CL3675" s="499"/>
      <c r="CM3675" s="650"/>
      <c r="CR3675" s="416"/>
      <c r="CS3675" s="650"/>
      <c r="CU3675" s="73"/>
      <c r="CV3675" s="73"/>
      <c r="CW3675" s="73"/>
      <c r="CX3675" s="73"/>
      <c r="DA3675" s="650"/>
    </row>
    <row r="3676" spans="1:105" s="45" customFormat="1" x14ac:dyDescent="0.2">
      <c r="A3676" s="650"/>
      <c r="B3676" s="438"/>
      <c r="D3676" s="73"/>
      <c r="E3676" s="650"/>
      <c r="F3676" s="650"/>
      <c r="G3676" s="73"/>
      <c r="I3676" s="111"/>
      <c r="J3676" s="81"/>
      <c r="K3676" s="81"/>
      <c r="L3676" s="499"/>
      <c r="M3676" s="73"/>
      <c r="N3676" s="499"/>
      <c r="O3676" s="73"/>
      <c r="P3676" s="73"/>
      <c r="Q3676" s="73"/>
      <c r="R3676" s="176"/>
      <c r="S3676" s="176"/>
      <c r="T3676" s="176"/>
      <c r="U3676" s="400"/>
      <c r="V3676" s="400"/>
      <c r="W3676" s="732"/>
      <c r="X3676" s="167"/>
      <c r="Y3676" s="509"/>
      <c r="Z3676" s="466"/>
      <c r="AA3676" s="466"/>
      <c r="AB3676" s="466"/>
      <c r="AC3676" s="466"/>
      <c r="AD3676" s="466"/>
      <c r="AE3676" s="466"/>
      <c r="AF3676" s="466"/>
      <c r="AG3676" s="466"/>
      <c r="AH3676" s="466"/>
      <c r="AI3676" s="466"/>
      <c r="AJ3676" s="466"/>
      <c r="AK3676" s="466"/>
      <c r="AL3676" s="466"/>
      <c r="AM3676" s="466"/>
      <c r="AN3676" s="466"/>
      <c r="AO3676" s="466"/>
      <c r="AP3676" s="466"/>
      <c r="AQ3676" s="466"/>
      <c r="AR3676" s="466"/>
      <c r="AS3676" s="466"/>
      <c r="AT3676" s="466"/>
      <c r="AU3676" s="466"/>
      <c r="AV3676" s="466"/>
      <c r="AW3676" s="466"/>
      <c r="AX3676" s="466"/>
      <c r="AY3676" s="466"/>
      <c r="AZ3676" s="466"/>
      <c r="BA3676" s="466"/>
      <c r="BB3676" s="466"/>
      <c r="BC3676" s="466"/>
      <c r="BD3676" s="466"/>
      <c r="BE3676" s="467"/>
      <c r="BF3676" s="467"/>
      <c r="BG3676" s="466"/>
      <c r="BH3676" s="466"/>
      <c r="BI3676" s="467"/>
      <c r="BJ3676" s="467"/>
      <c r="BK3676" s="467"/>
      <c r="BL3676" s="467"/>
      <c r="BM3676" s="467"/>
      <c r="BN3676" s="467"/>
      <c r="BO3676" s="467"/>
      <c r="BP3676" s="467"/>
      <c r="BQ3676" s="467"/>
      <c r="BR3676" s="467"/>
      <c r="BS3676" s="467"/>
      <c r="BT3676" s="467"/>
      <c r="BU3676" s="467"/>
      <c r="BV3676" s="467"/>
      <c r="BW3676" s="467"/>
      <c r="BX3676" s="769"/>
      <c r="BY3676" s="769"/>
      <c r="BZ3676" s="769"/>
      <c r="CA3676" s="769"/>
      <c r="CB3676" s="769"/>
      <c r="CC3676" s="769"/>
      <c r="CD3676" s="769"/>
      <c r="CE3676" s="769"/>
      <c r="CF3676" s="769"/>
      <c r="CG3676" s="73"/>
      <c r="CH3676" s="438"/>
      <c r="CI3676" s="416"/>
      <c r="CJ3676" s="73"/>
      <c r="CK3676" s="650"/>
      <c r="CL3676" s="499"/>
      <c r="CM3676" s="650"/>
      <c r="CR3676" s="416"/>
      <c r="CS3676" s="650"/>
      <c r="CU3676" s="73"/>
      <c r="CV3676" s="73"/>
      <c r="CW3676" s="73"/>
      <c r="CX3676" s="73"/>
      <c r="DA3676" s="650"/>
    </row>
    <row r="3677" spans="1:105" s="45" customFormat="1" x14ac:dyDescent="0.2">
      <c r="A3677" s="650"/>
      <c r="B3677" s="438"/>
      <c r="D3677" s="73"/>
      <c r="E3677" s="650"/>
      <c r="F3677" s="650"/>
      <c r="G3677" s="73"/>
      <c r="I3677" s="111"/>
      <c r="J3677" s="81"/>
      <c r="K3677" s="81"/>
      <c r="L3677" s="499"/>
      <c r="M3677" s="73"/>
      <c r="N3677" s="499"/>
      <c r="O3677" s="73"/>
      <c r="P3677" s="73"/>
      <c r="Q3677" s="73"/>
      <c r="R3677" s="176"/>
      <c r="S3677" s="176"/>
      <c r="T3677" s="176"/>
      <c r="U3677" s="400"/>
      <c r="V3677" s="400"/>
      <c r="W3677" s="732"/>
      <c r="X3677" s="167"/>
      <c r="Y3677" s="509"/>
      <c r="Z3677" s="466"/>
      <c r="AA3677" s="466"/>
      <c r="AB3677" s="466"/>
      <c r="AC3677" s="466"/>
      <c r="AD3677" s="466"/>
      <c r="AE3677" s="466"/>
      <c r="AF3677" s="466"/>
      <c r="AG3677" s="466"/>
      <c r="AH3677" s="466"/>
      <c r="AI3677" s="466"/>
      <c r="AJ3677" s="466"/>
      <c r="AK3677" s="466"/>
      <c r="AL3677" s="466"/>
      <c r="AM3677" s="466"/>
      <c r="AN3677" s="466"/>
      <c r="AO3677" s="466"/>
      <c r="AP3677" s="466"/>
      <c r="AQ3677" s="466"/>
      <c r="AR3677" s="466"/>
      <c r="AS3677" s="466"/>
      <c r="AT3677" s="466"/>
      <c r="AU3677" s="466"/>
      <c r="AV3677" s="466"/>
      <c r="AW3677" s="466"/>
      <c r="AX3677" s="466"/>
      <c r="AY3677" s="466"/>
      <c r="AZ3677" s="466"/>
      <c r="BA3677" s="466"/>
      <c r="BB3677" s="466"/>
      <c r="BC3677" s="466"/>
      <c r="BD3677" s="466"/>
      <c r="BE3677" s="467"/>
      <c r="BF3677" s="467"/>
      <c r="BG3677" s="466"/>
      <c r="BH3677" s="466"/>
      <c r="BI3677" s="467"/>
      <c r="BJ3677" s="467"/>
      <c r="BK3677" s="467"/>
      <c r="BL3677" s="467"/>
      <c r="BM3677" s="467"/>
      <c r="BN3677" s="467"/>
      <c r="BO3677" s="467"/>
      <c r="BP3677" s="467"/>
      <c r="BQ3677" s="467"/>
      <c r="BR3677" s="467"/>
      <c r="BS3677" s="467"/>
      <c r="BT3677" s="467"/>
      <c r="BU3677" s="467"/>
      <c r="BV3677" s="467"/>
      <c r="BW3677" s="467"/>
      <c r="BX3677" s="769"/>
      <c r="BY3677" s="769"/>
      <c r="BZ3677" s="769"/>
      <c r="CA3677" s="769"/>
      <c r="CB3677" s="769"/>
      <c r="CC3677" s="769"/>
      <c r="CD3677" s="769"/>
      <c r="CE3677" s="769"/>
      <c r="CF3677" s="769"/>
      <c r="CG3677" s="73"/>
      <c r="CH3677" s="438"/>
      <c r="CI3677" s="416"/>
      <c r="CJ3677" s="73"/>
      <c r="CK3677" s="650"/>
      <c r="CL3677" s="499"/>
      <c r="CM3677" s="650"/>
      <c r="CR3677" s="416"/>
      <c r="CS3677" s="650"/>
      <c r="CU3677" s="73"/>
      <c r="CV3677" s="73"/>
      <c r="CW3677" s="73"/>
      <c r="CX3677" s="73"/>
      <c r="DA3677" s="650"/>
    </row>
    <row r="3678" spans="1:105" s="45" customFormat="1" x14ac:dyDescent="0.2">
      <c r="A3678" s="650"/>
      <c r="B3678" s="438"/>
      <c r="D3678" s="73"/>
      <c r="E3678" s="650"/>
      <c r="F3678" s="650"/>
      <c r="G3678" s="73"/>
      <c r="I3678" s="111"/>
      <c r="J3678" s="81"/>
      <c r="K3678" s="81"/>
      <c r="L3678" s="499"/>
      <c r="M3678" s="73"/>
      <c r="N3678" s="499"/>
      <c r="O3678" s="73"/>
      <c r="P3678" s="73"/>
      <c r="Q3678" s="73"/>
      <c r="R3678" s="176"/>
      <c r="S3678" s="176"/>
      <c r="T3678" s="176"/>
      <c r="U3678" s="400"/>
      <c r="V3678" s="400"/>
      <c r="W3678" s="732"/>
      <c r="X3678" s="167"/>
      <c r="Y3678" s="509"/>
      <c r="Z3678" s="466"/>
      <c r="AA3678" s="466"/>
      <c r="AB3678" s="466"/>
      <c r="AC3678" s="466"/>
      <c r="AD3678" s="466"/>
      <c r="AE3678" s="466"/>
      <c r="AF3678" s="466"/>
      <c r="AG3678" s="466"/>
      <c r="AH3678" s="466"/>
      <c r="AI3678" s="466"/>
      <c r="AJ3678" s="466"/>
      <c r="AK3678" s="466"/>
      <c r="AL3678" s="466"/>
      <c r="AM3678" s="466"/>
      <c r="AN3678" s="466"/>
      <c r="AO3678" s="466"/>
      <c r="AP3678" s="466"/>
      <c r="AQ3678" s="466"/>
      <c r="AR3678" s="466"/>
      <c r="AS3678" s="466"/>
      <c r="AT3678" s="466"/>
      <c r="AU3678" s="466"/>
      <c r="AV3678" s="466"/>
      <c r="AW3678" s="466"/>
      <c r="AX3678" s="466"/>
      <c r="AY3678" s="466"/>
      <c r="AZ3678" s="466"/>
      <c r="BA3678" s="466"/>
      <c r="BB3678" s="466"/>
      <c r="BC3678" s="466"/>
      <c r="BD3678" s="466"/>
      <c r="BE3678" s="467"/>
      <c r="BF3678" s="467"/>
      <c r="BG3678" s="466"/>
      <c r="BH3678" s="466"/>
      <c r="BI3678" s="467"/>
      <c r="BJ3678" s="467"/>
      <c r="BK3678" s="467"/>
      <c r="BL3678" s="467"/>
      <c r="BM3678" s="467"/>
      <c r="BN3678" s="467"/>
      <c r="BO3678" s="467"/>
      <c r="BP3678" s="467"/>
      <c r="BQ3678" s="467"/>
      <c r="BR3678" s="467"/>
      <c r="BS3678" s="467"/>
      <c r="BT3678" s="467"/>
      <c r="BU3678" s="467"/>
      <c r="BV3678" s="467"/>
      <c r="BW3678" s="467"/>
      <c r="BX3678" s="769"/>
      <c r="BY3678" s="769"/>
      <c r="BZ3678" s="769"/>
      <c r="CA3678" s="769"/>
      <c r="CB3678" s="769"/>
      <c r="CC3678" s="769"/>
      <c r="CD3678" s="769"/>
      <c r="CE3678" s="769"/>
      <c r="CF3678" s="769"/>
      <c r="CG3678" s="73"/>
      <c r="CH3678" s="438"/>
      <c r="CI3678" s="416"/>
      <c r="CJ3678" s="73"/>
      <c r="CK3678" s="650"/>
      <c r="CL3678" s="499"/>
      <c r="CM3678" s="650"/>
      <c r="CR3678" s="416"/>
      <c r="CS3678" s="650"/>
      <c r="CU3678" s="73"/>
      <c r="CV3678" s="73"/>
      <c r="CW3678" s="73"/>
      <c r="CX3678" s="73"/>
      <c r="DA3678" s="650"/>
    </row>
    <row r="3679" spans="1:105" s="45" customFormat="1" x14ac:dyDescent="0.2">
      <c r="A3679" s="650"/>
      <c r="B3679" s="438"/>
      <c r="D3679" s="73"/>
      <c r="E3679" s="650"/>
      <c r="F3679" s="650"/>
      <c r="G3679" s="73"/>
      <c r="I3679" s="111"/>
      <c r="J3679" s="81"/>
      <c r="K3679" s="81"/>
      <c r="L3679" s="499"/>
      <c r="M3679" s="73"/>
      <c r="N3679" s="499"/>
      <c r="O3679" s="73"/>
      <c r="P3679" s="73"/>
      <c r="Q3679" s="73"/>
      <c r="R3679" s="176"/>
      <c r="S3679" s="176"/>
      <c r="T3679" s="176"/>
      <c r="U3679" s="400"/>
      <c r="V3679" s="400"/>
      <c r="W3679" s="732"/>
      <c r="X3679" s="167"/>
      <c r="Y3679" s="509"/>
      <c r="Z3679" s="466"/>
      <c r="AA3679" s="466"/>
      <c r="AB3679" s="466"/>
      <c r="AC3679" s="466"/>
      <c r="AD3679" s="466"/>
      <c r="AE3679" s="466"/>
      <c r="AF3679" s="466"/>
      <c r="AG3679" s="466"/>
      <c r="AH3679" s="466"/>
      <c r="AI3679" s="466"/>
      <c r="AJ3679" s="466"/>
      <c r="AK3679" s="466"/>
      <c r="AL3679" s="466"/>
      <c r="AM3679" s="466"/>
      <c r="AN3679" s="466"/>
      <c r="AO3679" s="466"/>
      <c r="AP3679" s="466"/>
      <c r="AQ3679" s="466"/>
      <c r="AR3679" s="466"/>
      <c r="AS3679" s="466"/>
      <c r="AT3679" s="466"/>
      <c r="AU3679" s="466"/>
      <c r="AV3679" s="466"/>
      <c r="AW3679" s="466"/>
      <c r="AX3679" s="466"/>
      <c r="AY3679" s="466"/>
      <c r="AZ3679" s="466"/>
      <c r="BA3679" s="466"/>
      <c r="BB3679" s="466"/>
      <c r="BC3679" s="466"/>
      <c r="BD3679" s="466"/>
      <c r="BE3679" s="467"/>
      <c r="BF3679" s="467"/>
      <c r="BG3679" s="466"/>
      <c r="BH3679" s="466"/>
      <c r="BI3679" s="467"/>
      <c r="BJ3679" s="467"/>
      <c r="BK3679" s="467"/>
      <c r="BL3679" s="467"/>
      <c r="BM3679" s="467"/>
      <c r="BN3679" s="467"/>
      <c r="BO3679" s="467"/>
      <c r="BP3679" s="467"/>
      <c r="BQ3679" s="467"/>
      <c r="BR3679" s="467"/>
      <c r="BS3679" s="467"/>
      <c r="BT3679" s="467"/>
      <c r="BU3679" s="467"/>
      <c r="BV3679" s="467"/>
      <c r="BW3679" s="467"/>
      <c r="BX3679" s="769"/>
      <c r="BY3679" s="769"/>
      <c r="BZ3679" s="769"/>
      <c r="CA3679" s="769"/>
      <c r="CB3679" s="769"/>
      <c r="CC3679" s="769"/>
      <c r="CD3679" s="769"/>
      <c r="CE3679" s="769"/>
      <c r="CF3679" s="769"/>
      <c r="CG3679" s="73"/>
      <c r="CH3679" s="438"/>
      <c r="CI3679" s="416"/>
      <c r="CJ3679" s="73"/>
      <c r="CK3679" s="650"/>
      <c r="CL3679" s="499"/>
      <c r="CM3679" s="650"/>
      <c r="CR3679" s="416"/>
      <c r="CS3679" s="650"/>
      <c r="CU3679" s="73"/>
      <c r="CV3679" s="73"/>
      <c r="CW3679" s="73"/>
      <c r="CX3679" s="73"/>
      <c r="DA3679" s="650"/>
    </row>
    <row r="3680" spans="1:105" s="45" customFormat="1" x14ac:dyDescent="0.2">
      <c r="A3680" s="650"/>
      <c r="B3680" s="438"/>
      <c r="D3680" s="73"/>
      <c r="E3680" s="650"/>
      <c r="F3680" s="650"/>
      <c r="G3680" s="73"/>
      <c r="I3680" s="111"/>
      <c r="J3680" s="81"/>
      <c r="K3680" s="81"/>
      <c r="L3680" s="499"/>
      <c r="M3680" s="73"/>
      <c r="N3680" s="499"/>
      <c r="O3680" s="73"/>
      <c r="P3680" s="73"/>
      <c r="Q3680" s="73"/>
      <c r="R3680" s="176"/>
      <c r="S3680" s="176"/>
      <c r="T3680" s="176"/>
      <c r="U3680" s="400"/>
      <c r="V3680" s="400"/>
      <c r="W3680" s="732"/>
      <c r="X3680" s="167"/>
      <c r="Y3680" s="509"/>
      <c r="Z3680" s="466"/>
      <c r="AA3680" s="466"/>
      <c r="AB3680" s="466"/>
      <c r="AC3680" s="466"/>
      <c r="AD3680" s="466"/>
      <c r="AE3680" s="466"/>
      <c r="AF3680" s="466"/>
      <c r="AG3680" s="466"/>
      <c r="AH3680" s="466"/>
      <c r="AI3680" s="466"/>
      <c r="AJ3680" s="466"/>
      <c r="AK3680" s="466"/>
      <c r="AL3680" s="466"/>
      <c r="AM3680" s="466"/>
      <c r="AN3680" s="466"/>
      <c r="AO3680" s="466"/>
      <c r="AP3680" s="466"/>
      <c r="AQ3680" s="466"/>
      <c r="AR3680" s="466"/>
      <c r="AS3680" s="466"/>
      <c r="AT3680" s="466"/>
      <c r="AU3680" s="466"/>
      <c r="AV3680" s="466"/>
      <c r="AW3680" s="466"/>
      <c r="AX3680" s="466"/>
      <c r="AY3680" s="466"/>
      <c r="AZ3680" s="466"/>
      <c r="BA3680" s="466"/>
      <c r="BB3680" s="466"/>
      <c r="BC3680" s="466"/>
      <c r="BD3680" s="466"/>
      <c r="BE3680" s="467"/>
      <c r="BF3680" s="467"/>
      <c r="BG3680" s="466"/>
      <c r="BH3680" s="466"/>
      <c r="BI3680" s="467"/>
      <c r="BJ3680" s="467"/>
      <c r="BK3680" s="467"/>
      <c r="BL3680" s="467"/>
      <c r="BM3680" s="467"/>
      <c r="BN3680" s="467"/>
      <c r="BO3680" s="467"/>
      <c r="BP3680" s="467"/>
      <c r="BQ3680" s="467"/>
      <c r="BR3680" s="467"/>
      <c r="BS3680" s="467"/>
      <c r="BT3680" s="467"/>
      <c r="BU3680" s="467"/>
      <c r="BV3680" s="467"/>
      <c r="BW3680" s="467"/>
      <c r="BX3680" s="769"/>
      <c r="BY3680" s="769"/>
      <c r="BZ3680" s="769"/>
      <c r="CA3680" s="769"/>
      <c r="CB3680" s="769"/>
      <c r="CC3680" s="769"/>
      <c r="CD3680" s="769"/>
      <c r="CE3680" s="769"/>
      <c r="CF3680" s="769"/>
      <c r="CG3680" s="73"/>
      <c r="CH3680" s="438"/>
      <c r="CI3680" s="416"/>
      <c r="CJ3680" s="73"/>
      <c r="CK3680" s="650"/>
      <c r="CL3680" s="499"/>
      <c r="CM3680" s="650"/>
      <c r="CR3680" s="416"/>
      <c r="CS3680" s="650"/>
      <c r="CU3680" s="73"/>
      <c r="CV3680" s="73"/>
      <c r="CW3680" s="73"/>
      <c r="CX3680" s="73"/>
      <c r="DA3680" s="650"/>
    </row>
    <row r="3681" spans="1:105" s="45" customFormat="1" x14ac:dyDescent="0.2">
      <c r="A3681" s="650"/>
      <c r="B3681" s="438"/>
      <c r="D3681" s="73"/>
      <c r="E3681" s="650"/>
      <c r="F3681" s="650"/>
      <c r="G3681" s="73"/>
      <c r="I3681" s="111"/>
      <c r="J3681" s="81"/>
      <c r="K3681" s="81"/>
      <c r="L3681" s="499"/>
      <c r="M3681" s="73"/>
      <c r="N3681" s="499"/>
      <c r="O3681" s="73"/>
      <c r="P3681" s="73"/>
      <c r="Q3681" s="73"/>
      <c r="R3681" s="176"/>
      <c r="S3681" s="176"/>
      <c r="T3681" s="176"/>
      <c r="U3681" s="400"/>
      <c r="V3681" s="400"/>
      <c r="W3681" s="732"/>
      <c r="X3681" s="167"/>
      <c r="Y3681" s="509"/>
      <c r="Z3681" s="466"/>
      <c r="AA3681" s="466"/>
      <c r="AB3681" s="466"/>
      <c r="AC3681" s="466"/>
      <c r="AD3681" s="466"/>
      <c r="AE3681" s="466"/>
      <c r="AF3681" s="466"/>
      <c r="AG3681" s="466"/>
      <c r="AH3681" s="466"/>
      <c r="AI3681" s="466"/>
      <c r="AJ3681" s="466"/>
      <c r="AK3681" s="466"/>
      <c r="AL3681" s="466"/>
      <c r="AM3681" s="466"/>
      <c r="AN3681" s="466"/>
      <c r="AO3681" s="466"/>
      <c r="AP3681" s="466"/>
      <c r="AQ3681" s="466"/>
      <c r="AR3681" s="466"/>
      <c r="AS3681" s="466"/>
      <c r="AT3681" s="466"/>
      <c r="AU3681" s="466"/>
      <c r="AV3681" s="466"/>
      <c r="AW3681" s="466"/>
      <c r="AX3681" s="466"/>
      <c r="AY3681" s="466"/>
      <c r="AZ3681" s="466"/>
      <c r="BA3681" s="466"/>
      <c r="BB3681" s="466"/>
      <c r="BC3681" s="466"/>
      <c r="BD3681" s="466"/>
      <c r="BE3681" s="467"/>
      <c r="BF3681" s="467"/>
      <c r="BG3681" s="466"/>
      <c r="BH3681" s="466"/>
      <c r="BI3681" s="467"/>
      <c r="BJ3681" s="467"/>
      <c r="BK3681" s="467"/>
      <c r="BL3681" s="467"/>
      <c r="BM3681" s="467"/>
      <c r="BN3681" s="467"/>
      <c r="BO3681" s="467"/>
      <c r="BP3681" s="467"/>
      <c r="BQ3681" s="467"/>
      <c r="BR3681" s="467"/>
      <c r="BS3681" s="467"/>
      <c r="BT3681" s="467"/>
      <c r="BU3681" s="467"/>
      <c r="BV3681" s="467"/>
      <c r="BW3681" s="467"/>
      <c r="BX3681" s="769"/>
      <c r="BY3681" s="769"/>
      <c r="BZ3681" s="769"/>
      <c r="CA3681" s="769"/>
      <c r="CB3681" s="769"/>
      <c r="CC3681" s="769"/>
      <c r="CD3681" s="769"/>
      <c r="CE3681" s="769"/>
      <c r="CF3681" s="769"/>
      <c r="CG3681" s="73"/>
      <c r="CH3681" s="438"/>
      <c r="CI3681" s="416"/>
      <c r="CJ3681" s="73"/>
      <c r="CK3681" s="650"/>
      <c r="CL3681" s="499"/>
      <c r="CM3681" s="650"/>
      <c r="CR3681" s="416"/>
      <c r="CS3681" s="650"/>
      <c r="CU3681" s="73"/>
      <c r="CV3681" s="73"/>
      <c r="CW3681" s="73"/>
      <c r="CX3681" s="73"/>
      <c r="DA3681" s="650"/>
    </row>
    <row r="3682" spans="1:105" s="45" customFormat="1" x14ac:dyDescent="0.2">
      <c r="A3682" s="650"/>
      <c r="B3682" s="438"/>
      <c r="D3682" s="73"/>
      <c r="E3682" s="650"/>
      <c r="F3682" s="650"/>
      <c r="G3682" s="73"/>
      <c r="I3682" s="111"/>
      <c r="J3682" s="81"/>
      <c r="K3682" s="81"/>
      <c r="L3682" s="499"/>
      <c r="M3682" s="73"/>
      <c r="N3682" s="499"/>
      <c r="O3682" s="73"/>
      <c r="P3682" s="73"/>
      <c r="Q3682" s="73"/>
      <c r="R3682" s="176"/>
      <c r="S3682" s="176"/>
      <c r="T3682" s="176"/>
      <c r="U3682" s="400"/>
      <c r="V3682" s="400"/>
      <c r="W3682" s="732"/>
      <c r="X3682" s="167"/>
      <c r="Y3682" s="509"/>
      <c r="Z3682" s="466"/>
      <c r="AA3682" s="466"/>
      <c r="AB3682" s="466"/>
      <c r="AC3682" s="466"/>
      <c r="AD3682" s="466"/>
      <c r="AE3682" s="466"/>
      <c r="AF3682" s="466"/>
      <c r="AG3682" s="466"/>
      <c r="AH3682" s="466"/>
      <c r="AI3682" s="466"/>
      <c r="AJ3682" s="466"/>
      <c r="AK3682" s="466"/>
      <c r="AL3682" s="466"/>
      <c r="AM3682" s="466"/>
      <c r="AN3682" s="466"/>
      <c r="AO3682" s="466"/>
      <c r="AP3682" s="466"/>
      <c r="AQ3682" s="466"/>
      <c r="AR3682" s="466"/>
      <c r="AS3682" s="466"/>
      <c r="AT3682" s="466"/>
      <c r="AU3682" s="466"/>
      <c r="AV3682" s="466"/>
      <c r="AW3682" s="466"/>
      <c r="AX3682" s="466"/>
      <c r="AY3682" s="466"/>
      <c r="AZ3682" s="466"/>
      <c r="BA3682" s="466"/>
      <c r="BB3682" s="466"/>
      <c r="BC3682" s="466"/>
      <c r="BD3682" s="466"/>
      <c r="BE3682" s="467"/>
      <c r="BF3682" s="467"/>
      <c r="BG3682" s="466"/>
      <c r="BH3682" s="466"/>
      <c r="BI3682" s="467"/>
      <c r="BJ3682" s="467"/>
      <c r="BK3682" s="467"/>
      <c r="BL3682" s="467"/>
      <c r="BM3682" s="467"/>
      <c r="BN3682" s="467"/>
      <c r="BO3682" s="467"/>
      <c r="BP3682" s="467"/>
      <c r="BQ3682" s="467"/>
      <c r="BR3682" s="467"/>
      <c r="BS3682" s="467"/>
      <c r="BT3682" s="467"/>
      <c r="BU3682" s="467"/>
      <c r="BV3682" s="467"/>
      <c r="BW3682" s="467"/>
      <c r="BX3682" s="769"/>
      <c r="BY3682" s="769"/>
      <c r="BZ3682" s="769"/>
      <c r="CA3682" s="769"/>
      <c r="CB3682" s="769"/>
      <c r="CC3682" s="769"/>
      <c r="CD3682" s="769"/>
      <c r="CE3682" s="769"/>
      <c r="CF3682" s="769"/>
      <c r="CG3682" s="73"/>
      <c r="CH3682" s="438"/>
      <c r="CI3682" s="416"/>
      <c r="CJ3682" s="73"/>
      <c r="CK3682" s="650"/>
      <c r="CL3682" s="499"/>
      <c r="CM3682" s="650"/>
      <c r="CR3682" s="416"/>
      <c r="CS3682" s="650"/>
      <c r="CU3682" s="73"/>
      <c r="CV3682" s="73"/>
      <c r="CW3682" s="73"/>
      <c r="CX3682" s="73"/>
      <c r="DA3682" s="650"/>
    </row>
    <row r="3683" spans="1:105" s="45" customFormat="1" x14ac:dyDescent="0.2">
      <c r="A3683" s="650"/>
      <c r="B3683" s="438"/>
      <c r="D3683" s="73"/>
      <c r="E3683" s="650"/>
      <c r="F3683" s="650"/>
      <c r="G3683" s="73"/>
      <c r="I3683" s="111"/>
      <c r="J3683" s="81"/>
      <c r="K3683" s="81"/>
      <c r="L3683" s="499"/>
      <c r="M3683" s="73"/>
      <c r="N3683" s="499"/>
      <c r="O3683" s="73"/>
      <c r="P3683" s="73"/>
      <c r="Q3683" s="73"/>
      <c r="R3683" s="176"/>
      <c r="S3683" s="176"/>
      <c r="T3683" s="176"/>
      <c r="U3683" s="400"/>
      <c r="V3683" s="400"/>
      <c r="W3683" s="732"/>
      <c r="X3683" s="167"/>
      <c r="Y3683" s="509"/>
      <c r="Z3683" s="466"/>
      <c r="AA3683" s="466"/>
      <c r="AB3683" s="466"/>
      <c r="AC3683" s="466"/>
      <c r="AD3683" s="466"/>
      <c r="AE3683" s="466"/>
      <c r="AF3683" s="466"/>
      <c r="AG3683" s="466"/>
      <c r="AH3683" s="466"/>
      <c r="AI3683" s="466"/>
      <c r="AJ3683" s="466"/>
      <c r="AK3683" s="466"/>
      <c r="AL3683" s="466"/>
      <c r="AM3683" s="466"/>
      <c r="AN3683" s="466"/>
      <c r="AO3683" s="466"/>
      <c r="AP3683" s="466"/>
      <c r="AQ3683" s="466"/>
      <c r="AR3683" s="466"/>
      <c r="AS3683" s="466"/>
      <c r="AT3683" s="466"/>
      <c r="AU3683" s="466"/>
      <c r="AV3683" s="466"/>
      <c r="AW3683" s="466"/>
      <c r="AX3683" s="466"/>
      <c r="AY3683" s="466"/>
      <c r="AZ3683" s="466"/>
      <c r="BA3683" s="466"/>
      <c r="BB3683" s="466"/>
      <c r="BC3683" s="466"/>
      <c r="BD3683" s="466"/>
      <c r="BE3683" s="467"/>
      <c r="BF3683" s="467"/>
      <c r="BG3683" s="466"/>
      <c r="BH3683" s="466"/>
      <c r="BI3683" s="467"/>
      <c r="BJ3683" s="467"/>
      <c r="BK3683" s="467"/>
      <c r="BL3683" s="467"/>
      <c r="BM3683" s="467"/>
      <c r="BN3683" s="467"/>
      <c r="BO3683" s="467"/>
      <c r="BP3683" s="467"/>
      <c r="BQ3683" s="467"/>
      <c r="BR3683" s="467"/>
      <c r="BS3683" s="467"/>
      <c r="BT3683" s="467"/>
      <c r="BU3683" s="467"/>
      <c r="BV3683" s="467"/>
      <c r="BW3683" s="467"/>
      <c r="BX3683" s="769"/>
      <c r="BY3683" s="769"/>
      <c r="BZ3683" s="769"/>
      <c r="CA3683" s="769"/>
      <c r="CB3683" s="769"/>
      <c r="CC3683" s="769"/>
      <c r="CD3683" s="769"/>
      <c r="CE3683" s="769"/>
      <c r="CF3683" s="769"/>
      <c r="CG3683" s="73"/>
      <c r="CH3683" s="438"/>
      <c r="CI3683" s="416"/>
      <c r="CJ3683" s="73"/>
      <c r="CK3683" s="650"/>
      <c r="CL3683" s="499"/>
      <c r="CM3683" s="650"/>
      <c r="CR3683" s="416"/>
      <c r="CS3683" s="650"/>
      <c r="CU3683" s="73"/>
      <c r="CV3683" s="73"/>
      <c r="CW3683" s="73"/>
      <c r="CX3683" s="73"/>
      <c r="DA3683" s="650"/>
    </row>
    <row r="3684" spans="1:105" s="45" customFormat="1" x14ac:dyDescent="0.2">
      <c r="A3684" s="650"/>
      <c r="B3684" s="438"/>
      <c r="D3684" s="73"/>
      <c r="E3684" s="650"/>
      <c r="F3684" s="650"/>
      <c r="G3684" s="73"/>
      <c r="I3684" s="111"/>
      <c r="J3684" s="81"/>
      <c r="K3684" s="81"/>
      <c r="L3684" s="499"/>
      <c r="M3684" s="73"/>
      <c r="N3684" s="499"/>
      <c r="O3684" s="73"/>
      <c r="P3684" s="73"/>
      <c r="Q3684" s="73"/>
      <c r="R3684" s="176"/>
      <c r="S3684" s="176"/>
      <c r="T3684" s="176"/>
      <c r="U3684" s="400"/>
      <c r="V3684" s="400"/>
      <c r="W3684" s="732"/>
      <c r="X3684" s="167"/>
      <c r="Y3684" s="509"/>
      <c r="Z3684" s="466"/>
      <c r="AA3684" s="466"/>
      <c r="AB3684" s="466"/>
      <c r="AC3684" s="466"/>
      <c r="AD3684" s="466"/>
      <c r="AE3684" s="466"/>
      <c r="AF3684" s="466"/>
      <c r="AG3684" s="466"/>
      <c r="AH3684" s="466"/>
      <c r="AI3684" s="466"/>
      <c r="AJ3684" s="466"/>
      <c r="AK3684" s="466"/>
      <c r="AL3684" s="466"/>
      <c r="AM3684" s="466"/>
      <c r="AN3684" s="466"/>
      <c r="AO3684" s="466"/>
      <c r="AP3684" s="466"/>
      <c r="AQ3684" s="466"/>
      <c r="AR3684" s="466"/>
      <c r="AS3684" s="466"/>
      <c r="AT3684" s="466"/>
      <c r="AU3684" s="466"/>
      <c r="AV3684" s="466"/>
      <c r="AW3684" s="466"/>
      <c r="AX3684" s="466"/>
      <c r="AY3684" s="466"/>
      <c r="AZ3684" s="466"/>
      <c r="BA3684" s="466"/>
      <c r="BB3684" s="466"/>
      <c r="BC3684" s="466"/>
      <c r="BD3684" s="466"/>
      <c r="BE3684" s="467"/>
      <c r="BF3684" s="467"/>
      <c r="BG3684" s="466"/>
      <c r="BH3684" s="466"/>
      <c r="BI3684" s="467"/>
      <c r="BJ3684" s="467"/>
      <c r="BK3684" s="467"/>
      <c r="BL3684" s="467"/>
      <c r="BM3684" s="467"/>
      <c r="BN3684" s="467"/>
      <c r="BO3684" s="467"/>
      <c r="BP3684" s="467"/>
      <c r="BQ3684" s="467"/>
      <c r="BR3684" s="467"/>
      <c r="BS3684" s="467"/>
      <c r="BT3684" s="467"/>
      <c r="BU3684" s="467"/>
      <c r="BV3684" s="467"/>
      <c r="BW3684" s="467"/>
      <c r="BX3684" s="769"/>
      <c r="BY3684" s="769"/>
      <c r="BZ3684" s="769"/>
      <c r="CA3684" s="769"/>
      <c r="CB3684" s="769"/>
      <c r="CC3684" s="769"/>
      <c r="CD3684" s="769"/>
      <c r="CE3684" s="769"/>
      <c r="CF3684" s="769"/>
      <c r="CG3684" s="73"/>
      <c r="CH3684" s="438"/>
      <c r="CI3684" s="416"/>
      <c r="CJ3684" s="73"/>
      <c r="CK3684" s="650"/>
      <c r="CL3684" s="499"/>
      <c r="CM3684" s="650"/>
      <c r="CR3684" s="416"/>
      <c r="CS3684" s="650"/>
      <c r="CU3684" s="73"/>
      <c r="CV3684" s="73"/>
      <c r="CW3684" s="73"/>
      <c r="CX3684" s="73"/>
      <c r="DA3684" s="650"/>
    </row>
    <row r="3685" spans="1:105" s="45" customFormat="1" x14ac:dyDescent="0.2">
      <c r="A3685" s="650"/>
      <c r="B3685" s="438"/>
      <c r="D3685" s="73"/>
      <c r="E3685" s="650"/>
      <c r="F3685" s="650"/>
      <c r="G3685" s="73"/>
      <c r="I3685" s="111"/>
      <c r="J3685" s="81"/>
      <c r="K3685" s="81"/>
      <c r="L3685" s="499"/>
      <c r="M3685" s="73"/>
      <c r="N3685" s="499"/>
      <c r="O3685" s="73"/>
      <c r="P3685" s="73"/>
      <c r="Q3685" s="73"/>
      <c r="R3685" s="176"/>
      <c r="S3685" s="176"/>
      <c r="T3685" s="176"/>
      <c r="U3685" s="400"/>
      <c r="V3685" s="400"/>
      <c r="W3685" s="732"/>
      <c r="X3685" s="167"/>
      <c r="Y3685" s="509"/>
      <c r="Z3685" s="466"/>
      <c r="AA3685" s="466"/>
      <c r="AB3685" s="466"/>
      <c r="AC3685" s="466"/>
      <c r="AD3685" s="466"/>
      <c r="AE3685" s="466"/>
      <c r="AF3685" s="466"/>
      <c r="AG3685" s="466"/>
      <c r="AH3685" s="466"/>
      <c r="AI3685" s="466"/>
      <c r="AJ3685" s="466"/>
      <c r="AK3685" s="466"/>
      <c r="AL3685" s="466"/>
      <c r="AM3685" s="466"/>
      <c r="AN3685" s="466"/>
      <c r="AO3685" s="466"/>
      <c r="AP3685" s="466"/>
      <c r="AQ3685" s="466"/>
      <c r="AR3685" s="466"/>
      <c r="AS3685" s="466"/>
      <c r="AT3685" s="466"/>
      <c r="AU3685" s="466"/>
      <c r="AV3685" s="466"/>
      <c r="AW3685" s="466"/>
      <c r="AX3685" s="466"/>
      <c r="AY3685" s="466"/>
      <c r="AZ3685" s="466"/>
      <c r="BA3685" s="466"/>
      <c r="BB3685" s="466"/>
      <c r="BC3685" s="466"/>
      <c r="BD3685" s="466"/>
      <c r="BE3685" s="467"/>
      <c r="BF3685" s="467"/>
      <c r="BG3685" s="466"/>
      <c r="BH3685" s="466"/>
      <c r="BI3685" s="467"/>
      <c r="BJ3685" s="467"/>
      <c r="BK3685" s="467"/>
      <c r="BL3685" s="467"/>
      <c r="BM3685" s="467"/>
      <c r="BN3685" s="467"/>
      <c r="BO3685" s="467"/>
      <c r="BP3685" s="467"/>
      <c r="BQ3685" s="467"/>
      <c r="BR3685" s="467"/>
      <c r="BS3685" s="467"/>
      <c r="BT3685" s="467"/>
      <c r="BU3685" s="467"/>
      <c r="BV3685" s="467"/>
      <c r="BW3685" s="467"/>
      <c r="BX3685" s="769"/>
      <c r="BY3685" s="769"/>
      <c r="BZ3685" s="769"/>
      <c r="CA3685" s="769"/>
      <c r="CB3685" s="769"/>
      <c r="CC3685" s="769"/>
      <c r="CD3685" s="769"/>
      <c r="CE3685" s="769"/>
      <c r="CF3685" s="769"/>
      <c r="CG3685" s="73"/>
      <c r="CH3685" s="438"/>
      <c r="CI3685" s="416"/>
      <c r="CJ3685" s="73"/>
      <c r="CK3685" s="650"/>
      <c r="CL3685" s="499"/>
      <c r="CM3685" s="650"/>
      <c r="CR3685" s="416"/>
      <c r="CS3685" s="650"/>
      <c r="CU3685" s="73"/>
      <c r="CV3685" s="73"/>
      <c r="CW3685" s="73"/>
      <c r="CX3685" s="73"/>
      <c r="DA3685" s="650"/>
    </row>
    <row r="3686" spans="1:105" s="45" customFormat="1" x14ac:dyDescent="0.2">
      <c r="A3686" s="650"/>
      <c r="B3686" s="438"/>
      <c r="D3686" s="73"/>
      <c r="E3686" s="650"/>
      <c r="F3686" s="650"/>
      <c r="G3686" s="73"/>
      <c r="I3686" s="111"/>
      <c r="J3686" s="81"/>
      <c r="K3686" s="81"/>
      <c r="L3686" s="499"/>
      <c r="M3686" s="73"/>
      <c r="N3686" s="499"/>
      <c r="O3686" s="73"/>
      <c r="P3686" s="73"/>
      <c r="Q3686" s="73"/>
      <c r="R3686" s="176"/>
      <c r="S3686" s="176"/>
      <c r="T3686" s="176"/>
      <c r="U3686" s="400"/>
      <c r="V3686" s="400"/>
      <c r="W3686" s="732"/>
      <c r="X3686" s="167"/>
      <c r="Y3686" s="509"/>
      <c r="Z3686" s="466"/>
      <c r="AA3686" s="466"/>
      <c r="AB3686" s="466"/>
      <c r="AC3686" s="466"/>
      <c r="AD3686" s="466"/>
      <c r="AE3686" s="466"/>
      <c r="AF3686" s="466"/>
      <c r="AG3686" s="466"/>
      <c r="AH3686" s="466"/>
      <c r="AI3686" s="466"/>
      <c r="AJ3686" s="466"/>
      <c r="AK3686" s="466"/>
      <c r="AL3686" s="466"/>
      <c r="AM3686" s="466"/>
      <c r="AN3686" s="466"/>
      <c r="AO3686" s="466"/>
      <c r="AP3686" s="466"/>
      <c r="AQ3686" s="466"/>
      <c r="AR3686" s="466"/>
      <c r="AS3686" s="466"/>
      <c r="AT3686" s="466"/>
      <c r="AU3686" s="466"/>
      <c r="AV3686" s="466"/>
      <c r="AW3686" s="466"/>
      <c r="AX3686" s="466"/>
      <c r="AY3686" s="466"/>
      <c r="AZ3686" s="466"/>
      <c r="BA3686" s="466"/>
      <c r="BB3686" s="466"/>
      <c r="BC3686" s="466"/>
      <c r="BD3686" s="466"/>
      <c r="BE3686" s="467"/>
      <c r="BF3686" s="467"/>
      <c r="BG3686" s="466"/>
      <c r="BH3686" s="466"/>
      <c r="BI3686" s="467"/>
      <c r="BJ3686" s="467"/>
      <c r="BK3686" s="467"/>
      <c r="BL3686" s="467"/>
      <c r="BM3686" s="467"/>
      <c r="BN3686" s="467"/>
      <c r="BO3686" s="467"/>
      <c r="BP3686" s="467"/>
      <c r="BQ3686" s="467"/>
      <c r="BR3686" s="467"/>
      <c r="BS3686" s="467"/>
      <c r="BT3686" s="467"/>
      <c r="BU3686" s="467"/>
      <c r="BV3686" s="467"/>
      <c r="BW3686" s="467"/>
      <c r="BX3686" s="769"/>
      <c r="BY3686" s="769"/>
      <c r="BZ3686" s="769"/>
      <c r="CA3686" s="769"/>
      <c r="CB3686" s="769"/>
      <c r="CC3686" s="769"/>
      <c r="CD3686" s="769"/>
      <c r="CE3686" s="769"/>
      <c r="CF3686" s="769"/>
      <c r="CG3686" s="73"/>
      <c r="CH3686" s="438"/>
      <c r="CI3686" s="416"/>
      <c r="CJ3686" s="73"/>
      <c r="CK3686" s="650"/>
      <c r="CL3686" s="499"/>
      <c r="CM3686" s="650"/>
      <c r="CR3686" s="416"/>
      <c r="CS3686" s="650"/>
      <c r="CU3686" s="73"/>
      <c r="CV3686" s="73"/>
      <c r="CW3686" s="73"/>
      <c r="CX3686" s="73"/>
      <c r="DA3686" s="650"/>
    </row>
    <row r="3687" spans="1:105" s="45" customFormat="1" x14ac:dyDescent="0.2">
      <c r="A3687" s="650"/>
      <c r="B3687" s="438"/>
      <c r="D3687" s="73"/>
      <c r="E3687" s="650"/>
      <c r="F3687" s="650"/>
      <c r="G3687" s="73"/>
      <c r="I3687" s="111"/>
      <c r="J3687" s="81"/>
      <c r="K3687" s="81"/>
      <c r="L3687" s="499"/>
      <c r="M3687" s="73"/>
      <c r="N3687" s="499"/>
      <c r="O3687" s="73"/>
      <c r="P3687" s="73"/>
      <c r="Q3687" s="73"/>
      <c r="R3687" s="176"/>
      <c r="S3687" s="176"/>
      <c r="T3687" s="176"/>
      <c r="U3687" s="400"/>
      <c r="V3687" s="400"/>
      <c r="W3687" s="732"/>
      <c r="X3687" s="167"/>
      <c r="Y3687" s="509"/>
      <c r="Z3687" s="466"/>
      <c r="AA3687" s="466"/>
      <c r="AB3687" s="466"/>
      <c r="AC3687" s="466"/>
      <c r="AD3687" s="466"/>
      <c r="AE3687" s="466"/>
      <c r="AF3687" s="466"/>
      <c r="AG3687" s="466"/>
      <c r="AH3687" s="466"/>
      <c r="AI3687" s="466"/>
      <c r="AJ3687" s="466"/>
      <c r="AK3687" s="466"/>
      <c r="AL3687" s="466"/>
      <c r="AM3687" s="466"/>
      <c r="AN3687" s="466"/>
      <c r="AO3687" s="466"/>
      <c r="AP3687" s="466"/>
      <c r="AQ3687" s="466"/>
      <c r="AR3687" s="466"/>
      <c r="AS3687" s="466"/>
      <c r="AT3687" s="466"/>
      <c r="AU3687" s="466"/>
      <c r="AV3687" s="466"/>
      <c r="AW3687" s="466"/>
      <c r="AX3687" s="466"/>
      <c r="AY3687" s="466"/>
      <c r="AZ3687" s="466"/>
      <c r="BA3687" s="466"/>
      <c r="BB3687" s="466"/>
      <c r="BC3687" s="466"/>
      <c r="BD3687" s="466"/>
      <c r="BE3687" s="467"/>
      <c r="BF3687" s="467"/>
      <c r="BG3687" s="466"/>
      <c r="BH3687" s="466"/>
      <c r="BI3687" s="467"/>
      <c r="BJ3687" s="467"/>
      <c r="BK3687" s="467"/>
      <c r="BL3687" s="467"/>
      <c r="BM3687" s="467"/>
      <c r="BN3687" s="467"/>
      <c r="BO3687" s="467"/>
      <c r="BP3687" s="467"/>
      <c r="BQ3687" s="467"/>
      <c r="BR3687" s="467"/>
      <c r="BS3687" s="467"/>
      <c r="BT3687" s="467"/>
      <c r="BU3687" s="467"/>
      <c r="BV3687" s="467"/>
      <c r="BW3687" s="467"/>
      <c r="BX3687" s="769"/>
      <c r="BY3687" s="769"/>
      <c r="BZ3687" s="769"/>
      <c r="CA3687" s="769"/>
      <c r="CB3687" s="769"/>
      <c r="CC3687" s="769"/>
      <c r="CD3687" s="769"/>
      <c r="CE3687" s="769"/>
      <c r="CF3687" s="769"/>
      <c r="CG3687" s="73"/>
      <c r="CH3687" s="438"/>
      <c r="CI3687" s="416"/>
      <c r="CJ3687" s="73"/>
      <c r="CK3687" s="650"/>
      <c r="CL3687" s="499"/>
      <c r="CM3687" s="650"/>
      <c r="CR3687" s="416"/>
      <c r="CS3687" s="650"/>
      <c r="CU3687" s="73"/>
      <c r="CV3687" s="73"/>
      <c r="CW3687" s="73"/>
      <c r="CX3687" s="73"/>
      <c r="DA3687" s="650"/>
    </row>
    <row r="3688" spans="1:105" s="45" customFormat="1" x14ac:dyDescent="0.2">
      <c r="A3688" s="650"/>
      <c r="B3688" s="438"/>
      <c r="D3688" s="73"/>
      <c r="E3688" s="650"/>
      <c r="F3688" s="650"/>
      <c r="G3688" s="73"/>
      <c r="I3688" s="111"/>
      <c r="J3688" s="81"/>
      <c r="K3688" s="81"/>
      <c r="L3688" s="499"/>
      <c r="M3688" s="73"/>
      <c r="N3688" s="499"/>
      <c r="O3688" s="73"/>
      <c r="P3688" s="73"/>
      <c r="Q3688" s="73"/>
      <c r="R3688" s="176"/>
      <c r="S3688" s="176"/>
      <c r="T3688" s="176"/>
      <c r="U3688" s="400"/>
      <c r="V3688" s="400"/>
      <c r="W3688" s="732"/>
      <c r="X3688" s="167"/>
      <c r="Y3688" s="509"/>
      <c r="Z3688" s="466"/>
      <c r="AA3688" s="466"/>
      <c r="AB3688" s="466"/>
      <c r="AC3688" s="466"/>
      <c r="AD3688" s="466"/>
      <c r="AE3688" s="466"/>
      <c r="AF3688" s="466"/>
      <c r="AG3688" s="466"/>
      <c r="AH3688" s="466"/>
      <c r="AI3688" s="466"/>
      <c r="AJ3688" s="466"/>
      <c r="AK3688" s="466"/>
      <c r="AL3688" s="466"/>
      <c r="AM3688" s="466"/>
      <c r="AN3688" s="466"/>
      <c r="AO3688" s="466"/>
      <c r="AP3688" s="466"/>
      <c r="AQ3688" s="466"/>
      <c r="AR3688" s="466"/>
      <c r="AS3688" s="466"/>
      <c r="AT3688" s="466"/>
      <c r="AU3688" s="466"/>
      <c r="AV3688" s="466"/>
      <c r="AW3688" s="466"/>
      <c r="AX3688" s="466"/>
      <c r="AY3688" s="466"/>
      <c r="AZ3688" s="466"/>
      <c r="BA3688" s="466"/>
      <c r="BB3688" s="466"/>
      <c r="BC3688" s="466"/>
      <c r="BD3688" s="466"/>
      <c r="BE3688" s="467"/>
      <c r="BF3688" s="467"/>
      <c r="BG3688" s="466"/>
      <c r="BH3688" s="466"/>
      <c r="BI3688" s="467"/>
      <c r="BJ3688" s="467"/>
      <c r="BK3688" s="467"/>
      <c r="BL3688" s="467"/>
      <c r="BM3688" s="467"/>
      <c r="BN3688" s="467"/>
      <c r="BO3688" s="467"/>
      <c r="BP3688" s="467"/>
      <c r="BQ3688" s="467"/>
      <c r="BR3688" s="467"/>
      <c r="BS3688" s="467"/>
      <c r="BT3688" s="467"/>
      <c r="BU3688" s="467"/>
      <c r="BV3688" s="467"/>
      <c r="BW3688" s="467"/>
      <c r="BX3688" s="769"/>
      <c r="BY3688" s="769"/>
      <c r="BZ3688" s="769"/>
      <c r="CA3688" s="769"/>
      <c r="CB3688" s="769"/>
      <c r="CC3688" s="769"/>
      <c r="CD3688" s="769"/>
      <c r="CE3688" s="769"/>
      <c r="CF3688" s="769"/>
      <c r="CG3688" s="73"/>
      <c r="CH3688" s="438"/>
      <c r="CI3688" s="416"/>
      <c r="CJ3688" s="73"/>
      <c r="CK3688" s="650"/>
      <c r="CL3688" s="499"/>
      <c r="CM3688" s="650"/>
      <c r="CR3688" s="416"/>
      <c r="CS3688" s="650"/>
      <c r="CU3688" s="73"/>
      <c r="CV3688" s="73"/>
      <c r="CW3688" s="73"/>
      <c r="CX3688" s="73"/>
      <c r="DA3688" s="650"/>
    </row>
    <row r="3689" spans="1:105" s="45" customFormat="1" x14ac:dyDescent="0.2">
      <c r="A3689" s="650"/>
      <c r="B3689" s="438"/>
      <c r="D3689" s="73"/>
      <c r="E3689" s="650"/>
      <c r="F3689" s="650"/>
      <c r="G3689" s="73"/>
      <c r="I3689" s="111"/>
      <c r="J3689" s="81"/>
      <c r="K3689" s="81"/>
      <c r="L3689" s="499"/>
      <c r="M3689" s="73"/>
      <c r="N3689" s="499"/>
      <c r="O3689" s="73"/>
      <c r="P3689" s="73"/>
      <c r="Q3689" s="73"/>
      <c r="R3689" s="176"/>
      <c r="S3689" s="176"/>
      <c r="T3689" s="176"/>
      <c r="U3689" s="400"/>
      <c r="V3689" s="400"/>
      <c r="W3689" s="732"/>
      <c r="X3689" s="167"/>
      <c r="Y3689" s="509"/>
      <c r="Z3689" s="466"/>
      <c r="AA3689" s="466"/>
      <c r="AB3689" s="466"/>
      <c r="AC3689" s="466"/>
      <c r="AD3689" s="466"/>
      <c r="AE3689" s="466"/>
      <c r="AF3689" s="466"/>
      <c r="AG3689" s="466"/>
      <c r="AH3689" s="466"/>
      <c r="AI3689" s="466"/>
      <c r="AJ3689" s="466"/>
      <c r="AK3689" s="466"/>
      <c r="AL3689" s="466"/>
      <c r="AM3689" s="466"/>
      <c r="AN3689" s="466"/>
      <c r="AO3689" s="466"/>
      <c r="AP3689" s="466"/>
      <c r="AQ3689" s="466"/>
      <c r="AR3689" s="466"/>
      <c r="AS3689" s="466"/>
      <c r="AT3689" s="466"/>
      <c r="AU3689" s="466"/>
      <c r="AV3689" s="466"/>
      <c r="AW3689" s="466"/>
      <c r="AX3689" s="466"/>
      <c r="AY3689" s="466"/>
      <c r="AZ3689" s="466"/>
      <c r="BA3689" s="466"/>
      <c r="BB3689" s="466"/>
      <c r="BC3689" s="466"/>
      <c r="BD3689" s="466"/>
      <c r="BE3689" s="467"/>
      <c r="BF3689" s="467"/>
      <c r="BG3689" s="466"/>
      <c r="BH3689" s="466"/>
      <c r="BI3689" s="467"/>
      <c r="BJ3689" s="467"/>
      <c r="BK3689" s="467"/>
      <c r="BL3689" s="467"/>
      <c r="BM3689" s="467"/>
      <c r="BN3689" s="467"/>
      <c r="BO3689" s="467"/>
      <c r="BP3689" s="467"/>
      <c r="BQ3689" s="467"/>
      <c r="BR3689" s="467"/>
      <c r="BS3689" s="467"/>
      <c r="BT3689" s="467"/>
      <c r="BU3689" s="467"/>
      <c r="BV3689" s="467"/>
      <c r="BW3689" s="467"/>
      <c r="BX3689" s="769"/>
      <c r="BY3689" s="769"/>
      <c r="BZ3689" s="769"/>
      <c r="CA3689" s="769"/>
      <c r="CB3689" s="769"/>
      <c r="CC3689" s="769"/>
      <c r="CD3689" s="769"/>
      <c r="CE3689" s="769"/>
      <c r="CF3689" s="769"/>
      <c r="CG3689" s="73"/>
      <c r="CH3689" s="438"/>
      <c r="CI3689" s="416"/>
      <c r="CJ3689" s="73"/>
      <c r="CK3689" s="650"/>
      <c r="CL3689" s="499"/>
      <c r="CM3689" s="650"/>
      <c r="CR3689" s="416"/>
      <c r="CS3689" s="650"/>
      <c r="CU3689" s="73"/>
      <c r="CV3689" s="73"/>
      <c r="CW3689" s="73"/>
      <c r="CX3689" s="73"/>
      <c r="DA3689" s="650"/>
    </row>
    <row r="3690" spans="1:105" s="45" customFormat="1" x14ac:dyDescent="0.2">
      <c r="A3690" s="650"/>
      <c r="B3690" s="438"/>
      <c r="D3690" s="73"/>
      <c r="E3690" s="650"/>
      <c r="F3690" s="650"/>
      <c r="G3690" s="73"/>
      <c r="I3690" s="111"/>
      <c r="J3690" s="81"/>
      <c r="K3690" s="81"/>
      <c r="L3690" s="499"/>
      <c r="M3690" s="73"/>
      <c r="N3690" s="499"/>
      <c r="O3690" s="73"/>
      <c r="P3690" s="73"/>
      <c r="Q3690" s="73"/>
      <c r="R3690" s="176"/>
      <c r="S3690" s="176"/>
      <c r="T3690" s="176"/>
      <c r="U3690" s="400"/>
      <c r="V3690" s="400"/>
      <c r="W3690" s="732"/>
      <c r="X3690" s="167"/>
      <c r="Y3690" s="509"/>
      <c r="Z3690" s="466"/>
      <c r="AA3690" s="466"/>
      <c r="AB3690" s="466"/>
      <c r="AC3690" s="466"/>
      <c r="AD3690" s="466"/>
      <c r="AE3690" s="466"/>
      <c r="AF3690" s="466"/>
      <c r="AG3690" s="466"/>
      <c r="AH3690" s="466"/>
      <c r="AI3690" s="466"/>
      <c r="AJ3690" s="466"/>
      <c r="AK3690" s="466"/>
      <c r="AL3690" s="466"/>
      <c r="AM3690" s="466"/>
      <c r="AN3690" s="466"/>
      <c r="AO3690" s="466"/>
      <c r="AP3690" s="466"/>
      <c r="AQ3690" s="466"/>
      <c r="AR3690" s="466"/>
      <c r="AS3690" s="466"/>
      <c r="AT3690" s="466"/>
      <c r="AU3690" s="466"/>
      <c r="AV3690" s="466"/>
      <c r="AW3690" s="466"/>
      <c r="AX3690" s="466"/>
      <c r="AY3690" s="466"/>
      <c r="AZ3690" s="466"/>
      <c r="BA3690" s="466"/>
      <c r="BB3690" s="466"/>
      <c r="BC3690" s="466"/>
      <c r="BD3690" s="466"/>
      <c r="BE3690" s="467"/>
      <c r="BF3690" s="467"/>
      <c r="BG3690" s="466"/>
      <c r="BH3690" s="466"/>
      <c r="BI3690" s="467"/>
      <c r="BJ3690" s="467"/>
      <c r="BK3690" s="467"/>
      <c r="BL3690" s="467"/>
      <c r="BM3690" s="467"/>
      <c r="BN3690" s="467"/>
      <c r="BO3690" s="467"/>
      <c r="BP3690" s="467"/>
      <c r="BQ3690" s="467"/>
      <c r="BR3690" s="467"/>
      <c r="BS3690" s="467"/>
      <c r="BT3690" s="467"/>
      <c r="BU3690" s="467"/>
      <c r="BV3690" s="467"/>
      <c r="BW3690" s="467"/>
      <c r="BX3690" s="769"/>
      <c r="BY3690" s="769"/>
      <c r="BZ3690" s="769"/>
      <c r="CA3690" s="769"/>
      <c r="CB3690" s="769"/>
      <c r="CC3690" s="769"/>
      <c r="CD3690" s="769"/>
      <c r="CE3690" s="769"/>
      <c r="CF3690" s="769"/>
      <c r="CG3690" s="73"/>
      <c r="CH3690" s="438"/>
      <c r="CI3690" s="416"/>
      <c r="CJ3690" s="73"/>
      <c r="CK3690" s="650"/>
      <c r="CL3690" s="499"/>
      <c r="CM3690" s="650"/>
      <c r="CR3690" s="416"/>
      <c r="CS3690" s="650"/>
      <c r="CU3690" s="73"/>
      <c r="CV3690" s="73"/>
      <c r="CW3690" s="73"/>
      <c r="CX3690" s="73"/>
      <c r="DA3690" s="650"/>
    </row>
    <row r="3691" spans="1:105" s="45" customFormat="1" x14ac:dyDescent="0.2">
      <c r="A3691" s="650"/>
      <c r="B3691" s="438"/>
      <c r="D3691" s="73"/>
      <c r="E3691" s="650"/>
      <c r="F3691" s="650"/>
      <c r="G3691" s="73"/>
      <c r="I3691" s="111"/>
      <c r="J3691" s="81"/>
      <c r="K3691" s="81"/>
      <c r="L3691" s="499"/>
      <c r="M3691" s="73"/>
      <c r="N3691" s="499"/>
      <c r="O3691" s="73"/>
      <c r="P3691" s="73"/>
      <c r="Q3691" s="73"/>
      <c r="R3691" s="176"/>
      <c r="S3691" s="176"/>
      <c r="T3691" s="176"/>
      <c r="U3691" s="400"/>
      <c r="V3691" s="400"/>
      <c r="W3691" s="732"/>
      <c r="X3691" s="167"/>
      <c r="Y3691" s="509"/>
      <c r="Z3691" s="466"/>
      <c r="AA3691" s="466"/>
      <c r="AB3691" s="466"/>
      <c r="AC3691" s="466"/>
      <c r="AD3691" s="466"/>
      <c r="AE3691" s="466"/>
      <c r="AF3691" s="466"/>
      <c r="AG3691" s="466"/>
      <c r="AH3691" s="466"/>
      <c r="AI3691" s="466"/>
      <c r="AJ3691" s="466"/>
      <c r="AK3691" s="466"/>
      <c r="AL3691" s="466"/>
      <c r="AM3691" s="466"/>
      <c r="AN3691" s="466"/>
      <c r="AO3691" s="466"/>
      <c r="AP3691" s="466"/>
      <c r="AQ3691" s="466"/>
      <c r="AR3691" s="466"/>
      <c r="AS3691" s="466"/>
      <c r="AT3691" s="466"/>
      <c r="AU3691" s="466"/>
      <c r="AV3691" s="466"/>
      <c r="AW3691" s="466"/>
      <c r="AX3691" s="466"/>
      <c r="AY3691" s="466"/>
      <c r="AZ3691" s="466"/>
      <c r="BA3691" s="466"/>
      <c r="BB3691" s="466"/>
      <c r="BC3691" s="466"/>
      <c r="BD3691" s="466"/>
      <c r="BE3691" s="467"/>
      <c r="BF3691" s="467"/>
      <c r="BG3691" s="466"/>
      <c r="BH3691" s="466"/>
      <c r="BI3691" s="467"/>
      <c r="BJ3691" s="467"/>
      <c r="BK3691" s="467"/>
      <c r="BL3691" s="467"/>
      <c r="BM3691" s="467"/>
      <c r="BN3691" s="467"/>
      <c r="BO3691" s="467"/>
      <c r="BP3691" s="467"/>
      <c r="BQ3691" s="467"/>
      <c r="BR3691" s="467"/>
      <c r="BS3691" s="467"/>
      <c r="BT3691" s="467"/>
      <c r="BU3691" s="467"/>
      <c r="BV3691" s="467"/>
      <c r="BW3691" s="467"/>
      <c r="BX3691" s="769"/>
      <c r="BY3691" s="769"/>
      <c r="BZ3691" s="769"/>
      <c r="CA3691" s="769"/>
      <c r="CB3691" s="769"/>
      <c r="CC3691" s="769"/>
      <c r="CD3691" s="769"/>
      <c r="CE3691" s="769"/>
      <c r="CF3691" s="769"/>
      <c r="CG3691" s="73"/>
      <c r="CH3691" s="438"/>
      <c r="CI3691" s="416"/>
      <c r="CJ3691" s="73"/>
      <c r="CK3691" s="650"/>
      <c r="CL3691" s="499"/>
      <c r="CM3691" s="650"/>
      <c r="CR3691" s="416"/>
      <c r="CS3691" s="650"/>
      <c r="CU3691" s="73"/>
      <c r="CV3691" s="73"/>
      <c r="CW3691" s="73"/>
      <c r="CX3691" s="73"/>
      <c r="DA3691" s="650"/>
    </row>
    <row r="3692" spans="1:105" s="45" customFormat="1" x14ac:dyDescent="0.2">
      <c r="A3692" s="650"/>
      <c r="B3692" s="438"/>
      <c r="D3692" s="73"/>
      <c r="E3692" s="650"/>
      <c r="F3692" s="650"/>
      <c r="G3692" s="73"/>
      <c r="I3692" s="111"/>
      <c r="J3692" s="81"/>
      <c r="K3692" s="81"/>
      <c r="L3692" s="499"/>
      <c r="M3692" s="73"/>
      <c r="N3692" s="499"/>
      <c r="O3692" s="73"/>
      <c r="P3692" s="73"/>
      <c r="Q3692" s="73"/>
      <c r="R3692" s="176"/>
      <c r="S3692" s="176"/>
      <c r="T3692" s="176"/>
      <c r="U3692" s="400"/>
      <c r="V3692" s="400"/>
      <c r="W3692" s="732"/>
      <c r="X3692" s="167"/>
      <c r="Y3692" s="509"/>
      <c r="Z3692" s="466"/>
      <c r="AA3692" s="466"/>
      <c r="AB3692" s="466"/>
      <c r="AC3692" s="466"/>
      <c r="AD3692" s="466"/>
      <c r="AE3692" s="466"/>
      <c r="AF3692" s="466"/>
      <c r="AG3692" s="466"/>
      <c r="AH3692" s="466"/>
      <c r="AI3692" s="466"/>
      <c r="AJ3692" s="466"/>
      <c r="AK3692" s="466"/>
      <c r="AL3692" s="466"/>
      <c r="AM3692" s="466"/>
      <c r="AN3692" s="466"/>
      <c r="AO3692" s="466"/>
      <c r="AP3692" s="466"/>
      <c r="AQ3692" s="466"/>
      <c r="AR3692" s="466"/>
      <c r="AS3692" s="466"/>
      <c r="AT3692" s="466"/>
      <c r="AU3692" s="466"/>
      <c r="AV3692" s="466"/>
      <c r="AW3692" s="466"/>
      <c r="AX3692" s="466"/>
      <c r="AY3692" s="466"/>
      <c r="AZ3692" s="466"/>
      <c r="BA3692" s="466"/>
      <c r="BB3692" s="466"/>
      <c r="BC3692" s="466"/>
      <c r="BD3692" s="466"/>
      <c r="BE3692" s="467"/>
      <c r="BF3692" s="467"/>
      <c r="BG3692" s="466"/>
      <c r="BH3692" s="466"/>
      <c r="BI3692" s="467"/>
      <c r="BJ3692" s="467"/>
      <c r="BK3692" s="467"/>
      <c r="BL3692" s="467"/>
      <c r="BM3692" s="467"/>
      <c r="BN3692" s="467"/>
      <c r="BO3692" s="467"/>
      <c r="BP3692" s="467"/>
      <c r="BQ3692" s="467"/>
      <c r="BR3692" s="467"/>
      <c r="BS3692" s="467"/>
      <c r="BT3692" s="467"/>
      <c r="BU3692" s="467"/>
      <c r="BV3692" s="467"/>
      <c r="BW3692" s="467"/>
      <c r="BX3692" s="769"/>
      <c r="BY3692" s="769"/>
      <c r="BZ3692" s="769"/>
      <c r="CA3692" s="769"/>
      <c r="CB3692" s="769"/>
      <c r="CC3692" s="769"/>
      <c r="CD3692" s="769"/>
      <c r="CE3692" s="769"/>
      <c r="CF3692" s="769"/>
      <c r="CG3692" s="73"/>
      <c r="CH3692" s="438"/>
      <c r="CI3692" s="416"/>
      <c r="CJ3692" s="73"/>
      <c r="CK3692" s="650"/>
      <c r="CL3692" s="499"/>
      <c r="CM3692" s="650"/>
      <c r="CR3692" s="416"/>
      <c r="CS3692" s="650"/>
      <c r="CU3692" s="73"/>
      <c r="CV3692" s="73"/>
      <c r="CW3692" s="73"/>
      <c r="CX3692" s="73"/>
      <c r="DA3692" s="650"/>
    </row>
    <row r="3693" spans="1:105" s="45" customFormat="1" x14ac:dyDescent="0.2">
      <c r="A3693" s="650"/>
      <c r="B3693" s="438"/>
      <c r="D3693" s="73"/>
      <c r="E3693" s="650"/>
      <c r="F3693" s="650"/>
      <c r="G3693" s="73"/>
      <c r="I3693" s="111"/>
      <c r="J3693" s="81"/>
      <c r="K3693" s="81"/>
      <c r="L3693" s="499"/>
      <c r="M3693" s="73"/>
      <c r="N3693" s="499"/>
      <c r="O3693" s="73"/>
      <c r="P3693" s="73"/>
      <c r="Q3693" s="73"/>
      <c r="R3693" s="176"/>
      <c r="S3693" s="176"/>
      <c r="T3693" s="176"/>
      <c r="U3693" s="400"/>
      <c r="V3693" s="400"/>
      <c r="W3693" s="732"/>
      <c r="X3693" s="167"/>
      <c r="Y3693" s="509"/>
      <c r="Z3693" s="466"/>
      <c r="AA3693" s="466"/>
      <c r="AB3693" s="466"/>
      <c r="AC3693" s="466"/>
      <c r="AD3693" s="466"/>
      <c r="AE3693" s="466"/>
      <c r="AF3693" s="466"/>
      <c r="AG3693" s="466"/>
      <c r="AH3693" s="466"/>
      <c r="AI3693" s="466"/>
      <c r="AJ3693" s="466"/>
      <c r="AK3693" s="466"/>
      <c r="AL3693" s="466"/>
      <c r="AM3693" s="466"/>
      <c r="AN3693" s="466"/>
      <c r="AO3693" s="466"/>
      <c r="AP3693" s="466"/>
      <c r="AQ3693" s="466"/>
      <c r="AR3693" s="466"/>
      <c r="AS3693" s="466"/>
      <c r="AT3693" s="466"/>
      <c r="AU3693" s="466"/>
      <c r="AV3693" s="466"/>
      <c r="AW3693" s="466"/>
      <c r="AX3693" s="466"/>
      <c r="AY3693" s="466"/>
      <c r="AZ3693" s="466"/>
      <c r="BA3693" s="466"/>
      <c r="BB3693" s="466"/>
      <c r="BC3693" s="466"/>
      <c r="BD3693" s="466"/>
      <c r="BE3693" s="467"/>
      <c r="BF3693" s="467"/>
      <c r="BG3693" s="466"/>
      <c r="BH3693" s="466"/>
      <c r="BI3693" s="467"/>
      <c r="BJ3693" s="467"/>
      <c r="BK3693" s="467"/>
      <c r="BL3693" s="467"/>
      <c r="BM3693" s="467"/>
      <c r="BN3693" s="467"/>
      <c r="BO3693" s="467"/>
      <c r="BP3693" s="467"/>
      <c r="BQ3693" s="467"/>
      <c r="BR3693" s="467"/>
      <c r="BS3693" s="467"/>
      <c r="BT3693" s="467"/>
      <c r="BU3693" s="467"/>
      <c r="BV3693" s="467"/>
      <c r="BW3693" s="467"/>
      <c r="BX3693" s="769"/>
      <c r="BY3693" s="769"/>
      <c r="BZ3693" s="769"/>
      <c r="CA3693" s="769"/>
      <c r="CB3693" s="769"/>
      <c r="CC3693" s="769"/>
      <c r="CD3693" s="769"/>
      <c r="CE3693" s="769"/>
      <c r="CF3693" s="769"/>
      <c r="CG3693" s="73"/>
      <c r="CH3693" s="438"/>
      <c r="CI3693" s="416"/>
      <c r="CJ3693" s="73"/>
      <c r="CK3693" s="650"/>
      <c r="CL3693" s="499"/>
      <c r="CM3693" s="650"/>
      <c r="CR3693" s="416"/>
      <c r="CS3693" s="650"/>
      <c r="CU3693" s="73"/>
      <c r="CV3693" s="73"/>
      <c r="CW3693" s="73"/>
      <c r="CX3693" s="73"/>
      <c r="DA3693" s="650"/>
    </row>
    <row r="3694" spans="1:105" s="45" customFormat="1" x14ac:dyDescent="0.2">
      <c r="A3694" s="650"/>
      <c r="B3694" s="438"/>
      <c r="D3694" s="73"/>
      <c r="E3694" s="650"/>
      <c r="F3694" s="650"/>
      <c r="G3694" s="73"/>
      <c r="I3694" s="111"/>
      <c r="J3694" s="81"/>
      <c r="K3694" s="81"/>
      <c r="L3694" s="499"/>
      <c r="M3694" s="73"/>
      <c r="N3694" s="499"/>
      <c r="O3694" s="73"/>
      <c r="P3694" s="73"/>
      <c r="Q3694" s="73"/>
      <c r="R3694" s="176"/>
      <c r="S3694" s="176"/>
      <c r="T3694" s="176"/>
      <c r="U3694" s="400"/>
      <c r="V3694" s="400"/>
      <c r="W3694" s="732"/>
      <c r="X3694" s="167"/>
      <c r="Y3694" s="509"/>
      <c r="Z3694" s="466"/>
      <c r="AA3694" s="466"/>
      <c r="AB3694" s="466"/>
      <c r="AC3694" s="466"/>
      <c r="AD3694" s="466"/>
      <c r="AE3694" s="466"/>
      <c r="AF3694" s="466"/>
      <c r="AG3694" s="466"/>
      <c r="AH3694" s="466"/>
      <c r="AI3694" s="466"/>
      <c r="AJ3694" s="466"/>
      <c r="AK3694" s="466"/>
      <c r="AL3694" s="466"/>
      <c r="AM3694" s="466"/>
      <c r="AN3694" s="466"/>
      <c r="AO3694" s="466"/>
      <c r="AP3694" s="466"/>
      <c r="AQ3694" s="466"/>
      <c r="AR3694" s="466"/>
      <c r="AS3694" s="466"/>
      <c r="AT3694" s="466"/>
      <c r="AU3694" s="466"/>
      <c r="AV3694" s="466"/>
      <c r="AW3694" s="466"/>
      <c r="AX3694" s="466"/>
      <c r="AY3694" s="466"/>
      <c r="AZ3694" s="466"/>
      <c r="BA3694" s="466"/>
      <c r="BB3694" s="466"/>
      <c r="BC3694" s="466"/>
      <c r="BD3694" s="466"/>
      <c r="BE3694" s="467"/>
      <c r="BF3694" s="467"/>
      <c r="BG3694" s="466"/>
      <c r="BH3694" s="466"/>
      <c r="BI3694" s="467"/>
      <c r="BJ3694" s="467"/>
      <c r="BK3694" s="467"/>
      <c r="BL3694" s="467"/>
      <c r="BM3694" s="467"/>
      <c r="BN3694" s="467"/>
      <c r="BO3694" s="467"/>
      <c r="BP3694" s="467"/>
      <c r="BQ3694" s="467"/>
      <c r="BR3694" s="467"/>
      <c r="BS3694" s="467"/>
      <c r="BT3694" s="467"/>
      <c r="BU3694" s="467"/>
      <c r="BV3694" s="467"/>
      <c r="BW3694" s="467"/>
      <c r="BX3694" s="769"/>
      <c r="BY3694" s="769"/>
      <c r="BZ3694" s="769"/>
      <c r="CA3694" s="769"/>
      <c r="CB3694" s="769"/>
      <c r="CC3694" s="769"/>
      <c r="CD3694" s="769"/>
      <c r="CE3694" s="769"/>
      <c r="CF3694" s="769"/>
      <c r="CG3694" s="73"/>
      <c r="CH3694" s="438"/>
      <c r="CI3694" s="416"/>
      <c r="CJ3694" s="73"/>
      <c r="CK3694" s="650"/>
      <c r="CL3694" s="499"/>
      <c r="CM3694" s="650"/>
      <c r="CR3694" s="416"/>
      <c r="CS3694" s="650"/>
      <c r="CU3694" s="73"/>
      <c r="CV3694" s="73"/>
      <c r="CW3694" s="73"/>
      <c r="CX3694" s="73"/>
      <c r="DA3694" s="650"/>
    </row>
    <row r="3695" spans="1:105" s="45" customFormat="1" x14ac:dyDescent="0.2">
      <c r="A3695" s="650"/>
      <c r="B3695" s="438"/>
      <c r="D3695" s="73"/>
      <c r="E3695" s="650"/>
      <c r="F3695" s="650"/>
      <c r="G3695" s="73"/>
      <c r="I3695" s="111"/>
      <c r="J3695" s="81"/>
      <c r="K3695" s="81"/>
      <c r="L3695" s="499"/>
      <c r="M3695" s="73"/>
      <c r="N3695" s="499"/>
      <c r="O3695" s="73"/>
      <c r="P3695" s="73"/>
      <c r="Q3695" s="73"/>
      <c r="R3695" s="176"/>
      <c r="S3695" s="176"/>
      <c r="T3695" s="176"/>
      <c r="U3695" s="400"/>
      <c r="V3695" s="400"/>
      <c r="W3695" s="732"/>
      <c r="X3695" s="167"/>
      <c r="Y3695" s="509"/>
      <c r="Z3695" s="466"/>
      <c r="AA3695" s="466"/>
      <c r="AB3695" s="466"/>
      <c r="AC3695" s="466"/>
      <c r="AD3695" s="466"/>
      <c r="AE3695" s="466"/>
      <c r="AF3695" s="466"/>
      <c r="AG3695" s="466"/>
      <c r="AH3695" s="466"/>
      <c r="AI3695" s="466"/>
      <c r="AJ3695" s="466"/>
      <c r="AK3695" s="466"/>
      <c r="AL3695" s="466"/>
      <c r="AM3695" s="466"/>
      <c r="AN3695" s="466"/>
      <c r="AO3695" s="466"/>
      <c r="AP3695" s="466"/>
      <c r="AQ3695" s="466"/>
      <c r="AR3695" s="466"/>
      <c r="AS3695" s="466"/>
      <c r="AT3695" s="466"/>
      <c r="AU3695" s="466"/>
      <c r="AV3695" s="466"/>
      <c r="AW3695" s="466"/>
      <c r="AX3695" s="466"/>
      <c r="AY3695" s="466"/>
      <c r="AZ3695" s="466"/>
      <c r="BA3695" s="466"/>
      <c r="BB3695" s="466"/>
      <c r="BC3695" s="466"/>
      <c r="BD3695" s="466"/>
      <c r="BE3695" s="467"/>
      <c r="BF3695" s="467"/>
      <c r="BG3695" s="466"/>
      <c r="BH3695" s="466"/>
      <c r="BI3695" s="467"/>
      <c r="BJ3695" s="467"/>
      <c r="BK3695" s="467"/>
      <c r="BL3695" s="467"/>
      <c r="BM3695" s="467"/>
      <c r="BN3695" s="467"/>
      <c r="BO3695" s="467"/>
      <c r="BP3695" s="467"/>
      <c r="BQ3695" s="467"/>
      <c r="BR3695" s="467"/>
      <c r="BS3695" s="467"/>
      <c r="BT3695" s="467"/>
      <c r="BU3695" s="467"/>
      <c r="BV3695" s="467"/>
      <c r="BW3695" s="467"/>
      <c r="BX3695" s="769"/>
      <c r="BY3695" s="769"/>
      <c r="BZ3695" s="769"/>
      <c r="CA3695" s="769"/>
      <c r="CB3695" s="769"/>
      <c r="CC3695" s="769"/>
      <c r="CD3695" s="769"/>
      <c r="CE3695" s="769"/>
      <c r="CF3695" s="769"/>
      <c r="CG3695" s="73"/>
      <c r="CH3695" s="438"/>
      <c r="CI3695" s="416"/>
      <c r="CJ3695" s="73"/>
      <c r="CK3695" s="650"/>
      <c r="CL3695" s="499"/>
      <c r="CM3695" s="650"/>
      <c r="CR3695" s="416"/>
      <c r="CS3695" s="650"/>
      <c r="CU3695" s="73"/>
      <c r="CV3695" s="73"/>
      <c r="CW3695" s="73"/>
      <c r="CX3695" s="73"/>
      <c r="DA3695" s="650"/>
    </row>
    <row r="3696" spans="1:105" s="45" customFormat="1" x14ac:dyDescent="0.2">
      <c r="A3696" s="650"/>
      <c r="B3696" s="438"/>
      <c r="D3696" s="73"/>
      <c r="E3696" s="650"/>
      <c r="F3696" s="650"/>
      <c r="G3696" s="73"/>
      <c r="I3696" s="111"/>
      <c r="J3696" s="81"/>
      <c r="K3696" s="81"/>
      <c r="L3696" s="499"/>
      <c r="M3696" s="73"/>
      <c r="N3696" s="499"/>
      <c r="O3696" s="73"/>
      <c r="P3696" s="73"/>
      <c r="Q3696" s="73"/>
      <c r="R3696" s="176"/>
      <c r="S3696" s="176"/>
      <c r="T3696" s="176"/>
      <c r="U3696" s="400"/>
      <c r="V3696" s="400"/>
      <c r="W3696" s="732"/>
      <c r="X3696" s="167"/>
      <c r="Y3696" s="509"/>
      <c r="Z3696" s="466"/>
      <c r="AA3696" s="466"/>
      <c r="AB3696" s="466"/>
      <c r="AC3696" s="466"/>
      <c r="AD3696" s="466"/>
      <c r="AE3696" s="466"/>
      <c r="AF3696" s="466"/>
      <c r="AG3696" s="466"/>
      <c r="AH3696" s="466"/>
      <c r="AI3696" s="466"/>
      <c r="AJ3696" s="466"/>
      <c r="AK3696" s="466"/>
      <c r="AL3696" s="466"/>
      <c r="AM3696" s="466"/>
      <c r="AN3696" s="466"/>
      <c r="AO3696" s="466"/>
      <c r="AP3696" s="466"/>
      <c r="AQ3696" s="466"/>
      <c r="AR3696" s="466"/>
      <c r="AS3696" s="466"/>
      <c r="AT3696" s="466"/>
      <c r="AU3696" s="466"/>
      <c r="AV3696" s="466"/>
      <c r="AW3696" s="466"/>
      <c r="AX3696" s="466"/>
      <c r="AY3696" s="466"/>
      <c r="AZ3696" s="466"/>
      <c r="BA3696" s="466"/>
      <c r="BB3696" s="466"/>
      <c r="BC3696" s="466"/>
      <c r="BD3696" s="466"/>
      <c r="BE3696" s="467"/>
      <c r="BF3696" s="467"/>
      <c r="BG3696" s="466"/>
      <c r="BH3696" s="466"/>
      <c r="BI3696" s="467"/>
      <c r="BJ3696" s="467"/>
      <c r="BK3696" s="467"/>
      <c r="BL3696" s="467"/>
      <c r="BM3696" s="467"/>
      <c r="BN3696" s="467"/>
      <c r="BO3696" s="467"/>
      <c r="BP3696" s="467"/>
      <c r="BQ3696" s="467"/>
      <c r="BR3696" s="467"/>
      <c r="BS3696" s="467"/>
      <c r="BT3696" s="467"/>
      <c r="BU3696" s="467"/>
      <c r="BV3696" s="467"/>
      <c r="BW3696" s="467"/>
      <c r="BX3696" s="769"/>
      <c r="BY3696" s="769"/>
      <c r="BZ3696" s="769"/>
      <c r="CA3696" s="769"/>
      <c r="CB3696" s="769"/>
      <c r="CC3696" s="769"/>
      <c r="CD3696" s="769"/>
      <c r="CE3696" s="769"/>
      <c r="CF3696" s="769"/>
      <c r="CG3696" s="73"/>
      <c r="CH3696" s="438"/>
      <c r="CI3696" s="416"/>
      <c r="CJ3696" s="73"/>
      <c r="CK3696" s="650"/>
      <c r="CL3696" s="499"/>
      <c r="CM3696" s="650"/>
      <c r="CR3696" s="416"/>
      <c r="CS3696" s="650"/>
      <c r="CU3696" s="73"/>
      <c r="CV3696" s="73"/>
      <c r="CW3696" s="73"/>
      <c r="CX3696" s="73"/>
      <c r="DA3696" s="650"/>
    </row>
    <row r="3697" spans="1:105" s="45" customFormat="1" x14ac:dyDescent="0.2">
      <c r="A3697" s="650"/>
      <c r="B3697" s="438"/>
      <c r="D3697" s="73"/>
      <c r="E3697" s="650"/>
      <c r="F3697" s="650"/>
      <c r="G3697" s="73"/>
      <c r="I3697" s="111"/>
      <c r="J3697" s="81"/>
      <c r="K3697" s="81"/>
      <c r="L3697" s="499"/>
      <c r="M3697" s="73"/>
      <c r="N3697" s="499"/>
      <c r="O3697" s="73"/>
      <c r="P3697" s="73"/>
      <c r="Q3697" s="73"/>
      <c r="R3697" s="176"/>
      <c r="S3697" s="176"/>
      <c r="T3697" s="176"/>
      <c r="U3697" s="400"/>
      <c r="V3697" s="400"/>
      <c r="W3697" s="732"/>
      <c r="X3697" s="167"/>
      <c r="Y3697" s="509"/>
      <c r="Z3697" s="466"/>
      <c r="AA3697" s="466"/>
      <c r="AB3697" s="466"/>
      <c r="AC3697" s="466"/>
      <c r="AD3697" s="466"/>
      <c r="AE3697" s="466"/>
      <c r="AF3697" s="466"/>
      <c r="AG3697" s="466"/>
      <c r="AH3697" s="466"/>
      <c r="AI3697" s="466"/>
      <c r="AJ3697" s="466"/>
      <c r="AK3697" s="466"/>
      <c r="AL3697" s="466"/>
      <c r="AM3697" s="466"/>
      <c r="AN3697" s="466"/>
      <c r="AO3697" s="466"/>
      <c r="AP3697" s="466"/>
      <c r="AQ3697" s="466"/>
      <c r="AR3697" s="466"/>
      <c r="AS3697" s="466"/>
      <c r="AT3697" s="466"/>
      <c r="AU3697" s="466"/>
      <c r="AV3697" s="466"/>
      <c r="AW3697" s="466"/>
      <c r="AX3697" s="466"/>
      <c r="AY3697" s="466"/>
      <c r="AZ3697" s="466"/>
      <c r="BA3697" s="466"/>
      <c r="BB3697" s="466"/>
      <c r="BC3697" s="466"/>
      <c r="BD3697" s="466"/>
      <c r="BE3697" s="467"/>
      <c r="BF3697" s="467"/>
      <c r="BG3697" s="466"/>
      <c r="BH3697" s="466"/>
      <c r="BI3697" s="467"/>
      <c r="BJ3697" s="467"/>
      <c r="BK3697" s="467"/>
      <c r="BL3697" s="467"/>
      <c r="BM3697" s="467"/>
      <c r="BN3697" s="467"/>
      <c r="BO3697" s="467"/>
      <c r="BP3697" s="467"/>
      <c r="BQ3697" s="467"/>
      <c r="BR3697" s="467"/>
      <c r="BS3697" s="467"/>
      <c r="BT3697" s="467"/>
      <c r="BU3697" s="467"/>
      <c r="BV3697" s="467"/>
      <c r="BW3697" s="467"/>
      <c r="BX3697" s="769"/>
      <c r="BY3697" s="769"/>
      <c r="BZ3697" s="769"/>
      <c r="CA3697" s="769"/>
      <c r="CB3697" s="769"/>
      <c r="CC3697" s="769"/>
      <c r="CD3697" s="769"/>
      <c r="CE3697" s="769"/>
      <c r="CF3697" s="769"/>
      <c r="CG3697" s="73"/>
      <c r="CH3697" s="438"/>
      <c r="CI3697" s="416"/>
      <c r="CJ3697" s="73"/>
      <c r="CK3697" s="650"/>
      <c r="CL3697" s="499"/>
      <c r="CM3697" s="650"/>
      <c r="CR3697" s="416"/>
      <c r="CS3697" s="650"/>
      <c r="CU3697" s="73"/>
      <c r="CV3697" s="73"/>
      <c r="CW3697" s="73"/>
      <c r="CX3697" s="73"/>
      <c r="DA3697" s="650"/>
    </row>
    <row r="3698" spans="1:105" s="45" customFormat="1" x14ac:dyDescent="0.2">
      <c r="A3698" s="650"/>
      <c r="B3698" s="438"/>
      <c r="D3698" s="73"/>
      <c r="E3698" s="650"/>
      <c r="F3698" s="650"/>
      <c r="G3698" s="73"/>
      <c r="I3698" s="111"/>
      <c r="J3698" s="81"/>
      <c r="K3698" s="81"/>
      <c r="L3698" s="499"/>
      <c r="M3698" s="73"/>
      <c r="N3698" s="499"/>
      <c r="O3698" s="73"/>
      <c r="P3698" s="73"/>
      <c r="Q3698" s="73"/>
      <c r="R3698" s="176"/>
      <c r="S3698" s="176"/>
      <c r="T3698" s="176"/>
      <c r="U3698" s="400"/>
      <c r="V3698" s="400"/>
      <c r="W3698" s="732"/>
      <c r="X3698" s="167"/>
      <c r="Y3698" s="509"/>
      <c r="Z3698" s="466"/>
      <c r="AA3698" s="466"/>
      <c r="AB3698" s="466"/>
      <c r="AC3698" s="466"/>
      <c r="AD3698" s="466"/>
      <c r="AE3698" s="466"/>
      <c r="AF3698" s="466"/>
      <c r="AG3698" s="466"/>
      <c r="AH3698" s="466"/>
      <c r="AI3698" s="466"/>
      <c r="AJ3698" s="466"/>
      <c r="AK3698" s="466"/>
      <c r="AL3698" s="466"/>
      <c r="AM3698" s="466"/>
      <c r="AN3698" s="466"/>
      <c r="AO3698" s="466"/>
      <c r="AP3698" s="466"/>
      <c r="AQ3698" s="466"/>
      <c r="AR3698" s="466"/>
      <c r="AS3698" s="466"/>
      <c r="AT3698" s="466"/>
      <c r="AU3698" s="466"/>
      <c r="AV3698" s="466"/>
      <c r="AW3698" s="466"/>
      <c r="AX3698" s="466"/>
      <c r="AY3698" s="466"/>
      <c r="AZ3698" s="466"/>
      <c r="BA3698" s="466"/>
      <c r="BB3698" s="466"/>
      <c r="BC3698" s="466"/>
      <c r="BD3698" s="466"/>
      <c r="BE3698" s="467"/>
      <c r="BF3698" s="467"/>
      <c r="BG3698" s="466"/>
      <c r="BH3698" s="466"/>
      <c r="BI3698" s="467"/>
      <c r="BJ3698" s="467"/>
      <c r="BK3698" s="467"/>
      <c r="BL3698" s="467"/>
      <c r="BM3698" s="467"/>
      <c r="BN3698" s="467"/>
      <c r="BO3698" s="467"/>
      <c r="BP3698" s="467"/>
      <c r="BQ3698" s="467"/>
      <c r="BR3698" s="467"/>
      <c r="BS3698" s="467"/>
      <c r="BT3698" s="467"/>
      <c r="BU3698" s="467"/>
      <c r="BV3698" s="467"/>
      <c r="BW3698" s="467"/>
      <c r="BX3698" s="769"/>
      <c r="BY3698" s="769"/>
      <c r="BZ3698" s="769"/>
      <c r="CA3698" s="769"/>
      <c r="CB3698" s="769"/>
      <c r="CC3698" s="769"/>
      <c r="CD3698" s="769"/>
      <c r="CE3698" s="769"/>
      <c r="CF3698" s="769"/>
      <c r="CG3698" s="73"/>
      <c r="CH3698" s="438"/>
      <c r="CI3698" s="416"/>
      <c r="CJ3698" s="73"/>
      <c r="CK3698" s="650"/>
      <c r="CL3698" s="499"/>
      <c r="CM3698" s="650"/>
      <c r="CR3698" s="416"/>
      <c r="CS3698" s="650"/>
      <c r="CU3698" s="73"/>
      <c r="CV3698" s="73"/>
      <c r="CW3698" s="73"/>
      <c r="CX3698" s="73"/>
      <c r="DA3698" s="650"/>
    </row>
    <row r="3699" spans="1:105" s="45" customFormat="1" x14ac:dyDescent="0.2">
      <c r="A3699" s="650"/>
      <c r="B3699" s="438"/>
      <c r="D3699" s="73"/>
      <c r="E3699" s="650"/>
      <c r="F3699" s="650"/>
      <c r="G3699" s="73"/>
      <c r="I3699" s="111"/>
      <c r="J3699" s="81"/>
      <c r="K3699" s="81"/>
      <c r="L3699" s="499"/>
      <c r="M3699" s="73"/>
      <c r="N3699" s="499"/>
      <c r="O3699" s="73"/>
      <c r="P3699" s="73"/>
      <c r="Q3699" s="73"/>
      <c r="R3699" s="176"/>
      <c r="S3699" s="176"/>
      <c r="T3699" s="176"/>
      <c r="U3699" s="400"/>
      <c r="V3699" s="400"/>
      <c r="W3699" s="732"/>
      <c r="X3699" s="167"/>
      <c r="Y3699" s="509"/>
      <c r="Z3699" s="466"/>
      <c r="AA3699" s="466"/>
      <c r="AB3699" s="466"/>
      <c r="AC3699" s="466"/>
      <c r="AD3699" s="466"/>
      <c r="AE3699" s="466"/>
      <c r="AF3699" s="466"/>
      <c r="AG3699" s="466"/>
      <c r="AH3699" s="466"/>
      <c r="AI3699" s="466"/>
      <c r="AJ3699" s="466"/>
      <c r="AK3699" s="466"/>
      <c r="AL3699" s="466"/>
      <c r="AM3699" s="466"/>
      <c r="AN3699" s="466"/>
      <c r="AO3699" s="466"/>
      <c r="AP3699" s="466"/>
      <c r="AQ3699" s="466"/>
      <c r="AR3699" s="466"/>
      <c r="AS3699" s="466"/>
      <c r="AT3699" s="466"/>
      <c r="AU3699" s="466"/>
      <c r="AV3699" s="466"/>
      <c r="AW3699" s="466"/>
      <c r="AX3699" s="466"/>
      <c r="AY3699" s="466"/>
      <c r="AZ3699" s="466"/>
      <c r="BA3699" s="466"/>
      <c r="BB3699" s="466"/>
      <c r="BC3699" s="466"/>
      <c r="BD3699" s="466"/>
      <c r="BE3699" s="467"/>
      <c r="BF3699" s="467"/>
      <c r="BG3699" s="466"/>
      <c r="BH3699" s="466"/>
      <c r="BI3699" s="467"/>
      <c r="BJ3699" s="467"/>
      <c r="BK3699" s="467"/>
      <c r="BL3699" s="467"/>
      <c r="BM3699" s="467"/>
      <c r="BN3699" s="467"/>
      <c r="BO3699" s="467"/>
      <c r="BP3699" s="467"/>
      <c r="BQ3699" s="467"/>
      <c r="BR3699" s="467"/>
      <c r="BS3699" s="467"/>
      <c r="BT3699" s="467"/>
      <c r="BU3699" s="467"/>
      <c r="BV3699" s="467"/>
      <c r="BW3699" s="467"/>
      <c r="BX3699" s="769"/>
      <c r="BY3699" s="769"/>
      <c r="BZ3699" s="769"/>
      <c r="CA3699" s="769"/>
      <c r="CB3699" s="769"/>
      <c r="CC3699" s="769"/>
      <c r="CD3699" s="769"/>
      <c r="CE3699" s="769"/>
      <c r="CF3699" s="769"/>
      <c r="CG3699" s="73"/>
      <c r="CH3699" s="438"/>
      <c r="CI3699" s="416"/>
      <c r="CJ3699" s="73"/>
      <c r="CK3699" s="650"/>
      <c r="CL3699" s="499"/>
      <c r="CM3699" s="650"/>
      <c r="CR3699" s="416"/>
      <c r="CS3699" s="650"/>
      <c r="CU3699" s="73"/>
      <c r="CV3699" s="73"/>
      <c r="CW3699" s="73"/>
      <c r="CX3699" s="73"/>
      <c r="DA3699" s="650"/>
    </row>
    <row r="3700" spans="1:105" s="45" customFormat="1" x14ac:dyDescent="0.2">
      <c r="A3700" s="650"/>
      <c r="B3700" s="438"/>
      <c r="D3700" s="73"/>
      <c r="E3700" s="650"/>
      <c r="F3700" s="650"/>
      <c r="G3700" s="73"/>
      <c r="I3700" s="111"/>
      <c r="J3700" s="81"/>
      <c r="K3700" s="81"/>
      <c r="L3700" s="499"/>
      <c r="M3700" s="73"/>
      <c r="N3700" s="499"/>
      <c r="O3700" s="73"/>
      <c r="P3700" s="73"/>
      <c r="Q3700" s="73"/>
      <c r="R3700" s="176"/>
      <c r="S3700" s="176"/>
      <c r="T3700" s="176"/>
      <c r="U3700" s="400"/>
      <c r="V3700" s="400"/>
      <c r="W3700" s="732"/>
      <c r="X3700" s="167"/>
      <c r="Y3700" s="509"/>
      <c r="Z3700" s="466"/>
      <c r="AA3700" s="466"/>
      <c r="AB3700" s="466"/>
      <c r="AC3700" s="466"/>
      <c r="AD3700" s="466"/>
      <c r="AE3700" s="466"/>
      <c r="AF3700" s="466"/>
      <c r="AG3700" s="466"/>
      <c r="AH3700" s="466"/>
      <c r="AI3700" s="466"/>
      <c r="AJ3700" s="466"/>
      <c r="AK3700" s="466"/>
      <c r="AL3700" s="466"/>
      <c r="AM3700" s="466"/>
      <c r="AN3700" s="466"/>
      <c r="AO3700" s="466"/>
      <c r="AP3700" s="466"/>
      <c r="AQ3700" s="466"/>
      <c r="AR3700" s="466"/>
      <c r="AS3700" s="466"/>
      <c r="AT3700" s="466"/>
      <c r="AU3700" s="466"/>
      <c r="AV3700" s="466"/>
      <c r="AW3700" s="466"/>
      <c r="AX3700" s="466"/>
      <c r="AY3700" s="466"/>
      <c r="AZ3700" s="466"/>
      <c r="BA3700" s="466"/>
      <c r="BB3700" s="466"/>
      <c r="BC3700" s="466"/>
      <c r="BD3700" s="466"/>
      <c r="BE3700" s="467"/>
      <c r="BF3700" s="467"/>
      <c r="BG3700" s="466"/>
      <c r="BH3700" s="466"/>
      <c r="BI3700" s="467"/>
      <c r="BJ3700" s="467"/>
      <c r="BK3700" s="467"/>
      <c r="BL3700" s="467"/>
      <c r="BM3700" s="467"/>
      <c r="BN3700" s="467"/>
      <c r="BO3700" s="467"/>
      <c r="BP3700" s="467"/>
      <c r="BQ3700" s="467"/>
      <c r="BR3700" s="467"/>
      <c r="BS3700" s="467"/>
      <c r="BT3700" s="467"/>
      <c r="BU3700" s="467"/>
      <c r="BV3700" s="467"/>
      <c r="BW3700" s="467"/>
      <c r="BX3700" s="769"/>
      <c r="BY3700" s="769"/>
      <c r="BZ3700" s="769"/>
      <c r="CA3700" s="769"/>
      <c r="CB3700" s="769"/>
      <c r="CC3700" s="769"/>
      <c r="CD3700" s="769"/>
      <c r="CE3700" s="769"/>
      <c r="CF3700" s="769"/>
      <c r="CG3700" s="73"/>
      <c r="CH3700" s="438"/>
      <c r="CI3700" s="416"/>
      <c r="CJ3700" s="73"/>
      <c r="CK3700" s="650"/>
      <c r="CL3700" s="499"/>
      <c r="CM3700" s="650"/>
      <c r="CR3700" s="416"/>
      <c r="CS3700" s="650"/>
      <c r="CU3700" s="73"/>
      <c r="CV3700" s="73"/>
      <c r="CW3700" s="73"/>
      <c r="CX3700" s="73"/>
      <c r="DA3700" s="650"/>
    </row>
    <row r="3701" spans="1:105" s="45" customFormat="1" x14ac:dyDescent="0.2">
      <c r="A3701" s="650"/>
      <c r="B3701" s="438"/>
      <c r="D3701" s="73"/>
      <c r="E3701" s="650"/>
      <c r="F3701" s="650"/>
      <c r="G3701" s="73"/>
      <c r="I3701" s="111"/>
      <c r="J3701" s="81"/>
      <c r="K3701" s="81"/>
      <c r="L3701" s="499"/>
      <c r="M3701" s="73"/>
      <c r="N3701" s="499"/>
      <c r="O3701" s="73"/>
      <c r="P3701" s="73"/>
      <c r="Q3701" s="73"/>
      <c r="R3701" s="176"/>
      <c r="S3701" s="176"/>
      <c r="T3701" s="176"/>
      <c r="U3701" s="400"/>
      <c r="V3701" s="400"/>
      <c r="W3701" s="732"/>
      <c r="X3701" s="167"/>
      <c r="Y3701" s="509"/>
      <c r="Z3701" s="466"/>
      <c r="AA3701" s="466"/>
      <c r="AB3701" s="466"/>
      <c r="AC3701" s="466"/>
      <c r="AD3701" s="466"/>
      <c r="AE3701" s="466"/>
      <c r="AF3701" s="466"/>
      <c r="AG3701" s="466"/>
      <c r="AH3701" s="466"/>
      <c r="AI3701" s="466"/>
      <c r="AJ3701" s="466"/>
      <c r="AK3701" s="466"/>
      <c r="AL3701" s="466"/>
      <c r="AM3701" s="466"/>
      <c r="AN3701" s="466"/>
      <c r="AO3701" s="466"/>
      <c r="AP3701" s="466"/>
      <c r="AQ3701" s="466"/>
      <c r="AR3701" s="466"/>
      <c r="AS3701" s="466"/>
      <c r="AT3701" s="466"/>
      <c r="AU3701" s="466"/>
      <c r="AV3701" s="466"/>
      <c r="AW3701" s="466"/>
      <c r="AX3701" s="466"/>
      <c r="AY3701" s="466"/>
      <c r="AZ3701" s="466"/>
      <c r="BA3701" s="466"/>
      <c r="BB3701" s="466"/>
      <c r="BC3701" s="466"/>
      <c r="BD3701" s="466"/>
      <c r="BE3701" s="467"/>
      <c r="BF3701" s="467"/>
      <c r="BG3701" s="466"/>
      <c r="BH3701" s="466"/>
      <c r="BI3701" s="467"/>
      <c r="BJ3701" s="467"/>
      <c r="BK3701" s="467"/>
      <c r="BL3701" s="467"/>
      <c r="BM3701" s="467"/>
      <c r="BN3701" s="467"/>
      <c r="BO3701" s="467"/>
      <c r="BP3701" s="467"/>
      <c r="BQ3701" s="467"/>
      <c r="BR3701" s="467"/>
      <c r="BS3701" s="467"/>
      <c r="BT3701" s="467"/>
      <c r="BU3701" s="467"/>
      <c r="BV3701" s="467"/>
      <c r="BW3701" s="467"/>
      <c r="BX3701" s="769"/>
      <c r="BY3701" s="769"/>
      <c r="BZ3701" s="769"/>
      <c r="CA3701" s="769"/>
      <c r="CB3701" s="769"/>
      <c r="CC3701" s="769"/>
      <c r="CD3701" s="769"/>
      <c r="CE3701" s="769"/>
      <c r="CF3701" s="769"/>
      <c r="CG3701" s="73"/>
      <c r="CH3701" s="438"/>
      <c r="CI3701" s="416"/>
      <c r="CJ3701" s="73"/>
      <c r="CK3701" s="650"/>
      <c r="CL3701" s="499"/>
      <c r="CM3701" s="650"/>
      <c r="CR3701" s="416"/>
      <c r="CS3701" s="650"/>
      <c r="CU3701" s="73"/>
      <c r="CV3701" s="73"/>
      <c r="CW3701" s="73"/>
      <c r="CX3701" s="73"/>
      <c r="DA3701" s="650"/>
    </row>
    <row r="3702" spans="1:105" s="45" customFormat="1" x14ac:dyDescent="0.2">
      <c r="A3702" s="650"/>
      <c r="B3702" s="438"/>
      <c r="D3702" s="73"/>
      <c r="E3702" s="650"/>
      <c r="F3702" s="650"/>
      <c r="G3702" s="73"/>
      <c r="I3702" s="111"/>
      <c r="J3702" s="81"/>
      <c r="K3702" s="81"/>
      <c r="L3702" s="499"/>
      <c r="M3702" s="73"/>
      <c r="N3702" s="499"/>
      <c r="O3702" s="73"/>
      <c r="P3702" s="73"/>
      <c r="Q3702" s="73"/>
      <c r="R3702" s="176"/>
      <c r="S3702" s="176"/>
      <c r="T3702" s="176"/>
      <c r="U3702" s="400"/>
      <c r="V3702" s="400"/>
      <c r="W3702" s="732"/>
      <c r="X3702" s="167"/>
      <c r="Y3702" s="509"/>
      <c r="Z3702" s="466"/>
      <c r="AA3702" s="466"/>
      <c r="AB3702" s="466"/>
      <c r="AC3702" s="466"/>
      <c r="AD3702" s="466"/>
      <c r="AE3702" s="466"/>
      <c r="AF3702" s="466"/>
      <c r="AG3702" s="466"/>
      <c r="AH3702" s="466"/>
      <c r="AI3702" s="466"/>
      <c r="AJ3702" s="466"/>
      <c r="AK3702" s="466"/>
      <c r="AL3702" s="466"/>
      <c r="AM3702" s="466"/>
      <c r="AN3702" s="466"/>
      <c r="AO3702" s="466"/>
      <c r="AP3702" s="466"/>
      <c r="AQ3702" s="466"/>
      <c r="AR3702" s="466"/>
      <c r="AS3702" s="466"/>
      <c r="AT3702" s="466"/>
      <c r="AU3702" s="466"/>
      <c r="AV3702" s="466"/>
      <c r="AW3702" s="466"/>
      <c r="AX3702" s="466"/>
      <c r="AY3702" s="466"/>
      <c r="AZ3702" s="466"/>
      <c r="BA3702" s="466"/>
      <c r="BB3702" s="466"/>
      <c r="BC3702" s="466"/>
      <c r="BD3702" s="466"/>
      <c r="BE3702" s="467"/>
      <c r="BF3702" s="467"/>
      <c r="BG3702" s="466"/>
      <c r="BH3702" s="466"/>
      <c r="BI3702" s="467"/>
      <c r="BJ3702" s="467"/>
      <c r="BK3702" s="467"/>
      <c r="BL3702" s="467"/>
      <c r="BM3702" s="467"/>
      <c r="BN3702" s="467"/>
      <c r="BO3702" s="467"/>
      <c r="BP3702" s="467"/>
      <c r="BQ3702" s="467"/>
      <c r="BR3702" s="467"/>
      <c r="BS3702" s="467"/>
      <c r="BT3702" s="467"/>
      <c r="BU3702" s="467"/>
      <c r="BV3702" s="467"/>
      <c r="BW3702" s="467"/>
      <c r="BX3702" s="769"/>
      <c r="BY3702" s="769"/>
      <c r="BZ3702" s="769"/>
      <c r="CA3702" s="769"/>
      <c r="CB3702" s="769"/>
      <c r="CC3702" s="769"/>
      <c r="CD3702" s="769"/>
      <c r="CE3702" s="769"/>
      <c r="CF3702" s="769"/>
      <c r="CG3702" s="73"/>
      <c r="CH3702" s="438"/>
      <c r="CI3702" s="416"/>
      <c r="CJ3702" s="73"/>
      <c r="CK3702" s="650"/>
      <c r="CL3702" s="499"/>
      <c r="CM3702" s="650"/>
      <c r="CR3702" s="416"/>
      <c r="CS3702" s="650"/>
      <c r="CU3702" s="73"/>
      <c r="CV3702" s="73"/>
      <c r="CW3702" s="73"/>
      <c r="CX3702" s="73"/>
      <c r="DA3702" s="650"/>
    </row>
    <row r="3703" spans="1:105" s="45" customFormat="1" x14ac:dyDescent="0.2">
      <c r="A3703" s="650"/>
      <c r="B3703" s="438"/>
      <c r="D3703" s="73"/>
      <c r="E3703" s="650"/>
      <c r="F3703" s="650"/>
      <c r="G3703" s="73"/>
      <c r="I3703" s="111"/>
      <c r="J3703" s="81"/>
      <c r="K3703" s="81"/>
      <c r="L3703" s="499"/>
      <c r="M3703" s="73"/>
      <c r="N3703" s="499"/>
      <c r="O3703" s="73"/>
      <c r="P3703" s="73"/>
      <c r="Q3703" s="73"/>
      <c r="R3703" s="176"/>
      <c r="S3703" s="176"/>
      <c r="T3703" s="176"/>
      <c r="U3703" s="400"/>
      <c r="V3703" s="400"/>
      <c r="W3703" s="732"/>
      <c r="X3703" s="167"/>
      <c r="Y3703" s="509"/>
      <c r="Z3703" s="466"/>
      <c r="AA3703" s="466"/>
      <c r="AB3703" s="466"/>
      <c r="AC3703" s="466"/>
      <c r="AD3703" s="466"/>
      <c r="AE3703" s="466"/>
      <c r="AF3703" s="466"/>
      <c r="AG3703" s="466"/>
      <c r="AH3703" s="466"/>
      <c r="AI3703" s="466"/>
      <c r="AJ3703" s="466"/>
      <c r="AK3703" s="466"/>
      <c r="AL3703" s="466"/>
      <c r="AM3703" s="466"/>
      <c r="AN3703" s="466"/>
      <c r="AO3703" s="466"/>
      <c r="AP3703" s="466"/>
      <c r="AQ3703" s="466"/>
      <c r="AR3703" s="466"/>
      <c r="AS3703" s="466"/>
      <c r="AT3703" s="466"/>
      <c r="AU3703" s="466"/>
      <c r="AV3703" s="466"/>
      <c r="AW3703" s="466"/>
      <c r="AX3703" s="466"/>
      <c r="AY3703" s="466"/>
      <c r="AZ3703" s="466"/>
      <c r="BA3703" s="466"/>
      <c r="BB3703" s="466"/>
      <c r="BC3703" s="466"/>
      <c r="BD3703" s="466"/>
      <c r="BE3703" s="467"/>
      <c r="BF3703" s="467"/>
      <c r="BG3703" s="466"/>
      <c r="BH3703" s="466"/>
      <c r="BI3703" s="467"/>
      <c r="BJ3703" s="467"/>
      <c r="BK3703" s="467"/>
      <c r="BL3703" s="467"/>
      <c r="BM3703" s="467"/>
      <c r="BN3703" s="467"/>
      <c r="BO3703" s="467"/>
      <c r="BP3703" s="467"/>
      <c r="BQ3703" s="467"/>
      <c r="BR3703" s="467"/>
      <c r="BS3703" s="467"/>
      <c r="BT3703" s="467"/>
      <c r="BU3703" s="467"/>
      <c r="BV3703" s="467"/>
      <c r="BW3703" s="467"/>
      <c r="BX3703" s="769"/>
      <c r="BY3703" s="769"/>
      <c r="BZ3703" s="769"/>
      <c r="CA3703" s="769"/>
      <c r="CB3703" s="769"/>
      <c r="CC3703" s="769"/>
      <c r="CD3703" s="769"/>
      <c r="CE3703" s="769"/>
      <c r="CF3703" s="769"/>
      <c r="CG3703" s="73"/>
      <c r="CH3703" s="438"/>
      <c r="CI3703" s="416"/>
      <c r="CJ3703" s="73"/>
      <c r="CK3703" s="650"/>
      <c r="CL3703" s="499"/>
      <c r="CM3703" s="650"/>
      <c r="CR3703" s="416"/>
      <c r="CS3703" s="650"/>
      <c r="CU3703" s="73"/>
      <c r="CV3703" s="73"/>
      <c r="CW3703" s="73"/>
      <c r="CX3703" s="73"/>
      <c r="DA3703" s="650"/>
    </row>
    <row r="3704" spans="1:105" s="45" customFormat="1" x14ac:dyDescent="0.2">
      <c r="A3704" s="650"/>
      <c r="B3704" s="438"/>
      <c r="D3704" s="73"/>
      <c r="E3704" s="650"/>
      <c r="F3704" s="650"/>
      <c r="G3704" s="73"/>
      <c r="I3704" s="111"/>
      <c r="J3704" s="81"/>
      <c r="K3704" s="81"/>
      <c r="L3704" s="499"/>
      <c r="M3704" s="73"/>
      <c r="N3704" s="499"/>
      <c r="O3704" s="73"/>
      <c r="P3704" s="73"/>
      <c r="Q3704" s="73"/>
      <c r="R3704" s="176"/>
      <c r="S3704" s="176"/>
      <c r="T3704" s="176"/>
      <c r="U3704" s="400"/>
      <c r="V3704" s="400"/>
      <c r="W3704" s="732"/>
      <c r="X3704" s="167"/>
      <c r="Y3704" s="509"/>
      <c r="Z3704" s="466"/>
      <c r="AA3704" s="466"/>
      <c r="AB3704" s="466"/>
      <c r="AC3704" s="466"/>
      <c r="AD3704" s="466"/>
      <c r="AE3704" s="466"/>
      <c r="AF3704" s="466"/>
      <c r="AG3704" s="466"/>
      <c r="AH3704" s="466"/>
      <c r="AI3704" s="466"/>
      <c r="AJ3704" s="466"/>
      <c r="AK3704" s="466"/>
      <c r="AL3704" s="466"/>
      <c r="AM3704" s="466"/>
      <c r="AN3704" s="466"/>
      <c r="AO3704" s="466"/>
      <c r="AP3704" s="466"/>
      <c r="AQ3704" s="466"/>
      <c r="AR3704" s="466"/>
      <c r="AS3704" s="466"/>
      <c r="AT3704" s="466"/>
      <c r="AU3704" s="466"/>
      <c r="AV3704" s="466"/>
      <c r="AW3704" s="466"/>
      <c r="AX3704" s="466"/>
      <c r="AY3704" s="466"/>
      <c r="AZ3704" s="466"/>
      <c r="BA3704" s="466"/>
      <c r="BB3704" s="466"/>
      <c r="BC3704" s="466"/>
      <c r="BD3704" s="466"/>
      <c r="BE3704" s="467"/>
      <c r="BF3704" s="467"/>
      <c r="BG3704" s="466"/>
      <c r="BH3704" s="466"/>
      <c r="BI3704" s="467"/>
      <c r="BJ3704" s="467"/>
      <c r="BK3704" s="467"/>
      <c r="BL3704" s="467"/>
      <c r="BM3704" s="467"/>
      <c r="BN3704" s="467"/>
      <c r="BO3704" s="467"/>
      <c r="BP3704" s="467"/>
      <c r="BQ3704" s="467"/>
      <c r="BR3704" s="467"/>
      <c r="BS3704" s="467"/>
      <c r="BT3704" s="467"/>
      <c r="BU3704" s="467"/>
      <c r="BV3704" s="467"/>
      <c r="BW3704" s="467"/>
      <c r="BX3704" s="769"/>
      <c r="BY3704" s="769"/>
      <c r="BZ3704" s="769"/>
      <c r="CA3704" s="769"/>
      <c r="CB3704" s="769"/>
      <c r="CC3704" s="769"/>
      <c r="CD3704" s="769"/>
      <c r="CE3704" s="769"/>
      <c r="CF3704" s="769"/>
      <c r="CG3704" s="73"/>
      <c r="CH3704" s="438"/>
      <c r="CI3704" s="416"/>
      <c r="CJ3704" s="73"/>
      <c r="CK3704" s="650"/>
      <c r="CL3704" s="499"/>
      <c r="CM3704" s="650"/>
      <c r="CR3704" s="416"/>
      <c r="CS3704" s="650"/>
      <c r="CU3704" s="73"/>
      <c r="CV3704" s="73"/>
      <c r="CW3704" s="73"/>
      <c r="CX3704" s="73"/>
      <c r="DA3704" s="650"/>
    </row>
    <row r="3705" spans="1:105" s="45" customFormat="1" x14ac:dyDescent="0.2">
      <c r="A3705" s="650"/>
      <c r="B3705" s="438"/>
      <c r="D3705" s="73"/>
      <c r="E3705" s="650"/>
      <c r="F3705" s="650"/>
      <c r="G3705" s="73"/>
      <c r="I3705" s="111"/>
      <c r="J3705" s="81"/>
      <c r="K3705" s="81"/>
      <c r="L3705" s="499"/>
      <c r="M3705" s="73"/>
      <c r="N3705" s="499"/>
      <c r="O3705" s="73"/>
      <c r="P3705" s="73"/>
      <c r="Q3705" s="73"/>
      <c r="R3705" s="176"/>
      <c r="S3705" s="176"/>
      <c r="T3705" s="176"/>
      <c r="U3705" s="400"/>
      <c r="V3705" s="400"/>
      <c r="W3705" s="732"/>
      <c r="X3705" s="167"/>
      <c r="Y3705" s="509"/>
      <c r="Z3705" s="466"/>
      <c r="AA3705" s="466"/>
      <c r="AB3705" s="466"/>
      <c r="AC3705" s="466"/>
      <c r="AD3705" s="466"/>
      <c r="AE3705" s="466"/>
      <c r="AF3705" s="466"/>
      <c r="AG3705" s="466"/>
      <c r="AH3705" s="466"/>
      <c r="AI3705" s="466"/>
      <c r="AJ3705" s="466"/>
      <c r="AK3705" s="466"/>
      <c r="AL3705" s="466"/>
      <c r="AM3705" s="466"/>
      <c r="AN3705" s="466"/>
      <c r="AO3705" s="466"/>
      <c r="AP3705" s="466"/>
      <c r="AQ3705" s="466"/>
      <c r="AR3705" s="466"/>
      <c r="AS3705" s="466"/>
      <c r="AT3705" s="466"/>
      <c r="AU3705" s="466"/>
      <c r="AV3705" s="466"/>
      <c r="AW3705" s="466"/>
      <c r="AX3705" s="466"/>
      <c r="AY3705" s="466"/>
      <c r="AZ3705" s="466"/>
      <c r="BA3705" s="466"/>
      <c r="BB3705" s="466"/>
      <c r="BC3705" s="466"/>
      <c r="BD3705" s="466"/>
      <c r="BE3705" s="467"/>
      <c r="BF3705" s="467"/>
      <c r="BG3705" s="466"/>
      <c r="BH3705" s="466"/>
      <c r="BI3705" s="467"/>
      <c r="BJ3705" s="467"/>
      <c r="BK3705" s="467"/>
      <c r="BL3705" s="467"/>
      <c r="BM3705" s="467"/>
      <c r="BN3705" s="467"/>
      <c r="BO3705" s="467"/>
      <c r="BP3705" s="467"/>
      <c r="BQ3705" s="467"/>
      <c r="BR3705" s="467"/>
      <c r="BS3705" s="467"/>
      <c r="BT3705" s="467"/>
      <c r="BU3705" s="467"/>
      <c r="BV3705" s="467"/>
      <c r="BW3705" s="467"/>
      <c r="BX3705" s="769"/>
      <c r="BY3705" s="769"/>
      <c r="BZ3705" s="769"/>
      <c r="CA3705" s="769"/>
      <c r="CB3705" s="769"/>
      <c r="CC3705" s="769"/>
      <c r="CD3705" s="769"/>
      <c r="CE3705" s="769"/>
      <c r="CF3705" s="769"/>
      <c r="CG3705" s="73"/>
      <c r="CH3705" s="438"/>
      <c r="CI3705" s="416"/>
      <c r="CJ3705" s="73"/>
      <c r="CK3705" s="650"/>
      <c r="CL3705" s="499"/>
      <c r="CM3705" s="650"/>
      <c r="CR3705" s="416"/>
      <c r="CS3705" s="650"/>
      <c r="CU3705" s="73"/>
      <c r="CV3705" s="73"/>
      <c r="CW3705" s="73"/>
      <c r="CX3705" s="73"/>
      <c r="DA3705" s="650"/>
    </row>
    <row r="3706" spans="1:105" s="45" customFormat="1" x14ac:dyDescent="0.2">
      <c r="A3706" s="650"/>
      <c r="B3706" s="438"/>
      <c r="D3706" s="73"/>
      <c r="E3706" s="650"/>
      <c r="F3706" s="650"/>
      <c r="G3706" s="73"/>
      <c r="I3706" s="111"/>
      <c r="J3706" s="81"/>
      <c r="K3706" s="81"/>
      <c r="L3706" s="499"/>
      <c r="M3706" s="73"/>
      <c r="N3706" s="499"/>
      <c r="O3706" s="73"/>
      <c r="P3706" s="73"/>
      <c r="Q3706" s="73"/>
      <c r="R3706" s="176"/>
      <c r="S3706" s="176"/>
      <c r="T3706" s="176"/>
      <c r="U3706" s="400"/>
      <c r="V3706" s="400"/>
      <c r="W3706" s="732"/>
      <c r="X3706" s="167"/>
      <c r="Y3706" s="509"/>
      <c r="Z3706" s="466"/>
      <c r="AA3706" s="466"/>
      <c r="AB3706" s="466"/>
      <c r="AC3706" s="466"/>
      <c r="AD3706" s="466"/>
      <c r="AE3706" s="466"/>
      <c r="AF3706" s="466"/>
      <c r="AG3706" s="466"/>
      <c r="AH3706" s="466"/>
      <c r="AI3706" s="466"/>
      <c r="AJ3706" s="466"/>
      <c r="AK3706" s="466"/>
      <c r="AL3706" s="466"/>
      <c r="AM3706" s="466"/>
      <c r="AN3706" s="466"/>
      <c r="AO3706" s="466"/>
      <c r="AP3706" s="466"/>
      <c r="AQ3706" s="466"/>
      <c r="AR3706" s="466"/>
      <c r="AS3706" s="466"/>
      <c r="AT3706" s="466"/>
      <c r="AU3706" s="466"/>
      <c r="AV3706" s="466"/>
      <c r="AW3706" s="466"/>
      <c r="AX3706" s="466"/>
      <c r="AY3706" s="466"/>
      <c r="AZ3706" s="466"/>
      <c r="BA3706" s="466"/>
      <c r="BB3706" s="466"/>
      <c r="BC3706" s="466"/>
      <c r="BD3706" s="466"/>
      <c r="BE3706" s="467"/>
      <c r="BF3706" s="467"/>
      <c r="BG3706" s="466"/>
      <c r="BH3706" s="466"/>
      <c r="BI3706" s="467"/>
      <c r="BJ3706" s="467"/>
      <c r="BK3706" s="467"/>
      <c r="BL3706" s="467"/>
      <c r="BM3706" s="467"/>
      <c r="BN3706" s="467"/>
      <c r="BO3706" s="467"/>
      <c r="BP3706" s="467"/>
      <c r="BQ3706" s="467"/>
      <c r="BR3706" s="467"/>
      <c r="BS3706" s="467"/>
      <c r="BT3706" s="467"/>
      <c r="BU3706" s="467"/>
      <c r="BV3706" s="467"/>
      <c r="BW3706" s="467"/>
      <c r="BX3706" s="769"/>
      <c r="BY3706" s="769"/>
      <c r="BZ3706" s="769"/>
      <c r="CA3706" s="769"/>
      <c r="CB3706" s="769"/>
      <c r="CC3706" s="769"/>
      <c r="CD3706" s="769"/>
      <c r="CE3706" s="769"/>
      <c r="CF3706" s="769"/>
      <c r="CG3706" s="73"/>
      <c r="CH3706" s="438"/>
      <c r="CI3706" s="416"/>
      <c r="CJ3706" s="73"/>
      <c r="CK3706" s="650"/>
      <c r="CL3706" s="499"/>
      <c r="CM3706" s="650"/>
      <c r="CR3706" s="416"/>
      <c r="CS3706" s="650"/>
      <c r="CU3706" s="73"/>
      <c r="CV3706" s="73"/>
      <c r="CW3706" s="73"/>
      <c r="CX3706" s="73"/>
      <c r="DA3706" s="650"/>
    </row>
    <row r="3707" spans="1:105" s="45" customFormat="1" x14ac:dyDescent="0.2">
      <c r="A3707" s="650"/>
      <c r="B3707" s="438"/>
      <c r="D3707" s="73"/>
      <c r="E3707" s="650"/>
      <c r="F3707" s="650"/>
      <c r="G3707" s="73"/>
      <c r="I3707" s="111"/>
      <c r="J3707" s="81"/>
      <c r="K3707" s="81"/>
      <c r="L3707" s="499"/>
      <c r="M3707" s="73"/>
      <c r="N3707" s="499"/>
      <c r="O3707" s="73"/>
      <c r="P3707" s="73"/>
      <c r="Q3707" s="73"/>
      <c r="R3707" s="176"/>
      <c r="S3707" s="176"/>
      <c r="T3707" s="176"/>
      <c r="U3707" s="400"/>
      <c r="V3707" s="400"/>
      <c r="W3707" s="732"/>
      <c r="X3707" s="167"/>
      <c r="Y3707" s="509"/>
      <c r="Z3707" s="466"/>
      <c r="AA3707" s="466"/>
      <c r="AB3707" s="466"/>
      <c r="AC3707" s="466"/>
      <c r="AD3707" s="466"/>
      <c r="AE3707" s="466"/>
      <c r="AF3707" s="466"/>
      <c r="AG3707" s="466"/>
      <c r="AH3707" s="466"/>
      <c r="AI3707" s="466"/>
      <c r="AJ3707" s="466"/>
      <c r="AK3707" s="466"/>
      <c r="AL3707" s="466"/>
      <c r="AM3707" s="466"/>
      <c r="AN3707" s="466"/>
      <c r="AO3707" s="466"/>
      <c r="AP3707" s="466"/>
      <c r="AQ3707" s="466"/>
      <c r="AR3707" s="466"/>
      <c r="AS3707" s="466"/>
      <c r="AT3707" s="466"/>
      <c r="AU3707" s="466"/>
      <c r="AV3707" s="466"/>
      <c r="AW3707" s="466"/>
      <c r="AX3707" s="466"/>
      <c r="AY3707" s="466"/>
      <c r="AZ3707" s="466"/>
      <c r="BA3707" s="466"/>
      <c r="BB3707" s="466"/>
      <c r="BC3707" s="466"/>
      <c r="BD3707" s="466"/>
      <c r="BE3707" s="467"/>
      <c r="BF3707" s="467"/>
      <c r="BG3707" s="466"/>
      <c r="BH3707" s="466"/>
      <c r="BI3707" s="467"/>
      <c r="BJ3707" s="467"/>
      <c r="BK3707" s="467"/>
      <c r="BL3707" s="467"/>
      <c r="BM3707" s="467"/>
      <c r="BN3707" s="467"/>
      <c r="BO3707" s="467"/>
      <c r="BP3707" s="467"/>
      <c r="BQ3707" s="467"/>
      <c r="BR3707" s="467"/>
      <c r="BS3707" s="467"/>
      <c r="BT3707" s="467"/>
      <c r="BU3707" s="467"/>
      <c r="BV3707" s="467"/>
      <c r="BW3707" s="467"/>
      <c r="BX3707" s="769"/>
      <c r="BY3707" s="769"/>
      <c r="BZ3707" s="769"/>
      <c r="CA3707" s="769"/>
      <c r="CB3707" s="769"/>
      <c r="CC3707" s="769"/>
      <c r="CD3707" s="769"/>
      <c r="CE3707" s="769"/>
      <c r="CF3707" s="769"/>
      <c r="CG3707" s="73"/>
      <c r="CH3707" s="438"/>
      <c r="CI3707" s="416"/>
      <c r="CJ3707" s="73"/>
      <c r="CK3707" s="650"/>
      <c r="CL3707" s="499"/>
      <c r="CM3707" s="650"/>
      <c r="CR3707" s="416"/>
      <c r="CS3707" s="650"/>
      <c r="CU3707" s="73"/>
      <c r="CV3707" s="73"/>
      <c r="CW3707" s="73"/>
      <c r="CX3707" s="73"/>
      <c r="DA3707" s="650"/>
    </row>
    <row r="3708" spans="1:105" s="45" customFormat="1" x14ac:dyDescent="0.2">
      <c r="A3708" s="650"/>
      <c r="B3708" s="438"/>
      <c r="D3708" s="73"/>
      <c r="E3708" s="650"/>
      <c r="F3708" s="650"/>
      <c r="G3708" s="73"/>
      <c r="I3708" s="111"/>
      <c r="J3708" s="81"/>
      <c r="K3708" s="81"/>
      <c r="L3708" s="499"/>
      <c r="M3708" s="73"/>
      <c r="N3708" s="499"/>
      <c r="O3708" s="73"/>
      <c r="P3708" s="73"/>
      <c r="Q3708" s="73"/>
      <c r="R3708" s="176"/>
      <c r="S3708" s="176"/>
      <c r="T3708" s="176"/>
      <c r="U3708" s="400"/>
      <c r="V3708" s="400"/>
      <c r="W3708" s="732"/>
      <c r="X3708" s="167"/>
      <c r="Y3708" s="509"/>
      <c r="Z3708" s="466"/>
      <c r="AA3708" s="466"/>
      <c r="AB3708" s="466"/>
      <c r="AC3708" s="466"/>
      <c r="AD3708" s="466"/>
      <c r="AE3708" s="466"/>
      <c r="AF3708" s="466"/>
      <c r="AG3708" s="466"/>
      <c r="AH3708" s="466"/>
      <c r="AI3708" s="466"/>
      <c r="AJ3708" s="466"/>
      <c r="AK3708" s="466"/>
      <c r="AL3708" s="466"/>
      <c r="AM3708" s="466"/>
      <c r="AN3708" s="466"/>
      <c r="AO3708" s="466"/>
      <c r="AP3708" s="466"/>
      <c r="AQ3708" s="466"/>
      <c r="AR3708" s="466"/>
      <c r="AS3708" s="466"/>
      <c r="AT3708" s="466"/>
      <c r="AU3708" s="466"/>
      <c r="AV3708" s="466"/>
      <c r="AW3708" s="466"/>
      <c r="AX3708" s="466"/>
      <c r="AY3708" s="466"/>
      <c r="AZ3708" s="466"/>
      <c r="BA3708" s="466"/>
      <c r="BB3708" s="466"/>
      <c r="BC3708" s="466"/>
      <c r="BD3708" s="466"/>
      <c r="BE3708" s="467"/>
      <c r="BF3708" s="467"/>
      <c r="BG3708" s="466"/>
      <c r="BH3708" s="466"/>
      <c r="BI3708" s="467"/>
      <c r="BJ3708" s="467"/>
      <c r="BK3708" s="467"/>
      <c r="BL3708" s="467"/>
      <c r="BM3708" s="467"/>
      <c r="BN3708" s="467"/>
      <c r="BO3708" s="467"/>
      <c r="BP3708" s="467"/>
      <c r="BQ3708" s="467"/>
      <c r="BR3708" s="467"/>
      <c r="BS3708" s="467"/>
      <c r="BT3708" s="467"/>
      <c r="BU3708" s="467"/>
      <c r="BV3708" s="467"/>
      <c r="BW3708" s="467"/>
      <c r="BX3708" s="769"/>
      <c r="BY3708" s="769"/>
      <c r="BZ3708" s="769"/>
      <c r="CA3708" s="769"/>
      <c r="CB3708" s="769"/>
      <c r="CC3708" s="769"/>
      <c r="CD3708" s="769"/>
      <c r="CE3708" s="769"/>
      <c r="CF3708" s="769"/>
      <c r="CG3708" s="73"/>
      <c r="CH3708" s="438"/>
      <c r="CI3708" s="416"/>
      <c r="CJ3708" s="73"/>
      <c r="CK3708" s="650"/>
      <c r="CL3708" s="499"/>
      <c r="CM3708" s="650"/>
      <c r="CR3708" s="416"/>
      <c r="CS3708" s="650"/>
      <c r="CU3708" s="73"/>
      <c r="CV3708" s="73"/>
      <c r="CW3708" s="73"/>
      <c r="CX3708" s="73"/>
      <c r="DA3708" s="650"/>
    </row>
    <row r="3709" spans="1:105" s="45" customFormat="1" x14ac:dyDescent="0.2">
      <c r="A3709" s="650"/>
      <c r="B3709" s="438"/>
      <c r="D3709" s="73"/>
      <c r="E3709" s="650"/>
      <c r="F3709" s="650"/>
      <c r="G3709" s="73"/>
      <c r="I3709" s="111"/>
      <c r="J3709" s="81"/>
      <c r="K3709" s="81"/>
      <c r="L3709" s="499"/>
      <c r="M3709" s="73"/>
      <c r="N3709" s="499"/>
      <c r="O3709" s="73"/>
      <c r="P3709" s="73"/>
      <c r="Q3709" s="73"/>
      <c r="R3709" s="176"/>
      <c r="S3709" s="176"/>
      <c r="T3709" s="176"/>
      <c r="U3709" s="400"/>
      <c r="V3709" s="400"/>
      <c r="W3709" s="732"/>
      <c r="X3709" s="167"/>
      <c r="Y3709" s="509"/>
      <c r="Z3709" s="466"/>
      <c r="AA3709" s="466"/>
      <c r="AB3709" s="466"/>
      <c r="AC3709" s="466"/>
      <c r="AD3709" s="466"/>
      <c r="AE3709" s="466"/>
      <c r="AF3709" s="466"/>
      <c r="AG3709" s="466"/>
      <c r="AH3709" s="466"/>
      <c r="AI3709" s="466"/>
      <c r="AJ3709" s="466"/>
      <c r="AK3709" s="466"/>
      <c r="AL3709" s="466"/>
      <c r="AM3709" s="466"/>
      <c r="AN3709" s="466"/>
      <c r="AO3709" s="466"/>
      <c r="AP3709" s="466"/>
      <c r="AQ3709" s="466"/>
      <c r="AR3709" s="466"/>
      <c r="AS3709" s="466"/>
      <c r="AT3709" s="466"/>
      <c r="AU3709" s="466"/>
      <c r="AV3709" s="466"/>
      <c r="AW3709" s="466"/>
      <c r="AX3709" s="466"/>
      <c r="AY3709" s="466"/>
      <c r="AZ3709" s="466"/>
      <c r="BA3709" s="466"/>
      <c r="BB3709" s="466"/>
      <c r="BC3709" s="466"/>
      <c r="BD3709" s="466"/>
      <c r="BE3709" s="467"/>
      <c r="BF3709" s="467"/>
      <c r="BG3709" s="466"/>
      <c r="BH3709" s="466"/>
      <c r="BI3709" s="467"/>
      <c r="BJ3709" s="467"/>
      <c r="BK3709" s="467"/>
      <c r="BL3709" s="467"/>
      <c r="BM3709" s="467"/>
      <c r="BN3709" s="467"/>
      <c r="BO3709" s="467"/>
      <c r="BP3709" s="467"/>
      <c r="BQ3709" s="467"/>
      <c r="BR3709" s="467"/>
      <c r="BS3709" s="467"/>
      <c r="BT3709" s="467"/>
      <c r="BU3709" s="467"/>
      <c r="BV3709" s="467"/>
      <c r="BW3709" s="467"/>
      <c r="BX3709" s="769"/>
      <c r="BY3709" s="769"/>
      <c r="BZ3709" s="769"/>
      <c r="CA3709" s="769"/>
      <c r="CB3709" s="769"/>
      <c r="CC3709" s="769"/>
      <c r="CD3709" s="769"/>
      <c r="CE3709" s="769"/>
      <c r="CF3709" s="769"/>
      <c r="CG3709" s="73"/>
      <c r="CH3709" s="438"/>
      <c r="CI3709" s="416"/>
      <c r="CJ3709" s="73"/>
      <c r="CK3709" s="650"/>
      <c r="CL3709" s="499"/>
      <c r="CM3709" s="650"/>
      <c r="CR3709" s="416"/>
      <c r="CS3709" s="650"/>
      <c r="CU3709" s="73"/>
      <c r="CV3709" s="73"/>
      <c r="CW3709" s="73"/>
      <c r="CX3709" s="73"/>
      <c r="DA3709" s="650"/>
    </row>
    <row r="3710" spans="1:105" s="45" customFormat="1" x14ac:dyDescent="0.2">
      <c r="A3710" s="650"/>
      <c r="B3710" s="438"/>
      <c r="D3710" s="73"/>
      <c r="E3710" s="650"/>
      <c r="F3710" s="650"/>
      <c r="G3710" s="73"/>
      <c r="I3710" s="111"/>
      <c r="J3710" s="81"/>
      <c r="K3710" s="81"/>
      <c r="L3710" s="499"/>
      <c r="M3710" s="73"/>
      <c r="N3710" s="499"/>
      <c r="O3710" s="73"/>
      <c r="P3710" s="73"/>
      <c r="Q3710" s="73"/>
      <c r="R3710" s="176"/>
      <c r="S3710" s="176"/>
      <c r="T3710" s="176"/>
      <c r="U3710" s="400"/>
      <c r="V3710" s="400"/>
      <c r="W3710" s="732"/>
      <c r="X3710" s="167"/>
      <c r="Y3710" s="509"/>
      <c r="Z3710" s="466"/>
      <c r="AA3710" s="466"/>
      <c r="AB3710" s="466"/>
      <c r="AC3710" s="466"/>
      <c r="AD3710" s="466"/>
      <c r="AE3710" s="466"/>
      <c r="AF3710" s="466"/>
      <c r="AG3710" s="466"/>
      <c r="AH3710" s="466"/>
      <c r="AI3710" s="466"/>
      <c r="AJ3710" s="466"/>
      <c r="AK3710" s="466"/>
      <c r="AL3710" s="466"/>
      <c r="AM3710" s="466"/>
      <c r="AN3710" s="466"/>
      <c r="AO3710" s="466"/>
      <c r="AP3710" s="466"/>
      <c r="AQ3710" s="466"/>
      <c r="AR3710" s="466"/>
      <c r="AS3710" s="466"/>
      <c r="AT3710" s="466"/>
      <c r="AU3710" s="466"/>
      <c r="AV3710" s="466"/>
      <c r="AW3710" s="466"/>
      <c r="AX3710" s="466"/>
      <c r="AY3710" s="466"/>
      <c r="AZ3710" s="466"/>
      <c r="BA3710" s="466"/>
      <c r="BB3710" s="466"/>
      <c r="BC3710" s="466"/>
      <c r="BD3710" s="466"/>
      <c r="BE3710" s="467"/>
      <c r="BF3710" s="467"/>
      <c r="BG3710" s="466"/>
      <c r="BH3710" s="466"/>
      <c r="BI3710" s="467"/>
      <c r="BJ3710" s="467"/>
      <c r="BK3710" s="467"/>
      <c r="BL3710" s="467"/>
      <c r="BM3710" s="467"/>
      <c r="BN3710" s="467"/>
      <c r="BO3710" s="467"/>
      <c r="BP3710" s="467"/>
      <c r="BQ3710" s="467"/>
      <c r="BR3710" s="467"/>
      <c r="BS3710" s="467"/>
      <c r="BT3710" s="467"/>
      <c r="BU3710" s="467"/>
      <c r="BV3710" s="467"/>
      <c r="BW3710" s="467"/>
      <c r="BX3710" s="769"/>
      <c r="BY3710" s="769"/>
      <c r="BZ3710" s="769"/>
      <c r="CA3710" s="769"/>
      <c r="CB3710" s="769"/>
      <c r="CC3710" s="769"/>
      <c r="CD3710" s="769"/>
      <c r="CE3710" s="769"/>
      <c r="CF3710" s="769"/>
      <c r="CG3710" s="73"/>
      <c r="CH3710" s="438"/>
      <c r="CI3710" s="416"/>
      <c r="CJ3710" s="73"/>
      <c r="CK3710" s="650"/>
      <c r="CL3710" s="499"/>
      <c r="CM3710" s="650"/>
      <c r="CR3710" s="416"/>
      <c r="CS3710" s="650"/>
      <c r="CU3710" s="73"/>
      <c r="CV3710" s="73"/>
      <c r="CW3710" s="73"/>
      <c r="CX3710" s="73"/>
      <c r="DA3710" s="650"/>
    </row>
    <row r="3711" spans="1:105" s="45" customFormat="1" x14ac:dyDescent="0.2">
      <c r="A3711" s="650"/>
      <c r="B3711" s="438"/>
      <c r="D3711" s="73"/>
      <c r="E3711" s="650"/>
      <c r="F3711" s="650"/>
      <c r="G3711" s="73"/>
      <c r="I3711" s="111"/>
      <c r="J3711" s="81"/>
      <c r="K3711" s="81"/>
      <c r="L3711" s="499"/>
      <c r="M3711" s="73"/>
      <c r="N3711" s="499"/>
      <c r="O3711" s="73"/>
      <c r="P3711" s="73"/>
      <c r="Q3711" s="73"/>
      <c r="R3711" s="176"/>
      <c r="S3711" s="176"/>
      <c r="T3711" s="176"/>
      <c r="U3711" s="400"/>
      <c r="V3711" s="400"/>
      <c r="W3711" s="732"/>
      <c r="X3711" s="167"/>
      <c r="Y3711" s="509"/>
      <c r="Z3711" s="466"/>
      <c r="AA3711" s="466"/>
      <c r="AB3711" s="466"/>
      <c r="AC3711" s="466"/>
      <c r="AD3711" s="466"/>
      <c r="AE3711" s="466"/>
      <c r="AF3711" s="466"/>
      <c r="AG3711" s="466"/>
      <c r="AH3711" s="466"/>
      <c r="AI3711" s="466"/>
      <c r="AJ3711" s="466"/>
      <c r="AK3711" s="466"/>
      <c r="AL3711" s="466"/>
      <c r="AM3711" s="466"/>
      <c r="AN3711" s="466"/>
      <c r="AO3711" s="466"/>
      <c r="AP3711" s="466"/>
      <c r="AQ3711" s="466"/>
      <c r="AR3711" s="466"/>
      <c r="AS3711" s="466"/>
      <c r="AT3711" s="466"/>
      <c r="AU3711" s="466"/>
      <c r="AV3711" s="466"/>
      <c r="AW3711" s="466"/>
      <c r="AX3711" s="466"/>
      <c r="AY3711" s="466"/>
      <c r="AZ3711" s="466"/>
      <c r="BA3711" s="466"/>
      <c r="BB3711" s="466"/>
      <c r="BC3711" s="466"/>
      <c r="BD3711" s="466"/>
      <c r="BE3711" s="467"/>
      <c r="BF3711" s="467"/>
      <c r="BG3711" s="466"/>
      <c r="BH3711" s="466"/>
      <c r="BI3711" s="467"/>
      <c r="BJ3711" s="467"/>
      <c r="BK3711" s="467"/>
      <c r="BL3711" s="467"/>
      <c r="BM3711" s="467"/>
      <c r="BN3711" s="467"/>
      <c r="BO3711" s="467"/>
      <c r="BP3711" s="467"/>
      <c r="BQ3711" s="467"/>
      <c r="BR3711" s="467"/>
      <c r="BS3711" s="467"/>
      <c r="BT3711" s="467"/>
      <c r="BU3711" s="467"/>
      <c r="BV3711" s="467"/>
      <c r="BW3711" s="467"/>
      <c r="BX3711" s="769"/>
      <c r="BY3711" s="769"/>
      <c r="BZ3711" s="769"/>
      <c r="CA3711" s="769"/>
      <c r="CB3711" s="769"/>
      <c r="CC3711" s="769"/>
      <c r="CD3711" s="769"/>
      <c r="CE3711" s="769"/>
      <c r="CF3711" s="769"/>
      <c r="CG3711" s="73"/>
      <c r="CH3711" s="438"/>
      <c r="CI3711" s="416"/>
      <c r="CJ3711" s="73"/>
      <c r="CK3711" s="650"/>
      <c r="CL3711" s="499"/>
      <c r="CM3711" s="650"/>
      <c r="CR3711" s="416"/>
      <c r="CS3711" s="650"/>
      <c r="CU3711" s="73"/>
      <c r="CV3711" s="73"/>
      <c r="CW3711" s="73"/>
      <c r="CX3711" s="73"/>
      <c r="DA3711" s="650"/>
    </row>
    <row r="3712" spans="1:105" s="45" customFormat="1" x14ac:dyDescent="0.2">
      <c r="A3712" s="650"/>
      <c r="B3712" s="438"/>
      <c r="D3712" s="73"/>
      <c r="E3712" s="650"/>
      <c r="F3712" s="650"/>
      <c r="G3712" s="73"/>
      <c r="I3712" s="111"/>
      <c r="J3712" s="81"/>
      <c r="K3712" s="81"/>
      <c r="L3712" s="499"/>
      <c r="M3712" s="73"/>
      <c r="N3712" s="499"/>
      <c r="O3712" s="73"/>
      <c r="P3712" s="73"/>
      <c r="Q3712" s="73"/>
      <c r="R3712" s="176"/>
      <c r="S3712" s="176"/>
      <c r="T3712" s="176"/>
      <c r="U3712" s="400"/>
      <c r="V3712" s="400"/>
      <c r="W3712" s="732"/>
      <c r="X3712" s="167"/>
      <c r="Y3712" s="509"/>
      <c r="Z3712" s="466"/>
      <c r="AA3712" s="466"/>
      <c r="AB3712" s="466"/>
      <c r="AC3712" s="466"/>
      <c r="AD3712" s="466"/>
      <c r="AE3712" s="466"/>
      <c r="AF3712" s="466"/>
      <c r="AG3712" s="466"/>
      <c r="AH3712" s="466"/>
      <c r="AI3712" s="466"/>
      <c r="AJ3712" s="466"/>
      <c r="AK3712" s="466"/>
      <c r="AL3712" s="466"/>
      <c r="AM3712" s="466"/>
      <c r="AN3712" s="466"/>
      <c r="AO3712" s="466"/>
      <c r="AP3712" s="466"/>
      <c r="AQ3712" s="466"/>
      <c r="AR3712" s="466"/>
      <c r="AS3712" s="466"/>
      <c r="AT3712" s="466"/>
      <c r="AU3712" s="466"/>
      <c r="AV3712" s="466"/>
      <c r="AW3712" s="466"/>
      <c r="AX3712" s="466"/>
      <c r="AY3712" s="466"/>
      <c r="AZ3712" s="466"/>
      <c r="BA3712" s="466"/>
      <c r="BB3712" s="466"/>
      <c r="BC3712" s="466"/>
      <c r="BD3712" s="466"/>
      <c r="BE3712" s="467"/>
      <c r="BF3712" s="467"/>
      <c r="BG3712" s="466"/>
      <c r="BH3712" s="466"/>
      <c r="BI3712" s="467"/>
      <c r="BJ3712" s="467"/>
      <c r="BK3712" s="467"/>
      <c r="BL3712" s="467"/>
      <c r="BM3712" s="467"/>
      <c r="BN3712" s="467"/>
      <c r="BO3712" s="467"/>
      <c r="BP3712" s="467"/>
      <c r="BQ3712" s="467"/>
      <c r="BR3712" s="467"/>
      <c r="BS3712" s="467"/>
      <c r="BT3712" s="467"/>
      <c r="BU3712" s="467"/>
      <c r="BV3712" s="467"/>
      <c r="BW3712" s="467"/>
      <c r="BX3712" s="769"/>
      <c r="BY3712" s="769"/>
      <c r="BZ3712" s="769"/>
      <c r="CA3712" s="769"/>
      <c r="CB3712" s="769"/>
      <c r="CC3712" s="769"/>
      <c r="CD3712" s="769"/>
      <c r="CE3712" s="769"/>
      <c r="CF3712" s="769"/>
      <c r="CG3712" s="73"/>
      <c r="CH3712" s="438"/>
      <c r="CI3712" s="416"/>
      <c r="CJ3712" s="73"/>
      <c r="CK3712" s="650"/>
      <c r="CL3712" s="499"/>
      <c r="CM3712" s="650"/>
      <c r="CR3712" s="416"/>
      <c r="CS3712" s="650"/>
      <c r="CU3712" s="73"/>
      <c r="CV3712" s="73"/>
      <c r="CW3712" s="73"/>
      <c r="CX3712" s="73"/>
      <c r="DA3712" s="650"/>
    </row>
    <row r="3713" spans="1:105" s="45" customFormat="1" x14ac:dyDescent="0.2">
      <c r="A3713" s="650"/>
      <c r="B3713" s="438"/>
      <c r="D3713" s="73"/>
      <c r="E3713" s="650"/>
      <c r="F3713" s="650"/>
      <c r="G3713" s="73"/>
      <c r="I3713" s="111"/>
      <c r="J3713" s="81"/>
      <c r="K3713" s="81"/>
      <c r="L3713" s="499"/>
      <c r="M3713" s="73"/>
      <c r="N3713" s="499"/>
      <c r="O3713" s="73"/>
      <c r="P3713" s="73"/>
      <c r="Q3713" s="73"/>
      <c r="R3713" s="176"/>
      <c r="S3713" s="176"/>
      <c r="T3713" s="176"/>
      <c r="U3713" s="400"/>
      <c r="V3713" s="400"/>
      <c r="W3713" s="732"/>
      <c r="X3713" s="167"/>
      <c r="Y3713" s="509"/>
      <c r="Z3713" s="466"/>
      <c r="AA3713" s="466"/>
      <c r="AB3713" s="466"/>
      <c r="AC3713" s="466"/>
      <c r="AD3713" s="466"/>
      <c r="AE3713" s="466"/>
      <c r="AF3713" s="466"/>
      <c r="AG3713" s="466"/>
      <c r="AH3713" s="466"/>
      <c r="AI3713" s="466"/>
      <c r="AJ3713" s="466"/>
      <c r="AK3713" s="466"/>
      <c r="AL3713" s="466"/>
      <c r="AM3713" s="466"/>
      <c r="AN3713" s="466"/>
      <c r="AO3713" s="466"/>
      <c r="AP3713" s="466"/>
      <c r="AQ3713" s="466"/>
      <c r="AR3713" s="466"/>
      <c r="AS3713" s="466"/>
      <c r="AT3713" s="466"/>
      <c r="AU3713" s="466"/>
      <c r="AV3713" s="466"/>
      <c r="AW3713" s="466"/>
      <c r="AX3713" s="466"/>
      <c r="AY3713" s="466"/>
      <c r="AZ3713" s="466"/>
      <c r="BA3713" s="466"/>
      <c r="BB3713" s="466"/>
      <c r="BC3713" s="466"/>
      <c r="BD3713" s="466"/>
      <c r="BE3713" s="467"/>
      <c r="BF3713" s="467"/>
      <c r="BG3713" s="466"/>
      <c r="BH3713" s="466"/>
      <c r="BI3713" s="467"/>
      <c r="BJ3713" s="467"/>
      <c r="BK3713" s="467"/>
      <c r="BL3713" s="467"/>
      <c r="BM3713" s="467"/>
      <c r="BN3713" s="467"/>
      <c r="BO3713" s="467"/>
      <c r="BP3713" s="467"/>
      <c r="BQ3713" s="467"/>
      <c r="BR3713" s="467"/>
      <c r="BS3713" s="467"/>
      <c r="BT3713" s="467"/>
      <c r="BU3713" s="467"/>
      <c r="BV3713" s="467"/>
      <c r="BW3713" s="467"/>
      <c r="BX3713" s="769"/>
      <c r="BY3713" s="769"/>
      <c r="BZ3713" s="769"/>
      <c r="CA3713" s="769"/>
      <c r="CB3713" s="769"/>
      <c r="CC3713" s="769"/>
      <c r="CD3713" s="769"/>
      <c r="CE3713" s="769"/>
      <c r="CF3713" s="769"/>
      <c r="CG3713" s="73"/>
      <c r="CH3713" s="438"/>
      <c r="CI3713" s="416"/>
      <c r="CJ3713" s="73"/>
      <c r="CK3713" s="650"/>
      <c r="CL3713" s="499"/>
      <c r="CM3713" s="650"/>
      <c r="CR3713" s="416"/>
      <c r="CS3713" s="650"/>
      <c r="CU3713" s="73"/>
      <c r="CV3713" s="73"/>
      <c r="CW3713" s="73"/>
      <c r="CX3713" s="73"/>
      <c r="DA3713" s="650"/>
    </row>
    <row r="3714" spans="1:105" s="45" customFormat="1" x14ac:dyDescent="0.2">
      <c r="A3714" s="650"/>
      <c r="B3714" s="438"/>
      <c r="D3714" s="73"/>
      <c r="E3714" s="650"/>
      <c r="F3714" s="650"/>
      <c r="G3714" s="73"/>
      <c r="I3714" s="111"/>
      <c r="J3714" s="81"/>
      <c r="K3714" s="81"/>
      <c r="L3714" s="499"/>
      <c r="M3714" s="73"/>
      <c r="N3714" s="499"/>
      <c r="O3714" s="73"/>
      <c r="P3714" s="73"/>
      <c r="Q3714" s="73"/>
      <c r="R3714" s="176"/>
      <c r="S3714" s="176"/>
      <c r="T3714" s="176"/>
      <c r="U3714" s="400"/>
      <c r="V3714" s="400"/>
      <c r="W3714" s="732"/>
      <c r="X3714" s="167"/>
      <c r="Y3714" s="509"/>
      <c r="Z3714" s="466"/>
      <c r="AA3714" s="466"/>
      <c r="AB3714" s="466"/>
      <c r="AC3714" s="466"/>
      <c r="AD3714" s="466"/>
      <c r="AE3714" s="466"/>
      <c r="AF3714" s="466"/>
      <c r="AG3714" s="466"/>
      <c r="AH3714" s="466"/>
      <c r="AI3714" s="466"/>
      <c r="AJ3714" s="466"/>
      <c r="AK3714" s="466"/>
      <c r="AL3714" s="466"/>
      <c r="AM3714" s="466"/>
      <c r="AN3714" s="466"/>
      <c r="AO3714" s="466"/>
      <c r="AP3714" s="466"/>
      <c r="AQ3714" s="466"/>
      <c r="AR3714" s="466"/>
      <c r="AS3714" s="466"/>
      <c r="AT3714" s="466"/>
      <c r="AU3714" s="466"/>
      <c r="AV3714" s="466"/>
      <c r="AW3714" s="466"/>
      <c r="AX3714" s="466"/>
      <c r="AY3714" s="466"/>
      <c r="AZ3714" s="466"/>
      <c r="BA3714" s="466"/>
      <c r="BB3714" s="466"/>
      <c r="BC3714" s="466"/>
      <c r="BD3714" s="466"/>
      <c r="BE3714" s="467"/>
      <c r="BF3714" s="467"/>
      <c r="BG3714" s="466"/>
      <c r="BH3714" s="466"/>
      <c r="BI3714" s="467"/>
      <c r="BJ3714" s="467"/>
      <c r="BK3714" s="467"/>
      <c r="BL3714" s="467"/>
      <c r="BM3714" s="467"/>
      <c r="BN3714" s="467"/>
      <c r="BO3714" s="467"/>
      <c r="BP3714" s="467"/>
      <c r="BQ3714" s="467"/>
      <c r="BR3714" s="467"/>
      <c r="BS3714" s="467"/>
      <c r="BT3714" s="467"/>
      <c r="BU3714" s="467"/>
      <c r="BV3714" s="467"/>
      <c r="BW3714" s="467"/>
      <c r="BX3714" s="769"/>
      <c r="BY3714" s="769"/>
      <c r="BZ3714" s="769"/>
      <c r="CA3714" s="769"/>
      <c r="CB3714" s="769"/>
      <c r="CC3714" s="769"/>
      <c r="CD3714" s="769"/>
      <c r="CE3714" s="769"/>
      <c r="CF3714" s="769"/>
      <c r="CG3714" s="73"/>
      <c r="CH3714" s="438"/>
      <c r="CI3714" s="416"/>
      <c r="CJ3714" s="73"/>
      <c r="CK3714" s="650"/>
      <c r="CL3714" s="499"/>
      <c r="CM3714" s="650"/>
      <c r="CR3714" s="416"/>
      <c r="CS3714" s="650"/>
      <c r="CU3714" s="73"/>
      <c r="CV3714" s="73"/>
      <c r="CW3714" s="73"/>
      <c r="CX3714" s="73"/>
      <c r="DA3714" s="650"/>
    </row>
    <row r="3715" spans="1:105" s="45" customFormat="1" x14ac:dyDescent="0.2">
      <c r="A3715" s="650"/>
      <c r="B3715" s="438"/>
      <c r="D3715" s="73"/>
      <c r="E3715" s="650"/>
      <c r="F3715" s="650"/>
      <c r="G3715" s="73"/>
      <c r="I3715" s="111"/>
      <c r="J3715" s="81"/>
      <c r="K3715" s="81"/>
      <c r="L3715" s="499"/>
      <c r="M3715" s="73"/>
      <c r="N3715" s="499"/>
      <c r="O3715" s="73"/>
      <c r="P3715" s="73"/>
      <c r="Q3715" s="73"/>
      <c r="R3715" s="176"/>
      <c r="S3715" s="176"/>
      <c r="T3715" s="176"/>
      <c r="U3715" s="400"/>
      <c r="V3715" s="400"/>
      <c r="W3715" s="732"/>
      <c r="X3715" s="167"/>
      <c r="Y3715" s="509"/>
      <c r="Z3715" s="466"/>
      <c r="AA3715" s="466"/>
      <c r="AB3715" s="466"/>
      <c r="AC3715" s="466"/>
      <c r="AD3715" s="466"/>
      <c r="AE3715" s="466"/>
      <c r="AF3715" s="466"/>
      <c r="AG3715" s="466"/>
      <c r="AH3715" s="466"/>
      <c r="AI3715" s="466"/>
      <c r="AJ3715" s="466"/>
      <c r="AK3715" s="466"/>
      <c r="AL3715" s="466"/>
      <c r="AM3715" s="466"/>
      <c r="AN3715" s="466"/>
      <c r="AO3715" s="466"/>
      <c r="AP3715" s="466"/>
      <c r="AQ3715" s="466"/>
      <c r="AR3715" s="466"/>
      <c r="AS3715" s="466"/>
      <c r="AT3715" s="466"/>
      <c r="AU3715" s="466"/>
      <c r="AV3715" s="466"/>
      <c r="AW3715" s="466"/>
      <c r="AX3715" s="466"/>
      <c r="AY3715" s="466"/>
      <c r="AZ3715" s="466"/>
      <c r="BA3715" s="466"/>
      <c r="BB3715" s="466"/>
      <c r="BC3715" s="466"/>
      <c r="BD3715" s="466"/>
      <c r="BE3715" s="467"/>
      <c r="BF3715" s="467"/>
      <c r="BG3715" s="466"/>
      <c r="BH3715" s="466"/>
      <c r="BI3715" s="467"/>
      <c r="BJ3715" s="467"/>
      <c r="BK3715" s="467"/>
      <c r="BL3715" s="467"/>
      <c r="BM3715" s="467"/>
      <c r="BN3715" s="467"/>
      <c r="BO3715" s="467"/>
      <c r="BP3715" s="467"/>
      <c r="BQ3715" s="467"/>
      <c r="BR3715" s="467"/>
      <c r="BS3715" s="467"/>
      <c r="BT3715" s="467"/>
      <c r="BU3715" s="467"/>
      <c r="BV3715" s="467"/>
      <c r="BW3715" s="467"/>
      <c r="BX3715" s="769"/>
      <c r="BY3715" s="769"/>
      <c r="BZ3715" s="769"/>
      <c r="CA3715" s="769"/>
      <c r="CB3715" s="769"/>
      <c r="CC3715" s="769"/>
      <c r="CD3715" s="769"/>
      <c r="CE3715" s="769"/>
      <c r="CF3715" s="769"/>
      <c r="CG3715" s="73"/>
      <c r="CH3715" s="438"/>
      <c r="CI3715" s="416"/>
      <c r="CJ3715" s="73"/>
      <c r="CK3715" s="650"/>
      <c r="CL3715" s="499"/>
      <c r="CM3715" s="650"/>
      <c r="CR3715" s="416"/>
      <c r="CS3715" s="650"/>
      <c r="CU3715" s="73"/>
      <c r="CV3715" s="73"/>
      <c r="CW3715" s="73"/>
      <c r="CX3715" s="73"/>
      <c r="DA3715" s="650"/>
    </row>
    <row r="3716" spans="1:105" s="45" customFormat="1" x14ac:dyDescent="0.2">
      <c r="A3716" s="650"/>
      <c r="B3716" s="438"/>
      <c r="D3716" s="73"/>
      <c r="E3716" s="650"/>
      <c r="F3716" s="650"/>
      <c r="G3716" s="73"/>
      <c r="I3716" s="111"/>
      <c r="J3716" s="81"/>
      <c r="K3716" s="81"/>
      <c r="L3716" s="499"/>
      <c r="M3716" s="73"/>
      <c r="N3716" s="499"/>
      <c r="O3716" s="73"/>
      <c r="P3716" s="73"/>
      <c r="Q3716" s="73"/>
      <c r="R3716" s="176"/>
      <c r="S3716" s="176"/>
      <c r="T3716" s="176"/>
      <c r="U3716" s="400"/>
      <c r="V3716" s="400"/>
      <c r="W3716" s="732"/>
      <c r="X3716" s="167"/>
      <c r="Y3716" s="509"/>
      <c r="Z3716" s="466"/>
      <c r="AA3716" s="466"/>
      <c r="AB3716" s="466"/>
      <c r="AC3716" s="466"/>
      <c r="AD3716" s="466"/>
      <c r="AE3716" s="466"/>
      <c r="AF3716" s="466"/>
      <c r="AG3716" s="466"/>
      <c r="AH3716" s="466"/>
      <c r="AI3716" s="466"/>
      <c r="AJ3716" s="466"/>
      <c r="AK3716" s="466"/>
      <c r="AL3716" s="466"/>
      <c r="AM3716" s="466"/>
      <c r="AN3716" s="466"/>
      <c r="AO3716" s="466"/>
      <c r="AP3716" s="466"/>
      <c r="AQ3716" s="466"/>
      <c r="AR3716" s="466"/>
      <c r="AS3716" s="466"/>
      <c r="AT3716" s="466"/>
      <c r="AU3716" s="466"/>
      <c r="AV3716" s="466"/>
      <c r="AW3716" s="466"/>
      <c r="AX3716" s="466"/>
      <c r="AY3716" s="466"/>
      <c r="AZ3716" s="466"/>
      <c r="BA3716" s="466"/>
      <c r="BB3716" s="466"/>
      <c r="BC3716" s="466"/>
      <c r="BD3716" s="466"/>
      <c r="BE3716" s="467"/>
      <c r="BF3716" s="467"/>
      <c r="BG3716" s="466"/>
      <c r="BH3716" s="466"/>
      <c r="BI3716" s="467"/>
      <c r="BJ3716" s="467"/>
      <c r="BK3716" s="467"/>
      <c r="BL3716" s="467"/>
      <c r="BM3716" s="467"/>
      <c r="BN3716" s="467"/>
      <c r="BO3716" s="467"/>
      <c r="BP3716" s="467"/>
      <c r="BQ3716" s="467"/>
      <c r="BR3716" s="467"/>
      <c r="BS3716" s="467"/>
      <c r="BT3716" s="467"/>
      <c r="BU3716" s="467"/>
      <c r="BV3716" s="467"/>
      <c r="BW3716" s="467"/>
      <c r="BX3716" s="769"/>
      <c r="BY3716" s="769"/>
      <c r="BZ3716" s="769"/>
      <c r="CA3716" s="769"/>
      <c r="CB3716" s="769"/>
      <c r="CC3716" s="769"/>
      <c r="CD3716" s="769"/>
      <c r="CE3716" s="769"/>
      <c r="CF3716" s="769"/>
      <c r="CG3716" s="73"/>
      <c r="CH3716" s="438"/>
      <c r="CI3716" s="416"/>
      <c r="CJ3716" s="73"/>
      <c r="CK3716" s="650"/>
      <c r="CL3716" s="499"/>
      <c r="CM3716" s="650"/>
      <c r="CR3716" s="416"/>
      <c r="CS3716" s="650"/>
      <c r="CU3716" s="73"/>
      <c r="CV3716" s="73"/>
      <c r="CW3716" s="73"/>
      <c r="CX3716" s="73"/>
      <c r="DA3716" s="650"/>
    </row>
    <row r="3717" spans="1:105" s="45" customFormat="1" x14ac:dyDescent="0.2">
      <c r="A3717" s="650"/>
      <c r="B3717" s="438"/>
      <c r="D3717" s="73"/>
      <c r="E3717" s="650"/>
      <c r="F3717" s="650"/>
      <c r="G3717" s="73"/>
      <c r="I3717" s="111"/>
      <c r="J3717" s="81"/>
      <c r="K3717" s="81"/>
      <c r="L3717" s="499"/>
      <c r="M3717" s="73"/>
      <c r="N3717" s="499"/>
      <c r="O3717" s="73"/>
      <c r="P3717" s="73"/>
      <c r="Q3717" s="73"/>
      <c r="R3717" s="176"/>
      <c r="S3717" s="176"/>
      <c r="T3717" s="176"/>
      <c r="U3717" s="400"/>
      <c r="V3717" s="400"/>
      <c r="W3717" s="732"/>
      <c r="X3717" s="167"/>
      <c r="Y3717" s="509"/>
      <c r="Z3717" s="466"/>
      <c r="AA3717" s="466"/>
      <c r="AB3717" s="466"/>
      <c r="AC3717" s="466"/>
      <c r="AD3717" s="466"/>
      <c r="AE3717" s="466"/>
      <c r="AF3717" s="466"/>
      <c r="AG3717" s="466"/>
      <c r="AH3717" s="466"/>
      <c r="AI3717" s="466"/>
      <c r="AJ3717" s="466"/>
      <c r="AK3717" s="466"/>
      <c r="AL3717" s="466"/>
      <c r="AM3717" s="466"/>
      <c r="AN3717" s="466"/>
      <c r="AO3717" s="466"/>
      <c r="AP3717" s="466"/>
      <c r="AQ3717" s="466"/>
      <c r="AR3717" s="466"/>
      <c r="AS3717" s="466"/>
      <c r="AT3717" s="466"/>
      <c r="AU3717" s="466"/>
      <c r="AV3717" s="466"/>
      <c r="AW3717" s="466"/>
      <c r="AX3717" s="466"/>
      <c r="AY3717" s="466"/>
      <c r="AZ3717" s="466"/>
      <c r="BA3717" s="466"/>
      <c r="BB3717" s="466"/>
      <c r="BC3717" s="466"/>
      <c r="BD3717" s="466"/>
      <c r="BE3717" s="467"/>
      <c r="BF3717" s="467"/>
      <c r="BG3717" s="466"/>
      <c r="BH3717" s="466"/>
      <c r="BI3717" s="467"/>
      <c r="BJ3717" s="467"/>
      <c r="BK3717" s="467"/>
      <c r="BL3717" s="467"/>
      <c r="BM3717" s="467"/>
      <c r="BN3717" s="467"/>
      <c r="BO3717" s="467"/>
      <c r="BP3717" s="467"/>
      <c r="BQ3717" s="467"/>
      <c r="BR3717" s="467"/>
      <c r="BS3717" s="467"/>
      <c r="BT3717" s="467"/>
      <c r="BU3717" s="467"/>
      <c r="BV3717" s="467"/>
      <c r="BW3717" s="467"/>
      <c r="BX3717" s="769"/>
      <c r="BY3717" s="769"/>
      <c r="BZ3717" s="769"/>
      <c r="CA3717" s="769"/>
      <c r="CB3717" s="769"/>
      <c r="CC3717" s="769"/>
      <c r="CD3717" s="769"/>
      <c r="CE3717" s="769"/>
      <c r="CF3717" s="769"/>
      <c r="CG3717" s="73"/>
      <c r="CH3717" s="438"/>
      <c r="CI3717" s="416"/>
      <c r="CJ3717" s="73"/>
      <c r="CK3717" s="650"/>
      <c r="CL3717" s="499"/>
      <c r="CM3717" s="650"/>
      <c r="CR3717" s="416"/>
      <c r="CS3717" s="650"/>
      <c r="CU3717" s="73"/>
      <c r="CV3717" s="73"/>
      <c r="CW3717" s="73"/>
      <c r="CX3717" s="73"/>
      <c r="DA3717" s="650"/>
    </row>
    <row r="3718" spans="1:105" s="45" customFormat="1" x14ac:dyDescent="0.2">
      <c r="A3718" s="650"/>
      <c r="B3718" s="438"/>
      <c r="D3718" s="73"/>
      <c r="E3718" s="650"/>
      <c r="F3718" s="650"/>
      <c r="G3718" s="73"/>
      <c r="I3718" s="111"/>
      <c r="J3718" s="81"/>
      <c r="K3718" s="81"/>
      <c r="L3718" s="499"/>
      <c r="M3718" s="73"/>
      <c r="N3718" s="499"/>
      <c r="O3718" s="73"/>
      <c r="P3718" s="73"/>
      <c r="Q3718" s="73"/>
      <c r="R3718" s="176"/>
      <c r="S3718" s="176"/>
      <c r="T3718" s="176"/>
      <c r="U3718" s="400"/>
      <c r="V3718" s="400"/>
      <c r="W3718" s="732"/>
      <c r="X3718" s="167"/>
      <c r="Y3718" s="509"/>
      <c r="Z3718" s="466"/>
      <c r="AA3718" s="466"/>
      <c r="AB3718" s="466"/>
      <c r="AC3718" s="466"/>
      <c r="AD3718" s="466"/>
      <c r="AE3718" s="466"/>
      <c r="AF3718" s="466"/>
      <c r="AG3718" s="466"/>
      <c r="AH3718" s="466"/>
      <c r="AI3718" s="466"/>
      <c r="AJ3718" s="466"/>
      <c r="AK3718" s="466"/>
      <c r="AL3718" s="466"/>
      <c r="AM3718" s="466"/>
      <c r="AN3718" s="466"/>
      <c r="AO3718" s="466"/>
      <c r="AP3718" s="466"/>
      <c r="AQ3718" s="466"/>
      <c r="AR3718" s="466"/>
      <c r="AS3718" s="466"/>
      <c r="AT3718" s="466"/>
      <c r="AU3718" s="466"/>
      <c r="AV3718" s="466"/>
      <c r="AW3718" s="466"/>
      <c r="AX3718" s="466"/>
      <c r="AY3718" s="466"/>
      <c r="AZ3718" s="466"/>
      <c r="BA3718" s="466"/>
      <c r="BB3718" s="466"/>
      <c r="BC3718" s="466"/>
      <c r="BD3718" s="466"/>
      <c r="BE3718" s="467"/>
      <c r="BF3718" s="467"/>
      <c r="BG3718" s="466"/>
      <c r="BH3718" s="466"/>
      <c r="BI3718" s="467"/>
      <c r="BJ3718" s="467"/>
      <c r="BK3718" s="467"/>
      <c r="BL3718" s="467"/>
      <c r="BM3718" s="467"/>
      <c r="BN3718" s="467"/>
      <c r="BO3718" s="467"/>
      <c r="BP3718" s="467"/>
      <c r="BQ3718" s="467"/>
      <c r="BR3718" s="467"/>
      <c r="BS3718" s="467"/>
      <c r="BT3718" s="467"/>
      <c r="BU3718" s="467"/>
      <c r="BV3718" s="467"/>
      <c r="BW3718" s="467"/>
      <c r="BX3718" s="769"/>
      <c r="BY3718" s="769"/>
      <c r="BZ3718" s="769"/>
      <c r="CA3718" s="769"/>
      <c r="CB3718" s="769"/>
      <c r="CC3718" s="769"/>
      <c r="CD3718" s="769"/>
      <c r="CE3718" s="769"/>
      <c r="CF3718" s="769"/>
      <c r="CG3718" s="73"/>
      <c r="CH3718" s="438"/>
      <c r="CI3718" s="416"/>
      <c r="CJ3718" s="73"/>
      <c r="CK3718" s="650"/>
      <c r="CL3718" s="499"/>
      <c r="CM3718" s="650"/>
      <c r="CR3718" s="416"/>
      <c r="CS3718" s="650"/>
      <c r="CU3718" s="73"/>
      <c r="CV3718" s="73"/>
      <c r="CW3718" s="73"/>
      <c r="CX3718" s="73"/>
      <c r="DA3718" s="650"/>
    </row>
    <row r="3719" spans="1:105" s="45" customFormat="1" x14ac:dyDescent="0.2">
      <c r="A3719" s="650"/>
      <c r="B3719" s="438"/>
      <c r="D3719" s="73"/>
      <c r="E3719" s="650"/>
      <c r="F3719" s="650"/>
      <c r="G3719" s="73"/>
      <c r="I3719" s="111"/>
      <c r="J3719" s="81"/>
      <c r="K3719" s="81"/>
      <c r="L3719" s="499"/>
      <c r="M3719" s="73"/>
      <c r="N3719" s="499"/>
      <c r="O3719" s="73"/>
      <c r="P3719" s="73"/>
      <c r="Q3719" s="73"/>
      <c r="R3719" s="176"/>
      <c r="S3719" s="176"/>
      <c r="T3719" s="176"/>
      <c r="U3719" s="400"/>
      <c r="V3719" s="400"/>
      <c r="W3719" s="732"/>
      <c r="X3719" s="167"/>
      <c r="Y3719" s="509"/>
      <c r="Z3719" s="466"/>
      <c r="AA3719" s="466"/>
      <c r="AB3719" s="466"/>
      <c r="AC3719" s="466"/>
      <c r="AD3719" s="466"/>
      <c r="AE3719" s="466"/>
      <c r="AF3719" s="466"/>
      <c r="AG3719" s="466"/>
      <c r="AH3719" s="466"/>
      <c r="AI3719" s="466"/>
      <c r="AJ3719" s="466"/>
      <c r="AK3719" s="466"/>
      <c r="AL3719" s="466"/>
      <c r="AM3719" s="466"/>
      <c r="AN3719" s="466"/>
      <c r="AO3719" s="466"/>
      <c r="AP3719" s="466"/>
      <c r="AQ3719" s="466"/>
      <c r="AR3719" s="466"/>
      <c r="AS3719" s="466"/>
      <c r="AT3719" s="466"/>
      <c r="AU3719" s="466"/>
      <c r="AV3719" s="466"/>
      <c r="AW3719" s="466"/>
      <c r="AX3719" s="466"/>
      <c r="AY3719" s="466"/>
      <c r="AZ3719" s="466"/>
      <c r="BA3719" s="466"/>
      <c r="BB3719" s="466"/>
      <c r="BC3719" s="466"/>
      <c r="BD3719" s="466"/>
      <c r="BE3719" s="467"/>
      <c r="BF3719" s="467"/>
      <c r="BG3719" s="466"/>
      <c r="BH3719" s="466"/>
      <c r="BI3719" s="467"/>
      <c r="BJ3719" s="467"/>
      <c r="BK3719" s="467"/>
      <c r="BL3719" s="467"/>
      <c r="BM3719" s="467"/>
      <c r="BN3719" s="467"/>
      <c r="BO3719" s="467"/>
      <c r="BP3719" s="467"/>
      <c r="BQ3719" s="467"/>
      <c r="BR3719" s="467"/>
      <c r="BS3719" s="467"/>
      <c r="BT3719" s="467"/>
      <c r="BU3719" s="467"/>
      <c r="BV3719" s="467"/>
      <c r="BW3719" s="467"/>
      <c r="BX3719" s="769"/>
      <c r="BY3719" s="769"/>
      <c r="BZ3719" s="769"/>
      <c r="CA3719" s="769"/>
      <c r="CB3719" s="769"/>
      <c r="CC3719" s="769"/>
      <c r="CD3719" s="769"/>
      <c r="CE3719" s="769"/>
      <c r="CF3719" s="769"/>
      <c r="CG3719" s="73"/>
      <c r="CH3719" s="438"/>
      <c r="CI3719" s="416"/>
      <c r="CJ3719" s="73"/>
      <c r="CK3719" s="650"/>
      <c r="CL3719" s="499"/>
      <c r="CM3719" s="650"/>
      <c r="CR3719" s="416"/>
      <c r="CS3719" s="650"/>
      <c r="CU3719" s="73"/>
      <c r="CV3719" s="73"/>
      <c r="CW3719" s="73"/>
      <c r="CX3719" s="73"/>
      <c r="DA3719" s="650"/>
    </row>
    <row r="3720" spans="1:105" s="45" customFormat="1" x14ac:dyDescent="0.2">
      <c r="A3720" s="650"/>
      <c r="B3720" s="438"/>
      <c r="D3720" s="73"/>
      <c r="E3720" s="650"/>
      <c r="F3720" s="650"/>
      <c r="G3720" s="73"/>
      <c r="I3720" s="111"/>
      <c r="J3720" s="81"/>
      <c r="K3720" s="81"/>
      <c r="L3720" s="499"/>
      <c r="M3720" s="73"/>
      <c r="N3720" s="499"/>
      <c r="O3720" s="73"/>
      <c r="P3720" s="73"/>
      <c r="Q3720" s="73"/>
      <c r="R3720" s="176"/>
      <c r="S3720" s="176"/>
      <c r="T3720" s="176"/>
      <c r="U3720" s="400"/>
      <c r="V3720" s="400"/>
      <c r="W3720" s="732"/>
      <c r="X3720" s="167"/>
      <c r="Y3720" s="509"/>
      <c r="Z3720" s="466"/>
      <c r="AA3720" s="466"/>
      <c r="AB3720" s="466"/>
      <c r="AC3720" s="466"/>
      <c r="AD3720" s="466"/>
      <c r="AE3720" s="466"/>
      <c r="AF3720" s="466"/>
      <c r="AG3720" s="466"/>
      <c r="AH3720" s="466"/>
      <c r="AI3720" s="466"/>
      <c r="AJ3720" s="466"/>
      <c r="AK3720" s="466"/>
      <c r="AL3720" s="466"/>
      <c r="AM3720" s="466"/>
      <c r="AN3720" s="466"/>
      <c r="AO3720" s="466"/>
      <c r="AP3720" s="466"/>
      <c r="AQ3720" s="466"/>
      <c r="AR3720" s="466"/>
      <c r="AS3720" s="466"/>
      <c r="AT3720" s="466"/>
      <c r="AU3720" s="466"/>
      <c r="AV3720" s="466"/>
      <c r="AW3720" s="466"/>
      <c r="AX3720" s="466"/>
      <c r="AY3720" s="466"/>
      <c r="AZ3720" s="466"/>
      <c r="BA3720" s="466"/>
      <c r="BB3720" s="466"/>
      <c r="BC3720" s="466"/>
      <c r="BD3720" s="466"/>
      <c r="BE3720" s="467"/>
      <c r="BF3720" s="467"/>
      <c r="BG3720" s="466"/>
      <c r="BH3720" s="466"/>
      <c r="BI3720" s="467"/>
      <c r="BJ3720" s="467"/>
      <c r="BK3720" s="467"/>
      <c r="BL3720" s="467"/>
      <c r="BM3720" s="467"/>
      <c r="BN3720" s="467"/>
      <c r="BO3720" s="467"/>
      <c r="BP3720" s="467"/>
      <c r="BQ3720" s="467"/>
      <c r="BR3720" s="467"/>
      <c r="BS3720" s="467"/>
      <c r="BT3720" s="467"/>
      <c r="BU3720" s="467"/>
      <c r="BV3720" s="467"/>
      <c r="BW3720" s="467"/>
      <c r="BX3720" s="769"/>
      <c r="BY3720" s="769"/>
      <c r="BZ3720" s="769"/>
      <c r="CA3720" s="769"/>
      <c r="CB3720" s="769"/>
      <c r="CC3720" s="769"/>
      <c r="CD3720" s="769"/>
      <c r="CE3720" s="769"/>
      <c r="CF3720" s="769"/>
      <c r="CG3720" s="73"/>
      <c r="CH3720" s="438"/>
      <c r="CI3720" s="416"/>
      <c r="CJ3720" s="73"/>
      <c r="CK3720" s="650"/>
      <c r="CL3720" s="499"/>
      <c r="CM3720" s="650"/>
      <c r="CR3720" s="416"/>
      <c r="CS3720" s="650"/>
      <c r="CU3720" s="73"/>
      <c r="CV3720" s="73"/>
      <c r="CW3720" s="73"/>
      <c r="CX3720" s="73"/>
      <c r="DA3720" s="650"/>
    </row>
    <row r="3721" spans="1:105" s="45" customFormat="1" x14ac:dyDescent="0.2">
      <c r="A3721" s="650"/>
      <c r="B3721" s="438"/>
      <c r="D3721" s="73"/>
      <c r="E3721" s="650"/>
      <c r="F3721" s="650"/>
      <c r="G3721" s="73"/>
      <c r="I3721" s="111"/>
      <c r="J3721" s="81"/>
      <c r="K3721" s="81"/>
      <c r="L3721" s="499"/>
      <c r="M3721" s="73"/>
      <c r="N3721" s="499"/>
      <c r="O3721" s="73"/>
      <c r="P3721" s="73"/>
      <c r="Q3721" s="73"/>
      <c r="R3721" s="176"/>
      <c r="S3721" s="176"/>
      <c r="T3721" s="176"/>
      <c r="U3721" s="400"/>
      <c r="V3721" s="400"/>
      <c r="W3721" s="732"/>
      <c r="X3721" s="167"/>
      <c r="Y3721" s="509"/>
      <c r="Z3721" s="466"/>
      <c r="AA3721" s="466"/>
      <c r="AB3721" s="466"/>
      <c r="AC3721" s="466"/>
      <c r="AD3721" s="466"/>
      <c r="AE3721" s="466"/>
      <c r="AF3721" s="466"/>
      <c r="AG3721" s="466"/>
      <c r="AH3721" s="466"/>
      <c r="AI3721" s="466"/>
      <c r="AJ3721" s="466"/>
      <c r="AK3721" s="466"/>
      <c r="AL3721" s="466"/>
      <c r="AM3721" s="466"/>
      <c r="AN3721" s="466"/>
      <c r="AO3721" s="466"/>
      <c r="AP3721" s="466"/>
      <c r="AQ3721" s="466"/>
      <c r="AR3721" s="466"/>
      <c r="AS3721" s="466"/>
      <c r="AT3721" s="466"/>
      <c r="AU3721" s="466"/>
      <c r="AV3721" s="466"/>
      <c r="AW3721" s="466"/>
      <c r="AX3721" s="466"/>
      <c r="AY3721" s="466"/>
      <c r="AZ3721" s="466"/>
      <c r="BA3721" s="466"/>
      <c r="BB3721" s="466"/>
      <c r="BC3721" s="466"/>
      <c r="BD3721" s="466"/>
      <c r="BE3721" s="467"/>
      <c r="BF3721" s="467"/>
      <c r="BG3721" s="466"/>
      <c r="BH3721" s="466"/>
      <c r="BI3721" s="467"/>
      <c r="BJ3721" s="467"/>
      <c r="BK3721" s="467"/>
      <c r="BL3721" s="467"/>
      <c r="BM3721" s="467"/>
      <c r="BN3721" s="467"/>
      <c r="BO3721" s="467"/>
      <c r="BP3721" s="467"/>
      <c r="BQ3721" s="467"/>
      <c r="BR3721" s="467"/>
      <c r="BS3721" s="467"/>
      <c r="BT3721" s="467"/>
      <c r="BU3721" s="467"/>
      <c r="BV3721" s="467"/>
      <c r="BW3721" s="467"/>
      <c r="BX3721" s="769"/>
      <c r="BY3721" s="769"/>
      <c r="BZ3721" s="769"/>
      <c r="CA3721" s="769"/>
      <c r="CB3721" s="769"/>
      <c r="CC3721" s="769"/>
      <c r="CD3721" s="769"/>
      <c r="CE3721" s="769"/>
      <c r="CF3721" s="769"/>
      <c r="CG3721" s="73"/>
      <c r="CH3721" s="438"/>
      <c r="CI3721" s="416"/>
      <c r="CJ3721" s="73"/>
      <c r="CK3721" s="650"/>
      <c r="CL3721" s="499"/>
      <c r="CM3721" s="650"/>
      <c r="CR3721" s="416"/>
      <c r="CS3721" s="650"/>
      <c r="CU3721" s="73"/>
      <c r="CV3721" s="73"/>
      <c r="CW3721" s="73"/>
      <c r="CX3721" s="73"/>
      <c r="DA3721" s="650"/>
    </row>
    <row r="3722" spans="1:105" s="45" customFormat="1" x14ac:dyDescent="0.2">
      <c r="A3722" s="650"/>
      <c r="B3722" s="438"/>
      <c r="D3722" s="73"/>
      <c r="E3722" s="650"/>
      <c r="F3722" s="650"/>
      <c r="G3722" s="73"/>
      <c r="I3722" s="111"/>
      <c r="J3722" s="81"/>
      <c r="K3722" s="81"/>
      <c r="L3722" s="499"/>
      <c r="M3722" s="73"/>
      <c r="N3722" s="499"/>
      <c r="O3722" s="73"/>
      <c r="P3722" s="73"/>
      <c r="Q3722" s="73"/>
      <c r="R3722" s="176"/>
      <c r="S3722" s="176"/>
      <c r="T3722" s="176"/>
      <c r="U3722" s="400"/>
      <c r="V3722" s="400"/>
      <c r="W3722" s="732"/>
      <c r="X3722" s="167"/>
      <c r="Y3722" s="509"/>
      <c r="Z3722" s="466"/>
      <c r="AA3722" s="466"/>
      <c r="AB3722" s="466"/>
      <c r="AC3722" s="466"/>
      <c r="AD3722" s="466"/>
      <c r="AE3722" s="466"/>
      <c r="AF3722" s="466"/>
      <c r="AG3722" s="466"/>
      <c r="AH3722" s="466"/>
      <c r="AI3722" s="466"/>
      <c r="AJ3722" s="466"/>
      <c r="AK3722" s="466"/>
      <c r="AL3722" s="466"/>
      <c r="AM3722" s="466"/>
      <c r="AN3722" s="466"/>
      <c r="AO3722" s="466"/>
      <c r="AP3722" s="466"/>
      <c r="AQ3722" s="466"/>
      <c r="AR3722" s="466"/>
      <c r="AS3722" s="466"/>
      <c r="AT3722" s="466"/>
      <c r="AU3722" s="466"/>
      <c r="AV3722" s="466"/>
      <c r="AW3722" s="466"/>
      <c r="AX3722" s="466"/>
      <c r="AY3722" s="466"/>
      <c r="AZ3722" s="466"/>
      <c r="BA3722" s="466"/>
      <c r="BB3722" s="466"/>
      <c r="BC3722" s="466"/>
      <c r="BD3722" s="466"/>
      <c r="BE3722" s="467"/>
      <c r="BF3722" s="467"/>
      <c r="BG3722" s="466"/>
      <c r="BH3722" s="466"/>
      <c r="BI3722" s="467"/>
      <c r="BJ3722" s="467"/>
      <c r="BK3722" s="467"/>
      <c r="BL3722" s="467"/>
      <c r="BM3722" s="467"/>
      <c r="BN3722" s="467"/>
      <c r="BO3722" s="467"/>
      <c r="BP3722" s="467"/>
      <c r="BQ3722" s="467"/>
      <c r="BR3722" s="467"/>
      <c r="BS3722" s="467"/>
      <c r="BT3722" s="467"/>
      <c r="BU3722" s="467"/>
      <c r="BV3722" s="467"/>
      <c r="BW3722" s="467"/>
      <c r="BX3722" s="769"/>
      <c r="BY3722" s="769"/>
      <c r="BZ3722" s="769"/>
      <c r="CA3722" s="769"/>
      <c r="CB3722" s="769"/>
      <c r="CC3722" s="769"/>
      <c r="CD3722" s="769"/>
      <c r="CE3722" s="769"/>
      <c r="CF3722" s="769"/>
      <c r="CG3722" s="73"/>
      <c r="CH3722" s="438"/>
      <c r="CI3722" s="416"/>
      <c r="CJ3722" s="73"/>
      <c r="CK3722" s="650"/>
      <c r="CL3722" s="499"/>
      <c r="CM3722" s="650"/>
      <c r="CR3722" s="416"/>
      <c r="CS3722" s="650"/>
      <c r="CU3722" s="73"/>
      <c r="CV3722" s="73"/>
      <c r="CW3722" s="73"/>
      <c r="CX3722" s="73"/>
      <c r="DA3722" s="650"/>
    </row>
    <row r="3723" spans="1:105" s="45" customFormat="1" x14ac:dyDescent="0.2">
      <c r="A3723" s="650"/>
      <c r="B3723" s="438"/>
      <c r="D3723" s="73"/>
      <c r="E3723" s="650"/>
      <c r="F3723" s="650"/>
      <c r="G3723" s="73"/>
      <c r="I3723" s="111"/>
      <c r="J3723" s="81"/>
      <c r="K3723" s="81"/>
      <c r="L3723" s="499"/>
      <c r="M3723" s="73"/>
      <c r="N3723" s="499"/>
      <c r="O3723" s="73"/>
      <c r="P3723" s="73"/>
      <c r="Q3723" s="73"/>
      <c r="R3723" s="176"/>
      <c r="S3723" s="176"/>
      <c r="T3723" s="176"/>
      <c r="U3723" s="400"/>
      <c r="V3723" s="400"/>
      <c r="W3723" s="732"/>
      <c r="X3723" s="167"/>
      <c r="Y3723" s="509"/>
      <c r="Z3723" s="466"/>
      <c r="AA3723" s="466"/>
      <c r="AB3723" s="466"/>
      <c r="AC3723" s="466"/>
      <c r="AD3723" s="466"/>
      <c r="AE3723" s="466"/>
      <c r="AF3723" s="466"/>
      <c r="AG3723" s="466"/>
      <c r="AH3723" s="466"/>
      <c r="AI3723" s="466"/>
      <c r="AJ3723" s="466"/>
      <c r="AK3723" s="466"/>
      <c r="AL3723" s="466"/>
      <c r="AM3723" s="466"/>
      <c r="AN3723" s="466"/>
      <c r="AO3723" s="466"/>
      <c r="AP3723" s="466"/>
      <c r="AQ3723" s="466"/>
      <c r="AR3723" s="466"/>
      <c r="AS3723" s="466"/>
      <c r="AT3723" s="466"/>
      <c r="AU3723" s="466"/>
      <c r="AV3723" s="466"/>
      <c r="AW3723" s="466"/>
      <c r="AX3723" s="466"/>
      <c r="AY3723" s="466"/>
      <c r="AZ3723" s="466"/>
      <c r="BA3723" s="466"/>
      <c r="BB3723" s="466"/>
      <c r="BC3723" s="466"/>
      <c r="BD3723" s="466"/>
      <c r="BE3723" s="467"/>
      <c r="BF3723" s="467"/>
      <c r="BG3723" s="466"/>
      <c r="BH3723" s="466"/>
      <c r="BI3723" s="467"/>
      <c r="BJ3723" s="467"/>
      <c r="BK3723" s="467"/>
      <c r="BL3723" s="467"/>
      <c r="BM3723" s="467"/>
      <c r="BN3723" s="467"/>
      <c r="BO3723" s="467"/>
      <c r="BP3723" s="467"/>
      <c r="BQ3723" s="467"/>
      <c r="BR3723" s="467"/>
      <c r="BS3723" s="467"/>
      <c r="BT3723" s="467"/>
      <c r="BU3723" s="467"/>
      <c r="BV3723" s="467"/>
      <c r="BW3723" s="467"/>
      <c r="BX3723" s="769"/>
      <c r="BY3723" s="769"/>
      <c r="BZ3723" s="769"/>
      <c r="CA3723" s="769"/>
      <c r="CB3723" s="769"/>
      <c r="CC3723" s="769"/>
      <c r="CD3723" s="769"/>
      <c r="CE3723" s="769"/>
      <c r="CF3723" s="769"/>
      <c r="CG3723" s="73"/>
      <c r="CH3723" s="438"/>
      <c r="CI3723" s="416"/>
      <c r="CJ3723" s="73"/>
      <c r="CK3723" s="650"/>
      <c r="CL3723" s="499"/>
      <c r="CM3723" s="650"/>
      <c r="CR3723" s="416"/>
      <c r="CS3723" s="650"/>
      <c r="CU3723" s="73"/>
      <c r="CV3723" s="73"/>
      <c r="CW3723" s="73"/>
      <c r="CX3723" s="73"/>
      <c r="DA3723" s="650"/>
    </row>
    <row r="3724" spans="1:105" s="45" customFormat="1" x14ac:dyDescent="0.2">
      <c r="A3724" s="650"/>
      <c r="B3724" s="438"/>
      <c r="D3724" s="73"/>
      <c r="E3724" s="650"/>
      <c r="F3724" s="650"/>
      <c r="G3724" s="73"/>
      <c r="I3724" s="111"/>
      <c r="J3724" s="81"/>
      <c r="K3724" s="81"/>
      <c r="L3724" s="499"/>
      <c r="M3724" s="73"/>
      <c r="N3724" s="499"/>
      <c r="O3724" s="73"/>
      <c r="P3724" s="73"/>
      <c r="Q3724" s="73"/>
      <c r="R3724" s="176"/>
      <c r="S3724" s="176"/>
      <c r="T3724" s="176"/>
      <c r="U3724" s="400"/>
      <c r="V3724" s="400"/>
      <c r="W3724" s="732"/>
      <c r="X3724" s="167"/>
      <c r="Y3724" s="509"/>
      <c r="Z3724" s="466"/>
      <c r="AA3724" s="466"/>
      <c r="AB3724" s="466"/>
      <c r="AC3724" s="466"/>
      <c r="AD3724" s="466"/>
      <c r="AE3724" s="466"/>
      <c r="AF3724" s="466"/>
      <c r="AG3724" s="466"/>
      <c r="AH3724" s="466"/>
      <c r="AI3724" s="466"/>
      <c r="AJ3724" s="466"/>
      <c r="AK3724" s="466"/>
      <c r="AL3724" s="466"/>
      <c r="AM3724" s="466"/>
      <c r="AN3724" s="466"/>
      <c r="AO3724" s="466"/>
      <c r="AP3724" s="466"/>
      <c r="AQ3724" s="466"/>
      <c r="AR3724" s="466"/>
      <c r="AS3724" s="466"/>
      <c r="AT3724" s="466"/>
      <c r="AU3724" s="466"/>
      <c r="AV3724" s="466"/>
      <c r="AW3724" s="466"/>
      <c r="AX3724" s="466"/>
      <c r="AY3724" s="466"/>
      <c r="AZ3724" s="466"/>
      <c r="BA3724" s="466"/>
      <c r="BB3724" s="466"/>
      <c r="BC3724" s="466"/>
      <c r="BD3724" s="466"/>
      <c r="BE3724" s="467"/>
      <c r="BF3724" s="467"/>
      <c r="BG3724" s="466"/>
      <c r="BH3724" s="466"/>
      <c r="BI3724" s="467"/>
      <c r="BJ3724" s="467"/>
      <c r="BK3724" s="467"/>
      <c r="BL3724" s="467"/>
      <c r="BM3724" s="467"/>
      <c r="BN3724" s="467"/>
      <c r="BO3724" s="467"/>
      <c r="BP3724" s="467"/>
      <c r="BQ3724" s="467"/>
      <c r="BR3724" s="467"/>
      <c r="BS3724" s="467"/>
      <c r="BT3724" s="467"/>
      <c r="BU3724" s="467"/>
      <c r="BV3724" s="467"/>
      <c r="BW3724" s="467"/>
      <c r="BX3724" s="769"/>
      <c r="BY3724" s="769"/>
      <c r="BZ3724" s="769"/>
      <c r="CA3724" s="769"/>
      <c r="CB3724" s="769"/>
      <c r="CC3724" s="769"/>
      <c r="CD3724" s="769"/>
      <c r="CE3724" s="769"/>
      <c r="CF3724" s="769"/>
      <c r="CG3724" s="73"/>
      <c r="CH3724" s="438"/>
      <c r="CI3724" s="416"/>
      <c r="CJ3724" s="73"/>
      <c r="CK3724" s="650"/>
      <c r="CL3724" s="499"/>
      <c r="CM3724" s="650"/>
      <c r="CR3724" s="416"/>
      <c r="CS3724" s="650"/>
      <c r="CU3724" s="73"/>
      <c r="CV3724" s="73"/>
      <c r="CW3724" s="73"/>
      <c r="CX3724" s="73"/>
      <c r="DA3724" s="650"/>
    </row>
    <row r="3725" spans="1:105" s="45" customFormat="1" x14ac:dyDescent="0.2">
      <c r="A3725" s="650"/>
      <c r="B3725" s="438"/>
      <c r="D3725" s="73"/>
      <c r="E3725" s="650"/>
      <c r="F3725" s="650"/>
      <c r="G3725" s="73"/>
      <c r="I3725" s="111"/>
      <c r="J3725" s="81"/>
      <c r="K3725" s="81"/>
      <c r="L3725" s="499"/>
      <c r="M3725" s="73"/>
      <c r="N3725" s="499"/>
      <c r="O3725" s="73"/>
      <c r="P3725" s="73"/>
      <c r="Q3725" s="73"/>
      <c r="R3725" s="176"/>
      <c r="S3725" s="176"/>
      <c r="T3725" s="176"/>
      <c r="U3725" s="400"/>
      <c r="V3725" s="400"/>
      <c r="W3725" s="732"/>
      <c r="X3725" s="167"/>
      <c r="Y3725" s="509"/>
      <c r="Z3725" s="466"/>
      <c r="AA3725" s="466"/>
      <c r="AB3725" s="466"/>
      <c r="AC3725" s="466"/>
      <c r="AD3725" s="466"/>
      <c r="AE3725" s="466"/>
      <c r="AF3725" s="466"/>
      <c r="AG3725" s="466"/>
      <c r="AH3725" s="466"/>
      <c r="AI3725" s="466"/>
      <c r="AJ3725" s="466"/>
      <c r="AK3725" s="466"/>
      <c r="AL3725" s="466"/>
      <c r="AM3725" s="466"/>
      <c r="AN3725" s="466"/>
      <c r="AO3725" s="466"/>
      <c r="AP3725" s="466"/>
      <c r="AQ3725" s="466"/>
      <c r="AR3725" s="466"/>
      <c r="AS3725" s="466"/>
      <c r="AT3725" s="466"/>
      <c r="AU3725" s="466"/>
      <c r="AV3725" s="466"/>
      <c r="AW3725" s="466"/>
      <c r="AX3725" s="466"/>
      <c r="AY3725" s="466"/>
      <c r="AZ3725" s="466"/>
      <c r="BA3725" s="466"/>
      <c r="BB3725" s="466"/>
      <c r="BC3725" s="466"/>
      <c r="BD3725" s="466"/>
      <c r="BE3725" s="467"/>
      <c r="BF3725" s="467"/>
      <c r="BG3725" s="466"/>
      <c r="BH3725" s="466"/>
      <c r="BI3725" s="467"/>
      <c r="BJ3725" s="467"/>
      <c r="BK3725" s="467"/>
      <c r="BL3725" s="467"/>
      <c r="BM3725" s="467"/>
      <c r="BN3725" s="467"/>
      <c r="BO3725" s="467"/>
      <c r="BP3725" s="467"/>
      <c r="BQ3725" s="467"/>
      <c r="BR3725" s="467"/>
      <c r="BS3725" s="467"/>
      <c r="BT3725" s="467"/>
      <c r="BU3725" s="467"/>
      <c r="BV3725" s="467"/>
      <c r="BW3725" s="467"/>
      <c r="BX3725" s="769"/>
      <c r="BY3725" s="769"/>
      <c r="BZ3725" s="769"/>
      <c r="CA3725" s="769"/>
      <c r="CB3725" s="769"/>
      <c r="CC3725" s="769"/>
      <c r="CD3725" s="769"/>
      <c r="CE3725" s="769"/>
      <c r="CF3725" s="769"/>
      <c r="CG3725" s="73"/>
      <c r="CH3725" s="438"/>
      <c r="CI3725" s="416"/>
      <c r="CJ3725" s="73"/>
      <c r="CK3725" s="650"/>
      <c r="CL3725" s="499"/>
      <c r="CM3725" s="650"/>
      <c r="CR3725" s="416"/>
      <c r="CS3725" s="650"/>
      <c r="CU3725" s="73"/>
      <c r="CV3725" s="73"/>
      <c r="CW3725" s="73"/>
      <c r="CX3725" s="73"/>
      <c r="DA3725" s="650"/>
    </row>
    <row r="3726" spans="1:105" s="45" customFormat="1" x14ac:dyDescent="0.2">
      <c r="A3726" s="650"/>
      <c r="B3726" s="438"/>
      <c r="D3726" s="73"/>
      <c r="E3726" s="650"/>
      <c r="F3726" s="650"/>
      <c r="G3726" s="73"/>
      <c r="I3726" s="111"/>
      <c r="J3726" s="81"/>
      <c r="K3726" s="81"/>
      <c r="L3726" s="499"/>
      <c r="M3726" s="73"/>
      <c r="N3726" s="499"/>
      <c r="O3726" s="73"/>
      <c r="P3726" s="73"/>
      <c r="Q3726" s="73"/>
      <c r="R3726" s="176"/>
      <c r="S3726" s="176"/>
      <c r="T3726" s="176"/>
      <c r="U3726" s="400"/>
      <c r="V3726" s="400"/>
      <c r="W3726" s="732"/>
      <c r="X3726" s="167"/>
      <c r="Y3726" s="509"/>
      <c r="Z3726" s="466"/>
      <c r="AA3726" s="466"/>
      <c r="AB3726" s="466"/>
      <c r="AC3726" s="466"/>
      <c r="AD3726" s="466"/>
      <c r="AE3726" s="466"/>
      <c r="AF3726" s="466"/>
      <c r="AG3726" s="466"/>
      <c r="AH3726" s="466"/>
      <c r="AI3726" s="466"/>
      <c r="AJ3726" s="466"/>
      <c r="AK3726" s="466"/>
      <c r="AL3726" s="466"/>
      <c r="AM3726" s="466"/>
      <c r="AN3726" s="466"/>
      <c r="AO3726" s="466"/>
      <c r="AP3726" s="466"/>
      <c r="AQ3726" s="466"/>
      <c r="AR3726" s="466"/>
      <c r="AS3726" s="466"/>
      <c r="AT3726" s="466"/>
      <c r="AU3726" s="466"/>
      <c r="AV3726" s="466"/>
      <c r="AW3726" s="466"/>
      <c r="AX3726" s="466"/>
      <c r="AY3726" s="466"/>
      <c r="AZ3726" s="466"/>
      <c r="BA3726" s="466"/>
      <c r="BB3726" s="466"/>
      <c r="BC3726" s="466"/>
      <c r="BD3726" s="466"/>
      <c r="BE3726" s="467"/>
      <c r="BF3726" s="467"/>
      <c r="BG3726" s="466"/>
      <c r="BH3726" s="466"/>
      <c r="BI3726" s="467"/>
      <c r="BJ3726" s="467"/>
      <c r="BK3726" s="467"/>
      <c r="BL3726" s="467"/>
      <c r="BM3726" s="467"/>
      <c r="BN3726" s="467"/>
      <c r="BO3726" s="467"/>
      <c r="BP3726" s="467"/>
      <c r="BQ3726" s="467"/>
      <c r="BR3726" s="467"/>
      <c r="BS3726" s="467"/>
      <c r="BT3726" s="467"/>
      <c r="BU3726" s="467"/>
      <c r="BV3726" s="467"/>
      <c r="BW3726" s="467"/>
      <c r="BX3726" s="769"/>
      <c r="BY3726" s="769"/>
      <c r="BZ3726" s="769"/>
      <c r="CA3726" s="769"/>
      <c r="CB3726" s="769"/>
      <c r="CC3726" s="769"/>
      <c r="CD3726" s="769"/>
      <c r="CE3726" s="769"/>
      <c r="CF3726" s="769"/>
      <c r="CG3726" s="73"/>
      <c r="CH3726" s="438"/>
      <c r="CI3726" s="416"/>
      <c r="CJ3726" s="73"/>
      <c r="CK3726" s="650"/>
      <c r="CL3726" s="499"/>
      <c r="CM3726" s="650"/>
      <c r="CR3726" s="416"/>
      <c r="CS3726" s="650"/>
      <c r="CU3726" s="73"/>
      <c r="CV3726" s="73"/>
      <c r="CW3726" s="73"/>
      <c r="CX3726" s="73"/>
      <c r="DA3726" s="650"/>
    </row>
    <row r="3727" spans="1:105" s="45" customFormat="1" x14ac:dyDescent="0.2">
      <c r="A3727" s="650"/>
      <c r="B3727" s="438"/>
      <c r="D3727" s="73"/>
      <c r="E3727" s="650"/>
      <c r="F3727" s="650"/>
      <c r="G3727" s="73"/>
      <c r="I3727" s="111"/>
      <c r="J3727" s="81"/>
      <c r="K3727" s="81"/>
      <c r="L3727" s="499"/>
      <c r="M3727" s="73"/>
      <c r="N3727" s="499"/>
      <c r="O3727" s="73"/>
      <c r="P3727" s="73"/>
      <c r="Q3727" s="73"/>
      <c r="R3727" s="176"/>
      <c r="S3727" s="176"/>
      <c r="T3727" s="176"/>
      <c r="U3727" s="400"/>
      <c r="V3727" s="400"/>
      <c r="W3727" s="732"/>
      <c r="X3727" s="167"/>
      <c r="Y3727" s="509"/>
      <c r="Z3727" s="466"/>
      <c r="AA3727" s="466"/>
      <c r="AB3727" s="466"/>
      <c r="AC3727" s="466"/>
      <c r="AD3727" s="466"/>
      <c r="AE3727" s="466"/>
      <c r="AF3727" s="466"/>
      <c r="AG3727" s="466"/>
      <c r="AH3727" s="466"/>
      <c r="AI3727" s="466"/>
      <c r="AJ3727" s="466"/>
      <c r="AK3727" s="466"/>
      <c r="AL3727" s="466"/>
      <c r="AM3727" s="466"/>
      <c r="AN3727" s="466"/>
      <c r="AO3727" s="466"/>
      <c r="AP3727" s="466"/>
      <c r="AQ3727" s="466"/>
      <c r="AR3727" s="466"/>
      <c r="AS3727" s="466"/>
      <c r="AT3727" s="466"/>
      <c r="AU3727" s="466"/>
      <c r="AV3727" s="466"/>
      <c r="AW3727" s="466"/>
      <c r="AX3727" s="466"/>
      <c r="AY3727" s="466"/>
      <c r="AZ3727" s="466"/>
      <c r="BA3727" s="466"/>
      <c r="BB3727" s="466"/>
      <c r="BC3727" s="466"/>
      <c r="BD3727" s="466"/>
      <c r="BE3727" s="467"/>
      <c r="BF3727" s="467"/>
      <c r="BG3727" s="466"/>
      <c r="BH3727" s="466"/>
      <c r="BI3727" s="467"/>
      <c r="BJ3727" s="467"/>
      <c r="BK3727" s="467"/>
      <c r="BL3727" s="467"/>
      <c r="BM3727" s="467"/>
      <c r="BN3727" s="467"/>
      <c r="BO3727" s="467"/>
      <c r="BP3727" s="467"/>
      <c r="BQ3727" s="467"/>
      <c r="BR3727" s="467"/>
      <c r="BS3727" s="467"/>
      <c r="BT3727" s="467"/>
      <c r="BU3727" s="467"/>
      <c r="BV3727" s="467"/>
      <c r="BW3727" s="467"/>
      <c r="BX3727" s="769"/>
      <c r="BY3727" s="769"/>
      <c r="BZ3727" s="769"/>
      <c r="CA3727" s="769"/>
      <c r="CB3727" s="769"/>
      <c r="CC3727" s="769"/>
      <c r="CD3727" s="769"/>
      <c r="CE3727" s="769"/>
      <c r="CF3727" s="769"/>
      <c r="CG3727" s="73"/>
      <c r="CH3727" s="438"/>
      <c r="CI3727" s="416"/>
      <c r="CJ3727" s="73"/>
      <c r="CK3727" s="650"/>
      <c r="CL3727" s="499"/>
      <c r="CM3727" s="650"/>
      <c r="CR3727" s="416"/>
      <c r="CS3727" s="650"/>
      <c r="CU3727" s="73"/>
      <c r="CV3727" s="73"/>
      <c r="CW3727" s="73"/>
      <c r="CX3727" s="73"/>
      <c r="DA3727" s="650"/>
    </row>
    <row r="3728" spans="1:105" s="45" customFormat="1" x14ac:dyDescent="0.2">
      <c r="A3728" s="650"/>
      <c r="B3728" s="438"/>
      <c r="D3728" s="73"/>
      <c r="E3728" s="650"/>
      <c r="F3728" s="650"/>
      <c r="G3728" s="73"/>
      <c r="I3728" s="111"/>
      <c r="J3728" s="81"/>
      <c r="K3728" s="81"/>
      <c r="L3728" s="499"/>
      <c r="M3728" s="73"/>
      <c r="N3728" s="499"/>
      <c r="O3728" s="73"/>
      <c r="P3728" s="73"/>
      <c r="Q3728" s="73"/>
      <c r="R3728" s="176"/>
      <c r="S3728" s="176"/>
      <c r="T3728" s="176"/>
      <c r="U3728" s="400"/>
      <c r="V3728" s="400"/>
      <c r="W3728" s="732"/>
      <c r="X3728" s="167"/>
      <c r="Y3728" s="509"/>
      <c r="Z3728" s="466"/>
      <c r="AA3728" s="466"/>
      <c r="AB3728" s="466"/>
      <c r="AC3728" s="466"/>
      <c r="AD3728" s="466"/>
      <c r="AE3728" s="466"/>
      <c r="AF3728" s="466"/>
      <c r="AG3728" s="466"/>
      <c r="AH3728" s="466"/>
      <c r="AI3728" s="466"/>
      <c r="AJ3728" s="466"/>
      <c r="AK3728" s="466"/>
      <c r="AL3728" s="466"/>
      <c r="AM3728" s="466"/>
      <c r="AN3728" s="466"/>
      <c r="AO3728" s="466"/>
      <c r="AP3728" s="466"/>
      <c r="AQ3728" s="466"/>
      <c r="AR3728" s="466"/>
      <c r="AS3728" s="466"/>
      <c r="AT3728" s="466"/>
      <c r="AU3728" s="466"/>
      <c r="AV3728" s="466"/>
      <c r="AW3728" s="466"/>
      <c r="AX3728" s="466"/>
      <c r="AY3728" s="466"/>
      <c r="AZ3728" s="466"/>
      <c r="BA3728" s="466"/>
      <c r="BB3728" s="466"/>
      <c r="BC3728" s="466"/>
      <c r="BD3728" s="466"/>
      <c r="BE3728" s="467"/>
      <c r="BF3728" s="467"/>
      <c r="BG3728" s="466"/>
      <c r="BH3728" s="466"/>
      <c r="BI3728" s="467"/>
      <c r="BJ3728" s="467"/>
      <c r="BK3728" s="467"/>
      <c r="BL3728" s="467"/>
      <c r="BM3728" s="467"/>
      <c r="BN3728" s="467"/>
      <c r="BO3728" s="467"/>
      <c r="BP3728" s="467"/>
      <c r="BQ3728" s="467"/>
      <c r="BR3728" s="467"/>
      <c r="BS3728" s="467"/>
      <c r="BT3728" s="467"/>
      <c r="BU3728" s="467"/>
      <c r="BV3728" s="467"/>
      <c r="BW3728" s="467"/>
      <c r="BX3728" s="769"/>
      <c r="BY3728" s="769"/>
      <c r="BZ3728" s="769"/>
      <c r="CA3728" s="769"/>
      <c r="CB3728" s="769"/>
      <c r="CC3728" s="769"/>
      <c r="CD3728" s="769"/>
      <c r="CE3728" s="769"/>
      <c r="CF3728" s="769"/>
      <c r="CG3728" s="73"/>
      <c r="CH3728" s="438"/>
      <c r="CI3728" s="416"/>
      <c r="CJ3728" s="73"/>
      <c r="CK3728" s="650"/>
      <c r="CL3728" s="499"/>
      <c r="CM3728" s="650"/>
      <c r="CR3728" s="416"/>
      <c r="CS3728" s="650"/>
      <c r="CU3728" s="73"/>
      <c r="CV3728" s="73"/>
      <c r="CW3728" s="73"/>
      <c r="CX3728" s="73"/>
      <c r="DA3728" s="650"/>
    </row>
    <row r="3729" spans="1:105" s="45" customFormat="1" x14ac:dyDescent="0.2">
      <c r="A3729" s="650"/>
      <c r="B3729" s="438"/>
      <c r="D3729" s="73"/>
      <c r="E3729" s="650"/>
      <c r="F3729" s="650"/>
      <c r="G3729" s="73"/>
      <c r="I3729" s="111"/>
      <c r="J3729" s="81"/>
      <c r="K3729" s="81"/>
      <c r="L3729" s="499"/>
      <c r="M3729" s="73"/>
      <c r="N3729" s="499"/>
      <c r="O3729" s="73"/>
      <c r="P3729" s="73"/>
      <c r="Q3729" s="73"/>
      <c r="R3729" s="176"/>
      <c r="S3729" s="176"/>
      <c r="T3729" s="176"/>
      <c r="U3729" s="400"/>
      <c r="V3729" s="400"/>
      <c r="W3729" s="732"/>
      <c r="X3729" s="167"/>
      <c r="Y3729" s="509"/>
      <c r="Z3729" s="466"/>
      <c r="AA3729" s="466"/>
      <c r="AB3729" s="466"/>
      <c r="AC3729" s="466"/>
      <c r="AD3729" s="466"/>
      <c r="AE3729" s="466"/>
      <c r="AF3729" s="466"/>
      <c r="AG3729" s="466"/>
      <c r="AH3729" s="466"/>
      <c r="AI3729" s="466"/>
      <c r="AJ3729" s="466"/>
      <c r="AK3729" s="466"/>
      <c r="AL3729" s="466"/>
      <c r="AM3729" s="466"/>
      <c r="AN3729" s="466"/>
      <c r="AO3729" s="466"/>
      <c r="AP3729" s="466"/>
      <c r="AQ3729" s="466"/>
      <c r="AR3729" s="466"/>
      <c r="AS3729" s="466"/>
      <c r="AT3729" s="466"/>
      <c r="AU3729" s="466"/>
      <c r="AV3729" s="466"/>
      <c r="AW3729" s="466"/>
      <c r="AX3729" s="466"/>
      <c r="AY3729" s="466"/>
      <c r="AZ3729" s="466"/>
      <c r="BA3729" s="466"/>
      <c r="BB3729" s="466"/>
      <c r="BC3729" s="466"/>
      <c r="BD3729" s="466"/>
      <c r="BE3729" s="467"/>
      <c r="BF3729" s="467"/>
      <c r="BG3729" s="466"/>
      <c r="BH3729" s="466"/>
      <c r="BI3729" s="467"/>
      <c r="BJ3729" s="467"/>
      <c r="BK3729" s="467"/>
      <c r="BL3729" s="467"/>
      <c r="BM3729" s="467"/>
      <c r="BN3729" s="467"/>
      <c r="BO3729" s="467"/>
      <c r="BP3729" s="467"/>
      <c r="BQ3729" s="467"/>
      <c r="BR3729" s="467"/>
      <c r="BS3729" s="467"/>
      <c r="BT3729" s="467"/>
      <c r="BU3729" s="467"/>
      <c r="BV3729" s="467"/>
      <c r="BW3729" s="467"/>
      <c r="BX3729" s="769"/>
      <c r="BY3729" s="769"/>
      <c r="BZ3729" s="769"/>
      <c r="CA3729" s="769"/>
      <c r="CB3729" s="769"/>
      <c r="CC3729" s="769"/>
      <c r="CD3729" s="769"/>
      <c r="CE3729" s="769"/>
      <c r="CF3729" s="769"/>
      <c r="CG3729" s="73"/>
      <c r="CH3729" s="438"/>
      <c r="CI3729" s="416"/>
      <c r="CJ3729" s="73"/>
      <c r="CK3729" s="650"/>
      <c r="CL3729" s="499"/>
      <c r="CM3729" s="650"/>
      <c r="CR3729" s="416"/>
      <c r="CS3729" s="650"/>
      <c r="CU3729" s="73"/>
      <c r="CV3729" s="73"/>
      <c r="CW3729" s="73"/>
      <c r="CX3729" s="73"/>
      <c r="DA3729" s="650"/>
    </row>
    <row r="3730" spans="1:105" s="45" customFormat="1" x14ac:dyDescent="0.2">
      <c r="A3730" s="650"/>
      <c r="B3730" s="438"/>
      <c r="D3730" s="73"/>
      <c r="E3730" s="650"/>
      <c r="F3730" s="650"/>
      <c r="G3730" s="73"/>
      <c r="I3730" s="111"/>
      <c r="J3730" s="81"/>
      <c r="K3730" s="81"/>
      <c r="L3730" s="499"/>
      <c r="M3730" s="73"/>
      <c r="N3730" s="499"/>
      <c r="O3730" s="73"/>
      <c r="P3730" s="73"/>
      <c r="Q3730" s="73"/>
      <c r="R3730" s="176"/>
      <c r="S3730" s="176"/>
      <c r="T3730" s="176"/>
      <c r="U3730" s="400"/>
      <c r="V3730" s="400"/>
      <c r="W3730" s="732"/>
      <c r="X3730" s="167"/>
      <c r="Y3730" s="509"/>
      <c r="Z3730" s="466"/>
      <c r="AA3730" s="466"/>
      <c r="AB3730" s="466"/>
      <c r="AC3730" s="466"/>
      <c r="AD3730" s="466"/>
      <c r="AE3730" s="466"/>
      <c r="AF3730" s="466"/>
      <c r="AG3730" s="466"/>
      <c r="AH3730" s="466"/>
      <c r="AI3730" s="466"/>
      <c r="AJ3730" s="466"/>
      <c r="AK3730" s="466"/>
      <c r="AL3730" s="466"/>
      <c r="AM3730" s="466"/>
      <c r="AN3730" s="466"/>
      <c r="AO3730" s="466"/>
      <c r="AP3730" s="466"/>
      <c r="AQ3730" s="466"/>
      <c r="AR3730" s="466"/>
      <c r="AS3730" s="466"/>
      <c r="AT3730" s="466"/>
      <c r="AU3730" s="466"/>
      <c r="AV3730" s="466"/>
      <c r="AW3730" s="466"/>
      <c r="AX3730" s="466"/>
      <c r="AY3730" s="466"/>
      <c r="AZ3730" s="466"/>
      <c r="BA3730" s="466"/>
      <c r="BB3730" s="466"/>
      <c r="BC3730" s="466"/>
      <c r="BD3730" s="466"/>
      <c r="BE3730" s="467"/>
      <c r="BF3730" s="467"/>
      <c r="BG3730" s="466"/>
      <c r="BH3730" s="466"/>
      <c r="BI3730" s="467"/>
      <c r="BJ3730" s="467"/>
      <c r="BK3730" s="467"/>
      <c r="BL3730" s="467"/>
      <c r="BM3730" s="467"/>
      <c r="BN3730" s="467"/>
      <c r="BO3730" s="467"/>
      <c r="BP3730" s="467"/>
      <c r="BQ3730" s="467"/>
      <c r="BR3730" s="467"/>
      <c r="BS3730" s="467"/>
      <c r="BT3730" s="467"/>
      <c r="BU3730" s="467"/>
      <c r="BV3730" s="467"/>
      <c r="BW3730" s="467"/>
      <c r="BX3730" s="769"/>
      <c r="BY3730" s="769"/>
      <c r="BZ3730" s="769"/>
      <c r="CA3730" s="769"/>
      <c r="CB3730" s="769"/>
      <c r="CC3730" s="769"/>
      <c r="CD3730" s="769"/>
      <c r="CE3730" s="769"/>
      <c r="CF3730" s="769"/>
      <c r="CG3730" s="73"/>
      <c r="CH3730" s="438"/>
      <c r="CI3730" s="416"/>
      <c r="CJ3730" s="73"/>
      <c r="CK3730" s="650"/>
      <c r="CL3730" s="499"/>
      <c r="CM3730" s="650"/>
      <c r="CR3730" s="416"/>
      <c r="CS3730" s="650"/>
      <c r="CU3730" s="73"/>
      <c r="CV3730" s="73"/>
      <c r="CW3730" s="73"/>
      <c r="CX3730" s="73"/>
      <c r="DA3730" s="650"/>
    </row>
    <row r="3731" spans="1:105" s="45" customFormat="1" x14ac:dyDescent="0.2">
      <c r="A3731" s="650"/>
      <c r="B3731" s="438"/>
      <c r="D3731" s="73"/>
      <c r="E3731" s="650"/>
      <c r="F3731" s="650"/>
      <c r="G3731" s="73"/>
      <c r="I3731" s="111"/>
      <c r="J3731" s="81"/>
      <c r="K3731" s="81"/>
      <c r="L3731" s="499"/>
      <c r="M3731" s="73"/>
      <c r="N3731" s="499"/>
      <c r="O3731" s="73"/>
      <c r="P3731" s="73"/>
      <c r="Q3731" s="73"/>
      <c r="R3731" s="176"/>
      <c r="S3731" s="176"/>
      <c r="T3731" s="176"/>
      <c r="U3731" s="400"/>
      <c r="V3731" s="400"/>
      <c r="W3731" s="732"/>
      <c r="X3731" s="167"/>
      <c r="Y3731" s="509"/>
      <c r="Z3731" s="466"/>
      <c r="AA3731" s="466"/>
      <c r="AB3731" s="466"/>
      <c r="AC3731" s="466"/>
      <c r="AD3731" s="466"/>
      <c r="AE3731" s="466"/>
      <c r="AF3731" s="466"/>
      <c r="AG3731" s="466"/>
      <c r="AH3731" s="466"/>
      <c r="AI3731" s="466"/>
      <c r="AJ3731" s="466"/>
      <c r="AK3731" s="466"/>
      <c r="AL3731" s="466"/>
      <c r="AM3731" s="466"/>
      <c r="AN3731" s="466"/>
      <c r="AO3731" s="466"/>
      <c r="AP3731" s="466"/>
      <c r="AQ3731" s="466"/>
      <c r="AR3731" s="466"/>
      <c r="AS3731" s="466"/>
      <c r="AT3731" s="466"/>
      <c r="AU3731" s="466"/>
      <c r="AV3731" s="466"/>
      <c r="AW3731" s="466"/>
      <c r="AX3731" s="466"/>
      <c r="AY3731" s="466"/>
      <c r="AZ3731" s="466"/>
      <c r="BA3731" s="466"/>
      <c r="BB3731" s="466"/>
      <c r="BC3731" s="466"/>
      <c r="BD3731" s="466"/>
      <c r="BE3731" s="467"/>
      <c r="BF3731" s="467"/>
      <c r="BG3731" s="466"/>
      <c r="BH3731" s="466"/>
      <c r="BI3731" s="467"/>
      <c r="BJ3731" s="467"/>
      <c r="BK3731" s="467"/>
      <c r="BL3731" s="467"/>
      <c r="BM3731" s="467"/>
      <c r="BN3731" s="467"/>
      <c r="BO3731" s="467"/>
      <c r="BP3731" s="467"/>
      <c r="BQ3731" s="467"/>
      <c r="BR3731" s="467"/>
      <c r="BS3731" s="467"/>
      <c r="BT3731" s="467"/>
      <c r="BU3731" s="467"/>
      <c r="BV3731" s="467"/>
      <c r="BW3731" s="467"/>
      <c r="BX3731" s="769"/>
      <c r="BY3731" s="769"/>
      <c r="BZ3731" s="769"/>
      <c r="CA3731" s="769"/>
      <c r="CB3731" s="769"/>
      <c r="CC3731" s="769"/>
      <c r="CD3731" s="769"/>
      <c r="CE3731" s="769"/>
      <c r="CF3731" s="769"/>
      <c r="CG3731" s="73"/>
      <c r="CH3731" s="438"/>
      <c r="CI3731" s="416"/>
      <c r="CJ3731" s="73"/>
      <c r="CK3731" s="650"/>
      <c r="CL3731" s="499"/>
      <c r="CM3731" s="650"/>
      <c r="CR3731" s="416"/>
      <c r="CS3731" s="650"/>
      <c r="CU3731" s="73"/>
      <c r="CV3731" s="73"/>
      <c r="CW3731" s="73"/>
      <c r="CX3731" s="73"/>
      <c r="DA3731" s="650"/>
    </row>
    <row r="3732" spans="1:105" s="45" customFormat="1" x14ac:dyDescent="0.2">
      <c r="A3732" s="650"/>
      <c r="B3732" s="438"/>
      <c r="D3732" s="73"/>
      <c r="E3732" s="650"/>
      <c r="F3732" s="650"/>
      <c r="G3732" s="73"/>
      <c r="I3732" s="111"/>
      <c r="J3732" s="81"/>
      <c r="K3732" s="81"/>
      <c r="L3732" s="499"/>
      <c r="M3732" s="73"/>
      <c r="N3732" s="499"/>
      <c r="O3732" s="73"/>
      <c r="P3732" s="73"/>
      <c r="Q3732" s="73"/>
      <c r="R3732" s="176"/>
      <c r="S3732" s="176"/>
      <c r="T3732" s="176"/>
      <c r="U3732" s="400"/>
      <c r="V3732" s="400"/>
      <c r="W3732" s="732"/>
      <c r="X3732" s="167"/>
      <c r="Y3732" s="509"/>
      <c r="Z3732" s="466"/>
      <c r="AA3732" s="466"/>
      <c r="AB3732" s="466"/>
      <c r="AC3732" s="466"/>
      <c r="AD3732" s="466"/>
      <c r="AE3732" s="466"/>
      <c r="AF3732" s="466"/>
      <c r="AG3732" s="466"/>
      <c r="AH3732" s="466"/>
      <c r="AI3732" s="466"/>
      <c r="AJ3732" s="466"/>
      <c r="AK3732" s="466"/>
      <c r="AL3732" s="466"/>
      <c r="AM3732" s="466"/>
      <c r="AN3732" s="466"/>
      <c r="AO3732" s="466"/>
      <c r="AP3732" s="466"/>
      <c r="AQ3732" s="466"/>
      <c r="AR3732" s="466"/>
      <c r="AS3732" s="466"/>
      <c r="AT3732" s="466"/>
      <c r="AU3732" s="466"/>
      <c r="AV3732" s="466"/>
      <c r="AW3732" s="466"/>
      <c r="AX3732" s="466"/>
      <c r="AY3732" s="466"/>
      <c r="AZ3732" s="466"/>
      <c r="BA3732" s="466"/>
      <c r="BB3732" s="466"/>
      <c r="BC3732" s="466"/>
      <c r="BD3732" s="466"/>
      <c r="BE3732" s="467"/>
      <c r="BF3732" s="467"/>
      <c r="BG3732" s="466"/>
      <c r="BH3732" s="466"/>
      <c r="BI3732" s="467"/>
      <c r="BJ3732" s="467"/>
      <c r="BK3732" s="467"/>
      <c r="BL3732" s="467"/>
      <c r="BM3732" s="467"/>
      <c r="BN3732" s="467"/>
      <c r="BO3732" s="467"/>
      <c r="BP3732" s="467"/>
      <c r="BQ3732" s="467"/>
      <c r="BR3732" s="467"/>
      <c r="BS3732" s="467"/>
      <c r="BT3732" s="467"/>
      <c r="BU3732" s="467"/>
      <c r="BV3732" s="467"/>
      <c r="BW3732" s="467"/>
      <c r="BX3732" s="769"/>
      <c r="BY3732" s="769"/>
      <c r="BZ3732" s="769"/>
      <c r="CA3732" s="769"/>
      <c r="CB3732" s="769"/>
      <c r="CC3732" s="769"/>
      <c r="CD3732" s="769"/>
      <c r="CE3732" s="769"/>
      <c r="CF3732" s="769"/>
      <c r="CG3732" s="73"/>
      <c r="CH3732" s="438"/>
      <c r="CI3732" s="416"/>
      <c r="CJ3732" s="73"/>
      <c r="CK3732" s="650"/>
      <c r="CL3732" s="499"/>
      <c r="CM3732" s="650"/>
      <c r="CR3732" s="416"/>
      <c r="CS3732" s="650"/>
      <c r="CU3732" s="73"/>
      <c r="CV3732" s="73"/>
      <c r="CW3732" s="73"/>
      <c r="CX3732" s="73"/>
      <c r="DA3732" s="650"/>
    </row>
    <row r="3733" spans="1:105" s="45" customFormat="1" x14ac:dyDescent="0.2">
      <c r="A3733" s="650"/>
      <c r="B3733" s="438"/>
      <c r="D3733" s="73"/>
      <c r="E3733" s="650"/>
      <c r="F3733" s="650"/>
      <c r="G3733" s="73"/>
      <c r="I3733" s="111"/>
      <c r="J3733" s="81"/>
      <c r="K3733" s="81"/>
      <c r="L3733" s="499"/>
      <c r="M3733" s="73"/>
      <c r="N3733" s="499"/>
      <c r="O3733" s="73"/>
      <c r="P3733" s="73"/>
      <c r="Q3733" s="73"/>
      <c r="R3733" s="176"/>
      <c r="S3733" s="176"/>
      <c r="T3733" s="176"/>
      <c r="U3733" s="400"/>
      <c r="V3733" s="400"/>
      <c r="W3733" s="732"/>
      <c r="X3733" s="167"/>
      <c r="Y3733" s="509"/>
      <c r="Z3733" s="466"/>
      <c r="AA3733" s="466"/>
      <c r="AB3733" s="466"/>
      <c r="AC3733" s="466"/>
      <c r="AD3733" s="466"/>
      <c r="AE3733" s="466"/>
      <c r="AF3733" s="466"/>
      <c r="AG3733" s="466"/>
      <c r="AH3733" s="466"/>
      <c r="AI3733" s="466"/>
      <c r="AJ3733" s="466"/>
      <c r="AK3733" s="466"/>
      <c r="AL3733" s="466"/>
      <c r="AM3733" s="466"/>
      <c r="AN3733" s="466"/>
      <c r="AO3733" s="466"/>
      <c r="AP3733" s="466"/>
      <c r="AQ3733" s="466"/>
      <c r="AR3733" s="466"/>
      <c r="AS3733" s="466"/>
      <c r="AT3733" s="466"/>
      <c r="AU3733" s="466"/>
      <c r="AV3733" s="466"/>
      <c r="AW3733" s="466"/>
      <c r="AX3733" s="466"/>
      <c r="AY3733" s="466"/>
      <c r="AZ3733" s="466"/>
      <c r="BA3733" s="466"/>
      <c r="BB3733" s="466"/>
      <c r="BC3733" s="466"/>
      <c r="BD3733" s="466"/>
      <c r="BE3733" s="467"/>
      <c r="BF3733" s="467"/>
      <c r="BG3733" s="466"/>
      <c r="BH3733" s="466"/>
      <c r="BI3733" s="467"/>
      <c r="BJ3733" s="467"/>
      <c r="BK3733" s="467"/>
      <c r="BL3733" s="467"/>
      <c r="BM3733" s="467"/>
      <c r="BN3733" s="467"/>
      <c r="BO3733" s="467"/>
      <c r="BP3733" s="467"/>
      <c r="BQ3733" s="467"/>
      <c r="BR3733" s="467"/>
      <c r="BS3733" s="467"/>
      <c r="BT3733" s="467"/>
      <c r="BU3733" s="467"/>
      <c r="BV3733" s="467"/>
      <c r="BW3733" s="467"/>
      <c r="BX3733" s="769"/>
      <c r="BY3733" s="769"/>
      <c r="BZ3733" s="769"/>
      <c r="CA3733" s="769"/>
      <c r="CB3733" s="769"/>
      <c r="CC3733" s="769"/>
      <c r="CD3733" s="769"/>
      <c r="CE3733" s="769"/>
      <c r="CF3733" s="769"/>
      <c r="CG3733" s="73"/>
      <c r="CH3733" s="438"/>
      <c r="CI3733" s="416"/>
      <c r="CJ3733" s="73"/>
      <c r="CK3733" s="650"/>
      <c r="CL3733" s="499"/>
      <c r="CM3733" s="650"/>
      <c r="CR3733" s="416"/>
      <c r="CS3733" s="650"/>
      <c r="CU3733" s="73"/>
      <c r="CV3733" s="73"/>
      <c r="CW3733" s="73"/>
      <c r="CX3733" s="73"/>
      <c r="DA3733" s="650"/>
    </row>
    <row r="3734" spans="1:105" s="45" customFormat="1" x14ac:dyDescent="0.2">
      <c r="A3734" s="650"/>
      <c r="B3734" s="438"/>
      <c r="D3734" s="73"/>
      <c r="E3734" s="650"/>
      <c r="F3734" s="650"/>
      <c r="G3734" s="73"/>
      <c r="I3734" s="111"/>
      <c r="J3734" s="81"/>
      <c r="K3734" s="81"/>
      <c r="L3734" s="499"/>
      <c r="M3734" s="73"/>
      <c r="N3734" s="499"/>
      <c r="O3734" s="73"/>
      <c r="P3734" s="73"/>
      <c r="Q3734" s="73"/>
      <c r="R3734" s="176"/>
      <c r="S3734" s="176"/>
      <c r="T3734" s="176"/>
      <c r="U3734" s="400"/>
      <c r="V3734" s="400"/>
      <c r="W3734" s="732"/>
      <c r="X3734" s="167"/>
      <c r="Y3734" s="509"/>
      <c r="Z3734" s="466"/>
      <c r="AA3734" s="466"/>
      <c r="AB3734" s="466"/>
      <c r="AC3734" s="466"/>
      <c r="AD3734" s="466"/>
      <c r="AE3734" s="466"/>
      <c r="AF3734" s="466"/>
      <c r="AG3734" s="466"/>
      <c r="AH3734" s="466"/>
      <c r="AI3734" s="466"/>
      <c r="AJ3734" s="466"/>
      <c r="AK3734" s="466"/>
      <c r="AL3734" s="466"/>
      <c r="AM3734" s="466"/>
      <c r="AN3734" s="466"/>
      <c r="AO3734" s="466"/>
      <c r="AP3734" s="466"/>
      <c r="AQ3734" s="466"/>
      <c r="AR3734" s="466"/>
      <c r="AS3734" s="466"/>
      <c r="AT3734" s="466"/>
      <c r="AU3734" s="466"/>
      <c r="AV3734" s="466"/>
      <c r="AW3734" s="466"/>
      <c r="AX3734" s="466"/>
      <c r="AY3734" s="466"/>
      <c r="AZ3734" s="466"/>
      <c r="BA3734" s="466"/>
      <c r="BB3734" s="466"/>
      <c r="BC3734" s="466"/>
      <c r="BD3734" s="466"/>
      <c r="BE3734" s="467"/>
      <c r="BF3734" s="467"/>
      <c r="BG3734" s="466"/>
      <c r="BH3734" s="466"/>
      <c r="BI3734" s="467"/>
      <c r="BJ3734" s="467"/>
      <c r="BK3734" s="467"/>
      <c r="BL3734" s="467"/>
      <c r="BM3734" s="467"/>
      <c r="BN3734" s="467"/>
      <c r="BO3734" s="467"/>
      <c r="BP3734" s="467"/>
      <c r="BQ3734" s="467"/>
      <c r="BR3734" s="467"/>
      <c r="BS3734" s="467"/>
      <c r="BT3734" s="467"/>
      <c r="BU3734" s="467"/>
      <c r="BV3734" s="467"/>
      <c r="BW3734" s="467"/>
      <c r="BX3734" s="769"/>
      <c r="BY3734" s="769"/>
      <c r="BZ3734" s="769"/>
      <c r="CA3734" s="769"/>
      <c r="CB3734" s="769"/>
      <c r="CC3734" s="769"/>
      <c r="CD3734" s="769"/>
      <c r="CE3734" s="769"/>
      <c r="CF3734" s="769"/>
      <c r="CG3734" s="73"/>
      <c r="CH3734" s="438"/>
      <c r="CI3734" s="416"/>
      <c r="CJ3734" s="73"/>
      <c r="CK3734" s="650"/>
      <c r="CL3734" s="499"/>
      <c r="CM3734" s="650"/>
      <c r="CR3734" s="416"/>
      <c r="CS3734" s="650"/>
      <c r="CU3734" s="73"/>
      <c r="CV3734" s="73"/>
      <c r="CW3734" s="73"/>
      <c r="CX3734" s="73"/>
      <c r="DA3734" s="650"/>
    </row>
    <row r="3735" spans="1:105" s="45" customFormat="1" x14ac:dyDescent="0.2">
      <c r="A3735" s="650"/>
      <c r="B3735" s="438"/>
      <c r="D3735" s="73"/>
      <c r="E3735" s="650"/>
      <c r="F3735" s="650"/>
      <c r="G3735" s="73"/>
      <c r="I3735" s="111"/>
      <c r="J3735" s="81"/>
      <c r="K3735" s="81"/>
      <c r="L3735" s="499"/>
      <c r="M3735" s="73"/>
      <c r="N3735" s="499"/>
      <c r="O3735" s="73"/>
      <c r="P3735" s="73"/>
      <c r="Q3735" s="73"/>
      <c r="R3735" s="176"/>
      <c r="S3735" s="176"/>
      <c r="T3735" s="176"/>
      <c r="U3735" s="400"/>
      <c r="V3735" s="400"/>
      <c r="W3735" s="732"/>
      <c r="X3735" s="167"/>
      <c r="Y3735" s="509"/>
      <c r="Z3735" s="466"/>
      <c r="AA3735" s="466"/>
      <c r="AB3735" s="466"/>
      <c r="AC3735" s="466"/>
      <c r="AD3735" s="466"/>
      <c r="AE3735" s="466"/>
      <c r="AF3735" s="466"/>
      <c r="AG3735" s="466"/>
      <c r="AH3735" s="466"/>
      <c r="AI3735" s="466"/>
      <c r="AJ3735" s="466"/>
      <c r="AK3735" s="466"/>
      <c r="AL3735" s="466"/>
      <c r="AM3735" s="466"/>
      <c r="AN3735" s="466"/>
      <c r="AO3735" s="466"/>
      <c r="AP3735" s="466"/>
      <c r="AQ3735" s="466"/>
      <c r="AR3735" s="466"/>
      <c r="AS3735" s="466"/>
      <c r="AT3735" s="466"/>
      <c r="AU3735" s="466"/>
      <c r="AV3735" s="466"/>
      <c r="AW3735" s="466"/>
      <c r="AX3735" s="466"/>
      <c r="AY3735" s="466"/>
      <c r="AZ3735" s="466"/>
      <c r="BA3735" s="466"/>
      <c r="BB3735" s="466"/>
      <c r="BC3735" s="466"/>
      <c r="BD3735" s="466"/>
      <c r="BE3735" s="467"/>
      <c r="BF3735" s="467"/>
      <c r="BG3735" s="466"/>
      <c r="BH3735" s="466"/>
      <c r="BI3735" s="467"/>
      <c r="BJ3735" s="467"/>
      <c r="BK3735" s="467"/>
      <c r="BL3735" s="467"/>
      <c r="BM3735" s="467"/>
      <c r="BN3735" s="467"/>
      <c r="BO3735" s="467"/>
      <c r="BP3735" s="467"/>
      <c r="BQ3735" s="467"/>
      <c r="BR3735" s="467"/>
      <c r="BS3735" s="467"/>
      <c r="BT3735" s="467"/>
      <c r="BU3735" s="467"/>
      <c r="BV3735" s="467"/>
      <c r="BW3735" s="467"/>
      <c r="BX3735" s="769"/>
      <c r="BY3735" s="769"/>
      <c r="BZ3735" s="769"/>
      <c r="CA3735" s="769"/>
      <c r="CB3735" s="769"/>
      <c r="CC3735" s="769"/>
      <c r="CD3735" s="769"/>
      <c r="CE3735" s="769"/>
      <c r="CF3735" s="769"/>
      <c r="CG3735" s="73"/>
      <c r="CH3735" s="438"/>
      <c r="CI3735" s="416"/>
      <c r="CJ3735" s="73"/>
      <c r="CK3735" s="650"/>
      <c r="CL3735" s="499"/>
      <c r="CM3735" s="650"/>
      <c r="CR3735" s="416"/>
      <c r="CS3735" s="650"/>
      <c r="CU3735" s="73"/>
      <c r="CV3735" s="73"/>
      <c r="CW3735" s="73"/>
      <c r="CX3735" s="73"/>
      <c r="DA3735" s="650"/>
    </row>
    <row r="3736" spans="1:105" s="45" customFormat="1" x14ac:dyDescent="0.2">
      <c r="A3736" s="650"/>
      <c r="B3736" s="438"/>
      <c r="D3736" s="73"/>
      <c r="E3736" s="650"/>
      <c r="F3736" s="650"/>
      <c r="G3736" s="73"/>
      <c r="I3736" s="111"/>
      <c r="J3736" s="81"/>
      <c r="K3736" s="81"/>
      <c r="L3736" s="499"/>
      <c r="M3736" s="73"/>
      <c r="N3736" s="499"/>
      <c r="O3736" s="73"/>
      <c r="P3736" s="73"/>
      <c r="Q3736" s="73"/>
      <c r="R3736" s="176"/>
      <c r="S3736" s="176"/>
      <c r="T3736" s="176"/>
      <c r="U3736" s="400"/>
      <c r="V3736" s="400"/>
      <c r="W3736" s="732"/>
      <c r="X3736" s="167"/>
      <c r="Y3736" s="509"/>
      <c r="Z3736" s="466"/>
      <c r="AA3736" s="466"/>
      <c r="AB3736" s="466"/>
      <c r="AC3736" s="466"/>
      <c r="AD3736" s="466"/>
      <c r="AE3736" s="466"/>
      <c r="AF3736" s="466"/>
      <c r="AG3736" s="466"/>
      <c r="AH3736" s="466"/>
      <c r="AI3736" s="466"/>
      <c r="AJ3736" s="466"/>
      <c r="AK3736" s="466"/>
      <c r="AL3736" s="466"/>
      <c r="AM3736" s="466"/>
      <c r="AN3736" s="466"/>
      <c r="AO3736" s="466"/>
      <c r="AP3736" s="466"/>
      <c r="AQ3736" s="466"/>
      <c r="AR3736" s="466"/>
      <c r="AS3736" s="466"/>
      <c r="AT3736" s="466"/>
      <c r="AU3736" s="466"/>
      <c r="AV3736" s="466"/>
      <c r="AW3736" s="466"/>
      <c r="AX3736" s="466"/>
      <c r="AY3736" s="466"/>
      <c r="AZ3736" s="466"/>
      <c r="BA3736" s="466"/>
      <c r="BB3736" s="466"/>
      <c r="BC3736" s="466"/>
      <c r="BD3736" s="466"/>
      <c r="BE3736" s="467"/>
      <c r="BF3736" s="467"/>
      <c r="BG3736" s="466"/>
      <c r="BH3736" s="466"/>
      <c r="BI3736" s="467"/>
      <c r="BJ3736" s="467"/>
      <c r="BK3736" s="467"/>
      <c r="BL3736" s="467"/>
      <c r="BM3736" s="467"/>
      <c r="BN3736" s="467"/>
      <c r="BO3736" s="467"/>
      <c r="BP3736" s="467"/>
      <c r="BQ3736" s="467"/>
      <c r="BR3736" s="467"/>
      <c r="BS3736" s="467"/>
      <c r="BT3736" s="467"/>
      <c r="BU3736" s="467"/>
      <c r="BV3736" s="467"/>
      <c r="BW3736" s="467"/>
      <c r="BX3736" s="769"/>
      <c r="BY3736" s="769"/>
      <c r="BZ3736" s="769"/>
      <c r="CA3736" s="769"/>
      <c r="CB3736" s="769"/>
      <c r="CC3736" s="769"/>
      <c r="CD3736" s="769"/>
      <c r="CE3736" s="769"/>
      <c r="CF3736" s="769"/>
      <c r="CG3736" s="73"/>
      <c r="CH3736" s="438"/>
      <c r="CI3736" s="416"/>
      <c r="CJ3736" s="73"/>
      <c r="CK3736" s="650"/>
      <c r="CL3736" s="499"/>
      <c r="CM3736" s="650"/>
      <c r="CR3736" s="416"/>
      <c r="CS3736" s="650"/>
      <c r="CU3736" s="73"/>
      <c r="CV3736" s="73"/>
      <c r="CW3736" s="73"/>
      <c r="CX3736" s="73"/>
      <c r="DA3736" s="650"/>
    </row>
    <row r="3737" spans="1:105" s="45" customFormat="1" x14ac:dyDescent="0.2">
      <c r="A3737" s="650"/>
      <c r="B3737" s="438"/>
      <c r="D3737" s="73"/>
      <c r="E3737" s="650"/>
      <c r="F3737" s="650"/>
      <c r="G3737" s="73"/>
      <c r="I3737" s="111"/>
      <c r="J3737" s="81"/>
      <c r="K3737" s="81"/>
      <c r="L3737" s="499"/>
      <c r="M3737" s="73"/>
      <c r="N3737" s="499"/>
      <c r="O3737" s="73"/>
      <c r="P3737" s="73"/>
      <c r="Q3737" s="73"/>
      <c r="R3737" s="176"/>
      <c r="S3737" s="176"/>
      <c r="T3737" s="176"/>
      <c r="U3737" s="400"/>
      <c r="V3737" s="400"/>
      <c r="W3737" s="732"/>
      <c r="X3737" s="167"/>
      <c r="Y3737" s="509"/>
      <c r="Z3737" s="466"/>
      <c r="AA3737" s="466"/>
      <c r="AB3737" s="466"/>
      <c r="AC3737" s="466"/>
      <c r="AD3737" s="466"/>
      <c r="AE3737" s="466"/>
      <c r="AF3737" s="466"/>
      <c r="AG3737" s="466"/>
      <c r="AH3737" s="466"/>
      <c r="AI3737" s="466"/>
      <c r="AJ3737" s="466"/>
      <c r="AK3737" s="466"/>
      <c r="AL3737" s="466"/>
      <c r="AM3737" s="466"/>
      <c r="AN3737" s="466"/>
      <c r="AO3737" s="466"/>
      <c r="AP3737" s="466"/>
      <c r="AQ3737" s="466"/>
      <c r="AR3737" s="466"/>
      <c r="AS3737" s="466"/>
      <c r="AT3737" s="466"/>
      <c r="AU3737" s="466"/>
      <c r="AV3737" s="466"/>
      <c r="AW3737" s="466"/>
      <c r="AX3737" s="466"/>
      <c r="AY3737" s="466"/>
      <c r="AZ3737" s="466"/>
      <c r="BA3737" s="466"/>
      <c r="BB3737" s="466"/>
      <c r="BC3737" s="466"/>
      <c r="BD3737" s="466"/>
      <c r="BE3737" s="467"/>
      <c r="BF3737" s="467"/>
      <c r="BG3737" s="466"/>
      <c r="BH3737" s="466"/>
      <c r="BI3737" s="467"/>
      <c r="BJ3737" s="467"/>
      <c r="BK3737" s="467"/>
      <c r="BL3737" s="467"/>
      <c r="BM3737" s="467"/>
      <c r="BN3737" s="467"/>
      <c r="BO3737" s="467"/>
      <c r="BP3737" s="467"/>
      <c r="BQ3737" s="467"/>
      <c r="BR3737" s="467"/>
      <c r="BS3737" s="467"/>
      <c r="BT3737" s="467"/>
      <c r="BU3737" s="467"/>
      <c r="BV3737" s="467"/>
      <c r="BW3737" s="467"/>
      <c r="BX3737" s="769"/>
      <c r="BY3737" s="769"/>
      <c r="BZ3737" s="769"/>
      <c r="CA3737" s="769"/>
      <c r="CB3737" s="769"/>
      <c r="CC3737" s="769"/>
      <c r="CD3737" s="769"/>
      <c r="CE3737" s="769"/>
      <c r="CF3737" s="769"/>
      <c r="CG3737" s="73"/>
      <c r="CH3737" s="438"/>
      <c r="CI3737" s="416"/>
      <c r="CJ3737" s="73"/>
      <c r="CK3737" s="650"/>
      <c r="CL3737" s="499"/>
      <c r="CM3737" s="650"/>
      <c r="CR3737" s="416"/>
      <c r="CS3737" s="650"/>
      <c r="CU3737" s="73"/>
      <c r="CV3737" s="73"/>
      <c r="CW3737" s="73"/>
      <c r="CX3737" s="73"/>
      <c r="DA3737" s="650"/>
    </row>
    <row r="3738" spans="1:105" s="45" customFormat="1" x14ac:dyDescent="0.2">
      <c r="A3738" s="650"/>
      <c r="B3738" s="438"/>
      <c r="D3738" s="73"/>
      <c r="E3738" s="650"/>
      <c r="F3738" s="650"/>
      <c r="G3738" s="73"/>
      <c r="I3738" s="111"/>
      <c r="J3738" s="81"/>
      <c r="K3738" s="81"/>
      <c r="L3738" s="499"/>
      <c r="M3738" s="73"/>
      <c r="N3738" s="499"/>
      <c r="O3738" s="73"/>
      <c r="P3738" s="73"/>
      <c r="Q3738" s="73"/>
      <c r="R3738" s="176"/>
      <c r="S3738" s="176"/>
      <c r="T3738" s="176"/>
      <c r="U3738" s="400"/>
      <c r="V3738" s="400"/>
      <c r="W3738" s="732"/>
      <c r="X3738" s="167"/>
      <c r="Y3738" s="509"/>
      <c r="Z3738" s="466"/>
      <c r="AA3738" s="466"/>
      <c r="AB3738" s="466"/>
      <c r="AC3738" s="466"/>
      <c r="AD3738" s="466"/>
      <c r="AE3738" s="466"/>
      <c r="AF3738" s="466"/>
      <c r="AG3738" s="466"/>
      <c r="AH3738" s="466"/>
      <c r="AI3738" s="466"/>
      <c r="AJ3738" s="466"/>
      <c r="AK3738" s="466"/>
      <c r="AL3738" s="466"/>
      <c r="AM3738" s="466"/>
      <c r="AN3738" s="466"/>
      <c r="AO3738" s="466"/>
      <c r="AP3738" s="466"/>
      <c r="AQ3738" s="466"/>
      <c r="AR3738" s="466"/>
      <c r="AS3738" s="466"/>
      <c r="AT3738" s="466"/>
      <c r="AU3738" s="466"/>
      <c r="AV3738" s="466"/>
      <c r="AW3738" s="466"/>
      <c r="AX3738" s="466"/>
      <c r="AY3738" s="466"/>
      <c r="AZ3738" s="466"/>
      <c r="BA3738" s="466"/>
      <c r="BB3738" s="466"/>
      <c r="BC3738" s="466"/>
      <c r="BD3738" s="466"/>
      <c r="BE3738" s="467"/>
      <c r="BF3738" s="467"/>
      <c r="BG3738" s="466"/>
      <c r="BH3738" s="466"/>
      <c r="BI3738" s="467"/>
      <c r="BJ3738" s="467"/>
      <c r="BK3738" s="467"/>
      <c r="BL3738" s="467"/>
      <c r="BM3738" s="467"/>
      <c r="BN3738" s="467"/>
      <c r="BO3738" s="467"/>
      <c r="BP3738" s="467"/>
      <c r="BQ3738" s="467"/>
      <c r="BR3738" s="467"/>
      <c r="BS3738" s="467"/>
      <c r="BT3738" s="467"/>
      <c r="BU3738" s="467"/>
      <c r="BV3738" s="467"/>
      <c r="BW3738" s="467"/>
      <c r="BX3738" s="769"/>
      <c r="BY3738" s="769"/>
      <c r="BZ3738" s="769"/>
      <c r="CA3738" s="769"/>
      <c r="CB3738" s="769"/>
      <c r="CC3738" s="769"/>
      <c r="CD3738" s="769"/>
      <c r="CE3738" s="769"/>
      <c r="CF3738" s="769"/>
      <c r="CG3738" s="73"/>
      <c r="CH3738" s="438"/>
      <c r="CI3738" s="416"/>
      <c r="CJ3738" s="73"/>
      <c r="CK3738" s="650"/>
      <c r="CL3738" s="499"/>
      <c r="CM3738" s="650"/>
      <c r="CR3738" s="416"/>
      <c r="CS3738" s="650"/>
      <c r="CU3738" s="73"/>
      <c r="CV3738" s="73"/>
      <c r="CW3738" s="73"/>
      <c r="CX3738" s="73"/>
      <c r="DA3738" s="650"/>
    </row>
    <row r="3739" spans="1:105" s="45" customFormat="1" x14ac:dyDescent="0.2">
      <c r="A3739" s="650"/>
      <c r="B3739" s="438"/>
      <c r="D3739" s="73"/>
      <c r="E3739" s="650"/>
      <c r="F3739" s="650"/>
      <c r="G3739" s="73"/>
      <c r="I3739" s="111"/>
      <c r="J3739" s="81"/>
      <c r="K3739" s="81"/>
      <c r="L3739" s="499"/>
      <c r="M3739" s="73"/>
      <c r="N3739" s="499"/>
      <c r="O3739" s="73"/>
      <c r="P3739" s="73"/>
      <c r="Q3739" s="73"/>
      <c r="R3739" s="176"/>
      <c r="S3739" s="176"/>
      <c r="T3739" s="176"/>
      <c r="U3739" s="400"/>
      <c r="V3739" s="400"/>
      <c r="W3739" s="732"/>
      <c r="X3739" s="167"/>
      <c r="Y3739" s="509"/>
      <c r="Z3739" s="466"/>
      <c r="AA3739" s="466"/>
      <c r="AB3739" s="466"/>
      <c r="AC3739" s="466"/>
      <c r="AD3739" s="466"/>
      <c r="AE3739" s="466"/>
      <c r="AF3739" s="466"/>
      <c r="AG3739" s="466"/>
      <c r="AH3739" s="466"/>
      <c r="AI3739" s="466"/>
      <c r="AJ3739" s="466"/>
      <c r="AK3739" s="466"/>
      <c r="AL3739" s="466"/>
      <c r="AM3739" s="466"/>
      <c r="AN3739" s="466"/>
      <c r="AO3739" s="466"/>
      <c r="AP3739" s="466"/>
      <c r="AQ3739" s="466"/>
      <c r="AR3739" s="466"/>
      <c r="AS3739" s="466"/>
      <c r="AT3739" s="466"/>
      <c r="AU3739" s="466"/>
      <c r="AV3739" s="466"/>
      <c r="AW3739" s="466"/>
      <c r="AX3739" s="466"/>
      <c r="AY3739" s="466"/>
      <c r="AZ3739" s="466"/>
      <c r="BA3739" s="466"/>
      <c r="BB3739" s="466"/>
      <c r="BC3739" s="466"/>
      <c r="BD3739" s="466"/>
      <c r="BE3739" s="467"/>
      <c r="BF3739" s="467"/>
      <c r="BG3739" s="466"/>
      <c r="BH3739" s="466"/>
      <c r="BI3739" s="467"/>
      <c r="BJ3739" s="467"/>
      <c r="BK3739" s="467"/>
      <c r="BL3739" s="467"/>
      <c r="BM3739" s="467"/>
      <c r="BN3739" s="467"/>
      <c r="BO3739" s="467"/>
      <c r="BP3739" s="467"/>
      <c r="BQ3739" s="467"/>
      <c r="BR3739" s="467"/>
      <c r="BS3739" s="467"/>
      <c r="BT3739" s="467"/>
      <c r="BU3739" s="467"/>
      <c r="BV3739" s="467"/>
      <c r="BW3739" s="467"/>
      <c r="BX3739" s="769"/>
      <c r="BY3739" s="769"/>
      <c r="BZ3739" s="769"/>
      <c r="CA3739" s="769"/>
      <c r="CB3739" s="769"/>
      <c r="CC3739" s="769"/>
      <c r="CD3739" s="769"/>
      <c r="CE3739" s="769"/>
      <c r="CF3739" s="769"/>
      <c r="CG3739" s="73"/>
      <c r="CH3739" s="438"/>
      <c r="CI3739" s="416"/>
      <c r="CJ3739" s="73"/>
      <c r="CK3739" s="650"/>
      <c r="CL3739" s="499"/>
      <c r="CM3739" s="650"/>
      <c r="CR3739" s="416"/>
      <c r="CS3739" s="650"/>
      <c r="CU3739" s="73"/>
      <c r="CV3739" s="73"/>
      <c r="CW3739" s="73"/>
      <c r="CX3739" s="73"/>
      <c r="DA3739" s="650"/>
    </row>
    <row r="3740" spans="1:105" s="45" customFormat="1" x14ac:dyDescent="0.2">
      <c r="A3740" s="650"/>
      <c r="B3740" s="438"/>
      <c r="D3740" s="73"/>
      <c r="E3740" s="650"/>
      <c r="F3740" s="650"/>
      <c r="G3740" s="73"/>
      <c r="I3740" s="111"/>
      <c r="J3740" s="81"/>
      <c r="K3740" s="81"/>
      <c r="L3740" s="499"/>
      <c r="M3740" s="73"/>
      <c r="N3740" s="499"/>
      <c r="O3740" s="73"/>
      <c r="P3740" s="73"/>
      <c r="Q3740" s="73"/>
      <c r="R3740" s="176"/>
      <c r="S3740" s="176"/>
      <c r="T3740" s="176"/>
      <c r="U3740" s="400"/>
      <c r="V3740" s="400"/>
      <c r="W3740" s="732"/>
      <c r="X3740" s="167"/>
      <c r="Y3740" s="509"/>
      <c r="Z3740" s="466"/>
      <c r="AA3740" s="466"/>
      <c r="AB3740" s="466"/>
      <c r="AC3740" s="466"/>
      <c r="AD3740" s="466"/>
      <c r="AE3740" s="466"/>
      <c r="AF3740" s="466"/>
      <c r="AG3740" s="466"/>
      <c r="AH3740" s="466"/>
      <c r="AI3740" s="466"/>
      <c r="AJ3740" s="466"/>
      <c r="AK3740" s="466"/>
      <c r="AL3740" s="466"/>
      <c r="AM3740" s="466"/>
      <c r="AN3740" s="466"/>
      <c r="AO3740" s="466"/>
      <c r="AP3740" s="466"/>
      <c r="AQ3740" s="466"/>
      <c r="AR3740" s="466"/>
      <c r="AS3740" s="466"/>
      <c r="AT3740" s="466"/>
      <c r="AU3740" s="466"/>
      <c r="AV3740" s="466"/>
      <c r="AW3740" s="466"/>
      <c r="AX3740" s="466"/>
      <c r="AY3740" s="466"/>
      <c r="AZ3740" s="466"/>
      <c r="BA3740" s="466"/>
      <c r="BB3740" s="466"/>
      <c r="BC3740" s="466"/>
      <c r="BD3740" s="466"/>
      <c r="BE3740" s="467"/>
      <c r="BF3740" s="467"/>
      <c r="BG3740" s="466"/>
      <c r="BH3740" s="466"/>
      <c r="BI3740" s="467"/>
      <c r="BJ3740" s="467"/>
      <c r="BK3740" s="467"/>
      <c r="BL3740" s="467"/>
      <c r="BM3740" s="467"/>
      <c r="BN3740" s="467"/>
      <c r="BO3740" s="467"/>
      <c r="BP3740" s="467"/>
      <c r="BQ3740" s="467"/>
      <c r="BR3740" s="467"/>
      <c r="BS3740" s="467"/>
      <c r="BT3740" s="467"/>
      <c r="BU3740" s="467"/>
      <c r="BV3740" s="467"/>
      <c r="BW3740" s="467"/>
      <c r="BX3740" s="769"/>
      <c r="BY3740" s="769"/>
      <c r="BZ3740" s="769"/>
      <c r="CA3740" s="769"/>
      <c r="CB3740" s="769"/>
      <c r="CC3740" s="769"/>
      <c r="CD3740" s="769"/>
      <c r="CE3740" s="769"/>
      <c r="CF3740" s="769"/>
      <c r="CG3740" s="73"/>
      <c r="CH3740" s="438"/>
      <c r="CI3740" s="416"/>
      <c r="CJ3740" s="73"/>
      <c r="CK3740" s="650"/>
      <c r="CL3740" s="499"/>
      <c r="CM3740" s="650"/>
      <c r="CR3740" s="416"/>
      <c r="CS3740" s="650"/>
      <c r="CU3740" s="73"/>
      <c r="CV3740" s="73"/>
      <c r="CW3740" s="73"/>
      <c r="CX3740" s="73"/>
      <c r="DA3740" s="650"/>
    </row>
    <row r="3741" spans="1:105" s="45" customFormat="1" x14ac:dyDescent="0.2">
      <c r="A3741" s="650"/>
      <c r="B3741" s="438"/>
      <c r="D3741" s="73"/>
      <c r="E3741" s="650"/>
      <c r="F3741" s="650"/>
      <c r="G3741" s="73"/>
      <c r="I3741" s="111"/>
      <c r="J3741" s="81"/>
      <c r="K3741" s="81"/>
      <c r="L3741" s="499"/>
      <c r="M3741" s="73"/>
      <c r="N3741" s="499"/>
      <c r="O3741" s="73"/>
      <c r="P3741" s="73"/>
      <c r="Q3741" s="73"/>
      <c r="R3741" s="176"/>
      <c r="S3741" s="176"/>
      <c r="T3741" s="176"/>
      <c r="U3741" s="400"/>
      <c r="V3741" s="400"/>
      <c r="W3741" s="732"/>
      <c r="X3741" s="167"/>
      <c r="Y3741" s="509"/>
      <c r="Z3741" s="466"/>
      <c r="AA3741" s="466"/>
      <c r="AB3741" s="466"/>
      <c r="AC3741" s="466"/>
      <c r="AD3741" s="466"/>
      <c r="AE3741" s="466"/>
      <c r="AF3741" s="466"/>
      <c r="AG3741" s="466"/>
      <c r="AH3741" s="466"/>
      <c r="AI3741" s="466"/>
      <c r="AJ3741" s="466"/>
      <c r="AK3741" s="466"/>
      <c r="AL3741" s="466"/>
      <c r="AM3741" s="466"/>
      <c r="AN3741" s="466"/>
      <c r="AO3741" s="466"/>
      <c r="AP3741" s="466"/>
      <c r="AQ3741" s="466"/>
      <c r="AR3741" s="466"/>
      <c r="AS3741" s="466"/>
      <c r="AT3741" s="466"/>
      <c r="AU3741" s="466"/>
      <c r="AV3741" s="466"/>
      <c r="AW3741" s="466"/>
      <c r="AX3741" s="466"/>
      <c r="AY3741" s="466"/>
      <c r="AZ3741" s="466"/>
      <c r="BA3741" s="466"/>
      <c r="BB3741" s="466"/>
      <c r="BC3741" s="466"/>
      <c r="BD3741" s="466"/>
      <c r="BE3741" s="467"/>
      <c r="BF3741" s="467"/>
      <c r="BG3741" s="466"/>
      <c r="BH3741" s="466"/>
      <c r="BI3741" s="467"/>
      <c r="BJ3741" s="467"/>
      <c r="BK3741" s="467"/>
      <c r="BL3741" s="467"/>
      <c r="BM3741" s="467"/>
      <c r="BN3741" s="467"/>
      <c r="BO3741" s="467"/>
      <c r="BP3741" s="467"/>
      <c r="BQ3741" s="467"/>
      <c r="BR3741" s="467"/>
      <c r="BS3741" s="467"/>
      <c r="BT3741" s="467"/>
      <c r="BU3741" s="467"/>
      <c r="BV3741" s="467"/>
      <c r="BW3741" s="467"/>
      <c r="BX3741" s="769"/>
      <c r="BY3741" s="769"/>
      <c r="BZ3741" s="769"/>
      <c r="CA3741" s="769"/>
      <c r="CB3741" s="769"/>
      <c r="CC3741" s="769"/>
      <c r="CD3741" s="769"/>
      <c r="CE3741" s="769"/>
      <c r="CF3741" s="769"/>
      <c r="CG3741" s="73"/>
      <c r="CH3741" s="438"/>
      <c r="CI3741" s="416"/>
      <c r="CJ3741" s="73"/>
      <c r="CK3741" s="650"/>
      <c r="CL3741" s="499"/>
      <c r="CM3741" s="650"/>
      <c r="CR3741" s="416"/>
      <c r="CS3741" s="650"/>
      <c r="CU3741" s="73"/>
      <c r="CV3741" s="73"/>
      <c r="CW3741" s="73"/>
      <c r="CX3741" s="73"/>
      <c r="DA3741" s="650"/>
    </row>
    <row r="3742" spans="1:105" s="45" customFormat="1" x14ac:dyDescent="0.2">
      <c r="A3742" s="650"/>
      <c r="B3742" s="438"/>
      <c r="D3742" s="73"/>
      <c r="E3742" s="650"/>
      <c r="F3742" s="650"/>
      <c r="G3742" s="73"/>
      <c r="I3742" s="111"/>
      <c r="J3742" s="81"/>
      <c r="K3742" s="81"/>
      <c r="L3742" s="499"/>
      <c r="M3742" s="73"/>
      <c r="N3742" s="499"/>
      <c r="O3742" s="73"/>
      <c r="P3742" s="73"/>
      <c r="Q3742" s="73"/>
      <c r="R3742" s="176"/>
      <c r="S3742" s="176"/>
      <c r="T3742" s="176"/>
      <c r="U3742" s="400"/>
      <c r="V3742" s="400"/>
      <c r="W3742" s="732"/>
      <c r="X3742" s="167"/>
      <c r="Y3742" s="509"/>
      <c r="Z3742" s="466"/>
      <c r="AA3742" s="466"/>
      <c r="AB3742" s="466"/>
      <c r="AC3742" s="466"/>
      <c r="AD3742" s="466"/>
      <c r="AE3742" s="466"/>
      <c r="AF3742" s="466"/>
      <c r="AG3742" s="466"/>
      <c r="AH3742" s="466"/>
      <c r="AI3742" s="466"/>
      <c r="AJ3742" s="466"/>
      <c r="AK3742" s="466"/>
      <c r="AL3742" s="466"/>
      <c r="AM3742" s="466"/>
      <c r="AN3742" s="466"/>
      <c r="AO3742" s="466"/>
      <c r="AP3742" s="466"/>
      <c r="AQ3742" s="466"/>
      <c r="AR3742" s="466"/>
      <c r="AS3742" s="466"/>
      <c r="AT3742" s="466"/>
      <c r="AU3742" s="466"/>
      <c r="AV3742" s="466"/>
      <c r="AW3742" s="466"/>
      <c r="AX3742" s="466"/>
      <c r="AY3742" s="466"/>
      <c r="AZ3742" s="466"/>
      <c r="BA3742" s="466"/>
      <c r="BB3742" s="466"/>
      <c r="BC3742" s="466"/>
      <c r="BD3742" s="466"/>
      <c r="BE3742" s="467"/>
      <c r="BF3742" s="467"/>
      <c r="BG3742" s="466"/>
      <c r="BH3742" s="466"/>
      <c r="BI3742" s="467"/>
      <c r="BJ3742" s="467"/>
      <c r="BK3742" s="467"/>
      <c r="BL3742" s="467"/>
      <c r="BM3742" s="467"/>
      <c r="BN3742" s="467"/>
      <c r="BO3742" s="467"/>
      <c r="BP3742" s="467"/>
      <c r="BQ3742" s="467"/>
      <c r="BR3742" s="467"/>
      <c r="BS3742" s="467"/>
      <c r="BT3742" s="467"/>
      <c r="BU3742" s="467"/>
      <c r="BV3742" s="467"/>
      <c r="BW3742" s="467"/>
      <c r="BX3742" s="769"/>
      <c r="BY3742" s="769"/>
      <c r="BZ3742" s="769"/>
      <c r="CA3742" s="769"/>
      <c r="CB3742" s="769"/>
      <c r="CC3742" s="769"/>
      <c r="CD3742" s="769"/>
      <c r="CE3742" s="769"/>
      <c r="CF3742" s="769"/>
      <c r="CG3742" s="73"/>
      <c r="CH3742" s="438"/>
      <c r="CI3742" s="416"/>
      <c r="CJ3742" s="73"/>
      <c r="CK3742" s="650"/>
      <c r="CL3742" s="499"/>
      <c r="CM3742" s="650"/>
      <c r="CR3742" s="416"/>
      <c r="CS3742" s="650"/>
      <c r="CU3742" s="73"/>
      <c r="CV3742" s="73"/>
      <c r="CW3742" s="73"/>
      <c r="CX3742" s="73"/>
      <c r="DA3742" s="650"/>
    </row>
    <row r="3743" spans="1:105" s="45" customFormat="1" x14ac:dyDescent="0.2">
      <c r="A3743" s="650"/>
      <c r="B3743" s="438"/>
      <c r="D3743" s="73"/>
      <c r="E3743" s="650"/>
      <c r="F3743" s="650"/>
      <c r="G3743" s="73"/>
      <c r="I3743" s="111"/>
      <c r="J3743" s="81"/>
      <c r="K3743" s="81"/>
      <c r="L3743" s="499"/>
      <c r="M3743" s="73"/>
      <c r="N3743" s="499"/>
      <c r="O3743" s="73"/>
      <c r="P3743" s="73"/>
      <c r="Q3743" s="73"/>
      <c r="R3743" s="176"/>
      <c r="S3743" s="176"/>
      <c r="T3743" s="176"/>
      <c r="U3743" s="400"/>
      <c r="V3743" s="400"/>
      <c r="W3743" s="732"/>
      <c r="X3743" s="167"/>
      <c r="Y3743" s="509"/>
      <c r="Z3743" s="466"/>
      <c r="AA3743" s="466"/>
      <c r="AB3743" s="466"/>
      <c r="AC3743" s="466"/>
      <c r="AD3743" s="466"/>
      <c r="AE3743" s="466"/>
      <c r="AF3743" s="466"/>
      <c r="AG3743" s="466"/>
      <c r="AH3743" s="466"/>
      <c r="AI3743" s="466"/>
      <c r="AJ3743" s="466"/>
      <c r="AK3743" s="466"/>
      <c r="AL3743" s="466"/>
      <c r="AM3743" s="466"/>
      <c r="AN3743" s="466"/>
      <c r="AO3743" s="466"/>
      <c r="AP3743" s="466"/>
      <c r="AQ3743" s="466"/>
      <c r="AR3743" s="466"/>
      <c r="AS3743" s="466"/>
      <c r="AT3743" s="466"/>
      <c r="AU3743" s="466"/>
      <c r="AV3743" s="466"/>
      <c r="AW3743" s="466"/>
      <c r="AX3743" s="466"/>
      <c r="AY3743" s="466"/>
      <c r="AZ3743" s="466"/>
      <c r="BA3743" s="466"/>
      <c r="BB3743" s="466"/>
      <c r="BC3743" s="466"/>
      <c r="BD3743" s="466"/>
      <c r="BE3743" s="467"/>
      <c r="BF3743" s="467"/>
      <c r="BG3743" s="466"/>
      <c r="BH3743" s="466"/>
      <c r="BI3743" s="467"/>
      <c r="BJ3743" s="467"/>
      <c r="BK3743" s="467"/>
      <c r="BL3743" s="467"/>
      <c r="BM3743" s="467"/>
      <c r="BN3743" s="467"/>
      <c r="BO3743" s="467"/>
      <c r="BP3743" s="467"/>
      <c r="BQ3743" s="467"/>
      <c r="BR3743" s="467"/>
      <c r="BS3743" s="467"/>
      <c r="BT3743" s="467"/>
      <c r="BU3743" s="467"/>
      <c r="BV3743" s="467"/>
      <c r="BW3743" s="467"/>
      <c r="BX3743" s="769"/>
      <c r="BY3743" s="769"/>
      <c r="BZ3743" s="769"/>
      <c r="CA3743" s="769"/>
      <c r="CB3743" s="769"/>
      <c r="CC3743" s="769"/>
      <c r="CD3743" s="769"/>
      <c r="CE3743" s="769"/>
      <c r="CF3743" s="769"/>
      <c r="CG3743" s="73"/>
      <c r="CH3743" s="438"/>
      <c r="CI3743" s="416"/>
      <c r="CJ3743" s="73"/>
      <c r="CK3743" s="650"/>
      <c r="CL3743" s="499"/>
      <c r="CM3743" s="650"/>
      <c r="CR3743" s="416"/>
      <c r="CS3743" s="650"/>
      <c r="CU3743" s="73"/>
      <c r="CV3743" s="73"/>
      <c r="CW3743" s="73"/>
      <c r="CX3743" s="73"/>
      <c r="DA3743" s="650"/>
    </row>
    <row r="3744" spans="1:105" s="45" customFormat="1" x14ac:dyDescent="0.2">
      <c r="A3744" s="650"/>
      <c r="B3744" s="438"/>
      <c r="D3744" s="73"/>
      <c r="E3744" s="650"/>
      <c r="F3744" s="650"/>
      <c r="G3744" s="73"/>
      <c r="I3744" s="111"/>
      <c r="J3744" s="81"/>
      <c r="K3744" s="81"/>
      <c r="L3744" s="499"/>
      <c r="M3744" s="73"/>
      <c r="N3744" s="499"/>
      <c r="O3744" s="73"/>
      <c r="P3744" s="73"/>
      <c r="Q3744" s="73"/>
      <c r="R3744" s="176"/>
      <c r="S3744" s="176"/>
      <c r="T3744" s="176"/>
      <c r="U3744" s="400"/>
      <c r="V3744" s="400"/>
      <c r="W3744" s="732"/>
      <c r="X3744" s="167"/>
      <c r="Y3744" s="509"/>
      <c r="Z3744" s="466"/>
      <c r="AA3744" s="466"/>
      <c r="AB3744" s="466"/>
      <c r="AC3744" s="466"/>
      <c r="AD3744" s="466"/>
      <c r="AE3744" s="466"/>
      <c r="AF3744" s="466"/>
      <c r="AG3744" s="466"/>
      <c r="AH3744" s="466"/>
      <c r="AI3744" s="466"/>
      <c r="AJ3744" s="466"/>
      <c r="AK3744" s="466"/>
      <c r="AL3744" s="466"/>
      <c r="AM3744" s="466"/>
      <c r="AN3744" s="466"/>
      <c r="AO3744" s="466"/>
      <c r="AP3744" s="466"/>
      <c r="AQ3744" s="466"/>
      <c r="AR3744" s="466"/>
      <c r="AS3744" s="466"/>
      <c r="AT3744" s="466"/>
      <c r="AU3744" s="466"/>
      <c r="AV3744" s="466"/>
      <c r="AW3744" s="466"/>
      <c r="AX3744" s="466"/>
      <c r="AY3744" s="466"/>
      <c r="AZ3744" s="466"/>
      <c r="BA3744" s="466"/>
      <c r="BB3744" s="466"/>
      <c r="BC3744" s="466"/>
      <c r="BD3744" s="466"/>
      <c r="BE3744" s="467"/>
      <c r="BF3744" s="467"/>
      <c r="BG3744" s="466"/>
      <c r="BH3744" s="466"/>
      <c r="BI3744" s="467"/>
      <c r="BJ3744" s="467"/>
      <c r="BK3744" s="467"/>
      <c r="BL3744" s="467"/>
      <c r="BM3744" s="467"/>
      <c r="BN3744" s="467"/>
      <c r="BO3744" s="467"/>
      <c r="BP3744" s="467"/>
      <c r="BQ3744" s="467"/>
      <c r="BR3744" s="467"/>
      <c r="BS3744" s="467"/>
      <c r="BT3744" s="467"/>
      <c r="BU3744" s="467"/>
      <c r="BV3744" s="467"/>
      <c r="BW3744" s="467"/>
      <c r="BX3744" s="769"/>
      <c r="BY3744" s="769"/>
      <c r="BZ3744" s="769"/>
      <c r="CA3744" s="769"/>
      <c r="CB3744" s="769"/>
      <c r="CC3744" s="769"/>
      <c r="CD3744" s="769"/>
      <c r="CE3744" s="769"/>
      <c r="CF3744" s="769"/>
      <c r="CG3744" s="73"/>
      <c r="CH3744" s="438"/>
      <c r="CI3744" s="416"/>
      <c r="CJ3744" s="73"/>
      <c r="CK3744" s="650"/>
      <c r="CL3744" s="499"/>
      <c r="CM3744" s="650"/>
      <c r="CR3744" s="416"/>
      <c r="CS3744" s="650"/>
      <c r="CU3744" s="73"/>
      <c r="CV3744" s="73"/>
      <c r="CW3744" s="73"/>
      <c r="CX3744" s="73"/>
      <c r="DA3744" s="650"/>
    </row>
    <row r="3745" spans="1:105" s="45" customFormat="1" x14ac:dyDescent="0.2">
      <c r="A3745" s="650"/>
      <c r="B3745" s="438"/>
      <c r="D3745" s="73"/>
      <c r="E3745" s="650"/>
      <c r="F3745" s="650"/>
      <c r="G3745" s="73"/>
      <c r="I3745" s="111"/>
      <c r="J3745" s="81"/>
      <c r="K3745" s="81"/>
      <c r="L3745" s="499"/>
      <c r="M3745" s="73"/>
      <c r="N3745" s="499"/>
      <c r="O3745" s="73"/>
      <c r="P3745" s="73"/>
      <c r="Q3745" s="73"/>
      <c r="R3745" s="176"/>
      <c r="S3745" s="176"/>
      <c r="T3745" s="176"/>
      <c r="U3745" s="400"/>
      <c r="V3745" s="400"/>
      <c r="W3745" s="732"/>
      <c r="X3745" s="167"/>
      <c r="Y3745" s="509"/>
      <c r="Z3745" s="466"/>
      <c r="AA3745" s="466"/>
      <c r="AB3745" s="466"/>
      <c r="AC3745" s="466"/>
      <c r="AD3745" s="466"/>
      <c r="AE3745" s="466"/>
      <c r="AF3745" s="466"/>
      <c r="AG3745" s="466"/>
      <c r="AH3745" s="466"/>
      <c r="AI3745" s="466"/>
      <c r="AJ3745" s="466"/>
      <c r="AK3745" s="466"/>
      <c r="AL3745" s="466"/>
      <c r="AM3745" s="466"/>
      <c r="AN3745" s="466"/>
      <c r="AO3745" s="466"/>
      <c r="AP3745" s="466"/>
      <c r="AQ3745" s="466"/>
      <c r="AR3745" s="466"/>
      <c r="AS3745" s="466"/>
      <c r="AT3745" s="466"/>
      <c r="AU3745" s="466"/>
      <c r="AV3745" s="466"/>
      <c r="AW3745" s="466"/>
      <c r="AX3745" s="466"/>
      <c r="AY3745" s="466"/>
      <c r="AZ3745" s="466"/>
      <c r="BA3745" s="466"/>
      <c r="BB3745" s="466"/>
      <c r="BC3745" s="466"/>
      <c r="BD3745" s="466"/>
      <c r="BE3745" s="467"/>
      <c r="BF3745" s="467"/>
      <c r="BG3745" s="466"/>
      <c r="BH3745" s="466"/>
      <c r="BI3745" s="467"/>
      <c r="BJ3745" s="467"/>
      <c r="BK3745" s="467"/>
      <c r="BL3745" s="467"/>
      <c r="BM3745" s="467"/>
      <c r="BN3745" s="467"/>
      <c r="BO3745" s="467"/>
      <c r="BP3745" s="467"/>
      <c r="BQ3745" s="467"/>
      <c r="BR3745" s="467"/>
      <c r="BS3745" s="467"/>
      <c r="BT3745" s="467"/>
      <c r="BU3745" s="467"/>
      <c r="BV3745" s="467"/>
      <c r="BW3745" s="467"/>
      <c r="BX3745" s="769"/>
      <c r="BY3745" s="769"/>
      <c r="BZ3745" s="769"/>
      <c r="CA3745" s="769"/>
      <c r="CB3745" s="769"/>
      <c r="CC3745" s="769"/>
      <c r="CD3745" s="769"/>
      <c r="CE3745" s="769"/>
      <c r="CF3745" s="769"/>
      <c r="CG3745" s="73"/>
      <c r="CH3745" s="438"/>
      <c r="CI3745" s="416"/>
      <c r="CJ3745" s="73"/>
      <c r="CK3745" s="650"/>
      <c r="CL3745" s="499"/>
      <c r="CM3745" s="650"/>
      <c r="CR3745" s="416"/>
      <c r="CS3745" s="650"/>
      <c r="CU3745" s="73"/>
      <c r="CV3745" s="73"/>
      <c r="CW3745" s="73"/>
      <c r="CX3745" s="73"/>
      <c r="DA3745" s="650"/>
    </row>
    <row r="3746" spans="1:105" s="45" customFormat="1" x14ac:dyDescent="0.2">
      <c r="A3746" s="650"/>
      <c r="B3746" s="438"/>
      <c r="D3746" s="73"/>
      <c r="E3746" s="650"/>
      <c r="F3746" s="650"/>
      <c r="G3746" s="73"/>
      <c r="I3746" s="111"/>
      <c r="J3746" s="81"/>
      <c r="K3746" s="81"/>
      <c r="L3746" s="499"/>
      <c r="M3746" s="73"/>
      <c r="N3746" s="499"/>
      <c r="O3746" s="73"/>
      <c r="P3746" s="73"/>
      <c r="Q3746" s="73"/>
      <c r="R3746" s="176"/>
      <c r="S3746" s="176"/>
      <c r="T3746" s="176"/>
      <c r="U3746" s="400"/>
      <c r="V3746" s="400"/>
      <c r="W3746" s="732"/>
      <c r="X3746" s="167"/>
      <c r="Y3746" s="509"/>
      <c r="Z3746" s="466"/>
      <c r="AA3746" s="466"/>
      <c r="AB3746" s="466"/>
      <c r="AC3746" s="466"/>
      <c r="AD3746" s="466"/>
      <c r="AE3746" s="466"/>
      <c r="AF3746" s="466"/>
      <c r="AG3746" s="466"/>
      <c r="AH3746" s="466"/>
      <c r="AI3746" s="466"/>
      <c r="AJ3746" s="466"/>
      <c r="AK3746" s="466"/>
      <c r="AL3746" s="466"/>
      <c r="AM3746" s="466"/>
      <c r="AN3746" s="466"/>
      <c r="AO3746" s="466"/>
      <c r="AP3746" s="466"/>
      <c r="AQ3746" s="466"/>
      <c r="AR3746" s="466"/>
      <c r="AS3746" s="466"/>
      <c r="AT3746" s="466"/>
      <c r="AU3746" s="466"/>
      <c r="AV3746" s="466"/>
      <c r="AW3746" s="466"/>
      <c r="AX3746" s="466"/>
      <c r="AY3746" s="466"/>
      <c r="AZ3746" s="466"/>
      <c r="BA3746" s="466"/>
      <c r="BB3746" s="466"/>
      <c r="BC3746" s="466"/>
      <c r="BD3746" s="466"/>
      <c r="BE3746" s="467"/>
      <c r="BF3746" s="467"/>
      <c r="BG3746" s="466"/>
      <c r="BH3746" s="466"/>
      <c r="BI3746" s="467"/>
      <c r="BJ3746" s="467"/>
      <c r="BK3746" s="467"/>
      <c r="BL3746" s="467"/>
      <c r="BM3746" s="467"/>
      <c r="BN3746" s="467"/>
      <c r="BO3746" s="467"/>
      <c r="BP3746" s="467"/>
      <c r="BQ3746" s="467"/>
      <c r="BR3746" s="467"/>
      <c r="BS3746" s="467"/>
      <c r="BT3746" s="467"/>
      <c r="BU3746" s="467"/>
      <c r="BV3746" s="467"/>
      <c r="BW3746" s="467"/>
      <c r="BX3746" s="769"/>
      <c r="BY3746" s="769"/>
      <c r="BZ3746" s="769"/>
      <c r="CA3746" s="769"/>
      <c r="CB3746" s="769"/>
      <c r="CC3746" s="769"/>
      <c r="CD3746" s="769"/>
      <c r="CE3746" s="769"/>
      <c r="CF3746" s="769"/>
      <c r="CG3746" s="73"/>
      <c r="CH3746" s="438"/>
      <c r="CI3746" s="416"/>
      <c r="CJ3746" s="73"/>
      <c r="CK3746" s="650"/>
      <c r="CL3746" s="499"/>
      <c r="CM3746" s="650"/>
      <c r="CR3746" s="416"/>
      <c r="CS3746" s="650"/>
      <c r="CU3746" s="73"/>
      <c r="CV3746" s="73"/>
      <c r="CW3746" s="73"/>
      <c r="CX3746" s="73"/>
      <c r="DA3746" s="650"/>
    </row>
    <row r="3747" spans="1:105" s="45" customFormat="1" x14ac:dyDescent="0.2">
      <c r="A3747" s="650"/>
      <c r="B3747" s="438"/>
      <c r="D3747" s="73"/>
      <c r="E3747" s="650"/>
      <c r="F3747" s="650"/>
      <c r="G3747" s="73"/>
      <c r="I3747" s="111"/>
      <c r="J3747" s="81"/>
      <c r="K3747" s="81"/>
      <c r="L3747" s="499"/>
      <c r="M3747" s="73"/>
      <c r="N3747" s="499"/>
      <c r="O3747" s="73"/>
      <c r="P3747" s="73"/>
      <c r="Q3747" s="73"/>
      <c r="R3747" s="176"/>
      <c r="S3747" s="176"/>
      <c r="T3747" s="176"/>
      <c r="U3747" s="400"/>
      <c r="V3747" s="400"/>
      <c r="W3747" s="732"/>
      <c r="X3747" s="167"/>
      <c r="Y3747" s="509"/>
      <c r="Z3747" s="466"/>
      <c r="AA3747" s="466"/>
      <c r="AB3747" s="466"/>
      <c r="AC3747" s="466"/>
      <c r="AD3747" s="466"/>
      <c r="AE3747" s="466"/>
      <c r="AF3747" s="466"/>
      <c r="AG3747" s="466"/>
      <c r="AH3747" s="466"/>
      <c r="AI3747" s="466"/>
      <c r="AJ3747" s="466"/>
      <c r="AK3747" s="466"/>
      <c r="AL3747" s="466"/>
      <c r="AM3747" s="466"/>
      <c r="AN3747" s="466"/>
      <c r="AO3747" s="466"/>
      <c r="AP3747" s="466"/>
      <c r="AQ3747" s="466"/>
      <c r="AR3747" s="466"/>
      <c r="AS3747" s="466"/>
      <c r="AT3747" s="466"/>
      <c r="AU3747" s="466"/>
      <c r="AV3747" s="466"/>
      <c r="AW3747" s="466"/>
      <c r="AX3747" s="466"/>
      <c r="AY3747" s="466"/>
      <c r="AZ3747" s="466"/>
      <c r="BA3747" s="466"/>
      <c r="BB3747" s="466"/>
      <c r="BC3747" s="466"/>
      <c r="BD3747" s="466"/>
      <c r="BE3747" s="467"/>
      <c r="BF3747" s="467"/>
      <c r="BG3747" s="466"/>
      <c r="BH3747" s="466"/>
      <c r="BI3747" s="467"/>
      <c r="BJ3747" s="467"/>
      <c r="BK3747" s="467"/>
      <c r="BL3747" s="467"/>
      <c r="BM3747" s="467"/>
      <c r="BN3747" s="467"/>
      <c r="BO3747" s="467"/>
      <c r="BP3747" s="467"/>
      <c r="BQ3747" s="467"/>
      <c r="BR3747" s="467"/>
      <c r="BS3747" s="467"/>
      <c r="BT3747" s="467"/>
      <c r="BU3747" s="467"/>
      <c r="BV3747" s="467"/>
      <c r="BW3747" s="467"/>
      <c r="BX3747" s="769"/>
      <c r="BY3747" s="769"/>
      <c r="BZ3747" s="769"/>
      <c r="CA3747" s="769"/>
      <c r="CB3747" s="769"/>
      <c r="CC3747" s="769"/>
      <c r="CD3747" s="769"/>
      <c r="CE3747" s="769"/>
      <c r="CF3747" s="769"/>
      <c r="CG3747" s="73"/>
      <c r="CH3747" s="438"/>
      <c r="CI3747" s="416"/>
      <c r="CJ3747" s="73"/>
      <c r="CK3747" s="650"/>
      <c r="CL3747" s="499"/>
      <c r="CM3747" s="650"/>
      <c r="CR3747" s="416"/>
      <c r="CS3747" s="650"/>
      <c r="CU3747" s="73"/>
      <c r="CV3747" s="73"/>
      <c r="CW3747" s="73"/>
      <c r="CX3747" s="73"/>
      <c r="DA3747" s="650"/>
    </row>
    <row r="3748" spans="1:105" s="45" customFormat="1" x14ac:dyDescent="0.2">
      <c r="A3748" s="650"/>
      <c r="B3748" s="438"/>
      <c r="D3748" s="73"/>
      <c r="E3748" s="650"/>
      <c r="F3748" s="650"/>
      <c r="G3748" s="73"/>
      <c r="I3748" s="111"/>
      <c r="J3748" s="81"/>
      <c r="K3748" s="81"/>
      <c r="L3748" s="499"/>
      <c r="M3748" s="73"/>
      <c r="N3748" s="499"/>
      <c r="O3748" s="73"/>
      <c r="P3748" s="73"/>
      <c r="Q3748" s="73"/>
      <c r="R3748" s="176"/>
      <c r="S3748" s="176"/>
      <c r="T3748" s="176"/>
      <c r="U3748" s="400"/>
      <c r="V3748" s="400"/>
      <c r="W3748" s="732"/>
      <c r="X3748" s="167"/>
      <c r="Y3748" s="509"/>
      <c r="Z3748" s="466"/>
      <c r="AA3748" s="466"/>
      <c r="AB3748" s="466"/>
      <c r="AC3748" s="466"/>
      <c r="AD3748" s="466"/>
      <c r="AE3748" s="466"/>
      <c r="AF3748" s="466"/>
      <c r="AG3748" s="466"/>
      <c r="AH3748" s="466"/>
      <c r="AI3748" s="466"/>
      <c r="AJ3748" s="466"/>
      <c r="AK3748" s="466"/>
      <c r="AL3748" s="466"/>
      <c r="AM3748" s="466"/>
      <c r="AN3748" s="466"/>
      <c r="AO3748" s="466"/>
      <c r="AP3748" s="466"/>
      <c r="AQ3748" s="466"/>
      <c r="AR3748" s="466"/>
      <c r="AS3748" s="466"/>
      <c r="AT3748" s="466"/>
      <c r="AU3748" s="466"/>
      <c r="AV3748" s="466"/>
      <c r="AW3748" s="466"/>
      <c r="AX3748" s="466"/>
      <c r="AY3748" s="466"/>
      <c r="AZ3748" s="466"/>
      <c r="BA3748" s="466"/>
      <c r="BB3748" s="466"/>
      <c r="BC3748" s="466"/>
      <c r="BD3748" s="466"/>
      <c r="BE3748" s="467"/>
      <c r="BF3748" s="467"/>
      <c r="BG3748" s="466"/>
      <c r="BH3748" s="466"/>
      <c r="BI3748" s="467"/>
      <c r="BJ3748" s="467"/>
      <c r="BK3748" s="467"/>
      <c r="BL3748" s="467"/>
      <c r="BM3748" s="467"/>
      <c r="BN3748" s="467"/>
      <c r="BO3748" s="467"/>
      <c r="BP3748" s="467"/>
      <c r="BQ3748" s="467"/>
      <c r="BR3748" s="467"/>
      <c r="BS3748" s="467"/>
      <c r="BT3748" s="467"/>
      <c r="BU3748" s="467"/>
      <c r="BV3748" s="467"/>
      <c r="BW3748" s="467"/>
      <c r="BX3748" s="769"/>
      <c r="BY3748" s="769"/>
      <c r="BZ3748" s="769"/>
      <c r="CA3748" s="769"/>
      <c r="CB3748" s="769"/>
      <c r="CC3748" s="769"/>
      <c r="CD3748" s="769"/>
      <c r="CE3748" s="769"/>
      <c r="CF3748" s="769"/>
      <c r="CG3748" s="73"/>
      <c r="CH3748" s="438"/>
      <c r="CI3748" s="416"/>
      <c r="CJ3748" s="73"/>
      <c r="CK3748" s="650"/>
      <c r="CL3748" s="499"/>
      <c r="CM3748" s="650"/>
      <c r="CR3748" s="416"/>
      <c r="CS3748" s="650"/>
      <c r="CU3748" s="73"/>
      <c r="CV3748" s="73"/>
      <c r="CW3748" s="73"/>
      <c r="CX3748" s="73"/>
      <c r="DA3748" s="650"/>
    </row>
    <row r="3749" spans="1:105" s="45" customFormat="1" x14ac:dyDescent="0.2">
      <c r="A3749" s="650"/>
      <c r="B3749" s="438"/>
      <c r="D3749" s="73"/>
      <c r="E3749" s="650"/>
      <c r="F3749" s="650"/>
      <c r="G3749" s="73"/>
      <c r="I3749" s="111"/>
      <c r="J3749" s="81"/>
      <c r="K3749" s="81"/>
      <c r="L3749" s="499"/>
      <c r="M3749" s="73"/>
      <c r="N3749" s="499"/>
      <c r="O3749" s="73"/>
      <c r="P3749" s="73"/>
      <c r="Q3749" s="73"/>
      <c r="R3749" s="176"/>
      <c r="S3749" s="176"/>
      <c r="T3749" s="176"/>
      <c r="U3749" s="400"/>
      <c r="V3749" s="400"/>
      <c r="W3749" s="732"/>
      <c r="X3749" s="167"/>
      <c r="Y3749" s="509"/>
      <c r="Z3749" s="466"/>
      <c r="AA3749" s="466"/>
      <c r="AB3749" s="466"/>
      <c r="AC3749" s="466"/>
      <c r="AD3749" s="466"/>
      <c r="AE3749" s="466"/>
      <c r="AF3749" s="466"/>
      <c r="AG3749" s="466"/>
      <c r="AH3749" s="466"/>
      <c r="AI3749" s="466"/>
      <c r="AJ3749" s="466"/>
      <c r="AK3749" s="466"/>
      <c r="AL3749" s="466"/>
      <c r="AM3749" s="466"/>
      <c r="AN3749" s="466"/>
      <c r="AO3749" s="466"/>
      <c r="AP3749" s="466"/>
      <c r="AQ3749" s="466"/>
      <c r="AR3749" s="466"/>
      <c r="AS3749" s="466"/>
      <c r="AT3749" s="466"/>
      <c r="AU3749" s="466"/>
      <c r="AV3749" s="466"/>
      <c r="AW3749" s="466"/>
      <c r="AX3749" s="466"/>
      <c r="AY3749" s="466"/>
      <c r="AZ3749" s="466"/>
      <c r="BA3749" s="466"/>
      <c r="BB3749" s="466"/>
      <c r="BC3749" s="466"/>
      <c r="BD3749" s="466"/>
      <c r="BE3749" s="467"/>
      <c r="BF3749" s="467"/>
      <c r="BG3749" s="466"/>
      <c r="BH3749" s="466"/>
      <c r="BI3749" s="467"/>
      <c r="BJ3749" s="467"/>
      <c r="BK3749" s="467"/>
      <c r="BL3749" s="467"/>
      <c r="BM3749" s="467"/>
      <c r="BN3749" s="467"/>
      <c r="BO3749" s="467"/>
      <c r="BP3749" s="467"/>
      <c r="BQ3749" s="467"/>
      <c r="BR3749" s="467"/>
      <c r="BS3749" s="467"/>
      <c r="BT3749" s="467"/>
      <c r="BU3749" s="467"/>
      <c r="BV3749" s="467"/>
      <c r="BW3749" s="467"/>
      <c r="BX3749" s="769"/>
      <c r="BY3749" s="769"/>
      <c r="BZ3749" s="769"/>
      <c r="CA3749" s="769"/>
      <c r="CB3749" s="769"/>
      <c r="CC3749" s="769"/>
      <c r="CD3749" s="769"/>
      <c r="CE3749" s="769"/>
      <c r="CF3749" s="769"/>
      <c r="CG3749" s="73"/>
      <c r="CH3749" s="438"/>
      <c r="CI3749" s="416"/>
      <c r="CJ3749" s="73"/>
      <c r="CK3749" s="650"/>
      <c r="CL3749" s="499"/>
      <c r="CM3749" s="650"/>
      <c r="CR3749" s="416"/>
      <c r="CS3749" s="650"/>
      <c r="CU3749" s="73"/>
      <c r="CV3749" s="73"/>
      <c r="CW3749" s="73"/>
      <c r="CX3749" s="73"/>
      <c r="DA3749" s="650"/>
    </row>
    <row r="3750" spans="1:105" s="45" customFormat="1" x14ac:dyDescent="0.2">
      <c r="A3750" s="650"/>
      <c r="B3750" s="438"/>
      <c r="D3750" s="73"/>
      <c r="E3750" s="650"/>
      <c r="F3750" s="650"/>
      <c r="G3750" s="73"/>
      <c r="I3750" s="111"/>
      <c r="J3750" s="81"/>
      <c r="K3750" s="81"/>
      <c r="L3750" s="499"/>
      <c r="M3750" s="73"/>
      <c r="N3750" s="499"/>
      <c r="O3750" s="73"/>
      <c r="P3750" s="73"/>
      <c r="Q3750" s="73"/>
      <c r="R3750" s="176"/>
      <c r="S3750" s="176"/>
      <c r="T3750" s="176"/>
      <c r="U3750" s="400"/>
      <c r="V3750" s="400"/>
      <c r="W3750" s="732"/>
      <c r="X3750" s="167"/>
      <c r="Y3750" s="509"/>
      <c r="Z3750" s="466"/>
      <c r="AA3750" s="466"/>
      <c r="AB3750" s="466"/>
      <c r="AC3750" s="466"/>
      <c r="AD3750" s="466"/>
      <c r="AE3750" s="466"/>
      <c r="AF3750" s="466"/>
      <c r="AG3750" s="466"/>
      <c r="AH3750" s="466"/>
      <c r="AI3750" s="466"/>
      <c r="AJ3750" s="466"/>
      <c r="AK3750" s="466"/>
      <c r="AL3750" s="466"/>
      <c r="AM3750" s="466"/>
      <c r="AN3750" s="466"/>
      <c r="AO3750" s="466"/>
      <c r="AP3750" s="466"/>
      <c r="AQ3750" s="466"/>
      <c r="AR3750" s="466"/>
      <c r="AS3750" s="466"/>
      <c r="AT3750" s="466"/>
      <c r="AU3750" s="466"/>
      <c r="AV3750" s="466"/>
      <c r="AW3750" s="466"/>
      <c r="AX3750" s="466"/>
      <c r="AY3750" s="466"/>
      <c r="AZ3750" s="466"/>
      <c r="BA3750" s="466"/>
      <c r="BB3750" s="466"/>
      <c r="BC3750" s="466"/>
      <c r="BD3750" s="466"/>
      <c r="BE3750" s="467"/>
      <c r="BF3750" s="467"/>
      <c r="BG3750" s="466"/>
      <c r="BH3750" s="466"/>
      <c r="BI3750" s="467"/>
      <c r="BJ3750" s="467"/>
      <c r="BK3750" s="467"/>
      <c r="BL3750" s="467"/>
      <c r="BM3750" s="467"/>
      <c r="BN3750" s="467"/>
      <c r="BO3750" s="467"/>
      <c r="BP3750" s="467"/>
      <c r="BQ3750" s="467"/>
      <c r="BR3750" s="467"/>
      <c r="BS3750" s="467"/>
      <c r="BT3750" s="467"/>
      <c r="BU3750" s="467"/>
      <c r="BV3750" s="467"/>
      <c r="BW3750" s="467"/>
      <c r="BX3750" s="769"/>
      <c r="BY3750" s="769"/>
      <c r="BZ3750" s="769"/>
      <c r="CA3750" s="769"/>
      <c r="CB3750" s="769"/>
      <c r="CC3750" s="769"/>
      <c r="CD3750" s="769"/>
      <c r="CE3750" s="769"/>
      <c r="CF3750" s="769"/>
      <c r="CG3750" s="73"/>
      <c r="CH3750" s="438"/>
      <c r="CI3750" s="416"/>
      <c r="CJ3750" s="73"/>
      <c r="CK3750" s="650"/>
      <c r="CL3750" s="499"/>
      <c r="CM3750" s="650"/>
      <c r="CR3750" s="416"/>
      <c r="CS3750" s="650"/>
      <c r="CU3750" s="73"/>
      <c r="CV3750" s="73"/>
      <c r="CW3750" s="73"/>
      <c r="CX3750" s="73"/>
      <c r="DA3750" s="650"/>
    </row>
    <row r="3751" spans="1:105" s="45" customFormat="1" x14ac:dyDescent="0.2">
      <c r="A3751" s="650"/>
      <c r="B3751" s="438"/>
      <c r="D3751" s="73"/>
      <c r="E3751" s="650"/>
      <c r="F3751" s="650"/>
      <c r="G3751" s="73"/>
      <c r="I3751" s="111"/>
      <c r="J3751" s="81"/>
      <c r="K3751" s="81"/>
      <c r="L3751" s="499"/>
      <c r="M3751" s="73"/>
      <c r="N3751" s="499"/>
      <c r="O3751" s="73"/>
      <c r="P3751" s="73"/>
      <c r="Q3751" s="73"/>
      <c r="R3751" s="176"/>
      <c r="S3751" s="176"/>
      <c r="T3751" s="176"/>
      <c r="U3751" s="400"/>
      <c r="V3751" s="400"/>
      <c r="W3751" s="732"/>
      <c r="X3751" s="167"/>
      <c r="Y3751" s="509"/>
      <c r="Z3751" s="466"/>
      <c r="AA3751" s="466"/>
      <c r="AB3751" s="466"/>
      <c r="AC3751" s="466"/>
      <c r="AD3751" s="466"/>
      <c r="AE3751" s="466"/>
      <c r="AF3751" s="466"/>
      <c r="AG3751" s="466"/>
      <c r="AH3751" s="466"/>
      <c r="AI3751" s="466"/>
      <c r="AJ3751" s="466"/>
      <c r="AK3751" s="466"/>
      <c r="AL3751" s="466"/>
      <c r="AM3751" s="466"/>
      <c r="AN3751" s="466"/>
      <c r="AO3751" s="466"/>
      <c r="AP3751" s="466"/>
      <c r="AQ3751" s="466"/>
      <c r="AR3751" s="466"/>
      <c r="AS3751" s="466"/>
      <c r="AT3751" s="466"/>
      <c r="AU3751" s="466"/>
      <c r="AV3751" s="466"/>
      <c r="AW3751" s="466"/>
      <c r="AX3751" s="466"/>
      <c r="AY3751" s="466"/>
      <c r="AZ3751" s="466"/>
      <c r="BA3751" s="466"/>
      <c r="BB3751" s="466"/>
      <c r="BC3751" s="466"/>
      <c r="BD3751" s="466"/>
      <c r="BE3751" s="467"/>
      <c r="BF3751" s="467"/>
      <c r="BG3751" s="466"/>
      <c r="BH3751" s="466"/>
      <c r="BI3751" s="467"/>
      <c r="BJ3751" s="467"/>
      <c r="BK3751" s="467"/>
      <c r="BL3751" s="467"/>
      <c r="BM3751" s="467"/>
      <c r="BN3751" s="467"/>
      <c r="BO3751" s="467"/>
      <c r="BP3751" s="467"/>
      <c r="BQ3751" s="467"/>
      <c r="BR3751" s="467"/>
      <c r="BS3751" s="467"/>
      <c r="BT3751" s="467"/>
      <c r="BU3751" s="467"/>
      <c r="BV3751" s="467"/>
      <c r="BW3751" s="467"/>
      <c r="BX3751" s="769"/>
      <c r="BY3751" s="769"/>
      <c r="BZ3751" s="769"/>
      <c r="CA3751" s="769"/>
      <c r="CB3751" s="769"/>
      <c r="CC3751" s="769"/>
      <c r="CD3751" s="769"/>
      <c r="CE3751" s="769"/>
      <c r="CF3751" s="769"/>
      <c r="CG3751" s="73"/>
      <c r="CH3751" s="438"/>
      <c r="CI3751" s="416"/>
      <c r="CJ3751" s="73"/>
      <c r="CK3751" s="650"/>
      <c r="CL3751" s="499"/>
      <c r="CM3751" s="650"/>
      <c r="CR3751" s="416"/>
      <c r="CS3751" s="650"/>
      <c r="CU3751" s="73"/>
      <c r="CV3751" s="73"/>
      <c r="CW3751" s="73"/>
      <c r="CX3751" s="73"/>
      <c r="DA3751" s="650"/>
    </row>
    <row r="3752" spans="1:105" s="45" customFormat="1" x14ac:dyDescent="0.2">
      <c r="A3752" s="650"/>
      <c r="B3752" s="438"/>
      <c r="D3752" s="73"/>
      <c r="E3752" s="650"/>
      <c r="F3752" s="650"/>
      <c r="G3752" s="73"/>
      <c r="I3752" s="111"/>
      <c r="J3752" s="81"/>
      <c r="K3752" s="81"/>
      <c r="L3752" s="499"/>
      <c r="M3752" s="73"/>
      <c r="N3752" s="499"/>
      <c r="O3752" s="73"/>
      <c r="P3752" s="73"/>
      <c r="Q3752" s="73"/>
      <c r="R3752" s="176"/>
      <c r="S3752" s="176"/>
      <c r="T3752" s="176"/>
      <c r="U3752" s="400"/>
      <c r="V3752" s="400"/>
      <c r="W3752" s="732"/>
      <c r="X3752" s="167"/>
      <c r="Y3752" s="509"/>
      <c r="Z3752" s="466"/>
      <c r="AA3752" s="466"/>
      <c r="AB3752" s="466"/>
      <c r="AC3752" s="466"/>
      <c r="AD3752" s="466"/>
      <c r="AE3752" s="466"/>
      <c r="AF3752" s="466"/>
      <c r="AG3752" s="466"/>
      <c r="AH3752" s="466"/>
      <c r="AI3752" s="466"/>
      <c r="AJ3752" s="466"/>
      <c r="AK3752" s="466"/>
      <c r="AL3752" s="466"/>
      <c r="AM3752" s="466"/>
      <c r="AN3752" s="466"/>
      <c r="AO3752" s="466"/>
      <c r="AP3752" s="466"/>
      <c r="AQ3752" s="466"/>
      <c r="AR3752" s="466"/>
      <c r="AS3752" s="466"/>
      <c r="AT3752" s="466"/>
      <c r="AU3752" s="466"/>
      <c r="AV3752" s="466"/>
      <c r="AW3752" s="466"/>
      <c r="AX3752" s="466"/>
      <c r="AY3752" s="466"/>
      <c r="AZ3752" s="466"/>
      <c r="BA3752" s="466"/>
      <c r="BB3752" s="466"/>
      <c r="BC3752" s="466"/>
      <c r="BD3752" s="466"/>
      <c r="BE3752" s="467"/>
      <c r="BF3752" s="467"/>
      <c r="BG3752" s="466"/>
      <c r="BH3752" s="466"/>
      <c r="BI3752" s="467"/>
      <c r="BJ3752" s="467"/>
      <c r="BK3752" s="467"/>
      <c r="BL3752" s="467"/>
      <c r="BM3752" s="467"/>
      <c r="BN3752" s="467"/>
      <c r="BO3752" s="467"/>
      <c r="BP3752" s="467"/>
      <c r="BQ3752" s="467"/>
      <c r="BR3752" s="467"/>
      <c r="BS3752" s="467"/>
      <c r="BT3752" s="467"/>
      <c r="BU3752" s="467"/>
      <c r="BV3752" s="467"/>
      <c r="BW3752" s="467"/>
      <c r="BX3752" s="769"/>
      <c r="BY3752" s="769"/>
      <c r="BZ3752" s="769"/>
      <c r="CA3752" s="769"/>
      <c r="CB3752" s="769"/>
      <c r="CC3752" s="769"/>
      <c r="CD3752" s="769"/>
      <c r="CE3752" s="769"/>
      <c r="CF3752" s="769"/>
      <c r="CG3752" s="73"/>
      <c r="CH3752" s="438"/>
      <c r="CI3752" s="416"/>
      <c r="CJ3752" s="73"/>
      <c r="CK3752" s="650"/>
      <c r="CL3752" s="499"/>
      <c r="CM3752" s="650"/>
      <c r="CR3752" s="416"/>
      <c r="CS3752" s="650"/>
      <c r="CU3752" s="73"/>
      <c r="CV3752" s="73"/>
      <c r="CW3752" s="73"/>
      <c r="CX3752" s="73"/>
      <c r="DA3752" s="650"/>
    </row>
    <row r="3753" spans="1:105" s="45" customFormat="1" x14ac:dyDescent="0.2">
      <c r="A3753" s="650"/>
      <c r="B3753" s="438"/>
      <c r="D3753" s="73"/>
      <c r="E3753" s="650"/>
      <c r="F3753" s="650"/>
      <c r="G3753" s="73"/>
      <c r="I3753" s="111"/>
      <c r="J3753" s="81"/>
      <c r="K3753" s="81"/>
      <c r="L3753" s="499"/>
      <c r="M3753" s="73"/>
      <c r="N3753" s="499"/>
      <c r="O3753" s="73"/>
      <c r="P3753" s="73"/>
      <c r="Q3753" s="73"/>
      <c r="R3753" s="176"/>
      <c r="S3753" s="176"/>
      <c r="T3753" s="176"/>
      <c r="U3753" s="400"/>
      <c r="V3753" s="400"/>
      <c r="W3753" s="732"/>
      <c r="X3753" s="167"/>
      <c r="Y3753" s="509"/>
      <c r="Z3753" s="466"/>
      <c r="AA3753" s="466"/>
      <c r="AB3753" s="466"/>
      <c r="AC3753" s="466"/>
      <c r="AD3753" s="466"/>
      <c r="AE3753" s="466"/>
      <c r="AF3753" s="466"/>
      <c r="AG3753" s="466"/>
      <c r="AH3753" s="466"/>
      <c r="AI3753" s="466"/>
      <c r="AJ3753" s="466"/>
      <c r="AK3753" s="466"/>
      <c r="AL3753" s="466"/>
      <c r="AM3753" s="466"/>
      <c r="AN3753" s="466"/>
      <c r="AO3753" s="466"/>
      <c r="AP3753" s="466"/>
      <c r="AQ3753" s="466"/>
      <c r="AR3753" s="466"/>
      <c r="AS3753" s="466"/>
      <c r="AT3753" s="466"/>
      <c r="AU3753" s="466"/>
      <c r="AV3753" s="466"/>
      <c r="AW3753" s="466"/>
      <c r="AX3753" s="466"/>
      <c r="AY3753" s="466"/>
      <c r="AZ3753" s="466"/>
      <c r="BA3753" s="466"/>
      <c r="BB3753" s="466"/>
      <c r="BC3753" s="466"/>
      <c r="BD3753" s="466"/>
      <c r="BE3753" s="467"/>
      <c r="BF3753" s="467"/>
      <c r="BG3753" s="466"/>
      <c r="BH3753" s="466"/>
      <c r="BI3753" s="467"/>
      <c r="BJ3753" s="467"/>
      <c r="BK3753" s="467"/>
      <c r="BL3753" s="467"/>
      <c r="BM3753" s="467"/>
      <c r="BN3753" s="467"/>
      <c r="BO3753" s="467"/>
      <c r="BP3753" s="467"/>
      <c r="BQ3753" s="467"/>
      <c r="BR3753" s="467"/>
      <c r="BS3753" s="467"/>
      <c r="BT3753" s="467"/>
      <c r="BU3753" s="467"/>
      <c r="BV3753" s="467"/>
      <c r="BW3753" s="467"/>
      <c r="BX3753" s="769"/>
      <c r="BY3753" s="769"/>
      <c r="BZ3753" s="769"/>
      <c r="CA3753" s="769"/>
      <c r="CB3753" s="769"/>
      <c r="CC3753" s="769"/>
      <c r="CD3753" s="769"/>
      <c r="CE3753" s="769"/>
      <c r="CF3753" s="769"/>
      <c r="CG3753" s="73"/>
      <c r="CH3753" s="438"/>
      <c r="CI3753" s="416"/>
      <c r="CJ3753" s="73"/>
      <c r="CK3753" s="650"/>
      <c r="CL3753" s="499"/>
      <c r="CM3753" s="650"/>
      <c r="CR3753" s="416"/>
      <c r="CS3753" s="650"/>
      <c r="CU3753" s="73"/>
      <c r="CV3753" s="73"/>
      <c r="CW3753" s="73"/>
      <c r="CX3753" s="73"/>
      <c r="DA3753" s="650"/>
    </row>
    <row r="3754" spans="1:105" s="45" customFormat="1" x14ac:dyDescent="0.2">
      <c r="A3754" s="650"/>
      <c r="B3754" s="438"/>
      <c r="D3754" s="73"/>
      <c r="E3754" s="650"/>
      <c r="F3754" s="650"/>
      <c r="G3754" s="73"/>
      <c r="I3754" s="111"/>
      <c r="J3754" s="81"/>
      <c r="K3754" s="81"/>
      <c r="L3754" s="499"/>
      <c r="M3754" s="73"/>
      <c r="N3754" s="499"/>
      <c r="O3754" s="73"/>
      <c r="P3754" s="73"/>
      <c r="Q3754" s="73"/>
      <c r="R3754" s="176"/>
      <c r="S3754" s="176"/>
      <c r="T3754" s="176"/>
      <c r="U3754" s="400"/>
      <c r="V3754" s="400"/>
      <c r="W3754" s="732"/>
      <c r="X3754" s="167"/>
      <c r="Y3754" s="509"/>
      <c r="Z3754" s="466"/>
      <c r="AA3754" s="466"/>
      <c r="AB3754" s="466"/>
      <c r="AC3754" s="466"/>
      <c r="AD3754" s="466"/>
      <c r="AE3754" s="466"/>
      <c r="AF3754" s="466"/>
      <c r="AG3754" s="466"/>
      <c r="AH3754" s="466"/>
      <c r="AI3754" s="466"/>
      <c r="AJ3754" s="466"/>
      <c r="AK3754" s="466"/>
      <c r="AL3754" s="466"/>
      <c r="AM3754" s="466"/>
      <c r="AN3754" s="466"/>
      <c r="AO3754" s="466"/>
      <c r="AP3754" s="466"/>
      <c r="AQ3754" s="466"/>
      <c r="AR3754" s="466"/>
      <c r="AS3754" s="466"/>
      <c r="AT3754" s="466"/>
      <c r="AU3754" s="466"/>
      <c r="AV3754" s="466"/>
      <c r="AW3754" s="466"/>
      <c r="AX3754" s="466"/>
      <c r="AY3754" s="466"/>
      <c r="AZ3754" s="466"/>
      <c r="BA3754" s="466"/>
      <c r="BB3754" s="466"/>
      <c r="BC3754" s="466"/>
      <c r="BD3754" s="466"/>
      <c r="BE3754" s="467"/>
      <c r="BF3754" s="467"/>
      <c r="BG3754" s="466"/>
      <c r="BH3754" s="466"/>
      <c r="BI3754" s="467"/>
      <c r="BJ3754" s="467"/>
      <c r="BK3754" s="467"/>
      <c r="BL3754" s="467"/>
      <c r="BM3754" s="467"/>
      <c r="BN3754" s="467"/>
      <c r="BO3754" s="467"/>
      <c r="BP3754" s="467"/>
      <c r="BQ3754" s="467"/>
      <c r="BR3754" s="467"/>
      <c r="BS3754" s="467"/>
      <c r="BT3754" s="467"/>
      <c r="BU3754" s="467"/>
      <c r="BV3754" s="467"/>
      <c r="BW3754" s="467"/>
      <c r="BX3754" s="769"/>
      <c r="BY3754" s="769"/>
      <c r="BZ3754" s="769"/>
      <c r="CA3754" s="769"/>
      <c r="CB3754" s="769"/>
      <c r="CC3754" s="769"/>
      <c r="CD3754" s="769"/>
      <c r="CE3754" s="769"/>
      <c r="CF3754" s="769"/>
      <c r="CG3754" s="73"/>
      <c r="CH3754" s="438"/>
      <c r="CI3754" s="416"/>
      <c r="CJ3754" s="73"/>
      <c r="CK3754" s="650"/>
      <c r="CL3754" s="499"/>
      <c r="CM3754" s="650"/>
      <c r="CR3754" s="416"/>
      <c r="CS3754" s="650"/>
      <c r="CU3754" s="73"/>
      <c r="CV3754" s="73"/>
      <c r="CW3754" s="73"/>
      <c r="CX3754" s="73"/>
      <c r="DA3754" s="650"/>
    </row>
    <row r="3755" spans="1:105" s="45" customFormat="1" x14ac:dyDescent="0.2">
      <c r="A3755" s="650"/>
      <c r="B3755" s="438"/>
      <c r="D3755" s="73"/>
      <c r="E3755" s="650"/>
      <c r="F3755" s="650"/>
      <c r="G3755" s="73"/>
      <c r="I3755" s="111"/>
      <c r="J3755" s="81"/>
      <c r="K3755" s="81"/>
      <c r="L3755" s="499"/>
      <c r="M3755" s="73"/>
      <c r="N3755" s="499"/>
      <c r="O3755" s="73"/>
      <c r="P3755" s="73"/>
      <c r="Q3755" s="73"/>
      <c r="R3755" s="176"/>
      <c r="S3755" s="176"/>
      <c r="T3755" s="176"/>
      <c r="U3755" s="400"/>
      <c r="V3755" s="400"/>
      <c r="W3755" s="732"/>
      <c r="X3755" s="167"/>
      <c r="Y3755" s="509"/>
      <c r="Z3755" s="466"/>
      <c r="AA3755" s="466"/>
      <c r="AB3755" s="466"/>
      <c r="AC3755" s="466"/>
      <c r="AD3755" s="466"/>
      <c r="AE3755" s="466"/>
      <c r="AF3755" s="466"/>
      <c r="AG3755" s="466"/>
      <c r="AH3755" s="466"/>
      <c r="AI3755" s="466"/>
      <c r="AJ3755" s="466"/>
      <c r="AK3755" s="466"/>
      <c r="AL3755" s="466"/>
      <c r="AM3755" s="466"/>
      <c r="AN3755" s="466"/>
      <c r="AO3755" s="466"/>
      <c r="AP3755" s="466"/>
      <c r="AQ3755" s="466"/>
      <c r="AR3755" s="466"/>
      <c r="AS3755" s="466"/>
      <c r="AT3755" s="466"/>
      <c r="AU3755" s="466"/>
      <c r="AV3755" s="466"/>
      <c r="AW3755" s="466"/>
      <c r="AX3755" s="466"/>
      <c r="AY3755" s="466"/>
      <c r="AZ3755" s="466"/>
      <c r="BA3755" s="466"/>
      <c r="BB3755" s="466"/>
      <c r="BC3755" s="466"/>
      <c r="BD3755" s="466"/>
      <c r="BE3755" s="467"/>
      <c r="BF3755" s="467"/>
      <c r="BG3755" s="466"/>
      <c r="BH3755" s="466"/>
      <c r="BI3755" s="467"/>
      <c r="BJ3755" s="467"/>
      <c r="BK3755" s="467"/>
      <c r="BL3755" s="467"/>
      <c r="BM3755" s="467"/>
      <c r="BN3755" s="467"/>
      <c r="BO3755" s="467"/>
      <c r="BP3755" s="467"/>
      <c r="BQ3755" s="467"/>
      <c r="BR3755" s="467"/>
      <c r="BS3755" s="467"/>
      <c r="BT3755" s="467"/>
      <c r="BU3755" s="467"/>
      <c r="BV3755" s="467"/>
      <c r="BW3755" s="467"/>
      <c r="BX3755" s="769"/>
      <c r="BY3755" s="769"/>
      <c r="BZ3755" s="769"/>
      <c r="CA3755" s="769"/>
      <c r="CB3755" s="769"/>
      <c r="CC3755" s="769"/>
      <c r="CD3755" s="769"/>
      <c r="CE3755" s="769"/>
      <c r="CF3755" s="769"/>
      <c r="CG3755" s="73"/>
      <c r="CH3755" s="438"/>
      <c r="CI3755" s="416"/>
      <c r="CJ3755" s="73"/>
      <c r="CK3755" s="650"/>
      <c r="CL3755" s="499"/>
      <c r="CM3755" s="650"/>
      <c r="CR3755" s="416"/>
      <c r="CS3755" s="650"/>
      <c r="CU3755" s="73"/>
      <c r="CV3755" s="73"/>
      <c r="CW3755" s="73"/>
      <c r="CX3755" s="73"/>
      <c r="DA3755" s="650"/>
    </row>
    <row r="3756" spans="1:105" s="45" customFormat="1" x14ac:dyDescent="0.2">
      <c r="A3756" s="650"/>
      <c r="B3756" s="438"/>
      <c r="D3756" s="73"/>
      <c r="E3756" s="650"/>
      <c r="F3756" s="650"/>
      <c r="G3756" s="73"/>
      <c r="I3756" s="111"/>
      <c r="J3756" s="81"/>
      <c r="K3756" s="81"/>
      <c r="L3756" s="499"/>
      <c r="M3756" s="73"/>
      <c r="N3756" s="499"/>
      <c r="O3756" s="73"/>
      <c r="P3756" s="73"/>
      <c r="Q3756" s="73"/>
      <c r="R3756" s="176"/>
      <c r="S3756" s="176"/>
      <c r="T3756" s="176"/>
      <c r="U3756" s="400"/>
      <c r="V3756" s="400"/>
      <c r="W3756" s="732"/>
      <c r="X3756" s="167"/>
      <c r="Y3756" s="509"/>
      <c r="Z3756" s="466"/>
      <c r="AA3756" s="466"/>
      <c r="AB3756" s="466"/>
      <c r="AC3756" s="466"/>
      <c r="AD3756" s="466"/>
      <c r="AE3756" s="466"/>
      <c r="AF3756" s="466"/>
      <c r="AG3756" s="466"/>
      <c r="AH3756" s="466"/>
      <c r="AI3756" s="466"/>
      <c r="AJ3756" s="466"/>
      <c r="AK3756" s="466"/>
      <c r="AL3756" s="466"/>
      <c r="AM3756" s="466"/>
      <c r="AN3756" s="466"/>
      <c r="AO3756" s="466"/>
      <c r="AP3756" s="466"/>
      <c r="AQ3756" s="466"/>
      <c r="AR3756" s="466"/>
      <c r="AS3756" s="466"/>
      <c r="AT3756" s="466"/>
      <c r="AU3756" s="466"/>
      <c r="AV3756" s="466"/>
      <c r="AW3756" s="466"/>
      <c r="AX3756" s="466"/>
      <c r="AY3756" s="466"/>
      <c r="AZ3756" s="466"/>
      <c r="BA3756" s="466"/>
      <c r="BB3756" s="466"/>
      <c r="BC3756" s="466"/>
      <c r="BD3756" s="466"/>
      <c r="BE3756" s="467"/>
      <c r="BF3756" s="467"/>
      <c r="BG3756" s="466"/>
      <c r="BH3756" s="466"/>
      <c r="BI3756" s="467"/>
      <c r="BJ3756" s="467"/>
      <c r="BK3756" s="467"/>
      <c r="BL3756" s="467"/>
      <c r="BM3756" s="467"/>
      <c r="BN3756" s="467"/>
      <c r="BO3756" s="467"/>
      <c r="BP3756" s="467"/>
      <c r="BQ3756" s="467"/>
      <c r="BR3756" s="467"/>
      <c r="BS3756" s="467"/>
      <c r="BT3756" s="467"/>
      <c r="BU3756" s="467"/>
      <c r="BV3756" s="467"/>
      <c r="BW3756" s="467"/>
      <c r="BX3756" s="769"/>
      <c r="BY3756" s="769"/>
      <c r="BZ3756" s="769"/>
      <c r="CA3756" s="769"/>
      <c r="CB3756" s="769"/>
      <c r="CC3756" s="769"/>
      <c r="CD3756" s="769"/>
      <c r="CE3756" s="769"/>
      <c r="CF3756" s="769"/>
      <c r="CG3756" s="73"/>
      <c r="CH3756" s="438"/>
      <c r="CI3756" s="416"/>
      <c r="CJ3756" s="73"/>
      <c r="CK3756" s="650"/>
      <c r="CL3756" s="499"/>
      <c r="CM3756" s="650"/>
      <c r="CR3756" s="416"/>
      <c r="CS3756" s="650"/>
      <c r="CU3756" s="73"/>
      <c r="CV3756" s="73"/>
      <c r="CW3756" s="73"/>
      <c r="CX3756" s="73"/>
      <c r="DA3756" s="650"/>
    </row>
    <row r="3757" spans="1:105" s="45" customFormat="1" x14ac:dyDescent="0.2">
      <c r="A3757" s="650"/>
      <c r="B3757" s="438"/>
      <c r="D3757" s="73"/>
      <c r="E3757" s="650"/>
      <c r="F3757" s="650"/>
      <c r="G3757" s="73"/>
      <c r="I3757" s="111"/>
      <c r="J3757" s="81"/>
      <c r="K3757" s="81"/>
      <c r="L3757" s="499"/>
      <c r="M3757" s="73"/>
      <c r="N3757" s="499"/>
      <c r="O3757" s="73"/>
      <c r="P3757" s="73"/>
      <c r="Q3757" s="73"/>
      <c r="R3757" s="176"/>
      <c r="S3757" s="176"/>
      <c r="T3757" s="176"/>
      <c r="U3757" s="400"/>
      <c r="V3757" s="400"/>
      <c r="W3757" s="732"/>
      <c r="X3757" s="167"/>
      <c r="Y3757" s="509"/>
      <c r="Z3757" s="466"/>
      <c r="AA3757" s="466"/>
      <c r="AB3757" s="466"/>
      <c r="AC3757" s="466"/>
      <c r="AD3757" s="466"/>
      <c r="AE3757" s="466"/>
      <c r="AF3757" s="466"/>
      <c r="AG3757" s="466"/>
      <c r="AH3757" s="466"/>
      <c r="AI3757" s="466"/>
      <c r="AJ3757" s="466"/>
      <c r="AK3757" s="466"/>
      <c r="AL3757" s="466"/>
      <c r="AM3757" s="466"/>
      <c r="AN3757" s="466"/>
      <c r="AO3757" s="466"/>
      <c r="AP3757" s="466"/>
      <c r="AQ3757" s="466"/>
      <c r="AR3757" s="466"/>
      <c r="AS3757" s="466"/>
      <c r="AT3757" s="466"/>
      <c r="AU3757" s="466"/>
      <c r="AV3757" s="466"/>
      <c r="AW3757" s="466"/>
      <c r="AX3757" s="466"/>
      <c r="AY3757" s="466"/>
      <c r="AZ3757" s="466"/>
      <c r="BA3757" s="466"/>
      <c r="BB3757" s="466"/>
      <c r="BC3757" s="466"/>
      <c r="BD3757" s="466"/>
      <c r="BE3757" s="467"/>
      <c r="BF3757" s="467"/>
      <c r="BG3757" s="466"/>
      <c r="BH3757" s="466"/>
      <c r="BI3757" s="467"/>
      <c r="BJ3757" s="467"/>
      <c r="BK3757" s="467"/>
      <c r="BL3757" s="467"/>
      <c r="BM3757" s="467"/>
      <c r="BN3757" s="467"/>
      <c r="BO3757" s="467"/>
      <c r="BP3757" s="467"/>
      <c r="BQ3757" s="467"/>
      <c r="BR3757" s="467"/>
      <c r="BS3757" s="467"/>
      <c r="BT3757" s="467"/>
      <c r="BU3757" s="467"/>
      <c r="BV3757" s="467"/>
      <c r="BW3757" s="467"/>
      <c r="BX3757" s="769"/>
      <c r="BY3757" s="769"/>
      <c r="BZ3757" s="769"/>
      <c r="CA3757" s="769"/>
      <c r="CB3757" s="769"/>
      <c r="CC3757" s="769"/>
      <c r="CD3757" s="769"/>
      <c r="CE3757" s="769"/>
      <c r="CF3757" s="769"/>
      <c r="CG3757" s="73"/>
      <c r="CH3757" s="438"/>
      <c r="CI3757" s="416"/>
      <c r="CJ3757" s="73"/>
      <c r="CK3757" s="650"/>
      <c r="CL3757" s="499"/>
      <c r="CM3757" s="650"/>
      <c r="CR3757" s="416"/>
      <c r="CS3757" s="650"/>
      <c r="CU3757" s="73"/>
      <c r="CV3757" s="73"/>
      <c r="CW3757" s="73"/>
      <c r="CX3757" s="73"/>
      <c r="DA3757" s="650"/>
    </row>
    <row r="3758" spans="1:105" s="45" customFormat="1" x14ac:dyDescent="0.2">
      <c r="A3758" s="650"/>
      <c r="B3758" s="438"/>
      <c r="D3758" s="73"/>
      <c r="E3758" s="650"/>
      <c r="F3758" s="650"/>
      <c r="G3758" s="73"/>
      <c r="I3758" s="111"/>
      <c r="J3758" s="81"/>
      <c r="K3758" s="81"/>
      <c r="L3758" s="499"/>
      <c r="M3758" s="73"/>
      <c r="N3758" s="499"/>
      <c r="O3758" s="73"/>
      <c r="P3758" s="73"/>
      <c r="Q3758" s="73"/>
      <c r="R3758" s="176"/>
      <c r="S3758" s="176"/>
      <c r="T3758" s="176"/>
      <c r="U3758" s="400"/>
      <c r="V3758" s="400"/>
      <c r="W3758" s="732"/>
      <c r="X3758" s="167"/>
      <c r="Y3758" s="509"/>
      <c r="Z3758" s="466"/>
      <c r="AA3758" s="466"/>
      <c r="AB3758" s="466"/>
      <c r="AC3758" s="466"/>
      <c r="AD3758" s="466"/>
      <c r="AE3758" s="466"/>
      <c r="AF3758" s="466"/>
      <c r="AG3758" s="466"/>
      <c r="AH3758" s="466"/>
      <c r="AI3758" s="466"/>
      <c r="AJ3758" s="466"/>
      <c r="AK3758" s="466"/>
      <c r="AL3758" s="466"/>
      <c r="AM3758" s="466"/>
      <c r="AN3758" s="466"/>
      <c r="AO3758" s="466"/>
      <c r="AP3758" s="466"/>
      <c r="AQ3758" s="466"/>
      <c r="AR3758" s="466"/>
      <c r="AS3758" s="466"/>
      <c r="AT3758" s="466"/>
      <c r="AU3758" s="466"/>
      <c r="AV3758" s="466"/>
      <c r="AW3758" s="466"/>
      <c r="AX3758" s="466"/>
      <c r="AY3758" s="466"/>
      <c r="AZ3758" s="466"/>
      <c r="BA3758" s="466"/>
      <c r="BB3758" s="466"/>
      <c r="BC3758" s="466"/>
      <c r="BD3758" s="466"/>
      <c r="BE3758" s="467"/>
      <c r="BF3758" s="467"/>
      <c r="BG3758" s="466"/>
      <c r="BH3758" s="466"/>
      <c r="BI3758" s="467"/>
      <c r="BJ3758" s="467"/>
      <c r="BK3758" s="467"/>
      <c r="BL3758" s="467"/>
      <c r="BM3758" s="467"/>
      <c r="BN3758" s="467"/>
      <c r="BO3758" s="467"/>
      <c r="BP3758" s="467"/>
      <c r="BQ3758" s="467"/>
      <c r="BR3758" s="467"/>
      <c r="BS3758" s="467"/>
      <c r="BT3758" s="467"/>
      <c r="BU3758" s="467"/>
      <c r="BV3758" s="467"/>
      <c r="BW3758" s="467"/>
      <c r="BX3758" s="769"/>
      <c r="BY3758" s="769"/>
      <c r="BZ3758" s="769"/>
      <c r="CA3758" s="769"/>
      <c r="CB3758" s="769"/>
      <c r="CC3758" s="769"/>
      <c r="CD3758" s="769"/>
      <c r="CE3758" s="769"/>
      <c r="CF3758" s="769"/>
      <c r="CG3758" s="73"/>
      <c r="CH3758" s="438"/>
      <c r="CI3758" s="416"/>
      <c r="CJ3758" s="73"/>
      <c r="CK3758" s="650"/>
      <c r="CL3758" s="499"/>
      <c r="CM3758" s="650"/>
      <c r="CR3758" s="416"/>
      <c r="CS3758" s="650"/>
      <c r="CU3758" s="73"/>
      <c r="CV3758" s="73"/>
      <c r="CW3758" s="73"/>
      <c r="CX3758" s="73"/>
      <c r="DA3758" s="650"/>
    </row>
    <row r="3759" spans="1:105" s="45" customFormat="1" x14ac:dyDescent="0.2">
      <c r="A3759" s="650"/>
      <c r="B3759" s="438"/>
      <c r="D3759" s="73"/>
      <c r="E3759" s="650"/>
      <c r="F3759" s="650"/>
      <c r="G3759" s="73"/>
      <c r="I3759" s="111"/>
      <c r="J3759" s="81"/>
      <c r="K3759" s="81"/>
      <c r="L3759" s="499"/>
      <c r="M3759" s="73"/>
      <c r="N3759" s="499"/>
      <c r="O3759" s="73"/>
      <c r="P3759" s="73"/>
      <c r="Q3759" s="73"/>
      <c r="R3759" s="176"/>
      <c r="S3759" s="176"/>
      <c r="T3759" s="176"/>
      <c r="U3759" s="400"/>
      <c r="V3759" s="400"/>
      <c r="W3759" s="732"/>
      <c r="X3759" s="167"/>
      <c r="Y3759" s="509"/>
      <c r="Z3759" s="466"/>
      <c r="AA3759" s="466"/>
      <c r="AB3759" s="466"/>
      <c r="AC3759" s="466"/>
      <c r="AD3759" s="466"/>
      <c r="AE3759" s="466"/>
      <c r="AF3759" s="466"/>
      <c r="AG3759" s="466"/>
      <c r="AH3759" s="466"/>
      <c r="AI3759" s="466"/>
      <c r="AJ3759" s="466"/>
      <c r="AK3759" s="466"/>
      <c r="AL3759" s="466"/>
      <c r="AM3759" s="466"/>
      <c r="AN3759" s="466"/>
      <c r="AO3759" s="466"/>
      <c r="AP3759" s="466"/>
      <c r="AQ3759" s="466"/>
      <c r="AR3759" s="466"/>
      <c r="AS3759" s="466"/>
      <c r="AT3759" s="466"/>
      <c r="AU3759" s="466"/>
      <c r="AV3759" s="466"/>
      <c r="AW3759" s="466"/>
      <c r="AX3759" s="466"/>
      <c r="AY3759" s="466"/>
      <c r="AZ3759" s="466"/>
      <c r="BA3759" s="466"/>
      <c r="BB3759" s="466"/>
      <c r="BC3759" s="466"/>
      <c r="BD3759" s="466"/>
      <c r="BE3759" s="467"/>
      <c r="BF3759" s="467"/>
      <c r="BG3759" s="466"/>
      <c r="BH3759" s="466"/>
      <c r="BI3759" s="467"/>
      <c r="BJ3759" s="467"/>
      <c r="BK3759" s="467"/>
      <c r="BL3759" s="467"/>
      <c r="BM3759" s="467"/>
      <c r="BN3759" s="467"/>
      <c r="BO3759" s="467"/>
      <c r="BP3759" s="467"/>
      <c r="BQ3759" s="467"/>
      <c r="BR3759" s="467"/>
      <c r="BS3759" s="467"/>
      <c r="BT3759" s="467"/>
      <c r="BU3759" s="467"/>
      <c r="BV3759" s="467"/>
      <c r="BW3759" s="467"/>
      <c r="BX3759" s="769"/>
      <c r="BY3759" s="769"/>
      <c r="BZ3759" s="769"/>
      <c r="CA3759" s="769"/>
      <c r="CB3759" s="769"/>
      <c r="CC3759" s="769"/>
      <c r="CD3759" s="769"/>
      <c r="CE3759" s="769"/>
      <c r="CF3759" s="769"/>
      <c r="CG3759" s="73"/>
      <c r="CH3759" s="438"/>
      <c r="CI3759" s="416"/>
      <c r="CJ3759" s="73"/>
      <c r="CK3759" s="650"/>
      <c r="CL3759" s="499"/>
      <c r="CM3759" s="650"/>
      <c r="CR3759" s="416"/>
      <c r="CS3759" s="650"/>
      <c r="CU3759" s="73"/>
      <c r="CV3759" s="73"/>
      <c r="CW3759" s="73"/>
      <c r="CX3759" s="73"/>
      <c r="DA3759" s="650"/>
    </row>
    <row r="3760" spans="1:105" s="45" customFormat="1" x14ac:dyDescent="0.2">
      <c r="A3760" s="650"/>
      <c r="B3760" s="438"/>
      <c r="D3760" s="73"/>
      <c r="E3760" s="650"/>
      <c r="F3760" s="650"/>
      <c r="G3760" s="73"/>
      <c r="I3760" s="111"/>
      <c r="J3760" s="81"/>
      <c r="K3760" s="81"/>
      <c r="L3760" s="499"/>
      <c r="M3760" s="73"/>
      <c r="N3760" s="499"/>
      <c r="O3760" s="73"/>
      <c r="P3760" s="73"/>
      <c r="Q3760" s="73"/>
      <c r="R3760" s="176"/>
      <c r="S3760" s="176"/>
      <c r="T3760" s="176"/>
      <c r="U3760" s="400"/>
      <c r="V3760" s="400"/>
      <c r="W3760" s="732"/>
      <c r="X3760" s="167"/>
      <c r="Y3760" s="509"/>
      <c r="Z3760" s="466"/>
      <c r="AA3760" s="466"/>
      <c r="AB3760" s="466"/>
      <c r="AC3760" s="466"/>
      <c r="AD3760" s="466"/>
      <c r="AE3760" s="466"/>
      <c r="AF3760" s="466"/>
      <c r="AG3760" s="466"/>
      <c r="AH3760" s="466"/>
      <c r="AI3760" s="466"/>
      <c r="AJ3760" s="466"/>
      <c r="AK3760" s="466"/>
      <c r="AL3760" s="466"/>
      <c r="AM3760" s="466"/>
      <c r="AN3760" s="466"/>
      <c r="AO3760" s="466"/>
      <c r="AP3760" s="466"/>
      <c r="AQ3760" s="466"/>
      <c r="AR3760" s="466"/>
      <c r="AS3760" s="466"/>
      <c r="AT3760" s="466"/>
      <c r="AU3760" s="466"/>
      <c r="AV3760" s="466"/>
      <c r="AW3760" s="466"/>
      <c r="AX3760" s="466"/>
      <c r="AY3760" s="466"/>
      <c r="AZ3760" s="466"/>
      <c r="BA3760" s="466"/>
      <c r="BB3760" s="466"/>
      <c r="BC3760" s="466"/>
      <c r="BD3760" s="466"/>
      <c r="BE3760" s="467"/>
      <c r="BF3760" s="467"/>
      <c r="BG3760" s="466"/>
      <c r="BH3760" s="466"/>
      <c r="BI3760" s="467"/>
      <c r="BJ3760" s="467"/>
      <c r="BK3760" s="467"/>
      <c r="BL3760" s="467"/>
      <c r="BM3760" s="467"/>
      <c r="BN3760" s="467"/>
      <c r="BO3760" s="467"/>
      <c r="BP3760" s="467"/>
      <c r="BQ3760" s="467"/>
      <c r="BR3760" s="467"/>
      <c r="BS3760" s="467"/>
      <c r="BT3760" s="467"/>
      <c r="BU3760" s="467"/>
      <c r="BV3760" s="467"/>
      <c r="BW3760" s="467"/>
      <c r="BX3760" s="769"/>
      <c r="BY3760" s="769"/>
      <c r="BZ3760" s="769"/>
      <c r="CA3760" s="769"/>
      <c r="CB3760" s="769"/>
      <c r="CC3760" s="769"/>
      <c r="CD3760" s="769"/>
      <c r="CE3760" s="769"/>
      <c r="CF3760" s="769"/>
      <c r="CG3760" s="73"/>
      <c r="CH3760" s="438"/>
      <c r="CI3760" s="416"/>
      <c r="CJ3760" s="73"/>
      <c r="CK3760" s="650"/>
      <c r="CL3760" s="499"/>
      <c r="CM3760" s="650"/>
      <c r="CR3760" s="416"/>
      <c r="CS3760" s="650"/>
      <c r="CU3760" s="73"/>
      <c r="CV3760" s="73"/>
      <c r="CW3760" s="73"/>
      <c r="CX3760" s="73"/>
      <c r="DA3760" s="650"/>
    </row>
    <row r="3761" spans="1:105" s="45" customFormat="1" x14ac:dyDescent="0.2">
      <c r="A3761" s="650"/>
      <c r="B3761" s="438"/>
      <c r="D3761" s="73"/>
      <c r="E3761" s="650"/>
      <c r="F3761" s="650"/>
      <c r="G3761" s="73"/>
      <c r="I3761" s="111"/>
      <c r="J3761" s="81"/>
      <c r="K3761" s="81"/>
      <c r="L3761" s="499"/>
      <c r="M3761" s="73"/>
      <c r="N3761" s="499"/>
      <c r="O3761" s="73"/>
      <c r="P3761" s="73"/>
      <c r="Q3761" s="73"/>
      <c r="R3761" s="176"/>
      <c r="S3761" s="176"/>
      <c r="T3761" s="176"/>
      <c r="U3761" s="400"/>
      <c r="V3761" s="400"/>
      <c r="W3761" s="732"/>
      <c r="X3761" s="167"/>
      <c r="Y3761" s="509"/>
      <c r="Z3761" s="466"/>
      <c r="AA3761" s="466"/>
      <c r="AB3761" s="466"/>
      <c r="AC3761" s="466"/>
      <c r="AD3761" s="466"/>
      <c r="AE3761" s="466"/>
      <c r="AF3761" s="466"/>
      <c r="AG3761" s="466"/>
      <c r="AH3761" s="466"/>
      <c r="AI3761" s="466"/>
      <c r="AJ3761" s="466"/>
      <c r="AK3761" s="466"/>
      <c r="AL3761" s="466"/>
      <c r="AM3761" s="466"/>
      <c r="AN3761" s="466"/>
      <c r="AO3761" s="466"/>
      <c r="AP3761" s="466"/>
      <c r="AQ3761" s="466"/>
      <c r="AR3761" s="466"/>
      <c r="AS3761" s="466"/>
      <c r="AT3761" s="466"/>
      <c r="AU3761" s="466"/>
      <c r="AV3761" s="466"/>
      <c r="AW3761" s="466"/>
      <c r="AX3761" s="466"/>
      <c r="AY3761" s="466"/>
      <c r="AZ3761" s="466"/>
      <c r="BA3761" s="466"/>
      <c r="BB3761" s="466"/>
      <c r="BC3761" s="466"/>
      <c r="BD3761" s="466"/>
      <c r="BE3761" s="467"/>
      <c r="BF3761" s="467"/>
      <c r="BG3761" s="466"/>
      <c r="BH3761" s="466"/>
      <c r="BI3761" s="467"/>
      <c r="BJ3761" s="467"/>
      <c r="BK3761" s="467"/>
      <c r="BL3761" s="467"/>
      <c r="BM3761" s="467"/>
      <c r="BN3761" s="467"/>
      <c r="BO3761" s="467"/>
      <c r="BP3761" s="467"/>
      <c r="BQ3761" s="467"/>
      <c r="BR3761" s="467"/>
      <c r="BS3761" s="467"/>
      <c r="BT3761" s="467"/>
      <c r="BU3761" s="467"/>
      <c r="BV3761" s="467"/>
      <c r="BW3761" s="467"/>
      <c r="BX3761" s="769"/>
      <c r="BY3761" s="769"/>
      <c r="BZ3761" s="769"/>
      <c r="CA3761" s="769"/>
      <c r="CB3761" s="769"/>
      <c r="CC3761" s="769"/>
      <c r="CD3761" s="769"/>
      <c r="CE3761" s="769"/>
      <c r="CF3761" s="769"/>
      <c r="CG3761" s="73"/>
      <c r="CH3761" s="438"/>
      <c r="CI3761" s="416"/>
      <c r="CJ3761" s="73"/>
      <c r="CK3761" s="650"/>
      <c r="CL3761" s="499"/>
      <c r="CM3761" s="650"/>
      <c r="CR3761" s="416"/>
      <c r="CS3761" s="650"/>
      <c r="CU3761" s="73"/>
      <c r="CV3761" s="73"/>
      <c r="CW3761" s="73"/>
      <c r="CX3761" s="73"/>
      <c r="DA3761" s="650"/>
    </row>
    <row r="3762" spans="1:105" s="45" customFormat="1" x14ac:dyDescent="0.2">
      <c r="A3762" s="650"/>
      <c r="B3762" s="438"/>
      <c r="D3762" s="73"/>
      <c r="E3762" s="650"/>
      <c r="F3762" s="650"/>
      <c r="G3762" s="73"/>
      <c r="I3762" s="111"/>
      <c r="J3762" s="81"/>
      <c r="K3762" s="81"/>
      <c r="L3762" s="499"/>
      <c r="M3762" s="73"/>
      <c r="N3762" s="499"/>
      <c r="O3762" s="73"/>
      <c r="P3762" s="73"/>
      <c r="Q3762" s="73"/>
      <c r="R3762" s="176"/>
      <c r="S3762" s="176"/>
      <c r="T3762" s="176"/>
      <c r="U3762" s="400"/>
      <c r="V3762" s="400"/>
      <c r="W3762" s="732"/>
      <c r="X3762" s="167"/>
      <c r="Y3762" s="509"/>
      <c r="Z3762" s="466"/>
      <c r="AA3762" s="466"/>
      <c r="AB3762" s="466"/>
      <c r="AC3762" s="466"/>
      <c r="AD3762" s="466"/>
      <c r="AE3762" s="466"/>
      <c r="AF3762" s="466"/>
      <c r="AG3762" s="466"/>
      <c r="AH3762" s="466"/>
      <c r="AI3762" s="466"/>
      <c r="AJ3762" s="466"/>
      <c r="AK3762" s="466"/>
      <c r="AL3762" s="466"/>
      <c r="AM3762" s="466"/>
      <c r="AN3762" s="466"/>
      <c r="AO3762" s="466"/>
      <c r="AP3762" s="466"/>
      <c r="AQ3762" s="466"/>
      <c r="AR3762" s="466"/>
      <c r="AS3762" s="466"/>
      <c r="AT3762" s="466"/>
      <c r="AU3762" s="466"/>
      <c r="AV3762" s="466"/>
      <c r="AW3762" s="466"/>
      <c r="AX3762" s="466"/>
      <c r="AY3762" s="466"/>
      <c r="AZ3762" s="466"/>
      <c r="BA3762" s="466"/>
      <c r="BB3762" s="466"/>
      <c r="BC3762" s="466"/>
      <c r="BD3762" s="466"/>
      <c r="BE3762" s="467"/>
      <c r="BF3762" s="467"/>
      <c r="BG3762" s="466"/>
      <c r="BH3762" s="466"/>
      <c r="BI3762" s="467"/>
      <c r="BJ3762" s="467"/>
      <c r="BK3762" s="467"/>
      <c r="BL3762" s="467"/>
      <c r="BM3762" s="467"/>
      <c r="BN3762" s="467"/>
      <c r="BO3762" s="467"/>
      <c r="BP3762" s="467"/>
      <c r="BQ3762" s="467"/>
      <c r="BR3762" s="467"/>
      <c r="BS3762" s="467"/>
      <c r="BT3762" s="467"/>
      <c r="BU3762" s="467"/>
      <c r="BV3762" s="467"/>
      <c r="BW3762" s="467"/>
      <c r="BX3762" s="769"/>
      <c r="BY3762" s="769"/>
      <c r="BZ3762" s="769"/>
      <c r="CA3762" s="769"/>
      <c r="CB3762" s="769"/>
      <c r="CC3762" s="769"/>
      <c r="CD3762" s="769"/>
      <c r="CE3762" s="769"/>
      <c r="CF3762" s="769"/>
      <c r="CG3762" s="73"/>
      <c r="CH3762" s="438"/>
      <c r="CI3762" s="416"/>
      <c r="CJ3762" s="73"/>
      <c r="CK3762" s="650"/>
      <c r="CL3762" s="499"/>
      <c r="CM3762" s="650"/>
      <c r="CR3762" s="416"/>
      <c r="CS3762" s="650"/>
      <c r="CU3762" s="73"/>
      <c r="CV3762" s="73"/>
      <c r="CW3762" s="73"/>
      <c r="CX3762" s="73"/>
      <c r="DA3762" s="650"/>
    </row>
    <row r="3763" spans="1:105" s="45" customFormat="1" x14ac:dyDescent="0.2">
      <c r="A3763" s="650"/>
      <c r="B3763" s="438"/>
      <c r="D3763" s="73"/>
      <c r="E3763" s="650"/>
      <c r="F3763" s="650"/>
      <c r="G3763" s="73"/>
      <c r="I3763" s="111"/>
      <c r="J3763" s="81"/>
      <c r="K3763" s="81"/>
      <c r="L3763" s="499"/>
      <c r="M3763" s="73"/>
      <c r="N3763" s="499"/>
      <c r="O3763" s="73"/>
      <c r="P3763" s="73"/>
      <c r="Q3763" s="73"/>
      <c r="R3763" s="176"/>
      <c r="S3763" s="176"/>
      <c r="T3763" s="176"/>
      <c r="U3763" s="400"/>
      <c r="V3763" s="400"/>
      <c r="W3763" s="732"/>
      <c r="X3763" s="167"/>
      <c r="Y3763" s="509"/>
      <c r="Z3763" s="466"/>
      <c r="AA3763" s="466"/>
      <c r="AB3763" s="466"/>
      <c r="AC3763" s="466"/>
      <c r="AD3763" s="466"/>
      <c r="AE3763" s="466"/>
      <c r="AF3763" s="466"/>
      <c r="AG3763" s="466"/>
      <c r="AH3763" s="466"/>
      <c r="AI3763" s="466"/>
      <c r="AJ3763" s="466"/>
      <c r="AK3763" s="466"/>
      <c r="AL3763" s="466"/>
      <c r="AM3763" s="466"/>
      <c r="AN3763" s="466"/>
      <c r="AO3763" s="466"/>
      <c r="AP3763" s="466"/>
      <c r="AQ3763" s="466"/>
      <c r="AR3763" s="466"/>
      <c r="AS3763" s="466"/>
      <c r="AT3763" s="466"/>
      <c r="AU3763" s="466"/>
      <c r="AV3763" s="466"/>
      <c r="AW3763" s="466"/>
      <c r="AX3763" s="466"/>
      <c r="AY3763" s="466"/>
      <c r="AZ3763" s="466"/>
      <c r="BA3763" s="466"/>
      <c r="BB3763" s="466"/>
      <c r="BC3763" s="466"/>
      <c r="BD3763" s="466"/>
      <c r="BE3763" s="467"/>
      <c r="BF3763" s="467"/>
      <c r="BG3763" s="466"/>
      <c r="BH3763" s="466"/>
      <c r="BI3763" s="467"/>
      <c r="BJ3763" s="467"/>
      <c r="BK3763" s="467"/>
      <c r="BL3763" s="467"/>
      <c r="BM3763" s="467"/>
      <c r="BN3763" s="467"/>
      <c r="BO3763" s="467"/>
      <c r="BP3763" s="467"/>
      <c r="BQ3763" s="467"/>
      <c r="BR3763" s="467"/>
      <c r="BS3763" s="467"/>
      <c r="BT3763" s="467"/>
      <c r="BU3763" s="467"/>
      <c r="BV3763" s="467"/>
      <c r="BW3763" s="467"/>
      <c r="BX3763" s="769"/>
      <c r="BY3763" s="769"/>
      <c r="BZ3763" s="769"/>
      <c r="CA3763" s="769"/>
      <c r="CB3763" s="769"/>
      <c r="CC3763" s="769"/>
      <c r="CD3763" s="769"/>
      <c r="CE3763" s="769"/>
      <c r="CF3763" s="769"/>
      <c r="CG3763" s="73"/>
      <c r="CH3763" s="438"/>
      <c r="CI3763" s="416"/>
      <c r="CJ3763" s="73"/>
      <c r="CK3763" s="650"/>
      <c r="CL3763" s="499"/>
      <c r="CM3763" s="650"/>
      <c r="CR3763" s="416"/>
      <c r="CS3763" s="650"/>
      <c r="CU3763" s="73"/>
      <c r="CV3763" s="73"/>
      <c r="CW3763" s="73"/>
      <c r="CX3763" s="73"/>
      <c r="DA3763" s="650"/>
    </row>
    <row r="3764" spans="1:105" s="45" customFormat="1" x14ac:dyDescent="0.2">
      <c r="A3764" s="650"/>
      <c r="B3764" s="438"/>
      <c r="D3764" s="73"/>
      <c r="E3764" s="650"/>
      <c r="F3764" s="650"/>
      <c r="G3764" s="73"/>
      <c r="I3764" s="111"/>
      <c r="J3764" s="81"/>
      <c r="K3764" s="81"/>
      <c r="L3764" s="499"/>
      <c r="M3764" s="73"/>
      <c r="N3764" s="499"/>
      <c r="O3764" s="73"/>
      <c r="P3764" s="73"/>
      <c r="Q3764" s="73"/>
      <c r="R3764" s="176"/>
      <c r="S3764" s="176"/>
      <c r="T3764" s="176"/>
      <c r="U3764" s="400"/>
      <c r="V3764" s="400"/>
      <c r="W3764" s="732"/>
      <c r="X3764" s="167"/>
      <c r="Y3764" s="509"/>
      <c r="Z3764" s="466"/>
      <c r="AA3764" s="466"/>
      <c r="AB3764" s="466"/>
      <c r="AC3764" s="466"/>
      <c r="AD3764" s="466"/>
      <c r="AE3764" s="466"/>
      <c r="AF3764" s="466"/>
      <c r="AG3764" s="466"/>
      <c r="AH3764" s="466"/>
      <c r="AI3764" s="466"/>
      <c r="AJ3764" s="466"/>
      <c r="AK3764" s="466"/>
      <c r="AL3764" s="466"/>
      <c r="AM3764" s="466"/>
      <c r="AN3764" s="466"/>
      <c r="AO3764" s="466"/>
      <c r="AP3764" s="466"/>
      <c r="AQ3764" s="466"/>
      <c r="AR3764" s="466"/>
      <c r="AS3764" s="466"/>
      <c r="AT3764" s="466"/>
      <c r="AU3764" s="466"/>
      <c r="AV3764" s="466"/>
      <c r="AW3764" s="466"/>
      <c r="AX3764" s="466"/>
      <c r="AY3764" s="466"/>
      <c r="AZ3764" s="466"/>
      <c r="BA3764" s="466"/>
      <c r="BB3764" s="466"/>
      <c r="BC3764" s="466"/>
      <c r="BD3764" s="466"/>
      <c r="BE3764" s="467"/>
      <c r="BF3764" s="467"/>
      <c r="BG3764" s="466"/>
      <c r="BH3764" s="466"/>
      <c r="BI3764" s="467"/>
      <c r="BJ3764" s="467"/>
      <c r="BK3764" s="467"/>
      <c r="BL3764" s="467"/>
      <c r="BM3764" s="467"/>
      <c r="BN3764" s="467"/>
      <c r="BO3764" s="467"/>
      <c r="BP3764" s="467"/>
      <c r="BQ3764" s="467"/>
      <c r="BR3764" s="467"/>
      <c r="BS3764" s="467"/>
      <c r="BT3764" s="467"/>
      <c r="BU3764" s="467"/>
      <c r="BV3764" s="467"/>
      <c r="BW3764" s="467"/>
      <c r="BX3764" s="769"/>
      <c r="BY3764" s="769"/>
      <c r="BZ3764" s="769"/>
      <c r="CA3764" s="769"/>
      <c r="CB3764" s="769"/>
      <c r="CC3764" s="769"/>
      <c r="CD3764" s="769"/>
      <c r="CE3764" s="769"/>
      <c r="CF3764" s="769"/>
      <c r="CG3764" s="73"/>
      <c r="CH3764" s="438"/>
      <c r="CI3764" s="416"/>
      <c r="CJ3764" s="73"/>
      <c r="CK3764" s="650"/>
      <c r="CL3764" s="499"/>
      <c r="CM3764" s="650"/>
      <c r="CR3764" s="416"/>
      <c r="CS3764" s="650"/>
      <c r="CU3764" s="73"/>
      <c r="CV3764" s="73"/>
      <c r="CW3764" s="73"/>
      <c r="CX3764" s="73"/>
      <c r="DA3764" s="650"/>
    </row>
    <row r="3765" spans="1:105" s="45" customFormat="1" x14ac:dyDescent="0.2">
      <c r="A3765" s="650"/>
      <c r="B3765" s="438"/>
      <c r="D3765" s="73"/>
      <c r="E3765" s="650"/>
      <c r="F3765" s="650"/>
      <c r="G3765" s="73"/>
      <c r="I3765" s="111"/>
      <c r="J3765" s="81"/>
      <c r="K3765" s="81"/>
      <c r="L3765" s="499"/>
      <c r="M3765" s="73"/>
      <c r="N3765" s="499"/>
      <c r="O3765" s="73"/>
      <c r="P3765" s="73"/>
      <c r="Q3765" s="73"/>
      <c r="R3765" s="176"/>
      <c r="S3765" s="176"/>
      <c r="T3765" s="176"/>
      <c r="U3765" s="400"/>
      <c r="V3765" s="400"/>
      <c r="W3765" s="732"/>
      <c r="X3765" s="167"/>
      <c r="Y3765" s="509"/>
      <c r="Z3765" s="466"/>
      <c r="AA3765" s="466"/>
      <c r="AB3765" s="466"/>
      <c r="AC3765" s="466"/>
      <c r="AD3765" s="466"/>
      <c r="AE3765" s="466"/>
      <c r="AF3765" s="466"/>
      <c r="AG3765" s="466"/>
      <c r="AH3765" s="466"/>
      <c r="AI3765" s="466"/>
      <c r="AJ3765" s="466"/>
      <c r="AK3765" s="466"/>
      <c r="AL3765" s="466"/>
      <c r="AM3765" s="466"/>
      <c r="AN3765" s="466"/>
      <c r="AO3765" s="466"/>
      <c r="AP3765" s="466"/>
      <c r="AQ3765" s="466"/>
      <c r="AR3765" s="466"/>
      <c r="AS3765" s="466"/>
      <c r="AT3765" s="466"/>
      <c r="AU3765" s="466"/>
      <c r="AV3765" s="466"/>
      <c r="AW3765" s="466"/>
      <c r="AX3765" s="466"/>
      <c r="AY3765" s="466"/>
      <c r="AZ3765" s="466"/>
      <c r="BA3765" s="466"/>
      <c r="BB3765" s="466"/>
      <c r="BC3765" s="466"/>
      <c r="BD3765" s="466"/>
      <c r="BE3765" s="467"/>
      <c r="BF3765" s="467"/>
      <c r="BG3765" s="466"/>
      <c r="BH3765" s="466"/>
      <c r="BI3765" s="467"/>
      <c r="BJ3765" s="467"/>
      <c r="BK3765" s="467"/>
      <c r="BL3765" s="467"/>
      <c r="BM3765" s="467"/>
      <c r="BN3765" s="467"/>
      <c r="BO3765" s="467"/>
      <c r="BP3765" s="467"/>
      <c r="BQ3765" s="467"/>
      <c r="BR3765" s="467"/>
      <c r="BS3765" s="467"/>
      <c r="BT3765" s="467"/>
      <c r="BU3765" s="467"/>
      <c r="BV3765" s="467"/>
      <c r="BW3765" s="467"/>
      <c r="BX3765" s="769"/>
      <c r="BY3765" s="769"/>
      <c r="BZ3765" s="769"/>
      <c r="CA3765" s="769"/>
      <c r="CB3765" s="769"/>
      <c r="CC3765" s="769"/>
      <c r="CD3765" s="769"/>
      <c r="CE3765" s="769"/>
      <c r="CF3765" s="769"/>
      <c r="CG3765" s="73"/>
      <c r="CH3765" s="438"/>
      <c r="CI3765" s="416"/>
      <c r="CJ3765" s="73"/>
      <c r="CK3765" s="650"/>
      <c r="CL3765" s="499"/>
      <c r="CM3765" s="650"/>
      <c r="CR3765" s="416"/>
      <c r="CS3765" s="650"/>
      <c r="CU3765" s="73"/>
      <c r="CV3765" s="73"/>
      <c r="CW3765" s="73"/>
      <c r="CX3765" s="73"/>
      <c r="DA3765" s="650"/>
    </row>
    <row r="3766" spans="1:105" s="45" customFormat="1" x14ac:dyDescent="0.2">
      <c r="A3766" s="650"/>
      <c r="B3766" s="438"/>
      <c r="D3766" s="73"/>
      <c r="E3766" s="650"/>
      <c r="F3766" s="650"/>
      <c r="G3766" s="73"/>
      <c r="I3766" s="111"/>
      <c r="J3766" s="81"/>
      <c r="K3766" s="81"/>
      <c r="L3766" s="499"/>
      <c r="M3766" s="73"/>
      <c r="N3766" s="499"/>
      <c r="O3766" s="73"/>
      <c r="P3766" s="73"/>
      <c r="Q3766" s="73"/>
      <c r="R3766" s="176"/>
      <c r="S3766" s="176"/>
      <c r="T3766" s="176"/>
      <c r="U3766" s="400"/>
      <c r="V3766" s="400"/>
      <c r="W3766" s="732"/>
      <c r="X3766" s="167"/>
      <c r="Y3766" s="509"/>
      <c r="Z3766" s="466"/>
      <c r="AA3766" s="466"/>
      <c r="AB3766" s="466"/>
      <c r="AC3766" s="466"/>
      <c r="AD3766" s="466"/>
      <c r="AE3766" s="466"/>
      <c r="AF3766" s="466"/>
      <c r="AG3766" s="466"/>
      <c r="AH3766" s="466"/>
      <c r="AI3766" s="466"/>
      <c r="AJ3766" s="466"/>
      <c r="AK3766" s="466"/>
      <c r="AL3766" s="466"/>
      <c r="AM3766" s="466"/>
      <c r="AN3766" s="466"/>
      <c r="AO3766" s="466"/>
      <c r="AP3766" s="466"/>
      <c r="AQ3766" s="466"/>
      <c r="AR3766" s="466"/>
      <c r="AS3766" s="466"/>
      <c r="AT3766" s="466"/>
      <c r="AU3766" s="466"/>
      <c r="AV3766" s="466"/>
      <c r="AW3766" s="466"/>
      <c r="AX3766" s="466"/>
      <c r="AY3766" s="466"/>
      <c r="AZ3766" s="466"/>
      <c r="BA3766" s="466"/>
      <c r="BB3766" s="466"/>
      <c r="BC3766" s="466"/>
      <c r="BD3766" s="466"/>
      <c r="BE3766" s="467"/>
      <c r="BF3766" s="467"/>
      <c r="BG3766" s="466"/>
      <c r="BH3766" s="466"/>
      <c r="BI3766" s="467"/>
      <c r="BJ3766" s="467"/>
      <c r="BK3766" s="467"/>
      <c r="BL3766" s="467"/>
      <c r="BM3766" s="467"/>
      <c r="BN3766" s="467"/>
      <c r="BO3766" s="467"/>
      <c r="BP3766" s="467"/>
      <c r="BQ3766" s="467"/>
      <c r="BR3766" s="467"/>
      <c r="BS3766" s="467"/>
      <c r="BT3766" s="467"/>
      <c r="BU3766" s="467"/>
      <c r="BV3766" s="467"/>
      <c r="BW3766" s="467"/>
      <c r="BX3766" s="769"/>
      <c r="BY3766" s="769"/>
      <c r="BZ3766" s="769"/>
      <c r="CA3766" s="769"/>
      <c r="CB3766" s="769"/>
      <c r="CC3766" s="769"/>
      <c r="CD3766" s="769"/>
      <c r="CE3766" s="769"/>
      <c r="CF3766" s="769"/>
      <c r="CG3766" s="73"/>
      <c r="CH3766" s="438"/>
      <c r="CI3766" s="416"/>
      <c r="CJ3766" s="73"/>
      <c r="CK3766" s="650"/>
      <c r="CL3766" s="499"/>
      <c r="CM3766" s="650"/>
      <c r="CR3766" s="416"/>
      <c r="CS3766" s="650"/>
      <c r="CU3766" s="73"/>
      <c r="CV3766" s="73"/>
      <c r="CW3766" s="73"/>
      <c r="CX3766" s="73"/>
      <c r="DA3766" s="650"/>
    </row>
    <row r="3767" spans="1:105" s="45" customFormat="1" x14ac:dyDescent="0.2">
      <c r="A3767" s="650"/>
      <c r="B3767" s="438"/>
      <c r="D3767" s="73"/>
      <c r="E3767" s="650"/>
      <c r="F3767" s="650"/>
      <c r="G3767" s="73"/>
      <c r="I3767" s="111"/>
      <c r="J3767" s="81"/>
      <c r="K3767" s="81"/>
      <c r="L3767" s="499"/>
      <c r="M3767" s="73"/>
      <c r="N3767" s="499"/>
      <c r="O3767" s="73"/>
      <c r="P3767" s="73"/>
      <c r="Q3767" s="73"/>
      <c r="R3767" s="176"/>
      <c r="S3767" s="176"/>
      <c r="T3767" s="176"/>
      <c r="U3767" s="400"/>
      <c r="V3767" s="400"/>
      <c r="W3767" s="732"/>
      <c r="X3767" s="167"/>
      <c r="Y3767" s="509"/>
      <c r="Z3767" s="466"/>
      <c r="AA3767" s="466"/>
      <c r="AB3767" s="466"/>
      <c r="AC3767" s="466"/>
      <c r="AD3767" s="466"/>
      <c r="AE3767" s="466"/>
      <c r="AF3767" s="466"/>
      <c r="AG3767" s="466"/>
      <c r="AH3767" s="466"/>
      <c r="AI3767" s="466"/>
      <c r="AJ3767" s="466"/>
      <c r="AK3767" s="466"/>
      <c r="AL3767" s="466"/>
      <c r="AM3767" s="466"/>
      <c r="AN3767" s="466"/>
      <c r="AO3767" s="466"/>
      <c r="AP3767" s="466"/>
      <c r="AQ3767" s="466"/>
      <c r="AR3767" s="466"/>
      <c r="AS3767" s="466"/>
      <c r="AT3767" s="466"/>
      <c r="AU3767" s="466"/>
      <c r="AV3767" s="466"/>
      <c r="AW3767" s="466"/>
      <c r="AX3767" s="466"/>
      <c r="AY3767" s="466"/>
      <c r="AZ3767" s="466"/>
      <c r="BA3767" s="466"/>
      <c r="BB3767" s="466"/>
      <c r="BC3767" s="466"/>
      <c r="BD3767" s="466"/>
      <c r="BE3767" s="467"/>
      <c r="BF3767" s="467"/>
      <c r="BG3767" s="466"/>
      <c r="BH3767" s="466"/>
      <c r="BI3767" s="467"/>
      <c r="BJ3767" s="467"/>
      <c r="BK3767" s="467"/>
      <c r="BL3767" s="467"/>
      <c r="BM3767" s="467"/>
      <c r="BN3767" s="467"/>
      <c r="BO3767" s="467"/>
      <c r="BP3767" s="467"/>
      <c r="BQ3767" s="467"/>
      <c r="BR3767" s="467"/>
      <c r="BS3767" s="467"/>
      <c r="BT3767" s="467"/>
      <c r="BU3767" s="467"/>
      <c r="BV3767" s="467"/>
      <c r="BW3767" s="467"/>
      <c r="BX3767" s="769"/>
      <c r="BY3767" s="769"/>
      <c r="BZ3767" s="769"/>
      <c r="CA3767" s="769"/>
      <c r="CB3767" s="769"/>
      <c r="CC3767" s="769"/>
      <c r="CD3767" s="769"/>
      <c r="CE3767" s="769"/>
      <c r="CF3767" s="769"/>
      <c r="CG3767" s="73"/>
      <c r="CH3767" s="438"/>
      <c r="CI3767" s="416"/>
      <c r="CJ3767" s="73"/>
      <c r="CK3767" s="650"/>
      <c r="CL3767" s="499"/>
      <c r="CM3767" s="650"/>
      <c r="CR3767" s="416"/>
      <c r="CS3767" s="650"/>
      <c r="CU3767" s="73"/>
      <c r="CV3767" s="73"/>
      <c r="CW3767" s="73"/>
      <c r="CX3767" s="73"/>
      <c r="DA3767" s="650"/>
    </row>
    <row r="3768" spans="1:105" s="45" customFormat="1" x14ac:dyDescent="0.2">
      <c r="A3768" s="650"/>
      <c r="B3768" s="438"/>
      <c r="D3768" s="73"/>
      <c r="E3768" s="650"/>
      <c r="F3768" s="650"/>
      <c r="G3768" s="73"/>
      <c r="I3768" s="111"/>
      <c r="J3768" s="81"/>
      <c r="K3768" s="81"/>
      <c r="L3768" s="499"/>
      <c r="M3768" s="73"/>
      <c r="N3768" s="499"/>
      <c r="O3768" s="73"/>
      <c r="P3768" s="73"/>
      <c r="Q3768" s="73"/>
      <c r="R3768" s="176"/>
      <c r="S3768" s="176"/>
      <c r="T3768" s="176"/>
      <c r="U3768" s="400"/>
      <c r="V3768" s="400"/>
      <c r="W3768" s="732"/>
      <c r="X3768" s="167"/>
      <c r="Y3768" s="509"/>
      <c r="Z3768" s="466"/>
      <c r="AA3768" s="466"/>
      <c r="AB3768" s="466"/>
      <c r="AC3768" s="466"/>
      <c r="AD3768" s="466"/>
      <c r="AE3768" s="466"/>
      <c r="AF3768" s="466"/>
      <c r="AG3768" s="466"/>
      <c r="AH3768" s="466"/>
      <c r="AI3768" s="466"/>
      <c r="AJ3768" s="466"/>
      <c r="AK3768" s="466"/>
      <c r="AL3768" s="466"/>
      <c r="AM3768" s="466"/>
      <c r="AN3768" s="466"/>
      <c r="AO3768" s="466"/>
      <c r="AP3768" s="466"/>
      <c r="AQ3768" s="466"/>
      <c r="AR3768" s="466"/>
      <c r="AS3768" s="466"/>
      <c r="AT3768" s="466"/>
      <c r="AU3768" s="466"/>
      <c r="AV3768" s="466"/>
      <c r="AW3768" s="466"/>
      <c r="AX3768" s="466"/>
      <c r="AY3768" s="466"/>
      <c r="AZ3768" s="466"/>
      <c r="BA3768" s="466"/>
      <c r="BB3768" s="466"/>
      <c r="BC3768" s="466"/>
      <c r="BD3768" s="466"/>
      <c r="BE3768" s="467"/>
      <c r="BF3768" s="467"/>
      <c r="BG3768" s="466"/>
      <c r="BH3768" s="466"/>
      <c r="BI3768" s="467"/>
      <c r="BJ3768" s="467"/>
      <c r="BK3768" s="467"/>
      <c r="BL3768" s="467"/>
      <c r="BM3768" s="467"/>
      <c r="BN3768" s="467"/>
      <c r="BO3768" s="467"/>
      <c r="BP3768" s="467"/>
      <c r="BQ3768" s="467"/>
      <c r="BR3768" s="467"/>
      <c r="BS3768" s="467"/>
      <c r="BT3768" s="467"/>
      <c r="BU3768" s="467"/>
      <c r="BV3768" s="467"/>
      <c r="BW3768" s="467"/>
      <c r="BX3768" s="769"/>
      <c r="BY3768" s="769"/>
      <c r="BZ3768" s="769"/>
      <c r="CA3768" s="769"/>
      <c r="CB3768" s="769"/>
      <c r="CC3768" s="769"/>
      <c r="CD3768" s="769"/>
      <c r="CE3768" s="769"/>
      <c r="CF3768" s="769"/>
      <c r="CG3768" s="73"/>
      <c r="CH3768" s="438"/>
      <c r="CI3768" s="416"/>
      <c r="CJ3768" s="73"/>
      <c r="CK3768" s="650"/>
      <c r="CL3768" s="499"/>
      <c r="CM3768" s="650"/>
      <c r="CR3768" s="416"/>
      <c r="CS3768" s="650"/>
      <c r="CU3768" s="73"/>
      <c r="CV3768" s="73"/>
      <c r="CW3768" s="73"/>
      <c r="CX3768" s="73"/>
      <c r="DA3768" s="650"/>
    </row>
    <row r="3769" spans="1:105" s="45" customFormat="1" x14ac:dyDescent="0.2">
      <c r="A3769" s="650"/>
      <c r="B3769" s="438"/>
      <c r="D3769" s="73"/>
      <c r="E3769" s="650"/>
      <c r="F3769" s="650"/>
      <c r="G3769" s="73"/>
      <c r="I3769" s="111"/>
      <c r="J3769" s="81"/>
      <c r="K3769" s="81"/>
      <c r="L3769" s="499"/>
      <c r="M3769" s="73"/>
      <c r="N3769" s="499"/>
      <c r="O3769" s="73"/>
      <c r="P3769" s="73"/>
      <c r="Q3769" s="73"/>
      <c r="R3769" s="176"/>
      <c r="S3769" s="176"/>
      <c r="T3769" s="176"/>
      <c r="U3769" s="400"/>
      <c r="V3769" s="400"/>
      <c r="W3769" s="732"/>
      <c r="X3769" s="167"/>
      <c r="Y3769" s="509"/>
      <c r="Z3769" s="466"/>
      <c r="AA3769" s="466"/>
      <c r="AB3769" s="466"/>
      <c r="AC3769" s="466"/>
      <c r="AD3769" s="466"/>
      <c r="AE3769" s="466"/>
      <c r="AF3769" s="466"/>
      <c r="AG3769" s="466"/>
      <c r="AH3769" s="466"/>
      <c r="AI3769" s="466"/>
      <c r="AJ3769" s="466"/>
      <c r="AK3769" s="466"/>
      <c r="AL3769" s="466"/>
      <c r="AM3769" s="466"/>
      <c r="AN3769" s="466"/>
      <c r="AO3769" s="466"/>
      <c r="AP3769" s="466"/>
      <c r="AQ3769" s="466"/>
      <c r="AR3769" s="466"/>
      <c r="AS3769" s="466"/>
      <c r="AT3769" s="466"/>
      <c r="AU3769" s="466"/>
      <c r="AV3769" s="466"/>
      <c r="AW3769" s="466"/>
      <c r="AX3769" s="466"/>
      <c r="AY3769" s="466"/>
      <c r="AZ3769" s="466"/>
      <c r="BA3769" s="466"/>
      <c r="BB3769" s="466"/>
      <c r="BC3769" s="466"/>
      <c r="BD3769" s="466"/>
      <c r="BE3769" s="467"/>
      <c r="BF3769" s="467"/>
      <c r="BG3769" s="466"/>
      <c r="BH3769" s="466"/>
      <c r="BI3769" s="467"/>
      <c r="BJ3769" s="467"/>
      <c r="BK3769" s="467"/>
      <c r="BL3769" s="467"/>
      <c r="BM3769" s="467"/>
      <c r="BN3769" s="467"/>
      <c r="BO3769" s="467"/>
      <c r="BP3769" s="467"/>
      <c r="BQ3769" s="467"/>
      <c r="BR3769" s="467"/>
      <c r="BS3769" s="467"/>
      <c r="BT3769" s="467"/>
      <c r="BU3769" s="467"/>
      <c r="BV3769" s="467"/>
      <c r="BW3769" s="467"/>
      <c r="BX3769" s="769"/>
      <c r="BY3769" s="769"/>
      <c r="BZ3769" s="769"/>
      <c r="CA3769" s="769"/>
      <c r="CB3769" s="769"/>
      <c r="CC3769" s="769"/>
      <c r="CD3769" s="769"/>
      <c r="CE3769" s="769"/>
      <c r="CF3769" s="769"/>
      <c r="CG3769" s="73"/>
      <c r="CH3769" s="438"/>
      <c r="CI3769" s="416"/>
      <c r="CJ3769" s="73"/>
      <c r="CK3769" s="650"/>
      <c r="CL3769" s="499"/>
      <c r="CM3769" s="650"/>
      <c r="CR3769" s="416"/>
      <c r="CS3769" s="650"/>
      <c r="CU3769" s="73"/>
      <c r="CV3769" s="73"/>
      <c r="CW3769" s="73"/>
      <c r="CX3769" s="73"/>
      <c r="DA3769" s="650"/>
    </row>
    <row r="3770" spans="1:105" s="45" customFormat="1" x14ac:dyDescent="0.2">
      <c r="A3770" s="650"/>
      <c r="B3770" s="438"/>
      <c r="D3770" s="73"/>
      <c r="E3770" s="650"/>
      <c r="F3770" s="650"/>
      <c r="G3770" s="73"/>
      <c r="I3770" s="111"/>
      <c r="J3770" s="81"/>
      <c r="K3770" s="81"/>
      <c r="L3770" s="499"/>
      <c r="M3770" s="73"/>
      <c r="N3770" s="499"/>
      <c r="O3770" s="73"/>
      <c r="P3770" s="73"/>
      <c r="Q3770" s="73"/>
      <c r="R3770" s="176"/>
      <c r="S3770" s="176"/>
      <c r="T3770" s="176"/>
      <c r="U3770" s="400"/>
      <c r="V3770" s="400"/>
      <c r="W3770" s="732"/>
      <c r="X3770" s="167"/>
      <c r="Y3770" s="509"/>
      <c r="Z3770" s="466"/>
      <c r="AA3770" s="466"/>
      <c r="AB3770" s="466"/>
      <c r="AC3770" s="466"/>
      <c r="AD3770" s="466"/>
      <c r="AE3770" s="466"/>
      <c r="AF3770" s="466"/>
      <c r="AG3770" s="466"/>
      <c r="AH3770" s="466"/>
      <c r="AI3770" s="466"/>
      <c r="AJ3770" s="466"/>
      <c r="AK3770" s="466"/>
      <c r="AL3770" s="466"/>
      <c r="AM3770" s="466"/>
      <c r="AN3770" s="466"/>
      <c r="AO3770" s="466"/>
      <c r="AP3770" s="466"/>
      <c r="AQ3770" s="466"/>
      <c r="AR3770" s="466"/>
      <c r="AS3770" s="466"/>
      <c r="AT3770" s="466"/>
      <c r="AU3770" s="466"/>
      <c r="AV3770" s="466"/>
      <c r="AW3770" s="466"/>
      <c r="AX3770" s="466"/>
      <c r="AY3770" s="466"/>
      <c r="AZ3770" s="466"/>
      <c r="BA3770" s="466"/>
      <c r="BB3770" s="466"/>
      <c r="BC3770" s="466"/>
      <c r="BD3770" s="466"/>
      <c r="BE3770" s="467"/>
      <c r="BF3770" s="467"/>
      <c r="BG3770" s="466"/>
      <c r="BH3770" s="466"/>
      <c r="BI3770" s="467"/>
      <c r="BJ3770" s="467"/>
      <c r="BK3770" s="467"/>
      <c r="BL3770" s="467"/>
      <c r="BM3770" s="467"/>
      <c r="BN3770" s="467"/>
      <c r="BO3770" s="467"/>
      <c r="BP3770" s="467"/>
      <c r="BQ3770" s="467"/>
      <c r="BR3770" s="467"/>
      <c r="BS3770" s="467"/>
      <c r="BT3770" s="467"/>
      <c r="BU3770" s="467"/>
      <c r="BV3770" s="467"/>
      <c r="BW3770" s="467"/>
      <c r="BX3770" s="769"/>
      <c r="BY3770" s="769"/>
      <c r="BZ3770" s="769"/>
      <c r="CA3770" s="769"/>
      <c r="CB3770" s="769"/>
      <c r="CC3770" s="769"/>
      <c r="CD3770" s="769"/>
      <c r="CE3770" s="769"/>
      <c r="CF3770" s="769"/>
      <c r="CG3770" s="73"/>
      <c r="CH3770" s="438"/>
      <c r="CI3770" s="416"/>
      <c r="CJ3770" s="73"/>
      <c r="CK3770" s="650"/>
      <c r="CL3770" s="499"/>
      <c r="CM3770" s="650"/>
      <c r="CR3770" s="416"/>
      <c r="CS3770" s="650"/>
      <c r="CU3770" s="73"/>
      <c r="CV3770" s="73"/>
      <c r="CW3770" s="73"/>
      <c r="CX3770" s="73"/>
      <c r="DA3770" s="650"/>
    </row>
    <row r="3771" spans="1:105" s="45" customFormat="1" x14ac:dyDescent="0.2">
      <c r="A3771" s="650"/>
      <c r="B3771" s="438"/>
      <c r="D3771" s="73"/>
      <c r="E3771" s="650"/>
      <c r="F3771" s="650"/>
      <c r="G3771" s="73"/>
      <c r="I3771" s="111"/>
      <c r="J3771" s="81"/>
      <c r="K3771" s="81"/>
      <c r="L3771" s="499"/>
      <c r="M3771" s="73"/>
      <c r="N3771" s="499"/>
      <c r="O3771" s="73"/>
      <c r="P3771" s="73"/>
      <c r="Q3771" s="73"/>
      <c r="R3771" s="176"/>
      <c r="S3771" s="176"/>
      <c r="T3771" s="176"/>
      <c r="U3771" s="400"/>
      <c r="V3771" s="400"/>
      <c r="W3771" s="732"/>
      <c r="X3771" s="167"/>
      <c r="Y3771" s="509"/>
      <c r="Z3771" s="466"/>
      <c r="AA3771" s="466"/>
      <c r="AB3771" s="466"/>
      <c r="AC3771" s="466"/>
      <c r="AD3771" s="466"/>
      <c r="AE3771" s="466"/>
      <c r="AF3771" s="466"/>
      <c r="AG3771" s="466"/>
      <c r="AH3771" s="466"/>
      <c r="AI3771" s="466"/>
      <c r="AJ3771" s="466"/>
      <c r="AK3771" s="466"/>
      <c r="AL3771" s="466"/>
      <c r="AM3771" s="466"/>
      <c r="AN3771" s="466"/>
      <c r="AO3771" s="466"/>
      <c r="AP3771" s="466"/>
      <c r="AQ3771" s="466"/>
      <c r="AR3771" s="466"/>
      <c r="AS3771" s="466"/>
      <c r="AT3771" s="466"/>
      <c r="AU3771" s="466"/>
      <c r="AV3771" s="466"/>
      <c r="AW3771" s="466"/>
      <c r="AX3771" s="466"/>
      <c r="AY3771" s="466"/>
      <c r="AZ3771" s="466"/>
      <c r="BA3771" s="466"/>
      <c r="BB3771" s="466"/>
      <c r="BC3771" s="466"/>
      <c r="BD3771" s="466"/>
      <c r="BE3771" s="467"/>
      <c r="BF3771" s="467"/>
      <c r="BG3771" s="466"/>
      <c r="BH3771" s="466"/>
      <c r="BI3771" s="467"/>
      <c r="BJ3771" s="467"/>
      <c r="BK3771" s="467"/>
      <c r="BL3771" s="467"/>
      <c r="BM3771" s="467"/>
      <c r="BN3771" s="467"/>
      <c r="BO3771" s="467"/>
      <c r="BP3771" s="467"/>
      <c r="BQ3771" s="467"/>
      <c r="BR3771" s="467"/>
      <c r="BS3771" s="467"/>
      <c r="BT3771" s="467"/>
      <c r="BU3771" s="467"/>
      <c r="BV3771" s="467"/>
      <c r="BW3771" s="467"/>
      <c r="BX3771" s="769"/>
      <c r="BY3771" s="769"/>
      <c r="BZ3771" s="769"/>
      <c r="CA3771" s="769"/>
      <c r="CB3771" s="769"/>
      <c r="CC3771" s="769"/>
      <c r="CD3771" s="769"/>
      <c r="CE3771" s="769"/>
      <c r="CF3771" s="769"/>
      <c r="CG3771" s="73"/>
      <c r="CH3771" s="438"/>
      <c r="CI3771" s="416"/>
      <c r="CJ3771" s="73"/>
      <c r="CK3771" s="650"/>
      <c r="CL3771" s="499"/>
      <c r="CM3771" s="650"/>
      <c r="CR3771" s="416"/>
      <c r="CS3771" s="650"/>
      <c r="CU3771" s="73"/>
      <c r="CV3771" s="73"/>
      <c r="CW3771" s="73"/>
      <c r="CX3771" s="73"/>
      <c r="DA3771" s="650"/>
    </row>
    <row r="3772" spans="1:105" s="45" customFormat="1" x14ac:dyDescent="0.2">
      <c r="A3772" s="650"/>
      <c r="B3772" s="438"/>
      <c r="D3772" s="73"/>
      <c r="E3772" s="650"/>
      <c r="F3772" s="650"/>
      <c r="G3772" s="73"/>
      <c r="I3772" s="111"/>
      <c r="J3772" s="81"/>
      <c r="K3772" s="81"/>
      <c r="L3772" s="499"/>
      <c r="M3772" s="73"/>
      <c r="N3772" s="499"/>
      <c r="O3772" s="73"/>
      <c r="P3772" s="73"/>
      <c r="Q3772" s="73"/>
      <c r="R3772" s="176"/>
      <c r="S3772" s="176"/>
      <c r="T3772" s="176"/>
      <c r="U3772" s="400"/>
      <c r="V3772" s="400"/>
      <c r="W3772" s="732"/>
      <c r="X3772" s="167"/>
      <c r="Y3772" s="509"/>
      <c r="Z3772" s="466"/>
      <c r="AA3772" s="466"/>
      <c r="AB3772" s="466"/>
      <c r="AC3772" s="466"/>
      <c r="AD3772" s="466"/>
      <c r="AE3772" s="466"/>
      <c r="AF3772" s="466"/>
      <c r="AG3772" s="466"/>
      <c r="AH3772" s="466"/>
      <c r="AI3772" s="466"/>
      <c r="AJ3772" s="466"/>
      <c r="AK3772" s="466"/>
      <c r="AL3772" s="466"/>
      <c r="AM3772" s="466"/>
      <c r="AN3772" s="466"/>
      <c r="AO3772" s="466"/>
      <c r="AP3772" s="466"/>
      <c r="AQ3772" s="466"/>
      <c r="AR3772" s="466"/>
      <c r="AS3772" s="466"/>
      <c r="AT3772" s="466"/>
      <c r="AU3772" s="466"/>
      <c r="AV3772" s="466"/>
      <c r="AW3772" s="466"/>
      <c r="AX3772" s="466"/>
      <c r="AY3772" s="466"/>
      <c r="AZ3772" s="466"/>
      <c r="BA3772" s="466"/>
      <c r="BB3772" s="466"/>
      <c r="BC3772" s="466"/>
      <c r="BD3772" s="466"/>
      <c r="BE3772" s="467"/>
      <c r="BF3772" s="467"/>
      <c r="BG3772" s="466"/>
      <c r="BH3772" s="466"/>
      <c r="BI3772" s="467"/>
      <c r="BJ3772" s="467"/>
      <c r="BK3772" s="467"/>
      <c r="BL3772" s="467"/>
      <c r="BM3772" s="467"/>
      <c r="BN3772" s="467"/>
      <c r="BO3772" s="467"/>
      <c r="BP3772" s="467"/>
      <c r="BQ3772" s="467"/>
      <c r="BR3772" s="467"/>
      <c r="BS3772" s="467"/>
      <c r="BT3772" s="467"/>
      <c r="BU3772" s="467"/>
      <c r="BV3772" s="467"/>
      <c r="BW3772" s="467"/>
      <c r="BX3772" s="769"/>
      <c r="BY3772" s="769"/>
      <c r="BZ3772" s="769"/>
      <c r="CA3772" s="769"/>
      <c r="CB3772" s="769"/>
      <c r="CC3772" s="769"/>
      <c r="CD3772" s="769"/>
      <c r="CE3772" s="769"/>
      <c r="CF3772" s="769"/>
      <c r="CG3772" s="73"/>
      <c r="CH3772" s="438"/>
      <c r="CI3772" s="416"/>
      <c r="CJ3772" s="73"/>
      <c r="CK3772" s="650"/>
      <c r="CL3772" s="499"/>
      <c r="CM3772" s="650"/>
      <c r="CR3772" s="416"/>
      <c r="CS3772" s="650"/>
      <c r="CU3772" s="73"/>
      <c r="CV3772" s="73"/>
      <c r="CW3772" s="73"/>
      <c r="CX3772" s="73"/>
      <c r="DA3772" s="650"/>
    </row>
    <row r="3773" spans="1:105" s="45" customFormat="1" x14ac:dyDescent="0.2">
      <c r="A3773" s="650"/>
      <c r="B3773" s="438"/>
      <c r="D3773" s="73"/>
      <c r="E3773" s="650"/>
      <c r="F3773" s="650"/>
      <c r="G3773" s="73"/>
      <c r="I3773" s="111"/>
      <c r="J3773" s="81"/>
      <c r="K3773" s="81"/>
      <c r="L3773" s="499"/>
      <c r="M3773" s="73"/>
      <c r="N3773" s="499"/>
      <c r="O3773" s="73"/>
      <c r="P3773" s="73"/>
      <c r="Q3773" s="73"/>
      <c r="R3773" s="176"/>
      <c r="S3773" s="176"/>
      <c r="T3773" s="176"/>
      <c r="U3773" s="400"/>
      <c r="V3773" s="400"/>
      <c r="W3773" s="732"/>
      <c r="X3773" s="167"/>
      <c r="Y3773" s="509"/>
      <c r="Z3773" s="466"/>
      <c r="AA3773" s="466"/>
      <c r="AB3773" s="466"/>
      <c r="AC3773" s="466"/>
      <c r="AD3773" s="466"/>
      <c r="AE3773" s="466"/>
      <c r="AF3773" s="466"/>
      <c r="AG3773" s="466"/>
      <c r="AH3773" s="466"/>
      <c r="AI3773" s="466"/>
      <c r="AJ3773" s="466"/>
      <c r="AK3773" s="466"/>
      <c r="AL3773" s="466"/>
      <c r="AM3773" s="466"/>
      <c r="AN3773" s="466"/>
      <c r="AO3773" s="466"/>
      <c r="AP3773" s="466"/>
      <c r="AQ3773" s="466"/>
      <c r="AR3773" s="466"/>
      <c r="AS3773" s="466"/>
      <c r="AT3773" s="466"/>
      <c r="AU3773" s="466"/>
      <c r="AV3773" s="466"/>
      <c r="AW3773" s="466"/>
      <c r="AX3773" s="466"/>
      <c r="AY3773" s="466"/>
      <c r="AZ3773" s="466"/>
      <c r="BA3773" s="466"/>
      <c r="BB3773" s="466"/>
      <c r="BC3773" s="466"/>
      <c r="BD3773" s="466"/>
      <c r="BE3773" s="467"/>
      <c r="BF3773" s="467"/>
      <c r="BG3773" s="466"/>
      <c r="BH3773" s="466"/>
      <c r="BI3773" s="467"/>
      <c r="BJ3773" s="467"/>
      <c r="BK3773" s="467"/>
      <c r="BL3773" s="467"/>
      <c r="BM3773" s="467"/>
      <c r="BN3773" s="467"/>
      <c r="BO3773" s="467"/>
      <c r="BP3773" s="467"/>
      <c r="BQ3773" s="467"/>
      <c r="BR3773" s="467"/>
      <c r="BS3773" s="467"/>
      <c r="BT3773" s="467"/>
      <c r="BU3773" s="467"/>
      <c r="BV3773" s="467"/>
      <c r="BW3773" s="467"/>
      <c r="BX3773" s="769"/>
      <c r="BY3773" s="769"/>
      <c r="BZ3773" s="769"/>
      <c r="CA3773" s="769"/>
      <c r="CB3773" s="769"/>
      <c r="CC3773" s="769"/>
      <c r="CD3773" s="769"/>
      <c r="CE3773" s="769"/>
      <c r="CF3773" s="769"/>
      <c r="CG3773" s="73"/>
      <c r="CH3773" s="438"/>
      <c r="CI3773" s="416"/>
      <c r="CJ3773" s="73"/>
      <c r="CK3773" s="650"/>
      <c r="CL3773" s="499"/>
      <c r="CM3773" s="650"/>
      <c r="CR3773" s="416"/>
      <c r="CS3773" s="650"/>
      <c r="CU3773" s="73"/>
      <c r="CV3773" s="73"/>
      <c r="CW3773" s="73"/>
      <c r="CX3773" s="73"/>
      <c r="DA3773" s="650"/>
    </row>
    <row r="3774" spans="1:105" s="45" customFormat="1" x14ac:dyDescent="0.2">
      <c r="A3774" s="650"/>
      <c r="B3774" s="438"/>
      <c r="D3774" s="73"/>
      <c r="E3774" s="650"/>
      <c r="F3774" s="650"/>
      <c r="G3774" s="73"/>
      <c r="I3774" s="111"/>
      <c r="J3774" s="81"/>
      <c r="K3774" s="81"/>
      <c r="L3774" s="499"/>
      <c r="M3774" s="73"/>
      <c r="N3774" s="499"/>
      <c r="O3774" s="73"/>
      <c r="P3774" s="73"/>
      <c r="Q3774" s="73"/>
      <c r="R3774" s="176"/>
      <c r="S3774" s="176"/>
      <c r="T3774" s="176"/>
      <c r="U3774" s="400"/>
      <c r="V3774" s="400"/>
      <c r="W3774" s="732"/>
      <c r="X3774" s="167"/>
      <c r="Y3774" s="509"/>
      <c r="Z3774" s="466"/>
      <c r="AA3774" s="466"/>
      <c r="AB3774" s="466"/>
      <c r="AC3774" s="466"/>
      <c r="AD3774" s="466"/>
      <c r="AE3774" s="466"/>
      <c r="AF3774" s="466"/>
      <c r="AG3774" s="466"/>
      <c r="AH3774" s="466"/>
      <c r="AI3774" s="466"/>
      <c r="AJ3774" s="466"/>
      <c r="AK3774" s="466"/>
      <c r="AL3774" s="466"/>
      <c r="AM3774" s="466"/>
      <c r="AN3774" s="466"/>
      <c r="AO3774" s="466"/>
      <c r="AP3774" s="466"/>
      <c r="AQ3774" s="466"/>
      <c r="AR3774" s="466"/>
      <c r="AS3774" s="466"/>
      <c r="AT3774" s="466"/>
      <c r="AU3774" s="466"/>
      <c r="AV3774" s="466"/>
      <c r="AW3774" s="466"/>
      <c r="AX3774" s="466"/>
      <c r="AY3774" s="466"/>
      <c r="AZ3774" s="466"/>
      <c r="BA3774" s="466"/>
      <c r="BB3774" s="466"/>
      <c r="BC3774" s="466"/>
      <c r="BD3774" s="466"/>
      <c r="BE3774" s="467"/>
      <c r="BF3774" s="467"/>
      <c r="BG3774" s="466"/>
      <c r="BH3774" s="466"/>
      <c r="BI3774" s="467"/>
      <c r="BJ3774" s="467"/>
      <c r="BK3774" s="467"/>
      <c r="BL3774" s="467"/>
      <c r="BM3774" s="467"/>
      <c r="BN3774" s="467"/>
      <c r="BO3774" s="467"/>
      <c r="BP3774" s="467"/>
      <c r="BQ3774" s="467"/>
      <c r="BR3774" s="467"/>
      <c r="BS3774" s="467"/>
      <c r="BT3774" s="467"/>
      <c r="BU3774" s="467"/>
      <c r="BV3774" s="467"/>
      <c r="BW3774" s="467"/>
      <c r="BX3774" s="769"/>
      <c r="BY3774" s="769"/>
      <c r="BZ3774" s="769"/>
      <c r="CA3774" s="769"/>
      <c r="CB3774" s="769"/>
      <c r="CC3774" s="769"/>
      <c r="CD3774" s="769"/>
      <c r="CE3774" s="769"/>
      <c r="CF3774" s="769"/>
      <c r="CG3774" s="73"/>
      <c r="CH3774" s="438"/>
      <c r="CI3774" s="416"/>
      <c r="CJ3774" s="73"/>
      <c r="CK3774" s="650"/>
      <c r="CL3774" s="499"/>
      <c r="CM3774" s="650"/>
      <c r="CR3774" s="416"/>
      <c r="CS3774" s="650"/>
      <c r="CU3774" s="73"/>
      <c r="CV3774" s="73"/>
      <c r="CW3774" s="73"/>
      <c r="CX3774" s="73"/>
      <c r="DA3774" s="650"/>
    </row>
    <row r="3775" spans="1:105" s="45" customFormat="1" x14ac:dyDescent="0.2">
      <c r="A3775" s="650"/>
      <c r="B3775" s="438"/>
      <c r="D3775" s="73"/>
      <c r="E3775" s="650"/>
      <c r="F3775" s="650"/>
      <c r="G3775" s="73"/>
      <c r="I3775" s="111"/>
      <c r="J3775" s="81"/>
      <c r="K3775" s="81"/>
      <c r="L3775" s="499"/>
      <c r="M3775" s="73"/>
      <c r="N3775" s="499"/>
      <c r="O3775" s="73"/>
      <c r="P3775" s="73"/>
      <c r="Q3775" s="73"/>
      <c r="R3775" s="176"/>
      <c r="S3775" s="176"/>
      <c r="T3775" s="176"/>
      <c r="U3775" s="400"/>
      <c r="V3775" s="400"/>
      <c r="W3775" s="732"/>
      <c r="X3775" s="167"/>
      <c r="Y3775" s="509"/>
      <c r="Z3775" s="466"/>
      <c r="AA3775" s="466"/>
      <c r="AB3775" s="466"/>
      <c r="AC3775" s="466"/>
      <c r="AD3775" s="466"/>
      <c r="AE3775" s="466"/>
      <c r="AF3775" s="466"/>
      <c r="AG3775" s="466"/>
      <c r="AH3775" s="466"/>
      <c r="AI3775" s="466"/>
      <c r="AJ3775" s="466"/>
      <c r="AK3775" s="466"/>
      <c r="AL3775" s="466"/>
      <c r="AM3775" s="466"/>
      <c r="AN3775" s="466"/>
      <c r="AO3775" s="466"/>
      <c r="AP3775" s="466"/>
      <c r="AQ3775" s="466"/>
      <c r="AR3775" s="466"/>
      <c r="AS3775" s="466"/>
      <c r="AT3775" s="466"/>
      <c r="AU3775" s="466"/>
      <c r="AV3775" s="466"/>
      <c r="AW3775" s="466"/>
      <c r="AX3775" s="466"/>
      <c r="AY3775" s="466"/>
      <c r="AZ3775" s="466"/>
      <c r="BA3775" s="466"/>
      <c r="BB3775" s="466"/>
      <c r="BC3775" s="466"/>
      <c r="BD3775" s="466"/>
      <c r="BE3775" s="467"/>
      <c r="BF3775" s="467"/>
      <c r="BG3775" s="466"/>
      <c r="BH3775" s="466"/>
      <c r="BI3775" s="467"/>
      <c r="BJ3775" s="467"/>
      <c r="BK3775" s="467"/>
      <c r="BL3775" s="467"/>
      <c r="BM3775" s="467"/>
      <c r="BN3775" s="467"/>
      <c r="BO3775" s="467"/>
      <c r="BP3775" s="467"/>
      <c r="BQ3775" s="467"/>
      <c r="BR3775" s="467"/>
      <c r="BS3775" s="467"/>
      <c r="BT3775" s="467"/>
      <c r="BU3775" s="467"/>
      <c r="BV3775" s="467"/>
      <c r="BW3775" s="467"/>
      <c r="BX3775" s="769"/>
      <c r="BY3775" s="769"/>
      <c r="BZ3775" s="769"/>
      <c r="CA3775" s="769"/>
      <c r="CB3775" s="769"/>
      <c r="CC3775" s="769"/>
      <c r="CD3775" s="769"/>
      <c r="CE3775" s="769"/>
      <c r="CF3775" s="769"/>
      <c r="CG3775" s="73"/>
      <c r="CH3775" s="438"/>
      <c r="CI3775" s="416"/>
      <c r="CJ3775" s="73"/>
      <c r="CK3775" s="650"/>
      <c r="CL3775" s="499"/>
      <c r="CM3775" s="650"/>
      <c r="CR3775" s="416"/>
      <c r="CS3775" s="650"/>
      <c r="CU3775" s="73"/>
      <c r="CV3775" s="73"/>
      <c r="CW3775" s="73"/>
      <c r="CX3775" s="73"/>
      <c r="DA3775" s="650"/>
    </row>
    <row r="3776" spans="1:105" s="45" customFormat="1" x14ac:dyDescent="0.2">
      <c r="A3776" s="650"/>
      <c r="B3776" s="438"/>
      <c r="D3776" s="73"/>
      <c r="E3776" s="650"/>
      <c r="F3776" s="650"/>
      <c r="G3776" s="73"/>
      <c r="I3776" s="111"/>
      <c r="J3776" s="81"/>
      <c r="K3776" s="81"/>
      <c r="L3776" s="499"/>
      <c r="M3776" s="73"/>
      <c r="N3776" s="499"/>
      <c r="O3776" s="73"/>
      <c r="P3776" s="73"/>
      <c r="Q3776" s="73"/>
      <c r="R3776" s="176"/>
      <c r="S3776" s="176"/>
      <c r="T3776" s="176"/>
      <c r="U3776" s="400"/>
      <c r="V3776" s="400"/>
      <c r="W3776" s="732"/>
      <c r="X3776" s="167"/>
      <c r="Y3776" s="509"/>
      <c r="Z3776" s="466"/>
      <c r="AA3776" s="466"/>
      <c r="AB3776" s="466"/>
      <c r="AC3776" s="466"/>
      <c r="AD3776" s="466"/>
      <c r="AE3776" s="466"/>
      <c r="AF3776" s="466"/>
      <c r="AG3776" s="466"/>
      <c r="AH3776" s="466"/>
      <c r="AI3776" s="466"/>
      <c r="AJ3776" s="466"/>
      <c r="AK3776" s="466"/>
      <c r="AL3776" s="466"/>
      <c r="AM3776" s="466"/>
      <c r="AN3776" s="466"/>
      <c r="AO3776" s="466"/>
      <c r="AP3776" s="466"/>
      <c r="AQ3776" s="466"/>
      <c r="AR3776" s="466"/>
      <c r="AS3776" s="466"/>
      <c r="AT3776" s="466"/>
      <c r="AU3776" s="466"/>
      <c r="AV3776" s="466"/>
      <c r="AW3776" s="466"/>
      <c r="AX3776" s="466"/>
      <c r="AY3776" s="466"/>
      <c r="AZ3776" s="466"/>
      <c r="BA3776" s="466"/>
      <c r="BB3776" s="466"/>
      <c r="BC3776" s="466"/>
      <c r="BD3776" s="466"/>
      <c r="BE3776" s="467"/>
      <c r="BF3776" s="467"/>
      <c r="BG3776" s="466"/>
      <c r="BH3776" s="466"/>
      <c r="BI3776" s="467"/>
      <c r="BJ3776" s="467"/>
      <c r="BK3776" s="467"/>
      <c r="BL3776" s="467"/>
      <c r="BM3776" s="467"/>
      <c r="BN3776" s="467"/>
      <c r="BO3776" s="467"/>
      <c r="BP3776" s="467"/>
      <c r="BQ3776" s="467"/>
      <c r="BR3776" s="467"/>
      <c r="BS3776" s="467"/>
      <c r="BT3776" s="467"/>
      <c r="BU3776" s="467"/>
      <c r="BV3776" s="467"/>
      <c r="BW3776" s="467"/>
      <c r="BX3776" s="769"/>
      <c r="BY3776" s="769"/>
      <c r="BZ3776" s="769"/>
      <c r="CA3776" s="769"/>
      <c r="CB3776" s="769"/>
      <c r="CC3776" s="769"/>
      <c r="CD3776" s="769"/>
      <c r="CE3776" s="769"/>
      <c r="CF3776" s="769"/>
      <c r="CG3776" s="73"/>
      <c r="CH3776" s="438"/>
      <c r="CI3776" s="416"/>
      <c r="CJ3776" s="73"/>
      <c r="CK3776" s="650"/>
      <c r="CL3776" s="499"/>
      <c r="CM3776" s="650"/>
      <c r="CR3776" s="416"/>
      <c r="CS3776" s="650"/>
      <c r="CU3776" s="73"/>
      <c r="CV3776" s="73"/>
      <c r="CW3776" s="73"/>
      <c r="CX3776" s="73"/>
      <c r="DA3776" s="650"/>
    </row>
    <row r="3777" spans="1:105" s="45" customFormat="1" x14ac:dyDescent="0.2">
      <c r="A3777" s="650"/>
      <c r="B3777" s="438"/>
      <c r="D3777" s="73"/>
      <c r="E3777" s="650"/>
      <c r="F3777" s="650"/>
      <c r="G3777" s="73"/>
      <c r="I3777" s="111"/>
      <c r="J3777" s="81"/>
      <c r="K3777" s="81"/>
      <c r="L3777" s="499"/>
      <c r="M3777" s="73"/>
      <c r="N3777" s="499"/>
      <c r="O3777" s="73"/>
      <c r="P3777" s="73"/>
      <c r="Q3777" s="73"/>
      <c r="R3777" s="176"/>
      <c r="S3777" s="176"/>
      <c r="T3777" s="176"/>
      <c r="U3777" s="400"/>
      <c r="V3777" s="400"/>
      <c r="W3777" s="732"/>
      <c r="X3777" s="167"/>
      <c r="Y3777" s="509"/>
      <c r="Z3777" s="466"/>
      <c r="AA3777" s="466"/>
      <c r="AB3777" s="466"/>
      <c r="AC3777" s="466"/>
      <c r="AD3777" s="466"/>
      <c r="AE3777" s="466"/>
      <c r="AF3777" s="466"/>
      <c r="AG3777" s="466"/>
      <c r="AH3777" s="466"/>
      <c r="AI3777" s="466"/>
      <c r="AJ3777" s="466"/>
      <c r="AK3777" s="466"/>
      <c r="AL3777" s="466"/>
      <c r="AM3777" s="466"/>
      <c r="AN3777" s="466"/>
      <c r="AO3777" s="466"/>
      <c r="AP3777" s="466"/>
      <c r="AQ3777" s="466"/>
      <c r="AR3777" s="466"/>
      <c r="AS3777" s="466"/>
      <c r="AT3777" s="466"/>
      <c r="AU3777" s="466"/>
      <c r="AV3777" s="466"/>
      <c r="AW3777" s="466"/>
      <c r="AX3777" s="466"/>
      <c r="AY3777" s="466"/>
      <c r="AZ3777" s="466"/>
      <c r="BA3777" s="466"/>
      <c r="BB3777" s="466"/>
      <c r="BC3777" s="466"/>
      <c r="BD3777" s="466"/>
      <c r="BE3777" s="467"/>
      <c r="BF3777" s="467"/>
      <c r="BG3777" s="466"/>
      <c r="BH3777" s="466"/>
      <c r="BI3777" s="467"/>
      <c r="BJ3777" s="467"/>
      <c r="BK3777" s="467"/>
      <c r="BL3777" s="467"/>
      <c r="BM3777" s="467"/>
      <c r="BN3777" s="467"/>
      <c r="BO3777" s="467"/>
      <c r="BP3777" s="467"/>
      <c r="BQ3777" s="467"/>
      <c r="BR3777" s="467"/>
      <c r="BS3777" s="467"/>
      <c r="BT3777" s="467"/>
      <c r="BU3777" s="467"/>
      <c r="BV3777" s="467"/>
      <c r="BW3777" s="467"/>
      <c r="BX3777" s="769"/>
      <c r="BY3777" s="769"/>
      <c r="BZ3777" s="769"/>
      <c r="CA3777" s="769"/>
      <c r="CB3777" s="769"/>
      <c r="CC3777" s="769"/>
      <c r="CD3777" s="769"/>
      <c r="CE3777" s="769"/>
      <c r="CF3777" s="769"/>
      <c r="CG3777" s="73"/>
      <c r="CH3777" s="438"/>
      <c r="CI3777" s="416"/>
      <c r="CJ3777" s="73"/>
      <c r="CK3777" s="650"/>
      <c r="CL3777" s="499"/>
      <c r="CM3777" s="650"/>
      <c r="CR3777" s="416"/>
      <c r="CS3777" s="650"/>
      <c r="CU3777" s="73"/>
      <c r="CV3777" s="73"/>
      <c r="CW3777" s="73"/>
      <c r="CX3777" s="73"/>
      <c r="DA3777" s="650"/>
    </row>
    <row r="3778" spans="1:105" s="45" customFormat="1" x14ac:dyDescent="0.2">
      <c r="A3778" s="650"/>
      <c r="B3778" s="438"/>
      <c r="D3778" s="73"/>
      <c r="E3778" s="650"/>
      <c r="F3778" s="650"/>
      <c r="G3778" s="73"/>
      <c r="I3778" s="111"/>
      <c r="J3778" s="81"/>
      <c r="K3778" s="81"/>
      <c r="L3778" s="499"/>
      <c r="M3778" s="73"/>
      <c r="N3778" s="499"/>
      <c r="O3778" s="73"/>
      <c r="P3778" s="73"/>
      <c r="Q3778" s="73"/>
      <c r="R3778" s="176"/>
      <c r="S3778" s="176"/>
      <c r="T3778" s="176"/>
      <c r="U3778" s="400"/>
      <c r="V3778" s="400"/>
      <c r="W3778" s="732"/>
      <c r="X3778" s="167"/>
      <c r="Y3778" s="509"/>
      <c r="Z3778" s="466"/>
      <c r="AA3778" s="466"/>
      <c r="AB3778" s="466"/>
      <c r="AC3778" s="466"/>
      <c r="AD3778" s="466"/>
      <c r="AE3778" s="466"/>
      <c r="AF3778" s="466"/>
      <c r="AG3778" s="466"/>
      <c r="AH3778" s="466"/>
      <c r="AI3778" s="466"/>
      <c r="AJ3778" s="466"/>
      <c r="AK3778" s="466"/>
      <c r="AL3778" s="466"/>
      <c r="AM3778" s="466"/>
      <c r="AN3778" s="466"/>
      <c r="AO3778" s="466"/>
      <c r="AP3778" s="466"/>
      <c r="AQ3778" s="466"/>
      <c r="AR3778" s="466"/>
      <c r="AS3778" s="466"/>
      <c r="AT3778" s="466"/>
      <c r="AU3778" s="466"/>
      <c r="AV3778" s="466"/>
      <c r="AW3778" s="466"/>
      <c r="AX3778" s="466"/>
      <c r="AY3778" s="466"/>
      <c r="AZ3778" s="466"/>
      <c r="BA3778" s="466"/>
      <c r="BB3778" s="466"/>
      <c r="BC3778" s="466"/>
      <c r="BD3778" s="466"/>
      <c r="BE3778" s="467"/>
      <c r="BF3778" s="467"/>
      <c r="BG3778" s="466"/>
      <c r="BH3778" s="466"/>
      <c r="BI3778" s="467"/>
      <c r="BJ3778" s="467"/>
      <c r="BK3778" s="467"/>
      <c r="BL3778" s="467"/>
      <c r="BM3778" s="467"/>
      <c r="BN3778" s="467"/>
      <c r="BO3778" s="467"/>
      <c r="BP3778" s="467"/>
      <c r="BQ3778" s="467"/>
      <c r="BR3778" s="467"/>
      <c r="BS3778" s="467"/>
      <c r="BT3778" s="467"/>
      <c r="BU3778" s="467"/>
      <c r="BV3778" s="467"/>
      <c r="BW3778" s="467"/>
      <c r="BX3778" s="769"/>
      <c r="BY3778" s="769"/>
      <c r="BZ3778" s="769"/>
      <c r="CA3778" s="769"/>
      <c r="CB3778" s="769"/>
      <c r="CC3778" s="769"/>
      <c r="CD3778" s="769"/>
      <c r="CE3778" s="769"/>
      <c r="CF3778" s="769"/>
      <c r="CG3778" s="73"/>
      <c r="CH3778" s="438"/>
      <c r="CI3778" s="416"/>
      <c r="CJ3778" s="73"/>
      <c r="CK3778" s="650"/>
      <c r="CL3778" s="499"/>
      <c r="CM3778" s="650"/>
      <c r="CR3778" s="416"/>
      <c r="CS3778" s="650"/>
      <c r="CU3778" s="73"/>
      <c r="CV3778" s="73"/>
      <c r="CW3778" s="73"/>
      <c r="CX3778" s="73"/>
      <c r="DA3778" s="650"/>
    </row>
    <row r="3779" spans="1:105" s="45" customFormat="1" x14ac:dyDescent="0.2">
      <c r="A3779" s="650"/>
      <c r="B3779" s="438"/>
      <c r="D3779" s="73"/>
      <c r="E3779" s="650"/>
      <c r="F3779" s="650"/>
      <c r="G3779" s="73"/>
      <c r="I3779" s="111"/>
      <c r="J3779" s="81"/>
      <c r="K3779" s="81"/>
      <c r="L3779" s="499"/>
      <c r="M3779" s="73"/>
      <c r="N3779" s="499"/>
      <c r="O3779" s="73"/>
      <c r="P3779" s="73"/>
      <c r="Q3779" s="73"/>
      <c r="R3779" s="176"/>
      <c r="S3779" s="176"/>
      <c r="T3779" s="176"/>
      <c r="U3779" s="400"/>
      <c r="V3779" s="400"/>
      <c r="W3779" s="732"/>
      <c r="X3779" s="167"/>
      <c r="Y3779" s="509"/>
      <c r="Z3779" s="466"/>
      <c r="AA3779" s="466"/>
      <c r="AB3779" s="466"/>
      <c r="AC3779" s="466"/>
      <c r="AD3779" s="466"/>
      <c r="AE3779" s="466"/>
      <c r="AF3779" s="466"/>
      <c r="AG3779" s="466"/>
      <c r="AH3779" s="466"/>
      <c r="AI3779" s="466"/>
      <c r="AJ3779" s="466"/>
      <c r="AK3779" s="466"/>
      <c r="AL3779" s="466"/>
      <c r="AM3779" s="466"/>
      <c r="AN3779" s="466"/>
      <c r="AO3779" s="466"/>
      <c r="AP3779" s="466"/>
      <c r="AQ3779" s="466"/>
      <c r="AR3779" s="466"/>
      <c r="AS3779" s="466"/>
      <c r="AT3779" s="466"/>
      <c r="AU3779" s="466"/>
      <c r="AV3779" s="466"/>
      <c r="AW3779" s="466"/>
      <c r="AX3779" s="466"/>
      <c r="AY3779" s="466"/>
      <c r="AZ3779" s="466"/>
      <c r="BA3779" s="466"/>
      <c r="BB3779" s="466"/>
      <c r="BC3779" s="466"/>
      <c r="BD3779" s="466"/>
      <c r="BE3779" s="467"/>
      <c r="BF3779" s="467"/>
      <c r="BG3779" s="466"/>
      <c r="BH3779" s="466"/>
      <c r="BI3779" s="467"/>
      <c r="BJ3779" s="467"/>
      <c r="BK3779" s="467"/>
      <c r="BL3779" s="467"/>
      <c r="BM3779" s="467"/>
      <c r="BN3779" s="467"/>
      <c r="BO3779" s="467"/>
      <c r="BP3779" s="467"/>
      <c r="BQ3779" s="467"/>
      <c r="BR3779" s="467"/>
      <c r="BS3779" s="467"/>
      <c r="BT3779" s="467"/>
      <c r="BU3779" s="467"/>
      <c r="BV3779" s="467"/>
      <c r="BW3779" s="467"/>
      <c r="BX3779" s="769"/>
      <c r="BY3779" s="769"/>
      <c r="BZ3779" s="769"/>
      <c r="CA3779" s="769"/>
      <c r="CB3779" s="769"/>
      <c r="CC3779" s="769"/>
      <c r="CD3779" s="769"/>
      <c r="CE3779" s="769"/>
      <c r="CF3779" s="769"/>
      <c r="CG3779" s="73"/>
      <c r="CH3779" s="438"/>
      <c r="CI3779" s="416"/>
      <c r="CJ3779" s="73"/>
      <c r="CK3779" s="650"/>
      <c r="CL3779" s="499"/>
      <c r="CM3779" s="650"/>
      <c r="CR3779" s="416"/>
      <c r="CS3779" s="650"/>
      <c r="CU3779" s="73"/>
      <c r="CV3779" s="73"/>
      <c r="CW3779" s="73"/>
      <c r="CX3779" s="73"/>
      <c r="DA3779" s="650"/>
    </row>
    <row r="3780" spans="1:105" s="45" customFormat="1" x14ac:dyDescent="0.2">
      <c r="A3780" s="650"/>
      <c r="B3780" s="438"/>
      <c r="D3780" s="73"/>
      <c r="E3780" s="650"/>
      <c r="F3780" s="650"/>
      <c r="G3780" s="73"/>
      <c r="I3780" s="111"/>
      <c r="J3780" s="81"/>
      <c r="K3780" s="81"/>
      <c r="L3780" s="499"/>
      <c r="M3780" s="73"/>
      <c r="N3780" s="499"/>
      <c r="O3780" s="73"/>
      <c r="P3780" s="73"/>
      <c r="Q3780" s="73"/>
      <c r="R3780" s="176"/>
      <c r="S3780" s="176"/>
      <c r="T3780" s="176"/>
      <c r="U3780" s="400"/>
      <c r="V3780" s="400"/>
      <c r="W3780" s="732"/>
      <c r="X3780" s="167"/>
      <c r="Y3780" s="509"/>
      <c r="Z3780" s="466"/>
      <c r="AA3780" s="466"/>
      <c r="AB3780" s="466"/>
      <c r="AC3780" s="466"/>
      <c r="AD3780" s="466"/>
      <c r="AE3780" s="466"/>
      <c r="AF3780" s="466"/>
      <c r="AG3780" s="466"/>
      <c r="AH3780" s="466"/>
      <c r="AI3780" s="466"/>
      <c r="AJ3780" s="466"/>
      <c r="AK3780" s="466"/>
      <c r="AL3780" s="466"/>
      <c r="AM3780" s="466"/>
      <c r="AN3780" s="466"/>
      <c r="AO3780" s="466"/>
      <c r="AP3780" s="466"/>
      <c r="AQ3780" s="466"/>
      <c r="AR3780" s="466"/>
      <c r="AS3780" s="466"/>
      <c r="AT3780" s="466"/>
      <c r="AU3780" s="466"/>
      <c r="AV3780" s="466"/>
      <c r="AW3780" s="466"/>
      <c r="AX3780" s="466"/>
      <c r="AY3780" s="466"/>
      <c r="AZ3780" s="466"/>
      <c r="BA3780" s="466"/>
      <c r="BB3780" s="466"/>
      <c r="BC3780" s="466"/>
      <c r="BD3780" s="466"/>
      <c r="BE3780" s="467"/>
      <c r="BF3780" s="467"/>
      <c r="BG3780" s="466"/>
      <c r="BH3780" s="466"/>
      <c r="BI3780" s="467"/>
      <c r="BJ3780" s="467"/>
      <c r="BK3780" s="467"/>
      <c r="BL3780" s="467"/>
      <c r="BM3780" s="467"/>
      <c r="BN3780" s="467"/>
      <c r="BO3780" s="467"/>
      <c r="BP3780" s="467"/>
      <c r="BQ3780" s="467"/>
      <c r="BR3780" s="467"/>
      <c r="BS3780" s="467"/>
      <c r="BT3780" s="467"/>
      <c r="BU3780" s="467"/>
      <c r="BV3780" s="467"/>
      <c r="BW3780" s="467"/>
      <c r="BX3780" s="769"/>
      <c r="BY3780" s="769"/>
      <c r="BZ3780" s="769"/>
      <c r="CA3780" s="769"/>
      <c r="CB3780" s="769"/>
      <c r="CC3780" s="769"/>
      <c r="CD3780" s="769"/>
      <c r="CE3780" s="769"/>
      <c r="CF3780" s="769"/>
      <c r="CG3780" s="73"/>
      <c r="CH3780" s="438"/>
      <c r="CI3780" s="416"/>
      <c r="CJ3780" s="73"/>
      <c r="CK3780" s="650"/>
      <c r="CL3780" s="499"/>
      <c r="CM3780" s="650"/>
      <c r="CR3780" s="416"/>
      <c r="CS3780" s="650"/>
      <c r="CU3780" s="73"/>
      <c r="CV3780" s="73"/>
      <c r="CW3780" s="73"/>
      <c r="CX3780" s="73"/>
      <c r="DA3780" s="650"/>
    </row>
    <row r="3781" spans="1:105" s="45" customFormat="1" x14ac:dyDescent="0.2">
      <c r="A3781" s="650"/>
      <c r="B3781" s="438"/>
      <c r="D3781" s="73"/>
      <c r="E3781" s="650"/>
      <c r="F3781" s="650"/>
      <c r="G3781" s="73"/>
      <c r="I3781" s="111"/>
      <c r="J3781" s="81"/>
      <c r="K3781" s="81"/>
      <c r="L3781" s="499"/>
      <c r="M3781" s="73"/>
      <c r="N3781" s="499"/>
      <c r="O3781" s="73"/>
      <c r="P3781" s="73"/>
      <c r="Q3781" s="73"/>
      <c r="R3781" s="176"/>
      <c r="S3781" s="176"/>
      <c r="T3781" s="176"/>
      <c r="U3781" s="400"/>
      <c r="V3781" s="400"/>
      <c r="W3781" s="732"/>
      <c r="X3781" s="167"/>
      <c r="Y3781" s="509"/>
      <c r="Z3781" s="466"/>
      <c r="AA3781" s="466"/>
      <c r="AB3781" s="466"/>
      <c r="AC3781" s="466"/>
      <c r="AD3781" s="466"/>
      <c r="AE3781" s="466"/>
      <c r="AF3781" s="466"/>
      <c r="AG3781" s="466"/>
      <c r="AH3781" s="466"/>
      <c r="AI3781" s="466"/>
      <c r="AJ3781" s="466"/>
      <c r="AK3781" s="466"/>
      <c r="AL3781" s="466"/>
      <c r="AM3781" s="466"/>
      <c r="AN3781" s="466"/>
      <c r="AO3781" s="466"/>
      <c r="AP3781" s="466"/>
      <c r="AQ3781" s="466"/>
      <c r="AR3781" s="466"/>
      <c r="AS3781" s="466"/>
      <c r="AT3781" s="466"/>
      <c r="AU3781" s="466"/>
      <c r="AV3781" s="466"/>
      <c r="AW3781" s="466"/>
      <c r="AX3781" s="466"/>
      <c r="AY3781" s="466"/>
      <c r="AZ3781" s="466"/>
      <c r="BA3781" s="466"/>
      <c r="BB3781" s="466"/>
      <c r="BC3781" s="466"/>
      <c r="BD3781" s="466"/>
      <c r="BE3781" s="467"/>
      <c r="BF3781" s="467"/>
      <c r="BG3781" s="466"/>
      <c r="BH3781" s="466"/>
      <c r="BI3781" s="467"/>
      <c r="BJ3781" s="467"/>
      <c r="BK3781" s="467"/>
      <c r="BL3781" s="467"/>
      <c r="BM3781" s="467"/>
      <c r="BN3781" s="467"/>
      <c r="BO3781" s="467"/>
      <c r="BP3781" s="467"/>
      <c r="BQ3781" s="467"/>
      <c r="BR3781" s="467"/>
      <c r="BS3781" s="467"/>
      <c r="BT3781" s="467"/>
      <c r="BU3781" s="467"/>
      <c r="BV3781" s="467"/>
      <c r="BW3781" s="467"/>
      <c r="BX3781" s="769"/>
      <c r="BY3781" s="769"/>
      <c r="BZ3781" s="769"/>
      <c r="CA3781" s="769"/>
      <c r="CB3781" s="769"/>
      <c r="CC3781" s="769"/>
      <c r="CD3781" s="769"/>
      <c r="CE3781" s="769"/>
      <c r="CF3781" s="769"/>
      <c r="CG3781" s="73"/>
      <c r="CH3781" s="438"/>
      <c r="CI3781" s="416"/>
      <c r="CJ3781" s="73"/>
      <c r="CK3781" s="650"/>
      <c r="CL3781" s="499"/>
      <c r="CM3781" s="650"/>
      <c r="CR3781" s="416"/>
      <c r="CS3781" s="650"/>
      <c r="CU3781" s="73"/>
      <c r="CV3781" s="73"/>
      <c r="CW3781" s="73"/>
      <c r="CX3781" s="73"/>
      <c r="DA3781" s="650"/>
    </row>
    <row r="3782" spans="1:105" s="45" customFormat="1" x14ac:dyDescent="0.2">
      <c r="A3782" s="650"/>
      <c r="B3782" s="438"/>
      <c r="D3782" s="73"/>
      <c r="E3782" s="650"/>
      <c r="F3782" s="650"/>
      <c r="G3782" s="73"/>
      <c r="I3782" s="111"/>
      <c r="J3782" s="81"/>
      <c r="K3782" s="81"/>
      <c r="L3782" s="499"/>
      <c r="M3782" s="73"/>
      <c r="N3782" s="499"/>
      <c r="O3782" s="73"/>
      <c r="P3782" s="73"/>
      <c r="Q3782" s="73"/>
      <c r="R3782" s="176"/>
      <c r="S3782" s="176"/>
      <c r="T3782" s="176"/>
      <c r="U3782" s="400"/>
      <c r="V3782" s="400"/>
      <c r="W3782" s="732"/>
      <c r="X3782" s="167"/>
      <c r="Y3782" s="509"/>
      <c r="Z3782" s="466"/>
      <c r="AA3782" s="466"/>
      <c r="AB3782" s="466"/>
      <c r="AC3782" s="466"/>
      <c r="AD3782" s="466"/>
      <c r="AE3782" s="466"/>
      <c r="AF3782" s="466"/>
      <c r="AG3782" s="466"/>
      <c r="AH3782" s="466"/>
      <c r="AI3782" s="466"/>
      <c r="AJ3782" s="466"/>
      <c r="AK3782" s="466"/>
      <c r="AL3782" s="466"/>
      <c r="AM3782" s="466"/>
      <c r="AN3782" s="466"/>
      <c r="AO3782" s="466"/>
      <c r="AP3782" s="466"/>
      <c r="AQ3782" s="466"/>
      <c r="AR3782" s="466"/>
      <c r="AS3782" s="466"/>
      <c r="AT3782" s="466"/>
      <c r="AU3782" s="466"/>
      <c r="AV3782" s="466"/>
      <c r="AW3782" s="466"/>
      <c r="AX3782" s="466"/>
      <c r="AY3782" s="466"/>
      <c r="AZ3782" s="466"/>
      <c r="BA3782" s="466"/>
      <c r="BB3782" s="466"/>
      <c r="BC3782" s="466"/>
      <c r="BD3782" s="466"/>
      <c r="BE3782" s="467"/>
      <c r="BF3782" s="467"/>
      <c r="BG3782" s="466"/>
      <c r="BH3782" s="466"/>
      <c r="BI3782" s="467"/>
      <c r="BJ3782" s="467"/>
      <c r="BK3782" s="467"/>
      <c r="BL3782" s="467"/>
      <c r="BM3782" s="467"/>
      <c r="BN3782" s="467"/>
      <c r="BO3782" s="467"/>
      <c r="BP3782" s="467"/>
      <c r="BQ3782" s="467"/>
      <c r="BR3782" s="467"/>
      <c r="BS3782" s="467"/>
      <c r="BT3782" s="467"/>
      <c r="BU3782" s="467"/>
      <c r="BV3782" s="467"/>
      <c r="BW3782" s="467"/>
      <c r="BX3782" s="769"/>
      <c r="BY3782" s="769"/>
      <c r="BZ3782" s="769"/>
      <c r="CA3782" s="769"/>
      <c r="CB3782" s="769"/>
      <c r="CC3782" s="769"/>
      <c r="CD3782" s="769"/>
      <c r="CE3782" s="769"/>
      <c r="CF3782" s="769"/>
      <c r="CG3782" s="73"/>
      <c r="CH3782" s="438"/>
      <c r="CI3782" s="416"/>
      <c r="CJ3782" s="73"/>
      <c r="CK3782" s="650"/>
      <c r="CL3782" s="499"/>
      <c r="CM3782" s="650"/>
      <c r="CR3782" s="416"/>
      <c r="CS3782" s="650"/>
      <c r="CU3782" s="73"/>
      <c r="CV3782" s="73"/>
      <c r="CW3782" s="73"/>
      <c r="CX3782" s="73"/>
      <c r="DA3782" s="650"/>
    </row>
    <row r="3783" spans="1:105" s="45" customFormat="1" x14ac:dyDescent="0.2">
      <c r="A3783" s="650"/>
      <c r="B3783" s="438"/>
      <c r="D3783" s="73"/>
      <c r="E3783" s="650"/>
      <c r="F3783" s="650"/>
      <c r="G3783" s="73"/>
      <c r="I3783" s="111"/>
      <c r="J3783" s="81"/>
      <c r="K3783" s="81"/>
      <c r="L3783" s="499"/>
      <c r="M3783" s="73"/>
      <c r="N3783" s="499"/>
      <c r="O3783" s="73"/>
      <c r="P3783" s="73"/>
      <c r="Q3783" s="73"/>
      <c r="R3783" s="176"/>
      <c r="S3783" s="176"/>
      <c r="T3783" s="176"/>
      <c r="U3783" s="400"/>
      <c r="V3783" s="400"/>
      <c r="W3783" s="732"/>
      <c r="X3783" s="167"/>
      <c r="Y3783" s="509"/>
      <c r="Z3783" s="466"/>
      <c r="AA3783" s="466"/>
      <c r="AB3783" s="466"/>
      <c r="AC3783" s="466"/>
      <c r="AD3783" s="466"/>
      <c r="AE3783" s="466"/>
      <c r="AF3783" s="466"/>
      <c r="AG3783" s="466"/>
      <c r="AH3783" s="466"/>
      <c r="AI3783" s="466"/>
      <c r="AJ3783" s="466"/>
      <c r="AK3783" s="466"/>
      <c r="AL3783" s="466"/>
      <c r="AM3783" s="466"/>
      <c r="AN3783" s="466"/>
      <c r="AO3783" s="466"/>
      <c r="AP3783" s="466"/>
      <c r="AQ3783" s="466"/>
      <c r="AR3783" s="466"/>
      <c r="AS3783" s="466"/>
      <c r="AT3783" s="466"/>
      <c r="AU3783" s="466"/>
      <c r="AV3783" s="466"/>
      <c r="AW3783" s="466"/>
      <c r="AX3783" s="466"/>
      <c r="AY3783" s="466"/>
      <c r="AZ3783" s="466"/>
      <c r="BA3783" s="466"/>
      <c r="BB3783" s="466"/>
      <c r="BC3783" s="466"/>
      <c r="BD3783" s="466"/>
      <c r="BE3783" s="467"/>
      <c r="BF3783" s="467"/>
      <c r="BG3783" s="466"/>
      <c r="BH3783" s="466"/>
      <c r="BI3783" s="467"/>
      <c r="BJ3783" s="467"/>
      <c r="BK3783" s="467"/>
      <c r="BL3783" s="467"/>
      <c r="BM3783" s="467"/>
      <c r="BN3783" s="467"/>
      <c r="BO3783" s="467"/>
      <c r="BP3783" s="467"/>
      <c r="BQ3783" s="467"/>
      <c r="BR3783" s="467"/>
      <c r="BS3783" s="467"/>
      <c r="BT3783" s="467"/>
      <c r="BU3783" s="467"/>
      <c r="BV3783" s="467"/>
      <c r="BW3783" s="467"/>
      <c r="BX3783" s="769"/>
      <c r="BY3783" s="769"/>
      <c r="BZ3783" s="769"/>
      <c r="CA3783" s="769"/>
      <c r="CB3783" s="769"/>
      <c r="CC3783" s="769"/>
      <c r="CD3783" s="769"/>
      <c r="CE3783" s="769"/>
      <c r="CF3783" s="769"/>
      <c r="CG3783" s="73"/>
      <c r="CH3783" s="438"/>
      <c r="CI3783" s="416"/>
      <c r="CJ3783" s="73"/>
      <c r="CK3783" s="650"/>
      <c r="CL3783" s="499"/>
      <c r="CM3783" s="650"/>
      <c r="CR3783" s="416"/>
      <c r="CS3783" s="650"/>
      <c r="CU3783" s="73"/>
      <c r="CV3783" s="73"/>
      <c r="CW3783" s="73"/>
      <c r="CX3783" s="73"/>
      <c r="DA3783" s="650"/>
    </row>
    <row r="3784" spans="1:105" s="45" customFormat="1" x14ac:dyDescent="0.2">
      <c r="A3784" s="650"/>
      <c r="B3784" s="438"/>
      <c r="D3784" s="73"/>
      <c r="E3784" s="650"/>
      <c r="F3784" s="650"/>
      <c r="G3784" s="73"/>
      <c r="I3784" s="111"/>
      <c r="J3784" s="81"/>
      <c r="K3784" s="81"/>
      <c r="L3784" s="499"/>
      <c r="M3784" s="73"/>
      <c r="N3784" s="499"/>
      <c r="O3784" s="73"/>
      <c r="P3784" s="73"/>
      <c r="Q3784" s="73"/>
      <c r="R3784" s="176"/>
      <c r="S3784" s="176"/>
      <c r="T3784" s="176"/>
      <c r="U3784" s="400"/>
      <c r="V3784" s="400"/>
      <c r="W3784" s="732"/>
      <c r="X3784" s="167"/>
      <c r="Y3784" s="509"/>
      <c r="Z3784" s="466"/>
      <c r="AA3784" s="466"/>
      <c r="AB3784" s="466"/>
      <c r="AC3784" s="466"/>
      <c r="AD3784" s="466"/>
      <c r="AE3784" s="466"/>
      <c r="AF3784" s="466"/>
      <c r="AG3784" s="466"/>
      <c r="AH3784" s="466"/>
      <c r="AI3784" s="466"/>
      <c r="AJ3784" s="466"/>
      <c r="AK3784" s="466"/>
      <c r="AL3784" s="466"/>
      <c r="AM3784" s="466"/>
      <c r="AN3784" s="466"/>
      <c r="AO3784" s="466"/>
      <c r="AP3784" s="466"/>
      <c r="AQ3784" s="466"/>
      <c r="AR3784" s="466"/>
      <c r="AS3784" s="466"/>
      <c r="AT3784" s="466"/>
      <c r="AU3784" s="466"/>
      <c r="AV3784" s="466"/>
      <c r="AW3784" s="466"/>
      <c r="AX3784" s="466"/>
      <c r="AY3784" s="466"/>
      <c r="AZ3784" s="466"/>
      <c r="BA3784" s="466"/>
      <c r="BB3784" s="466"/>
      <c r="BC3784" s="466"/>
      <c r="BD3784" s="466"/>
      <c r="BE3784" s="467"/>
      <c r="BF3784" s="467"/>
      <c r="BG3784" s="466"/>
      <c r="BH3784" s="466"/>
      <c r="BI3784" s="467"/>
      <c r="BJ3784" s="467"/>
      <c r="BK3784" s="467"/>
      <c r="BL3784" s="467"/>
      <c r="BM3784" s="467"/>
      <c r="BN3784" s="467"/>
      <c r="BO3784" s="467"/>
      <c r="BP3784" s="467"/>
      <c r="BQ3784" s="467"/>
      <c r="BR3784" s="467"/>
      <c r="BS3784" s="467"/>
      <c r="BT3784" s="467"/>
      <c r="BU3784" s="467"/>
      <c r="BV3784" s="467"/>
      <c r="BW3784" s="467"/>
      <c r="BX3784" s="769"/>
      <c r="BY3784" s="769"/>
      <c r="BZ3784" s="769"/>
      <c r="CA3784" s="769"/>
      <c r="CB3784" s="769"/>
      <c r="CC3784" s="769"/>
      <c r="CD3784" s="769"/>
      <c r="CE3784" s="769"/>
      <c r="CF3784" s="769"/>
      <c r="CG3784" s="73"/>
      <c r="CH3784" s="438"/>
      <c r="CI3784" s="416"/>
      <c r="CJ3784" s="73"/>
      <c r="CK3784" s="650"/>
      <c r="CL3784" s="499"/>
      <c r="CM3784" s="650"/>
      <c r="CR3784" s="416"/>
      <c r="CS3784" s="650"/>
      <c r="CU3784" s="73"/>
      <c r="CV3784" s="73"/>
      <c r="CW3784" s="73"/>
      <c r="CX3784" s="73"/>
      <c r="DA3784" s="650"/>
    </row>
    <row r="3785" spans="1:105" s="45" customFormat="1" x14ac:dyDescent="0.2">
      <c r="A3785" s="650"/>
      <c r="B3785" s="438"/>
      <c r="D3785" s="73"/>
      <c r="E3785" s="650"/>
      <c r="F3785" s="650"/>
      <c r="G3785" s="73"/>
      <c r="I3785" s="111"/>
      <c r="J3785" s="81"/>
      <c r="K3785" s="81"/>
      <c r="L3785" s="499"/>
      <c r="M3785" s="73"/>
      <c r="N3785" s="499"/>
      <c r="O3785" s="73"/>
      <c r="P3785" s="73"/>
      <c r="Q3785" s="73"/>
      <c r="R3785" s="176"/>
      <c r="S3785" s="176"/>
      <c r="T3785" s="176"/>
      <c r="U3785" s="400"/>
      <c r="V3785" s="400"/>
      <c r="W3785" s="732"/>
      <c r="X3785" s="167"/>
      <c r="Y3785" s="509"/>
      <c r="Z3785" s="466"/>
      <c r="AA3785" s="466"/>
      <c r="AB3785" s="466"/>
      <c r="AC3785" s="466"/>
      <c r="AD3785" s="466"/>
      <c r="AE3785" s="466"/>
      <c r="AF3785" s="466"/>
      <c r="AG3785" s="466"/>
      <c r="AH3785" s="466"/>
      <c r="AI3785" s="466"/>
      <c r="AJ3785" s="466"/>
      <c r="AK3785" s="466"/>
      <c r="AL3785" s="466"/>
      <c r="AM3785" s="466"/>
      <c r="AN3785" s="466"/>
      <c r="AO3785" s="466"/>
      <c r="AP3785" s="466"/>
      <c r="AQ3785" s="466"/>
      <c r="AR3785" s="466"/>
      <c r="AS3785" s="466"/>
      <c r="AT3785" s="466"/>
      <c r="AU3785" s="466"/>
      <c r="AV3785" s="466"/>
      <c r="AW3785" s="466"/>
      <c r="AX3785" s="466"/>
      <c r="AY3785" s="466"/>
      <c r="AZ3785" s="466"/>
      <c r="BA3785" s="466"/>
      <c r="BB3785" s="466"/>
      <c r="BC3785" s="466"/>
      <c r="BD3785" s="466"/>
      <c r="BE3785" s="467"/>
      <c r="BF3785" s="467"/>
      <c r="BG3785" s="466"/>
      <c r="BH3785" s="466"/>
      <c r="BI3785" s="467"/>
      <c r="BJ3785" s="467"/>
      <c r="BK3785" s="467"/>
      <c r="BL3785" s="467"/>
      <c r="BM3785" s="467"/>
      <c r="BN3785" s="467"/>
      <c r="BO3785" s="467"/>
      <c r="BP3785" s="467"/>
      <c r="BQ3785" s="467"/>
      <c r="BR3785" s="467"/>
      <c r="BS3785" s="467"/>
      <c r="BT3785" s="467"/>
      <c r="BU3785" s="467"/>
      <c r="BV3785" s="467"/>
      <c r="BW3785" s="467"/>
      <c r="BX3785" s="769"/>
      <c r="BY3785" s="769"/>
      <c r="BZ3785" s="769"/>
      <c r="CA3785" s="769"/>
      <c r="CB3785" s="769"/>
      <c r="CC3785" s="769"/>
      <c r="CD3785" s="769"/>
      <c r="CE3785" s="769"/>
      <c r="CF3785" s="769"/>
      <c r="CG3785" s="73"/>
      <c r="CH3785" s="438"/>
      <c r="CI3785" s="416"/>
      <c r="CJ3785" s="73"/>
      <c r="CK3785" s="650"/>
      <c r="CL3785" s="499"/>
      <c r="CM3785" s="650"/>
      <c r="CR3785" s="416"/>
      <c r="CS3785" s="650"/>
      <c r="CU3785" s="73"/>
      <c r="CV3785" s="73"/>
      <c r="CW3785" s="73"/>
      <c r="CX3785" s="73"/>
      <c r="DA3785" s="650"/>
    </row>
    <row r="3786" spans="1:105" s="45" customFormat="1" x14ac:dyDescent="0.2">
      <c r="A3786" s="650"/>
      <c r="B3786" s="438"/>
      <c r="D3786" s="73"/>
      <c r="E3786" s="650"/>
      <c r="F3786" s="650"/>
      <c r="G3786" s="73"/>
      <c r="I3786" s="111"/>
      <c r="J3786" s="81"/>
      <c r="K3786" s="81"/>
      <c r="L3786" s="499"/>
      <c r="M3786" s="73"/>
      <c r="N3786" s="499"/>
      <c r="O3786" s="73"/>
      <c r="P3786" s="73"/>
      <c r="Q3786" s="73"/>
      <c r="R3786" s="176"/>
      <c r="S3786" s="176"/>
      <c r="T3786" s="176"/>
      <c r="U3786" s="400"/>
      <c r="V3786" s="400"/>
      <c r="W3786" s="732"/>
      <c r="X3786" s="167"/>
      <c r="Y3786" s="509"/>
      <c r="Z3786" s="466"/>
      <c r="AA3786" s="466"/>
      <c r="AB3786" s="466"/>
      <c r="AC3786" s="466"/>
      <c r="AD3786" s="466"/>
      <c r="AE3786" s="466"/>
      <c r="AF3786" s="466"/>
      <c r="AG3786" s="466"/>
      <c r="AH3786" s="466"/>
      <c r="AI3786" s="466"/>
      <c r="AJ3786" s="466"/>
      <c r="AK3786" s="466"/>
      <c r="AL3786" s="466"/>
      <c r="AM3786" s="466"/>
      <c r="AN3786" s="466"/>
      <c r="AO3786" s="466"/>
      <c r="AP3786" s="466"/>
      <c r="AQ3786" s="466"/>
      <c r="AR3786" s="466"/>
      <c r="AS3786" s="466"/>
      <c r="AT3786" s="466"/>
      <c r="AU3786" s="466"/>
      <c r="AV3786" s="466"/>
      <c r="AW3786" s="466"/>
      <c r="AX3786" s="466"/>
      <c r="AY3786" s="466"/>
      <c r="AZ3786" s="466"/>
      <c r="BA3786" s="466"/>
      <c r="BB3786" s="466"/>
      <c r="BC3786" s="466"/>
      <c r="BD3786" s="466"/>
      <c r="BE3786" s="467"/>
      <c r="BF3786" s="467"/>
      <c r="BG3786" s="466"/>
      <c r="BH3786" s="466"/>
      <c r="BI3786" s="467"/>
      <c r="BJ3786" s="467"/>
      <c r="BK3786" s="467"/>
      <c r="BL3786" s="467"/>
      <c r="BM3786" s="467"/>
      <c r="BN3786" s="467"/>
      <c r="BO3786" s="467"/>
      <c r="BP3786" s="467"/>
      <c r="BQ3786" s="467"/>
      <c r="BR3786" s="467"/>
      <c r="BS3786" s="467"/>
      <c r="BT3786" s="467"/>
      <c r="BU3786" s="467"/>
      <c r="BV3786" s="467"/>
      <c r="BW3786" s="467"/>
      <c r="BX3786" s="769"/>
      <c r="BY3786" s="769"/>
      <c r="BZ3786" s="769"/>
      <c r="CA3786" s="769"/>
      <c r="CB3786" s="769"/>
      <c r="CC3786" s="769"/>
      <c r="CD3786" s="769"/>
      <c r="CE3786" s="769"/>
      <c r="CF3786" s="769"/>
      <c r="CG3786" s="73"/>
      <c r="CH3786" s="438"/>
      <c r="CI3786" s="416"/>
      <c r="CJ3786" s="73"/>
      <c r="CK3786" s="650"/>
      <c r="CL3786" s="499"/>
      <c r="CM3786" s="650"/>
      <c r="CR3786" s="416"/>
      <c r="CS3786" s="650"/>
      <c r="CU3786" s="73"/>
      <c r="CV3786" s="73"/>
      <c r="CW3786" s="73"/>
      <c r="CX3786" s="73"/>
      <c r="DA3786" s="650"/>
    </row>
    <row r="3787" spans="1:105" s="45" customFormat="1" x14ac:dyDescent="0.2">
      <c r="A3787" s="650"/>
      <c r="B3787" s="438"/>
      <c r="D3787" s="73"/>
      <c r="E3787" s="650"/>
      <c r="F3787" s="650"/>
      <c r="G3787" s="73"/>
      <c r="I3787" s="111"/>
      <c r="J3787" s="81"/>
      <c r="K3787" s="81"/>
      <c r="L3787" s="499"/>
      <c r="M3787" s="73"/>
      <c r="N3787" s="499"/>
      <c r="O3787" s="73"/>
      <c r="P3787" s="73"/>
      <c r="Q3787" s="73"/>
      <c r="R3787" s="176"/>
      <c r="S3787" s="176"/>
      <c r="T3787" s="176"/>
      <c r="U3787" s="400"/>
      <c r="V3787" s="400"/>
      <c r="W3787" s="732"/>
      <c r="X3787" s="167"/>
      <c r="Y3787" s="509"/>
      <c r="Z3787" s="466"/>
      <c r="AA3787" s="466"/>
      <c r="AB3787" s="466"/>
      <c r="AC3787" s="466"/>
      <c r="AD3787" s="466"/>
      <c r="AE3787" s="466"/>
      <c r="AF3787" s="466"/>
      <c r="AG3787" s="466"/>
      <c r="AH3787" s="466"/>
      <c r="AI3787" s="466"/>
      <c r="AJ3787" s="466"/>
      <c r="AK3787" s="466"/>
      <c r="AL3787" s="466"/>
      <c r="AM3787" s="466"/>
      <c r="AN3787" s="466"/>
      <c r="AO3787" s="466"/>
      <c r="AP3787" s="466"/>
      <c r="AQ3787" s="466"/>
      <c r="AR3787" s="466"/>
      <c r="AS3787" s="466"/>
      <c r="AT3787" s="466"/>
      <c r="AU3787" s="466"/>
      <c r="AV3787" s="466"/>
      <c r="AW3787" s="466"/>
      <c r="AX3787" s="466"/>
      <c r="AY3787" s="466"/>
      <c r="AZ3787" s="466"/>
      <c r="BA3787" s="466"/>
      <c r="BB3787" s="466"/>
      <c r="BC3787" s="466"/>
      <c r="BD3787" s="466"/>
      <c r="BE3787" s="467"/>
      <c r="BF3787" s="467"/>
      <c r="BG3787" s="466"/>
      <c r="BH3787" s="466"/>
      <c r="BI3787" s="467"/>
      <c r="BJ3787" s="467"/>
      <c r="BK3787" s="467"/>
      <c r="BL3787" s="467"/>
      <c r="BM3787" s="467"/>
      <c r="BN3787" s="467"/>
      <c r="BO3787" s="467"/>
      <c r="BP3787" s="467"/>
      <c r="BQ3787" s="467"/>
      <c r="BR3787" s="467"/>
      <c r="BS3787" s="467"/>
      <c r="BT3787" s="467"/>
      <c r="BU3787" s="467"/>
      <c r="BV3787" s="467"/>
      <c r="BW3787" s="467"/>
      <c r="BX3787" s="769"/>
      <c r="BY3787" s="769"/>
      <c r="BZ3787" s="769"/>
      <c r="CA3787" s="769"/>
      <c r="CB3787" s="769"/>
      <c r="CC3787" s="769"/>
      <c r="CD3787" s="769"/>
      <c r="CE3787" s="769"/>
      <c r="CF3787" s="769"/>
      <c r="CG3787" s="73"/>
      <c r="CH3787" s="438"/>
      <c r="CI3787" s="416"/>
      <c r="CJ3787" s="73"/>
      <c r="CK3787" s="650"/>
      <c r="CL3787" s="499"/>
      <c r="CM3787" s="650"/>
      <c r="CR3787" s="416"/>
      <c r="CS3787" s="650"/>
      <c r="CU3787" s="73"/>
      <c r="CV3787" s="73"/>
      <c r="CW3787" s="73"/>
      <c r="CX3787" s="73"/>
      <c r="DA3787" s="650"/>
    </row>
    <row r="3788" spans="1:105" s="45" customFormat="1" x14ac:dyDescent="0.2">
      <c r="A3788" s="650"/>
      <c r="B3788" s="438"/>
      <c r="D3788" s="73"/>
      <c r="E3788" s="650"/>
      <c r="F3788" s="650"/>
      <c r="G3788" s="73"/>
      <c r="I3788" s="111"/>
      <c r="J3788" s="81"/>
      <c r="K3788" s="81"/>
      <c r="L3788" s="499"/>
      <c r="M3788" s="73"/>
      <c r="N3788" s="499"/>
      <c r="O3788" s="73"/>
      <c r="P3788" s="73"/>
      <c r="Q3788" s="73"/>
      <c r="R3788" s="176"/>
      <c r="S3788" s="176"/>
      <c r="T3788" s="176"/>
      <c r="U3788" s="400"/>
      <c r="V3788" s="400"/>
      <c r="W3788" s="732"/>
      <c r="X3788" s="167"/>
      <c r="Y3788" s="509"/>
      <c r="Z3788" s="466"/>
      <c r="AA3788" s="466"/>
      <c r="AB3788" s="466"/>
      <c r="AC3788" s="466"/>
      <c r="AD3788" s="466"/>
      <c r="AE3788" s="466"/>
      <c r="AF3788" s="466"/>
      <c r="AG3788" s="466"/>
      <c r="AH3788" s="466"/>
      <c r="AI3788" s="466"/>
      <c r="AJ3788" s="466"/>
      <c r="AK3788" s="466"/>
      <c r="AL3788" s="466"/>
      <c r="AM3788" s="466"/>
      <c r="AN3788" s="466"/>
      <c r="AO3788" s="466"/>
      <c r="AP3788" s="466"/>
      <c r="AQ3788" s="466"/>
      <c r="AR3788" s="466"/>
      <c r="AS3788" s="466"/>
      <c r="AT3788" s="466"/>
      <c r="AU3788" s="466"/>
      <c r="AV3788" s="466"/>
      <c r="AW3788" s="466"/>
      <c r="AX3788" s="466"/>
      <c r="AY3788" s="466"/>
      <c r="AZ3788" s="466"/>
      <c r="BA3788" s="466"/>
      <c r="BB3788" s="466"/>
      <c r="BC3788" s="466"/>
      <c r="BD3788" s="466"/>
      <c r="BE3788" s="467"/>
      <c r="BF3788" s="467"/>
      <c r="BG3788" s="466"/>
      <c r="BH3788" s="466"/>
      <c r="BI3788" s="467"/>
      <c r="BJ3788" s="467"/>
      <c r="BK3788" s="467"/>
      <c r="BL3788" s="467"/>
      <c r="BM3788" s="467"/>
      <c r="BN3788" s="467"/>
      <c r="BO3788" s="467"/>
      <c r="BP3788" s="467"/>
      <c r="BQ3788" s="467"/>
      <c r="BR3788" s="467"/>
      <c r="BS3788" s="467"/>
      <c r="BT3788" s="467"/>
      <c r="BU3788" s="467"/>
      <c r="BV3788" s="467"/>
      <c r="BW3788" s="467"/>
      <c r="BX3788" s="769"/>
      <c r="BY3788" s="769"/>
      <c r="BZ3788" s="769"/>
      <c r="CA3788" s="769"/>
      <c r="CB3788" s="769"/>
      <c r="CC3788" s="769"/>
      <c r="CD3788" s="769"/>
      <c r="CE3788" s="769"/>
      <c r="CF3788" s="769"/>
      <c r="CG3788" s="73"/>
      <c r="CH3788" s="438"/>
      <c r="CI3788" s="416"/>
      <c r="CJ3788" s="73"/>
      <c r="CK3788" s="650"/>
      <c r="CL3788" s="499"/>
      <c r="CM3788" s="650"/>
      <c r="CR3788" s="416"/>
      <c r="CS3788" s="650"/>
      <c r="CU3788" s="73"/>
      <c r="CV3788" s="73"/>
      <c r="CW3788" s="73"/>
      <c r="CX3788" s="73"/>
      <c r="DA3788" s="650"/>
    </row>
    <row r="3789" spans="1:105" s="45" customFormat="1" x14ac:dyDescent="0.2">
      <c r="A3789" s="650"/>
      <c r="B3789" s="438"/>
      <c r="D3789" s="73"/>
      <c r="E3789" s="650"/>
      <c r="F3789" s="650"/>
      <c r="G3789" s="73"/>
      <c r="I3789" s="111"/>
      <c r="J3789" s="81"/>
      <c r="K3789" s="81"/>
      <c r="L3789" s="499"/>
      <c r="M3789" s="73"/>
      <c r="N3789" s="499"/>
      <c r="O3789" s="73"/>
      <c r="P3789" s="73"/>
      <c r="Q3789" s="73"/>
      <c r="R3789" s="176"/>
      <c r="S3789" s="176"/>
      <c r="T3789" s="176"/>
      <c r="U3789" s="400"/>
      <c r="V3789" s="400"/>
      <c r="W3789" s="732"/>
      <c r="X3789" s="167"/>
      <c r="Y3789" s="509"/>
      <c r="Z3789" s="466"/>
      <c r="AA3789" s="466"/>
      <c r="AB3789" s="466"/>
      <c r="AC3789" s="466"/>
      <c r="AD3789" s="466"/>
      <c r="AE3789" s="466"/>
      <c r="AF3789" s="466"/>
      <c r="AG3789" s="466"/>
      <c r="AH3789" s="466"/>
      <c r="AI3789" s="466"/>
      <c r="AJ3789" s="466"/>
      <c r="AK3789" s="466"/>
      <c r="AL3789" s="466"/>
      <c r="AM3789" s="466"/>
      <c r="AN3789" s="466"/>
      <c r="AO3789" s="466"/>
      <c r="AP3789" s="466"/>
      <c r="AQ3789" s="466"/>
      <c r="AR3789" s="466"/>
      <c r="AS3789" s="466"/>
      <c r="AT3789" s="466"/>
      <c r="AU3789" s="466"/>
      <c r="AV3789" s="466"/>
      <c r="AW3789" s="466"/>
      <c r="AX3789" s="466"/>
      <c r="AY3789" s="466"/>
      <c r="AZ3789" s="466"/>
      <c r="BA3789" s="466"/>
      <c r="BB3789" s="466"/>
      <c r="BC3789" s="466"/>
      <c r="BD3789" s="466"/>
      <c r="BE3789" s="467"/>
      <c r="BF3789" s="467"/>
      <c r="BG3789" s="466"/>
      <c r="BH3789" s="466"/>
      <c r="BI3789" s="467"/>
      <c r="BJ3789" s="467"/>
      <c r="BK3789" s="467"/>
      <c r="BL3789" s="467"/>
      <c r="BM3789" s="467"/>
      <c r="BN3789" s="467"/>
      <c r="BO3789" s="467"/>
      <c r="BP3789" s="467"/>
      <c r="BQ3789" s="467"/>
      <c r="BR3789" s="467"/>
      <c r="BS3789" s="467"/>
      <c r="BT3789" s="467"/>
      <c r="BU3789" s="467"/>
      <c r="BV3789" s="467"/>
      <c r="BW3789" s="467"/>
      <c r="BX3789" s="769"/>
      <c r="BY3789" s="769"/>
      <c r="BZ3789" s="769"/>
      <c r="CA3789" s="769"/>
      <c r="CB3789" s="769"/>
      <c r="CC3789" s="769"/>
      <c r="CD3789" s="769"/>
      <c r="CE3789" s="769"/>
      <c r="CF3789" s="769"/>
      <c r="CG3789" s="73"/>
      <c r="CH3789" s="438"/>
      <c r="CI3789" s="416"/>
      <c r="CJ3789" s="73"/>
      <c r="CK3789" s="650"/>
      <c r="CL3789" s="499"/>
      <c r="CM3789" s="650"/>
      <c r="CR3789" s="416"/>
      <c r="CS3789" s="650"/>
      <c r="CU3789" s="73"/>
      <c r="CV3789" s="73"/>
      <c r="CW3789" s="73"/>
      <c r="CX3789" s="73"/>
      <c r="DA3789" s="650"/>
    </row>
    <row r="3790" spans="1:105" s="45" customFormat="1" x14ac:dyDescent="0.2">
      <c r="A3790" s="650"/>
      <c r="B3790" s="438"/>
      <c r="D3790" s="73"/>
      <c r="E3790" s="650"/>
      <c r="F3790" s="650"/>
      <c r="G3790" s="73"/>
      <c r="I3790" s="111"/>
      <c r="J3790" s="81"/>
      <c r="K3790" s="81"/>
      <c r="L3790" s="499"/>
      <c r="M3790" s="73"/>
      <c r="N3790" s="499"/>
      <c r="O3790" s="73"/>
      <c r="P3790" s="73"/>
      <c r="Q3790" s="73"/>
      <c r="R3790" s="176"/>
      <c r="S3790" s="176"/>
      <c r="T3790" s="176"/>
      <c r="U3790" s="400"/>
      <c r="V3790" s="400"/>
      <c r="W3790" s="732"/>
      <c r="X3790" s="167"/>
      <c r="Y3790" s="509"/>
      <c r="Z3790" s="466"/>
      <c r="AA3790" s="466"/>
      <c r="AB3790" s="466"/>
      <c r="AC3790" s="466"/>
      <c r="AD3790" s="466"/>
      <c r="AE3790" s="466"/>
      <c r="AF3790" s="466"/>
      <c r="AG3790" s="466"/>
      <c r="AH3790" s="466"/>
      <c r="AI3790" s="466"/>
      <c r="AJ3790" s="466"/>
      <c r="AK3790" s="466"/>
      <c r="AL3790" s="466"/>
      <c r="AM3790" s="466"/>
      <c r="AN3790" s="466"/>
      <c r="AO3790" s="466"/>
      <c r="AP3790" s="466"/>
      <c r="AQ3790" s="466"/>
      <c r="AR3790" s="466"/>
      <c r="AS3790" s="466"/>
      <c r="AT3790" s="466"/>
      <c r="AU3790" s="466"/>
      <c r="AV3790" s="466"/>
      <c r="AW3790" s="466"/>
      <c r="AX3790" s="466"/>
      <c r="AY3790" s="466"/>
      <c r="AZ3790" s="466"/>
      <c r="BA3790" s="466"/>
      <c r="BB3790" s="466"/>
      <c r="BC3790" s="466"/>
      <c r="BD3790" s="466"/>
      <c r="BE3790" s="467"/>
      <c r="BF3790" s="467"/>
      <c r="BG3790" s="466"/>
      <c r="BH3790" s="466"/>
      <c r="BI3790" s="467"/>
      <c r="BJ3790" s="467"/>
      <c r="BK3790" s="467"/>
      <c r="BL3790" s="467"/>
      <c r="BM3790" s="467"/>
      <c r="BN3790" s="467"/>
      <c r="BO3790" s="467"/>
      <c r="BP3790" s="467"/>
      <c r="BQ3790" s="467"/>
      <c r="BR3790" s="467"/>
      <c r="BS3790" s="467"/>
      <c r="BT3790" s="467"/>
      <c r="BU3790" s="467"/>
      <c r="BV3790" s="467"/>
      <c r="BW3790" s="467"/>
      <c r="BX3790" s="769"/>
      <c r="BY3790" s="769"/>
      <c r="BZ3790" s="769"/>
      <c r="CA3790" s="769"/>
      <c r="CB3790" s="769"/>
      <c r="CC3790" s="769"/>
      <c r="CD3790" s="769"/>
      <c r="CE3790" s="769"/>
      <c r="CF3790" s="769"/>
      <c r="CG3790" s="73"/>
      <c r="CH3790" s="438"/>
      <c r="CI3790" s="416"/>
      <c r="CJ3790" s="73"/>
      <c r="CK3790" s="650"/>
      <c r="CL3790" s="499"/>
      <c r="CM3790" s="650"/>
      <c r="CR3790" s="416"/>
      <c r="CS3790" s="650"/>
      <c r="CU3790" s="73"/>
      <c r="CV3790" s="73"/>
      <c r="CW3790" s="73"/>
      <c r="CX3790" s="73"/>
      <c r="DA3790" s="650"/>
    </row>
    <row r="3791" spans="1:105" s="45" customFormat="1" x14ac:dyDescent="0.2">
      <c r="A3791" s="650"/>
      <c r="B3791" s="438"/>
      <c r="D3791" s="73"/>
      <c r="E3791" s="650"/>
      <c r="F3791" s="650"/>
      <c r="G3791" s="73"/>
      <c r="I3791" s="111"/>
      <c r="J3791" s="81"/>
      <c r="K3791" s="81"/>
      <c r="L3791" s="499"/>
      <c r="M3791" s="73"/>
      <c r="N3791" s="499"/>
      <c r="O3791" s="73"/>
      <c r="P3791" s="73"/>
      <c r="Q3791" s="73"/>
      <c r="R3791" s="176"/>
      <c r="S3791" s="176"/>
      <c r="T3791" s="176"/>
      <c r="U3791" s="400"/>
      <c r="V3791" s="400"/>
      <c r="W3791" s="732"/>
      <c r="X3791" s="167"/>
      <c r="Y3791" s="509"/>
      <c r="Z3791" s="466"/>
      <c r="AA3791" s="466"/>
      <c r="AB3791" s="466"/>
      <c r="AC3791" s="466"/>
      <c r="AD3791" s="466"/>
      <c r="AE3791" s="466"/>
      <c r="AF3791" s="466"/>
      <c r="AG3791" s="466"/>
      <c r="AH3791" s="466"/>
      <c r="AI3791" s="466"/>
      <c r="AJ3791" s="466"/>
      <c r="AK3791" s="466"/>
      <c r="AL3791" s="466"/>
      <c r="AM3791" s="466"/>
      <c r="AN3791" s="466"/>
      <c r="AO3791" s="466"/>
      <c r="AP3791" s="466"/>
      <c r="AQ3791" s="466"/>
      <c r="AR3791" s="466"/>
      <c r="AS3791" s="466"/>
      <c r="AT3791" s="466"/>
      <c r="AU3791" s="466"/>
      <c r="AV3791" s="466"/>
      <c r="AW3791" s="466"/>
      <c r="AX3791" s="466"/>
      <c r="AY3791" s="466"/>
      <c r="AZ3791" s="466"/>
      <c r="BA3791" s="466"/>
      <c r="BB3791" s="466"/>
      <c r="BC3791" s="466"/>
      <c r="BD3791" s="466"/>
      <c r="BE3791" s="467"/>
      <c r="BF3791" s="467"/>
      <c r="BG3791" s="466"/>
      <c r="BH3791" s="466"/>
      <c r="BI3791" s="467"/>
      <c r="BJ3791" s="467"/>
      <c r="BK3791" s="467"/>
      <c r="BL3791" s="467"/>
      <c r="BM3791" s="467"/>
      <c r="BN3791" s="467"/>
      <c r="BO3791" s="467"/>
      <c r="BP3791" s="467"/>
      <c r="BQ3791" s="467"/>
      <c r="BR3791" s="467"/>
      <c r="BS3791" s="467"/>
      <c r="BT3791" s="467"/>
      <c r="BU3791" s="467"/>
      <c r="BV3791" s="467"/>
      <c r="BW3791" s="467"/>
      <c r="BX3791" s="769"/>
      <c r="BY3791" s="769"/>
      <c r="BZ3791" s="769"/>
      <c r="CA3791" s="769"/>
      <c r="CB3791" s="769"/>
      <c r="CC3791" s="769"/>
      <c r="CD3791" s="769"/>
      <c r="CE3791" s="769"/>
      <c r="CF3791" s="769"/>
      <c r="CG3791" s="73"/>
      <c r="CH3791" s="438"/>
      <c r="CI3791" s="416"/>
      <c r="CJ3791" s="73"/>
      <c r="CK3791" s="650"/>
      <c r="CL3791" s="499"/>
      <c r="CM3791" s="650"/>
      <c r="CR3791" s="416"/>
      <c r="CS3791" s="650"/>
      <c r="CU3791" s="73"/>
      <c r="CV3791" s="73"/>
      <c r="CW3791" s="73"/>
      <c r="CX3791" s="73"/>
      <c r="DA3791" s="650"/>
    </row>
    <row r="3792" spans="1:105" s="45" customFormat="1" x14ac:dyDescent="0.2">
      <c r="A3792" s="650"/>
      <c r="B3792" s="438"/>
      <c r="D3792" s="73"/>
      <c r="E3792" s="650"/>
      <c r="F3792" s="650"/>
      <c r="G3792" s="73"/>
      <c r="I3792" s="111"/>
      <c r="J3792" s="81"/>
      <c r="K3792" s="81"/>
      <c r="L3792" s="499"/>
      <c r="M3792" s="73"/>
      <c r="N3792" s="499"/>
      <c r="O3792" s="73"/>
      <c r="P3792" s="73"/>
      <c r="Q3792" s="73"/>
      <c r="R3792" s="176"/>
      <c r="S3792" s="176"/>
      <c r="T3792" s="176"/>
      <c r="U3792" s="400"/>
      <c r="V3792" s="400"/>
      <c r="W3792" s="732"/>
      <c r="X3792" s="167"/>
      <c r="Y3792" s="509"/>
      <c r="Z3792" s="466"/>
      <c r="AA3792" s="466"/>
      <c r="AB3792" s="466"/>
      <c r="AC3792" s="466"/>
      <c r="AD3792" s="466"/>
      <c r="AE3792" s="466"/>
      <c r="AF3792" s="466"/>
      <c r="AG3792" s="466"/>
      <c r="AH3792" s="466"/>
      <c r="AI3792" s="466"/>
      <c r="AJ3792" s="466"/>
      <c r="AK3792" s="466"/>
      <c r="AL3792" s="466"/>
      <c r="AM3792" s="466"/>
      <c r="AN3792" s="466"/>
      <c r="AO3792" s="466"/>
      <c r="AP3792" s="466"/>
      <c r="AQ3792" s="466"/>
      <c r="AR3792" s="466"/>
      <c r="AS3792" s="466"/>
      <c r="AT3792" s="466"/>
      <c r="AU3792" s="466"/>
      <c r="AV3792" s="466"/>
      <c r="AW3792" s="466"/>
      <c r="AX3792" s="466"/>
      <c r="AY3792" s="466"/>
      <c r="AZ3792" s="466"/>
      <c r="BA3792" s="466"/>
      <c r="BB3792" s="466"/>
      <c r="BC3792" s="466"/>
      <c r="BD3792" s="466"/>
      <c r="BE3792" s="467"/>
      <c r="BF3792" s="467"/>
      <c r="BG3792" s="466"/>
      <c r="BH3792" s="466"/>
      <c r="BI3792" s="467"/>
      <c r="BJ3792" s="467"/>
      <c r="BK3792" s="467"/>
      <c r="BL3792" s="467"/>
      <c r="BM3792" s="467"/>
      <c r="BN3792" s="467"/>
      <c r="BO3792" s="467"/>
      <c r="BP3792" s="467"/>
      <c r="BQ3792" s="467"/>
      <c r="BR3792" s="467"/>
      <c r="BS3792" s="467"/>
      <c r="BT3792" s="467"/>
      <c r="BU3792" s="467"/>
      <c r="BV3792" s="467"/>
      <c r="BW3792" s="467"/>
      <c r="BX3792" s="769"/>
      <c r="BY3792" s="769"/>
      <c r="BZ3792" s="769"/>
      <c r="CA3792" s="769"/>
      <c r="CB3792" s="769"/>
      <c r="CC3792" s="769"/>
      <c r="CD3792" s="769"/>
      <c r="CE3792" s="769"/>
      <c r="CF3792" s="769"/>
      <c r="CG3792" s="73"/>
      <c r="CH3792" s="438"/>
      <c r="CI3792" s="416"/>
      <c r="CJ3792" s="73"/>
      <c r="CK3792" s="650"/>
      <c r="CL3792" s="499"/>
      <c r="CM3792" s="650"/>
      <c r="CR3792" s="416"/>
      <c r="CS3792" s="650"/>
      <c r="CU3792" s="73"/>
      <c r="CV3792" s="73"/>
      <c r="CW3792" s="73"/>
      <c r="CX3792" s="73"/>
      <c r="DA3792" s="650"/>
    </row>
    <row r="3793" spans="1:105" s="45" customFormat="1" x14ac:dyDescent="0.2">
      <c r="A3793" s="650"/>
      <c r="B3793" s="438"/>
      <c r="D3793" s="73"/>
      <c r="E3793" s="650"/>
      <c r="F3793" s="650"/>
      <c r="G3793" s="73"/>
      <c r="I3793" s="111"/>
      <c r="J3793" s="81"/>
      <c r="K3793" s="81"/>
      <c r="L3793" s="499"/>
      <c r="M3793" s="73"/>
      <c r="N3793" s="499"/>
      <c r="O3793" s="73"/>
      <c r="P3793" s="73"/>
      <c r="Q3793" s="73"/>
      <c r="R3793" s="176"/>
      <c r="S3793" s="176"/>
      <c r="T3793" s="176"/>
      <c r="U3793" s="400"/>
      <c r="V3793" s="400"/>
      <c r="W3793" s="732"/>
      <c r="X3793" s="167"/>
      <c r="Y3793" s="509"/>
      <c r="Z3793" s="466"/>
      <c r="AA3793" s="466"/>
      <c r="AB3793" s="466"/>
      <c r="AC3793" s="466"/>
      <c r="AD3793" s="466"/>
      <c r="AE3793" s="466"/>
      <c r="AF3793" s="466"/>
      <c r="AG3793" s="466"/>
      <c r="AH3793" s="466"/>
      <c r="AI3793" s="466"/>
      <c r="AJ3793" s="466"/>
      <c r="AK3793" s="466"/>
      <c r="AL3793" s="466"/>
      <c r="AM3793" s="466"/>
      <c r="AN3793" s="466"/>
      <c r="AO3793" s="466"/>
      <c r="AP3793" s="466"/>
      <c r="AQ3793" s="466"/>
      <c r="AR3793" s="466"/>
      <c r="AS3793" s="466"/>
      <c r="AT3793" s="466"/>
      <c r="AU3793" s="466"/>
      <c r="AV3793" s="466"/>
      <c r="AW3793" s="466"/>
      <c r="AX3793" s="466"/>
      <c r="AY3793" s="466"/>
      <c r="AZ3793" s="466"/>
      <c r="BA3793" s="466"/>
      <c r="BB3793" s="466"/>
      <c r="BC3793" s="466"/>
      <c r="BD3793" s="466"/>
      <c r="BE3793" s="467"/>
      <c r="BF3793" s="467"/>
      <c r="BG3793" s="466"/>
      <c r="BH3793" s="466"/>
      <c r="BI3793" s="467"/>
      <c r="BJ3793" s="467"/>
      <c r="BK3793" s="467"/>
      <c r="BL3793" s="467"/>
      <c r="BM3793" s="467"/>
      <c r="BN3793" s="467"/>
      <c r="BO3793" s="467"/>
      <c r="BP3793" s="467"/>
      <c r="BQ3793" s="467"/>
      <c r="BR3793" s="467"/>
      <c r="BS3793" s="467"/>
      <c r="BT3793" s="467"/>
      <c r="BU3793" s="467"/>
      <c r="BV3793" s="467"/>
      <c r="BW3793" s="467"/>
      <c r="BX3793" s="769"/>
      <c r="BY3793" s="769"/>
      <c r="BZ3793" s="769"/>
      <c r="CA3793" s="769"/>
      <c r="CB3793" s="769"/>
      <c r="CC3793" s="769"/>
      <c r="CD3793" s="769"/>
      <c r="CE3793" s="769"/>
      <c r="CF3793" s="769"/>
      <c r="CG3793" s="73"/>
      <c r="CH3793" s="438"/>
      <c r="CI3793" s="416"/>
      <c r="CJ3793" s="73"/>
      <c r="CK3793" s="650"/>
      <c r="CL3793" s="499"/>
      <c r="CM3793" s="650"/>
      <c r="CR3793" s="416"/>
      <c r="CS3793" s="650"/>
      <c r="CU3793" s="73"/>
      <c r="CV3793" s="73"/>
      <c r="CW3793" s="73"/>
      <c r="CX3793" s="73"/>
      <c r="DA3793" s="650"/>
    </row>
    <row r="3794" spans="1:105" s="45" customFormat="1" x14ac:dyDescent="0.2">
      <c r="A3794" s="650"/>
      <c r="B3794" s="438"/>
      <c r="D3794" s="73"/>
      <c r="E3794" s="650"/>
      <c r="F3794" s="650"/>
      <c r="G3794" s="73"/>
      <c r="I3794" s="111"/>
      <c r="J3794" s="81"/>
      <c r="K3794" s="81"/>
      <c r="L3794" s="499"/>
      <c r="M3794" s="73"/>
      <c r="N3794" s="499"/>
      <c r="O3794" s="73"/>
      <c r="P3794" s="73"/>
      <c r="Q3794" s="73"/>
      <c r="R3794" s="176"/>
      <c r="S3794" s="176"/>
      <c r="T3794" s="176"/>
      <c r="U3794" s="400"/>
      <c r="V3794" s="400"/>
      <c r="W3794" s="732"/>
      <c r="X3794" s="167"/>
      <c r="Y3794" s="509"/>
      <c r="Z3794" s="466"/>
      <c r="AA3794" s="466"/>
      <c r="AB3794" s="466"/>
      <c r="AC3794" s="466"/>
      <c r="AD3794" s="466"/>
      <c r="AE3794" s="466"/>
      <c r="AF3794" s="466"/>
      <c r="AG3794" s="466"/>
      <c r="AH3794" s="466"/>
      <c r="AI3794" s="466"/>
      <c r="AJ3794" s="466"/>
      <c r="AK3794" s="466"/>
      <c r="AL3794" s="466"/>
      <c r="AM3794" s="466"/>
      <c r="AN3794" s="466"/>
      <c r="AO3794" s="466"/>
      <c r="AP3794" s="466"/>
      <c r="AQ3794" s="466"/>
      <c r="AR3794" s="466"/>
      <c r="AS3794" s="466"/>
      <c r="AT3794" s="466"/>
      <c r="AU3794" s="466"/>
      <c r="AV3794" s="466"/>
      <c r="AW3794" s="466"/>
      <c r="AX3794" s="466"/>
      <c r="AY3794" s="466"/>
      <c r="AZ3794" s="466"/>
      <c r="BA3794" s="466"/>
      <c r="BB3794" s="466"/>
      <c r="BC3794" s="466"/>
      <c r="BD3794" s="466"/>
      <c r="BE3794" s="467"/>
      <c r="BF3794" s="467"/>
      <c r="BG3794" s="466"/>
      <c r="BH3794" s="466"/>
      <c r="BI3794" s="467"/>
      <c r="BJ3794" s="467"/>
      <c r="BK3794" s="467"/>
      <c r="BL3794" s="467"/>
      <c r="BM3794" s="467"/>
      <c r="BN3794" s="467"/>
      <c r="BO3794" s="467"/>
      <c r="BP3794" s="467"/>
      <c r="BQ3794" s="467"/>
      <c r="BR3794" s="467"/>
      <c r="BS3794" s="467"/>
      <c r="BT3794" s="467"/>
      <c r="BU3794" s="467"/>
      <c r="BV3794" s="467"/>
      <c r="BW3794" s="467"/>
      <c r="BX3794" s="769"/>
      <c r="BY3794" s="769"/>
      <c r="BZ3794" s="769"/>
      <c r="CA3794" s="769"/>
      <c r="CB3794" s="769"/>
      <c r="CC3794" s="769"/>
      <c r="CD3794" s="769"/>
      <c r="CE3794" s="769"/>
      <c r="CF3794" s="769"/>
      <c r="CG3794" s="73"/>
      <c r="CH3794" s="438"/>
      <c r="CI3794" s="416"/>
      <c r="CJ3794" s="73"/>
      <c r="CK3794" s="650"/>
      <c r="CL3794" s="499"/>
      <c r="CM3794" s="650"/>
      <c r="CR3794" s="416"/>
      <c r="CS3794" s="650"/>
      <c r="CU3794" s="73"/>
      <c r="CV3794" s="73"/>
      <c r="CW3794" s="73"/>
      <c r="CX3794" s="73"/>
      <c r="DA3794" s="650"/>
    </row>
    <row r="3795" spans="1:105" s="45" customFormat="1" x14ac:dyDescent="0.2">
      <c r="A3795" s="650"/>
      <c r="B3795" s="438"/>
      <c r="D3795" s="73"/>
      <c r="E3795" s="650"/>
      <c r="F3795" s="650"/>
      <c r="G3795" s="73"/>
      <c r="I3795" s="111"/>
      <c r="J3795" s="81"/>
      <c r="K3795" s="81"/>
      <c r="L3795" s="499"/>
      <c r="M3795" s="73"/>
      <c r="N3795" s="499"/>
      <c r="O3795" s="73"/>
      <c r="P3795" s="73"/>
      <c r="Q3795" s="73"/>
      <c r="R3795" s="176"/>
      <c r="S3795" s="176"/>
      <c r="T3795" s="176"/>
      <c r="U3795" s="400"/>
      <c r="V3795" s="400"/>
      <c r="W3795" s="732"/>
      <c r="X3795" s="167"/>
      <c r="Y3795" s="509"/>
      <c r="Z3795" s="466"/>
      <c r="AA3795" s="466"/>
      <c r="AB3795" s="466"/>
      <c r="AC3795" s="466"/>
      <c r="AD3795" s="466"/>
      <c r="AE3795" s="466"/>
      <c r="AF3795" s="466"/>
      <c r="AG3795" s="466"/>
      <c r="AH3795" s="466"/>
      <c r="AI3795" s="466"/>
      <c r="AJ3795" s="466"/>
      <c r="AK3795" s="466"/>
      <c r="AL3795" s="466"/>
      <c r="AM3795" s="466"/>
      <c r="AN3795" s="466"/>
      <c r="AO3795" s="466"/>
      <c r="AP3795" s="466"/>
      <c r="AQ3795" s="466"/>
      <c r="AR3795" s="466"/>
      <c r="AS3795" s="466"/>
      <c r="AT3795" s="466"/>
      <c r="AU3795" s="466"/>
      <c r="AV3795" s="466"/>
      <c r="AW3795" s="466"/>
      <c r="AX3795" s="466"/>
      <c r="AY3795" s="466"/>
      <c r="AZ3795" s="466"/>
      <c r="BA3795" s="466"/>
      <c r="BB3795" s="466"/>
      <c r="BC3795" s="466"/>
      <c r="BD3795" s="466"/>
      <c r="BE3795" s="467"/>
      <c r="BF3795" s="467"/>
      <c r="BG3795" s="466"/>
      <c r="BH3795" s="466"/>
      <c r="BI3795" s="467"/>
      <c r="BJ3795" s="467"/>
      <c r="BK3795" s="467"/>
      <c r="BL3795" s="467"/>
      <c r="BM3795" s="467"/>
      <c r="BN3795" s="467"/>
      <c r="BO3795" s="467"/>
      <c r="BP3795" s="467"/>
      <c r="BQ3795" s="467"/>
      <c r="BR3795" s="467"/>
      <c r="BS3795" s="467"/>
      <c r="BT3795" s="467"/>
      <c r="BU3795" s="467"/>
      <c r="BV3795" s="467"/>
      <c r="BW3795" s="467"/>
      <c r="BX3795" s="769"/>
      <c r="BY3795" s="769"/>
      <c r="BZ3795" s="769"/>
      <c r="CA3795" s="769"/>
      <c r="CB3795" s="769"/>
      <c r="CC3795" s="769"/>
      <c r="CD3795" s="769"/>
      <c r="CE3795" s="769"/>
      <c r="CF3795" s="769"/>
      <c r="CG3795" s="73"/>
      <c r="CH3795" s="438"/>
      <c r="CI3795" s="416"/>
      <c r="CJ3795" s="73"/>
      <c r="CK3795" s="650"/>
      <c r="CL3795" s="499"/>
      <c r="CM3795" s="650"/>
      <c r="CR3795" s="416"/>
      <c r="CS3795" s="650"/>
      <c r="CU3795" s="73"/>
      <c r="CV3795" s="73"/>
      <c r="CW3795" s="73"/>
      <c r="CX3795" s="73"/>
      <c r="DA3795" s="650"/>
    </row>
    <row r="3796" spans="1:105" s="45" customFormat="1" x14ac:dyDescent="0.2">
      <c r="A3796" s="650"/>
      <c r="B3796" s="438"/>
      <c r="D3796" s="73"/>
      <c r="E3796" s="650"/>
      <c r="F3796" s="650"/>
      <c r="G3796" s="73"/>
      <c r="I3796" s="111"/>
      <c r="J3796" s="81"/>
      <c r="K3796" s="81"/>
      <c r="L3796" s="499"/>
      <c r="M3796" s="73"/>
      <c r="N3796" s="499"/>
      <c r="O3796" s="73"/>
      <c r="P3796" s="73"/>
      <c r="Q3796" s="73"/>
      <c r="R3796" s="176"/>
      <c r="S3796" s="176"/>
      <c r="T3796" s="176"/>
      <c r="U3796" s="400"/>
      <c r="V3796" s="400"/>
      <c r="W3796" s="732"/>
      <c r="X3796" s="167"/>
      <c r="Y3796" s="509"/>
      <c r="Z3796" s="466"/>
      <c r="AA3796" s="466"/>
      <c r="AB3796" s="466"/>
      <c r="AC3796" s="466"/>
      <c r="AD3796" s="466"/>
      <c r="AE3796" s="466"/>
      <c r="AF3796" s="466"/>
      <c r="AG3796" s="466"/>
      <c r="AH3796" s="466"/>
      <c r="AI3796" s="466"/>
      <c r="AJ3796" s="466"/>
      <c r="AK3796" s="466"/>
      <c r="AL3796" s="466"/>
      <c r="AM3796" s="466"/>
      <c r="AN3796" s="466"/>
      <c r="AO3796" s="466"/>
      <c r="AP3796" s="466"/>
      <c r="AQ3796" s="466"/>
      <c r="AR3796" s="466"/>
      <c r="AS3796" s="466"/>
      <c r="AT3796" s="466"/>
      <c r="AU3796" s="466"/>
      <c r="AV3796" s="466"/>
      <c r="AW3796" s="466"/>
      <c r="AX3796" s="466"/>
      <c r="AY3796" s="466"/>
      <c r="AZ3796" s="466"/>
      <c r="BA3796" s="466"/>
      <c r="BB3796" s="466"/>
      <c r="BC3796" s="466"/>
      <c r="BD3796" s="466"/>
      <c r="BE3796" s="467"/>
      <c r="BF3796" s="467"/>
      <c r="BG3796" s="466"/>
      <c r="BH3796" s="466"/>
      <c r="BI3796" s="467"/>
      <c r="BJ3796" s="467"/>
      <c r="BK3796" s="467"/>
      <c r="BL3796" s="467"/>
      <c r="BM3796" s="467"/>
      <c r="BN3796" s="467"/>
      <c r="BO3796" s="467"/>
      <c r="BP3796" s="467"/>
      <c r="BQ3796" s="467"/>
      <c r="BR3796" s="467"/>
      <c r="BS3796" s="467"/>
      <c r="BT3796" s="467"/>
      <c r="BU3796" s="467"/>
      <c r="BV3796" s="467"/>
      <c r="BW3796" s="467"/>
      <c r="BX3796" s="769"/>
      <c r="BY3796" s="769"/>
      <c r="BZ3796" s="769"/>
      <c r="CA3796" s="769"/>
      <c r="CB3796" s="769"/>
      <c r="CC3796" s="769"/>
      <c r="CD3796" s="769"/>
      <c r="CE3796" s="769"/>
      <c r="CF3796" s="769"/>
      <c r="CG3796" s="73"/>
      <c r="CH3796" s="438"/>
      <c r="CI3796" s="416"/>
      <c r="CJ3796" s="73"/>
      <c r="CK3796" s="650"/>
      <c r="CL3796" s="499"/>
      <c r="CM3796" s="650"/>
      <c r="CR3796" s="416"/>
      <c r="CS3796" s="650"/>
      <c r="CU3796" s="73"/>
      <c r="CV3796" s="73"/>
      <c r="CW3796" s="73"/>
      <c r="CX3796" s="73"/>
      <c r="DA3796" s="650"/>
    </row>
    <row r="3797" spans="1:105" s="45" customFormat="1" x14ac:dyDescent="0.2">
      <c r="A3797" s="650"/>
      <c r="B3797" s="438"/>
      <c r="D3797" s="73"/>
      <c r="E3797" s="650"/>
      <c r="F3797" s="650"/>
      <c r="G3797" s="73"/>
      <c r="I3797" s="111"/>
      <c r="J3797" s="81"/>
      <c r="K3797" s="81"/>
      <c r="L3797" s="499"/>
      <c r="M3797" s="73"/>
      <c r="N3797" s="499"/>
      <c r="O3797" s="73"/>
      <c r="P3797" s="73"/>
      <c r="Q3797" s="73"/>
      <c r="R3797" s="176"/>
      <c r="S3797" s="176"/>
      <c r="T3797" s="176"/>
      <c r="U3797" s="400"/>
      <c r="V3797" s="400"/>
      <c r="W3797" s="732"/>
      <c r="X3797" s="167"/>
      <c r="Y3797" s="509"/>
      <c r="Z3797" s="466"/>
      <c r="AA3797" s="466"/>
      <c r="AB3797" s="466"/>
      <c r="AC3797" s="466"/>
      <c r="AD3797" s="466"/>
      <c r="AE3797" s="466"/>
      <c r="AF3797" s="466"/>
      <c r="AG3797" s="466"/>
      <c r="AH3797" s="466"/>
      <c r="AI3797" s="466"/>
      <c r="AJ3797" s="466"/>
      <c r="AK3797" s="466"/>
      <c r="AL3797" s="466"/>
      <c r="AM3797" s="466"/>
      <c r="AN3797" s="466"/>
      <c r="AO3797" s="466"/>
      <c r="AP3797" s="466"/>
      <c r="AQ3797" s="466"/>
      <c r="AR3797" s="466"/>
      <c r="AS3797" s="466"/>
      <c r="AT3797" s="466"/>
      <c r="AU3797" s="466"/>
      <c r="AV3797" s="466"/>
      <c r="AW3797" s="466"/>
      <c r="AX3797" s="466"/>
      <c r="AY3797" s="466"/>
      <c r="AZ3797" s="466"/>
      <c r="BA3797" s="466"/>
      <c r="BB3797" s="466"/>
      <c r="BC3797" s="466"/>
      <c r="BD3797" s="466"/>
      <c r="BE3797" s="467"/>
      <c r="BF3797" s="467"/>
      <c r="BG3797" s="466"/>
      <c r="BH3797" s="466"/>
      <c r="BI3797" s="467"/>
      <c r="BJ3797" s="467"/>
      <c r="BK3797" s="467"/>
      <c r="BL3797" s="467"/>
      <c r="BM3797" s="467"/>
      <c r="BN3797" s="467"/>
      <c r="BO3797" s="467"/>
      <c r="BP3797" s="467"/>
      <c r="BQ3797" s="467"/>
      <c r="BR3797" s="467"/>
      <c r="BS3797" s="467"/>
      <c r="BT3797" s="467"/>
      <c r="BU3797" s="467"/>
      <c r="BV3797" s="467"/>
      <c r="BW3797" s="467"/>
      <c r="BX3797" s="769"/>
      <c r="BY3797" s="769"/>
      <c r="BZ3797" s="769"/>
      <c r="CA3797" s="769"/>
      <c r="CB3797" s="769"/>
      <c r="CC3797" s="769"/>
      <c r="CD3797" s="769"/>
      <c r="CE3797" s="769"/>
      <c r="CF3797" s="769"/>
      <c r="CG3797" s="73"/>
      <c r="CH3797" s="438"/>
      <c r="CI3797" s="416"/>
      <c r="CJ3797" s="73"/>
      <c r="CK3797" s="650"/>
      <c r="CL3797" s="499"/>
      <c r="CM3797" s="650"/>
      <c r="CR3797" s="416"/>
      <c r="CS3797" s="650"/>
      <c r="CU3797" s="73"/>
      <c r="CV3797" s="73"/>
      <c r="CW3797" s="73"/>
      <c r="CX3797" s="73"/>
      <c r="DA3797" s="650"/>
    </row>
    <row r="3798" spans="1:105" s="45" customFormat="1" x14ac:dyDescent="0.2">
      <c r="A3798" s="650"/>
      <c r="B3798" s="438"/>
      <c r="D3798" s="73"/>
      <c r="E3798" s="650"/>
      <c r="F3798" s="650"/>
      <c r="G3798" s="73"/>
      <c r="I3798" s="111"/>
      <c r="J3798" s="81"/>
      <c r="K3798" s="81"/>
      <c r="L3798" s="499"/>
      <c r="M3798" s="73"/>
      <c r="N3798" s="499"/>
      <c r="O3798" s="73"/>
      <c r="P3798" s="73"/>
      <c r="Q3798" s="73"/>
      <c r="R3798" s="176"/>
      <c r="S3798" s="176"/>
      <c r="T3798" s="176"/>
      <c r="U3798" s="400"/>
      <c r="V3798" s="400"/>
      <c r="W3798" s="732"/>
      <c r="X3798" s="167"/>
      <c r="Y3798" s="509"/>
      <c r="Z3798" s="466"/>
      <c r="AA3798" s="466"/>
      <c r="AB3798" s="466"/>
      <c r="AC3798" s="466"/>
      <c r="AD3798" s="466"/>
      <c r="AE3798" s="466"/>
      <c r="AF3798" s="466"/>
      <c r="AG3798" s="466"/>
      <c r="AH3798" s="466"/>
      <c r="AI3798" s="466"/>
      <c r="AJ3798" s="466"/>
      <c r="AK3798" s="466"/>
      <c r="AL3798" s="466"/>
      <c r="AM3798" s="466"/>
      <c r="AN3798" s="466"/>
      <c r="AO3798" s="466"/>
      <c r="AP3798" s="466"/>
      <c r="AQ3798" s="466"/>
      <c r="AR3798" s="466"/>
      <c r="AS3798" s="466"/>
      <c r="AT3798" s="466"/>
      <c r="AU3798" s="466"/>
      <c r="AV3798" s="466"/>
      <c r="AW3798" s="466"/>
      <c r="AX3798" s="466"/>
      <c r="AY3798" s="466"/>
      <c r="AZ3798" s="466"/>
      <c r="BA3798" s="466"/>
      <c r="BB3798" s="466"/>
      <c r="BC3798" s="466"/>
      <c r="BD3798" s="466"/>
      <c r="BE3798" s="467"/>
      <c r="BF3798" s="467"/>
      <c r="BG3798" s="466"/>
      <c r="BH3798" s="466"/>
      <c r="BI3798" s="467"/>
      <c r="BJ3798" s="467"/>
      <c r="BK3798" s="467"/>
      <c r="BL3798" s="467"/>
      <c r="BM3798" s="467"/>
      <c r="BN3798" s="467"/>
      <c r="BO3798" s="467"/>
      <c r="BP3798" s="467"/>
      <c r="BQ3798" s="467"/>
      <c r="BR3798" s="467"/>
      <c r="BS3798" s="467"/>
      <c r="BT3798" s="467"/>
      <c r="BU3798" s="467"/>
      <c r="BV3798" s="467"/>
      <c r="BW3798" s="467"/>
      <c r="BX3798" s="769"/>
      <c r="BY3798" s="769"/>
      <c r="BZ3798" s="769"/>
      <c r="CA3798" s="769"/>
      <c r="CB3798" s="769"/>
      <c r="CC3798" s="769"/>
      <c r="CD3798" s="769"/>
      <c r="CE3798" s="769"/>
      <c r="CF3798" s="769"/>
      <c r="CG3798" s="73"/>
      <c r="CH3798" s="438"/>
      <c r="CI3798" s="416"/>
      <c r="CJ3798" s="73"/>
      <c r="CK3798" s="650"/>
      <c r="CL3798" s="499"/>
      <c r="CM3798" s="650"/>
      <c r="CR3798" s="416"/>
      <c r="CS3798" s="650"/>
      <c r="CU3798" s="73"/>
      <c r="CV3798" s="73"/>
      <c r="CW3798" s="73"/>
      <c r="CX3798" s="73"/>
      <c r="DA3798" s="650"/>
    </row>
    <row r="3799" spans="1:105" s="45" customFormat="1" x14ac:dyDescent="0.2">
      <c r="A3799" s="650"/>
      <c r="B3799" s="438"/>
      <c r="D3799" s="73"/>
      <c r="E3799" s="650"/>
      <c r="F3799" s="650"/>
      <c r="G3799" s="73"/>
      <c r="I3799" s="111"/>
      <c r="J3799" s="81"/>
      <c r="K3799" s="81"/>
      <c r="L3799" s="499"/>
      <c r="M3799" s="73"/>
      <c r="N3799" s="499"/>
      <c r="O3799" s="73"/>
      <c r="P3799" s="73"/>
      <c r="Q3799" s="73"/>
      <c r="R3799" s="176"/>
      <c r="S3799" s="176"/>
      <c r="T3799" s="176"/>
      <c r="U3799" s="400"/>
      <c r="V3799" s="400"/>
      <c r="W3799" s="732"/>
      <c r="X3799" s="167"/>
      <c r="Y3799" s="509"/>
      <c r="Z3799" s="466"/>
      <c r="AA3799" s="466"/>
      <c r="AB3799" s="466"/>
      <c r="AC3799" s="466"/>
      <c r="AD3799" s="466"/>
      <c r="AE3799" s="466"/>
      <c r="AF3799" s="466"/>
      <c r="AG3799" s="466"/>
      <c r="AH3799" s="466"/>
      <c r="AI3799" s="466"/>
      <c r="AJ3799" s="466"/>
      <c r="AK3799" s="466"/>
      <c r="AL3799" s="466"/>
      <c r="AM3799" s="466"/>
      <c r="AN3799" s="466"/>
      <c r="AO3799" s="466"/>
      <c r="AP3799" s="466"/>
      <c r="AQ3799" s="466"/>
      <c r="AR3799" s="466"/>
      <c r="AS3799" s="466"/>
      <c r="AT3799" s="466"/>
      <c r="AU3799" s="466"/>
      <c r="AV3799" s="466"/>
      <c r="AW3799" s="466"/>
      <c r="AX3799" s="466"/>
      <c r="AY3799" s="466"/>
      <c r="AZ3799" s="466"/>
      <c r="BA3799" s="466"/>
      <c r="BB3799" s="466"/>
      <c r="BC3799" s="466"/>
      <c r="BD3799" s="466"/>
      <c r="BE3799" s="467"/>
      <c r="BF3799" s="467"/>
      <c r="BG3799" s="466"/>
      <c r="BH3799" s="466"/>
      <c r="BI3799" s="467"/>
      <c r="BJ3799" s="467"/>
      <c r="BK3799" s="467"/>
      <c r="BL3799" s="467"/>
      <c r="BM3799" s="467"/>
      <c r="BN3799" s="467"/>
      <c r="BO3799" s="467"/>
      <c r="BP3799" s="467"/>
      <c r="BQ3799" s="467"/>
      <c r="BR3799" s="467"/>
      <c r="BS3799" s="467"/>
      <c r="BT3799" s="467"/>
      <c r="BU3799" s="467"/>
      <c r="BV3799" s="467"/>
      <c r="BW3799" s="467"/>
      <c r="BX3799" s="769"/>
      <c r="BY3799" s="769"/>
      <c r="BZ3799" s="769"/>
      <c r="CA3799" s="769"/>
      <c r="CB3799" s="769"/>
      <c r="CC3799" s="769"/>
      <c r="CD3799" s="769"/>
      <c r="CE3799" s="769"/>
      <c r="CF3799" s="769"/>
      <c r="CG3799" s="73"/>
      <c r="CH3799" s="438"/>
      <c r="CI3799" s="416"/>
      <c r="CJ3799" s="73"/>
      <c r="CK3799" s="650"/>
      <c r="CL3799" s="499"/>
      <c r="CM3799" s="650"/>
      <c r="CR3799" s="416"/>
      <c r="CS3799" s="650"/>
      <c r="CU3799" s="73"/>
      <c r="CV3799" s="73"/>
      <c r="CW3799" s="73"/>
      <c r="CX3799" s="73"/>
      <c r="DA3799" s="650"/>
    </row>
    <row r="3800" spans="1:105" s="45" customFormat="1" x14ac:dyDescent="0.2">
      <c r="A3800" s="650"/>
      <c r="B3800" s="438"/>
      <c r="D3800" s="73"/>
      <c r="E3800" s="650"/>
      <c r="F3800" s="650"/>
      <c r="G3800" s="73"/>
      <c r="I3800" s="111"/>
      <c r="J3800" s="81"/>
      <c r="K3800" s="81"/>
      <c r="L3800" s="499"/>
      <c r="M3800" s="73"/>
      <c r="N3800" s="499"/>
      <c r="O3800" s="73"/>
      <c r="P3800" s="73"/>
      <c r="Q3800" s="73"/>
      <c r="R3800" s="176"/>
      <c r="S3800" s="176"/>
      <c r="T3800" s="176"/>
      <c r="U3800" s="400"/>
      <c r="V3800" s="400"/>
      <c r="W3800" s="732"/>
      <c r="X3800" s="167"/>
      <c r="Y3800" s="509"/>
      <c r="Z3800" s="466"/>
      <c r="AA3800" s="466"/>
      <c r="AB3800" s="466"/>
      <c r="AC3800" s="466"/>
      <c r="AD3800" s="466"/>
      <c r="AE3800" s="466"/>
      <c r="AF3800" s="466"/>
      <c r="AG3800" s="466"/>
      <c r="AH3800" s="466"/>
      <c r="AI3800" s="466"/>
      <c r="AJ3800" s="466"/>
      <c r="AK3800" s="466"/>
      <c r="AL3800" s="466"/>
      <c r="AM3800" s="466"/>
      <c r="AN3800" s="466"/>
      <c r="AO3800" s="466"/>
      <c r="AP3800" s="466"/>
      <c r="AQ3800" s="466"/>
      <c r="AR3800" s="466"/>
      <c r="AS3800" s="466"/>
      <c r="AT3800" s="466"/>
      <c r="AU3800" s="466"/>
      <c r="AV3800" s="466"/>
      <c r="AW3800" s="466"/>
      <c r="AX3800" s="466"/>
      <c r="AY3800" s="466"/>
      <c r="AZ3800" s="466"/>
      <c r="BA3800" s="466"/>
      <c r="BB3800" s="466"/>
      <c r="BC3800" s="466"/>
      <c r="BD3800" s="466"/>
      <c r="BE3800" s="467"/>
      <c r="BF3800" s="467"/>
      <c r="BG3800" s="466"/>
      <c r="BH3800" s="466"/>
      <c r="BI3800" s="467"/>
      <c r="BJ3800" s="467"/>
      <c r="BK3800" s="467"/>
      <c r="BL3800" s="467"/>
      <c r="BM3800" s="467"/>
      <c r="BN3800" s="467"/>
      <c r="BO3800" s="467"/>
      <c r="BP3800" s="467"/>
      <c r="BQ3800" s="467"/>
      <c r="BR3800" s="467"/>
      <c r="BS3800" s="467"/>
      <c r="BT3800" s="467"/>
      <c r="BU3800" s="467"/>
      <c r="BV3800" s="467"/>
      <c r="BW3800" s="467"/>
      <c r="BX3800" s="769"/>
      <c r="BY3800" s="769"/>
      <c r="BZ3800" s="769"/>
      <c r="CA3800" s="769"/>
      <c r="CB3800" s="769"/>
      <c r="CC3800" s="769"/>
      <c r="CD3800" s="769"/>
      <c r="CE3800" s="769"/>
      <c r="CF3800" s="769"/>
      <c r="CG3800" s="73"/>
      <c r="CH3800" s="438"/>
      <c r="CI3800" s="416"/>
      <c r="CJ3800" s="73"/>
      <c r="CK3800" s="650"/>
      <c r="CL3800" s="499"/>
      <c r="CM3800" s="650"/>
      <c r="CR3800" s="416"/>
      <c r="CS3800" s="650"/>
      <c r="CU3800" s="73"/>
      <c r="CV3800" s="73"/>
      <c r="CW3800" s="73"/>
      <c r="CX3800" s="73"/>
      <c r="DA3800" s="650"/>
    </row>
    <row r="3801" spans="1:105" s="45" customFormat="1" x14ac:dyDescent="0.2">
      <c r="A3801" s="650"/>
      <c r="B3801" s="438"/>
      <c r="D3801" s="73"/>
      <c r="E3801" s="650"/>
      <c r="F3801" s="650"/>
      <c r="G3801" s="73"/>
      <c r="I3801" s="111"/>
      <c r="J3801" s="81"/>
      <c r="K3801" s="81"/>
      <c r="L3801" s="499"/>
      <c r="M3801" s="73"/>
      <c r="N3801" s="499"/>
      <c r="O3801" s="73"/>
      <c r="P3801" s="73"/>
      <c r="Q3801" s="73"/>
      <c r="R3801" s="176"/>
      <c r="S3801" s="176"/>
      <c r="T3801" s="176"/>
      <c r="U3801" s="400"/>
      <c r="V3801" s="400"/>
      <c r="W3801" s="732"/>
      <c r="X3801" s="167"/>
      <c r="Y3801" s="509"/>
      <c r="Z3801" s="466"/>
      <c r="AA3801" s="466"/>
      <c r="AB3801" s="466"/>
      <c r="AC3801" s="466"/>
      <c r="AD3801" s="466"/>
      <c r="AE3801" s="466"/>
      <c r="AF3801" s="466"/>
      <c r="AG3801" s="466"/>
      <c r="AH3801" s="466"/>
      <c r="AI3801" s="466"/>
      <c r="AJ3801" s="466"/>
      <c r="AK3801" s="466"/>
      <c r="AL3801" s="466"/>
      <c r="AM3801" s="466"/>
      <c r="AN3801" s="466"/>
      <c r="AO3801" s="466"/>
      <c r="AP3801" s="466"/>
      <c r="AQ3801" s="466"/>
      <c r="AR3801" s="466"/>
      <c r="AS3801" s="466"/>
      <c r="AT3801" s="466"/>
      <c r="AU3801" s="466"/>
      <c r="AV3801" s="466"/>
      <c r="AW3801" s="466"/>
      <c r="AX3801" s="466"/>
      <c r="AY3801" s="466"/>
      <c r="AZ3801" s="466"/>
      <c r="BA3801" s="466"/>
      <c r="BB3801" s="466"/>
      <c r="BC3801" s="466"/>
      <c r="BD3801" s="466"/>
      <c r="BE3801" s="467"/>
      <c r="BF3801" s="467"/>
      <c r="BG3801" s="466"/>
      <c r="BH3801" s="466"/>
      <c r="BI3801" s="467"/>
      <c r="BJ3801" s="467"/>
      <c r="BK3801" s="467"/>
      <c r="BL3801" s="467"/>
      <c r="BM3801" s="467"/>
      <c r="BN3801" s="467"/>
      <c r="BO3801" s="467"/>
      <c r="BP3801" s="467"/>
      <c r="BQ3801" s="467"/>
      <c r="BR3801" s="467"/>
      <c r="BS3801" s="467"/>
      <c r="BT3801" s="467"/>
      <c r="BU3801" s="467"/>
      <c r="BV3801" s="467"/>
      <c r="BW3801" s="467"/>
      <c r="BX3801" s="769"/>
      <c r="BY3801" s="769"/>
      <c r="BZ3801" s="769"/>
      <c r="CA3801" s="769"/>
      <c r="CB3801" s="769"/>
      <c r="CC3801" s="769"/>
      <c r="CD3801" s="769"/>
      <c r="CE3801" s="769"/>
      <c r="CF3801" s="769"/>
      <c r="CG3801" s="73"/>
      <c r="CH3801" s="438"/>
      <c r="CI3801" s="416"/>
      <c r="CJ3801" s="73"/>
      <c r="CK3801" s="650"/>
      <c r="CL3801" s="499"/>
      <c r="CM3801" s="650"/>
      <c r="CR3801" s="416"/>
      <c r="CS3801" s="650"/>
      <c r="CU3801" s="73"/>
      <c r="CV3801" s="73"/>
      <c r="CW3801" s="73"/>
      <c r="CX3801" s="73"/>
      <c r="DA3801" s="650"/>
    </row>
    <row r="3802" spans="1:105" s="45" customFormat="1" x14ac:dyDescent="0.2">
      <c r="A3802" s="650"/>
      <c r="B3802" s="438"/>
      <c r="D3802" s="73"/>
      <c r="E3802" s="650"/>
      <c r="F3802" s="650"/>
      <c r="G3802" s="73"/>
      <c r="I3802" s="111"/>
      <c r="J3802" s="81"/>
      <c r="K3802" s="81"/>
      <c r="L3802" s="499"/>
      <c r="M3802" s="73"/>
      <c r="N3802" s="499"/>
      <c r="O3802" s="73"/>
      <c r="P3802" s="73"/>
      <c r="Q3802" s="73"/>
      <c r="R3802" s="176"/>
      <c r="S3802" s="176"/>
      <c r="T3802" s="176"/>
      <c r="U3802" s="400"/>
      <c r="V3802" s="400"/>
      <c r="W3802" s="732"/>
      <c r="X3802" s="167"/>
      <c r="Y3802" s="509"/>
      <c r="Z3802" s="466"/>
      <c r="AA3802" s="466"/>
      <c r="AB3802" s="466"/>
      <c r="AC3802" s="466"/>
      <c r="AD3802" s="466"/>
      <c r="AE3802" s="466"/>
      <c r="AF3802" s="466"/>
      <c r="AG3802" s="466"/>
      <c r="AH3802" s="466"/>
      <c r="AI3802" s="466"/>
      <c r="AJ3802" s="466"/>
      <c r="AK3802" s="466"/>
      <c r="AL3802" s="466"/>
      <c r="AM3802" s="466"/>
      <c r="AN3802" s="466"/>
      <c r="AO3802" s="466"/>
      <c r="AP3802" s="466"/>
      <c r="AQ3802" s="466"/>
      <c r="AR3802" s="466"/>
      <c r="AS3802" s="466"/>
      <c r="AT3802" s="466"/>
      <c r="AU3802" s="466"/>
      <c r="AV3802" s="466"/>
      <c r="AW3802" s="466"/>
      <c r="AX3802" s="466"/>
      <c r="AY3802" s="466"/>
      <c r="AZ3802" s="466"/>
      <c r="BA3802" s="466"/>
      <c r="BB3802" s="466"/>
      <c r="BC3802" s="466"/>
      <c r="BD3802" s="466"/>
      <c r="BE3802" s="467"/>
      <c r="BF3802" s="467"/>
      <c r="BG3802" s="466"/>
      <c r="BH3802" s="466"/>
      <c r="BI3802" s="467"/>
      <c r="BJ3802" s="467"/>
      <c r="BK3802" s="467"/>
      <c r="BL3802" s="467"/>
      <c r="BM3802" s="467"/>
      <c r="BN3802" s="467"/>
      <c r="BO3802" s="467"/>
      <c r="BP3802" s="467"/>
      <c r="BQ3802" s="467"/>
      <c r="BR3802" s="467"/>
      <c r="BS3802" s="467"/>
      <c r="BT3802" s="467"/>
      <c r="BU3802" s="467"/>
      <c r="BV3802" s="467"/>
      <c r="BW3802" s="467"/>
      <c r="BX3802" s="769"/>
      <c r="BY3802" s="769"/>
      <c r="BZ3802" s="769"/>
      <c r="CA3802" s="769"/>
      <c r="CB3802" s="769"/>
      <c r="CC3802" s="769"/>
      <c r="CD3802" s="769"/>
      <c r="CE3802" s="769"/>
      <c r="CF3802" s="769"/>
      <c r="CG3802" s="73"/>
      <c r="CH3802" s="438"/>
      <c r="CI3802" s="416"/>
      <c r="CJ3802" s="73"/>
      <c r="CK3802" s="650"/>
      <c r="CL3802" s="499"/>
      <c r="CM3802" s="650"/>
      <c r="CR3802" s="416"/>
      <c r="CS3802" s="650"/>
      <c r="CU3802" s="73"/>
      <c r="CV3802" s="73"/>
      <c r="CW3802" s="73"/>
      <c r="CX3802" s="73"/>
      <c r="DA3802" s="650"/>
    </row>
    <row r="3803" spans="1:105" s="45" customFormat="1" x14ac:dyDescent="0.2">
      <c r="A3803" s="650"/>
      <c r="B3803" s="438"/>
      <c r="D3803" s="73"/>
      <c r="E3803" s="650"/>
      <c r="F3803" s="650"/>
      <c r="G3803" s="73"/>
      <c r="I3803" s="111"/>
      <c r="J3803" s="81"/>
      <c r="K3803" s="81"/>
      <c r="L3803" s="499"/>
      <c r="M3803" s="73"/>
      <c r="N3803" s="499"/>
      <c r="O3803" s="73"/>
      <c r="P3803" s="73"/>
      <c r="Q3803" s="73"/>
      <c r="R3803" s="176"/>
      <c r="S3803" s="176"/>
      <c r="T3803" s="176"/>
      <c r="U3803" s="400"/>
      <c r="V3803" s="400"/>
      <c r="W3803" s="732"/>
      <c r="X3803" s="167"/>
      <c r="Y3803" s="509"/>
      <c r="Z3803" s="466"/>
      <c r="AA3803" s="466"/>
      <c r="AB3803" s="466"/>
      <c r="AC3803" s="466"/>
      <c r="AD3803" s="466"/>
      <c r="AE3803" s="466"/>
      <c r="AF3803" s="466"/>
      <c r="AG3803" s="466"/>
      <c r="AH3803" s="466"/>
      <c r="AI3803" s="466"/>
      <c r="AJ3803" s="466"/>
      <c r="AK3803" s="466"/>
      <c r="AL3803" s="466"/>
      <c r="AM3803" s="466"/>
      <c r="AN3803" s="466"/>
      <c r="AO3803" s="466"/>
      <c r="AP3803" s="466"/>
      <c r="AQ3803" s="466"/>
      <c r="AR3803" s="466"/>
      <c r="AS3803" s="466"/>
      <c r="AT3803" s="466"/>
      <c r="AU3803" s="466"/>
      <c r="AV3803" s="466"/>
      <c r="AW3803" s="466"/>
      <c r="AX3803" s="466"/>
      <c r="AY3803" s="466"/>
      <c r="AZ3803" s="466"/>
      <c r="BA3803" s="466"/>
      <c r="BB3803" s="466"/>
      <c r="BC3803" s="466"/>
      <c r="BD3803" s="466"/>
      <c r="BE3803" s="467"/>
      <c r="BF3803" s="467"/>
      <c r="BG3803" s="466"/>
      <c r="BH3803" s="466"/>
      <c r="BI3803" s="467"/>
      <c r="BJ3803" s="467"/>
      <c r="BK3803" s="467"/>
      <c r="BL3803" s="467"/>
      <c r="BM3803" s="467"/>
      <c r="BN3803" s="467"/>
      <c r="BO3803" s="467"/>
      <c r="BP3803" s="467"/>
      <c r="BQ3803" s="467"/>
      <c r="BR3803" s="467"/>
      <c r="BS3803" s="467"/>
      <c r="BT3803" s="467"/>
      <c r="BU3803" s="467"/>
      <c r="BV3803" s="467"/>
      <c r="BW3803" s="467"/>
      <c r="BX3803" s="769"/>
      <c r="BY3803" s="769"/>
      <c r="BZ3803" s="769"/>
      <c r="CA3803" s="769"/>
      <c r="CB3803" s="769"/>
      <c r="CC3803" s="769"/>
      <c r="CD3803" s="769"/>
      <c r="CE3803" s="769"/>
      <c r="CF3803" s="769"/>
      <c r="CG3803" s="73"/>
      <c r="CH3803" s="438"/>
      <c r="CI3803" s="416"/>
      <c r="CJ3803" s="73"/>
      <c r="CK3803" s="650"/>
      <c r="CL3803" s="499"/>
      <c r="CM3803" s="650"/>
      <c r="CR3803" s="416"/>
      <c r="CS3803" s="650"/>
      <c r="CU3803" s="73"/>
      <c r="CV3803" s="73"/>
      <c r="CW3803" s="73"/>
      <c r="CX3803" s="73"/>
      <c r="DA3803" s="650"/>
    </row>
    <row r="3804" spans="1:105" s="45" customFormat="1" x14ac:dyDescent="0.2">
      <c r="A3804" s="650"/>
      <c r="B3804" s="438"/>
      <c r="D3804" s="73"/>
      <c r="E3804" s="650"/>
      <c r="F3804" s="650"/>
      <c r="G3804" s="73"/>
      <c r="I3804" s="111"/>
      <c r="J3804" s="81"/>
      <c r="K3804" s="81"/>
      <c r="L3804" s="499"/>
      <c r="M3804" s="73"/>
      <c r="N3804" s="499"/>
      <c r="O3804" s="73"/>
      <c r="P3804" s="73"/>
      <c r="Q3804" s="73"/>
      <c r="R3804" s="176"/>
      <c r="S3804" s="176"/>
      <c r="T3804" s="176"/>
      <c r="U3804" s="400"/>
      <c r="V3804" s="400"/>
      <c r="W3804" s="732"/>
      <c r="X3804" s="167"/>
      <c r="Y3804" s="509"/>
      <c r="Z3804" s="466"/>
      <c r="AA3804" s="466"/>
      <c r="AB3804" s="466"/>
      <c r="AC3804" s="466"/>
      <c r="AD3804" s="466"/>
      <c r="AE3804" s="466"/>
      <c r="AF3804" s="466"/>
      <c r="AG3804" s="466"/>
      <c r="AH3804" s="466"/>
      <c r="AI3804" s="466"/>
      <c r="AJ3804" s="466"/>
      <c r="AK3804" s="466"/>
      <c r="AL3804" s="466"/>
      <c r="AM3804" s="466"/>
      <c r="AN3804" s="466"/>
      <c r="AO3804" s="466"/>
      <c r="AP3804" s="466"/>
      <c r="AQ3804" s="466"/>
      <c r="AR3804" s="466"/>
      <c r="AS3804" s="466"/>
      <c r="AT3804" s="466"/>
      <c r="AU3804" s="466"/>
      <c r="AV3804" s="466"/>
      <c r="AW3804" s="466"/>
      <c r="AX3804" s="466"/>
      <c r="AY3804" s="466"/>
      <c r="AZ3804" s="466"/>
      <c r="BA3804" s="466"/>
      <c r="BB3804" s="466"/>
      <c r="BC3804" s="466"/>
      <c r="BD3804" s="466"/>
      <c r="BE3804" s="467"/>
      <c r="BF3804" s="467"/>
      <c r="BG3804" s="466"/>
      <c r="BH3804" s="466"/>
      <c r="BI3804" s="467"/>
      <c r="BJ3804" s="467"/>
      <c r="BK3804" s="467"/>
      <c r="BL3804" s="467"/>
      <c r="BM3804" s="467"/>
      <c r="BN3804" s="467"/>
      <c r="BO3804" s="467"/>
      <c r="BP3804" s="467"/>
      <c r="BQ3804" s="467"/>
      <c r="BR3804" s="467"/>
      <c r="BS3804" s="467"/>
      <c r="BT3804" s="467"/>
      <c r="BU3804" s="467"/>
      <c r="BV3804" s="467"/>
      <c r="BW3804" s="467"/>
      <c r="BX3804" s="769"/>
      <c r="BY3804" s="769"/>
      <c r="BZ3804" s="769"/>
      <c r="CA3804" s="769"/>
      <c r="CB3804" s="769"/>
      <c r="CC3804" s="769"/>
      <c r="CD3804" s="769"/>
      <c r="CE3804" s="769"/>
      <c r="CF3804" s="769"/>
      <c r="CG3804" s="73"/>
      <c r="CH3804" s="438"/>
      <c r="CI3804" s="416"/>
      <c r="CJ3804" s="73"/>
      <c r="CK3804" s="650"/>
      <c r="CL3804" s="499"/>
      <c r="CM3804" s="650"/>
      <c r="CR3804" s="416"/>
      <c r="CS3804" s="650"/>
      <c r="CU3804" s="73"/>
      <c r="CV3804" s="73"/>
      <c r="CW3804" s="73"/>
      <c r="CX3804" s="73"/>
      <c r="DA3804" s="650"/>
    </row>
    <row r="3805" spans="1:105" s="45" customFormat="1" x14ac:dyDescent="0.2">
      <c r="A3805" s="650"/>
      <c r="B3805" s="438"/>
      <c r="D3805" s="73"/>
      <c r="E3805" s="650"/>
      <c r="F3805" s="650"/>
      <c r="G3805" s="73"/>
      <c r="I3805" s="111"/>
      <c r="J3805" s="81"/>
      <c r="K3805" s="81"/>
      <c r="L3805" s="499"/>
      <c r="M3805" s="73"/>
      <c r="N3805" s="499"/>
      <c r="O3805" s="73"/>
      <c r="P3805" s="73"/>
      <c r="Q3805" s="73"/>
      <c r="R3805" s="176"/>
      <c r="S3805" s="176"/>
      <c r="T3805" s="176"/>
      <c r="U3805" s="400"/>
      <c r="V3805" s="400"/>
      <c r="W3805" s="732"/>
      <c r="X3805" s="167"/>
      <c r="Y3805" s="509"/>
      <c r="Z3805" s="466"/>
      <c r="AA3805" s="466"/>
      <c r="AB3805" s="466"/>
      <c r="AC3805" s="466"/>
      <c r="AD3805" s="466"/>
      <c r="AE3805" s="466"/>
      <c r="AF3805" s="466"/>
      <c r="AG3805" s="466"/>
      <c r="AH3805" s="466"/>
      <c r="AI3805" s="466"/>
      <c r="AJ3805" s="466"/>
      <c r="AK3805" s="466"/>
      <c r="AL3805" s="466"/>
      <c r="AM3805" s="466"/>
      <c r="AN3805" s="466"/>
      <c r="AO3805" s="466"/>
      <c r="AP3805" s="466"/>
      <c r="AQ3805" s="466"/>
      <c r="AR3805" s="466"/>
      <c r="AS3805" s="466"/>
      <c r="AT3805" s="466"/>
      <c r="AU3805" s="466"/>
      <c r="AV3805" s="466"/>
      <c r="AW3805" s="466"/>
      <c r="AX3805" s="466"/>
      <c r="AY3805" s="466"/>
      <c r="AZ3805" s="466"/>
      <c r="BA3805" s="466"/>
      <c r="BB3805" s="466"/>
      <c r="BC3805" s="466"/>
      <c r="BD3805" s="466"/>
      <c r="BE3805" s="467"/>
      <c r="BF3805" s="467"/>
      <c r="BG3805" s="466"/>
      <c r="BH3805" s="466"/>
      <c r="BI3805" s="467"/>
      <c r="BJ3805" s="467"/>
      <c r="BK3805" s="467"/>
      <c r="BL3805" s="467"/>
      <c r="BM3805" s="467"/>
      <c r="BN3805" s="467"/>
      <c r="BO3805" s="467"/>
      <c r="BP3805" s="467"/>
      <c r="BQ3805" s="467"/>
      <c r="BR3805" s="467"/>
      <c r="BS3805" s="467"/>
      <c r="BT3805" s="467"/>
      <c r="BU3805" s="467"/>
      <c r="BV3805" s="467"/>
      <c r="BW3805" s="467"/>
      <c r="BX3805" s="769"/>
      <c r="BY3805" s="769"/>
      <c r="BZ3805" s="769"/>
      <c r="CA3805" s="769"/>
      <c r="CB3805" s="769"/>
      <c r="CC3805" s="769"/>
      <c r="CD3805" s="769"/>
      <c r="CE3805" s="769"/>
      <c r="CF3805" s="769"/>
      <c r="CG3805" s="73"/>
      <c r="CH3805" s="438"/>
      <c r="CI3805" s="416"/>
      <c r="CJ3805" s="73"/>
      <c r="CK3805" s="650"/>
      <c r="CL3805" s="499"/>
      <c r="CM3805" s="650"/>
      <c r="CR3805" s="416"/>
      <c r="CS3805" s="650"/>
      <c r="CU3805" s="73"/>
      <c r="CV3805" s="73"/>
      <c r="CW3805" s="73"/>
      <c r="CX3805" s="73"/>
      <c r="DA3805" s="650"/>
    </row>
    <row r="3806" spans="1:105" s="45" customFormat="1" x14ac:dyDescent="0.2">
      <c r="A3806" s="650"/>
      <c r="B3806" s="438"/>
      <c r="D3806" s="73"/>
      <c r="E3806" s="650"/>
      <c r="F3806" s="650"/>
      <c r="G3806" s="73"/>
      <c r="I3806" s="111"/>
      <c r="J3806" s="81"/>
      <c r="K3806" s="81"/>
      <c r="L3806" s="499"/>
      <c r="M3806" s="73"/>
      <c r="N3806" s="499"/>
      <c r="O3806" s="73"/>
      <c r="P3806" s="73"/>
      <c r="Q3806" s="73"/>
      <c r="R3806" s="176"/>
      <c r="S3806" s="176"/>
      <c r="T3806" s="176"/>
      <c r="U3806" s="400"/>
      <c r="V3806" s="400"/>
      <c r="W3806" s="732"/>
      <c r="X3806" s="167"/>
      <c r="Y3806" s="509"/>
      <c r="Z3806" s="466"/>
      <c r="AA3806" s="466"/>
      <c r="AB3806" s="466"/>
      <c r="AC3806" s="466"/>
      <c r="AD3806" s="466"/>
      <c r="AE3806" s="466"/>
      <c r="AF3806" s="466"/>
      <c r="AG3806" s="466"/>
      <c r="AH3806" s="466"/>
      <c r="AI3806" s="466"/>
      <c r="AJ3806" s="466"/>
      <c r="AK3806" s="466"/>
      <c r="AL3806" s="466"/>
      <c r="AM3806" s="466"/>
      <c r="AN3806" s="466"/>
      <c r="AO3806" s="466"/>
      <c r="AP3806" s="466"/>
      <c r="AQ3806" s="466"/>
      <c r="AR3806" s="466"/>
      <c r="AS3806" s="466"/>
      <c r="AT3806" s="466"/>
      <c r="AU3806" s="466"/>
      <c r="AV3806" s="466"/>
      <c r="AW3806" s="466"/>
      <c r="AX3806" s="466"/>
      <c r="AY3806" s="466"/>
      <c r="AZ3806" s="466"/>
      <c r="BA3806" s="466"/>
      <c r="BB3806" s="466"/>
      <c r="BC3806" s="466"/>
      <c r="BD3806" s="466"/>
      <c r="BE3806" s="467"/>
      <c r="BF3806" s="467"/>
      <c r="BG3806" s="466"/>
      <c r="BH3806" s="466"/>
      <c r="BI3806" s="467"/>
      <c r="BJ3806" s="467"/>
      <c r="BK3806" s="467"/>
      <c r="BL3806" s="467"/>
      <c r="BM3806" s="467"/>
      <c r="BN3806" s="467"/>
      <c r="BO3806" s="467"/>
      <c r="BP3806" s="467"/>
      <c r="BQ3806" s="467"/>
      <c r="BR3806" s="467"/>
      <c r="BS3806" s="467"/>
      <c r="BT3806" s="467"/>
      <c r="BU3806" s="467"/>
      <c r="BV3806" s="467"/>
      <c r="BW3806" s="467"/>
      <c r="BX3806" s="769"/>
      <c r="BY3806" s="769"/>
      <c r="BZ3806" s="769"/>
      <c r="CA3806" s="769"/>
      <c r="CB3806" s="769"/>
      <c r="CC3806" s="769"/>
      <c r="CD3806" s="769"/>
      <c r="CE3806" s="769"/>
      <c r="CF3806" s="769"/>
      <c r="CG3806" s="73"/>
      <c r="CH3806" s="438"/>
      <c r="CI3806" s="416"/>
      <c r="CJ3806" s="73"/>
      <c r="CK3806" s="650"/>
      <c r="CL3806" s="499"/>
      <c r="CM3806" s="650"/>
      <c r="CR3806" s="416"/>
      <c r="CS3806" s="650"/>
      <c r="CU3806" s="73"/>
      <c r="CV3806" s="73"/>
      <c r="CW3806" s="73"/>
      <c r="CX3806" s="73"/>
      <c r="DA3806" s="650"/>
    </row>
    <row r="3807" spans="1:105" s="45" customFormat="1" x14ac:dyDescent="0.2">
      <c r="A3807" s="650"/>
      <c r="B3807" s="438"/>
      <c r="D3807" s="73"/>
      <c r="E3807" s="650"/>
      <c r="F3807" s="650"/>
      <c r="G3807" s="73"/>
      <c r="I3807" s="111"/>
      <c r="J3807" s="81"/>
      <c r="K3807" s="81"/>
      <c r="L3807" s="499"/>
      <c r="M3807" s="73"/>
      <c r="N3807" s="499"/>
      <c r="O3807" s="73"/>
      <c r="P3807" s="73"/>
      <c r="Q3807" s="73"/>
      <c r="R3807" s="176"/>
      <c r="S3807" s="176"/>
      <c r="T3807" s="176"/>
      <c r="U3807" s="400"/>
      <c r="V3807" s="400"/>
      <c r="W3807" s="732"/>
      <c r="X3807" s="167"/>
      <c r="Y3807" s="509"/>
      <c r="Z3807" s="466"/>
      <c r="AA3807" s="466"/>
      <c r="AB3807" s="466"/>
      <c r="AC3807" s="466"/>
      <c r="AD3807" s="466"/>
      <c r="AE3807" s="466"/>
      <c r="AF3807" s="466"/>
      <c r="AG3807" s="466"/>
      <c r="AH3807" s="466"/>
      <c r="AI3807" s="466"/>
      <c r="AJ3807" s="466"/>
      <c r="AK3807" s="466"/>
      <c r="AL3807" s="466"/>
      <c r="AM3807" s="466"/>
      <c r="AN3807" s="466"/>
      <c r="AO3807" s="466"/>
      <c r="AP3807" s="466"/>
      <c r="AQ3807" s="466"/>
      <c r="AR3807" s="466"/>
      <c r="AS3807" s="466"/>
      <c r="AT3807" s="466"/>
      <c r="AU3807" s="466"/>
      <c r="AV3807" s="466"/>
      <c r="AW3807" s="466"/>
      <c r="AX3807" s="466"/>
      <c r="AY3807" s="466"/>
      <c r="AZ3807" s="466"/>
      <c r="BA3807" s="466"/>
      <c r="BB3807" s="466"/>
      <c r="BC3807" s="466"/>
      <c r="BD3807" s="466"/>
      <c r="BE3807" s="467"/>
      <c r="BF3807" s="467"/>
      <c r="BG3807" s="466"/>
      <c r="BH3807" s="466"/>
      <c r="BI3807" s="467"/>
      <c r="BJ3807" s="467"/>
      <c r="BK3807" s="467"/>
      <c r="BL3807" s="467"/>
      <c r="BM3807" s="467"/>
      <c r="BN3807" s="467"/>
      <c r="BO3807" s="467"/>
      <c r="BP3807" s="467"/>
      <c r="BQ3807" s="467"/>
      <c r="BR3807" s="467"/>
      <c r="BS3807" s="467"/>
      <c r="BT3807" s="467"/>
      <c r="BU3807" s="467"/>
      <c r="BV3807" s="467"/>
      <c r="BW3807" s="467"/>
      <c r="BX3807" s="769"/>
      <c r="BY3807" s="769"/>
      <c r="BZ3807" s="769"/>
      <c r="CA3807" s="769"/>
      <c r="CB3807" s="769"/>
      <c r="CC3807" s="769"/>
      <c r="CD3807" s="769"/>
      <c r="CE3807" s="769"/>
      <c r="CF3807" s="769"/>
      <c r="CG3807" s="73"/>
      <c r="CH3807" s="438"/>
      <c r="CI3807" s="416"/>
      <c r="CJ3807" s="73"/>
      <c r="CK3807" s="650"/>
      <c r="CL3807" s="499"/>
      <c r="CM3807" s="650"/>
      <c r="CR3807" s="416"/>
      <c r="CS3807" s="650"/>
      <c r="CU3807" s="73"/>
      <c r="CV3807" s="73"/>
      <c r="CW3807" s="73"/>
      <c r="CX3807" s="73"/>
      <c r="DA3807" s="650"/>
    </row>
    <row r="3808" spans="1:105" s="45" customFormat="1" x14ac:dyDescent="0.2">
      <c r="A3808" s="650"/>
      <c r="B3808" s="438"/>
      <c r="D3808" s="73"/>
      <c r="E3808" s="650"/>
      <c r="F3808" s="650"/>
      <c r="G3808" s="73"/>
      <c r="I3808" s="111"/>
      <c r="J3808" s="81"/>
      <c r="K3808" s="81"/>
      <c r="L3808" s="499"/>
      <c r="M3808" s="73"/>
      <c r="N3808" s="499"/>
      <c r="O3808" s="73"/>
      <c r="P3808" s="73"/>
      <c r="Q3808" s="73"/>
      <c r="R3808" s="176"/>
      <c r="S3808" s="176"/>
      <c r="T3808" s="176"/>
      <c r="U3808" s="400"/>
      <c r="V3808" s="400"/>
      <c r="W3808" s="732"/>
      <c r="X3808" s="167"/>
      <c r="Y3808" s="509"/>
      <c r="Z3808" s="466"/>
      <c r="AA3808" s="466"/>
      <c r="AB3808" s="466"/>
      <c r="AC3808" s="466"/>
      <c r="AD3808" s="466"/>
      <c r="AE3808" s="466"/>
      <c r="AF3808" s="466"/>
      <c r="AG3808" s="466"/>
      <c r="AH3808" s="466"/>
      <c r="AI3808" s="466"/>
      <c r="AJ3808" s="466"/>
      <c r="AK3808" s="466"/>
      <c r="AL3808" s="466"/>
      <c r="AM3808" s="466"/>
      <c r="AN3808" s="466"/>
      <c r="AO3808" s="466"/>
      <c r="AP3808" s="466"/>
      <c r="AQ3808" s="466"/>
      <c r="AR3808" s="466"/>
      <c r="AS3808" s="466"/>
      <c r="AT3808" s="466"/>
      <c r="AU3808" s="466"/>
      <c r="AV3808" s="466"/>
      <c r="AW3808" s="466"/>
      <c r="AX3808" s="466"/>
      <c r="AY3808" s="466"/>
      <c r="AZ3808" s="466"/>
      <c r="BA3808" s="466"/>
      <c r="BB3808" s="466"/>
      <c r="BC3808" s="466"/>
      <c r="BD3808" s="466"/>
      <c r="BE3808" s="467"/>
      <c r="BF3808" s="467"/>
      <c r="BG3808" s="466"/>
      <c r="BH3808" s="466"/>
      <c r="BI3808" s="467"/>
      <c r="BJ3808" s="467"/>
      <c r="BK3808" s="467"/>
      <c r="BL3808" s="467"/>
      <c r="BM3808" s="467"/>
      <c r="BN3808" s="467"/>
      <c r="BO3808" s="467"/>
      <c r="BP3808" s="467"/>
      <c r="BQ3808" s="467"/>
      <c r="BR3808" s="467"/>
      <c r="BS3808" s="467"/>
      <c r="BT3808" s="467"/>
      <c r="BU3808" s="467"/>
      <c r="BV3808" s="467"/>
      <c r="BW3808" s="467"/>
      <c r="BX3808" s="769"/>
      <c r="BY3808" s="769"/>
      <c r="BZ3808" s="769"/>
      <c r="CA3808" s="769"/>
      <c r="CB3808" s="769"/>
      <c r="CC3808" s="769"/>
      <c r="CD3808" s="769"/>
      <c r="CE3808" s="769"/>
      <c r="CF3808" s="769"/>
      <c r="CG3808" s="73"/>
      <c r="CH3808" s="438"/>
      <c r="CI3808" s="416"/>
      <c r="CJ3808" s="73"/>
      <c r="CK3808" s="650"/>
      <c r="CL3808" s="499"/>
      <c r="CM3808" s="650"/>
      <c r="CR3808" s="416"/>
      <c r="CS3808" s="650"/>
      <c r="CU3808" s="73"/>
      <c r="CV3808" s="73"/>
      <c r="CW3808" s="73"/>
      <c r="CX3808" s="73"/>
      <c r="DA3808" s="650"/>
    </row>
    <row r="3809" spans="1:105" s="45" customFormat="1" x14ac:dyDescent="0.2">
      <c r="A3809" s="650"/>
      <c r="B3809" s="438"/>
      <c r="D3809" s="73"/>
      <c r="E3809" s="650"/>
      <c r="F3809" s="650"/>
      <c r="G3809" s="73"/>
      <c r="I3809" s="111"/>
      <c r="J3809" s="81"/>
      <c r="K3809" s="81"/>
      <c r="L3809" s="499"/>
      <c r="M3809" s="73"/>
      <c r="N3809" s="499"/>
      <c r="O3809" s="73"/>
      <c r="P3809" s="73"/>
      <c r="Q3809" s="73"/>
      <c r="R3809" s="176"/>
      <c r="S3809" s="176"/>
      <c r="T3809" s="176"/>
      <c r="U3809" s="400"/>
      <c r="V3809" s="400"/>
      <c r="W3809" s="732"/>
      <c r="X3809" s="167"/>
      <c r="Y3809" s="509"/>
      <c r="Z3809" s="466"/>
      <c r="AA3809" s="466"/>
      <c r="AB3809" s="466"/>
      <c r="AC3809" s="466"/>
      <c r="AD3809" s="466"/>
      <c r="AE3809" s="466"/>
      <c r="AF3809" s="466"/>
      <c r="AG3809" s="466"/>
      <c r="AH3809" s="466"/>
      <c r="AI3809" s="466"/>
      <c r="AJ3809" s="466"/>
      <c r="AK3809" s="466"/>
      <c r="AL3809" s="466"/>
      <c r="AM3809" s="466"/>
      <c r="AN3809" s="466"/>
      <c r="AO3809" s="466"/>
      <c r="AP3809" s="466"/>
      <c r="AQ3809" s="466"/>
      <c r="AR3809" s="466"/>
      <c r="AS3809" s="466"/>
      <c r="AT3809" s="466"/>
      <c r="AU3809" s="466"/>
      <c r="AV3809" s="466"/>
      <c r="AW3809" s="466"/>
      <c r="AX3809" s="466"/>
      <c r="AY3809" s="466"/>
      <c r="AZ3809" s="466"/>
      <c r="BA3809" s="466"/>
      <c r="BB3809" s="466"/>
      <c r="BC3809" s="466"/>
      <c r="BD3809" s="466"/>
      <c r="BE3809" s="467"/>
      <c r="BF3809" s="467"/>
      <c r="BG3809" s="466"/>
      <c r="BH3809" s="466"/>
      <c r="BI3809" s="467"/>
      <c r="BJ3809" s="467"/>
      <c r="BK3809" s="467"/>
      <c r="BL3809" s="467"/>
      <c r="BM3809" s="467"/>
      <c r="BN3809" s="467"/>
      <c r="BO3809" s="467"/>
      <c r="BP3809" s="467"/>
      <c r="BQ3809" s="467"/>
      <c r="BR3809" s="467"/>
      <c r="BS3809" s="467"/>
      <c r="BT3809" s="467"/>
      <c r="BU3809" s="467"/>
      <c r="BV3809" s="467"/>
      <c r="BW3809" s="467"/>
      <c r="BX3809" s="769"/>
      <c r="BY3809" s="769"/>
      <c r="BZ3809" s="769"/>
      <c r="CA3809" s="769"/>
      <c r="CB3809" s="769"/>
      <c r="CC3809" s="769"/>
      <c r="CD3809" s="769"/>
      <c r="CE3809" s="769"/>
      <c r="CF3809" s="769"/>
      <c r="CG3809" s="73"/>
      <c r="CH3809" s="438"/>
      <c r="CI3809" s="416"/>
      <c r="CJ3809" s="73"/>
      <c r="CK3809" s="650"/>
      <c r="CL3809" s="499"/>
      <c r="CM3809" s="650"/>
      <c r="CR3809" s="416"/>
      <c r="CS3809" s="650"/>
      <c r="CU3809" s="73"/>
      <c r="CV3809" s="73"/>
      <c r="CW3809" s="73"/>
      <c r="CX3809" s="73"/>
      <c r="DA3809" s="650"/>
    </row>
    <row r="3810" spans="1:105" s="45" customFormat="1" x14ac:dyDescent="0.2">
      <c r="A3810" s="650"/>
      <c r="B3810" s="438"/>
      <c r="D3810" s="73"/>
      <c r="E3810" s="650"/>
      <c r="F3810" s="650"/>
      <c r="G3810" s="73"/>
      <c r="I3810" s="111"/>
      <c r="J3810" s="81"/>
      <c r="K3810" s="81"/>
      <c r="L3810" s="499"/>
      <c r="M3810" s="73"/>
      <c r="N3810" s="499"/>
      <c r="O3810" s="73"/>
      <c r="P3810" s="73"/>
      <c r="Q3810" s="73"/>
      <c r="R3810" s="176"/>
      <c r="S3810" s="176"/>
      <c r="T3810" s="176"/>
      <c r="U3810" s="400"/>
      <c r="V3810" s="400"/>
      <c r="W3810" s="732"/>
      <c r="X3810" s="167"/>
      <c r="Y3810" s="509"/>
      <c r="Z3810" s="466"/>
      <c r="AA3810" s="466"/>
      <c r="AB3810" s="466"/>
      <c r="AC3810" s="466"/>
      <c r="AD3810" s="466"/>
      <c r="AE3810" s="466"/>
      <c r="AF3810" s="466"/>
      <c r="AG3810" s="466"/>
      <c r="AH3810" s="466"/>
      <c r="AI3810" s="466"/>
      <c r="AJ3810" s="466"/>
      <c r="AK3810" s="466"/>
      <c r="AL3810" s="466"/>
      <c r="AM3810" s="466"/>
      <c r="AN3810" s="466"/>
      <c r="AO3810" s="466"/>
      <c r="AP3810" s="466"/>
      <c r="AQ3810" s="466"/>
      <c r="AR3810" s="466"/>
      <c r="AS3810" s="466"/>
      <c r="AT3810" s="466"/>
      <c r="AU3810" s="466"/>
      <c r="AV3810" s="466"/>
      <c r="AW3810" s="466"/>
      <c r="AX3810" s="466"/>
      <c r="AY3810" s="466"/>
      <c r="AZ3810" s="466"/>
      <c r="BA3810" s="466"/>
      <c r="BB3810" s="466"/>
      <c r="BC3810" s="466"/>
      <c r="BD3810" s="466"/>
      <c r="BE3810" s="467"/>
      <c r="BF3810" s="467"/>
      <c r="BG3810" s="466"/>
      <c r="BH3810" s="466"/>
      <c r="BI3810" s="467"/>
      <c r="BJ3810" s="467"/>
      <c r="BK3810" s="467"/>
      <c r="BL3810" s="467"/>
      <c r="BM3810" s="467"/>
      <c r="BN3810" s="467"/>
      <c r="BO3810" s="467"/>
      <c r="BP3810" s="467"/>
      <c r="BQ3810" s="467"/>
      <c r="BR3810" s="467"/>
      <c r="BS3810" s="467"/>
      <c r="BT3810" s="467"/>
      <c r="BU3810" s="467"/>
      <c r="BV3810" s="467"/>
      <c r="BW3810" s="467"/>
      <c r="BX3810" s="769"/>
      <c r="BY3810" s="769"/>
      <c r="BZ3810" s="769"/>
      <c r="CA3810" s="769"/>
      <c r="CB3810" s="769"/>
      <c r="CC3810" s="769"/>
      <c r="CD3810" s="769"/>
      <c r="CE3810" s="769"/>
      <c r="CF3810" s="769"/>
      <c r="CG3810" s="73"/>
      <c r="CH3810" s="438"/>
      <c r="CI3810" s="416"/>
      <c r="CJ3810" s="73"/>
      <c r="CK3810" s="650"/>
      <c r="CL3810" s="499"/>
      <c r="CM3810" s="650"/>
      <c r="CR3810" s="416"/>
      <c r="CS3810" s="650"/>
      <c r="CU3810" s="73"/>
      <c r="CV3810" s="73"/>
      <c r="CW3810" s="73"/>
      <c r="CX3810" s="73"/>
      <c r="DA3810" s="650"/>
    </row>
    <row r="3811" spans="1:105" s="45" customFormat="1" x14ac:dyDescent="0.2">
      <c r="A3811" s="650"/>
      <c r="B3811" s="438"/>
      <c r="D3811" s="73"/>
      <c r="E3811" s="650"/>
      <c r="F3811" s="650"/>
      <c r="G3811" s="73"/>
      <c r="I3811" s="111"/>
      <c r="J3811" s="81"/>
      <c r="K3811" s="81"/>
      <c r="L3811" s="499"/>
      <c r="M3811" s="73"/>
      <c r="N3811" s="499"/>
      <c r="O3811" s="73"/>
      <c r="P3811" s="73"/>
      <c r="Q3811" s="73"/>
      <c r="R3811" s="176"/>
      <c r="S3811" s="176"/>
      <c r="T3811" s="176"/>
      <c r="U3811" s="400"/>
      <c r="V3811" s="400"/>
      <c r="W3811" s="732"/>
      <c r="X3811" s="167"/>
      <c r="Y3811" s="509"/>
      <c r="Z3811" s="466"/>
      <c r="AA3811" s="466"/>
      <c r="AB3811" s="466"/>
      <c r="AC3811" s="466"/>
      <c r="AD3811" s="466"/>
      <c r="AE3811" s="466"/>
      <c r="AF3811" s="466"/>
      <c r="AG3811" s="466"/>
      <c r="AH3811" s="466"/>
      <c r="AI3811" s="466"/>
      <c r="AJ3811" s="466"/>
      <c r="AK3811" s="466"/>
      <c r="AL3811" s="466"/>
      <c r="AM3811" s="466"/>
      <c r="AN3811" s="466"/>
      <c r="AO3811" s="466"/>
      <c r="AP3811" s="466"/>
      <c r="AQ3811" s="466"/>
      <c r="AR3811" s="466"/>
      <c r="AS3811" s="466"/>
      <c r="AT3811" s="466"/>
      <c r="AU3811" s="466"/>
      <c r="AV3811" s="466"/>
      <c r="AW3811" s="466"/>
      <c r="AX3811" s="466"/>
      <c r="AY3811" s="466"/>
      <c r="AZ3811" s="466"/>
      <c r="BA3811" s="466"/>
      <c r="BB3811" s="466"/>
      <c r="BC3811" s="466"/>
      <c r="BD3811" s="466"/>
      <c r="BE3811" s="467"/>
      <c r="BF3811" s="467"/>
      <c r="BG3811" s="466"/>
      <c r="BH3811" s="466"/>
      <c r="BI3811" s="467"/>
      <c r="BJ3811" s="467"/>
      <c r="BK3811" s="467"/>
      <c r="BL3811" s="467"/>
      <c r="BM3811" s="467"/>
      <c r="BN3811" s="467"/>
      <c r="BO3811" s="467"/>
      <c r="BP3811" s="467"/>
      <c r="BQ3811" s="467"/>
      <c r="BR3811" s="467"/>
      <c r="BS3811" s="467"/>
      <c r="BT3811" s="467"/>
      <c r="BU3811" s="467"/>
      <c r="BV3811" s="467"/>
      <c r="BW3811" s="467"/>
      <c r="BX3811" s="769"/>
      <c r="BY3811" s="769"/>
      <c r="BZ3811" s="769"/>
      <c r="CA3811" s="769"/>
      <c r="CB3811" s="769"/>
      <c r="CC3811" s="769"/>
      <c r="CD3811" s="769"/>
      <c r="CE3811" s="769"/>
      <c r="CF3811" s="769"/>
      <c r="CG3811" s="73"/>
      <c r="CH3811" s="438"/>
      <c r="CI3811" s="416"/>
      <c r="CJ3811" s="73"/>
      <c r="CK3811" s="650"/>
      <c r="CL3811" s="499"/>
      <c r="CM3811" s="650"/>
      <c r="CR3811" s="416"/>
      <c r="CS3811" s="650"/>
      <c r="CU3811" s="73"/>
      <c r="CV3811" s="73"/>
      <c r="CW3811" s="73"/>
      <c r="CX3811" s="73"/>
      <c r="DA3811" s="650"/>
    </row>
    <row r="3812" spans="1:105" s="45" customFormat="1" x14ac:dyDescent="0.2">
      <c r="A3812" s="650"/>
      <c r="B3812" s="438"/>
      <c r="D3812" s="73"/>
      <c r="E3812" s="650"/>
      <c r="F3812" s="650"/>
      <c r="G3812" s="73"/>
      <c r="I3812" s="111"/>
      <c r="J3812" s="81"/>
      <c r="K3812" s="81"/>
      <c r="L3812" s="499"/>
      <c r="M3812" s="73"/>
      <c r="N3812" s="499"/>
      <c r="O3812" s="73"/>
      <c r="P3812" s="73"/>
      <c r="Q3812" s="73"/>
      <c r="R3812" s="176"/>
      <c r="S3812" s="176"/>
      <c r="T3812" s="176"/>
      <c r="U3812" s="400"/>
      <c r="V3812" s="400"/>
      <c r="W3812" s="732"/>
      <c r="X3812" s="167"/>
      <c r="Y3812" s="509"/>
      <c r="Z3812" s="466"/>
      <c r="AA3812" s="466"/>
      <c r="AB3812" s="466"/>
      <c r="AC3812" s="466"/>
      <c r="AD3812" s="466"/>
      <c r="AE3812" s="466"/>
      <c r="AF3812" s="466"/>
      <c r="AG3812" s="466"/>
      <c r="AH3812" s="466"/>
      <c r="AI3812" s="466"/>
      <c r="AJ3812" s="466"/>
      <c r="AK3812" s="466"/>
      <c r="AL3812" s="466"/>
      <c r="AM3812" s="466"/>
      <c r="AN3812" s="466"/>
      <c r="AO3812" s="466"/>
      <c r="AP3812" s="466"/>
      <c r="AQ3812" s="466"/>
      <c r="AR3812" s="466"/>
      <c r="AS3812" s="466"/>
      <c r="AT3812" s="466"/>
      <c r="AU3812" s="466"/>
      <c r="AV3812" s="466"/>
      <c r="AW3812" s="466"/>
      <c r="AX3812" s="466"/>
      <c r="AY3812" s="466"/>
      <c r="AZ3812" s="466"/>
      <c r="BA3812" s="466"/>
      <c r="BB3812" s="466"/>
      <c r="BC3812" s="466"/>
      <c r="BD3812" s="466"/>
      <c r="BE3812" s="467"/>
      <c r="BF3812" s="467"/>
      <c r="BG3812" s="466"/>
      <c r="BH3812" s="466"/>
      <c r="BI3812" s="467"/>
      <c r="BJ3812" s="467"/>
      <c r="BK3812" s="467"/>
      <c r="BL3812" s="467"/>
      <c r="BM3812" s="467"/>
      <c r="BN3812" s="467"/>
      <c r="BO3812" s="467"/>
      <c r="BP3812" s="467"/>
      <c r="BQ3812" s="467"/>
      <c r="BR3812" s="467"/>
      <c r="BS3812" s="467"/>
      <c r="BT3812" s="467"/>
      <c r="BU3812" s="467"/>
      <c r="BV3812" s="467"/>
      <c r="BW3812" s="467"/>
      <c r="BX3812" s="769"/>
      <c r="BY3812" s="769"/>
      <c r="BZ3812" s="769"/>
      <c r="CA3812" s="769"/>
      <c r="CB3812" s="769"/>
      <c r="CC3812" s="769"/>
      <c r="CD3812" s="769"/>
      <c r="CE3812" s="769"/>
      <c r="CF3812" s="769"/>
      <c r="CG3812" s="73"/>
      <c r="CH3812" s="438"/>
      <c r="CI3812" s="416"/>
      <c r="CJ3812" s="73"/>
      <c r="CK3812" s="650"/>
      <c r="CL3812" s="499"/>
      <c r="CM3812" s="650"/>
      <c r="CR3812" s="416"/>
      <c r="CS3812" s="650"/>
      <c r="CU3812" s="73"/>
      <c r="CV3812" s="73"/>
      <c r="CW3812" s="73"/>
      <c r="CX3812" s="73"/>
      <c r="DA3812" s="650"/>
    </row>
    <row r="3813" spans="1:105" s="45" customFormat="1" x14ac:dyDescent="0.2">
      <c r="A3813" s="650"/>
      <c r="B3813" s="438"/>
      <c r="D3813" s="73"/>
      <c r="E3813" s="650"/>
      <c r="F3813" s="650"/>
      <c r="G3813" s="73"/>
      <c r="I3813" s="111"/>
      <c r="J3813" s="81"/>
      <c r="K3813" s="81"/>
      <c r="L3813" s="499"/>
      <c r="M3813" s="73"/>
      <c r="N3813" s="499"/>
      <c r="O3813" s="73"/>
      <c r="P3813" s="73"/>
      <c r="Q3813" s="73"/>
      <c r="R3813" s="176"/>
      <c r="S3813" s="176"/>
      <c r="T3813" s="176"/>
      <c r="U3813" s="400"/>
      <c r="V3813" s="400"/>
      <c r="W3813" s="732"/>
      <c r="X3813" s="167"/>
      <c r="Y3813" s="509"/>
      <c r="Z3813" s="466"/>
      <c r="AA3813" s="466"/>
      <c r="AB3813" s="466"/>
      <c r="AC3813" s="466"/>
      <c r="AD3813" s="466"/>
      <c r="AE3813" s="466"/>
      <c r="AF3813" s="466"/>
      <c r="AG3813" s="466"/>
      <c r="AH3813" s="466"/>
      <c r="AI3813" s="466"/>
      <c r="AJ3813" s="466"/>
      <c r="AK3813" s="466"/>
      <c r="AL3813" s="466"/>
      <c r="AM3813" s="466"/>
      <c r="AN3813" s="466"/>
      <c r="AO3813" s="466"/>
      <c r="AP3813" s="466"/>
      <c r="AQ3813" s="466"/>
      <c r="AR3813" s="466"/>
      <c r="AS3813" s="466"/>
      <c r="AT3813" s="466"/>
      <c r="AU3813" s="466"/>
      <c r="AV3813" s="466"/>
      <c r="AW3813" s="466"/>
      <c r="AX3813" s="466"/>
      <c r="AY3813" s="466"/>
      <c r="AZ3813" s="466"/>
      <c r="BA3813" s="466"/>
      <c r="BB3813" s="466"/>
      <c r="BC3813" s="466"/>
      <c r="BD3813" s="466"/>
      <c r="BE3813" s="467"/>
      <c r="BF3813" s="467"/>
      <c r="BG3813" s="466"/>
      <c r="BH3813" s="466"/>
      <c r="BI3813" s="467"/>
      <c r="BJ3813" s="467"/>
      <c r="BK3813" s="467"/>
      <c r="BL3813" s="467"/>
      <c r="BM3813" s="467"/>
      <c r="BN3813" s="467"/>
      <c r="BO3813" s="467"/>
      <c r="BP3813" s="467"/>
      <c r="BQ3813" s="467"/>
      <c r="BR3813" s="467"/>
      <c r="BS3813" s="467"/>
      <c r="BT3813" s="467"/>
      <c r="BU3813" s="467"/>
      <c r="BV3813" s="467"/>
      <c r="BW3813" s="467"/>
      <c r="BX3813" s="769"/>
      <c r="BY3813" s="769"/>
      <c r="BZ3813" s="769"/>
      <c r="CA3813" s="769"/>
      <c r="CB3813" s="769"/>
      <c r="CC3813" s="769"/>
      <c r="CD3813" s="769"/>
      <c r="CE3813" s="769"/>
      <c r="CF3813" s="769"/>
      <c r="CG3813" s="73"/>
      <c r="CH3813" s="438"/>
      <c r="CI3813" s="416"/>
      <c r="CJ3813" s="73"/>
      <c r="CK3813" s="650"/>
      <c r="CL3813" s="499"/>
      <c r="CM3813" s="650"/>
      <c r="CR3813" s="416"/>
      <c r="CS3813" s="650"/>
      <c r="CU3813" s="73"/>
      <c r="CV3813" s="73"/>
      <c r="CW3813" s="73"/>
      <c r="CX3813" s="73"/>
      <c r="DA3813" s="650"/>
    </row>
    <row r="3814" spans="1:105" s="45" customFormat="1" x14ac:dyDescent="0.2">
      <c r="A3814" s="650"/>
      <c r="B3814" s="438"/>
      <c r="D3814" s="73"/>
      <c r="E3814" s="650"/>
      <c r="F3814" s="650"/>
      <c r="G3814" s="73"/>
      <c r="I3814" s="111"/>
      <c r="J3814" s="81"/>
      <c r="K3814" s="81"/>
      <c r="L3814" s="499"/>
      <c r="M3814" s="73"/>
      <c r="N3814" s="499"/>
      <c r="O3814" s="73"/>
      <c r="P3814" s="73"/>
      <c r="Q3814" s="73"/>
      <c r="R3814" s="176"/>
      <c r="S3814" s="176"/>
      <c r="T3814" s="176"/>
      <c r="U3814" s="400"/>
      <c r="V3814" s="400"/>
      <c r="W3814" s="732"/>
      <c r="X3814" s="167"/>
      <c r="Y3814" s="509"/>
      <c r="Z3814" s="466"/>
      <c r="AA3814" s="466"/>
      <c r="AB3814" s="466"/>
      <c r="AC3814" s="466"/>
      <c r="AD3814" s="466"/>
      <c r="AE3814" s="466"/>
      <c r="AF3814" s="466"/>
      <c r="AG3814" s="466"/>
      <c r="AH3814" s="466"/>
      <c r="AI3814" s="466"/>
      <c r="AJ3814" s="466"/>
      <c r="AK3814" s="466"/>
      <c r="AL3814" s="466"/>
      <c r="AM3814" s="466"/>
      <c r="AN3814" s="466"/>
      <c r="AO3814" s="466"/>
      <c r="AP3814" s="466"/>
      <c r="AQ3814" s="466"/>
      <c r="AR3814" s="466"/>
      <c r="AS3814" s="466"/>
      <c r="AT3814" s="466"/>
      <c r="AU3814" s="466"/>
      <c r="AV3814" s="466"/>
      <c r="AW3814" s="466"/>
      <c r="AX3814" s="466"/>
      <c r="AY3814" s="466"/>
      <c r="AZ3814" s="466"/>
      <c r="BA3814" s="466"/>
      <c r="BB3814" s="466"/>
      <c r="BC3814" s="466"/>
      <c r="BD3814" s="466"/>
      <c r="BE3814" s="467"/>
      <c r="BF3814" s="467"/>
      <c r="BG3814" s="466"/>
      <c r="BH3814" s="466"/>
      <c r="BI3814" s="467"/>
      <c r="BJ3814" s="467"/>
      <c r="BK3814" s="467"/>
      <c r="BL3814" s="467"/>
      <c r="BM3814" s="467"/>
      <c r="BN3814" s="467"/>
      <c r="BO3814" s="467"/>
      <c r="BP3814" s="467"/>
      <c r="BQ3814" s="467"/>
      <c r="BR3814" s="467"/>
      <c r="BS3814" s="467"/>
      <c r="BT3814" s="467"/>
      <c r="BU3814" s="467"/>
      <c r="BV3814" s="467"/>
      <c r="BW3814" s="467"/>
      <c r="BX3814" s="769"/>
      <c r="BY3814" s="769"/>
      <c r="BZ3814" s="769"/>
      <c r="CA3814" s="769"/>
      <c r="CB3814" s="769"/>
      <c r="CC3814" s="769"/>
      <c r="CD3814" s="769"/>
      <c r="CE3814" s="769"/>
      <c r="CF3814" s="769"/>
      <c r="CG3814" s="73"/>
      <c r="CH3814" s="438"/>
      <c r="CI3814" s="416"/>
      <c r="CJ3814" s="73"/>
      <c r="CK3814" s="650"/>
      <c r="CL3814" s="499"/>
      <c r="CM3814" s="650"/>
      <c r="CR3814" s="416"/>
      <c r="CS3814" s="650"/>
      <c r="CU3814" s="73"/>
      <c r="CV3814" s="73"/>
      <c r="CW3814" s="73"/>
      <c r="CX3814" s="73"/>
      <c r="DA3814" s="650"/>
    </row>
    <row r="3815" spans="1:105" s="45" customFormat="1" x14ac:dyDescent="0.2">
      <c r="A3815" s="650"/>
      <c r="B3815" s="438"/>
      <c r="D3815" s="73"/>
      <c r="E3815" s="650"/>
      <c r="F3815" s="650"/>
      <c r="G3815" s="73"/>
      <c r="I3815" s="111"/>
      <c r="J3815" s="81"/>
      <c r="K3815" s="81"/>
      <c r="L3815" s="499"/>
      <c r="M3815" s="73"/>
      <c r="N3815" s="499"/>
      <c r="O3815" s="73"/>
      <c r="P3815" s="73"/>
      <c r="Q3815" s="73"/>
      <c r="R3815" s="176"/>
      <c r="S3815" s="176"/>
      <c r="T3815" s="176"/>
      <c r="U3815" s="400"/>
      <c r="V3815" s="400"/>
      <c r="W3815" s="732"/>
      <c r="X3815" s="167"/>
      <c r="Y3815" s="509"/>
      <c r="Z3815" s="466"/>
      <c r="AA3815" s="466"/>
      <c r="AB3815" s="466"/>
      <c r="AC3815" s="466"/>
      <c r="AD3815" s="466"/>
      <c r="AE3815" s="466"/>
      <c r="AF3815" s="466"/>
      <c r="AG3815" s="466"/>
      <c r="AH3815" s="466"/>
      <c r="AI3815" s="466"/>
      <c r="AJ3815" s="466"/>
      <c r="AK3815" s="466"/>
      <c r="AL3815" s="466"/>
      <c r="AM3815" s="466"/>
      <c r="AN3815" s="466"/>
      <c r="AO3815" s="466"/>
      <c r="AP3815" s="466"/>
      <c r="AQ3815" s="466"/>
      <c r="AR3815" s="466"/>
      <c r="AS3815" s="466"/>
      <c r="AT3815" s="466"/>
      <c r="AU3815" s="466"/>
      <c r="AV3815" s="466"/>
      <c r="AW3815" s="466"/>
      <c r="AX3815" s="466"/>
      <c r="AY3815" s="466"/>
      <c r="AZ3815" s="466"/>
      <c r="BA3815" s="466"/>
      <c r="BB3815" s="466"/>
      <c r="BC3815" s="466"/>
      <c r="BD3815" s="466"/>
      <c r="BE3815" s="467"/>
      <c r="BF3815" s="467"/>
      <c r="BG3815" s="466"/>
      <c r="BH3815" s="466"/>
      <c r="BI3815" s="467"/>
      <c r="BJ3815" s="467"/>
      <c r="BK3815" s="467"/>
      <c r="BL3815" s="467"/>
      <c r="BM3815" s="467"/>
      <c r="BN3815" s="467"/>
      <c r="BO3815" s="467"/>
      <c r="BP3815" s="467"/>
      <c r="BQ3815" s="467"/>
      <c r="BR3815" s="467"/>
      <c r="BS3815" s="467"/>
      <c r="BT3815" s="467"/>
      <c r="BU3815" s="467"/>
      <c r="BV3815" s="467"/>
      <c r="BW3815" s="467"/>
      <c r="BX3815" s="769"/>
      <c r="BY3815" s="769"/>
      <c r="BZ3815" s="769"/>
      <c r="CA3815" s="769"/>
      <c r="CB3815" s="769"/>
      <c r="CC3815" s="769"/>
      <c r="CD3815" s="769"/>
      <c r="CE3815" s="769"/>
      <c r="CF3815" s="769"/>
      <c r="CG3815" s="73"/>
      <c r="CH3815" s="438"/>
      <c r="CI3815" s="416"/>
      <c r="CJ3815" s="73"/>
      <c r="CK3815" s="650"/>
      <c r="CL3815" s="499"/>
      <c r="CM3815" s="650"/>
      <c r="CR3815" s="416"/>
      <c r="CS3815" s="650"/>
      <c r="CU3815" s="73"/>
      <c r="CV3815" s="73"/>
      <c r="CW3815" s="73"/>
      <c r="CX3815" s="73"/>
      <c r="DA3815" s="650"/>
    </row>
    <row r="3816" spans="1:105" s="45" customFormat="1" x14ac:dyDescent="0.2">
      <c r="A3816" s="650"/>
      <c r="B3816" s="438"/>
      <c r="D3816" s="73"/>
      <c r="E3816" s="650"/>
      <c r="F3816" s="650"/>
      <c r="G3816" s="73"/>
      <c r="I3816" s="111"/>
      <c r="J3816" s="81"/>
      <c r="K3816" s="81"/>
      <c r="L3816" s="499"/>
      <c r="M3816" s="73"/>
      <c r="N3816" s="499"/>
      <c r="O3816" s="73"/>
      <c r="P3816" s="73"/>
      <c r="Q3816" s="73"/>
      <c r="R3816" s="176"/>
      <c r="S3816" s="176"/>
      <c r="T3816" s="176"/>
      <c r="U3816" s="400"/>
      <c r="V3816" s="400"/>
      <c r="W3816" s="732"/>
      <c r="X3816" s="167"/>
      <c r="Y3816" s="509"/>
      <c r="Z3816" s="466"/>
      <c r="AA3816" s="466"/>
      <c r="AB3816" s="466"/>
      <c r="AC3816" s="466"/>
      <c r="AD3816" s="466"/>
      <c r="AE3816" s="466"/>
      <c r="AF3816" s="466"/>
      <c r="AG3816" s="466"/>
      <c r="AH3816" s="466"/>
      <c r="AI3816" s="466"/>
      <c r="AJ3816" s="466"/>
      <c r="AK3816" s="466"/>
      <c r="AL3816" s="466"/>
      <c r="AM3816" s="466"/>
      <c r="AN3816" s="466"/>
      <c r="AO3816" s="466"/>
      <c r="AP3816" s="466"/>
      <c r="AQ3816" s="466"/>
      <c r="AR3816" s="466"/>
      <c r="AS3816" s="466"/>
      <c r="AT3816" s="466"/>
      <c r="AU3816" s="466"/>
      <c r="AV3816" s="466"/>
      <c r="AW3816" s="466"/>
      <c r="AX3816" s="466"/>
      <c r="AY3816" s="466"/>
      <c r="AZ3816" s="466"/>
      <c r="BA3816" s="466"/>
      <c r="BB3816" s="466"/>
      <c r="BC3816" s="466"/>
      <c r="BD3816" s="466"/>
      <c r="BE3816" s="467"/>
      <c r="BF3816" s="467"/>
      <c r="BG3816" s="466"/>
      <c r="BH3816" s="466"/>
      <c r="BI3816" s="467"/>
      <c r="BJ3816" s="467"/>
      <c r="BK3816" s="467"/>
      <c r="BL3816" s="467"/>
      <c r="BM3816" s="467"/>
      <c r="BN3816" s="467"/>
      <c r="BO3816" s="467"/>
      <c r="BP3816" s="467"/>
      <c r="BQ3816" s="467"/>
      <c r="BR3816" s="467"/>
      <c r="BS3816" s="467"/>
      <c r="BT3816" s="467"/>
      <c r="BU3816" s="467"/>
      <c r="BV3816" s="467"/>
      <c r="BW3816" s="467"/>
      <c r="BX3816" s="769"/>
      <c r="BY3816" s="769"/>
      <c r="BZ3816" s="769"/>
      <c r="CA3816" s="769"/>
      <c r="CB3816" s="769"/>
      <c r="CC3816" s="769"/>
      <c r="CD3816" s="769"/>
      <c r="CE3816" s="769"/>
      <c r="CF3816" s="769"/>
      <c r="CG3816" s="73"/>
      <c r="CH3816" s="438"/>
      <c r="CI3816" s="416"/>
      <c r="CJ3816" s="73"/>
      <c r="CK3816" s="650"/>
      <c r="CL3816" s="499"/>
      <c r="CM3816" s="650"/>
      <c r="CR3816" s="416"/>
      <c r="CS3816" s="650"/>
      <c r="CU3816" s="73"/>
      <c r="CV3816" s="73"/>
      <c r="CW3816" s="73"/>
      <c r="CX3816" s="73"/>
      <c r="DA3816" s="650"/>
    </row>
    <row r="3817" spans="1:105" s="45" customFormat="1" x14ac:dyDescent="0.2">
      <c r="A3817" s="650"/>
      <c r="B3817" s="438"/>
      <c r="D3817" s="73"/>
      <c r="E3817" s="650"/>
      <c r="F3817" s="650"/>
      <c r="G3817" s="73"/>
      <c r="I3817" s="111"/>
      <c r="J3817" s="81"/>
      <c r="K3817" s="81"/>
      <c r="L3817" s="499"/>
      <c r="M3817" s="73"/>
      <c r="N3817" s="499"/>
      <c r="O3817" s="73"/>
      <c r="P3817" s="73"/>
      <c r="Q3817" s="73"/>
      <c r="R3817" s="176"/>
      <c r="S3817" s="176"/>
      <c r="T3817" s="176"/>
      <c r="U3817" s="400"/>
      <c r="V3817" s="400"/>
      <c r="W3817" s="732"/>
      <c r="X3817" s="167"/>
      <c r="Y3817" s="509"/>
      <c r="Z3817" s="466"/>
      <c r="AA3817" s="466"/>
      <c r="AB3817" s="466"/>
      <c r="AC3817" s="466"/>
      <c r="AD3817" s="466"/>
      <c r="AE3817" s="466"/>
      <c r="AF3817" s="466"/>
      <c r="AG3817" s="466"/>
      <c r="AH3817" s="466"/>
      <c r="AI3817" s="466"/>
      <c r="AJ3817" s="466"/>
      <c r="AK3817" s="466"/>
      <c r="AL3817" s="466"/>
      <c r="AM3817" s="466"/>
      <c r="AN3817" s="466"/>
      <c r="AO3817" s="466"/>
      <c r="AP3817" s="466"/>
      <c r="AQ3817" s="466"/>
      <c r="AR3817" s="466"/>
      <c r="AS3817" s="466"/>
      <c r="AT3817" s="466"/>
      <c r="AU3817" s="466"/>
      <c r="AV3817" s="466"/>
      <c r="AW3817" s="466"/>
      <c r="AX3817" s="466"/>
      <c r="AY3817" s="466"/>
      <c r="AZ3817" s="466"/>
      <c r="BA3817" s="466"/>
      <c r="BB3817" s="466"/>
      <c r="BC3817" s="466"/>
      <c r="BD3817" s="466"/>
      <c r="BE3817" s="467"/>
      <c r="BF3817" s="467"/>
      <c r="BG3817" s="466"/>
      <c r="BH3817" s="466"/>
      <c r="BI3817" s="467"/>
      <c r="BJ3817" s="467"/>
      <c r="BK3817" s="467"/>
      <c r="BL3817" s="467"/>
      <c r="BM3817" s="467"/>
      <c r="BN3817" s="467"/>
      <c r="BO3817" s="467"/>
      <c r="BP3817" s="467"/>
      <c r="BQ3817" s="467"/>
      <c r="BR3817" s="467"/>
      <c r="BS3817" s="467"/>
      <c r="BT3817" s="467"/>
      <c r="BU3817" s="467"/>
      <c r="BV3817" s="467"/>
      <c r="BW3817" s="467"/>
      <c r="BX3817" s="769"/>
      <c r="BY3817" s="769"/>
      <c r="BZ3817" s="769"/>
      <c r="CA3817" s="769"/>
      <c r="CB3817" s="769"/>
      <c r="CC3817" s="769"/>
      <c r="CD3817" s="769"/>
      <c r="CE3817" s="769"/>
      <c r="CF3817" s="769"/>
      <c r="CG3817" s="73"/>
      <c r="CH3817" s="438"/>
      <c r="CI3817" s="416"/>
      <c r="CJ3817" s="73"/>
      <c r="CK3817" s="650"/>
      <c r="CL3817" s="499"/>
      <c r="CM3817" s="650"/>
      <c r="CR3817" s="416"/>
      <c r="CS3817" s="650"/>
      <c r="CU3817" s="73"/>
      <c r="CV3817" s="73"/>
      <c r="CW3817" s="73"/>
      <c r="CX3817" s="73"/>
      <c r="DA3817" s="650"/>
    </row>
    <row r="3818" spans="1:105" s="45" customFormat="1" x14ac:dyDescent="0.2">
      <c r="A3818" s="650"/>
      <c r="B3818" s="438"/>
      <c r="D3818" s="73"/>
      <c r="E3818" s="650"/>
      <c r="F3818" s="650"/>
      <c r="G3818" s="73"/>
      <c r="I3818" s="111"/>
      <c r="J3818" s="81"/>
      <c r="K3818" s="81"/>
      <c r="L3818" s="499"/>
      <c r="M3818" s="73"/>
      <c r="N3818" s="499"/>
      <c r="O3818" s="73"/>
      <c r="P3818" s="73"/>
      <c r="Q3818" s="73"/>
      <c r="R3818" s="176"/>
      <c r="S3818" s="176"/>
      <c r="T3818" s="176"/>
      <c r="U3818" s="400"/>
      <c r="V3818" s="400"/>
      <c r="W3818" s="732"/>
      <c r="X3818" s="167"/>
      <c r="Y3818" s="509"/>
      <c r="Z3818" s="466"/>
      <c r="AA3818" s="466"/>
      <c r="AB3818" s="466"/>
      <c r="AC3818" s="466"/>
      <c r="AD3818" s="466"/>
      <c r="AE3818" s="466"/>
      <c r="AF3818" s="466"/>
      <c r="AG3818" s="466"/>
      <c r="AH3818" s="466"/>
      <c r="AI3818" s="466"/>
      <c r="AJ3818" s="466"/>
      <c r="AK3818" s="466"/>
      <c r="AL3818" s="466"/>
      <c r="AM3818" s="466"/>
      <c r="AN3818" s="466"/>
      <c r="AO3818" s="466"/>
      <c r="AP3818" s="466"/>
      <c r="AQ3818" s="466"/>
      <c r="AR3818" s="466"/>
      <c r="AS3818" s="466"/>
      <c r="AT3818" s="466"/>
      <c r="AU3818" s="466"/>
      <c r="AV3818" s="466"/>
      <c r="AW3818" s="466"/>
      <c r="AX3818" s="466"/>
      <c r="AY3818" s="466"/>
      <c r="AZ3818" s="466"/>
      <c r="BA3818" s="466"/>
      <c r="BB3818" s="466"/>
      <c r="BC3818" s="466"/>
      <c r="BD3818" s="466"/>
      <c r="BE3818" s="467"/>
      <c r="BF3818" s="467"/>
      <c r="BG3818" s="466"/>
      <c r="BH3818" s="466"/>
      <c r="BI3818" s="467"/>
      <c r="BJ3818" s="467"/>
      <c r="BK3818" s="467"/>
      <c r="BL3818" s="467"/>
      <c r="BM3818" s="467"/>
      <c r="BN3818" s="467"/>
      <c r="BO3818" s="467"/>
      <c r="BP3818" s="467"/>
      <c r="BQ3818" s="467"/>
      <c r="BR3818" s="467"/>
      <c r="BS3818" s="467"/>
      <c r="BT3818" s="467"/>
      <c r="BU3818" s="467"/>
      <c r="BV3818" s="467"/>
      <c r="BW3818" s="467"/>
      <c r="BX3818" s="769"/>
      <c r="BY3818" s="769"/>
      <c r="BZ3818" s="769"/>
      <c r="CA3818" s="769"/>
      <c r="CB3818" s="769"/>
      <c r="CC3818" s="769"/>
      <c r="CD3818" s="769"/>
      <c r="CE3818" s="769"/>
      <c r="CF3818" s="769"/>
      <c r="CG3818" s="73"/>
      <c r="CH3818" s="438"/>
      <c r="CI3818" s="416"/>
      <c r="CJ3818" s="73"/>
      <c r="CK3818" s="650"/>
      <c r="CL3818" s="499"/>
      <c r="CM3818" s="650"/>
      <c r="CR3818" s="416"/>
      <c r="CS3818" s="650"/>
      <c r="CU3818" s="73"/>
      <c r="CV3818" s="73"/>
      <c r="CW3818" s="73"/>
      <c r="CX3818" s="73"/>
      <c r="DA3818" s="650"/>
    </row>
    <row r="3819" spans="1:105" s="45" customFormat="1" x14ac:dyDescent="0.2">
      <c r="A3819" s="650"/>
      <c r="B3819" s="438"/>
      <c r="D3819" s="73"/>
      <c r="E3819" s="650"/>
      <c r="F3819" s="650"/>
      <c r="G3819" s="73"/>
      <c r="I3819" s="111"/>
      <c r="J3819" s="81"/>
      <c r="K3819" s="81"/>
      <c r="L3819" s="499"/>
      <c r="M3819" s="73"/>
      <c r="N3819" s="499"/>
      <c r="O3819" s="73"/>
      <c r="P3819" s="73"/>
      <c r="Q3819" s="73"/>
      <c r="R3819" s="176"/>
      <c r="S3819" s="176"/>
      <c r="T3819" s="176"/>
      <c r="U3819" s="400"/>
      <c r="V3819" s="400"/>
      <c r="W3819" s="732"/>
      <c r="X3819" s="167"/>
      <c r="Y3819" s="509"/>
      <c r="Z3819" s="466"/>
      <c r="AA3819" s="466"/>
      <c r="AB3819" s="466"/>
      <c r="AC3819" s="466"/>
      <c r="AD3819" s="466"/>
      <c r="AE3819" s="466"/>
      <c r="AF3819" s="466"/>
      <c r="AG3819" s="466"/>
      <c r="AH3819" s="466"/>
      <c r="AI3819" s="466"/>
      <c r="AJ3819" s="466"/>
      <c r="AK3819" s="466"/>
      <c r="AL3819" s="466"/>
      <c r="AM3819" s="466"/>
      <c r="AN3819" s="466"/>
      <c r="AO3819" s="466"/>
      <c r="AP3819" s="466"/>
      <c r="AQ3819" s="466"/>
      <c r="AR3819" s="466"/>
      <c r="AS3819" s="466"/>
      <c r="AT3819" s="466"/>
      <c r="AU3819" s="466"/>
      <c r="AV3819" s="466"/>
      <c r="AW3819" s="466"/>
      <c r="AX3819" s="466"/>
      <c r="AY3819" s="466"/>
      <c r="AZ3819" s="466"/>
      <c r="BA3819" s="466"/>
      <c r="BB3819" s="466"/>
      <c r="BC3819" s="466"/>
      <c r="BD3819" s="466"/>
      <c r="BE3819" s="467"/>
      <c r="BF3819" s="467"/>
      <c r="BG3819" s="466"/>
      <c r="BH3819" s="466"/>
      <c r="BI3819" s="467"/>
      <c r="BJ3819" s="467"/>
      <c r="BK3819" s="467"/>
      <c r="BL3819" s="467"/>
      <c r="BM3819" s="467"/>
      <c r="BN3819" s="467"/>
      <c r="BO3819" s="467"/>
      <c r="BP3819" s="467"/>
      <c r="BQ3819" s="467"/>
      <c r="BR3819" s="467"/>
      <c r="BS3819" s="467"/>
      <c r="BT3819" s="467"/>
      <c r="BU3819" s="467"/>
      <c r="BV3819" s="467"/>
      <c r="BW3819" s="467"/>
      <c r="BX3819" s="769"/>
      <c r="BY3819" s="769"/>
      <c r="BZ3819" s="769"/>
      <c r="CA3819" s="769"/>
      <c r="CB3819" s="769"/>
      <c r="CC3819" s="769"/>
      <c r="CD3819" s="769"/>
      <c r="CE3819" s="769"/>
      <c r="CF3819" s="769"/>
      <c r="CG3819" s="73"/>
      <c r="CH3819" s="438"/>
      <c r="CI3819" s="416"/>
      <c r="CJ3819" s="73"/>
      <c r="CK3819" s="650"/>
      <c r="CL3819" s="499"/>
      <c r="CM3819" s="650"/>
      <c r="CR3819" s="416"/>
      <c r="CS3819" s="650"/>
      <c r="CU3819" s="73"/>
      <c r="CV3819" s="73"/>
      <c r="CW3819" s="73"/>
      <c r="CX3819" s="73"/>
      <c r="DA3819" s="650"/>
    </row>
    <row r="3820" spans="1:105" s="45" customFormat="1" x14ac:dyDescent="0.2">
      <c r="A3820" s="650"/>
      <c r="B3820" s="438"/>
      <c r="D3820" s="73"/>
      <c r="E3820" s="650"/>
      <c r="F3820" s="650"/>
      <c r="G3820" s="73"/>
      <c r="I3820" s="111"/>
      <c r="J3820" s="81"/>
      <c r="K3820" s="81"/>
      <c r="L3820" s="499"/>
      <c r="M3820" s="73"/>
      <c r="N3820" s="499"/>
      <c r="O3820" s="73"/>
      <c r="P3820" s="73"/>
      <c r="Q3820" s="73"/>
      <c r="R3820" s="176"/>
      <c r="S3820" s="176"/>
      <c r="T3820" s="176"/>
      <c r="U3820" s="400"/>
      <c r="V3820" s="400"/>
      <c r="W3820" s="732"/>
      <c r="X3820" s="167"/>
      <c r="Y3820" s="509"/>
      <c r="Z3820" s="466"/>
      <c r="AA3820" s="466"/>
      <c r="AB3820" s="466"/>
      <c r="AC3820" s="466"/>
      <c r="AD3820" s="466"/>
      <c r="AE3820" s="466"/>
      <c r="AF3820" s="466"/>
      <c r="AG3820" s="466"/>
      <c r="AH3820" s="466"/>
      <c r="AI3820" s="466"/>
      <c r="AJ3820" s="466"/>
      <c r="AK3820" s="466"/>
      <c r="AL3820" s="466"/>
      <c r="AM3820" s="466"/>
      <c r="AN3820" s="466"/>
      <c r="AO3820" s="466"/>
      <c r="AP3820" s="466"/>
      <c r="AQ3820" s="466"/>
      <c r="AR3820" s="466"/>
      <c r="AS3820" s="466"/>
      <c r="AT3820" s="466"/>
      <c r="AU3820" s="466"/>
      <c r="AV3820" s="466"/>
      <c r="AW3820" s="466"/>
      <c r="AX3820" s="466"/>
      <c r="AY3820" s="466"/>
      <c r="AZ3820" s="466"/>
      <c r="BA3820" s="466"/>
      <c r="BB3820" s="466"/>
      <c r="BC3820" s="466"/>
      <c r="BD3820" s="466"/>
      <c r="BE3820" s="467"/>
      <c r="BF3820" s="467"/>
      <c r="BG3820" s="466"/>
      <c r="BH3820" s="466"/>
      <c r="BI3820" s="467"/>
      <c r="BJ3820" s="467"/>
      <c r="BK3820" s="467"/>
      <c r="BL3820" s="467"/>
      <c r="BM3820" s="467"/>
      <c r="BN3820" s="467"/>
      <c r="BO3820" s="467"/>
      <c r="BP3820" s="467"/>
      <c r="BQ3820" s="467"/>
      <c r="BR3820" s="467"/>
      <c r="BS3820" s="467"/>
      <c r="BT3820" s="467"/>
      <c r="BU3820" s="467"/>
      <c r="BV3820" s="467"/>
      <c r="BW3820" s="467"/>
      <c r="BX3820" s="769"/>
      <c r="BY3820" s="769"/>
      <c r="BZ3820" s="769"/>
      <c r="CA3820" s="769"/>
      <c r="CB3820" s="769"/>
      <c r="CC3820" s="769"/>
      <c r="CD3820" s="769"/>
      <c r="CE3820" s="769"/>
      <c r="CF3820" s="769"/>
      <c r="CG3820" s="73"/>
      <c r="CH3820" s="438"/>
      <c r="CI3820" s="416"/>
      <c r="CJ3820" s="73"/>
      <c r="CK3820" s="650"/>
      <c r="CL3820" s="499"/>
      <c r="CM3820" s="650"/>
      <c r="CR3820" s="416"/>
      <c r="CS3820" s="650"/>
      <c r="CU3820" s="73"/>
      <c r="CV3820" s="73"/>
      <c r="CW3820" s="73"/>
      <c r="CX3820" s="73"/>
      <c r="DA3820" s="650"/>
    </row>
    <row r="3821" spans="1:105" s="45" customFormat="1" x14ac:dyDescent="0.2">
      <c r="A3821" s="650"/>
      <c r="B3821" s="438"/>
      <c r="D3821" s="73"/>
      <c r="E3821" s="650"/>
      <c r="F3821" s="650"/>
      <c r="G3821" s="73"/>
      <c r="I3821" s="111"/>
      <c r="J3821" s="81"/>
      <c r="K3821" s="81"/>
      <c r="L3821" s="499"/>
      <c r="M3821" s="73"/>
      <c r="N3821" s="499"/>
      <c r="O3821" s="73"/>
      <c r="P3821" s="73"/>
      <c r="Q3821" s="73"/>
      <c r="R3821" s="176"/>
      <c r="S3821" s="176"/>
      <c r="T3821" s="176"/>
      <c r="U3821" s="400"/>
      <c r="V3821" s="400"/>
      <c r="W3821" s="732"/>
      <c r="X3821" s="167"/>
      <c r="Y3821" s="509"/>
      <c r="Z3821" s="466"/>
      <c r="AA3821" s="466"/>
      <c r="AB3821" s="466"/>
      <c r="AC3821" s="466"/>
      <c r="AD3821" s="466"/>
      <c r="AE3821" s="466"/>
      <c r="AF3821" s="466"/>
      <c r="AG3821" s="466"/>
      <c r="AH3821" s="466"/>
      <c r="AI3821" s="466"/>
      <c r="AJ3821" s="466"/>
      <c r="AK3821" s="466"/>
      <c r="AL3821" s="466"/>
      <c r="AM3821" s="466"/>
      <c r="AN3821" s="466"/>
      <c r="AO3821" s="466"/>
      <c r="AP3821" s="466"/>
      <c r="AQ3821" s="466"/>
      <c r="AR3821" s="466"/>
      <c r="AS3821" s="466"/>
      <c r="AT3821" s="466"/>
      <c r="AU3821" s="466"/>
      <c r="AV3821" s="466"/>
      <c r="AW3821" s="466"/>
      <c r="AX3821" s="466"/>
      <c r="AY3821" s="466"/>
      <c r="AZ3821" s="466"/>
      <c r="BA3821" s="466"/>
      <c r="BB3821" s="466"/>
      <c r="BC3821" s="466"/>
      <c r="BD3821" s="466"/>
      <c r="BE3821" s="467"/>
      <c r="BF3821" s="467"/>
      <c r="BG3821" s="466"/>
      <c r="BH3821" s="466"/>
      <c r="BI3821" s="467"/>
      <c r="BJ3821" s="467"/>
      <c r="BK3821" s="467"/>
      <c r="BL3821" s="467"/>
      <c r="BM3821" s="467"/>
      <c r="BN3821" s="467"/>
      <c r="BO3821" s="467"/>
      <c r="BP3821" s="467"/>
      <c r="BQ3821" s="467"/>
      <c r="BR3821" s="467"/>
      <c r="BS3821" s="467"/>
      <c r="BT3821" s="467"/>
      <c r="BU3821" s="467"/>
      <c r="BV3821" s="467"/>
      <c r="BW3821" s="467"/>
      <c r="BX3821" s="769"/>
      <c r="BY3821" s="769"/>
      <c r="BZ3821" s="769"/>
      <c r="CA3821" s="769"/>
      <c r="CB3821" s="769"/>
      <c r="CC3821" s="769"/>
      <c r="CD3821" s="769"/>
      <c r="CE3821" s="769"/>
      <c r="CF3821" s="769"/>
      <c r="CG3821" s="73"/>
      <c r="CH3821" s="438"/>
      <c r="CI3821" s="416"/>
      <c r="CJ3821" s="73"/>
      <c r="CK3821" s="650"/>
      <c r="CL3821" s="499"/>
      <c r="CM3821" s="650"/>
      <c r="CR3821" s="416"/>
      <c r="CS3821" s="650"/>
      <c r="CU3821" s="73"/>
      <c r="CV3821" s="73"/>
      <c r="CW3821" s="73"/>
      <c r="CX3821" s="73"/>
      <c r="DA3821" s="650"/>
    </row>
    <row r="3822" spans="1:105" s="45" customFormat="1" x14ac:dyDescent="0.2">
      <c r="A3822" s="650"/>
      <c r="B3822" s="438"/>
      <c r="D3822" s="73"/>
      <c r="E3822" s="650"/>
      <c r="F3822" s="650"/>
      <c r="G3822" s="73"/>
      <c r="I3822" s="111"/>
      <c r="J3822" s="81"/>
      <c r="K3822" s="81"/>
      <c r="L3822" s="499"/>
      <c r="M3822" s="73"/>
      <c r="N3822" s="499"/>
      <c r="O3822" s="73"/>
      <c r="P3822" s="73"/>
      <c r="Q3822" s="73"/>
      <c r="R3822" s="176"/>
      <c r="S3822" s="176"/>
      <c r="T3822" s="176"/>
      <c r="U3822" s="400"/>
      <c r="V3822" s="400"/>
      <c r="W3822" s="732"/>
      <c r="X3822" s="167"/>
      <c r="Y3822" s="509"/>
      <c r="Z3822" s="466"/>
      <c r="AA3822" s="466"/>
      <c r="AB3822" s="466"/>
      <c r="AC3822" s="466"/>
      <c r="AD3822" s="466"/>
      <c r="AE3822" s="466"/>
      <c r="AF3822" s="466"/>
      <c r="AG3822" s="466"/>
      <c r="AH3822" s="466"/>
      <c r="AI3822" s="466"/>
      <c r="AJ3822" s="466"/>
      <c r="AK3822" s="466"/>
      <c r="AL3822" s="466"/>
      <c r="AM3822" s="466"/>
      <c r="AN3822" s="466"/>
      <c r="AO3822" s="466"/>
      <c r="AP3822" s="466"/>
      <c r="AQ3822" s="466"/>
      <c r="AR3822" s="466"/>
      <c r="AS3822" s="466"/>
      <c r="AT3822" s="466"/>
      <c r="AU3822" s="466"/>
      <c r="AV3822" s="466"/>
      <c r="AW3822" s="466"/>
      <c r="AX3822" s="466"/>
      <c r="AY3822" s="466"/>
      <c r="AZ3822" s="466"/>
      <c r="BA3822" s="466"/>
      <c r="BB3822" s="466"/>
      <c r="BC3822" s="466"/>
      <c r="BD3822" s="466"/>
      <c r="BE3822" s="467"/>
      <c r="BF3822" s="467"/>
      <c r="BG3822" s="466"/>
      <c r="BH3822" s="466"/>
      <c r="BI3822" s="467"/>
      <c r="BJ3822" s="467"/>
      <c r="BK3822" s="467"/>
      <c r="BL3822" s="467"/>
      <c r="BM3822" s="467"/>
      <c r="BN3822" s="467"/>
      <c r="BO3822" s="467"/>
      <c r="BP3822" s="467"/>
      <c r="BQ3822" s="467"/>
      <c r="BR3822" s="467"/>
      <c r="BS3822" s="467"/>
      <c r="BT3822" s="467"/>
      <c r="BU3822" s="467"/>
      <c r="BV3822" s="467"/>
      <c r="BW3822" s="467"/>
      <c r="BX3822" s="769"/>
      <c r="BY3822" s="769"/>
      <c r="BZ3822" s="769"/>
      <c r="CA3822" s="769"/>
      <c r="CB3822" s="769"/>
      <c r="CC3822" s="769"/>
      <c r="CD3822" s="769"/>
      <c r="CE3822" s="769"/>
      <c r="CF3822" s="769"/>
      <c r="CG3822" s="73"/>
      <c r="CH3822" s="438"/>
      <c r="CI3822" s="416"/>
      <c r="CJ3822" s="73"/>
      <c r="CK3822" s="650"/>
      <c r="CL3822" s="499"/>
      <c r="CM3822" s="650"/>
      <c r="CR3822" s="416"/>
      <c r="CS3822" s="650"/>
      <c r="CU3822" s="73"/>
      <c r="CV3822" s="73"/>
      <c r="CW3822" s="73"/>
      <c r="CX3822" s="73"/>
      <c r="DA3822" s="650"/>
    </row>
    <row r="3823" spans="1:105" s="45" customFormat="1" x14ac:dyDescent="0.2">
      <c r="A3823" s="650"/>
      <c r="B3823" s="438"/>
      <c r="D3823" s="73"/>
      <c r="E3823" s="650"/>
      <c r="F3823" s="650"/>
      <c r="G3823" s="73"/>
      <c r="I3823" s="111"/>
      <c r="J3823" s="81"/>
      <c r="K3823" s="81"/>
      <c r="L3823" s="499"/>
      <c r="M3823" s="73"/>
      <c r="N3823" s="499"/>
      <c r="O3823" s="73"/>
      <c r="P3823" s="73"/>
      <c r="Q3823" s="73"/>
      <c r="R3823" s="176"/>
      <c r="S3823" s="176"/>
      <c r="T3823" s="176"/>
      <c r="U3823" s="400"/>
      <c r="V3823" s="400"/>
      <c r="W3823" s="732"/>
      <c r="X3823" s="167"/>
      <c r="Y3823" s="509"/>
      <c r="Z3823" s="466"/>
      <c r="AA3823" s="466"/>
      <c r="AB3823" s="466"/>
      <c r="AC3823" s="466"/>
      <c r="AD3823" s="466"/>
      <c r="AE3823" s="466"/>
      <c r="AF3823" s="466"/>
      <c r="AG3823" s="466"/>
      <c r="AH3823" s="466"/>
      <c r="AI3823" s="466"/>
      <c r="AJ3823" s="466"/>
      <c r="AK3823" s="466"/>
      <c r="AL3823" s="466"/>
      <c r="AM3823" s="466"/>
      <c r="AN3823" s="466"/>
      <c r="AO3823" s="466"/>
      <c r="AP3823" s="466"/>
      <c r="AQ3823" s="466"/>
      <c r="AR3823" s="466"/>
      <c r="AS3823" s="466"/>
      <c r="AT3823" s="466"/>
      <c r="AU3823" s="466"/>
      <c r="AV3823" s="466"/>
      <c r="AW3823" s="466"/>
      <c r="AX3823" s="466"/>
      <c r="AY3823" s="466"/>
      <c r="AZ3823" s="466"/>
      <c r="BA3823" s="466"/>
      <c r="BB3823" s="466"/>
      <c r="BC3823" s="466"/>
      <c r="BD3823" s="466"/>
      <c r="BE3823" s="467"/>
      <c r="BF3823" s="467"/>
      <c r="BG3823" s="466"/>
      <c r="BH3823" s="466"/>
      <c r="BI3823" s="467"/>
      <c r="BJ3823" s="467"/>
      <c r="BK3823" s="467"/>
      <c r="BL3823" s="467"/>
      <c r="BM3823" s="467"/>
      <c r="BN3823" s="467"/>
      <c r="BO3823" s="467"/>
      <c r="BP3823" s="467"/>
      <c r="BQ3823" s="467"/>
      <c r="BR3823" s="467"/>
      <c r="BS3823" s="467"/>
      <c r="BT3823" s="467"/>
      <c r="BU3823" s="467"/>
      <c r="BV3823" s="467"/>
      <c r="BW3823" s="467"/>
      <c r="BX3823" s="769"/>
      <c r="BY3823" s="769"/>
      <c r="BZ3823" s="769"/>
      <c r="CA3823" s="769"/>
      <c r="CB3823" s="769"/>
      <c r="CC3823" s="769"/>
      <c r="CD3823" s="769"/>
      <c r="CE3823" s="769"/>
      <c r="CF3823" s="769"/>
      <c r="CG3823" s="73"/>
      <c r="CH3823" s="438"/>
      <c r="CI3823" s="416"/>
      <c r="CJ3823" s="73"/>
      <c r="CK3823" s="650"/>
      <c r="CL3823" s="499"/>
      <c r="CM3823" s="650"/>
      <c r="CR3823" s="416"/>
      <c r="CS3823" s="650"/>
      <c r="CU3823" s="73"/>
      <c r="CV3823" s="73"/>
      <c r="CW3823" s="73"/>
      <c r="CX3823" s="73"/>
      <c r="DA3823" s="650"/>
    </row>
    <row r="3824" spans="1:105" s="45" customFormat="1" x14ac:dyDescent="0.2">
      <c r="A3824" s="650"/>
      <c r="B3824" s="438"/>
      <c r="D3824" s="73"/>
      <c r="E3824" s="650"/>
      <c r="F3824" s="650"/>
      <c r="G3824" s="73"/>
      <c r="I3824" s="111"/>
      <c r="J3824" s="81"/>
      <c r="K3824" s="81"/>
      <c r="L3824" s="499"/>
      <c r="M3824" s="73"/>
      <c r="N3824" s="499"/>
      <c r="O3824" s="73"/>
      <c r="P3824" s="73"/>
      <c r="Q3824" s="73"/>
      <c r="R3824" s="176"/>
      <c r="S3824" s="176"/>
      <c r="T3824" s="176"/>
      <c r="U3824" s="400"/>
      <c r="V3824" s="400"/>
      <c r="W3824" s="732"/>
      <c r="X3824" s="167"/>
      <c r="Y3824" s="509"/>
      <c r="Z3824" s="466"/>
      <c r="AA3824" s="466"/>
      <c r="AB3824" s="466"/>
      <c r="AC3824" s="466"/>
      <c r="AD3824" s="466"/>
      <c r="AE3824" s="466"/>
      <c r="AF3824" s="466"/>
      <c r="AG3824" s="466"/>
      <c r="AH3824" s="466"/>
      <c r="AI3824" s="466"/>
      <c r="AJ3824" s="466"/>
      <c r="AK3824" s="466"/>
      <c r="AL3824" s="466"/>
      <c r="AM3824" s="466"/>
      <c r="AN3824" s="466"/>
      <c r="AO3824" s="466"/>
      <c r="AP3824" s="466"/>
      <c r="AQ3824" s="466"/>
      <c r="AR3824" s="466"/>
      <c r="AS3824" s="466"/>
      <c r="AT3824" s="466"/>
      <c r="AU3824" s="466"/>
      <c r="AV3824" s="466"/>
      <c r="AW3824" s="466"/>
      <c r="AX3824" s="466"/>
      <c r="AY3824" s="466"/>
      <c r="AZ3824" s="466"/>
      <c r="BA3824" s="466"/>
      <c r="BB3824" s="466"/>
      <c r="BC3824" s="466"/>
      <c r="BD3824" s="466"/>
      <c r="BE3824" s="467"/>
      <c r="BF3824" s="467"/>
      <c r="BG3824" s="466"/>
      <c r="BH3824" s="466"/>
      <c r="BI3824" s="467"/>
      <c r="BJ3824" s="467"/>
      <c r="BK3824" s="467"/>
      <c r="BL3824" s="467"/>
      <c r="BM3824" s="467"/>
      <c r="BN3824" s="467"/>
      <c r="BO3824" s="467"/>
      <c r="BP3824" s="467"/>
      <c r="BQ3824" s="467"/>
      <c r="BR3824" s="467"/>
      <c r="BS3824" s="467"/>
      <c r="BT3824" s="467"/>
      <c r="BU3824" s="467"/>
      <c r="BV3824" s="467"/>
      <c r="BW3824" s="467"/>
      <c r="BX3824" s="769"/>
      <c r="BY3824" s="769"/>
      <c r="BZ3824" s="769"/>
      <c r="CA3824" s="769"/>
      <c r="CB3824" s="769"/>
      <c r="CC3824" s="769"/>
      <c r="CD3824" s="769"/>
      <c r="CE3824" s="769"/>
      <c r="CF3824" s="769"/>
      <c r="CG3824" s="73"/>
      <c r="CH3824" s="438"/>
      <c r="CI3824" s="416"/>
      <c r="CJ3824" s="73"/>
      <c r="CK3824" s="650"/>
      <c r="CL3824" s="499"/>
      <c r="CM3824" s="650"/>
      <c r="CR3824" s="416"/>
      <c r="CS3824" s="650"/>
      <c r="CU3824" s="73"/>
      <c r="CV3824" s="73"/>
      <c r="CW3824" s="73"/>
      <c r="CX3824" s="73"/>
      <c r="DA3824" s="650"/>
    </row>
    <row r="3825" spans="1:105" s="45" customFormat="1" x14ac:dyDescent="0.2">
      <c r="A3825" s="650"/>
      <c r="B3825" s="438"/>
      <c r="D3825" s="73"/>
      <c r="E3825" s="650"/>
      <c r="F3825" s="650"/>
      <c r="G3825" s="73"/>
      <c r="I3825" s="111"/>
      <c r="J3825" s="81"/>
      <c r="K3825" s="81"/>
      <c r="L3825" s="499"/>
      <c r="M3825" s="73"/>
      <c r="N3825" s="499"/>
      <c r="O3825" s="73"/>
      <c r="P3825" s="73"/>
      <c r="Q3825" s="73"/>
      <c r="R3825" s="176"/>
      <c r="S3825" s="176"/>
      <c r="T3825" s="176"/>
      <c r="U3825" s="400"/>
      <c r="V3825" s="400"/>
      <c r="W3825" s="732"/>
      <c r="X3825" s="167"/>
      <c r="Y3825" s="509"/>
      <c r="Z3825" s="466"/>
      <c r="AA3825" s="466"/>
      <c r="AB3825" s="466"/>
      <c r="AC3825" s="466"/>
      <c r="AD3825" s="466"/>
      <c r="AE3825" s="466"/>
      <c r="AF3825" s="466"/>
      <c r="AG3825" s="466"/>
      <c r="AH3825" s="466"/>
      <c r="AI3825" s="466"/>
      <c r="AJ3825" s="466"/>
      <c r="AK3825" s="466"/>
      <c r="AL3825" s="466"/>
      <c r="AM3825" s="466"/>
      <c r="AN3825" s="466"/>
      <c r="AO3825" s="466"/>
      <c r="AP3825" s="466"/>
      <c r="AQ3825" s="466"/>
      <c r="AR3825" s="466"/>
      <c r="AS3825" s="466"/>
      <c r="AT3825" s="466"/>
      <c r="AU3825" s="466"/>
      <c r="AV3825" s="466"/>
      <c r="AW3825" s="466"/>
      <c r="AX3825" s="466"/>
      <c r="AY3825" s="466"/>
      <c r="AZ3825" s="466"/>
      <c r="BA3825" s="466"/>
      <c r="BB3825" s="466"/>
      <c r="BC3825" s="466"/>
      <c r="BD3825" s="466"/>
      <c r="BE3825" s="467"/>
      <c r="BF3825" s="467"/>
      <c r="BG3825" s="466"/>
      <c r="BH3825" s="466"/>
      <c r="BI3825" s="467"/>
      <c r="BJ3825" s="467"/>
      <c r="BK3825" s="467"/>
      <c r="BL3825" s="467"/>
      <c r="BM3825" s="467"/>
      <c r="BN3825" s="467"/>
      <c r="BO3825" s="467"/>
      <c r="BP3825" s="467"/>
      <c r="BQ3825" s="467"/>
      <c r="BR3825" s="467"/>
      <c r="BS3825" s="467"/>
      <c r="BT3825" s="467"/>
      <c r="BU3825" s="467"/>
      <c r="BV3825" s="467"/>
      <c r="BW3825" s="467"/>
      <c r="BX3825" s="769"/>
      <c r="BY3825" s="769"/>
      <c r="BZ3825" s="769"/>
      <c r="CA3825" s="769"/>
      <c r="CB3825" s="769"/>
      <c r="CC3825" s="769"/>
      <c r="CD3825" s="769"/>
      <c r="CE3825" s="769"/>
      <c r="CF3825" s="769"/>
      <c r="CG3825" s="73"/>
      <c r="CH3825" s="438"/>
      <c r="CI3825" s="416"/>
      <c r="CJ3825" s="73"/>
      <c r="CK3825" s="650"/>
      <c r="CL3825" s="499"/>
      <c r="CM3825" s="650"/>
      <c r="CR3825" s="416"/>
      <c r="CS3825" s="650"/>
      <c r="CU3825" s="73"/>
      <c r="CV3825" s="73"/>
      <c r="CW3825" s="73"/>
      <c r="CX3825" s="73"/>
      <c r="DA3825" s="650"/>
    </row>
    <row r="3826" spans="1:105" s="45" customFormat="1" x14ac:dyDescent="0.2">
      <c r="A3826" s="650"/>
      <c r="B3826" s="438"/>
      <c r="D3826" s="73"/>
      <c r="E3826" s="650"/>
      <c r="F3826" s="650"/>
      <c r="G3826" s="73"/>
      <c r="I3826" s="111"/>
      <c r="J3826" s="81"/>
      <c r="K3826" s="81"/>
      <c r="L3826" s="499"/>
      <c r="M3826" s="73"/>
      <c r="N3826" s="499"/>
      <c r="O3826" s="73"/>
      <c r="P3826" s="73"/>
      <c r="Q3826" s="73"/>
      <c r="R3826" s="176"/>
      <c r="S3826" s="176"/>
      <c r="T3826" s="176"/>
      <c r="U3826" s="400"/>
      <c r="V3826" s="400"/>
      <c r="W3826" s="732"/>
      <c r="X3826" s="167"/>
      <c r="Y3826" s="509"/>
      <c r="Z3826" s="466"/>
      <c r="AA3826" s="466"/>
      <c r="AB3826" s="466"/>
      <c r="AC3826" s="466"/>
      <c r="AD3826" s="466"/>
      <c r="AE3826" s="466"/>
      <c r="AF3826" s="466"/>
      <c r="AG3826" s="466"/>
      <c r="AH3826" s="466"/>
      <c r="AI3826" s="466"/>
      <c r="AJ3826" s="466"/>
      <c r="AK3826" s="466"/>
      <c r="AL3826" s="466"/>
      <c r="AM3826" s="466"/>
      <c r="AN3826" s="466"/>
      <c r="AO3826" s="466"/>
      <c r="AP3826" s="466"/>
      <c r="AQ3826" s="466"/>
      <c r="AR3826" s="466"/>
      <c r="AS3826" s="466"/>
      <c r="AT3826" s="466"/>
      <c r="AU3826" s="466"/>
      <c r="AV3826" s="466"/>
      <c r="AW3826" s="466"/>
      <c r="AX3826" s="466"/>
      <c r="AY3826" s="466"/>
      <c r="AZ3826" s="466"/>
      <c r="BA3826" s="466"/>
      <c r="BB3826" s="466"/>
      <c r="BC3826" s="466"/>
      <c r="BD3826" s="466"/>
      <c r="BE3826" s="467"/>
      <c r="BF3826" s="467"/>
      <c r="BG3826" s="466"/>
      <c r="BH3826" s="466"/>
      <c r="BI3826" s="467"/>
      <c r="BJ3826" s="467"/>
      <c r="BK3826" s="467"/>
      <c r="BL3826" s="467"/>
      <c r="BM3826" s="467"/>
      <c r="BN3826" s="467"/>
      <c r="BO3826" s="467"/>
      <c r="BP3826" s="467"/>
      <c r="BQ3826" s="467"/>
      <c r="BR3826" s="467"/>
      <c r="BS3826" s="467"/>
      <c r="BT3826" s="467"/>
      <c r="BU3826" s="467"/>
      <c r="BV3826" s="467"/>
      <c r="BW3826" s="467"/>
      <c r="BX3826" s="769"/>
      <c r="BY3826" s="769"/>
      <c r="BZ3826" s="769"/>
      <c r="CA3826" s="769"/>
      <c r="CB3826" s="769"/>
      <c r="CC3826" s="769"/>
      <c r="CD3826" s="769"/>
      <c r="CE3826" s="769"/>
      <c r="CF3826" s="769"/>
      <c r="CG3826" s="73"/>
      <c r="CH3826" s="438"/>
      <c r="CI3826" s="416"/>
      <c r="CJ3826" s="73"/>
      <c r="CK3826" s="650"/>
      <c r="CL3826" s="499"/>
      <c r="CM3826" s="650"/>
      <c r="CR3826" s="416"/>
      <c r="CS3826" s="650"/>
      <c r="CU3826" s="73"/>
      <c r="CV3826" s="73"/>
      <c r="CW3826" s="73"/>
      <c r="CX3826" s="73"/>
      <c r="DA3826" s="650"/>
    </row>
    <row r="3827" spans="1:105" s="45" customFormat="1" x14ac:dyDescent="0.2">
      <c r="A3827" s="650"/>
      <c r="B3827" s="438"/>
      <c r="D3827" s="73"/>
      <c r="E3827" s="650"/>
      <c r="F3827" s="650"/>
      <c r="G3827" s="73"/>
      <c r="I3827" s="111"/>
      <c r="J3827" s="81"/>
      <c r="K3827" s="81"/>
      <c r="L3827" s="499"/>
      <c r="M3827" s="73"/>
      <c r="N3827" s="499"/>
      <c r="O3827" s="73"/>
      <c r="P3827" s="73"/>
      <c r="Q3827" s="73"/>
      <c r="R3827" s="176"/>
      <c r="S3827" s="176"/>
      <c r="T3827" s="176"/>
      <c r="U3827" s="400"/>
      <c r="V3827" s="400"/>
      <c r="W3827" s="732"/>
      <c r="X3827" s="167"/>
      <c r="Y3827" s="509"/>
      <c r="Z3827" s="466"/>
      <c r="AA3827" s="466"/>
      <c r="AB3827" s="466"/>
      <c r="AC3827" s="466"/>
      <c r="AD3827" s="466"/>
      <c r="AE3827" s="466"/>
      <c r="AF3827" s="466"/>
      <c r="AG3827" s="466"/>
      <c r="AH3827" s="466"/>
      <c r="AI3827" s="466"/>
      <c r="AJ3827" s="466"/>
      <c r="AK3827" s="466"/>
      <c r="AL3827" s="466"/>
      <c r="AM3827" s="466"/>
      <c r="AN3827" s="466"/>
      <c r="AO3827" s="466"/>
      <c r="AP3827" s="466"/>
      <c r="AQ3827" s="466"/>
      <c r="AR3827" s="466"/>
      <c r="AS3827" s="466"/>
      <c r="AT3827" s="466"/>
      <c r="AU3827" s="466"/>
      <c r="AV3827" s="466"/>
      <c r="AW3827" s="466"/>
      <c r="AX3827" s="466"/>
      <c r="AY3827" s="466"/>
      <c r="AZ3827" s="466"/>
      <c r="BA3827" s="466"/>
      <c r="BB3827" s="466"/>
      <c r="BC3827" s="466"/>
      <c r="BD3827" s="466"/>
      <c r="BE3827" s="467"/>
      <c r="BF3827" s="467"/>
      <c r="BG3827" s="466"/>
      <c r="BH3827" s="466"/>
      <c r="BI3827" s="467"/>
      <c r="BJ3827" s="467"/>
      <c r="BK3827" s="467"/>
      <c r="BL3827" s="467"/>
      <c r="BM3827" s="467"/>
      <c r="BN3827" s="467"/>
      <c r="BO3827" s="467"/>
      <c r="BP3827" s="467"/>
      <c r="BQ3827" s="467"/>
      <c r="BR3827" s="467"/>
      <c r="BS3827" s="467"/>
      <c r="BT3827" s="467"/>
      <c r="BU3827" s="467"/>
      <c r="BV3827" s="467"/>
      <c r="BW3827" s="467"/>
      <c r="BX3827" s="769"/>
      <c r="BY3827" s="769"/>
      <c r="BZ3827" s="769"/>
      <c r="CA3827" s="769"/>
      <c r="CB3827" s="769"/>
      <c r="CC3827" s="769"/>
      <c r="CD3827" s="769"/>
      <c r="CE3827" s="769"/>
      <c r="CF3827" s="769"/>
      <c r="CG3827" s="73"/>
      <c r="CH3827" s="438"/>
      <c r="CI3827" s="416"/>
      <c r="CJ3827" s="73"/>
      <c r="CK3827" s="650"/>
      <c r="CL3827" s="499"/>
      <c r="CM3827" s="650"/>
      <c r="CR3827" s="416"/>
      <c r="CS3827" s="650"/>
      <c r="CU3827" s="73"/>
      <c r="CV3827" s="73"/>
      <c r="CW3827" s="73"/>
      <c r="CX3827" s="73"/>
      <c r="DA3827" s="650"/>
    </row>
    <row r="3828" spans="1:105" s="45" customFormat="1" x14ac:dyDescent="0.2">
      <c r="A3828" s="650"/>
      <c r="B3828" s="438"/>
      <c r="D3828" s="73"/>
      <c r="E3828" s="650"/>
      <c r="F3828" s="650"/>
      <c r="G3828" s="73"/>
      <c r="I3828" s="111"/>
      <c r="J3828" s="81"/>
      <c r="K3828" s="81"/>
      <c r="L3828" s="499"/>
      <c r="M3828" s="73"/>
      <c r="N3828" s="499"/>
      <c r="O3828" s="73"/>
      <c r="P3828" s="73"/>
      <c r="Q3828" s="73"/>
      <c r="R3828" s="176"/>
      <c r="S3828" s="176"/>
      <c r="T3828" s="176"/>
      <c r="U3828" s="400"/>
      <c r="V3828" s="400"/>
      <c r="W3828" s="732"/>
      <c r="X3828" s="167"/>
      <c r="Y3828" s="509"/>
      <c r="Z3828" s="466"/>
      <c r="AA3828" s="466"/>
      <c r="AB3828" s="466"/>
      <c r="AC3828" s="466"/>
      <c r="AD3828" s="466"/>
      <c r="AE3828" s="466"/>
      <c r="AF3828" s="466"/>
      <c r="AG3828" s="466"/>
      <c r="AH3828" s="466"/>
      <c r="AI3828" s="466"/>
      <c r="AJ3828" s="466"/>
      <c r="AK3828" s="466"/>
      <c r="AL3828" s="466"/>
      <c r="AM3828" s="466"/>
      <c r="AN3828" s="466"/>
      <c r="AO3828" s="466"/>
      <c r="AP3828" s="466"/>
      <c r="AQ3828" s="466"/>
      <c r="AR3828" s="466"/>
      <c r="AS3828" s="466"/>
      <c r="AT3828" s="466"/>
      <c r="AU3828" s="466"/>
      <c r="AV3828" s="466"/>
      <c r="AW3828" s="466"/>
      <c r="AX3828" s="466"/>
      <c r="AY3828" s="466"/>
      <c r="AZ3828" s="466"/>
      <c r="BA3828" s="466"/>
      <c r="BB3828" s="466"/>
      <c r="BC3828" s="466"/>
      <c r="BD3828" s="466"/>
      <c r="BE3828" s="467"/>
      <c r="BF3828" s="467"/>
      <c r="BG3828" s="466"/>
      <c r="BH3828" s="466"/>
      <c r="BI3828" s="467"/>
      <c r="BJ3828" s="467"/>
      <c r="BK3828" s="467"/>
      <c r="BL3828" s="467"/>
      <c r="BM3828" s="467"/>
      <c r="BN3828" s="467"/>
      <c r="BO3828" s="467"/>
      <c r="BP3828" s="467"/>
      <c r="BQ3828" s="467"/>
      <c r="BR3828" s="467"/>
      <c r="BS3828" s="467"/>
      <c r="BT3828" s="467"/>
      <c r="BU3828" s="467"/>
      <c r="BV3828" s="467"/>
      <c r="BW3828" s="467"/>
      <c r="BX3828" s="769"/>
      <c r="BY3828" s="769"/>
      <c r="BZ3828" s="769"/>
      <c r="CA3828" s="769"/>
      <c r="CB3828" s="769"/>
      <c r="CC3828" s="769"/>
      <c r="CD3828" s="769"/>
      <c r="CE3828" s="769"/>
      <c r="CF3828" s="769"/>
      <c r="CG3828" s="73"/>
      <c r="CH3828" s="438"/>
      <c r="CI3828" s="416"/>
      <c r="CJ3828" s="73"/>
      <c r="CK3828" s="650"/>
      <c r="CL3828" s="499"/>
      <c r="CM3828" s="650"/>
      <c r="CR3828" s="416"/>
      <c r="CS3828" s="650"/>
      <c r="CU3828" s="73"/>
      <c r="CV3828" s="73"/>
      <c r="CW3828" s="73"/>
      <c r="CX3828" s="73"/>
      <c r="DA3828" s="650"/>
    </row>
    <row r="3829" spans="1:105" s="45" customFormat="1" x14ac:dyDescent="0.2">
      <c r="A3829" s="650"/>
      <c r="B3829" s="438"/>
      <c r="D3829" s="73"/>
      <c r="E3829" s="650"/>
      <c r="F3829" s="650"/>
      <c r="G3829" s="73"/>
      <c r="I3829" s="111"/>
      <c r="J3829" s="81"/>
      <c r="K3829" s="81"/>
      <c r="L3829" s="499"/>
      <c r="M3829" s="73"/>
      <c r="N3829" s="499"/>
      <c r="O3829" s="73"/>
      <c r="P3829" s="73"/>
      <c r="Q3829" s="73"/>
      <c r="R3829" s="176"/>
      <c r="S3829" s="176"/>
      <c r="T3829" s="176"/>
      <c r="U3829" s="400"/>
      <c r="V3829" s="400"/>
      <c r="W3829" s="732"/>
      <c r="X3829" s="167"/>
      <c r="Y3829" s="509"/>
      <c r="Z3829" s="466"/>
      <c r="AA3829" s="466"/>
      <c r="AB3829" s="466"/>
      <c r="AC3829" s="466"/>
      <c r="AD3829" s="466"/>
      <c r="AE3829" s="466"/>
      <c r="AF3829" s="466"/>
      <c r="AG3829" s="466"/>
      <c r="AH3829" s="466"/>
      <c r="AI3829" s="466"/>
      <c r="AJ3829" s="466"/>
      <c r="AK3829" s="466"/>
      <c r="AL3829" s="466"/>
      <c r="AM3829" s="466"/>
      <c r="AN3829" s="466"/>
      <c r="AO3829" s="466"/>
      <c r="AP3829" s="466"/>
      <c r="AQ3829" s="466"/>
      <c r="AR3829" s="466"/>
      <c r="AS3829" s="466"/>
      <c r="AT3829" s="466"/>
      <c r="AU3829" s="466"/>
      <c r="AV3829" s="466"/>
      <c r="AW3829" s="466"/>
      <c r="AX3829" s="466"/>
      <c r="AY3829" s="466"/>
      <c r="AZ3829" s="466"/>
      <c r="BA3829" s="466"/>
      <c r="BB3829" s="466"/>
      <c r="BC3829" s="466"/>
      <c r="BD3829" s="466"/>
      <c r="BE3829" s="467"/>
      <c r="BF3829" s="467"/>
      <c r="BG3829" s="466"/>
      <c r="BH3829" s="466"/>
      <c r="BI3829" s="467"/>
      <c r="BJ3829" s="467"/>
      <c r="BK3829" s="467"/>
      <c r="BL3829" s="467"/>
      <c r="BM3829" s="467"/>
      <c r="BN3829" s="467"/>
      <c r="BO3829" s="467"/>
      <c r="BP3829" s="467"/>
      <c r="BQ3829" s="467"/>
      <c r="BR3829" s="467"/>
      <c r="BS3829" s="467"/>
      <c r="BT3829" s="467"/>
      <c r="BU3829" s="467"/>
      <c r="BV3829" s="467"/>
      <c r="BW3829" s="467"/>
      <c r="BX3829" s="769"/>
      <c r="BY3829" s="769"/>
      <c r="BZ3829" s="769"/>
      <c r="CA3829" s="769"/>
      <c r="CB3829" s="769"/>
      <c r="CC3829" s="769"/>
      <c r="CD3829" s="769"/>
      <c r="CE3829" s="769"/>
      <c r="CF3829" s="769"/>
      <c r="CG3829" s="73"/>
      <c r="CH3829" s="438"/>
      <c r="CI3829" s="416"/>
      <c r="CJ3829" s="73"/>
      <c r="CK3829" s="650"/>
      <c r="CL3829" s="499"/>
      <c r="CM3829" s="650"/>
      <c r="CR3829" s="416"/>
      <c r="CS3829" s="650"/>
      <c r="CU3829" s="73"/>
      <c r="CV3829" s="73"/>
      <c r="CW3829" s="73"/>
      <c r="CX3829" s="73"/>
      <c r="DA3829" s="650"/>
    </row>
    <row r="3830" spans="1:105" s="45" customFormat="1" x14ac:dyDescent="0.2">
      <c r="A3830" s="650"/>
      <c r="B3830" s="438"/>
      <c r="D3830" s="73"/>
      <c r="E3830" s="650"/>
      <c r="F3830" s="650"/>
      <c r="G3830" s="73"/>
      <c r="I3830" s="111"/>
      <c r="J3830" s="81"/>
      <c r="K3830" s="81"/>
      <c r="L3830" s="499"/>
      <c r="M3830" s="73"/>
      <c r="N3830" s="499"/>
      <c r="O3830" s="73"/>
      <c r="P3830" s="73"/>
      <c r="Q3830" s="73"/>
      <c r="R3830" s="176"/>
      <c r="S3830" s="176"/>
      <c r="T3830" s="176"/>
      <c r="U3830" s="400"/>
      <c r="V3830" s="400"/>
      <c r="W3830" s="732"/>
      <c r="X3830" s="167"/>
      <c r="Y3830" s="509"/>
      <c r="Z3830" s="466"/>
      <c r="AA3830" s="466"/>
      <c r="AB3830" s="466"/>
      <c r="AC3830" s="466"/>
      <c r="AD3830" s="466"/>
      <c r="AE3830" s="466"/>
      <c r="AF3830" s="466"/>
      <c r="AG3830" s="466"/>
      <c r="AH3830" s="466"/>
      <c r="AI3830" s="466"/>
      <c r="AJ3830" s="466"/>
      <c r="AK3830" s="466"/>
      <c r="AL3830" s="466"/>
      <c r="AM3830" s="466"/>
      <c r="AN3830" s="466"/>
      <c r="AO3830" s="466"/>
      <c r="AP3830" s="466"/>
      <c r="AQ3830" s="466"/>
      <c r="AR3830" s="466"/>
      <c r="AS3830" s="466"/>
      <c r="AT3830" s="466"/>
      <c r="AU3830" s="466"/>
      <c r="AV3830" s="466"/>
      <c r="AW3830" s="466"/>
      <c r="AX3830" s="466"/>
      <c r="AY3830" s="466"/>
      <c r="AZ3830" s="466"/>
      <c r="BA3830" s="466"/>
      <c r="BB3830" s="466"/>
      <c r="BC3830" s="466"/>
      <c r="BD3830" s="466"/>
      <c r="BE3830" s="467"/>
      <c r="BF3830" s="467"/>
      <c r="BG3830" s="466"/>
      <c r="BH3830" s="466"/>
      <c r="BI3830" s="467"/>
      <c r="BJ3830" s="467"/>
      <c r="BK3830" s="467"/>
      <c r="BL3830" s="467"/>
      <c r="BM3830" s="467"/>
      <c r="BN3830" s="467"/>
      <c r="BO3830" s="467"/>
      <c r="BP3830" s="467"/>
      <c r="BQ3830" s="467"/>
      <c r="BR3830" s="467"/>
      <c r="BS3830" s="467"/>
      <c r="BT3830" s="467"/>
      <c r="BU3830" s="467"/>
      <c r="BV3830" s="467"/>
      <c r="BW3830" s="467"/>
      <c r="BX3830" s="769"/>
      <c r="BY3830" s="769"/>
      <c r="BZ3830" s="769"/>
      <c r="CA3830" s="769"/>
      <c r="CB3830" s="769"/>
      <c r="CC3830" s="769"/>
      <c r="CD3830" s="769"/>
      <c r="CE3830" s="769"/>
      <c r="CF3830" s="769"/>
      <c r="CG3830" s="73"/>
      <c r="CH3830" s="438"/>
      <c r="CI3830" s="416"/>
      <c r="CJ3830" s="73"/>
      <c r="CK3830" s="650"/>
      <c r="CL3830" s="499"/>
      <c r="CM3830" s="650"/>
      <c r="CR3830" s="416"/>
      <c r="CS3830" s="650"/>
      <c r="CU3830" s="73"/>
      <c r="CV3830" s="73"/>
      <c r="CW3830" s="73"/>
      <c r="CX3830" s="73"/>
      <c r="DA3830" s="650"/>
    </row>
    <row r="3831" spans="1:105" s="45" customFormat="1" x14ac:dyDescent="0.2">
      <c r="A3831" s="650"/>
      <c r="B3831" s="438"/>
      <c r="D3831" s="73"/>
      <c r="E3831" s="650"/>
      <c r="F3831" s="650"/>
      <c r="G3831" s="73"/>
      <c r="I3831" s="111"/>
      <c r="J3831" s="81"/>
      <c r="K3831" s="81"/>
      <c r="L3831" s="499"/>
      <c r="M3831" s="73"/>
      <c r="N3831" s="499"/>
      <c r="O3831" s="73"/>
      <c r="P3831" s="73"/>
      <c r="Q3831" s="73"/>
      <c r="R3831" s="176"/>
      <c r="S3831" s="176"/>
      <c r="T3831" s="176"/>
      <c r="U3831" s="400"/>
      <c r="V3831" s="400"/>
      <c r="W3831" s="732"/>
      <c r="X3831" s="167"/>
      <c r="Y3831" s="509"/>
      <c r="Z3831" s="466"/>
      <c r="AA3831" s="466"/>
      <c r="AB3831" s="466"/>
      <c r="AC3831" s="466"/>
      <c r="AD3831" s="466"/>
      <c r="AE3831" s="466"/>
      <c r="AF3831" s="466"/>
      <c r="AG3831" s="466"/>
      <c r="AH3831" s="466"/>
      <c r="AI3831" s="466"/>
      <c r="AJ3831" s="466"/>
      <c r="AK3831" s="466"/>
      <c r="AL3831" s="466"/>
      <c r="AM3831" s="466"/>
      <c r="AN3831" s="466"/>
      <c r="AO3831" s="466"/>
      <c r="AP3831" s="466"/>
      <c r="AQ3831" s="466"/>
      <c r="AR3831" s="466"/>
      <c r="AS3831" s="466"/>
      <c r="AT3831" s="466"/>
      <c r="AU3831" s="466"/>
      <c r="AV3831" s="466"/>
      <c r="AW3831" s="466"/>
      <c r="AX3831" s="466"/>
      <c r="AY3831" s="466"/>
      <c r="AZ3831" s="466"/>
      <c r="BA3831" s="466"/>
      <c r="BB3831" s="466"/>
      <c r="BC3831" s="466"/>
      <c r="BD3831" s="466"/>
      <c r="BE3831" s="467"/>
      <c r="BF3831" s="467"/>
      <c r="BG3831" s="466"/>
      <c r="BH3831" s="466"/>
      <c r="BI3831" s="467"/>
      <c r="BJ3831" s="467"/>
      <c r="BK3831" s="467"/>
      <c r="BL3831" s="467"/>
      <c r="BM3831" s="467"/>
      <c r="BN3831" s="467"/>
      <c r="BO3831" s="467"/>
      <c r="BP3831" s="467"/>
      <c r="BQ3831" s="467"/>
      <c r="BR3831" s="467"/>
      <c r="BS3831" s="467"/>
      <c r="BT3831" s="467"/>
      <c r="BU3831" s="467"/>
      <c r="BV3831" s="467"/>
      <c r="BW3831" s="467"/>
      <c r="BX3831" s="769"/>
      <c r="BY3831" s="769"/>
      <c r="BZ3831" s="769"/>
      <c r="CA3831" s="769"/>
      <c r="CB3831" s="769"/>
      <c r="CC3831" s="769"/>
      <c r="CD3831" s="769"/>
      <c r="CE3831" s="769"/>
      <c r="CF3831" s="769"/>
      <c r="CG3831" s="73"/>
      <c r="CH3831" s="438"/>
      <c r="CI3831" s="416"/>
      <c r="CJ3831" s="73"/>
      <c r="CK3831" s="650"/>
      <c r="CL3831" s="499"/>
      <c r="CM3831" s="650"/>
      <c r="CR3831" s="416"/>
      <c r="CS3831" s="650"/>
      <c r="CU3831" s="73"/>
      <c r="CV3831" s="73"/>
      <c r="CW3831" s="73"/>
      <c r="CX3831" s="73"/>
      <c r="DA3831" s="650"/>
    </row>
    <row r="3832" spans="1:105" s="45" customFormat="1" x14ac:dyDescent="0.2">
      <c r="A3832" s="650"/>
      <c r="B3832" s="438"/>
      <c r="D3832" s="73"/>
      <c r="E3832" s="650"/>
      <c r="F3832" s="650"/>
      <c r="G3832" s="73"/>
      <c r="I3832" s="111"/>
      <c r="J3832" s="81"/>
      <c r="K3832" s="81"/>
      <c r="L3832" s="499"/>
      <c r="M3832" s="73"/>
      <c r="N3832" s="499"/>
      <c r="O3832" s="73"/>
      <c r="P3832" s="73"/>
      <c r="Q3832" s="73"/>
      <c r="R3832" s="176"/>
      <c r="S3832" s="176"/>
      <c r="T3832" s="176"/>
      <c r="U3832" s="400"/>
      <c r="V3832" s="400"/>
      <c r="W3832" s="732"/>
      <c r="X3832" s="167"/>
      <c r="Y3832" s="509"/>
      <c r="Z3832" s="466"/>
      <c r="AA3832" s="466"/>
      <c r="AB3832" s="466"/>
      <c r="AC3832" s="466"/>
      <c r="AD3832" s="466"/>
      <c r="AE3832" s="466"/>
      <c r="AF3832" s="466"/>
      <c r="AG3832" s="466"/>
      <c r="AH3832" s="466"/>
      <c r="AI3832" s="466"/>
      <c r="AJ3832" s="466"/>
      <c r="AK3832" s="466"/>
      <c r="AL3832" s="466"/>
      <c r="AM3832" s="466"/>
      <c r="AN3832" s="466"/>
      <c r="AO3832" s="466"/>
      <c r="AP3832" s="466"/>
      <c r="AQ3832" s="466"/>
      <c r="AR3832" s="466"/>
      <c r="AS3832" s="466"/>
      <c r="AT3832" s="466"/>
      <c r="AU3832" s="466"/>
      <c r="AV3832" s="466"/>
      <c r="AW3832" s="466"/>
      <c r="AX3832" s="466"/>
      <c r="AY3832" s="466"/>
      <c r="AZ3832" s="466"/>
      <c r="BA3832" s="466"/>
      <c r="BB3832" s="466"/>
      <c r="BC3832" s="466"/>
      <c r="BD3832" s="466"/>
      <c r="BE3832" s="467"/>
      <c r="BF3832" s="467"/>
      <c r="BG3832" s="466"/>
      <c r="BH3832" s="466"/>
      <c r="BI3832" s="467"/>
      <c r="BJ3832" s="467"/>
      <c r="BK3832" s="467"/>
      <c r="BL3832" s="467"/>
      <c r="BM3832" s="467"/>
      <c r="BN3832" s="467"/>
      <c r="BO3832" s="467"/>
      <c r="BP3832" s="467"/>
      <c r="BQ3832" s="467"/>
      <c r="BR3832" s="467"/>
      <c r="BS3832" s="467"/>
      <c r="BT3832" s="467"/>
      <c r="BU3832" s="467"/>
      <c r="BV3832" s="467"/>
      <c r="BW3832" s="467"/>
      <c r="BX3832" s="769"/>
      <c r="BY3832" s="769"/>
      <c r="BZ3832" s="769"/>
      <c r="CA3832" s="769"/>
      <c r="CB3832" s="769"/>
      <c r="CC3832" s="769"/>
      <c r="CD3832" s="769"/>
      <c r="CE3832" s="769"/>
      <c r="CF3832" s="769"/>
      <c r="CG3832" s="73"/>
      <c r="CH3832" s="438"/>
      <c r="CI3832" s="416"/>
      <c r="CJ3832" s="73"/>
      <c r="CK3832" s="650"/>
      <c r="CL3832" s="499"/>
      <c r="CM3832" s="650"/>
      <c r="CR3832" s="416"/>
      <c r="CS3832" s="650"/>
      <c r="CU3832" s="73"/>
      <c r="CV3832" s="73"/>
      <c r="CW3832" s="73"/>
      <c r="CX3832" s="73"/>
      <c r="DA3832" s="650"/>
    </row>
    <row r="3833" spans="1:105" s="45" customFormat="1" x14ac:dyDescent="0.2">
      <c r="A3833" s="650"/>
      <c r="B3833" s="438"/>
      <c r="D3833" s="73"/>
      <c r="E3833" s="650"/>
      <c r="F3833" s="650"/>
      <c r="G3833" s="73"/>
      <c r="I3833" s="111"/>
      <c r="J3833" s="81"/>
      <c r="K3833" s="81"/>
      <c r="L3833" s="499"/>
      <c r="M3833" s="73"/>
      <c r="N3833" s="499"/>
      <c r="O3833" s="73"/>
      <c r="P3833" s="73"/>
      <c r="Q3833" s="73"/>
      <c r="R3833" s="176"/>
      <c r="S3833" s="176"/>
      <c r="T3833" s="176"/>
      <c r="U3833" s="400"/>
      <c r="V3833" s="400"/>
      <c r="W3833" s="732"/>
      <c r="X3833" s="167"/>
      <c r="Y3833" s="509"/>
      <c r="Z3833" s="466"/>
      <c r="AA3833" s="466"/>
      <c r="AB3833" s="466"/>
      <c r="AC3833" s="466"/>
      <c r="AD3833" s="466"/>
      <c r="AE3833" s="466"/>
      <c r="AF3833" s="466"/>
      <c r="AG3833" s="466"/>
      <c r="AH3833" s="466"/>
      <c r="AI3833" s="466"/>
      <c r="AJ3833" s="466"/>
      <c r="AK3833" s="466"/>
      <c r="AL3833" s="466"/>
      <c r="AM3833" s="466"/>
      <c r="AN3833" s="466"/>
      <c r="AO3833" s="466"/>
      <c r="AP3833" s="466"/>
      <c r="AQ3833" s="466"/>
      <c r="AR3833" s="466"/>
      <c r="AS3833" s="466"/>
      <c r="AT3833" s="466"/>
      <c r="AU3833" s="466"/>
      <c r="AV3833" s="466"/>
      <c r="AW3833" s="466"/>
      <c r="AX3833" s="466"/>
      <c r="AY3833" s="466"/>
      <c r="AZ3833" s="466"/>
      <c r="BA3833" s="466"/>
      <c r="BB3833" s="466"/>
      <c r="BC3833" s="466"/>
      <c r="BD3833" s="466"/>
      <c r="BE3833" s="467"/>
      <c r="BF3833" s="467"/>
      <c r="BG3833" s="466"/>
      <c r="BH3833" s="466"/>
      <c r="BI3833" s="467"/>
      <c r="BJ3833" s="467"/>
      <c r="BK3833" s="467"/>
      <c r="BL3833" s="467"/>
      <c r="BM3833" s="467"/>
      <c r="BN3833" s="467"/>
      <c r="BO3833" s="467"/>
      <c r="BP3833" s="467"/>
      <c r="BQ3833" s="467"/>
      <c r="BR3833" s="467"/>
      <c r="BS3833" s="467"/>
      <c r="BT3833" s="467"/>
      <c r="BU3833" s="467"/>
      <c r="BV3833" s="467"/>
      <c r="BW3833" s="467"/>
      <c r="BX3833" s="769"/>
      <c r="BY3833" s="769"/>
      <c r="BZ3833" s="769"/>
      <c r="CA3833" s="769"/>
      <c r="CB3833" s="769"/>
      <c r="CC3833" s="769"/>
      <c r="CD3833" s="769"/>
      <c r="CE3833" s="769"/>
      <c r="CF3833" s="769"/>
      <c r="CG3833" s="73"/>
      <c r="CH3833" s="438"/>
      <c r="CI3833" s="416"/>
      <c r="CJ3833" s="73"/>
      <c r="CK3833" s="650"/>
      <c r="CL3833" s="499"/>
      <c r="CM3833" s="650"/>
      <c r="CR3833" s="416"/>
      <c r="CS3833" s="650"/>
      <c r="CU3833" s="73"/>
      <c r="CV3833" s="73"/>
      <c r="CW3833" s="73"/>
      <c r="CX3833" s="73"/>
      <c r="DA3833" s="650"/>
    </row>
    <row r="3834" spans="1:105" s="45" customFormat="1" x14ac:dyDescent="0.2">
      <c r="A3834" s="650"/>
      <c r="B3834" s="438"/>
      <c r="D3834" s="73"/>
      <c r="E3834" s="650"/>
      <c r="F3834" s="650"/>
      <c r="G3834" s="73"/>
      <c r="I3834" s="111"/>
      <c r="J3834" s="81"/>
      <c r="K3834" s="81"/>
      <c r="L3834" s="499"/>
      <c r="M3834" s="73"/>
      <c r="N3834" s="499"/>
      <c r="O3834" s="73"/>
      <c r="P3834" s="73"/>
      <c r="Q3834" s="73"/>
      <c r="R3834" s="176"/>
      <c r="S3834" s="176"/>
      <c r="T3834" s="176"/>
      <c r="U3834" s="400"/>
      <c r="V3834" s="400"/>
      <c r="W3834" s="732"/>
      <c r="X3834" s="167"/>
      <c r="Y3834" s="509"/>
      <c r="Z3834" s="466"/>
      <c r="AA3834" s="466"/>
      <c r="AB3834" s="466"/>
      <c r="AC3834" s="466"/>
      <c r="AD3834" s="466"/>
      <c r="AE3834" s="466"/>
      <c r="AF3834" s="466"/>
      <c r="AG3834" s="466"/>
      <c r="AH3834" s="466"/>
      <c r="AI3834" s="466"/>
      <c r="AJ3834" s="466"/>
      <c r="AK3834" s="466"/>
      <c r="AL3834" s="466"/>
      <c r="AM3834" s="466"/>
      <c r="AN3834" s="466"/>
      <c r="AO3834" s="466"/>
      <c r="AP3834" s="466"/>
      <c r="AQ3834" s="466"/>
      <c r="AR3834" s="466"/>
      <c r="AS3834" s="466"/>
      <c r="AT3834" s="466"/>
      <c r="AU3834" s="466"/>
      <c r="AV3834" s="466"/>
      <c r="AW3834" s="466"/>
      <c r="AX3834" s="466"/>
      <c r="AY3834" s="466"/>
      <c r="AZ3834" s="466"/>
      <c r="BA3834" s="466"/>
      <c r="BB3834" s="466"/>
      <c r="BC3834" s="466"/>
      <c r="BD3834" s="466"/>
      <c r="BE3834" s="467"/>
      <c r="BF3834" s="467"/>
      <c r="BG3834" s="466"/>
      <c r="BH3834" s="466"/>
      <c r="BI3834" s="467"/>
      <c r="BJ3834" s="467"/>
      <c r="BK3834" s="467"/>
      <c r="BL3834" s="467"/>
      <c r="BM3834" s="467"/>
      <c r="BN3834" s="467"/>
      <c r="BO3834" s="467"/>
      <c r="BP3834" s="467"/>
      <c r="BQ3834" s="467"/>
      <c r="BR3834" s="467"/>
      <c r="BS3834" s="467"/>
      <c r="BT3834" s="467"/>
      <c r="BU3834" s="467"/>
      <c r="BV3834" s="467"/>
      <c r="BW3834" s="467"/>
      <c r="BX3834" s="769"/>
      <c r="BY3834" s="769"/>
      <c r="BZ3834" s="769"/>
      <c r="CA3834" s="769"/>
      <c r="CB3834" s="769"/>
      <c r="CC3834" s="769"/>
      <c r="CD3834" s="769"/>
      <c r="CE3834" s="769"/>
      <c r="CF3834" s="769"/>
      <c r="CG3834" s="73"/>
      <c r="CH3834" s="438"/>
      <c r="CI3834" s="416"/>
      <c r="CJ3834" s="73"/>
      <c r="CK3834" s="650"/>
      <c r="CL3834" s="499"/>
      <c r="CM3834" s="650"/>
      <c r="CR3834" s="416"/>
      <c r="CS3834" s="650"/>
      <c r="CU3834" s="73"/>
      <c r="CV3834" s="73"/>
      <c r="CW3834" s="73"/>
      <c r="CX3834" s="73"/>
      <c r="DA3834" s="650"/>
    </row>
    <row r="3835" spans="1:105" s="45" customFormat="1" x14ac:dyDescent="0.2">
      <c r="A3835" s="650"/>
      <c r="B3835" s="438"/>
      <c r="D3835" s="73"/>
      <c r="E3835" s="650"/>
      <c r="F3835" s="650"/>
      <c r="G3835" s="73"/>
      <c r="I3835" s="111"/>
      <c r="J3835" s="81"/>
      <c r="K3835" s="81"/>
      <c r="L3835" s="499"/>
      <c r="M3835" s="73"/>
      <c r="N3835" s="499"/>
      <c r="O3835" s="73"/>
      <c r="P3835" s="73"/>
      <c r="Q3835" s="73"/>
      <c r="R3835" s="176"/>
      <c r="S3835" s="176"/>
      <c r="T3835" s="176"/>
      <c r="U3835" s="400"/>
      <c r="V3835" s="400"/>
      <c r="W3835" s="732"/>
      <c r="X3835" s="167"/>
      <c r="Y3835" s="509"/>
      <c r="Z3835" s="466"/>
      <c r="AA3835" s="466"/>
      <c r="AB3835" s="466"/>
      <c r="AC3835" s="466"/>
      <c r="AD3835" s="466"/>
      <c r="AE3835" s="466"/>
      <c r="AF3835" s="466"/>
      <c r="AG3835" s="466"/>
      <c r="AH3835" s="466"/>
      <c r="AI3835" s="466"/>
      <c r="AJ3835" s="466"/>
      <c r="AK3835" s="466"/>
      <c r="AL3835" s="466"/>
      <c r="AM3835" s="466"/>
      <c r="AN3835" s="466"/>
      <c r="AO3835" s="466"/>
      <c r="AP3835" s="466"/>
      <c r="AQ3835" s="466"/>
      <c r="AR3835" s="466"/>
      <c r="AS3835" s="466"/>
      <c r="AT3835" s="466"/>
      <c r="AU3835" s="466"/>
      <c r="AV3835" s="466"/>
      <c r="AW3835" s="466"/>
      <c r="AX3835" s="466"/>
      <c r="AY3835" s="466"/>
      <c r="AZ3835" s="466"/>
      <c r="BA3835" s="466"/>
      <c r="BB3835" s="466"/>
      <c r="BC3835" s="466"/>
      <c r="BD3835" s="466"/>
      <c r="BE3835" s="467"/>
      <c r="BF3835" s="467"/>
      <c r="BG3835" s="466"/>
      <c r="BH3835" s="466"/>
      <c r="BI3835" s="467"/>
      <c r="BJ3835" s="467"/>
      <c r="BK3835" s="467"/>
      <c r="BL3835" s="467"/>
      <c r="BM3835" s="467"/>
      <c r="BN3835" s="467"/>
      <c r="BO3835" s="467"/>
      <c r="BP3835" s="467"/>
      <c r="BQ3835" s="467"/>
      <c r="BR3835" s="467"/>
      <c r="BS3835" s="467"/>
      <c r="BT3835" s="467"/>
      <c r="BU3835" s="467"/>
      <c r="BV3835" s="467"/>
      <c r="BW3835" s="467"/>
      <c r="BX3835" s="769"/>
      <c r="BY3835" s="769"/>
      <c r="BZ3835" s="769"/>
      <c r="CA3835" s="769"/>
      <c r="CB3835" s="769"/>
      <c r="CC3835" s="769"/>
      <c r="CD3835" s="769"/>
      <c r="CE3835" s="769"/>
      <c r="CF3835" s="769"/>
      <c r="CG3835" s="73"/>
      <c r="CH3835" s="438"/>
      <c r="CI3835" s="416"/>
      <c r="CJ3835" s="73"/>
      <c r="CK3835" s="650"/>
      <c r="CL3835" s="499"/>
      <c r="CM3835" s="650"/>
      <c r="CR3835" s="416"/>
      <c r="CS3835" s="650"/>
      <c r="CU3835" s="73"/>
      <c r="CV3835" s="73"/>
      <c r="CW3835" s="73"/>
      <c r="CX3835" s="73"/>
      <c r="DA3835" s="650"/>
    </row>
    <row r="3836" spans="1:105" s="45" customFormat="1" x14ac:dyDescent="0.2">
      <c r="A3836" s="650"/>
      <c r="B3836" s="438"/>
      <c r="D3836" s="73"/>
      <c r="E3836" s="650"/>
      <c r="F3836" s="650"/>
      <c r="G3836" s="73"/>
      <c r="I3836" s="111"/>
      <c r="J3836" s="81"/>
      <c r="K3836" s="81"/>
      <c r="L3836" s="499"/>
      <c r="M3836" s="73"/>
      <c r="N3836" s="499"/>
      <c r="O3836" s="73"/>
      <c r="P3836" s="73"/>
      <c r="Q3836" s="73"/>
      <c r="R3836" s="176"/>
      <c r="S3836" s="176"/>
      <c r="T3836" s="176"/>
      <c r="U3836" s="400"/>
      <c r="V3836" s="400"/>
      <c r="W3836" s="732"/>
      <c r="X3836" s="167"/>
      <c r="Y3836" s="509"/>
      <c r="Z3836" s="466"/>
      <c r="AA3836" s="466"/>
      <c r="AB3836" s="466"/>
      <c r="AC3836" s="466"/>
      <c r="AD3836" s="466"/>
      <c r="AE3836" s="466"/>
      <c r="AF3836" s="466"/>
      <c r="AG3836" s="466"/>
      <c r="AH3836" s="466"/>
      <c r="AI3836" s="466"/>
      <c r="AJ3836" s="466"/>
      <c r="AK3836" s="466"/>
      <c r="AL3836" s="466"/>
      <c r="AM3836" s="466"/>
      <c r="AN3836" s="466"/>
      <c r="AO3836" s="466"/>
      <c r="AP3836" s="466"/>
      <c r="AQ3836" s="466"/>
      <c r="AR3836" s="466"/>
      <c r="AS3836" s="466"/>
      <c r="AT3836" s="466"/>
      <c r="AU3836" s="466"/>
      <c r="AV3836" s="466"/>
      <c r="AW3836" s="466"/>
      <c r="AX3836" s="466"/>
      <c r="AY3836" s="466"/>
      <c r="AZ3836" s="466"/>
      <c r="BA3836" s="466"/>
      <c r="BB3836" s="466"/>
      <c r="BC3836" s="466"/>
      <c r="BD3836" s="466"/>
      <c r="BE3836" s="467"/>
      <c r="BF3836" s="467"/>
      <c r="BG3836" s="466"/>
      <c r="BH3836" s="466"/>
      <c r="BI3836" s="467"/>
      <c r="BJ3836" s="467"/>
      <c r="BK3836" s="467"/>
      <c r="BL3836" s="467"/>
      <c r="BM3836" s="467"/>
      <c r="BN3836" s="467"/>
      <c r="BO3836" s="467"/>
      <c r="BP3836" s="467"/>
      <c r="BQ3836" s="467"/>
      <c r="BR3836" s="467"/>
      <c r="BS3836" s="467"/>
      <c r="BT3836" s="467"/>
      <c r="BU3836" s="467"/>
      <c r="BV3836" s="467"/>
      <c r="BW3836" s="467"/>
      <c r="BX3836" s="769"/>
      <c r="BY3836" s="769"/>
      <c r="BZ3836" s="769"/>
      <c r="CA3836" s="769"/>
      <c r="CB3836" s="769"/>
      <c r="CC3836" s="769"/>
      <c r="CD3836" s="769"/>
      <c r="CE3836" s="769"/>
      <c r="CF3836" s="769"/>
      <c r="CG3836" s="73"/>
      <c r="CH3836" s="438"/>
      <c r="CI3836" s="416"/>
      <c r="CJ3836" s="73"/>
      <c r="CK3836" s="650"/>
      <c r="CL3836" s="499"/>
      <c r="CM3836" s="650"/>
      <c r="CR3836" s="416"/>
      <c r="CS3836" s="650"/>
      <c r="CU3836" s="73"/>
      <c r="CV3836" s="73"/>
      <c r="CW3836" s="73"/>
      <c r="CX3836" s="73"/>
      <c r="DA3836" s="650"/>
    </row>
    <row r="3837" spans="1:105" s="45" customFormat="1" x14ac:dyDescent="0.2">
      <c r="A3837" s="650"/>
      <c r="B3837" s="438"/>
      <c r="D3837" s="73"/>
      <c r="E3837" s="650"/>
      <c r="F3837" s="650"/>
      <c r="G3837" s="73"/>
      <c r="I3837" s="111"/>
      <c r="J3837" s="81"/>
      <c r="K3837" s="81"/>
      <c r="L3837" s="499"/>
      <c r="M3837" s="73"/>
      <c r="N3837" s="499"/>
      <c r="O3837" s="73"/>
      <c r="P3837" s="73"/>
      <c r="Q3837" s="73"/>
      <c r="R3837" s="176"/>
      <c r="S3837" s="176"/>
      <c r="T3837" s="176"/>
      <c r="U3837" s="400"/>
      <c r="V3837" s="400"/>
      <c r="W3837" s="732"/>
      <c r="X3837" s="167"/>
      <c r="Y3837" s="509"/>
      <c r="Z3837" s="466"/>
      <c r="AA3837" s="466"/>
      <c r="AB3837" s="466"/>
      <c r="AC3837" s="466"/>
      <c r="AD3837" s="466"/>
      <c r="AE3837" s="466"/>
      <c r="AF3837" s="466"/>
      <c r="AG3837" s="466"/>
      <c r="AH3837" s="466"/>
      <c r="AI3837" s="466"/>
      <c r="AJ3837" s="466"/>
      <c r="AK3837" s="466"/>
      <c r="AL3837" s="466"/>
      <c r="AM3837" s="466"/>
      <c r="AN3837" s="466"/>
      <c r="AO3837" s="466"/>
      <c r="AP3837" s="466"/>
      <c r="AQ3837" s="466"/>
      <c r="AR3837" s="466"/>
      <c r="AS3837" s="466"/>
      <c r="AT3837" s="466"/>
      <c r="AU3837" s="466"/>
      <c r="AV3837" s="466"/>
      <c r="AW3837" s="466"/>
      <c r="AX3837" s="466"/>
      <c r="AY3837" s="466"/>
      <c r="AZ3837" s="466"/>
      <c r="BA3837" s="466"/>
      <c r="BB3837" s="466"/>
      <c r="BC3837" s="466"/>
      <c r="BD3837" s="466"/>
      <c r="BE3837" s="467"/>
      <c r="BF3837" s="467"/>
      <c r="BG3837" s="466"/>
      <c r="BH3837" s="466"/>
      <c r="BI3837" s="467"/>
      <c r="BJ3837" s="467"/>
      <c r="BK3837" s="467"/>
      <c r="BL3837" s="467"/>
      <c r="BM3837" s="467"/>
      <c r="BN3837" s="467"/>
      <c r="BO3837" s="467"/>
      <c r="BP3837" s="467"/>
      <c r="BQ3837" s="467"/>
      <c r="BR3837" s="467"/>
      <c r="BS3837" s="467"/>
      <c r="BT3837" s="467"/>
      <c r="BU3837" s="467"/>
      <c r="BV3837" s="467"/>
      <c r="BW3837" s="467"/>
      <c r="BX3837" s="769"/>
      <c r="BY3837" s="769"/>
      <c r="BZ3837" s="769"/>
      <c r="CA3837" s="769"/>
      <c r="CB3837" s="769"/>
      <c r="CC3837" s="769"/>
      <c r="CD3837" s="769"/>
      <c r="CE3837" s="769"/>
      <c r="CF3837" s="769"/>
      <c r="CG3837" s="73"/>
      <c r="CH3837" s="438"/>
      <c r="CI3837" s="416"/>
      <c r="CJ3837" s="73"/>
      <c r="CK3837" s="650"/>
      <c r="CL3837" s="499"/>
      <c r="CM3837" s="650"/>
      <c r="CR3837" s="416"/>
      <c r="CS3837" s="650"/>
      <c r="CU3837" s="73"/>
      <c r="CV3837" s="73"/>
      <c r="CW3837" s="73"/>
      <c r="CX3837" s="73"/>
      <c r="DA3837" s="650"/>
    </row>
    <row r="3838" spans="1:105" s="45" customFormat="1" x14ac:dyDescent="0.2">
      <c r="A3838" s="650"/>
      <c r="B3838" s="438"/>
      <c r="D3838" s="73"/>
      <c r="E3838" s="650"/>
      <c r="F3838" s="650"/>
      <c r="G3838" s="73"/>
      <c r="I3838" s="111"/>
      <c r="J3838" s="81"/>
      <c r="K3838" s="81"/>
      <c r="L3838" s="499"/>
      <c r="M3838" s="73"/>
      <c r="N3838" s="499"/>
      <c r="O3838" s="73"/>
      <c r="P3838" s="73"/>
      <c r="Q3838" s="73"/>
      <c r="R3838" s="176"/>
      <c r="S3838" s="176"/>
      <c r="T3838" s="176"/>
      <c r="U3838" s="400"/>
      <c r="V3838" s="400"/>
      <c r="W3838" s="732"/>
      <c r="X3838" s="167"/>
      <c r="Y3838" s="509"/>
      <c r="Z3838" s="466"/>
      <c r="AA3838" s="466"/>
      <c r="AB3838" s="466"/>
      <c r="AC3838" s="466"/>
      <c r="AD3838" s="466"/>
      <c r="AE3838" s="466"/>
      <c r="AF3838" s="466"/>
      <c r="AG3838" s="466"/>
      <c r="AH3838" s="466"/>
      <c r="AI3838" s="466"/>
      <c r="AJ3838" s="466"/>
      <c r="AK3838" s="466"/>
      <c r="AL3838" s="466"/>
      <c r="AM3838" s="466"/>
      <c r="AN3838" s="466"/>
      <c r="AO3838" s="466"/>
      <c r="AP3838" s="466"/>
      <c r="AQ3838" s="466"/>
      <c r="AR3838" s="466"/>
      <c r="AS3838" s="466"/>
      <c r="AT3838" s="466"/>
      <c r="AU3838" s="466"/>
      <c r="AV3838" s="466"/>
      <c r="AW3838" s="466"/>
      <c r="AX3838" s="466"/>
      <c r="AY3838" s="466"/>
      <c r="AZ3838" s="466"/>
      <c r="BA3838" s="466"/>
      <c r="BB3838" s="466"/>
      <c r="BC3838" s="466"/>
      <c r="BD3838" s="466"/>
      <c r="BE3838" s="467"/>
      <c r="BF3838" s="467"/>
      <c r="BG3838" s="466"/>
      <c r="BH3838" s="466"/>
      <c r="BI3838" s="467"/>
      <c r="BJ3838" s="467"/>
      <c r="BK3838" s="467"/>
      <c r="BL3838" s="467"/>
      <c r="BM3838" s="467"/>
      <c r="BN3838" s="467"/>
      <c r="BO3838" s="467"/>
      <c r="BP3838" s="467"/>
      <c r="BQ3838" s="467"/>
      <c r="BR3838" s="467"/>
      <c r="BS3838" s="467"/>
      <c r="BT3838" s="467"/>
      <c r="BU3838" s="467"/>
      <c r="BV3838" s="467"/>
      <c r="BW3838" s="467"/>
      <c r="BX3838" s="769"/>
      <c r="BY3838" s="769"/>
      <c r="BZ3838" s="769"/>
      <c r="CA3838" s="769"/>
      <c r="CB3838" s="769"/>
      <c r="CC3838" s="769"/>
      <c r="CD3838" s="769"/>
      <c r="CE3838" s="769"/>
      <c r="CF3838" s="769"/>
      <c r="CG3838" s="73"/>
      <c r="CH3838" s="438"/>
      <c r="CI3838" s="416"/>
      <c r="CJ3838" s="73"/>
      <c r="CK3838" s="650"/>
      <c r="CL3838" s="499"/>
      <c r="CM3838" s="650"/>
      <c r="CR3838" s="416"/>
      <c r="CS3838" s="650"/>
      <c r="CU3838" s="73"/>
      <c r="CV3838" s="73"/>
      <c r="CW3838" s="73"/>
      <c r="CX3838" s="73"/>
      <c r="DA3838" s="650"/>
    </row>
    <row r="3839" spans="1:105" s="45" customFormat="1" x14ac:dyDescent="0.2">
      <c r="A3839" s="650"/>
      <c r="B3839" s="438"/>
      <c r="D3839" s="73"/>
      <c r="E3839" s="650"/>
      <c r="F3839" s="650"/>
      <c r="G3839" s="73"/>
      <c r="I3839" s="111"/>
      <c r="J3839" s="81"/>
      <c r="K3839" s="81"/>
      <c r="L3839" s="499"/>
      <c r="M3839" s="73"/>
      <c r="N3839" s="499"/>
      <c r="O3839" s="73"/>
      <c r="P3839" s="73"/>
      <c r="Q3839" s="73"/>
      <c r="R3839" s="176"/>
      <c r="S3839" s="176"/>
      <c r="T3839" s="176"/>
      <c r="U3839" s="400"/>
      <c r="V3839" s="400"/>
      <c r="W3839" s="732"/>
      <c r="X3839" s="167"/>
      <c r="Y3839" s="509"/>
      <c r="Z3839" s="466"/>
      <c r="AA3839" s="466"/>
      <c r="AB3839" s="466"/>
      <c r="AC3839" s="466"/>
      <c r="AD3839" s="466"/>
      <c r="AE3839" s="466"/>
      <c r="AF3839" s="466"/>
      <c r="AG3839" s="466"/>
      <c r="AH3839" s="466"/>
      <c r="AI3839" s="466"/>
      <c r="AJ3839" s="466"/>
      <c r="AK3839" s="466"/>
      <c r="AL3839" s="466"/>
      <c r="AM3839" s="466"/>
      <c r="AN3839" s="466"/>
      <c r="AO3839" s="466"/>
      <c r="AP3839" s="466"/>
      <c r="AQ3839" s="466"/>
      <c r="AR3839" s="466"/>
      <c r="AS3839" s="466"/>
      <c r="AT3839" s="466"/>
      <c r="AU3839" s="466"/>
      <c r="AV3839" s="466"/>
      <c r="AW3839" s="466"/>
      <c r="AX3839" s="466"/>
      <c r="AY3839" s="466"/>
      <c r="AZ3839" s="466"/>
      <c r="BA3839" s="466"/>
      <c r="BB3839" s="466"/>
      <c r="BC3839" s="466"/>
      <c r="BD3839" s="466"/>
      <c r="BE3839" s="467"/>
      <c r="BF3839" s="467"/>
      <c r="BG3839" s="466"/>
      <c r="BH3839" s="466"/>
      <c r="BI3839" s="467"/>
      <c r="BJ3839" s="467"/>
      <c r="BK3839" s="467"/>
      <c r="BL3839" s="467"/>
      <c r="BM3839" s="467"/>
      <c r="BN3839" s="467"/>
      <c r="BO3839" s="467"/>
      <c r="BP3839" s="467"/>
      <c r="BQ3839" s="467"/>
      <c r="BR3839" s="467"/>
      <c r="BS3839" s="467"/>
      <c r="BT3839" s="467"/>
      <c r="BU3839" s="467"/>
      <c r="BV3839" s="467"/>
      <c r="BW3839" s="467"/>
      <c r="BX3839" s="769"/>
      <c r="BY3839" s="769"/>
      <c r="BZ3839" s="769"/>
      <c r="CA3839" s="769"/>
      <c r="CB3839" s="769"/>
      <c r="CC3839" s="769"/>
      <c r="CD3839" s="769"/>
      <c r="CE3839" s="769"/>
      <c r="CF3839" s="769"/>
      <c r="CG3839" s="73"/>
      <c r="CH3839" s="438"/>
      <c r="CI3839" s="416"/>
      <c r="CJ3839" s="73"/>
      <c r="CK3839" s="650"/>
      <c r="CL3839" s="499"/>
      <c r="CM3839" s="650"/>
      <c r="CR3839" s="416"/>
      <c r="CS3839" s="650"/>
      <c r="CU3839" s="73"/>
      <c r="CV3839" s="73"/>
      <c r="CW3839" s="73"/>
      <c r="CX3839" s="73"/>
      <c r="DA3839" s="650"/>
    </row>
    <row r="3840" spans="1:105" s="45" customFormat="1" x14ac:dyDescent="0.2">
      <c r="A3840" s="650"/>
      <c r="B3840" s="438"/>
      <c r="D3840" s="73"/>
      <c r="E3840" s="650"/>
      <c r="F3840" s="650"/>
      <c r="G3840" s="73"/>
      <c r="I3840" s="111"/>
      <c r="J3840" s="81"/>
      <c r="K3840" s="81"/>
      <c r="L3840" s="499"/>
      <c r="M3840" s="73"/>
      <c r="N3840" s="499"/>
      <c r="O3840" s="73"/>
      <c r="P3840" s="73"/>
      <c r="Q3840" s="73"/>
      <c r="R3840" s="176"/>
      <c r="S3840" s="176"/>
      <c r="T3840" s="176"/>
      <c r="U3840" s="400"/>
      <c r="V3840" s="400"/>
      <c r="W3840" s="732"/>
      <c r="X3840" s="167"/>
      <c r="Y3840" s="509"/>
      <c r="Z3840" s="466"/>
      <c r="AA3840" s="466"/>
      <c r="AB3840" s="466"/>
      <c r="AC3840" s="466"/>
      <c r="AD3840" s="466"/>
      <c r="AE3840" s="466"/>
      <c r="AF3840" s="466"/>
      <c r="AG3840" s="466"/>
      <c r="AH3840" s="466"/>
      <c r="AI3840" s="466"/>
      <c r="AJ3840" s="466"/>
      <c r="AK3840" s="466"/>
      <c r="AL3840" s="466"/>
      <c r="AM3840" s="466"/>
      <c r="AN3840" s="466"/>
      <c r="AO3840" s="466"/>
      <c r="AP3840" s="466"/>
      <c r="AQ3840" s="466"/>
      <c r="AR3840" s="466"/>
      <c r="AS3840" s="466"/>
      <c r="AT3840" s="466"/>
      <c r="AU3840" s="466"/>
      <c r="AV3840" s="466"/>
      <c r="AW3840" s="466"/>
      <c r="AX3840" s="466"/>
      <c r="AY3840" s="466"/>
      <c r="AZ3840" s="466"/>
      <c r="BA3840" s="466"/>
      <c r="BB3840" s="466"/>
      <c r="BC3840" s="466"/>
      <c r="BD3840" s="466"/>
      <c r="BE3840" s="467"/>
      <c r="BF3840" s="467"/>
      <c r="BG3840" s="466"/>
      <c r="BH3840" s="466"/>
      <c r="BI3840" s="467"/>
      <c r="BJ3840" s="467"/>
      <c r="BK3840" s="467"/>
      <c r="BL3840" s="467"/>
      <c r="BM3840" s="467"/>
      <c r="BN3840" s="467"/>
      <c r="BO3840" s="467"/>
      <c r="BP3840" s="467"/>
      <c r="BQ3840" s="467"/>
      <c r="BR3840" s="467"/>
      <c r="BS3840" s="467"/>
      <c r="BT3840" s="467"/>
      <c r="BU3840" s="467"/>
      <c r="BV3840" s="467"/>
      <c r="BW3840" s="467"/>
      <c r="BX3840" s="769"/>
      <c r="BY3840" s="769"/>
      <c r="BZ3840" s="769"/>
      <c r="CA3840" s="769"/>
      <c r="CB3840" s="769"/>
      <c r="CC3840" s="769"/>
      <c r="CD3840" s="769"/>
      <c r="CE3840" s="769"/>
      <c r="CF3840" s="769"/>
      <c r="CG3840" s="73"/>
      <c r="CH3840" s="438"/>
      <c r="CI3840" s="416"/>
      <c r="CJ3840" s="73"/>
      <c r="CK3840" s="650"/>
      <c r="CL3840" s="499"/>
      <c r="CM3840" s="650"/>
      <c r="CR3840" s="416"/>
      <c r="CS3840" s="650"/>
      <c r="CU3840" s="73"/>
      <c r="CV3840" s="73"/>
      <c r="CW3840" s="73"/>
      <c r="CX3840" s="73"/>
      <c r="DA3840" s="650"/>
    </row>
    <row r="3841" spans="1:105" s="45" customFormat="1" x14ac:dyDescent="0.2">
      <c r="A3841" s="650"/>
      <c r="B3841" s="438"/>
      <c r="D3841" s="73"/>
      <c r="E3841" s="650"/>
      <c r="F3841" s="650"/>
      <c r="G3841" s="73"/>
      <c r="I3841" s="111"/>
      <c r="J3841" s="81"/>
      <c r="K3841" s="81"/>
      <c r="L3841" s="499"/>
      <c r="M3841" s="73"/>
      <c r="N3841" s="499"/>
      <c r="O3841" s="73"/>
      <c r="P3841" s="73"/>
      <c r="Q3841" s="73"/>
      <c r="R3841" s="176"/>
      <c r="S3841" s="176"/>
      <c r="T3841" s="176"/>
      <c r="U3841" s="400"/>
      <c r="V3841" s="400"/>
      <c r="W3841" s="732"/>
      <c r="X3841" s="167"/>
      <c r="Y3841" s="509"/>
      <c r="Z3841" s="466"/>
      <c r="AA3841" s="466"/>
      <c r="AB3841" s="466"/>
      <c r="AC3841" s="466"/>
      <c r="AD3841" s="466"/>
      <c r="AE3841" s="466"/>
      <c r="AF3841" s="466"/>
      <c r="AG3841" s="466"/>
      <c r="AH3841" s="466"/>
      <c r="AI3841" s="466"/>
      <c r="AJ3841" s="466"/>
      <c r="AK3841" s="466"/>
      <c r="AL3841" s="466"/>
      <c r="AM3841" s="466"/>
      <c r="AN3841" s="466"/>
      <c r="AO3841" s="466"/>
      <c r="AP3841" s="466"/>
      <c r="AQ3841" s="466"/>
      <c r="AR3841" s="466"/>
      <c r="AS3841" s="466"/>
      <c r="AT3841" s="466"/>
      <c r="AU3841" s="466"/>
      <c r="AV3841" s="466"/>
      <c r="AW3841" s="466"/>
      <c r="AX3841" s="466"/>
      <c r="AY3841" s="466"/>
      <c r="AZ3841" s="466"/>
      <c r="BA3841" s="466"/>
      <c r="BB3841" s="466"/>
      <c r="BC3841" s="466"/>
      <c r="BD3841" s="466"/>
      <c r="BE3841" s="467"/>
      <c r="BF3841" s="467"/>
      <c r="BG3841" s="466"/>
      <c r="BH3841" s="466"/>
      <c r="BI3841" s="467"/>
      <c r="BJ3841" s="467"/>
      <c r="BK3841" s="467"/>
      <c r="BL3841" s="467"/>
      <c r="BM3841" s="467"/>
      <c r="BN3841" s="467"/>
      <c r="BO3841" s="467"/>
      <c r="BP3841" s="467"/>
      <c r="BQ3841" s="467"/>
      <c r="BR3841" s="467"/>
      <c r="BS3841" s="467"/>
      <c r="BT3841" s="467"/>
      <c r="BU3841" s="467"/>
      <c r="BV3841" s="467"/>
      <c r="BW3841" s="467"/>
      <c r="BX3841" s="769"/>
      <c r="BY3841" s="769"/>
      <c r="BZ3841" s="769"/>
      <c r="CA3841" s="769"/>
      <c r="CB3841" s="769"/>
      <c r="CC3841" s="769"/>
      <c r="CD3841" s="769"/>
      <c r="CE3841" s="769"/>
      <c r="CF3841" s="769"/>
      <c r="CG3841" s="73"/>
      <c r="CH3841" s="438"/>
      <c r="CI3841" s="416"/>
      <c r="CJ3841" s="73"/>
      <c r="CK3841" s="650"/>
      <c r="CL3841" s="499"/>
      <c r="CM3841" s="650"/>
      <c r="CR3841" s="416"/>
      <c r="CS3841" s="650"/>
      <c r="CU3841" s="73"/>
      <c r="CV3841" s="73"/>
      <c r="CW3841" s="73"/>
      <c r="CX3841" s="73"/>
      <c r="DA3841" s="650"/>
    </row>
    <row r="3842" spans="1:105" s="45" customFormat="1" x14ac:dyDescent="0.2">
      <c r="A3842" s="650"/>
      <c r="B3842" s="438"/>
      <c r="D3842" s="73"/>
      <c r="E3842" s="650"/>
      <c r="F3842" s="650"/>
      <c r="G3842" s="73"/>
      <c r="I3842" s="111"/>
      <c r="J3842" s="81"/>
      <c r="K3842" s="81"/>
      <c r="L3842" s="499"/>
      <c r="M3842" s="73"/>
      <c r="N3842" s="499"/>
      <c r="O3842" s="73"/>
      <c r="P3842" s="73"/>
      <c r="Q3842" s="73"/>
      <c r="R3842" s="176"/>
      <c r="S3842" s="176"/>
      <c r="T3842" s="176"/>
      <c r="U3842" s="400"/>
      <c r="V3842" s="400"/>
      <c r="W3842" s="732"/>
      <c r="X3842" s="167"/>
      <c r="Y3842" s="509"/>
      <c r="Z3842" s="466"/>
      <c r="AA3842" s="466"/>
      <c r="AB3842" s="466"/>
      <c r="AC3842" s="466"/>
      <c r="AD3842" s="466"/>
      <c r="AE3842" s="466"/>
      <c r="AF3842" s="466"/>
      <c r="AG3842" s="466"/>
      <c r="AH3842" s="466"/>
      <c r="AI3842" s="466"/>
      <c r="AJ3842" s="466"/>
      <c r="AK3842" s="466"/>
      <c r="AL3842" s="466"/>
      <c r="AM3842" s="466"/>
      <c r="AN3842" s="466"/>
      <c r="AO3842" s="466"/>
      <c r="AP3842" s="466"/>
      <c r="AQ3842" s="466"/>
      <c r="AR3842" s="466"/>
      <c r="AS3842" s="466"/>
      <c r="AT3842" s="466"/>
      <c r="AU3842" s="466"/>
      <c r="AV3842" s="466"/>
      <c r="AW3842" s="466"/>
      <c r="AX3842" s="466"/>
      <c r="AY3842" s="466"/>
      <c r="AZ3842" s="466"/>
      <c r="BA3842" s="466"/>
      <c r="BB3842" s="466"/>
      <c r="BC3842" s="466"/>
      <c r="BD3842" s="466"/>
      <c r="BE3842" s="467"/>
      <c r="BF3842" s="467"/>
      <c r="BG3842" s="466"/>
      <c r="BH3842" s="466"/>
      <c r="BI3842" s="467"/>
      <c r="BJ3842" s="467"/>
      <c r="BK3842" s="467"/>
      <c r="BL3842" s="467"/>
      <c r="BM3842" s="467"/>
      <c r="BN3842" s="467"/>
      <c r="BO3842" s="467"/>
      <c r="BP3842" s="467"/>
      <c r="BQ3842" s="467"/>
      <c r="BR3842" s="467"/>
      <c r="BS3842" s="467"/>
      <c r="BT3842" s="467"/>
      <c r="BU3842" s="467"/>
      <c r="BV3842" s="467"/>
      <c r="BW3842" s="467"/>
      <c r="BX3842" s="769"/>
      <c r="BY3842" s="769"/>
      <c r="BZ3842" s="769"/>
      <c r="CA3842" s="769"/>
      <c r="CB3842" s="769"/>
      <c r="CC3842" s="769"/>
      <c r="CD3842" s="769"/>
      <c r="CE3842" s="769"/>
      <c r="CF3842" s="769"/>
      <c r="CG3842" s="73"/>
      <c r="CH3842" s="438"/>
      <c r="CI3842" s="416"/>
      <c r="CJ3842" s="73"/>
      <c r="CK3842" s="650"/>
      <c r="CL3842" s="499"/>
      <c r="CM3842" s="650"/>
      <c r="CR3842" s="416"/>
      <c r="CS3842" s="650"/>
      <c r="CU3842" s="73"/>
      <c r="CV3842" s="73"/>
      <c r="CW3842" s="73"/>
      <c r="CX3842" s="73"/>
      <c r="DA3842" s="650"/>
    </row>
    <row r="3843" spans="1:105" s="45" customFormat="1" x14ac:dyDescent="0.2">
      <c r="A3843" s="650"/>
      <c r="B3843" s="438"/>
      <c r="D3843" s="73"/>
      <c r="E3843" s="650"/>
      <c r="F3843" s="650"/>
      <c r="G3843" s="73"/>
      <c r="I3843" s="111"/>
      <c r="J3843" s="81"/>
      <c r="K3843" s="81"/>
      <c r="L3843" s="499"/>
      <c r="M3843" s="73"/>
      <c r="N3843" s="499"/>
      <c r="O3843" s="73"/>
      <c r="P3843" s="73"/>
      <c r="Q3843" s="73"/>
      <c r="R3843" s="176"/>
      <c r="S3843" s="176"/>
      <c r="T3843" s="176"/>
      <c r="U3843" s="400"/>
      <c r="V3843" s="400"/>
      <c r="W3843" s="732"/>
      <c r="X3843" s="167"/>
      <c r="Y3843" s="509"/>
      <c r="Z3843" s="466"/>
      <c r="AA3843" s="466"/>
      <c r="AB3843" s="466"/>
      <c r="AC3843" s="466"/>
      <c r="AD3843" s="466"/>
      <c r="AE3843" s="466"/>
      <c r="AF3843" s="466"/>
      <c r="AG3843" s="466"/>
      <c r="AH3843" s="466"/>
      <c r="AI3843" s="466"/>
      <c r="AJ3843" s="466"/>
      <c r="AK3843" s="466"/>
      <c r="AL3843" s="466"/>
      <c r="AM3843" s="466"/>
      <c r="AN3843" s="466"/>
      <c r="AO3843" s="466"/>
      <c r="AP3843" s="466"/>
      <c r="AQ3843" s="466"/>
      <c r="AR3843" s="466"/>
      <c r="AS3843" s="466"/>
      <c r="AT3843" s="466"/>
      <c r="AU3843" s="466"/>
      <c r="AV3843" s="466"/>
      <c r="AW3843" s="466"/>
      <c r="AX3843" s="466"/>
      <c r="AY3843" s="466"/>
      <c r="AZ3843" s="466"/>
      <c r="BA3843" s="466"/>
      <c r="BB3843" s="466"/>
      <c r="BC3843" s="466"/>
      <c r="BD3843" s="466"/>
      <c r="BE3843" s="467"/>
      <c r="BF3843" s="467"/>
      <c r="BG3843" s="466"/>
      <c r="BH3843" s="466"/>
      <c r="BI3843" s="467"/>
      <c r="BJ3843" s="467"/>
      <c r="BK3843" s="467"/>
      <c r="BL3843" s="467"/>
      <c r="BM3843" s="467"/>
      <c r="BN3843" s="467"/>
      <c r="BO3843" s="467"/>
      <c r="BP3843" s="467"/>
      <c r="BQ3843" s="467"/>
      <c r="BR3843" s="467"/>
      <c r="BS3843" s="467"/>
      <c r="BT3843" s="467"/>
      <c r="BU3843" s="467"/>
      <c r="BV3843" s="467"/>
      <c r="BW3843" s="467"/>
      <c r="BX3843" s="769"/>
      <c r="BY3843" s="769"/>
      <c r="BZ3843" s="769"/>
      <c r="CA3843" s="769"/>
      <c r="CB3843" s="769"/>
      <c r="CC3843" s="769"/>
      <c r="CD3843" s="769"/>
      <c r="CE3843" s="769"/>
      <c r="CF3843" s="769"/>
      <c r="CG3843" s="73"/>
      <c r="CH3843" s="438"/>
      <c r="CI3843" s="416"/>
      <c r="CJ3843" s="73"/>
      <c r="CK3843" s="650"/>
      <c r="CL3843" s="499"/>
      <c r="CM3843" s="650"/>
      <c r="CR3843" s="416"/>
      <c r="CS3843" s="650"/>
      <c r="CU3843" s="73"/>
      <c r="CV3843" s="73"/>
      <c r="CW3843" s="73"/>
      <c r="CX3843" s="73"/>
      <c r="DA3843" s="650"/>
    </row>
    <row r="3844" spans="1:105" s="45" customFormat="1" x14ac:dyDescent="0.2">
      <c r="A3844" s="650"/>
      <c r="B3844" s="438"/>
      <c r="D3844" s="73"/>
      <c r="E3844" s="650"/>
      <c r="F3844" s="650"/>
      <c r="G3844" s="73"/>
      <c r="I3844" s="111"/>
      <c r="J3844" s="81"/>
      <c r="K3844" s="81"/>
      <c r="L3844" s="499"/>
      <c r="M3844" s="73"/>
      <c r="N3844" s="499"/>
      <c r="O3844" s="73"/>
      <c r="P3844" s="73"/>
      <c r="Q3844" s="73"/>
      <c r="R3844" s="176"/>
      <c r="S3844" s="176"/>
      <c r="T3844" s="176"/>
      <c r="U3844" s="400"/>
      <c r="V3844" s="400"/>
      <c r="W3844" s="732"/>
      <c r="X3844" s="167"/>
      <c r="Y3844" s="509"/>
      <c r="Z3844" s="466"/>
      <c r="AA3844" s="466"/>
      <c r="AB3844" s="466"/>
      <c r="AC3844" s="466"/>
      <c r="AD3844" s="466"/>
      <c r="AE3844" s="466"/>
      <c r="AF3844" s="466"/>
      <c r="AG3844" s="466"/>
      <c r="AH3844" s="466"/>
      <c r="AI3844" s="466"/>
      <c r="AJ3844" s="466"/>
      <c r="AK3844" s="466"/>
      <c r="AL3844" s="466"/>
      <c r="AM3844" s="466"/>
      <c r="AN3844" s="466"/>
      <c r="AO3844" s="466"/>
      <c r="AP3844" s="466"/>
      <c r="AQ3844" s="466"/>
      <c r="AR3844" s="466"/>
      <c r="AS3844" s="466"/>
      <c r="AT3844" s="466"/>
      <c r="AU3844" s="466"/>
      <c r="AV3844" s="466"/>
      <c r="AW3844" s="466"/>
      <c r="AX3844" s="466"/>
      <c r="AY3844" s="466"/>
      <c r="AZ3844" s="466"/>
      <c r="BA3844" s="466"/>
      <c r="BB3844" s="466"/>
      <c r="BC3844" s="466"/>
      <c r="BD3844" s="466"/>
      <c r="BE3844" s="467"/>
      <c r="BF3844" s="467"/>
      <c r="BG3844" s="466"/>
      <c r="BH3844" s="466"/>
      <c r="BI3844" s="467"/>
      <c r="BJ3844" s="467"/>
      <c r="BK3844" s="467"/>
      <c r="BL3844" s="467"/>
      <c r="BM3844" s="467"/>
      <c r="BN3844" s="467"/>
      <c r="BO3844" s="467"/>
      <c r="BP3844" s="467"/>
      <c r="BQ3844" s="467"/>
      <c r="BR3844" s="467"/>
      <c r="BS3844" s="467"/>
      <c r="BT3844" s="467"/>
      <c r="BU3844" s="467"/>
      <c r="BV3844" s="467"/>
      <c r="BW3844" s="467"/>
      <c r="BX3844" s="769"/>
      <c r="BY3844" s="769"/>
      <c r="BZ3844" s="769"/>
      <c r="CA3844" s="769"/>
      <c r="CB3844" s="769"/>
      <c r="CC3844" s="769"/>
      <c r="CD3844" s="769"/>
      <c r="CE3844" s="769"/>
      <c r="CF3844" s="769"/>
      <c r="CG3844" s="73"/>
      <c r="CH3844" s="438"/>
      <c r="CI3844" s="416"/>
      <c r="CJ3844" s="73"/>
      <c r="CK3844" s="650"/>
      <c r="CL3844" s="499"/>
      <c r="CM3844" s="650"/>
      <c r="CR3844" s="416"/>
      <c r="CS3844" s="650"/>
      <c r="CU3844" s="73"/>
      <c r="CV3844" s="73"/>
      <c r="CW3844" s="73"/>
      <c r="CX3844" s="73"/>
      <c r="DA3844" s="650"/>
    </row>
    <row r="3845" spans="1:105" s="45" customFormat="1" x14ac:dyDescent="0.2">
      <c r="A3845" s="650"/>
      <c r="B3845" s="438"/>
      <c r="D3845" s="73"/>
      <c r="E3845" s="650"/>
      <c r="F3845" s="650"/>
      <c r="G3845" s="73"/>
      <c r="I3845" s="111"/>
      <c r="J3845" s="81"/>
      <c r="K3845" s="81"/>
      <c r="L3845" s="499"/>
      <c r="M3845" s="73"/>
      <c r="N3845" s="499"/>
      <c r="O3845" s="73"/>
      <c r="P3845" s="73"/>
      <c r="Q3845" s="73"/>
      <c r="R3845" s="176"/>
      <c r="S3845" s="176"/>
      <c r="T3845" s="176"/>
      <c r="U3845" s="400"/>
      <c r="V3845" s="400"/>
      <c r="W3845" s="732"/>
      <c r="X3845" s="167"/>
      <c r="Y3845" s="509"/>
      <c r="Z3845" s="466"/>
      <c r="AA3845" s="466"/>
      <c r="AB3845" s="466"/>
      <c r="AC3845" s="466"/>
      <c r="AD3845" s="466"/>
      <c r="AE3845" s="466"/>
      <c r="AF3845" s="466"/>
      <c r="AG3845" s="466"/>
      <c r="AH3845" s="466"/>
      <c r="AI3845" s="466"/>
      <c r="AJ3845" s="466"/>
      <c r="AK3845" s="466"/>
      <c r="AL3845" s="466"/>
      <c r="AM3845" s="466"/>
      <c r="AN3845" s="466"/>
      <c r="AO3845" s="466"/>
      <c r="AP3845" s="466"/>
      <c r="AQ3845" s="466"/>
      <c r="AR3845" s="466"/>
      <c r="AS3845" s="466"/>
      <c r="AT3845" s="466"/>
      <c r="AU3845" s="466"/>
      <c r="AV3845" s="466"/>
      <c r="AW3845" s="466"/>
      <c r="AX3845" s="466"/>
      <c r="AY3845" s="466"/>
      <c r="AZ3845" s="466"/>
      <c r="BA3845" s="466"/>
      <c r="BB3845" s="466"/>
      <c r="BC3845" s="466"/>
      <c r="BD3845" s="466"/>
      <c r="BE3845" s="467"/>
      <c r="BF3845" s="467"/>
      <c r="BG3845" s="466"/>
      <c r="BH3845" s="466"/>
      <c r="BI3845" s="467"/>
      <c r="BJ3845" s="467"/>
      <c r="BK3845" s="467"/>
      <c r="BL3845" s="467"/>
      <c r="BM3845" s="467"/>
      <c r="BN3845" s="467"/>
      <c r="BO3845" s="467"/>
      <c r="BP3845" s="467"/>
      <c r="BQ3845" s="467"/>
      <c r="BR3845" s="467"/>
      <c r="BS3845" s="467"/>
      <c r="BT3845" s="467"/>
      <c r="BU3845" s="467"/>
      <c r="BV3845" s="467"/>
      <c r="BW3845" s="467"/>
      <c r="BX3845" s="769"/>
      <c r="BY3845" s="769"/>
      <c r="BZ3845" s="769"/>
      <c r="CA3845" s="769"/>
      <c r="CB3845" s="769"/>
      <c r="CC3845" s="769"/>
      <c r="CD3845" s="769"/>
      <c r="CE3845" s="769"/>
      <c r="CF3845" s="769"/>
      <c r="CG3845" s="73"/>
      <c r="CH3845" s="438"/>
      <c r="CI3845" s="416"/>
      <c r="CJ3845" s="73"/>
      <c r="CK3845" s="650"/>
      <c r="CL3845" s="499"/>
      <c r="CM3845" s="650"/>
      <c r="CR3845" s="416"/>
      <c r="CS3845" s="650"/>
      <c r="CU3845" s="73"/>
      <c r="CV3845" s="73"/>
      <c r="CW3845" s="73"/>
      <c r="CX3845" s="73"/>
      <c r="DA3845" s="650"/>
    </row>
    <row r="3846" spans="1:105" s="45" customFormat="1" x14ac:dyDescent="0.2">
      <c r="A3846" s="650"/>
      <c r="B3846" s="438"/>
      <c r="D3846" s="73"/>
      <c r="E3846" s="650"/>
      <c r="F3846" s="650"/>
      <c r="G3846" s="73"/>
      <c r="I3846" s="111"/>
      <c r="J3846" s="81"/>
      <c r="K3846" s="81"/>
      <c r="L3846" s="499"/>
      <c r="M3846" s="73"/>
      <c r="N3846" s="499"/>
      <c r="O3846" s="73"/>
      <c r="P3846" s="73"/>
      <c r="Q3846" s="73"/>
      <c r="R3846" s="176"/>
      <c r="S3846" s="176"/>
      <c r="T3846" s="176"/>
      <c r="U3846" s="400"/>
      <c r="V3846" s="400"/>
      <c r="W3846" s="732"/>
      <c r="X3846" s="167"/>
      <c r="Y3846" s="509"/>
      <c r="Z3846" s="466"/>
      <c r="AA3846" s="466"/>
      <c r="AB3846" s="466"/>
      <c r="AC3846" s="466"/>
      <c r="AD3846" s="466"/>
      <c r="AE3846" s="466"/>
      <c r="AF3846" s="466"/>
      <c r="AG3846" s="466"/>
      <c r="AH3846" s="466"/>
      <c r="AI3846" s="466"/>
      <c r="AJ3846" s="466"/>
      <c r="AK3846" s="466"/>
      <c r="AL3846" s="466"/>
      <c r="AM3846" s="466"/>
      <c r="AN3846" s="466"/>
      <c r="AO3846" s="466"/>
      <c r="AP3846" s="466"/>
      <c r="AQ3846" s="466"/>
      <c r="AR3846" s="466"/>
      <c r="AS3846" s="466"/>
      <c r="AT3846" s="466"/>
      <c r="AU3846" s="466"/>
      <c r="AV3846" s="466"/>
      <c r="AW3846" s="466"/>
      <c r="AX3846" s="466"/>
      <c r="AY3846" s="466"/>
      <c r="AZ3846" s="466"/>
      <c r="BA3846" s="466"/>
      <c r="BB3846" s="466"/>
      <c r="BC3846" s="466"/>
      <c r="BD3846" s="466"/>
      <c r="BE3846" s="467"/>
      <c r="BF3846" s="467"/>
      <c r="BG3846" s="466"/>
      <c r="BH3846" s="466"/>
      <c r="BI3846" s="467"/>
      <c r="BJ3846" s="467"/>
      <c r="BK3846" s="467"/>
      <c r="BL3846" s="467"/>
      <c r="BM3846" s="467"/>
      <c r="BN3846" s="467"/>
      <c r="BO3846" s="467"/>
      <c r="BP3846" s="467"/>
      <c r="BQ3846" s="467"/>
      <c r="BR3846" s="467"/>
      <c r="BS3846" s="467"/>
      <c r="BT3846" s="467"/>
      <c r="BU3846" s="467"/>
      <c r="BV3846" s="467"/>
      <c r="BW3846" s="467"/>
      <c r="BX3846" s="769"/>
      <c r="BY3846" s="769"/>
      <c r="BZ3846" s="769"/>
      <c r="CA3846" s="769"/>
      <c r="CB3846" s="769"/>
      <c r="CC3846" s="769"/>
      <c r="CD3846" s="769"/>
      <c r="CE3846" s="769"/>
      <c r="CF3846" s="769"/>
      <c r="CG3846" s="73"/>
      <c r="CH3846" s="438"/>
      <c r="CI3846" s="416"/>
      <c r="CJ3846" s="73"/>
      <c r="CK3846" s="650"/>
      <c r="CL3846" s="499"/>
      <c r="CM3846" s="650"/>
      <c r="CR3846" s="416"/>
      <c r="CS3846" s="650"/>
      <c r="CU3846" s="73"/>
      <c r="CV3846" s="73"/>
      <c r="CW3846" s="73"/>
      <c r="CX3846" s="73"/>
      <c r="DA3846" s="650"/>
    </row>
    <row r="3847" spans="1:105" s="45" customFormat="1" x14ac:dyDescent="0.2">
      <c r="A3847" s="650"/>
      <c r="B3847" s="438"/>
      <c r="D3847" s="73"/>
      <c r="E3847" s="650"/>
      <c r="F3847" s="650"/>
      <c r="G3847" s="73"/>
      <c r="I3847" s="111"/>
      <c r="J3847" s="81"/>
      <c r="K3847" s="81"/>
      <c r="L3847" s="499"/>
      <c r="M3847" s="73"/>
      <c r="N3847" s="499"/>
      <c r="O3847" s="73"/>
      <c r="P3847" s="73"/>
      <c r="Q3847" s="73"/>
      <c r="R3847" s="176"/>
      <c r="S3847" s="176"/>
      <c r="T3847" s="176"/>
      <c r="U3847" s="400"/>
      <c r="V3847" s="400"/>
      <c r="W3847" s="732"/>
      <c r="X3847" s="167"/>
      <c r="Y3847" s="509"/>
      <c r="Z3847" s="466"/>
      <c r="AA3847" s="466"/>
      <c r="AB3847" s="466"/>
      <c r="AC3847" s="466"/>
      <c r="AD3847" s="466"/>
      <c r="AE3847" s="466"/>
      <c r="AF3847" s="466"/>
      <c r="AG3847" s="466"/>
      <c r="AH3847" s="466"/>
      <c r="AI3847" s="466"/>
      <c r="AJ3847" s="466"/>
      <c r="AK3847" s="466"/>
      <c r="AL3847" s="466"/>
      <c r="AM3847" s="466"/>
      <c r="AN3847" s="466"/>
      <c r="AO3847" s="466"/>
      <c r="AP3847" s="466"/>
      <c r="AQ3847" s="466"/>
      <c r="AR3847" s="466"/>
      <c r="AS3847" s="466"/>
      <c r="AT3847" s="466"/>
      <c r="AU3847" s="466"/>
      <c r="AV3847" s="466"/>
      <c r="AW3847" s="466"/>
      <c r="AX3847" s="466"/>
      <c r="AY3847" s="466"/>
      <c r="AZ3847" s="466"/>
      <c r="BA3847" s="466"/>
      <c r="BB3847" s="466"/>
      <c r="BC3847" s="466"/>
      <c r="BD3847" s="466"/>
      <c r="BE3847" s="467"/>
      <c r="BF3847" s="467"/>
      <c r="BG3847" s="466"/>
      <c r="BH3847" s="466"/>
      <c r="BI3847" s="467"/>
      <c r="BJ3847" s="467"/>
      <c r="BK3847" s="467"/>
      <c r="BL3847" s="467"/>
      <c r="BM3847" s="467"/>
      <c r="BN3847" s="467"/>
      <c r="BO3847" s="467"/>
      <c r="BP3847" s="467"/>
      <c r="BQ3847" s="467"/>
      <c r="BR3847" s="467"/>
      <c r="BS3847" s="467"/>
      <c r="BT3847" s="467"/>
      <c r="BU3847" s="467"/>
      <c r="BV3847" s="467"/>
      <c r="BW3847" s="467"/>
      <c r="BX3847" s="769"/>
      <c r="BY3847" s="769"/>
      <c r="BZ3847" s="769"/>
      <c r="CA3847" s="769"/>
      <c r="CB3847" s="769"/>
      <c r="CC3847" s="769"/>
      <c r="CD3847" s="769"/>
      <c r="CE3847" s="769"/>
      <c r="CF3847" s="769"/>
      <c r="CG3847" s="73"/>
      <c r="CH3847" s="438"/>
      <c r="CI3847" s="416"/>
      <c r="CJ3847" s="73"/>
      <c r="CK3847" s="650"/>
      <c r="CL3847" s="499"/>
      <c r="CM3847" s="650"/>
      <c r="CR3847" s="416"/>
      <c r="CS3847" s="650"/>
      <c r="CU3847" s="73"/>
      <c r="CV3847" s="73"/>
      <c r="CW3847" s="73"/>
      <c r="CX3847" s="73"/>
      <c r="DA3847" s="650"/>
    </row>
    <row r="3848" spans="1:105" s="45" customFormat="1" x14ac:dyDescent="0.2">
      <c r="A3848" s="650"/>
      <c r="B3848" s="438"/>
      <c r="D3848" s="73"/>
      <c r="E3848" s="650"/>
      <c r="F3848" s="650"/>
      <c r="G3848" s="73"/>
      <c r="I3848" s="111"/>
      <c r="J3848" s="81"/>
      <c r="K3848" s="81"/>
      <c r="L3848" s="499"/>
      <c r="M3848" s="73"/>
      <c r="N3848" s="499"/>
      <c r="O3848" s="73"/>
      <c r="P3848" s="73"/>
      <c r="Q3848" s="73"/>
      <c r="R3848" s="176"/>
      <c r="S3848" s="176"/>
      <c r="T3848" s="176"/>
      <c r="U3848" s="400"/>
      <c r="V3848" s="400"/>
      <c r="W3848" s="732"/>
      <c r="X3848" s="167"/>
      <c r="Y3848" s="509"/>
      <c r="Z3848" s="466"/>
      <c r="AA3848" s="466"/>
      <c r="AB3848" s="466"/>
      <c r="AC3848" s="466"/>
      <c r="AD3848" s="466"/>
      <c r="AE3848" s="466"/>
      <c r="AF3848" s="466"/>
      <c r="AG3848" s="466"/>
      <c r="AH3848" s="466"/>
      <c r="AI3848" s="466"/>
      <c r="AJ3848" s="466"/>
      <c r="AK3848" s="466"/>
      <c r="AL3848" s="466"/>
      <c r="AM3848" s="466"/>
      <c r="AN3848" s="466"/>
      <c r="AO3848" s="466"/>
      <c r="AP3848" s="466"/>
      <c r="AQ3848" s="466"/>
      <c r="AR3848" s="466"/>
      <c r="AS3848" s="466"/>
      <c r="AT3848" s="466"/>
      <c r="AU3848" s="466"/>
      <c r="AV3848" s="466"/>
      <c r="AW3848" s="466"/>
      <c r="AX3848" s="466"/>
      <c r="AY3848" s="466"/>
      <c r="AZ3848" s="466"/>
      <c r="BA3848" s="466"/>
      <c r="BB3848" s="466"/>
      <c r="BC3848" s="466"/>
      <c r="BD3848" s="466"/>
      <c r="BE3848" s="467"/>
      <c r="BF3848" s="467"/>
      <c r="BG3848" s="466"/>
      <c r="BH3848" s="466"/>
      <c r="BI3848" s="467"/>
      <c r="BJ3848" s="467"/>
      <c r="BK3848" s="467"/>
      <c r="BL3848" s="467"/>
      <c r="BM3848" s="467"/>
      <c r="BN3848" s="467"/>
      <c r="BO3848" s="467"/>
      <c r="BP3848" s="467"/>
      <c r="BQ3848" s="467"/>
      <c r="BR3848" s="467"/>
      <c r="BS3848" s="467"/>
      <c r="BT3848" s="467"/>
      <c r="BU3848" s="467"/>
      <c r="BV3848" s="467"/>
      <c r="BW3848" s="467"/>
      <c r="BX3848" s="769"/>
      <c r="BY3848" s="769"/>
      <c r="BZ3848" s="769"/>
      <c r="CA3848" s="769"/>
      <c r="CB3848" s="769"/>
      <c r="CC3848" s="769"/>
      <c r="CD3848" s="769"/>
      <c r="CE3848" s="769"/>
      <c r="CF3848" s="769"/>
      <c r="CG3848" s="73"/>
      <c r="CH3848" s="438"/>
      <c r="CI3848" s="416"/>
      <c r="CJ3848" s="73"/>
      <c r="CK3848" s="650"/>
      <c r="CL3848" s="499"/>
      <c r="CM3848" s="650"/>
      <c r="CR3848" s="416"/>
      <c r="CS3848" s="650"/>
      <c r="CU3848" s="73"/>
      <c r="CV3848" s="73"/>
      <c r="CW3848" s="73"/>
      <c r="CX3848" s="73"/>
      <c r="DA3848" s="650"/>
    </row>
    <row r="3849" spans="1:105" s="45" customFormat="1" x14ac:dyDescent="0.2">
      <c r="A3849" s="650"/>
      <c r="B3849" s="438"/>
      <c r="D3849" s="73"/>
      <c r="E3849" s="650"/>
      <c r="F3849" s="650"/>
      <c r="G3849" s="73"/>
      <c r="I3849" s="111"/>
      <c r="J3849" s="81"/>
      <c r="K3849" s="81"/>
      <c r="L3849" s="499"/>
      <c r="M3849" s="73"/>
      <c r="N3849" s="499"/>
      <c r="O3849" s="73"/>
      <c r="P3849" s="73"/>
      <c r="Q3849" s="73"/>
      <c r="R3849" s="176"/>
      <c r="S3849" s="176"/>
      <c r="T3849" s="176"/>
      <c r="U3849" s="400"/>
      <c r="V3849" s="400"/>
      <c r="W3849" s="732"/>
      <c r="X3849" s="167"/>
      <c r="Y3849" s="509"/>
      <c r="Z3849" s="466"/>
      <c r="AA3849" s="466"/>
      <c r="AB3849" s="466"/>
      <c r="AC3849" s="466"/>
      <c r="AD3849" s="466"/>
      <c r="AE3849" s="466"/>
      <c r="AF3849" s="466"/>
      <c r="AG3849" s="466"/>
      <c r="AH3849" s="466"/>
      <c r="AI3849" s="466"/>
      <c r="AJ3849" s="466"/>
      <c r="AK3849" s="466"/>
      <c r="AL3849" s="466"/>
      <c r="AM3849" s="466"/>
      <c r="AN3849" s="466"/>
      <c r="AO3849" s="466"/>
      <c r="AP3849" s="466"/>
      <c r="AQ3849" s="466"/>
      <c r="AR3849" s="466"/>
      <c r="AS3849" s="466"/>
      <c r="AT3849" s="466"/>
      <c r="AU3849" s="466"/>
      <c r="AV3849" s="466"/>
      <c r="AW3849" s="466"/>
      <c r="AX3849" s="466"/>
      <c r="AY3849" s="466"/>
      <c r="AZ3849" s="466"/>
      <c r="BA3849" s="466"/>
      <c r="BB3849" s="466"/>
      <c r="BC3849" s="466"/>
      <c r="BD3849" s="466"/>
      <c r="BE3849" s="467"/>
      <c r="BF3849" s="467"/>
      <c r="BG3849" s="466"/>
      <c r="BH3849" s="466"/>
      <c r="BI3849" s="467"/>
      <c r="BJ3849" s="467"/>
      <c r="BK3849" s="467"/>
      <c r="BL3849" s="467"/>
      <c r="BM3849" s="467"/>
      <c r="BN3849" s="467"/>
      <c r="BO3849" s="467"/>
      <c r="BP3849" s="467"/>
      <c r="BQ3849" s="467"/>
      <c r="BR3849" s="467"/>
      <c r="BS3849" s="467"/>
      <c r="BT3849" s="467"/>
      <c r="BU3849" s="467"/>
      <c r="BV3849" s="467"/>
      <c r="BW3849" s="467"/>
      <c r="BX3849" s="769"/>
      <c r="BY3849" s="769"/>
      <c r="BZ3849" s="769"/>
      <c r="CA3849" s="769"/>
      <c r="CB3849" s="769"/>
      <c r="CC3849" s="769"/>
      <c r="CD3849" s="769"/>
      <c r="CE3849" s="769"/>
      <c r="CF3849" s="769"/>
      <c r="CG3849" s="73"/>
      <c r="CH3849" s="438"/>
      <c r="CI3849" s="416"/>
      <c r="CJ3849" s="73"/>
      <c r="CK3849" s="650"/>
      <c r="CL3849" s="499"/>
      <c r="CM3849" s="650"/>
      <c r="CR3849" s="416"/>
      <c r="CS3849" s="650"/>
      <c r="CU3849" s="73"/>
      <c r="CV3849" s="73"/>
      <c r="CW3849" s="73"/>
      <c r="CX3849" s="73"/>
      <c r="DA3849" s="650"/>
    </row>
    <row r="3850" spans="1:105" s="45" customFormat="1" x14ac:dyDescent="0.2">
      <c r="A3850" s="650"/>
      <c r="B3850" s="438"/>
      <c r="D3850" s="73"/>
      <c r="E3850" s="650"/>
      <c r="F3850" s="650"/>
      <c r="G3850" s="73"/>
      <c r="I3850" s="111"/>
      <c r="J3850" s="81"/>
      <c r="K3850" s="81"/>
      <c r="L3850" s="499"/>
      <c r="M3850" s="73"/>
      <c r="N3850" s="499"/>
      <c r="O3850" s="73"/>
      <c r="P3850" s="73"/>
      <c r="Q3850" s="73"/>
      <c r="R3850" s="176"/>
      <c r="S3850" s="176"/>
      <c r="T3850" s="176"/>
      <c r="U3850" s="400"/>
      <c r="V3850" s="400"/>
      <c r="W3850" s="732"/>
      <c r="X3850" s="167"/>
      <c r="Y3850" s="509"/>
      <c r="Z3850" s="466"/>
      <c r="AA3850" s="466"/>
      <c r="AB3850" s="466"/>
      <c r="AC3850" s="466"/>
      <c r="AD3850" s="466"/>
      <c r="AE3850" s="466"/>
      <c r="AF3850" s="466"/>
      <c r="AG3850" s="466"/>
      <c r="AH3850" s="466"/>
      <c r="AI3850" s="466"/>
      <c r="AJ3850" s="466"/>
      <c r="AK3850" s="466"/>
      <c r="AL3850" s="466"/>
      <c r="AM3850" s="466"/>
      <c r="AN3850" s="466"/>
      <c r="AO3850" s="466"/>
      <c r="AP3850" s="466"/>
      <c r="AQ3850" s="466"/>
      <c r="AR3850" s="466"/>
      <c r="AS3850" s="466"/>
      <c r="AT3850" s="466"/>
      <c r="AU3850" s="466"/>
      <c r="AV3850" s="466"/>
      <c r="AW3850" s="466"/>
      <c r="AX3850" s="466"/>
      <c r="AY3850" s="466"/>
      <c r="AZ3850" s="466"/>
      <c r="BA3850" s="466"/>
      <c r="BB3850" s="466"/>
      <c r="BC3850" s="466"/>
      <c r="BD3850" s="466"/>
      <c r="BE3850" s="467"/>
      <c r="BF3850" s="467"/>
      <c r="BG3850" s="466"/>
      <c r="BH3850" s="466"/>
      <c r="BI3850" s="467"/>
      <c r="BJ3850" s="467"/>
      <c r="BK3850" s="467"/>
      <c r="BL3850" s="467"/>
      <c r="BM3850" s="467"/>
      <c r="BN3850" s="467"/>
      <c r="BO3850" s="467"/>
      <c r="BP3850" s="467"/>
      <c r="BQ3850" s="467"/>
      <c r="BR3850" s="467"/>
      <c r="BS3850" s="467"/>
      <c r="BT3850" s="467"/>
      <c r="BU3850" s="467"/>
      <c r="BV3850" s="467"/>
      <c r="BW3850" s="467"/>
      <c r="BX3850" s="769"/>
      <c r="BY3850" s="769"/>
      <c r="BZ3850" s="769"/>
      <c r="CA3850" s="769"/>
      <c r="CB3850" s="769"/>
      <c r="CC3850" s="769"/>
      <c r="CD3850" s="769"/>
      <c r="CE3850" s="769"/>
      <c r="CF3850" s="769"/>
      <c r="CG3850" s="73"/>
      <c r="CH3850" s="438"/>
      <c r="CI3850" s="416"/>
      <c r="CJ3850" s="73"/>
      <c r="CK3850" s="650"/>
      <c r="CL3850" s="499"/>
      <c r="CM3850" s="650"/>
      <c r="CR3850" s="416"/>
      <c r="CS3850" s="650"/>
      <c r="CU3850" s="73"/>
      <c r="CV3850" s="73"/>
      <c r="CW3850" s="73"/>
      <c r="CX3850" s="73"/>
      <c r="DA3850" s="650"/>
    </row>
    <row r="3851" spans="1:105" s="45" customFormat="1" x14ac:dyDescent="0.2">
      <c r="A3851" s="650"/>
      <c r="B3851" s="438"/>
      <c r="D3851" s="73"/>
      <c r="E3851" s="650"/>
      <c r="F3851" s="650"/>
      <c r="G3851" s="73"/>
      <c r="I3851" s="111"/>
      <c r="J3851" s="81"/>
      <c r="K3851" s="81"/>
      <c r="L3851" s="499"/>
      <c r="M3851" s="73"/>
      <c r="N3851" s="499"/>
      <c r="O3851" s="73"/>
      <c r="P3851" s="73"/>
      <c r="Q3851" s="73"/>
      <c r="R3851" s="176"/>
      <c r="S3851" s="176"/>
      <c r="T3851" s="176"/>
      <c r="U3851" s="400"/>
      <c r="V3851" s="400"/>
      <c r="W3851" s="732"/>
      <c r="X3851" s="167"/>
      <c r="Y3851" s="509"/>
      <c r="Z3851" s="466"/>
      <c r="AA3851" s="466"/>
      <c r="AB3851" s="466"/>
      <c r="AC3851" s="466"/>
      <c r="AD3851" s="466"/>
      <c r="AE3851" s="466"/>
      <c r="AF3851" s="466"/>
      <c r="AG3851" s="466"/>
      <c r="AH3851" s="466"/>
      <c r="AI3851" s="466"/>
      <c r="AJ3851" s="466"/>
      <c r="AK3851" s="466"/>
      <c r="AL3851" s="466"/>
      <c r="AM3851" s="466"/>
      <c r="AN3851" s="466"/>
      <c r="AO3851" s="466"/>
      <c r="AP3851" s="466"/>
      <c r="AQ3851" s="466"/>
      <c r="AR3851" s="466"/>
      <c r="AS3851" s="466"/>
      <c r="AT3851" s="466"/>
      <c r="AU3851" s="466"/>
      <c r="AV3851" s="466"/>
      <c r="AW3851" s="466"/>
      <c r="AX3851" s="466"/>
      <c r="AY3851" s="466"/>
      <c r="AZ3851" s="466"/>
      <c r="BA3851" s="466"/>
      <c r="BB3851" s="466"/>
      <c r="BC3851" s="466"/>
      <c r="BD3851" s="466"/>
      <c r="BE3851" s="467"/>
      <c r="BF3851" s="467"/>
      <c r="BG3851" s="466"/>
      <c r="BH3851" s="466"/>
      <c r="BI3851" s="467"/>
      <c r="BJ3851" s="467"/>
      <c r="BK3851" s="467"/>
      <c r="BL3851" s="467"/>
      <c r="BM3851" s="467"/>
      <c r="BN3851" s="467"/>
      <c r="BO3851" s="467"/>
      <c r="BP3851" s="467"/>
      <c r="BQ3851" s="467"/>
      <c r="BR3851" s="467"/>
      <c r="BS3851" s="467"/>
      <c r="BT3851" s="467"/>
      <c r="BU3851" s="467"/>
      <c r="BV3851" s="467"/>
      <c r="BW3851" s="467"/>
      <c r="BX3851" s="769"/>
      <c r="BY3851" s="769"/>
      <c r="BZ3851" s="769"/>
      <c r="CA3851" s="769"/>
      <c r="CB3851" s="769"/>
      <c r="CC3851" s="769"/>
      <c r="CD3851" s="769"/>
      <c r="CE3851" s="769"/>
      <c r="CF3851" s="769"/>
      <c r="CG3851" s="73"/>
      <c r="CH3851" s="438"/>
      <c r="CI3851" s="416"/>
      <c r="CJ3851" s="73"/>
      <c r="CK3851" s="650"/>
      <c r="CL3851" s="499"/>
      <c r="CM3851" s="650"/>
      <c r="CR3851" s="416"/>
      <c r="CS3851" s="650"/>
      <c r="CU3851" s="73"/>
      <c r="CV3851" s="73"/>
      <c r="CW3851" s="73"/>
      <c r="CX3851" s="73"/>
      <c r="DA3851" s="650"/>
    </row>
    <row r="3852" spans="1:105" s="45" customFormat="1" x14ac:dyDescent="0.2">
      <c r="A3852" s="650"/>
      <c r="B3852" s="438"/>
      <c r="D3852" s="73"/>
      <c r="E3852" s="650"/>
      <c r="F3852" s="650"/>
      <c r="G3852" s="73"/>
      <c r="I3852" s="111"/>
      <c r="J3852" s="81"/>
      <c r="K3852" s="81"/>
      <c r="L3852" s="499"/>
      <c r="M3852" s="73"/>
      <c r="N3852" s="499"/>
      <c r="O3852" s="73"/>
      <c r="P3852" s="73"/>
      <c r="Q3852" s="73"/>
      <c r="R3852" s="176"/>
      <c r="S3852" s="176"/>
      <c r="T3852" s="176"/>
      <c r="U3852" s="400"/>
      <c r="V3852" s="400"/>
      <c r="W3852" s="732"/>
      <c r="X3852" s="167"/>
      <c r="Y3852" s="509"/>
      <c r="Z3852" s="466"/>
      <c r="AA3852" s="466"/>
      <c r="AB3852" s="466"/>
      <c r="AC3852" s="466"/>
      <c r="AD3852" s="466"/>
      <c r="AE3852" s="466"/>
      <c r="AF3852" s="466"/>
      <c r="AG3852" s="466"/>
      <c r="AH3852" s="466"/>
      <c r="AI3852" s="466"/>
      <c r="AJ3852" s="466"/>
      <c r="AK3852" s="466"/>
      <c r="AL3852" s="466"/>
      <c r="AM3852" s="466"/>
      <c r="AN3852" s="466"/>
      <c r="AO3852" s="466"/>
      <c r="AP3852" s="466"/>
      <c r="AQ3852" s="466"/>
      <c r="AR3852" s="466"/>
      <c r="AS3852" s="466"/>
      <c r="AT3852" s="466"/>
      <c r="AU3852" s="466"/>
      <c r="AV3852" s="466"/>
      <c r="AW3852" s="466"/>
      <c r="AX3852" s="466"/>
      <c r="AY3852" s="466"/>
      <c r="AZ3852" s="466"/>
      <c r="BA3852" s="466"/>
      <c r="BB3852" s="466"/>
      <c r="BC3852" s="466"/>
      <c r="BD3852" s="466"/>
      <c r="BE3852" s="467"/>
      <c r="BF3852" s="467"/>
      <c r="BG3852" s="466"/>
      <c r="BH3852" s="466"/>
      <c r="BI3852" s="467"/>
      <c r="BJ3852" s="467"/>
      <c r="BK3852" s="467"/>
      <c r="BL3852" s="467"/>
      <c r="BM3852" s="467"/>
      <c r="BN3852" s="467"/>
      <c r="BO3852" s="467"/>
      <c r="BP3852" s="467"/>
      <c r="BQ3852" s="467"/>
      <c r="BR3852" s="467"/>
      <c r="BS3852" s="467"/>
      <c r="BT3852" s="467"/>
      <c r="BU3852" s="467"/>
      <c r="BV3852" s="467"/>
      <c r="BW3852" s="467"/>
      <c r="BX3852" s="769"/>
      <c r="BY3852" s="769"/>
      <c r="BZ3852" s="769"/>
      <c r="CA3852" s="769"/>
      <c r="CB3852" s="769"/>
      <c r="CC3852" s="769"/>
      <c r="CD3852" s="769"/>
      <c r="CE3852" s="769"/>
      <c r="CF3852" s="769"/>
      <c r="CG3852" s="73"/>
      <c r="CH3852" s="438"/>
      <c r="CI3852" s="416"/>
      <c r="CJ3852" s="73"/>
      <c r="CK3852" s="650"/>
      <c r="CL3852" s="499"/>
      <c r="CM3852" s="650"/>
      <c r="CR3852" s="416"/>
      <c r="CS3852" s="650"/>
      <c r="CU3852" s="73"/>
      <c r="CV3852" s="73"/>
      <c r="CW3852" s="73"/>
      <c r="CX3852" s="73"/>
      <c r="DA3852" s="650"/>
    </row>
    <row r="3853" spans="1:105" s="45" customFormat="1" x14ac:dyDescent="0.2">
      <c r="A3853" s="650"/>
      <c r="B3853" s="438"/>
      <c r="D3853" s="73"/>
      <c r="E3853" s="650"/>
      <c r="F3853" s="650"/>
      <c r="G3853" s="73"/>
      <c r="I3853" s="111"/>
      <c r="J3853" s="81"/>
      <c r="K3853" s="81"/>
      <c r="L3853" s="499"/>
      <c r="M3853" s="73"/>
      <c r="N3853" s="499"/>
      <c r="O3853" s="73"/>
      <c r="P3853" s="73"/>
      <c r="Q3853" s="73"/>
      <c r="R3853" s="176"/>
      <c r="S3853" s="176"/>
      <c r="T3853" s="176"/>
      <c r="U3853" s="400"/>
      <c r="V3853" s="400"/>
      <c r="W3853" s="732"/>
      <c r="X3853" s="167"/>
      <c r="Y3853" s="509"/>
      <c r="Z3853" s="466"/>
      <c r="AA3853" s="466"/>
      <c r="AB3853" s="466"/>
      <c r="AC3853" s="466"/>
      <c r="AD3853" s="466"/>
      <c r="AE3853" s="466"/>
      <c r="AF3853" s="466"/>
      <c r="AG3853" s="466"/>
      <c r="AH3853" s="466"/>
      <c r="AI3853" s="466"/>
      <c r="AJ3853" s="466"/>
      <c r="AK3853" s="466"/>
      <c r="AL3853" s="466"/>
      <c r="AM3853" s="466"/>
      <c r="AN3853" s="466"/>
      <c r="AO3853" s="466"/>
      <c r="AP3853" s="466"/>
      <c r="AQ3853" s="466"/>
      <c r="AR3853" s="466"/>
      <c r="AS3853" s="466"/>
      <c r="AT3853" s="466"/>
      <c r="AU3853" s="466"/>
      <c r="AV3853" s="466"/>
      <c r="AW3853" s="466"/>
      <c r="AX3853" s="466"/>
      <c r="AY3853" s="466"/>
      <c r="AZ3853" s="466"/>
      <c r="BA3853" s="466"/>
      <c r="BB3853" s="466"/>
      <c r="BC3853" s="466"/>
      <c r="BD3853" s="466"/>
      <c r="BE3853" s="467"/>
      <c r="BF3853" s="467"/>
      <c r="BG3853" s="466"/>
      <c r="BH3853" s="466"/>
      <c r="BI3853" s="467"/>
      <c r="BJ3853" s="467"/>
      <c r="BK3853" s="467"/>
      <c r="BL3853" s="467"/>
      <c r="BM3853" s="467"/>
      <c r="BN3853" s="467"/>
      <c r="BO3853" s="467"/>
      <c r="BP3853" s="467"/>
      <c r="BQ3853" s="467"/>
      <c r="BR3853" s="467"/>
      <c r="BS3853" s="467"/>
      <c r="BT3853" s="467"/>
      <c r="BU3853" s="467"/>
      <c r="BV3853" s="467"/>
      <c r="BW3853" s="467"/>
      <c r="BX3853" s="769"/>
      <c r="BY3853" s="769"/>
      <c r="BZ3853" s="769"/>
      <c r="CA3853" s="769"/>
      <c r="CB3853" s="769"/>
      <c r="CC3853" s="769"/>
      <c r="CD3853" s="769"/>
      <c r="CE3853" s="769"/>
      <c r="CF3853" s="769"/>
      <c r="CG3853" s="73"/>
      <c r="CH3853" s="438"/>
      <c r="CI3853" s="416"/>
      <c r="CJ3853" s="73"/>
      <c r="CK3853" s="650"/>
      <c r="CL3853" s="499"/>
      <c r="CM3853" s="650"/>
      <c r="CR3853" s="416"/>
      <c r="CS3853" s="650"/>
      <c r="CU3853" s="73"/>
      <c r="CV3853" s="73"/>
      <c r="CW3853" s="73"/>
      <c r="CX3853" s="73"/>
      <c r="DA3853" s="650"/>
    </row>
    <row r="3854" spans="1:105" s="45" customFormat="1" x14ac:dyDescent="0.2">
      <c r="A3854" s="650"/>
      <c r="B3854" s="438"/>
      <c r="D3854" s="73"/>
      <c r="E3854" s="650"/>
      <c r="F3854" s="650"/>
      <c r="G3854" s="73"/>
      <c r="I3854" s="111"/>
      <c r="J3854" s="81"/>
      <c r="K3854" s="81"/>
      <c r="L3854" s="499"/>
      <c r="M3854" s="73"/>
      <c r="N3854" s="499"/>
      <c r="O3854" s="73"/>
      <c r="P3854" s="73"/>
      <c r="Q3854" s="73"/>
      <c r="R3854" s="176"/>
      <c r="S3854" s="176"/>
      <c r="T3854" s="176"/>
      <c r="U3854" s="400"/>
      <c r="V3854" s="400"/>
      <c r="W3854" s="732"/>
      <c r="X3854" s="167"/>
      <c r="Y3854" s="509"/>
      <c r="Z3854" s="466"/>
      <c r="AA3854" s="466"/>
      <c r="AB3854" s="466"/>
      <c r="AC3854" s="466"/>
      <c r="AD3854" s="466"/>
      <c r="AE3854" s="466"/>
      <c r="AF3854" s="466"/>
      <c r="AG3854" s="466"/>
      <c r="AH3854" s="466"/>
      <c r="AI3854" s="466"/>
      <c r="AJ3854" s="466"/>
      <c r="AK3854" s="466"/>
      <c r="AL3854" s="466"/>
      <c r="AM3854" s="466"/>
      <c r="AN3854" s="466"/>
      <c r="AO3854" s="466"/>
      <c r="AP3854" s="466"/>
      <c r="AQ3854" s="466"/>
      <c r="AR3854" s="466"/>
      <c r="AS3854" s="466"/>
      <c r="AT3854" s="466"/>
      <c r="AU3854" s="466"/>
      <c r="AV3854" s="466"/>
      <c r="AW3854" s="466"/>
      <c r="AX3854" s="466"/>
      <c r="AY3854" s="466"/>
      <c r="AZ3854" s="466"/>
      <c r="BA3854" s="466"/>
      <c r="BB3854" s="466"/>
      <c r="BC3854" s="466"/>
      <c r="BD3854" s="466"/>
      <c r="BE3854" s="467"/>
      <c r="BF3854" s="467"/>
      <c r="BG3854" s="466"/>
      <c r="BH3854" s="466"/>
      <c r="BI3854" s="467"/>
      <c r="BJ3854" s="467"/>
      <c r="BK3854" s="467"/>
      <c r="BL3854" s="467"/>
      <c r="BM3854" s="467"/>
      <c r="BN3854" s="467"/>
      <c r="BO3854" s="467"/>
      <c r="BP3854" s="467"/>
      <c r="BQ3854" s="467"/>
      <c r="BR3854" s="467"/>
      <c r="BS3854" s="467"/>
      <c r="BT3854" s="467"/>
      <c r="BU3854" s="467"/>
      <c r="BV3854" s="467"/>
      <c r="BW3854" s="467"/>
      <c r="BX3854" s="769"/>
      <c r="BY3854" s="769"/>
      <c r="BZ3854" s="769"/>
      <c r="CA3854" s="769"/>
      <c r="CB3854" s="769"/>
      <c r="CC3854" s="769"/>
      <c r="CD3854" s="769"/>
      <c r="CE3854" s="769"/>
      <c r="CF3854" s="769"/>
      <c r="CG3854" s="73"/>
      <c r="CH3854" s="438"/>
      <c r="CI3854" s="416"/>
      <c r="CJ3854" s="73"/>
      <c r="CK3854" s="650"/>
      <c r="CL3854" s="499"/>
      <c r="CM3854" s="650"/>
      <c r="CR3854" s="416"/>
      <c r="CS3854" s="650"/>
      <c r="CU3854" s="73"/>
      <c r="CV3854" s="73"/>
      <c r="CW3854" s="73"/>
      <c r="CX3854" s="73"/>
      <c r="DA3854" s="650"/>
    </row>
    <row r="3855" spans="1:105" s="45" customFormat="1" x14ac:dyDescent="0.2">
      <c r="A3855" s="650"/>
      <c r="B3855" s="438"/>
      <c r="D3855" s="73"/>
      <c r="E3855" s="650"/>
      <c r="F3855" s="650"/>
      <c r="G3855" s="73"/>
      <c r="I3855" s="111"/>
      <c r="J3855" s="81"/>
      <c r="K3855" s="81"/>
      <c r="L3855" s="499"/>
      <c r="M3855" s="73"/>
      <c r="N3855" s="499"/>
      <c r="O3855" s="73"/>
      <c r="P3855" s="73"/>
      <c r="Q3855" s="73"/>
      <c r="R3855" s="176"/>
      <c r="S3855" s="176"/>
      <c r="T3855" s="176"/>
      <c r="U3855" s="400"/>
      <c r="V3855" s="400"/>
      <c r="W3855" s="732"/>
      <c r="X3855" s="167"/>
      <c r="Y3855" s="509"/>
      <c r="Z3855" s="466"/>
      <c r="AA3855" s="466"/>
      <c r="AB3855" s="466"/>
      <c r="AC3855" s="466"/>
      <c r="AD3855" s="466"/>
      <c r="AE3855" s="466"/>
      <c r="AF3855" s="466"/>
      <c r="AG3855" s="466"/>
      <c r="AH3855" s="466"/>
      <c r="AI3855" s="466"/>
      <c r="AJ3855" s="466"/>
      <c r="AK3855" s="466"/>
      <c r="AL3855" s="466"/>
      <c r="AM3855" s="466"/>
      <c r="AN3855" s="466"/>
      <c r="AO3855" s="466"/>
      <c r="AP3855" s="466"/>
      <c r="AQ3855" s="466"/>
      <c r="AR3855" s="466"/>
      <c r="AS3855" s="466"/>
      <c r="AT3855" s="466"/>
      <c r="AU3855" s="466"/>
      <c r="AV3855" s="466"/>
      <c r="AW3855" s="466"/>
      <c r="AX3855" s="466"/>
      <c r="AY3855" s="466"/>
      <c r="AZ3855" s="466"/>
      <c r="BA3855" s="466"/>
      <c r="BB3855" s="466"/>
      <c r="BC3855" s="466"/>
      <c r="BD3855" s="466"/>
      <c r="BE3855" s="467"/>
      <c r="BF3855" s="467"/>
      <c r="BG3855" s="466"/>
      <c r="BH3855" s="466"/>
      <c r="BI3855" s="467"/>
      <c r="BJ3855" s="467"/>
      <c r="BK3855" s="467"/>
      <c r="BL3855" s="467"/>
      <c r="BM3855" s="467"/>
      <c r="BN3855" s="467"/>
      <c r="BO3855" s="467"/>
      <c r="BP3855" s="467"/>
      <c r="BQ3855" s="467"/>
      <c r="BR3855" s="467"/>
      <c r="BS3855" s="467"/>
      <c r="BT3855" s="467"/>
      <c r="BU3855" s="467"/>
      <c r="BV3855" s="467"/>
      <c r="BW3855" s="467"/>
      <c r="BX3855" s="769"/>
      <c r="BY3855" s="769"/>
      <c r="BZ3855" s="769"/>
      <c r="CA3855" s="769"/>
      <c r="CB3855" s="769"/>
      <c r="CC3855" s="769"/>
      <c r="CD3855" s="769"/>
      <c r="CE3855" s="769"/>
      <c r="CF3855" s="769"/>
      <c r="CG3855" s="73"/>
      <c r="CH3855" s="438"/>
      <c r="CI3855" s="416"/>
      <c r="CJ3855" s="73"/>
      <c r="CK3855" s="650"/>
      <c r="CL3855" s="499"/>
      <c r="CM3855" s="650"/>
      <c r="CR3855" s="416"/>
      <c r="CS3855" s="650"/>
      <c r="CU3855" s="73"/>
      <c r="CV3855" s="73"/>
      <c r="CW3855" s="73"/>
      <c r="CX3855" s="73"/>
      <c r="DA3855" s="650"/>
    </row>
    <row r="3856" spans="1:105" s="45" customFormat="1" x14ac:dyDescent="0.2">
      <c r="A3856" s="650"/>
      <c r="B3856" s="438"/>
      <c r="D3856" s="73"/>
      <c r="E3856" s="650"/>
      <c r="F3856" s="650"/>
      <c r="G3856" s="73"/>
      <c r="I3856" s="111"/>
      <c r="J3856" s="81"/>
      <c r="K3856" s="81"/>
      <c r="L3856" s="499"/>
      <c r="M3856" s="73"/>
      <c r="N3856" s="499"/>
      <c r="O3856" s="73"/>
      <c r="P3856" s="73"/>
      <c r="Q3856" s="73"/>
      <c r="R3856" s="176"/>
      <c r="S3856" s="176"/>
      <c r="T3856" s="176"/>
      <c r="U3856" s="400"/>
      <c r="V3856" s="400"/>
      <c r="W3856" s="732"/>
      <c r="X3856" s="167"/>
      <c r="Y3856" s="509"/>
      <c r="Z3856" s="466"/>
      <c r="AA3856" s="466"/>
      <c r="AB3856" s="466"/>
      <c r="AC3856" s="466"/>
      <c r="AD3856" s="466"/>
      <c r="AE3856" s="466"/>
      <c r="AF3856" s="466"/>
      <c r="AG3856" s="466"/>
      <c r="AH3856" s="466"/>
      <c r="AI3856" s="466"/>
      <c r="AJ3856" s="466"/>
      <c r="AK3856" s="466"/>
      <c r="AL3856" s="466"/>
      <c r="AM3856" s="466"/>
      <c r="AN3856" s="466"/>
      <c r="AO3856" s="466"/>
      <c r="AP3856" s="466"/>
      <c r="AQ3856" s="466"/>
      <c r="AR3856" s="466"/>
      <c r="AS3856" s="466"/>
      <c r="AT3856" s="466"/>
      <c r="AU3856" s="466"/>
      <c r="AV3856" s="466"/>
      <c r="AW3856" s="466"/>
      <c r="AX3856" s="466"/>
      <c r="AY3856" s="466"/>
      <c r="AZ3856" s="466"/>
      <c r="BA3856" s="466"/>
      <c r="BB3856" s="466"/>
      <c r="BC3856" s="466"/>
      <c r="BD3856" s="466"/>
      <c r="BE3856" s="467"/>
      <c r="BF3856" s="467"/>
      <c r="BG3856" s="466"/>
      <c r="BH3856" s="466"/>
      <c r="BI3856" s="467"/>
      <c r="BJ3856" s="467"/>
      <c r="BK3856" s="467"/>
      <c r="BL3856" s="467"/>
      <c r="BM3856" s="467"/>
      <c r="BN3856" s="467"/>
      <c r="BO3856" s="467"/>
      <c r="BP3856" s="467"/>
      <c r="BQ3856" s="467"/>
      <c r="BR3856" s="467"/>
      <c r="BS3856" s="467"/>
      <c r="BT3856" s="467"/>
      <c r="BU3856" s="467"/>
      <c r="BV3856" s="467"/>
      <c r="BW3856" s="467"/>
      <c r="BX3856" s="769"/>
      <c r="BY3856" s="769"/>
      <c r="BZ3856" s="769"/>
      <c r="CA3856" s="769"/>
      <c r="CB3856" s="769"/>
      <c r="CC3856" s="769"/>
      <c r="CD3856" s="769"/>
      <c r="CE3856" s="769"/>
      <c r="CF3856" s="769"/>
      <c r="CG3856" s="73"/>
      <c r="CH3856" s="438"/>
      <c r="CI3856" s="416"/>
      <c r="CJ3856" s="73"/>
      <c r="CK3856" s="650"/>
      <c r="CL3856" s="499"/>
      <c r="CM3856" s="650"/>
      <c r="CR3856" s="416"/>
      <c r="CS3856" s="650"/>
      <c r="CU3856" s="73"/>
      <c r="CV3856" s="73"/>
      <c r="CW3856" s="73"/>
      <c r="CX3856" s="73"/>
      <c r="DA3856" s="650"/>
    </row>
    <row r="3857" spans="1:105" s="45" customFormat="1" x14ac:dyDescent="0.2">
      <c r="A3857" s="650"/>
      <c r="B3857" s="438"/>
      <c r="D3857" s="73"/>
      <c r="E3857" s="650"/>
      <c r="F3857" s="650"/>
      <c r="G3857" s="73"/>
      <c r="I3857" s="111"/>
      <c r="J3857" s="81"/>
      <c r="K3857" s="81"/>
      <c r="L3857" s="499"/>
      <c r="M3857" s="73"/>
      <c r="N3857" s="499"/>
      <c r="O3857" s="73"/>
      <c r="P3857" s="73"/>
      <c r="Q3857" s="73"/>
      <c r="R3857" s="176"/>
      <c r="S3857" s="176"/>
      <c r="T3857" s="176"/>
      <c r="U3857" s="400"/>
      <c r="V3857" s="400"/>
      <c r="W3857" s="732"/>
      <c r="X3857" s="167"/>
      <c r="Y3857" s="509"/>
      <c r="Z3857" s="466"/>
      <c r="AA3857" s="466"/>
      <c r="AB3857" s="466"/>
      <c r="AC3857" s="466"/>
      <c r="AD3857" s="466"/>
      <c r="AE3857" s="466"/>
      <c r="AF3857" s="466"/>
      <c r="AG3857" s="466"/>
      <c r="AH3857" s="466"/>
      <c r="AI3857" s="466"/>
      <c r="AJ3857" s="466"/>
      <c r="AK3857" s="466"/>
      <c r="AL3857" s="466"/>
      <c r="AM3857" s="466"/>
      <c r="AN3857" s="466"/>
      <c r="AO3857" s="466"/>
      <c r="AP3857" s="466"/>
      <c r="AQ3857" s="466"/>
      <c r="AR3857" s="466"/>
      <c r="AS3857" s="466"/>
      <c r="AT3857" s="466"/>
      <c r="AU3857" s="466"/>
      <c r="AV3857" s="466"/>
      <c r="AW3857" s="466"/>
      <c r="AX3857" s="466"/>
      <c r="AY3857" s="466"/>
      <c r="AZ3857" s="466"/>
      <c r="BA3857" s="466"/>
      <c r="BB3857" s="466"/>
      <c r="BC3857" s="466"/>
      <c r="BD3857" s="466"/>
      <c r="BE3857" s="467"/>
      <c r="BF3857" s="467"/>
      <c r="BG3857" s="466"/>
      <c r="BH3857" s="466"/>
      <c r="BI3857" s="467"/>
      <c r="BJ3857" s="467"/>
      <c r="BK3857" s="467"/>
      <c r="BL3857" s="467"/>
      <c r="BM3857" s="467"/>
      <c r="BN3857" s="467"/>
      <c r="BO3857" s="467"/>
      <c r="BP3857" s="467"/>
      <c r="BQ3857" s="467"/>
      <c r="BR3857" s="467"/>
      <c r="BS3857" s="467"/>
      <c r="BT3857" s="467"/>
      <c r="BU3857" s="467"/>
      <c r="BV3857" s="467"/>
      <c r="BW3857" s="467"/>
      <c r="BX3857" s="769"/>
      <c r="BY3857" s="769"/>
      <c r="BZ3857" s="769"/>
      <c r="CA3857" s="769"/>
      <c r="CB3857" s="769"/>
      <c r="CC3857" s="769"/>
      <c r="CD3857" s="769"/>
      <c r="CE3857" s="769"/>
      <c r="CF3857" s="769"/>
      <c r="CG3857" s="73"/>
      <c r="CH3857" s="438"/>
      <c r="CI3857" s="416"/>
      <c r="CJ3857" s="73"/>
      <c r="CK3857" s="650"/>
      <c r="CL3857" s="499"/>
      <c r="CM3857" s="650"/>
      <c r="CR3857" s="416"/>
      <c r="CS3857" s="650"/>
      <c r="CU3857" s="73"/>
      <c r="CV3857" s="73"/>
      <c r="CW3857" s="73"/>
      <c r="CX3857" s="73"/>
      <c r="DA3857" s="650"/>
    </row>
    <row r="3858" spans="1:105" s="45" customFormat="1" x14ac:dyDescent="0.2">
      <c r="A3858" s="650"/>
      <c r="B3858" s="438"/>
      <c r="D3858" s="73"/>
      <c r="E3858" s="650"/>
      <c r="F3858" s="650"/>
      <c r="G3858" s="73"/>
      <c r="I3858" s="111"/>
      <c r="J3858" s="81"/>
      <c r="K3858" s="81"/>
      <c r="L3858" s="499"/>
      <c r="M3858" s="73"/>
      <c r="N3858" s="499"/>
      <c r="O3858" s="73"/>
      <c r="P3858" s="73"/>
      <c r="Q3858" s="73"/>
      <c r="R3858" s="176"/>
      <c r="S3858" s="176"/>
      <c r="T3858" s="176"/>
      <c r="U3858" s="400"/>
      <c r="V3858" s="400"/>
      <c r="W3858" s="732"/>
      <c r="X3858" s="167"/>
      <c r="Y3858" s="509"/>
      <c r="Z3858" s="466"/>
      <c r="AA3858" s="466"/>
      <c r="AB3858" s="466"/>
      <c r="AC3858" s="466"/>
      <c r="AD3858" s="466"/>
      <c r="AE3858" s="466"/>
      <c r="AF3858" s="466"/>
      <c r="AG3858" s="466"/>
      <c r="AH3858" s="466"/>
      <c r="AI3858" s="466"/>
      <c r="AJ3858" s="466"/>
      <c r="AK3858" s="466"/>
      <c r="AL3858" s="466"/>
      <c r="AM3858" s="466"/>
      <c r="AN3858" s="466"/>
      <c r="AO3858" s="466"/>
      <c r="AP3858" s="466"/>
      <c r="AQ3858" s="466"/>
      <c r="AR3858" s="466"/>
      <c r="AS3858" s="466"/>
      <c r="AT3858" s="466"/>
      <c r="AU3858" s="466"/>
      <c r="AV3858" s="466"/>
      <c r="AW3858" s="466"/>
      <c r="AX3858" s="466"/>
      <c r="AY3858" s="466"/>
      <c r="AZ3858" s="466"/>
      <c r="BA3858" s="466"/>
      <c r="BB3858" s="466"/>
      <c r="BC3858" s="466"/>
      <c r="BD3858" s="466"/>
      <c r="BE3858" s="467"/>
      <c r="BF3858" s="467"/>
      <c r="BG3858" s="466"/>
      <c r="BH3858" s="466"/>
      <c r="BI3858" s="467"/>
      <c r="BJ3858" s="467"/>
      <c r="BK3858" s="467"/>
      <c r="BL3858" s="467"/>
      <c r="BM3858" s="467"/>
      <c r="BN3858" s="467"/>
      <c r="BO3858" s="467"/>
      <c r="BP3858" s="467"/>
      <c r="BQ3858" s="467"/>
      <c r="BR3858" s="467"/>
      <c r="BS3858" s="467"/>
      <c r="BT3858" s="467"/>
      <c r="BU3858" s="467"/>
      <c r="BV3858" s="467"/>
      <c r="BW3858" s="467"/>
      <c r="BX3858" s="769"/>
      <c r="BY3858" s="769"/>
      <c r="BZ3858" s="769"/>
      <c r="CA3858" s="769"/>
      <c r="CB3858" s="769"/>
      <c r="CC3858" s="769"/>
      <c r="CD3858" s="769"/>
      <c r="CE3858" s="769"/>
      <c r="CF3858" s="769"/>
      <c r="CG3858" s="73"/>
      <c r="CH3858" s="438"/>
      <c r="CI3858" s="416"/>
      <c r="CJ3858" s="73"/>
      <c r="CK3858" s="650"/>
      <c r="CL3858" s="499"/>
      <c r="CM3858" s="650"/>
      <c r="CR3858" s="416"/>
      <c r="CS3858" s="650"/>
      <c r="CU3858" s="73"/>
      <c r="CV3858" s="73"/>
      <c r="CW3858" s="73"/>
      <c r="CX3858" s="73"/>
      <c r="DA3858" s="650"/>
    </row>
    <row r="3859" spans="1:105" s="45" customFormat="1" x14ac:dyDescent="0.2">
      <c r="A3859" s="650"/>
      <c r="B3859" s="438"/>
      <c r="D3859" s="73"/>
      <c r="E3859" s="650"/>
      <c r="F3859" s="650"/>
      <c r="G3859" s="73"/>
      <c r="I3859" s="111"/>
      <c r="J3859" s="81"/>
      <c r="K3859" s="81"/>
      <c r="L3859" s="499"/>
      <c r="M3859" s="73"/>
      <c r="N3859" s="499"/>
      <c r="O3859" s="73"/>
      <c r="P3859" s="73"/>
      <c r="Q3859" s="73"/>
      <c r="R3859" s="176"/>
      <c r="S3859" s="176"/>
      <c r="T3859" s="176"/>
      <c r="U3859" s="400"/>
      <c r="V3859" s="400"/>
      <c r="W3859" s="732"/>
      <c r="X3859" s="167"/>
      <c r="Y3859" s="509"/>
      <c r="Z3859" s="466"/>
      <c r="AA3859" s="466"/>
      <c r="AB3859" s="466"/>
      <c r="AC3859" s="466"/>
      <c r="AD3859" s="466"/>
      <c r="AE3859" s="466"/>
      <c r="AF3859" s="466"/>
      <c r="AG3859" s="466"/>
      <c r="AH3859" s="466"/>
      <c r="AI3859" s="466"/>
      <c r="AJ3859" s="466"/>
      <c r="AK3859" s="466"/>
      <c r="AL3859" s="466"/>
      <c r="AM3859" s="466"/>
      <c r="AN3859" s="466"/>
      <c r="AO3859" s="466"/>
      <c r="AP3859" s="466"/>
      <c r="AQ3859" s="466"/>
      <c r="AR3859" s="466"/>
      <c r="AS3859" s="466"/>
      <c r="AT3859" s="466"/>
      <c r="AU3859" s="466"/>
      <c r="AV3859" s="466"/>
      <c r="AW3859" s="466"/>
      <c r="AX3859" s="466"/>
      <c r="AY3859" s="466"/>
      <c r="AZ3859" s="466"/>
      <c r="BA3859" s="466"/>
      <c r="BB3859" s="466"/>
      <c r="BC3859" s="466"/>
      <c r="BD3859" s="466"/>
      <c r="BE3859" s="467"/>
      <c r="BF3859" s="467"/>
      <c r="BG3859" s="466"/>
      <c r="BH3859" s="466"/>
      <c r="BI3859" s="467"/>
      <c r="BJ3859" s="467"/>
      <c r="BK3859" s="467"/>
      <c r="BL3859" s="467"/>
      <c r="BM3859" s="467"/>
      <c r="BN3859" s="467"/>
      <c r="BO3859" s="467"/>
      <c r="BP3859" s="467"/>
      <c r="BQ3859" s="467"/>
      <c r="BR3859" s="467"/>
      <c r="BS3859" s="467"/>
      <c r="BT3859" s="467"/>
      <c r="BU3859" s="467"/>
      <c r="BV3859" s="467"/>
      <c r="BW3859" s="467"/>
      <c r="BX3859" s="769"/>
      <c r="BY3859" s="769"/>
      <c r="BZ3859" s="769"/>
      <c r="CA3859" s="769"/>
      <c r="CB3859" s="769"/>
      <c r="CC3859" s="769"/>
      <c r="CD3859" s="769"/>
      <c r="CE3859" s="769"/>
      <c r="CF3859" s="769"/>
      <c r="CG3859" s="73"/>
      <c r="CH3859" s="438"/>
      <c r="CI3859" s="416"/>
      <c r="CJ3859" s="73"/>
      <c r="CK3859" s="650"/>
      <c r="CL3859" s="499"/>
      <c r="CM3859" s="650"/>
      <c r="CR3859" s="416"/>
      <c r="CS3859" s="650"/>
      <c r="CU3859" s="73"/>
      <c r="CV3859" s="73"/>
      <c r="CW3859" s="73"/>
      <c r="CX3859" s="73"/>
      <c r="DA3859" s="650"/>
    </row>
    <row r="3860" spans="1:105" s="45" customFormat="1" x14ac:dyDescent="0.2">
      <c r="A3860" s="650"/>
      <c r="B3860" s="438"/>
      <c r="D3860" s="73"/>
      <c r="E3860" s="650"/>
      <c r="F3860" s="650"/>
      <c r="G3860" s="73"/>
      <c r="I3860" s="111"/>
      <c r="J3860" s="81"/>
      <c r="K3860" s="81"/>
      <c r="L3860" s="499"/>
      <c r="M3860" s="73"/>
      <c r="N3860" s="499"/>
      <c r="O3860" s="73"/>
      <c r="P3860" s="73"/>
      <c r="Q3860" s="73"/>
      <c r="R3860" s="176"/>
      <c r="S3860" s="176"/>
      <c r="T3860" s="176"/>
      <c r="U3860" s="400"/>
      <c r="V3860" s="400"/>
      <c r="W3860" s="732"/>
      <c r="X3860" s="167"/>
      <c r="Y3860" s="509"/>
      <c r="Z3860" s="466"/>
      <c r="AA3860" s="466"/>
      <c r="AB3860" s="466"/>
      <c r="AC3860" s="466"/>
      <c r="AD3860" s="466"/>
      <c r="AE3860" s="466"/>
      <c r="AF3860" s="466"/>
      <c r="AG3860" s="466"/>
      <c r="AH3860" s="466"/>
      <c r="AI3860" s="466"/>
      <c r="AJ3860" s="466"/>
      <c r="AK3860" s="466"/>
      <c r="AL3860" s="466"/>
      <c r="AM3860" s="466"/>
      <c r="AN3860" s="466"/>
      <c r="AO3860" s="466"/>
      <c r="AP3860" s="466"/>
      <c r="AQ3860" s="466"/>
      <c r="AR3860" s="466"/>
      <c r="AS3860" s="466"/>
      <c r="AT3860" s="466"/>
      <c r="AU3860" s="466"/>
      <c r="AV3860" s="466"/>
      <c r="AW3860" s="466"/>
      <c r="AX3860" s="466"/>
      <c r="AY3860" s="466"/>
      <c r="AZ3860" s="466"/>
      <c r="BA3860" s="466"/>
      <c r="BB3860" s="466"/>
      <c r="BC3860" s="466"/>
      <c r="BD3860" s="466"/>
      <c r="BE3860" s="467"/>
      <c r="BF3860" s="467"/>
      <c r="BG3860" s="466"/>
      <c r="BH3860" s="466"/>
      <c r="BI3860" s="467"/>
      <c r="BJ3860" s="467"/>
      <c r="BK3860" s="467"/>
      <c r="BL3860" s="467"/>
      <c r="BM3860" s="467"/>
      <c r="BN3860" s="467"/>
      <c r="BO3860" s="467"/>
      <c r="BP3860" s="467"/>
      <c r="BQ3860" s="467"/>
      <c r="BR3860" s="467"/>
      <c r="BS3860" s="467"/>
      <c r="BT3860" s="467"/>
      <c r="BU3860" s="467"/>
      <c r="BV3860" s="467"/>
      <c r="BW3860" s="467"/>
      <c r="BX3860" s="769"/>
      <c r="BY3860" s="769"/>
      <c r="BZ3860" s="769"/>
      <c r="CA3860" s="769"/>
      <c r="CB3860" s="769"/>
      <c r="CC3860" s="769"/>
      <c r="CD3860" s="769"/>
      <c r="CE3860" s="769"/>
      <c r="CF3860" s="769"/>
      <c r="CG3860" s="73"/>
      <c r="CH3860" s="438"/>
      <c r="CI3860" s="416"/>
      <c r="CJ3860" s="73"/>
      <c r="CK3860" s="650"/>
      <c r="CL3860" s="499"/>
      <c r="CM3860" s="650"/>
      <c r="CR3860" s="416"/>
      <c r="CS3860" s="650"/>
      <c r="CU3860" s="73"/>
      <c r="CV3860" s="73"/>
      <c r="CW3860" s="73"/>
      <c r="CX3860" s="73"/>
      <c r="DA3860" s="650"/>
    </row>
    <row r="3861" spans="1:105" s="45" customFormat="1" x14ac:dyDescent="0.2">
      <c r="A3861" s="650"/>
      <c r="B3861" s="438"/>
      <c r="D3861" s="73"/>
      <c r="E3861" s="650"/>
      <c r="F3861" s="650"/>
      <c r="G3861" s="73"/>
      <c r="I3861" s="111"/>
      <c r="J3861" s="81"/>
      <c r="K3861" s="81"/>
      <c r="L3861" s="499"/>
      <c r="M3861" s="73"/>
      <c r="N3861" s="499"/>
      <c r="O3861" s="73"/>
      <c r="P3861" s="73"/>
      <c r="Q3861" s="73"/>
      <c r="R3861" s="176"/>
      <c r="S3861" s="176"/>
      <c r="T3861" s="176"/>
      <c r="U3861" s="400"/>
      <c r="V3861" s="400"/>
      <c r="W3861" s="732"/>
      <c r="X3861" s="167"/>
      <c r="Y3861" s="509"/>
      <c r="Z3861" s="466"/>
      <c r="AA3861" s="466"/>
      <c r="AB3861" s="466"/>
      <c r="AC3861" s="466"/>
      <c r="AD3861" s="466"/>
      <c r="AE3861" s="466"/>
      <c r="AF3861" s="466"/>
      <c r="AG3861" s="466"/>
      <c r="AH3861" s="466"/>
      <c r="AI3861" s="466"/>
      <c r="AJ3861" s="466"/>
      <c r="AK3861" s="466"/>
      <c r="AL3861" s="466"/>
      <c r="AM3861" s="466"/>
      <c r="AN3861" s="466"/>
      <c r="AO3861" s="466"/>
      <c r="AP3861" s="466"/>
      <c r="AQ3861" s="466"/>
      <c r="AR3861" s="466"/>
      <c r="AS3861" s="466"/>
      <c r="AT3861" s="466"/>
      <c r="AU3861" s="466"/>
      <c r="AV3861" s="466"/>
      <c r="AW3861" s="466"/>
      <c r="AX3861" s="466"/>
      <c r="AY3861" s="466"/>
      <c r="AZ3861" s="466"/>
      <c r="BA3861" s="466"/>
      <c r="BB3861" s="466"/>
      <c r="BC3861" s="466"/>
      <c r="BD3861" s="466"/>
      <c r="BE3861" s="467"/>
      <c r="BF3861" s="467"/>
      <c r="BG3861" s="466"/>
      <c r="BH3861" s="466"/>
      <c r="BI3861" s="467"/>
      <c r="BJ3861" s="467"/>
      <c r="BK3861" s="467"/>
      <c r="BL3861" s="467"/>
      <c r="BM3861" s="467"/>
      <c r="BN3861" s="467"/>
      <c r="BO3861" s="467"/>
      <c r="BP3861" s="467"/>
      <c r="BQ3861" s="467"/>
      <c r="BR3861" s="467"/>
      <c r="BS3861" s="467"/>
      <c r="BT3861" s="467"/>
      <c r="BU3861" s="467"/>
      <c r="BV3861" s="467"/>
      <c r="BW3861" s="467"/>
      <c r="BX3861" s="769"/>
      <c r="BY3861" s="769"/>
      <c r="BZ3861" s="769"/>
      <c r="CA3861" s="769"/>
      <c r="CB3861" s="769"/>
      <c r="CC3861" s="769"/>
      <c r="CD3861" s="769"/>
      <c r="CE3861" s="769"/>
      <c r="CF3861" s="769"/>
      <c r="CG3861" s="73"/>
      <c r="CH3861" s="438"/>
      <c r="CI3861" s="416"/>
      <c r="CJ3861" s="73"/>
      <c r="CK3861" s="650"/>
      <c r="CL3861" s="499"/>
      <c r="CM3861" s="650"/>
      <c r="CR3861" s="416"/>
      <c r="CS3861" s="650"/>
      <c r="CU3861" s="73"/>
      <c r="CV3861" s="73"/>
      <c r="CW3861" s="73"/>
      <c r="CX3861" s="73"/>
      <c r="DA3861" s="650"/>
    </row>
    <row r="3862" spans="1:105" s="45" customFormat="1" x14ac:dyDescent="0.2">
      <c r="A3862" s="650"/>
      <c r="B3862" s="438"/>
      <c r="D3862" s="73"/>
      <c r="E3862" s="650"/>
      <c r="F3862" s="650"/>
      <c r="G3862" s="73"/>
      <c r="I3862" s="111"/>
      <c r="J3862" s="81"/>
      <c r="K3862" s="81"/>
      <c r="L3862" s="499"/>
      <c r="M3862" s="73"/>
      <c r="N3862" s="499"/>
      <c r="O3862" s="73"/>
      <c r="P3862" s="73"/>
      <c r="Q3862" s="73"/>
      <c r="R3862" s="176"/>
      <c r="S3862" s="176"/>
      <c r="T3862" s="176"/>
      <c r="U3862" s="400"/>
      <c r="V3862" s="400"/>
      <c r="W3862" s="732"/>
      <c r="X3862" s="167"/>
      <c r="Y3862" s="509"/>
      <c r="Z3862" s="466"/>
      <c r="AA3862" s="466"/>
      <c r="AB3862" s="466"/>
      <c r="AC3862" s="466"/>
      <c r="AD3862" s="466"/>
      <c r="AE3862" s="466"/>
      <c r="AF3862" s="466"/>
      <c r="AG3862" s="466"/>
      <c r="AH3862" s="466"/>
      <c r="AI3862" s="466"/>
      <c r="AJ3862" s="466"/>
      <c r="AK3862" s="466"/>
      <c r="AL3862" s="466"/>
      <c r="AM3862" s="466"/>
      <c r="AN3862" s="466"/>
      <c r="AO3862" s="466"/>
      <c r="AP3862" s="466"/>
      <c r="AQ3862" s="466"/>
      <c r="AR3862" s="466"/>
      <c r="AS3862" s="466"/>
      <c r="AT3862" s="466"/>
      <c r="AU3862" s="466"/>
      <c r="AV3862" s="466"/>
      <c r="AW3862" s="466"/>
      <c r="AX3862" s="466"/>
      <c r="AY3862" s="466"/>
      <c r="AZ3862" s="466"/>
      <c r="BA3862" s="466"/>
      <c r="BB3862" s="466"/>
      <c r="BC3862" s="466"/>
      <c r="BD3862" s="466"/>
      <c r="BE3862" s="467"/>
      <c r="BF3862" s="467"/>
      <c r="BG3862" s="466"/>
      <c r="BH3862" s="466"/>
      <c r="BI3862" s="467"/>
      <c r="BJ3862" s="467"/>
      <c r="BK3862" s="467"/>
      <c r="BL3862" s="467"/>
      <c r="BM3862" s="467"/>
      <c r="BN3862" s="467"/>
      <c r="BO3862" s="467"/>
      <c r="BP3862" s="467"/>
      <c r="BQ3862" s="467"/>
      <c r="BR3862" s="467"/>
      <c r="BS3862" s="467"/>
      <c r="BT3862" s="467"/>
      <c r="BU3862" s="467"/>
      <c r="BV3862" s="467"/>
      <c r="BW3862" s="467"/>
      <c r="BX3862" s="769"/>
      <c r="BY3862" s="769"/>
      <c r="BZ3862" s="769"/>
      <c r="CA3862" s="769"/>
      <c r="CB3862" s="769"/>
      <c r="CC3862" s="769"/>
      <c r="CD3862" s="769"/>
      <c r="CE3862" s="769"/>
      <c r="CF3862" s="769"/>
      <c r="CG3862" s="73"/>
      <c r="CH3862" s="438"/>
      <c r="CI3862" s="416"/>
      <c r="CJ3862" s="73"/>
      <c r="CK3862" s="650"/>
      <c r="CL3862" s="499"/>
      <c r="CM3862" s="650"/>
      <c r="CR3862" s="416"/>
      <c r="CS3862" s="650"/>
      <c r="CU3862" s="73"/>
      <c r="CV3862" s="73"/>
      <c r="CW3862" s="73"/>
      <c r="CX3862" s="73"/>
      <c r="DA3862" s="650"/>
    </row>
    <row r="3863" spans="1:105" s="45" customFormat="1" x14ac:dyDescent="0.2">
      <c r="A3863" s="650"/>
      <c r="B3863" s="438"/>
      <c r="D3863" s="73"/>
      <c r="E3863" s="650"/>
      <c r="F3863" s="650"/>
      <c r="G3863" s="73"/>
      <c r="I3863" s="111"/>
      <c r="J3863" s="81"/>
      <c r="K3863" s="81"/>
      <c r="L3863" s="499"/>
      <c r="M3863" s="73"/>
      <c r="N3863" s="499"/>
      <c r="O3863" s="73"/>
      <c r="P3863" s="73"/>
      <c r="Q3863" s="73"/>
      <c r="R3863" s="176"/>
      <c r="S3863" s="176"/>
      <c r="T3863" s="176"/>
      <c r="U3863" s="400"/>
      <c r="V3863" s="400"/>
      <c r="W3863" s="732"/>
      <c r="X3863" s="167"/>
      <c r="Y3863" s="509"/>
      <c r="Z3863" s="466"/>
      <c r="AA3863" s="466"/>
      <c r="AB3863" s="466"/>
      <c r="AC3863" s="466"/>
      <c r="AD3863" s="466"/>
      <c r="AE3863" s="466"/>
      <c r="AF3863" s="466"/>
      <c r="AG3863" s="466"/>
      <c r="AH3863" s="466"/>
      <c r="AI3863" s="466"/>
      <c r="AJ3863" s="466"/>
      <c r="AK3863" s="466"/>
      <c r="AL3863" s="466"/>
      <c r="AM3863" s="466"/>
      <c r="AN3863" s="466"/>
      <c r="AO3863" s="466"/>
      <c r="AP3863" s="466"/>
      <c r="AQ3863" s="466"/>
      <c r="AR3863" s="466"/>
      <c r="AS3863" s="466"/>
      <c r="AT3863" s="466"/>
      <c r="AU3863" s="466"/>
      <c r="AV3863" s="466"/>
      <c r="AW3863" s="466"/>
      <c r="AX3863" s="466"/>
      <c r="AY3863" s="466"/>
      <c r="AZ3863" s="466"/>
      <c r="BA3863" s="466"/>
      <c r="BB3863" s="466"/>
      <c r="BC3863" s="466"/>
      <c r="BD3863" s="466"/>
      <c r="BE3863" s="467"/>
      <c r="BF3863" s="467"/>
      <c r="BG3863" s="466"/>
      <c r="BH3863" s="466"/>
      <c r="BI3863" s="467"/>
      <c r="BJ3863" s="467"/>
      <c r="BK3863" s="467"/>
      <c r="BL3863" s="467"/>
      <c r="BM3863" s="467"/>
      <c r="BN3863" s="467"/>
      <c r="BO3863" s="467"/>
      <c r="BP3863" s="467"/>
      <c r="BQ3863" s="467"/>
      <c r="BR3863" s="467"/>
      <c r="BS3863" s="467"/>
      <c r="BT3863" s="467"/>
      <c r="BU3863" s="467"/>
      <c r="BV3863" s="467"/>
      <c r="BW3863" s="467"/>
      <c r="BX3863" s="769"/>
      <c r="BY3863" s="769"/>
      <c r="BZ3863" s="769"/>
      <c r="CA3863" s="769"/>
      <c r="CB3863" s="769"/>
      <c r="CC3863" s="769"/>
      <c r="CD3863" s="769"/>
      <c r="CE3863" s="769"/>
      <c r="CF3863" s="769"/>
      <c r="CG3863" s="73"/>
      <c r="CH3863" s="438"/>
      <c r="CI3863" s="416"/>
      <c r="CJ3863" s="73"/>
      <c r="CK3863" s="650"/>
      <c r="CL3863" s="499"/>
      <c r="CM3863" s="650"/>
      <c r="CR3863" s="416"/>
      <c r="CS3863" s="650"/>
      <c r="CU3863" s="73"/>
      <c r="CV3863" s="73"/>
      <c r="CW3863" s="73"/>
      <c r="CX3863" s="73"/>
      <c r="DA3863" s="650"/>
    </row>
    <row r="3864" spans="1:105" s="45" customFormat="1" x14ac:dyDescent="0.2">
      <c r="A3864" s="650"/>
      <c r="B3864" s="438"/>
      <c r="D3864" s="73"/>
      <c r="E3864" s="650"/>
      <c r="F3864" s="650"/>
      <c r="G3864" s="73"/>
      <c r="I3864" s="111"/>
      <c r="J3864" s="81"/>
      <c r="K3864" s="81"/>
      <c r="L3864" s="499"/>
      <c r="M3864" s="73"/>
      <c r="N3864" s="499"/>
      <c r="O3864" s="73"/>
      <c r="P3864" s="73"/>
      <c r="Q3864" s="73"/>
      <c r="R3864" s="176"/>
      <c r="S3864" s="176"/>
      <c r="T3864" s="176"/>
      <c r="U3864" s="400"/>
      <c r="V3864" s="400"/>
      <c r="W3864" s="732"/>
      <c r="X3864" s="167"/>
      <c r="Y3864" s="509"/>
      <c r="Z3864" s="466"/>
      <c r="AA3864" s="466"/>
      <c r="AB3864" s="466"/>
      <c r="AC3864" s="466"/>
      <c r="AD3864" s="466"/>
      <c r="AE3864" s="466"/>
      <c r="AF3864" s="466"/>
      <c r="AG3864" s="466"/>
      <c r="AH3864" s="466"/>
      <c r="AI3864" s="466"/>
      <c r="AJ3864" s="466"/>
      <c r="AK3864" s="466"/>
      <c r="AL3864" s="466"/>
      <c r="AM3864" s="466"/>
      <c r="AN3864" s="466"/>
      <c r="AO3864" s="466"/>
      <c r="AP3864" s="466"/>
      <c r="AQ3864" s="466"/>
      <c r="AR3864" s="466"/>
      <c r="AS3864" s="466"/>
      <c r="AT3864" s="466"/>
      <c r="AU3864" s="466"/>
      <c r="AV3864" s="466"/>
      <c r="AW3864" s="466"/>
      <c r="AX3864" s="466"/>
      <c r="AY3864" s="466"/>
      <c r="AZ3864" s="466"/>
      <c r="BA3864" s="466"/>
      <c r="BB3864" s="466"/>
      <c r="BC3864" s="466"/>
      <c r="BD3864" s="466"/>
      <c r="BE3864" s="467"/>
      <c r="BF3864" s="467"/>
      <c r="BG3864" s="466"/>
      <c r="BH3864" s="466"/>
      <c r="BI3864" s="467"/>
      <c r="BJ3864" s="467"/>
      <c r="BK3864" s="467"/>
      <c r="BL3864" s="467"/>
      <c r="BM3864" s="467"/>
      <c r="BN3864" s="467"/>
      <c r="BO3864" s="467"/>
      <c r="BP3864" s="467"/>
      <c r="BQ3864" s="467"/>
      <c r="BR3864" s="467"/>
      <c r="BS3864" s="467"/>
      <c r="BT3864" s="467"/>
      <c r="BU3864" s="467"/>
      <c r="BV3864" s="467"/>
      <c r="BW3864" s="467"/>
      <c r="BX3864" s="769"/>
      <c r="BY3864" s="769"/>
      <c r="BZ3864" s="769"/>
      <c r="CA3864" s="769"/>
      <c r="CB3864" s="769"/>
      <c r="CC3864" s="769"/>
      <c r="CD3864" s="769"/>
      <c r="CE3864" s="769"/>
      <c r="CF3864" s="769"/>
      <c r="CG3864" s="73"/>
      <c r="CH3864" s="438"/>
      <c r="CI3864" s="416"/>
      <c r="CJ3864" s="73"/>
      <c r="CK3864" s="650"/>
      <c r="CL3864" s="499"/>
      <c r="CM3864" s="650"/>
      <c r="CR3864" s="416"/>
      <c r="CS3864" s="650"/>
      <c r="CU3864" s="73"/>
      <c r="CV3864" s="73"/>
      <c r="CW3864" s="73"/>
      <c r="CX3864" s="73"/>
      <c r="DA3864" s="650"/>
    </row>
    <row r="3865" spans="1:105" s="45" customFormat="1" x14ac:dyDescent="0.2">
      <c r="A3865" s="650"/>
      <c r="B3865" s="438"/>
      <c r="D3865" s="73"/>
      <c r="E3865" s="650"/>
      <c r="F3865" s="650"/>
      <c r="G3865" s="73"/>
      <c r="I3865" s="111"/>
      <c r="J3865" s="81"/>
      <c r="K3865" s="81"/>
      <c r="L3865" s="499"/>
      <c r="M3865" s="73"/>
      <c r="N3865" s="499"/>
      <c r="O3865" s="73"/>
      <c r="P3865" s="73"/>
      <c r="Q3865" s="73"/>
      <c r="R3865" s="176"/>
      <c r="S3865" s="176"/>
      <c r="T3865" s="176"/>
      <c r="U3865" s="400"/>
      <c r="V3865" s="400"/>
      <c r="W3865" s="732"/>
      <c r="X3865" s="167"/>
      <c r="Y3865" s="509"/>
      <c r="Z3865" s="466"/>
      <c r="AA3865" s="466"/>
      <c r="AB3865" s="466"/>
      <c r="AC3865" s="466"/>
      <c r="AD3865" s="466"/>
      <c r="AE3865" s="466"/>
      <c r="AF3865" s="466"/>
      <c r="AG3865" s="466"/>
      <c r="AH3865" s="466"/>
      <c r="AI3865" s="466"/>
      <c r="AJ3865" s="466"/>
      <c r="AK3865" s="466"/>
      <c r="AL3865" s="466"/>
      <c r="AM3865" s="466"/>
      <c r="AN3865" s="466"/>
      <c r="AO3865" s="466"/>
      <c r="AP3865" s="466"/>
      <c r="AQ3865" s="466"/>
      <c r="AR3865" s="466"/>
      <c r="AS3865" s="466"/>
      <c r="AT3865" s="466"/>
      <c r="AU3865" s="466"/>
      <c r="AV3865" s="466"/>
      <c r="AW3865" s="466"/>
      <c r="AX3865" s="466"/>
      <c r="AY3865" s="466"/>
      <c r="AZ3865" s="466"/>
      <c r="BA3865" s="466"/>
      <c r="BB3865" s="466"/>
      <c r="BC3865" s="466"/>
      <c r="BD3865" s="466"/>
      <c r="BE3865" s="467"/>
      <c r="BF3865" s="467"/>
      <c r="BG3865" s="466"/>
      <c r="BH3865" s="466"/>
      <c r="BI3865" s="467"/>
      <c r="BJ3865" s="467"/>
      <c r="BK3865" s="467"/>
      <c r="BL3865" s="467"/>
      <c r="BM3865" s="467"/>
      <c r="BN3865" s="467"/>
      <c r="BO3865" s="467"/>
      <c r="BP3865" s="467"/>
      <c r="BQ3865" s="467"/>
      <c r="BR3865" s="467"/>
      <c r="BS3865" s="467"/>
      <c r="BT3865" s="467"/>
      <c r="BU3865" s="467"/>
      <c r="BV3865" s="467"/>
      <c r="BW3865" s="467"/>
      <c r="BX3865" s="769"/>
      <c r="BY3865" s="769"/>
      <c r="BZ3865" s="769"/>
      <c r="CA3865" s="769"/>
      <c r="CB3865" s="769"/>
      <c r="CC3865" s="769"/>
      <c r="CD3865" s="769"/>
      <c r="CE3865" s="769"/>
      <c r="CF3865" s="769"/>
      <c r="CG3865" s="73"/>
      <c r="CH3865" s="438"/>
      <c r="CI3865" s="416"/>
      <c r="CJ3865" s="73"/>
      <c r="CK3865" s="650"/>
      <c r="CL3865" s="499"/>
      <c r="CM3865" s="650"/>
      <c r="CR3865" s="416"/>
      <c r="CS3865" s="650"/>
      <c r="CU3865" s="73"/>
      <c r="CV3865" s="73"/>
      <c r="CW3865" s="73"/>
      <c r="CX3865" s="73"/>
      <c r="DA3865" s="650"/>
    </row>
    <row r="3866" spans="1:105" s="45" customFormat="1" x14ac:dyDescent="0.2">
      <c r="A3866" s="650"/>
      <c r="B3866" s="438"/>
      <c r="D3866" s="73"/>
      <c r="E3866" s="650"/>
      <c r="F3866" s="650"/>
      <c r="G3866" s="73"/>
      <c r="I3866" s="111"/>
      <c r="J3866" s="81"/>
      <c r="K3866" s="81"/>
      <c r="L3866" s="499"/>
      <c r="M3866" s="73"/>
      <c r="N3866" s="499"/>
      <c r="O3866" s="73"/>
      <c r="P3866" s="73"/>
      <c r="Q3866" s="73"/>
      <c r="R3866" s="176"/>
      <c r="S3866" s="176"/>
      <c r="T3866" s="176"/>
      <c r="U3866" s="400"/>
      <c r="V3866" s="400"/>
      <c r="W3866" s="732"/>
      <c r="X3866" s="167"/>
      <c r="Y3866" s="509"/>
      <c r="Z3866" s="466"/>
      <c r="AA3866" s="466"/>
      <c r="AB3866" s="466"/>
      <c r="AC3866" s="466"/>
      <c r="AD3866" s="466"/>
      <c r="AE3866" s="466"/>
      <c r="AF3866" s="466"/>
      <c r="AG3866" s="466"/>
      <c r="AH3866" s="466"/>
      <c r="AI3866" s="466"/>
      <c r="AJ3866" s="466"/>
      <c r="AK3866" s="466"/>
      <c r="AL3866" s="466"/>
      <c r="AM3866" s="466"/>
      <c r="AN3866" s="466"/>
      <c r="AO3866" s="466"/>
      <c r="AP3866" s="466"/>
      <c r="AQ3866" s="466"/>
      <c r="AR3866" s="466"/>
      <c r="AS3866" s="466"/>
      <c r="AT3866" s="466"/>
      <c r="AU3866" s="466"/>
      <c r="AV3866" s="466"/>
      <c r="AW3866" s="466"/>
      <c r="AX3866" s="466"/>
      <c r="AY3866" s="466"/>
      <c r="AZ3866" s="466"/>
      <c r="BA3866" s="466"/>
      <c r="BB3866" s="466"/>
      <c r="BC3866" s="466"/>
      <c r="BD3866" s="466"/>
      <c r="BE3866" s="467"/>
      <c r="BF3866" s="467"/>
      <c r="BG3866" s="466"/>
      <c r="BH3866" s="466"/>
      <c r="BI3866" s="467"/>
      <c r="BJ3866" s="467"/>
      <c r="BK3866" s="467"/>
      <c r="BL3866" s="467"/>
      <c r="BM3866" s="467"/>
      <c r="BN3866" s="467"/>
      <c r="BO3866" s="467"/>
      <c r="BP3866" s="467"/>
      <c r="BQ3866" s="467"/>
      <c r="BR3866" s="467"/>
      <c r="BS3866" s="467"/>
      <c r="BT3866" s="467"/>
      <c r="BU3866" s="467"/>
      <c r="BV3866" s="467"/>
      <c r="BW3866" s="467"/>
      <c r="BX3866" s="769"/>
      <c r="BY3866" s="769"/>
      <c r="BZ3866" s="769"/>
      <c r="CA3866" s="769"/>
      <c r="CB3866" s="769"/>
      <c r="CC3866" s="769"/>
      <c r="CD3866" s="769"/>
      <c r="CE3866" s="769"/>
      <c r="CF3866" s="769"/>
      <c r="CG3866" s="73"/>
      <c r="CH3866" s="438"/>
      <c r="CI3866" s="416"/>
      <c r="CJ3866" s="73"/>
      <c r="CK3866" s="650"/>
      <c r="CL3866" s="499"/>
      <c r="CM3866" s="650"/>
      <c r="CR3866" s="416"/>
      <c r="CS3866" s="650"/>
      <c r="CU3866" s="73"/>
      <c r="CV3866" s="73"/>
      <c r="CW3866" s="73"/>
      <c r="CX3866" s="73"/>
      <c r="DA3866" s="650"/>
    </row>
    <row r="3867" spans="1:105" s="45" customFormat="1" x14ac:dyDescent="0.2">
      <c r="A3867" s="650"/>
      <c r="B3867" s="438"/>
      <c r="D3867" s="73"/>
      <c r="E3867" s="650"/>
      <c r="F3867" s="650"/>
      <c r="G3867" s="73"/>
      <c r="I3867" s="111"/>
      <c r="J3867" s="81"/>
      <c r="K3867" s="81"/>
      <c r="L3867" s="499"/>
      <c r="M3867" s="73"/>
      <c r="N3867" s="499"/>
      <c r="O3867" s="73"/>
      <c r="P3867" s="73"/>
      <c r="Q3867" s="73"/>
      <c r="R3867" s="176"/>
      <c r="S3867" s="176"/>
      <c r="T3867" s="176"/>
      <c r="U3867" s="400"/>
      <c r="V3867" s="400"/>
      <c r="W3867" s="732"/>
      <c r="X3867" s="167"/>
      <c r="Y3867" s="509"/>
      <c r="Z3867" s="466"/>
      <c r="AA3867" s="466"/>
      <c r="AB3867" s="466"/>
      <c r="AC3867" s="466"/>
      <c r="AD3867" s="466"/>
      <c r="AE3867" s="466"/>
      <c r="AF3867" s="466"/>
      <c r="AG3867" s="466"/>
      <c r="AH3867" s="466"/>
      <c r="AI3867" s="466"/>
      <c r="AJ3867" s="466"/>
      <c r="AK3867" s="466"/>
      <c r="AL3867" s="466"/>
      <c r="AM3867" s="466"/>
      <c r="AN3867" s="466"/>
      <c r="AO3867" s="466"/>
      <c r="AP3867" s="466"/>
      <c r="AQ3867" s="466"/>
      <c r="AR3867" s="466"/>
      <c r="AS3867" s="466"/>
      <c r="AT3867" s="466"/>
      <c r="AU3867" s="466"/>
      <c r="AV3867" s="466"/>
      <c r="AW3867" s="466"/>
      <c r="AX3867" s="466"/>
      <c r="AY3867" s="466"/>
      <c r="AZ3867" s="466"/>
      <c r="BA3867" s="466"/>
      <c r="BB3867" s="466"/>
      <c r="BC3867" s="466"/>
      <c r="BD3867" s="466"/>
      <c r="BE3867" s="467"/>
      <c r="BF3867" s="467"/>
      <c r="BG3867" s="466"/>
      <c r="BH3867" s="466"/>
      <c r="BI3867" s="467"/>
      <c r="BJ3867" s="467"/>
      <c r="BK3867" s="467"/>
      <c r="BL3867" s="467"/>
      <c r="BM3867" s="467"/>
      <c r="BN3867" s="467"/>
      <c r="BO3867" s="467"/>
      <c r="BP3867" s="467"/>
      <c r="BQ3867" s="467"/>
      <c r="BR3867" s="467"/>
      <c r="BS3867" s="467"/>
      <c r="BT3867" s="467"/>
      <c r="BU3867" s="467"/>
      <c r="BV3867" s="467"/>
      <c r="BW3867" s="467"/>
      <c r="BX3867" s="769"/>
      <c r="BY3867" s="769"/>
      <c r="BZ3867" s="769"/>
      <c r="CA3867" s="769"/>
      <c r="CB3867" s="769"/>
      <c r="CC3867" s="769"/>
      <c r="CD3867" s="769"/>
      <c r="CE3867" s="769"/>
      <c r="CF3867" s="769"/>
      <c r="CG3867" s="73"/>
      <c r="CH3867" s="438"/>
      <c r="CI3867" s="416"/>
      <c r="CJ3867" s="73"/>
      <c r="CK3867" s="650"/>
      <c r="CL3867" s="499"/>
      <c r="CM3867" s="650"/>
      <c r="CR3867" s="416"/>
      <c r="CS3867" s="650"/>
      <c r="CU3867" s="73"/>
      <c r="CV3867" s="73"/>
      <c r="CW3867" s="73"/>
      <c r="CX3867" s="73"/>
      <c r="DA3867" s="650"/>
    </row>
    <row r="3868" spans="1:105" s="45" customFormat="1" x14ac:dyDescent="0.2">
      <c r="A3868" s="650"/>
      <c r="B3868" s="438"/>
      <c r="D3868" s="73"/>
      <c r="E3868" s="650"/>
      <c r="F3868" s="650"/>
      <c r="G3868" s="73"/>
      <c r="I3868" s="111"/>
      <c r="J3868" s="81"/>
      <c r="K3868" s="81"/>
      <c r="L3868" s="499"/>
      <c r="M3868" s="73"/>
      <c r="N3868" s="499"/>
      <c r="O3868" s="73"/>
      <c r="P3868" s="73"/>
      <c r="Q3868" s="73"/>
      <c r="R3868" s="176"/>
      <c r="S3868" s="176"/>
      <c r="T3868" s="176"/>
      <c r="U3868" s="400"/>
      <c r="V3868" s="400"/>
      <c r="W3868" s="732"/>
      <c r="X3868" s="167"/>
      <c r="Y3868" s="509"/>
      <c r="Z3868" s="466"/>
      <c r="AA3868" s="466"/>
      <c r="AB3868" s="466"/>
      <c r="AC3868" s="466"/>
      <c r="AD3868" s="466"/>
      <c r="AE3868" s="466"/>
      <c r="AF3868" s="466"/>
      <c r="AG3868" s="466"/>
      <c r="AH3868" s="466"/>
      <c r="AI3868" s="466"/>
      <c r="AJ3868" s="466"/>
      <c r="AK3868" s="466"/>
      <c r="AL3868" s="466"/>
      <c r="AM3868" s="466"/>
      <c r="AN3868" s="466"/>
      <c r="AO3868" s="466"/>
      <c r="AP3868" s="466"/>
      <c r="AQ3868" s="466"/>
      <c r="AR3868" s="466"/>
      <c r="AS3868" s="466"/>
      <c r="AT3868" s="466"/>
      <c r="AU3868" s="466"/>
      <c r="AV3868" s="466"/>
      <c r="AW3868" s="466"/>
      <c r="AX3868" s="466"/>
      <c r="AY3868" s="466"/>
      <c r="AZ3868" s="466"/>
      <c r="BA3868" s="466"/>
      <c r="BB3868" s="466"/>
      <c r="BC3868" s="466"/>
      <c r="BD3868" s="466"/>
      <c r="BE3868" s="467"/>
      <c r="BF3868" s="467"/>
      <c r="BG3868" s="466"/>
      <c r="BH3868" s="466"/>
      <c r="BI3868" s="467"/>
      <c r="BJ3868" s="467"/>
      <c r="BK3868" s="467"/>
      <c r="BL3868" s="467"/>
      <c r="BM3868" s="467"/>
      <c r="BN3868" s="467"/>
      <c r="BO3868" s="467"/>
      <c r="BP3868" s="467"/>
      <c r="BQ3868" s="467"/>
      <c r="BR3868" s="467"/>
      <c r="BS3868" s="467"/>
      <c r="BT3868" s="467"/>
      <c r="BU3868" s="467"/>
      <c r="BV3868" s="467"/>
      <c r="BW3868" s="467"/>
      <c r="BX3868" s="769"/>
      <c r="BY3868" s="769"/>
      <c r="BZ3868" s="769"/>
      <c r="CA3868" s="769"/>
      <c r="CB3868" s="769"/>
      <c r="CC3868" s="769"/>
      <c r="CD3868" s="769"/>
      <c r="CE3868" s="769"/>
      <c r="CF3868" s="769"/>
      <c r="CG3868" s="73"/>
      <c r="CH3868" s="438"/>
      <c r="CI3868" s="416"/>
      <c r="CJ3868" s="73"/>
      <c r="CK3868" s="650"/>
      <c r="CL3868" s="499"/>
      <c r="CM3868" s="650"/>
      <c r="CR3868" s="416"/>
      <c r="CS3868" s="650"/>
      <c r="CU3868" s="73"/>
      <c r="CV3868" s="73"/>
      <c r="CW3868" s="73"/>
      <c r="CX3868" s="73"/>
      <c r="DA3868" s="650"/>
    </row>
    <row r="3869" spans="1:105" s="45" customFormat="1" x14ac:dyDescent="0.2">
      <c r="A3869" s="650"/>
      <c r="B3869" s="438"/>
      <c r="D3869" s="73"/>
      <c r="E3869" s="650"/>
      <c r="F3869" s="650"/>
      <c r="G3869" s="73"/>
      <c r="I3869" s="111"/>
      <c r="J3869" s="81"/>
      <c r="K3869" s="81"/>
      <c r="L3869" s="499"/>
      <c r="M3869" s="73"/>
      <c r="N3869" s="499"/>
      <c r="O3869" s="73"/>
      <c r="P3869" s="73"/>
      <c r="Q3869" s="73"/>
      <c r="R3869" s="176"/>
      <c r="S3869" s="176"/>
      <c r="T3869" s="176"/>
      <c r="U3869" s="400"/>
      <c r="V3869" s="400"/>
      <c r="W3869" s="732"/>
      <c r="X3869" s="167"/>
      <c r="Y3869" s="509"/>
      <c r="Z3869" s="466"/>
      <c r="AA3869" s="466"/>
      <c r="AB3869" s="466"/>
      <c r="AC3869" s="466"/>
      <c r="AD3869" s="466"/>
      <c r="AE3869" s="466"/>
      <c r="AF3869" s="466"/>
      <c r="AG3869" s="466"/>
      <c r="AH3869" s="466"/>
      <c r="AI3869" s="466"/>
      <c r="AJ3869" s="466"/>
      <c r="AK3869" s="466"/>
      <c r="AL3869" s="466"/>
      <c r="AM3869" s="466"/>
      <c r="AN3869" s="466"/>
      <c r="AO3869" s="466"/>
      <c r="AP3869" s="466"/>
      <c r="AQ3869" s="466"/>
      <c r="AR3869" s="466"/>
      <c r="AS3869" s="466"/>
      <c r="AT3869" s="466"/>
      <c r="AU3869" s="466"/>
      <c r="AV3869" s="466"/>
      <c r="AW3869" s="466"/>
      <c r="AX3869" s="466"/>
      <c r="AY3869" s="466"/>
      <c r="AZ3869" s="466"/>
      <c r="BA3869" s="466"/>
      <c r="BB3869" s="466"/>
      <c r="BC3869" s="466"/>
      <c r="BD3869" s="466"/>
      <c r="BE3869" s="467"/>
      <c r="BF3869" s="467"/>
      <c r="BG3869" s="466"/>
      <c r="BH3869" s="466"/>
      <c r="BI3869" s="467"/>
      <c r="BJ3869" s="467"/>
      <c r="BK3869" s="467"/>
      <c r="BL3869" s="467"/>
      <c r="BM3869" s="467"/>
      <c r="BN3869" s="467"/>
      <c r="BO3869" s="467"/>
      <c r="BP3869" s="467"/>
      <c r="BQ3869" s="467"/>
      <c r="BR3869" s="467"/>
      <c r="BS3869" s="467"/>
      <c r="BT3869" s="467"/>
      <c r="BU3869" s="467"/>
      <c r="BV3869" s="467"/>
      <c r="BW3869" s="467"/>
      <c r="BX3869" s="769"/>
      <c r="BY3869" s="769"/>
      <c r="BZ3869" s="769"/>
      <c r="CA3869" s="769"/>
      <c r="CB3869" s="769"/>
      <c r="CC3869" s="769"/>
      <c r="CD3869" s="769"/>
      <c r="CE3869" s="769"/>
      <c r="CF3869" s="769"/>
      <c r="CG3869" s="73"/>
      <c r="CH3869" s="438"/>
      <c r="CI3869" s="416"/>
      <c r="CJ3869" s="73"/>
      <c r="CK3869" s="650"/>
      <c r="CL3869" s="499"/>
      <c r="CM3869" s="650"/>
      <c r="CR3869" s="416"/>
      <c r="CS3869" s="650"/>
      <c r="CU3869" s="73"/>
      <c r="CV3869" s="73"/>
      <c r="CW3869" s="73"/>
      <c r="CX3869" s="73"/>
      <c r="DA3869" s="650"/>
    </row>
    <row r="3870" spans="1:105" s="45" customFormat="1" x14ac:dyDescent="0.2">
      <c r="A3870" s="650"/>
      <c r="B3870" s="438"/>
      <c r="D3870" s="73"/>
      <c r="E3870" s="650"/>
      <c r="F3870" s="650"/>
      <c r="G3870" s="73"/>
      <c r="I3870" s="111"/>
      <c r="J3870" s="81"/>
      <c r="K3870" s="81"/>
      <c r="L3870" s="499"/>
      <c r="M3870" s="73"/>
      <c r="N3870" s="499"/>
      <c r="O3870" s="73"/>
      <c r="P3870" s="73"/>
      <c r="Q3870" s="73"/>
      <c r="R3870" s="176"/>
      <c r="S3870" s="176"/>
      <c r="T3870" s="176"/>
      <c r="U3870" s="400"/>
      <c r="V3870" s="400"/>
      <c r="W3870" s="732"/>
      <c r="X3870" s="167"/>
      <c r="Y3870" s="509"/>
      <c r="Z3870" s="466"/>
      <c r="AA3870" s="466"/>
      <c r="AB3870" s="466"/>
      <c r="AC3870" s="466"/>
      <c r="AD3870" s="466"/>
      <c r="AE3870" s="466"/>
      <c r="AF3870" s="466"/>
      <c r="AG3870" s="466"/>
      <c r="AH3870" s="466"/>
      <c r="AI3870" s="466"/>
      <c r="AJ3870" s="466"/>
      <c r="AK3870" s="466"/>
      <c r="AL3870" s="466"/>
      <c r="AM3870" s="466"/>
      <c r="AN3870" s="466"/>
      <c r="AO3870" s="466"/>
      <c r="AP3870" s="466"/>
      <c r="AQ3870" s="466"/>
      <c r="AR3870" s="466"/>
      <c r="AS3870" s="466"/>
      <c r="AT3870" s="466"/>
      <c r="AU3870" s="466"/>
      <c r="AV3870" s="466"/>
      <c r="AW3870" s="466"/>
      <c r="AX3870" s="466"/>
      <c r="AY3870" s="466"/>
      <c r="AZ3870" s="466"/>
      <c r="BA3870" s="466"/>
      <c r="BB3870" s="466"/>
      <c r="BC3870" s="466"/>
      <c r="BD3870" s="466"/>
      <c r="BE3870" s="467"/>
      <c r="BF3870" s="467"/>
      <c r="BG3870" s="466"/>
      <c r="BH3870" s="466"/>
      <c r="BI3870" s="467"/>
      <c r="BJ3870" s="467"/>
      <c r="BK3870" s="467"/>
      <c r="BL3870" s="467"/>
      <c r="BM3870" s="467"/>
      <c r="BN3870" s="467"/>
      <c r="BO3870" s="467"/>
      <c r="BP3870" s="467"/>
      <c r="BQ3870" s="467"/>
      <c r="BR3870" s="467"/>
      <c r="BS3870" s="467"/>
      <c r="BT3870" s="467"/>
      <c r="BU3870" s="467"/>
      <c r="BV3870" s="467"/>
      <c r="BW3870" s="467"/>
      <c r="BX3870" s="769"/>
      <c r="BY3870" s="769"/>
      <c r="BZ3870" s="769"/>
      <c r="CA3870" s="769"/>
      <c r="CB3870" s="769"/>
      <c r="CC3870" s="769"/>
      <c r="CD3870" s="769"/>
      <c r="CE3870" s="769"/>
      <c r="CF3870" s="769"/>
      <c r="CG3870" s="73"/>
      <c r="CH3870" s="438"/>
      <c r="CI3870" s="416"/>
      <c r="CJ3870" s="73"/>
      <c r="CK3870" s="650"/>
      <c r="CL3870" s="499"/>
      <c r="CM3870" s="650"/>
      <c r="CR3870" s="416"/>
      <c r="CS3870" s="650"/>
      <c r="CU3870" s="73"/>
      <c r="CV3870" s="73"/>
      <c r="CW3870" s="73"/>
      <c r="CX3870" s="73"/>
      <c r="DA3870" s="650"/>
    </row>
    <row r="3871" spans="1:105" s="45" customFormat="1" x14ac:dyDescent="0.2">
      <c r="A3871" s="650"/>
      <c r="B3871" s="438"/>
      <c r="D3871" s="73"/>
      <c r="E3871" s="650"/>
      <c r="F3871" s="650"/>
      <c r="G3871" s="73"/>
      <c r="I3871" s="111"/>
      <c r="J3871" s="81"/>
      <c r="K3871" s="81"/>
      <c r="L3871" s="499"/>
      <c r="M3871" s="73"/>
      <c r="N3871" s="499"/>
      <c r="O3871" s="73"/>
      <c r="P3871" s="73"/>
      <c r="Q3871" s="73"/>
      <c r="R3871" s="176"/>
      <c r="S3871" s="176"/>
      <c r="T3871" s="176"/>
      <c r="U3871" s="400"/>
      <c r="V3871" s="400"/>
      <c r="W3871" s="732"/>
      <c r="X3871" s="167"/>
      <c r="Y3871" s="509"/>
      <c r="Z3871" s="466"/>
      <c r="AA3871" s="466"/>
      <c r="AB3871" s="466"/>
      <c r="AC3871" s="466"/>
      <c r="AD3871" s="466"/>
      <c r="AE3871" s="466"/>
      <c r="AF3871" s="466"/>
      <c r="AG3871" s="466"/>
      <c r="AH3871" s="466"/>
      <c r="AI3871" s="466"/>
      <c r="AJ3871" s="466"/>
      <c r="AK3871" s="466"/>
      <c r="AL3871" s="466"/>
      <c r="AM3871" s="466"/>
      <c r="AN3871" s="466"/>
      <c r="AO3871" s="466"/>
      <c r="AP3871" s="466"/>
      <c r="AQ3871" s="466"/>
      <c r="AR3871" s="466"/>
      <c r="AS3871" s="466"/>
      <c r="AT3871" s="466"/>
      <c r="AU3871" s="466"/>
      <c r="AV3871" s="466"/>
      <c r="AW3871" s="466"/>
      <c r="AX3871" s="466"/>
      <c r="AY3871" s="466"/>
      <c r="AZ3871" s="466"/>
      <c r="BA3871" s="466"/>
      <c r="BB3871" s="466"/>
      <c r="BC3871" s="466"/>
      <c r="BD3871" s="466"/>
      <c r="BE3871" s="467"/>
      <c r="BF3871" s="467"/>
      <c r="BG3871" s="466"/>
      <c r="BH3871" s="466"/>
      <c r="BI3871" s="467"/>
      <c r="BJ3871" s="467"/>
      <c r="BK3871" s="467"/>
      <c r="BL3871" s="467"/>
      <c r="BM3871" s="467"/>
      <c r="BN3871" s="467"/>
      <c r="BO3871" s="467"/>
      <c r="BP3871" s="467"/>
      <c r="BQ3871" s="467"/>
      <c r="BR3871" s="467"/>
      <c r="BS3871" s="467"/>
      <c r="BT3871" s="467"/>
      <c r="BU3871" s="467"/>
      <c r="BV3871" s="467"/>
      <c r="BW3871" s="467"/>
      <c r="BX3871" s="769"/>
      <c r="BY3871" s="769"/>
      <c r="BZ3871" s="769"/>
      <c r="CA3871" s="769"/>
      <c r="CB3871" s="769"/>
      <c r="CC3871" s="769"/>
      <c r="CD3871" s="769"/>
      <c r="CE3871" s="769"/>
      <c r="CF3871" s="769"/>
      <c r="CG3871" s="73"/>
      <c r="CH3871" s="438"/>
      <c r="CI3871" s="416"/>
      <c r="CJ3871" s="73"/>
      <c r="CK3871" s="650"/>
      <c r="CL3871" s="499"/>
      <c r="CM3871" s="650"/>
      <c r="CR3871" s="416"/>
      <c r="CS3871" s="650"/>
      <c r="CU3871" s="73"/>
      <c r="CV3871" s="73"/>
      <c r="CW3871" s="73"/>
      <c r="CX3871" s="73"/>
      <c r="DA3871" s="650"/>
    </row>
    <row r="3872" spans="1:105" s="45" customFormat="1" x14ac:dyDescent="0.2">
      <c r="A3872" s="650"/>
      <c r="B3872" s="438"/>
      <c r="D3872" s="73"/>
      <c r="E3872" s="650"/>
      <c r="F3872" s="650"/>
      <c r="G3872" s="73"/>
      <c r="I3872" s="111"/>
      <c r="J3872" s="81"/>
      <c r="K3872" s="81"/>
      <c r="L3872" s="499"/>
      <c r="M3872" s="73"/>
      <c r="N3872" s="499"/>
      <c r="O3872" s="73"/>
      <c r="P3872" s="73"/>
      <c r="Q3872" s="73"/>
      <c r="R3872" s="176"/>
      <c r="S3872" s="176"/>
      <c r="T3872" s="176"/>
      <c r="U3872" s="400"/>
      <c r="V3872" s="400"/>
      <c r="W3872" s="732"/>
      <c r="X3872" s="167"/>
      <c r="Y3872" s="509"/>
      <c r="Z3872" s="466"/>
      <c r="AA3872" s="466"/>
      <c r="AB3872" s="466"/>
      <c r="AC3872" s="466"/>
      <c r="AD3872" s="466"/>
      <c r="AE3872" s="466"/>
      <c r="AF3872" s="466"/>
      <c r="AG3872" s="466"/>
      <c r="AH3872" s="466"/>
      <c r="AI3872" s="466"/>
      <c r="AJ3872" s="466"/>
      <c r="AK3872" s="466"/>
      <c r="AL3872" s="466"/>
      <c r="AM3872" s="466"/>
      <c r="AN3872" s="466"/>
      <c r="AO3872" s="466"/>
      <c r="AP3872" s="466"/>
      <c r="AQ3872" s="466"/>
      <c r="AR3872" s="466"/>
      <c r="AS3872" s="466"/>
      <c r="AT3872" s="466"/>
      <c r="AU3872" s="466"/>
      <c r="AV3872" s="466"/>
      <c r="AW3872" s="466"/>
      <c r="AX3872" s="466"/>
      <c r="AY3872" s="466"/>
      <c r="AZ3872" s="466"/>
      <c r="BA3872" s="466"/>
      <c r="BB3872" s="466"/>
      <c r="BC3872" s="466"/>
      <c r="BD3872" s="466"/>
      <c r="BE3872" s="467"/>
      <c r="BF3872" s="467"/>
      <c r="BG3872" s="466"/>
      <c r="BH3872" s="466"/>
      <c r="BI3872" s="467"/>
      <c r="BJ3872" s="467"/>
      <c r="BK3872" s="467"/>
      <c r="BL3872" s="467"/>
      <c r="BM3872" s="467"/>
      <c r="BN3872" s="467"/>
      <c r="BO3872" s="467"/>
      <c r="BP3872" s="467"/>
      <c r="BQ3872" s="467"/>
      <c r="BR3872" s="467"/>
      <c r="BS3872" s="467"/>
      <c r="BT3872" s="467"/>
      <c r="BU3872" s="467"/>
      <c r="BV3872" s="467"/>
      <c r="BW3872" s="467"/>
      <c r="BX3872" s="769"/>
      <c r="BY3872" s="769"/>
      <c r="BZ3872" s="769"/>
      <c r="CA3872" s="769"/>
      <c r="CB3872" s="769"/>
      <c r="CC3872" s="769"/>
      <c r="CD3872" s="769"/>
      <c r="CE3872" s="769"/>
      <c r="CF3872" s="769"/>
      <c r="CG3872" s="73"/>
      <c r="CH3872" s="438"/>
      <c r="CI3872" s="416"/>
      <c r="CJ3872" s="73"/>
      <c r="CK3872" s="650"/>
      <c r="CL3872" s="499"/>
      <c r="CM3872" s="650"/>
      <c r="CR3872" s="416"/>
      <c r="CS3872" s="650"/>
      <c r="CU3872" s="73"/>
      <c r="CV3872" s="73"/>
      <c r="CW3872" s="73"/>
      <c r="CX3872" s="73"/>
      <c r="DA3872" s="650"/>
    </row>
    <row r="3873" spans="1:105" s="45" customFormat="1" x14ac:dyDescent="0.2">
      <c r="A3873" s="650"/>
      <c r="B3873" s="438"/>
      <c r="D3873" s="73"/>
      <c r="E3873" s="650"/>
      <c r="F3873" s="650"/>
      <c r="G3873" s="73"/>
      <c r="I3873" s="111"/>
      <c r="J3873" s="81"/>
      <c r="K3873" s="81"/>
      <c r="L3873" s="499"/>
      <c r="M3873" s="73"/>
      <c r="N3873" s="499"/>
      <c r="O3873" s="73"/>
      <c r="P3873" s="73"/>
      <c r="Q3873" s="73"/>
      <c r="R3873" s="176"/>
      <c r="S3873" s="176"/>
      <c r="T3873" s="176"/>
      <c r="U3873" s="400"/>
      <c r="V3873" s="400"/>
      <c r="W3873" s="732"/>
      <c r="X3873" s="167"/>
      <c r="Y3873" s="509"/>
      <c r="Z3873" s="466"/>
      <c r="AA3873" s="466"/>
      <c r="AB3873" s="466"/>
      <c r="AC3873" s="466"/>
      <c r="AD3873" s="466"/>
      <c r="AE3873" s="466"/>
      <c r="AF3873" s="466"/>
      <c r="AG3873" s="466"/>
      <c r="AH3873" s="466"/>
      <c r="AI3873" s="466"/>
      <c r="AJ3873" s="466"/>
      <c r="AK3873" s="466"/>
      <c r="AL3873" s="466"/>
      <c r="AM3873" s="466"/>
      <c r="AN3873" s="466"/>
      <c r="AO3873" s="466"/>
      <c r="AP3873" s="466"/>
      <c r="AQ3873" s="466"/>
      <c r="AR3873" s="466"/>
      <c r="AS3873" s="466"/>
      <c r="AT3873" s="466"/>
      <c r="AU3873" s="466"/>
      <c r="AV3873" s="466"/>
      <c r="AW3873" s="466"/>
      <c r="AX3873" s="466"/>
      <c r="AY3873" s="466"/>
      <c r="AZ3873" s="466"/>
      <c r="BA3873" s="466"/>
      <c r="BB3873" s="466"/>
      <c r="BC3873" s="466"/>
      <c r="BD3873" s="466"/>
      <c r="BE3873" s="467"/>
      <c r="BF3873" s="467"/>
      <c r="BG3873" s="466"/>
      <c r="BH3873" s="466"/>
      <c r="BI3873" s="467"/>
      <c r="BJ3873" s="467"/>
      <c r="BK3873" s="467"/>
      <c r="BL3873" s="467"/>
      <c r="BM3873" s="467"/>
      <c r="BN3873" s="467"/>
      <c r="BO3873" s="467"/>
      <c r="BP3873" s="467"/>
      <c r="BQ3873" s="467"/>
      <c r="BR3873" s="467"/>
      <c r="BS3873" s="467"/>
      <c r="BT3873" s="467"/>
      <c r="BU3873" s="467"/>
      <c r="BV3873" s="467"/>
      <c r="BW3873" s="467"/>
      <c r="BX3873" s="769"/>
      <c r="BY3873" s="769"/>
      <c r="BZ3873" s="769"/>
      <c r="CA3873" s="769"/>
      <c r="CB3873" s="769"/>
      <c r="CC3873" s="769"/>
      <c r="CD3873" s="769"/>
      <c r="CE3873" s="769"/>
      <c r="CF3873" s="769"/>
      <c r="CG3873" s="73"/>
      <c r="CH3873" s="438"/>
      <c r="CI3873" s="416"/>
      <c r="CJ3873" s="73"/>
      <c r="CK3873" s="650"/>
      <c r="CL3873" s="499"/>
      <c r="CM3873" s="650"/>
      <c r="CR3873" s="416"/>
      <c r="CS3873" s="650"/>
      <c r="CU3873" s="73"/>
      <c r="CV3873" s="73"/>
      <c r="CW3873" s="73"/>
      <c r="CX3873" s="73"/>
      <c r="DA3873" s="650"/>
    </row>
    <row r="3874" spans="1:105" s="45" customFormat="1" x14ac:dyDescent="0.2">
      <c r="A3874" s="650"/>
      <c r="B3874" s="438"/>
      <c r="D3874" s="73"/>
      <c r="E3874" s="650"/>
      <c r="F3874" s="650"/>
      <c r="G3874" s="73"/>
      <c r="I3874" s="111"/>
      <c r="J3874" s="81"/>
      <c r="K3874" s="81"/>
      <c r="L3874" s="499"/>
      <c r="M3874" s="73"/>
      <c r="N3874" s="499"/>
      <c r="O3874" s="73"/>
      <c r="P3874" s="73"/>
      <c r="Q3874" s="73"/>
      <c r="R3874" s="176"/>
      <c r="S3874" s="176"/>
      <c r="T3874" s="176"/>
      <c r="U3874" s="400"/>
      <c r="V3874" s="400"/>
      <c r="W3874" s="732"/>
      <c r="X3874" s="167"/>
      <c r="Y3874" s="509"/>
      <c r="Z3874" s="466"/>
      <c r="AA3874" s="466"/>
      <c r="AB3874" s="466"/>
      <c r="AC3874" s="466"/>
      <c r="AD3874" s="466"/>
      <c r="AE3874" s="466"/>
      <c r="AF3874" s="466"/>
      <c r="AG3874" s="466"/>
      <c r="AH3874" s="466"/>
      <c r="AI3874" s="466"/>
      <c r="AJ3874" s="466"/>
      <c r="AK3874" s="466"/>
      <c r="AL3874" s="466"/>
      <c r="AM3874" s="466"/>
      <c r="AN3874" s="466"/>
      <c r="AO3874" s="466"/>
      <c r="AP3874" s="466"/>
      <c r="AQ3874" s="466"/>
      <c r="AR3874" s="466"/>
      <c r="AS3874" s="466"/>
      <c r="AT3874" s="466"/>
      <c r="AU3874" s="466"/>
      <c r="AV3874" s="466"/>
      <c r="AW3874" s="466"/>
      <c r="AX3874" s="466"/>
      <c r="AY3874" s="466"/>
      <c r="AZ3874" s="466"/>
      <c r="BA3874" s="466"/>
      <c r="BB3874" s="466"/>
      <c r="BC3874" s="466"/>
      <c r="BD3874" s="466"/>
      <c r="BE3874" s="467"/>
      <c r="BF3874" s="467"/>
      <c r="BG3874" s="466"/>
      <c r="BH3874" s="466"/>
      <c r="BI3874" s="467"/>
      <c r="BJ3874" s="467"/>
      <c r="BK3874" s="467"/>
      <c r="BL3874" s="467"/>
      <c r="BM3874" s="467"/>
      <c r="BN3874" s="467"/>
      <c r="BO3874" s="467"/>
      <c r="BP3874" s="467"/>
      <c r="BQ3874" s="467"/>
      <c r="BR3874" s="467"/>
      <c r="BS3874" s="467"/>
      <c r="BT3874" s="467"/>
      <c r="BU3874" s="467"/>
      <c r="BV3874" s="467"/>
      <c r="BW3874" s="467"/>
      <c r="BX3874" s="769"/>
      <c r="BY3874" s="769"/>
      <c r="BZ3874" s="769"/>
      <c r="CA3874" s="769"/>
      <c r="CB3874" s="769"/>
      <c r="CC3874" s="769"/>
      <c r="CD3874" s="769"/>
      <c r="CE3874" s="769"/>
      <c r="CF3874" s="769"/>
      <c r="CG3874" s="73"/>
      <c r="CH3874" s="438"/>
      <c r="CI3874" s="416"/>
      <c r="CJ3874" s="73"/>
      <c r="CK3874" s="650"/>
      <c r="CL3874" s="499"/>
      <c r="CM3874" s="650"/>
      <c r="CR3874" s="416"/>
      <c r="CS3874" s="650"/>
      <c r="CU3874" s="73"/>
      <c r="CV3874" s="73"/>
      <c r="CW3874" s="73"/>
      <c r="CX3874" s="73"/>
      <c r="DA3874" s="650"/>
    </row>
    <row r="3875" spans="1:105" s="45" customFormat="1" x14ac:dyDescent="0.2">
      <c r="A3875" s="650"/>
      <c r="B3875" s="438"/>
      <c r="D3875" s="73"/>
      <c r="E3875" s="650"/>
      <c r="F3875" s="650"/>
      <c r="G3875" s="73"/>
      <c r="I3875" s="111"/>
      <c r="J3875" s="81"/>
      <c r="K3875" s="81"/>
      <c r="L3875" s="499"/>
      <c r="M3875" s="73"/>
      <c r="N3875" s="499"/>
      <c r="O3875" s="73"/>
      <c r="P3875" s="73"/>
      <c r="Q3875" s="73"/>
      <c r="R3875" s="176"/>
      <c r="S3875" s="176"/>
      <c r="T3875" s="176"/>
      <c r="U3875" s="400"/>
      <c r="V3875" s="400"/>
      <c r="W3875" s="732"/>
      <c r="X3875" s="167"/>
      <c r="Y3875" s="509"/>
      <c r="Z3875" s="466"/>
      <c r="AA3875" s="466"/>
      <c r="AB3875" s="466"/>
      <c r="AC3875" s="466"/>
      <c r="AD3875" s="466"/>
      <c r="AE3875" s="466"/>
      <c r="AF3875" s="466"/>
      <c r="AG3875" s="466"/>
      <c r="AH3875" s="466"/>
      <c r="AI3875" s="466"/>
      <c r="AJ3875" s="466"/>
      <c r="AK3875" s="466"/>
      <c r="AL3875" s="466"/>
      <c r="AM3875" s="466"/>
      <c r="AN3875" s="466"/>
      <c r="AO3875" s="466"/>
      <c r="AP3875" s="466"/>
      <c r="AQ3875" s="466"/>
      <c r="AR3875" s="466"/>
      <c r="AS3875" s="466"/>
      <c r="AT3875" s="466"/>
      <c r="AU3875" s="466"/>
      <c r="AV3875" s="466"/>
      <c r="AW3875" s="466"/>
      <c r="AX3875" s="466"/>
      <c r="AY3875" s="466"/>
      <c r="AZ3875" s="466"/>
      <c r="BA3875" s="466"/>
      <c r="BB3875" s="466"/>
      <c r="BC3875" s="466"/>
      <c r="BD3875" s="466"/>
      <c r="BE3875" s="467"/>
      <c r="BF3875" s="467"/>
      <c r="BG3875" s="466"/>
      <c r="BH3875" s="466"/>
      <c r="BI3875" s="467"/>
      <c r="BJ3875" s="467"/>
      <c r="BK3875" s="467"/>
      <c r="BL3875" s="467"/>
      <c r="BM3875" s="467"/>
      <c r="BN3875" s="467"/>
      <c r="BO3875" s="467"/>
      <c r="BP3875" s="467"/>
      <c r="BQ3875" s="467"/>
      <c r="BR3875" s="467"/>
      <c r="BS3875" s="467"/>
      <c r="BT3875" s="467"/>
      <c r="BU3875" s="467"/>
      <c r="BV3875" s="467"/>
      <c r="BW3875" s="467"/>
      <c r="BX3875" s="769"/>
      <c r="BY3875" s="769"/>
      <c r="BZ3875" s="769"/>
      <c r="CA3875" s="769"/>
      <c r="CB3875" s="769"/>
      <c r="CC3875" s="769"/>
      <c r="CD3875" s="769"/>
      <c r="CE3875" s="769"/>
      <c r="CF3875" s="769"/>
      <c r="CG3875" s="73"/>
      <c r="CH3875" s="438"/>
      <c r="CI3875" s="416"/>
      <c r="CJ3875" s="73"/>
      <c r="CK3875" s="650"/>
      <c r="CL3875" s="499"/>
      <c r="CM3875" s="650"/>
      <c r="CR3875" s="416"/>
      <c r="CS3875" s="650"/>
      <c r="CU3875" s="73"/>
      <c r="CV3875" s="73"/>
      <c r="CW3875" s="73"/>
      <c r="CX3875" s="73"/>
      <c r="DA3875" s="650"/>
    </row>
    <row r="3876" spans="1:105" s="45" customFormat="1" x14ac:dyDescent="0.2">
      <c r="A3876" s="650"/>
      <c r="B3876" s="438"/>
      <c r="D3876" s="73"/>
      <c r="E3876" s="650"/>
      <c r="F3876" s="650"/>
      <c r="G3876" s="73"/>
      <c r="I3876" s="111"/>
      <c r="J3876" s="81"/>
      <c r="K3876" s="81"/>
      <c r="L3876" s="499"/>
      <c r="M3876" s="73"/>
      <c r="N3876" s="499"/>
      <c r="O3876" s="73"/>
      <c r="P3876" s="73"/>
      <c r="Q3876" s="73"/>
      <c r="R3876" s="176"/>
      <c r="S3876" s="176"/>
      <c r="T3876" s="176"/>
      <c r="U3876" s="400"/>
      <c r="V3876" s="400"/>
      <c r="W3876" s="732"/>
      <c r="X3876" s="167"/>
      <c r="Y3876" s="509"/>
      <c r="Z3876" s="466"/>
      <c r="AA3876" s="466"/>
      <c r="AB3876" s="466"/>
      <c r="AC3876" s="466"/>
      <c r="AD3876" s="466"/>
      <c r="AE3876" s="466"/>
      <c r="AF3876" s="466"/>
      <c r="AG3876" s="466"/>
      <c r="AH3876" s="466"/>
      <c r="AI3876" s="466"/>
      <c r="AJ3876" s="466"/>
      <c r="AK3876" s="466"/>
      <c r="AL3876" s="466"/>
      <c r="AM3876" s="466"/>
      <c r="AN3876" s="466"/>
      <c r="AO3876" s="466"/>
      <c r="AP3876" s="466"/>
      <c r="AQ3876" s="466"/>
      <c r="AR3876" s="466"/>
      <c r="AS3876" s="466"/>
      <c r="AT3876" s="466"/>
      <c r="AU3876" s="466"/>
      <c r="AV3876" s="466"/>
      <c r="AW3876" s="466"/>
      <c r="AX3876" s="466"/>
      <c r="AY3876" s="466"/>
      <c r="AZ3876" s="466"/>
      <c r="BA3876" s="466"/>
      <c r="BB3876" s="466"/>
      <c r="BC3876" s="466"/>
      <c r="BD3876" s="466"/>
      <c r="BE3876" s="467"/>
      <c r="BF3876" s="467"/>
      <c r="BG3876" s="466"/>
      <c r="BH3876" s="466"/>
      <c r="BI3876" s="467"/>
      <c r="BJ3876" s="467"/>
      <c r="BK3876" s="467"/>
      <c r="BL3876" s="467"/>
      <c r="BM3876" s="467"/>
      <c r="BN3876" s="467"/>
      <c r="BO3876" s="467"/>
      <c r="BP3876" s="467"/>
      <c r="BQ3876" s="467"/>
      <c r="BR3876" s="467"/>
      <c r="BS3876" s="467"/>
      <c r="BT3876" s="467"/>
      <c r="BU3876" s="467"/>
      <c r="BV3876" s="467"/>
      <c r="BW3876" s="467"/>
      <c r="BX3876" s="769"/>
      <c r="BY3876" s="769"/>
      <c r="BZ3876" s="769"/>
      <c r="CA3876" s="769"/>
      <c r="CB3876" s="769"/>
      <c r="CC3876" s="769"/>
      <c r="CD3876" s="769"/>
      <c r="CE3876" s="769"/>
      <c r="CF3876" s="769"/>
      <c r="CG3876" s="73"/>
      <c r="CH3876" s="438"/>
      <c r="CI3876" s="416"/>
      <c r="CJ3876" s="73"/>
      <c r="CK3876" s="650"/>
      <c r="CL3876" s="499"/>
      <c r="CM3876" s="650"/>
      <c r="CR3876" s="416"/>
      <c r="CS3876" s="650"/>
      <c r="CU3876" s="73"/>
      <c r="CV3876" s="73"/>
      <c r="CW3876" s="73"/>
      <c r="CX3876" s="73"/>
      <c r="DA3876" s="650"/>
    </row>
    <row r="3877" spans="1:105" s="45" customFormat="1" x14ac:dyDescent="0.2">
      <c r="A3877" s="650"/>
      <c r="B3877" s="438"/>
      <c r="D3877" s="73"/>
      <c r="E3877" s="650"/>
      <c r="F3877" s="650"/>
      <c r="G3877" s="73"/>
      <c r="I3877" s="111"/>
      <c r="J3877" s="81"/>
      <c r="K3877" s="81"/>
      <c r="L3877" s="499"/>
      <c r="M3877" s="73"/>
      <c r="N3877" s="499"/>
      <c r="O3877" s="73"/>
      <c r="P3877" s="73"/>
      <c r="Q3877" s="73"/>
      <c r="R3877" s="176"/>
      <c r="S3877" s="176"/>
      <c r="T3877" s="176"/>
      <c r="U3877" s="400"/>
      <c r="V3877" s="400"/>
      <c r="W3877" s="732"/>
      <c r="X3877" s="167"/>
      <c r="Y3877" s="509"/>
      <c r="Z3877" s="466"/>
      <c r="AA3877" s="466"/>
      <c r="AB3877" s="466"/>
      <c r="AC3877" s="466"/>
      <c r="AD3877" s="466"/>
      <c r="AE3877" s="466"/>
      <c r="AF3877" s="466"/>
      <c r="AG3877" s="466"/>
      <c r="AH3877" s="466"/>
      <c r="AI3877" s="466"/>
      <c r="AJ3877" s="466"/>
      <c r="AK3877" s="466"/>
      <c r="AL3877" s="466"/>
      <c r="AM3877" s="466"/>
      <c r="AN3877" s="466"/>
      <c r="AO3877" s="466"/>
      <c r="AP3877" s="466"/>
      <c r="AQ3877" s="466"/>
      <c r="AR3877" s="466"/>
      <c r="AS3877" s="466"/>
      <c r="AT3877" s="466"/>
      <c r="AU3877" s="466"/>
      <c r="AV3877" s="466"/>
      <c r="AW3877" s="466"/>
      <c r="AX3877" s="466"/>
      <c r="AY3877" s="466"/>
      <c r="AZ3877" s="466"/>
      <c r="BA3877" s="466"/>
      <c r="BB3877" s="466"/>
      <c r="BC3877" s="466"/>
      <c r="BD3877" s="466"/>
      <c r="BE3877" s="467"/>
      <c r="BF3877" s="467"/>
      <c r="BG3877" s="466"/>
      <c r="BH3877" s="466"/>
      <c r="BI3877" s="467"/>
      <c r="BJ3877" s="467"/>
      <c r="BK3877" s="467"/>
      <c r="BL3877" s="467"/>
      <c r="BM3877" s="467"/>
      <c r="BN3877" s="467"/>
      <c r="BO3877" s="467"/>
      <c r="BP3877" s="467"/>
      <c r="BQ3877" s="467"/>
      <c r="BR3877" s="467"/>
      <c r="BS3877" s="467"/>
      <c r="BT3877" s="467"/>
      <c r="BU3877" s="467"/>
      <c r="BV3877" s="467"/>
      <c r="BW3877" s="467"/>
      <c r="BX3877" s="769"/>
      <c r="BY3877" s="769"/>
      <c r="BZ3877" s="769"/>
      <c r="CA3877" s="769"/>
      <c r="CB3877" s="769"/>
      <c r="CC3877" s="769"/>
      <c r="CD3877" s="769"/>
      <c r="CE3877" s="769"/>
      <c r="CF3877" s="769"/>
      <c r="CG3877" s="73"/>
      <c r="CH3877" s="438"/>
      <c r="CI3877" s="416"/>
      <c r="CJ3877" s="73"/>
      <c r="CK3877" s="650"/>
      <c r="CL3877" s="499"/>
      <c r="CM3877" s="650"/>
      <c r="CR3877" s="416"/>
      <c r="CS3877" s="650"/>
      <c r="CU3877" s="73"/>
      <c r="CV3877" s="73"/>
      <c r="CW3877" s="73"/>
      <c r="CX3877" s="73"/>
      <c r="DA3877" s="650"/>
    </row>
    <row r="3878" spans="1:105" s="45" customFormat="1" x14ac:dyDescent="0.2">
      <c r="A3878" s="650"/>
      <c r="B3878" s="438"/>
      <c r="D3878" s="73"/>
      <c r="E3878" s="650"/>
      <c r="F3878" s="650"/>
      <c r="G3878" s="73"/>
      <c r="I3878" s="111"/>
      <c r="J3878" s="81"/>
      <c r="K3878" s="81"/>
      <c r="L3878" s="499"/>
      <c r="M3878" s="73"/>
      <c r="N3878" s="499"/>
      <c r="O3878" s="73"/>
      <c r="P3878" s="73"/>
      <c r="Q3878" s="73"/>
      <c r="R3878" s="176"/>
      <c r="S3878" s="176"/>
      <c r="T3878" s="176"/>
      <c r="U3878" s="400"/>
      <c r="V3878" s="400"/>
      <c r="W3878" s="732"/>
      <c r="X3878" s="167"/>
      <c r="Y3878" s="509"/>
      <c r="Z3878" s="466"/>
      <c r="AA3878" s="466"/>
      <c r="AB3878" s="466"/>
      <c r="AC3878" s="466"/>
      <c r="AD3878" s="466"/>
      <c r="AE3878" s="466"/>
      <c r="AF3878" s="466"/>
      <c r="AG3878" s="466"/>
      <c r="AH3878" s="466"/>
      <c r="AI3878" s="466"/>
      <c r="AJ3878" s="466"/>
      <c r="AK3878" s="466"/>
      <c r="AL3878" s="466"/>
      <c r="AM3878" s="466"/>
      <c r="AN3878" s="466"/>
      <c r="AO3878" s="466"/>
      <c r="AP3878" s="466"/>
      <c r="AQ3878" s="466"/>
      <c r="AR3878" s="466"/>
      <c r="AS3878" s="466"/>
      <c r="AT3878" s="466"/>
      <c r="AU3878" s="466"/>
      <c r="AV3878" s="466"/>
      <c r="AW3878" s="466"/>
      <c r="AX3878" s="466"/>
      <c r="AY3878" s="466"/>
      <c r="AZ3878" s="466"/>
      <c r="BA3878" s="466"/>
      <c r="BB3878" s="466"/>
      <c r="BC3878" s="466"/>
      <c r="BD3878" s="466"/>
      <c r="BE3878" s="467"/>
      <c r="BF3878" s="467"/>
      <c r="BG3878" s="466"/>
      <c r="BH3878" s="466"/>
      <c r="BI3878" s="467"/>
      <c r="BJ3878" s="467"/>
      <c r="BK3878" s="467"/>
      <c r="BL3878" s="467"/>
      <c r="BM3878" s="467"/>
      <c r="BN3878" s="467"/>
      <c r="BO3878" s="467"/>
      <c r="BP3878" s="467"/>
      <c r="BQ3878" s="467"/>
      <c r="BR3878" s="467"/>
      <c r="BS3878" s="467"/>
      <c r="BT3878" s="467"/>
      <c r="BU3878" s="467"/>
      <c r="BV3878" s="467"/>
      <c r="BW3878" s="467"/>
      <c r="BX3878" s="769"/>
      <c r="BY3878" s="769"/>
      <c r="BZ3878" s="769"/>
      <c r="CA3878" s="769"/>
      <c r="CB3878" s="769"/>
      <c r="CC3878" s="769"/>
      <c r="CD3878" s="769"/>
      <c r="CE3878" s="769"/>
      <c r="CF3878" s="769"/>
      <c r="CG3878" s="73"/>
      <c r="CH3878" s="438"/>
      <c r="CI3878" s="416"/>
      <c r="CJ3878" s="73"/>
      <c r="CK3878" s="650"/>
      <c r="CL3878" s="499"/>
      <c r="CM3878" s="650"/>
      <c r="CR3878" s="416"/>
      <c r="CS3878" s="650"/>
      <c r="CU3878" s="73"/>
      <c r="CV3878" s="73"/>
      <c r="CW3878" s="73"/>
      <c r="CX3878" s="73"/>
      <c r="DA3878" s="650"/>
    </row>
    <row r="3879" spans="1:105" s="45" customFormat="1" x14ac:dyDescent="0.2">
      <c r="A3879" s="650"/>
      <c r="B3879" s="438"/>
      <c r="D3879" s="73"/>
      <c r="E3879" s="650"/>
      <c r="F3879" s="650"/>
      <c r="G3879" s="73"/>
      <c r="I3879" s="111"/>
      <c r="J3879" s="81"/>
      <c r="K3879" s="81"/>
      <c r="L3879" s="499"/>
      <c r="M3879" s="73"/>
      <c r="N3879" s="499"/>
      <c r="O3879" s="73"/>
      <c r="P3879" s="73"/>
      <c r="Q3879" s="73"/>
      <c r="R3879" s="176"/>
      <c r="S3879" s="176"/>
      <c r="T3879" s="176"/>
      <c r="U3879" s="400"/>
      <c r="V3879" s="400"/>
      <c r="W3879" s="732"/>
      <c r="X3879" s="167"/>
      <c r="Y3879" s="509"/>
      <c r="Z3879" s="466"/>
      <c r="AA3879" s="466"/>
      <c r="AB3879" s="466"/>
      <c r="AC3879" s="466"/>
      <c r="AD3879" s="466"/>
      <c r="AE3879" s="466"/>
      <c r="AF3879" s="466"/>
      <c r="AG3879" s="466"/>
      <c r="AH3879" s="466"/>
      <c r="AI3879" s="466"/>
      <c r="AJ3879" s="466"/>
      <c r="AK3879" s="466"/>
      <c r="AL3879" s="466"/>
      <c r="AM3879" s="466"/>
      <c r="AN3879" s="466"/>
      <c r="AO3879" s="466"/>
      <c r="AP3879" s="466"/>
      <c r="AQ3879" s="466"/>
      <c r="AR3879" s="466"/>
      <c r="AS3879" s="466"/>
      <c r="AT3879" s="466"/>
      <c r="AU3879" s="466"/>
      <c r="AV3879" s="466"/>
      <c r="AW3879" s="466"/>
      <c r="AX3879" s="466"/>
      <c r="AY3879" s="466"/>
      <c r="AZ3879" s="466"/>
      <c r="BA3879" s="466"/>
      <c r="BB3879" s="466"/>
      <c r="BC3879" s="466"/>
      <c r="BD3879" s="466"/>
      <c r="BE3879" s="467"/>
      <c r="BF3879" s="467"/>
      <c r="BG3879" s="466"/>
      <c r="BH3879" s="466"/>
      <c r="BI3879" s="467"/>
      <c r="BJ3879" s="467"/>
      <c r="BK3879" s="467"/>
      <c r="BL3879" s="467"/>
      <c r="BM3879" s="467"/>
      <c r="BN3879" s="467"/>
      <c r="BO3879" s="467"/>
      <c r="BP3879" s="467"/>
      <c r="BQ3879" s="467"/>
      <c r="BR3879" s="467"/>
      <c r="BS3879" s="467"/>
      <c r="BT3879" s="467"/>
      <c r="BU3879" s="467"/>
      <c r="BV3879" s="467"/>
      <c r="BW3879" s="467"/>
      <c r="BX3879" s="769"/>
      <c r="BY3879" s="769"/>
      <c r="BZ3879" s="769"/>
      <c r="CA3879" s="769"/>
      <c r="CB3879" s="769"/>
      <c r="CC3879" s="769"/>
      <c r="CD3879" s="769"/>
      <c r="CE3879" s="769"/>
      <c r="CF3879" s="769"/>
      <c r="CG3879" s="73"/>
      <c r="CH3879" s="438"/>
      <c r="CI3879" s="416"/>
      <c r="CJ3879" s="73"/>
      <c r="CK3879" s="650"/>
      <c r="CL3879" s="499"/>
      <c r="CM3879" s="650"/>
      <c r="CR3879" s="416"/>
      <c r="CS3879" s="650"/>
      <c r="CU3879" s="73"/>
      <c r="CV3879" s="73"/>
      <c r="CW3879" s="73"/>
      <c r="CX3879" s="73"/>
      <c r="DA3879" s="650"/>
    </row>
    <row r="3880" spans="1:105" s="45" customFormat="1" x14ac:dyDescent="0.2">
      <c r="A3880" s="650"/>
      <c r="B3880" s="438"/>
      <c r="D3880" s="73"/>
      <c r="E3880" s="650"/>
      <c r="F3880" s="650"/>
      <c r="G3880" s="73"/>
      <c r="I3880" s="111"/>
      <c r="J3880" s="81"/>
      <c r="K3880" s="81"/>
      <c r="L3880" s="499"/>
      <c r="M3880" s="73"/>
      <c r="N3880" s="499"/>
      <c r="O3880" s="73"/>
      <c r="P3880" s="73"/>
      <c r="Q3880" s="73"/>
      <c r="R3880" s="176"/>
      <c r="S3880" s="176"/>
      <c r="T3880" s="176"/>
      <c r="U3880" s="400"/>
      <c r="V3880" s="400"/>
      <c r="W3880" s="732"/>
      <c r="X3880" s="167"/>
      <c r="Y3880" s="509"/>
      <c r="Z3880" s="466"/>
      <c r="AA3880" s="466"/>
      <c r="AB3880" s="466"/>
      <c r="AC3880" s="466"/>
      <c r="AD3880" s="466"/>
      <c r="AE3880" s="466"/>
      <c r="AF3880" s="466"/>
      <c r="AG3880" s="466"/>
      <c r="AH3880" s="466"/>
      <c r="AI3880" s="466"/>
      <c r="AJ3880" s="466"/>
      <c r="AK3880" s="466"/>
      <c r="AL3880" s="466"/>
      <c r="AM3880" s="466"/>
      <c r="AN3880" s="466"/>
      <c r="AO3880" s="466"/>
      <c r="AP3880" s="466"/>
      <c r="AQ3880" s="466"/>
      <c r="AR3880" s="466"/>
      <c r="AS3880" s="466"/>
      <c r="AT3880" s="466"/>
      <c r="AU3880" s="466"/>
      <c r="AV3880" s="466"/>
      <c r="AW3880" s="466"/>
      <c r="AX3880" s="466"/>
      <c r="AY3880" s="466"/>
      <c r="AZ3880" s="466"/>
      <c r="BA3880" s="466"/>
      <c r="BB3880" s="466"/>
      <c r="BC3880" s="466"/>
      <c r="BD3880" s="466"/>
      <c r="BE3880" s="467"/>
      <c r="BF3880" s="467"/>
      <c r="BG3880" s="466"/>
      <c r="BH3880" s="466"/>
      <c r="BI3880" s="467"/>
      <c r="BJ3880" s="467"/>
      <c r="BK3880" s="467"/>
      <c r="BL3880" s="467"/>
      <c r="BM3880" s="467"/>
      <c r="BN3880" s="467"/>
      <c r="BO3880" s="467"/>
      <c r="BP3880" s="467"/>
      <c r="BQ3880" s="467"/>
      <c r="BR3880" s="467"/>
      <c r="BS3880" s="467"/>
      <c r="BT3880" s="467"/>
      <c r="BU3880" s="467"/>
      <c r="BV3880" s="467"/>
      <c r="BW3880" s="467"/>
      <c r="BX3880" s="769"/>
      <c r="BY3880" s="769"/>
      <c r="BZ3880" s="769"/>
      <c r="CA3880" s="769"/>
      <c r="CB3880" s="769"/>
      <c r="CC3880" s="769"/>
      <c r="CD3880" s="769"/>
      <c r="CE3880" s="769"/>
      <c r="CF3880" s="769"/>
      <c r="CG3880" s="73"/>
      <c r="CH3880" s="438"/>
      <c r="CI3880" s="416"/>
      <c r="CJ3880" s="73"/>
      <c r="CK3880" s="650"/>
      <c r="CL3880" s="499"/>
      <c r="CM3880" s="650"/>
      <c r="CR3880" s="416"/>
      <c r="CS3880" s="650"/>
      <c r="CU3880" s="73"/>
      <c r="CV3880" s="73"/>
      <c r="CW3880" s="73"/>
      <c r="CX3880" s="73"/>
      <c r="DA3880" s="650"/>
    </row>
    <row r="3881" spans="1:105" s="45" customFormat="1" x14ac:dyDescent="0.2">
      <c r="A3881" s="650"/>
      <c r="B3881" s="438"/>
      <c r="D3881" s="73"/>
      <c r="E3881" s="650"/>
      <c r="F3881" s="650"/>
      <c r="G3881" s="73"/>
      <c r="I3881" s="111"/>
      <c r="J3881" s="81"/>
      <c r="K3881" s="81"/>
      <c r="L3881" s="499"/>
      <c r="M3881" s="73"/>
      <c r="N3881" s="499"/>
      <c r="O3881" s="73"/>
      <c r="P3881" s="73"/>
      <c r="Q3881" s="73"/>
      <c r="R3881" s="176"/>
      <c r="S3881" s="176"/>
      <c r="T3881" s="176"/>
      <c r="U3881" s="400"/>
      <c r="V3881" s="400"/>
      <c r="W3881" s="732"/>
      <c r="X3881" s="167"/>
      <c r="Y3881" s="509"/>
      <c r="Z3881" s="466"/>
      <c r="AA3881" s="466"/>
      <c r="AB3881" s="466"/>
      <c r="AC3881" s="466"/>
      <c r="AD3881" s="466"/>
      <c r="AE3881" s="466"/>
      <c r="AF3881" s="466"/>
      <c r="AG3881" s="466"/>
      <c r="AH3881" s="466"/>
      <c r="AI3881" s="466"/>
      <c r="AJ3881" s="466"/>
      <c r="AK3881" s="466"/>
      <c r="AL3881" s="466"/>
      <c r="AM3881" s="466"/>
      <c r="AN3881" s="466"/>
      <c r="AO3881" s="466"/>
      <c r="AP3881" s="466"/>
      <c r="AQ3881" s="466"/>
      <c r="AR3881" s="466"/>
      <c r="AS3881" s="466"/>
      <c r="AT3881" s="466"/>
      <c r="AU3881" s="466"/>
      <c r="AV3881" s="466"/>
      <c r="AW3881" s="466"/>
      <c r="AX3881" s="466"/>
      <c r="AY3881" s="466"/>
      <c r="AZ3881" s="466"/>
      <c r="BA3881" s="466"/>
      <c r="BB3881" s="466"/>
      <c r="BC3881" s="466"/>
      <c r="BD3881" s="466"/>
      <c r="BE3881" s="467"/>
      <c r="BF3881" s="467"/>
      <c r="BG3881" s="466"/>
      <c r="BH3881" s="466"/>
      <c r="BI3881" s="467"/>
      <c r="BJ3881" s="467"/>
      <c r="BK3881" s="467"/>
      <c r="BL3881" s="467"/>
      <c r="BM3881" s="467"/>
      <c r="BN3881" s="467"/>
      <c r="BO3881" s="467"/>
      <c r="BP3881" s="467"/>
      <c r="BQ3881" s="467"/>
      <c r="BR3881" s="467"/>
      <c r="BS3881" s="467"/>
      <c r="BT3881" s="467"/>
      <c r="BU3881" s="467"/>
      <c r="BV3881" s="467"/>
      <c r="BW3881" s="467"/>
      <c r="BX3881" s="769"/>
      <c r="BY3881" s="769"/>
      <c r="BZ3881" s="769"/>
      <c r="CA3881" s="769"/>
      <c r="CB3881" s="769"/>
      <c r="CC3881" s="769"/>
      <c r="CD3881" s="769"/>
      <c r="CE3881" s="769"/>
      <c r="CF3881" s="769"/>
      <c r="CG3881" s="73"/>
      <c r="CH3881" s="438"/>
      <c r="CI3881" s="416"/>
      <c r="CJ3881" s="73"/>
      <c r="CK3881" s="650"/>
      <c r="CL3881" s="499"/>
      <c r="CM3881" s="650"/>
      <c r="CR3881" s="416"/>
      <c r="CS3881" s="650"/>
      <c r="CU3881" s="73"/>
      <c r="CV3881" s="73"/>
      <c r="CW3881" s="73"/>
      <c r="CX3881" s="73"/>
      <c r="DA3881" s="650"/>
    </row>
    <row r="3882" spans="1:105" s="45" customFormat="1" x14ac:dyDescent="0.2">
      <c r="A3882" s="650"/>
      <c r="B3882" s="438"/>
      <c r="D3882" s="73"/>
      <c r="E3882" s="650"/>
      <c r="F3882" s="650"/>
      <c r="G3882" s="73"/>
      <c r="I3882" s="111"/>
      <c r="J3882" s="81"/>
      <c r="K3882" s="81"/>
      <c r="L3882" s="499"/>
      <c r="M3882" s="73"/>
      <c r="N3882" s="499"/>
      <c r="O3882" s="73"/>
      <c r="P3882" s="73"/>
      <c r="Q3882" s="73"/>
      <c r="R3882" s="176"/>
      <c r="S3882" s="176"/>
      <c r="T3882" s="176"/>
      <c r="U3882" s="400"/>
      <c r="V3882" s="400"/>
      <c r="W3882" s="732"/>
      <c r="X3882" s="167"/>
      <c r="Y3882" s="509"/>
      <c r="Z3882" s="466"/>
      <c r="AA3882" s="466"/>
      <c r="AB3882" s="466"/>
      <c r="AC3882" s="466"/>
      <c r="AD3882" s="466"/>
      <c r="AE3882" s="466"/>
      <c r="AF3882" s="466"/>
      <c r="AG3882" s="466"/>
      <c r="AH3882" s="466"/>
      <c r="AI3882" s="466"/>
      <c r="AJ3882" s="466"/>
      <c r="AK3882" s="466"/>
      <c r="AL3882" s="466"/>
      <c r="AM3882" s="466"/>
      <c r="AN3882" s="466"/>
      <c r="AO3882" s="466"/>
      <c r="AP3882" s="466"/>
      <c r="AQ3882" s="466"/>
      <c r="AR3882" s="466"/>
      <c r="AS3882" s="466"/>
      <c r="AT3882" s="466"/>
      <c r="AU3882" s="466"/>
      <c r="AV3882" s="466"/>
      <c r="AW3882" s="466"/>
      <c r="AX3882" s="466"/>
      <c r="AY3882" s="466"/>
      <c r="AZ3882" s="466"/>
      <c r="BA3882" s="466"/>
      <c r="BB3882" s="466"/>
      <c r="BC3882" s="466"/>
      <c r="BD3882" s="466"/>
      <c r="BE3882" s="467"/>
      <c r="BF3882" s="467"/>
      <c r="BG3882" s="466"/>
      <c r="BH3882" s="466"/>
      <c r="BI3882" s="467"/>
      <c r="BJ3882" s="467"/>
      <c r="BK3882" s="467"/>
      <c r="BL3882" s="467"/>
      <c r="BM3882" s="467"/>
      <c r="BN3882" s="467"/>
      <c r="BO3882" s="467"/>
      <c r="BP3882" s="467"/>
      <c r="BQ3882" s="467"/>
      <c r="BR3882" s="467"/>
      <c r="BS3882" s="467"/>
      <c r="BT3882" s="467"/>
      <c r="BU3882" s="467"/>
      <c r="BV3882" s="467"/>
      <c r="BW3882" s="467"/>
      <c r="BX3882" s="769"/>
      <c r="BY3882" s="769"/>
      <c r="BZ3882" s="769"/>
      <c r="CA3882" s="769"/>
      <c r="CB3882" s="769"/>
      <c r="CC3882" s="769"/>
      <c r="CD3882" s="769"/>
      <c r="CE3882" s="769"/>
      <c r="CF3882" s="769"/>
      <c r="CG3882" s="73"/>
      <c r="CH3882" s="438"/>
      <c r="CI3882" s="416"/>
      <c r="CJ3882" s="73"/>
      <c r="CK3882" s="650"/>
      <c r="CL3882" s="499"/>
      <c r="CM3882" s="650"/>
      <c r="CR3882" s="416"/>
      <c r="CS3882" s="650"/>
      <c r="CU3882" s="73"/>
      <c r="CV3882" s="73"/>
      <c r="CW3882" s="73"/>
      <c r="CX3882" s="73"/>
      <c r="DA3882" s="650"/>
    </row>
    <row r="3883" spans="1:105" s="45" customFormat="1" x14ac:dyDescent="0.2">
      <c r="A3883" s="650"/>
      <c r="B3883" s="438"/>
      <c r="D3883" s="73"/>
      <c r="E3883" s="650"/>
      <c r="F3883" s="650"/>
      <c r="G3883" s="73"/>
      <c r="I3883" s="111"/>
      <c r="J3883" s="81"/>
      <c r="K3883" s="81"/>
      <c r="L3883" s="499"/>
      <c r="M3883" s="73"/>
      <c r="N3883" s="499"/>
      <c r="O3883" s="73"/>
      <c r="P3883" s="73"/>
      <c r="Q3883" s="73"/>
      <c r="R3883" s="176"/>
      <c r="S3883" s="176"/>
      <c r="T3883" s="176"/>
      <c r="U3883" s="400"/>
      <c r="V3883" s="400"/>
      <c r="W3883" s="732"/>
      <c r="X3883" s="167"/>
      <c r="Y3883" s="509"/>
      <c r="Z3883" s="466"/>
      <c r="AA3883" s="466"/>
      <c r="AB3883" s="466"/>
      <c r="AC3883" s="466"/>
      <c r="AD3883" s="466"/>
      <c r="AE3883" s="466"/>
      <c r="AF3883" s="466"/>
      <c r="AG3883" s="466"/>
      <c r="AH3883" s="466"/>
      <c r="AI3883" s="466"/>
      <c r="AJ3883" s="466"/>
      <c r="AK3883" s="466"/>
      <c r="AL3883" s="466"/>
      <c r="AM3883" s="466"/>
      <c r="AN3883" s="466"/>
      <c r="AO3883" s="466"/>
      <c r="AP3883" s="466"/>
      <c r="AQ3883" s="466"/>
      <c r="AR3883" s="466"/>
      <c r="AS3883" s="466"/>
      <c r="AT3883" s="466"/>
      <c r="AU3883" s="466"/>
      <c r="AV3883" s="466"/>
      <c r="AW3883" s="466"/>
      <c r="AX3883" s="466"/>
      <c r="AY3883" s="466"/>
      <c r="AZ3883" s="466"/>
      <c r="BA3883" s="466"/>
      <c r="BB3883" s="466"/>
      <c r="BC3883" s="466"/>
      <c r="BD3883" s="466"/>
      <c r="BE3883" s="467"/>
      <c r="BF3883" s="467"/>
      <c r="BG3883" s="466"/>
      <c r="BH3883" s="466"/>
      <c r="BI3883" s="467"/>
      <c r="BJ3883" s="467"/>
      <c r="BK3883" s="467"/>
      <c r="BL3883" s="467"/>
      <c r="BM3883" s="467"/>
      <c r="BN3883" s="467"/>
      <c r="BO3883" s="467"/>
      <c r="BP3883" s="467"/>
      <c r="BQ3883" s="467"/>
      <c r="BR3883" s="467"/>
      <c r="BS3883" s="467"/>
      <c r="BT3883" s="467"/>
      <c r="BU3883" s="467"/>
      <c r="BV3883" s="467"/>
      <c r="BW3883" s="467"/>
      <c r="BX3883" s="769"/>
      <c r="BY3883" s="769"/>
      <c r="BZ3883" s="769"/>
      <c r="CA3883" s="769"/>
      <c r="CB3883" s="769"/>
      <c r="CC3883" s="769"/>
      <c r="CD3883" s="769"/>
      <c r="CE3883" s="769"/>
      <c r="CF3883" s="769"/>
      <c r="CG3883" s="73"/>
      <c r="CH3883" s="438"/>
      <c r="CI3883" s="416"/>
      <c r="CJ3883" s="73"/>
      <c r="CK3883" s="650"/>
      <c r="CL3883" s="499"/>
      <c r="CM3883" s="650"/>
      <c r="CR3883" s="416"/>
      <c r="CS3883" s="650"/>
      <c r="CU3883" s="73"/>
      <c r="CV3883" s="73"/>
      <c r="CW3883" s="73"/>
      <c r="CX3883" s="73"/>
      <c r="DA3883" s="650"/>
    </row>
    <row r="3884" spans="1:105" s="45" customFormat="1" x14ac:dyDescent="0.2">
      <c r="A3884" s="650"/>
      <c r="B3884" s="438"/>
      <c r="D3884" s="73"/>
      <c r="E3884" s="650"/>
      <c r="F3884" s="650"/>
      <c r="G3884" s="73"/>
      <c r="I3884" s="111"/>
      <c r="J3884" s="81"/>
      <c r="K3884" s="81"/>
      <c r="L3884" s="499"/>
      <c r="M3884" s="73"/>
      <c r="N3884" s="499"/>
      <c r="O3884" s="73"/>
      <c r="P3884" s="73"/>
      <c r="Q3884" s="73"/>
      <c r="R3884" s="176"/>
      <c r="S3884" s="176"/>
      <c r="T3884" s="176"/>
      <c r="U3884" s="400"/>
      <c r="V3884" s="400"/>
      <c r="W3884" s="732"/>
      <c r="X3884" s="167"/>
      <c r="Y3884" s="509"/>
      <c r="Z3884" s="466"/>
      <c r="AA3884" s="466"/>
      <c r="AB3884" s="466"/>
      <c r="AC3884" s="466"/>
      <c r="AD3884" s="466"/>
      <c r="AE3884" s="466"/>
      <c r="AF3884" s="466"/>
      <c r="AG3884" s="466"/>
      <c r="AH3884" s="466"/>
      <c r="AI3884" s="466"/>
      <c r="AJ3884" s="466"/>
      <c r="AK3884" s="466"/>
      <c r="AL3884" s="466"/>
      <c r="AM3884" s="466"/>
      <c r="AN3884" s="466"/>
      <c r="AO3884" s="466"/>
      <c r="AP3884" s="466"/>
      <c r="AQ3884" s="466"/>
      <c r="AR3884" s="466"/>
      <c r="AS3884" s="466"/>
      <c r="AT3884" s="466"/>
      <c r="AU3884" s="466"/>
      <c r="AV3884" s="466"/>
      <c r="AW3884" s="466"/>
      <c r="AX3884" s="466"/>
      <c r="AY3884" s="466"/>
      <c r="AZ3884" s="466"/>
      <c r="BA3884" s="466"/>
      <c r="BB3884" s="466"/>
      <c r="BC3884" s="466"/>
      <c r="BD3884" s="466"/>
      <c r="BE3884" s="467"/>
      <c r="BF3884" s="467"/>
      <c r="BG3884" s="466"/>
      <c r="BH3884" s="466"/>
      <c r="BI3884" s="467"/>
      <c r="BJ3884" s="467"/>
      <c r="BK3884" s="467"/>
      <c r="BL3884" s="467"/>
      <c r="BM3884" s="467"/>
      <c r="BN3884" s="467"/>
      <c r="BO3884" s="467"/>
      <c r="BP3884" s="467"/>
      <c r="BQ3884" s="467"/>
      <c r="BR3884" s="467"/>
      <c r="BS3884" s="467"/>
      <c r="BT3884" s="467"/>
      <c r="BU3884" s="467"/>
      <c r="BV3884" s="467"/>
      <c r="BW3884" s="467"/>
      <c r="BX3884" s="769"/>
      <c r="BY3884" s="769"/>
      <c r="BZ3884" s="769"/>
      <c r="CA3884" s="769"/>
      <c r="CB3884" s="769"/>
      <c r="CC3884" s="769"/>
      <c r="CD3884" s="769"/>
      <c r="CE3884" s="769"/>
      <c r="CF3884" s="769"/>
      <c r="CG3884" s="73"/>
      <c r="CH3884" s="438"/>
      <c r="CI3884" s="416"/>
      <c r="CJ3884" s="73"/>
      <c r="CK3884" s="650"/>
      <c r="CL3884" s="499"/>
      <c r="CM3884" s="650"/>
      <c r="CR3884" s="416"/>
      <c r="CS3884" s="650"/>
      <c r="CU3884" s="73"/>
      <c r="CV3884" s="73"/>
      <c r="CW3884" s="73"/>
      <c r="CX3884" s="73"/>
      <c r="DA3884" s="650"/>
    </row>
    <row r="3885" spans="1:105" s="45" customFormat="1" x14ac:dyDescent="0.2">
      <c r="A3885" s="650"/>
      <c r="B3885" s="438"/>
      <c r="D3885" s="73"/>
      <c r="E3885" s="650"/>
      <c r="F3885" s="650"/>
      <c r="G3885" s="73"/>
      <c r="I3885" s="111"/>
      <c r="J3885" s="81"/>
      <c r="K3885" s="81"/>
      <c r="L3885" s="499"/>
      <c r="M3885" s="73"/>
      <c r="N3885" s="499"/>
      <c r="O3885" s="73"/>
      <c r="P3885" s="73"/>
      <c r="Q3885" s="73"/>
      <c r="R3885" s="176"/>
      <c r="S3885" s="176"/>
      <c r="T3885" s="176"/>
      <c r="U3885" s="400"/>
      <c r="V3885" s="400"/>
      <c r="W3885" s="732"/>
      <c r="X3885" s="167"/>
      <c r="Y3885" s="509"/>
      <c r="Z3885" s="466"/>
      <c r="AA3885" s="466"/>
      <c r="AB3885" s="466"/>
      <c r="AC3885" s="466"/>
      <c r="AD3885" s="466"/>
      <c r="AE3885" s="466"/>
      <c r="AF3885" s="466"/>
      <c r="AG3885" s="466"/>
      <c r="AH3885" s="466"/>
      <c r="AI3885" s="466"/>
      <c r="AJ3885" s="466"/>
      <c r="AK3885" s="466"/>
      <c r="AL3885" s="466"/>
      <c r="AM3885" s="466"/>
      <c r="AN3885" s="466"/>
      <c r="AO3885" s="466"/>
      <c r="AP3885" s="466"/>
      <c r="AQ3885" s="466"/>
      <c r="AR3885" s="466"/>
      <c r="AS3885" s="466"/>
      <c r="AT3885" s="466"/>
      <c r="AU3885" s="466"/>
      <c r="AV3885" s="466"/>
      <c r="AW3885" s="466"/>
      <c r="AX3885" s="466"/>
      <c r="AY3885" s="466"/>
      <c r="AZ3885" s="466"/>
      <c r="BA3885" s="466"/>
      <c r="BB3885" s="466"/>
      <c r="BC3885" s="466"/>
      <c r="BD3885" s="466"/>
      <c r="BE3885" s="467"/>
      <c r="BF3885" s="467"/>
      <c r="BG3885" s="466"/>
      <c r="BH3885" s="466"/>
      <c r="BI3885" s="467"/>
      <c r="BJ3885" s="467"/>
      <c r="BK3885" s="467"/>
      <c r="BL3885" s="467"/>
      <c r="BM3885" s="467"/>
      <c r="BN3885" s="467"/>
      <c r="BO3885" s="467"/>
      <c r="BP3885" s="467"/>
      <c r="BQ3885" s="467"/>
      <c r="BR3885" s="467"/>
      <c r="BS3885" s="467"/>
      <c r="BT3885" s="467"/>
      <c r="BU3885" s="467"/>
      <c r="BV3885" s="467"/>
      <c r="BW3885" s="467"/>
      <c r="BX3885" s="769"/>
      <c r="BY3885" s="769"/>
      <c r="BZ3885" s="769"/>
      <c r="CA3885" s="769"/>
      <c r="CB3885" s="769"/>
      <c r="CC3885" s="769"/>
      <c r="CD3885" s="769"/>
      <c r="CE3885" s="769"/>
      <c r="CF3885" s="769"/>
      <c r="CG3885" s="73"/>
      <c r="CH3885" s="438"/>
      <c r="CI3885" s="416"/>
      <c r="CJ3885" s="73"/>
      <c r="CK3885" s="650"/>
      <c r="CL3885" s="499"/>
      <c r="CM3885" s="650"/>
      <c r="CR3885" s="416"/>
      <c r="CS3885" s="650"/>
      <c r="CU3885" s="73"/>
      <c r="CV3885" s="73"/>
      <c r="CW3885" s="73"/>
      <c r="CX3885" s="73"/>
      <c r="DA3885" s="650"/>
    </row>
    <row r="3886" spans="1:105" s="45" customFormat="1" x14ac:dyDescent="0.2">
      <c r="A3886" s="650"/>
      <c r="B3886" s="438"/>
      <c r="D3886" s="73"/>
      <c r="E3886" s="650"/>
      <c r="F3886" s="650"/>
      <c r="G3886" s="73"/>
      <c r="I3886" s="111"/>
      <c r="J3886" s="81"/>
      <c r="K3886" s="81"/>
      <c r="L3886" s="499"/>
      <c r="M3886" s="73"/>
      <c r="N3886" s="499"/>
      <c r="O3886" s="73"/>
      <c r="P3886" s="73"/>
      <c r="Q3886" s="73"/>
      <c r="R3886" s="176"/>
      <c r="S3886" s="176"/>
      <c r="T3886" s="176"/>
      <c r="U3886" s="400"/>
      <c r="V3886" s="400"/>
      <c r="W3886" s="732"/>
      <c r="X3886" s="167"/>
      <c r="Y3886" s="509"/>
      <c r="Z3886" s="466"/>
      <c r="AA3886" s="466"/>
      <c r="AB3886" s="466"/>
      <c r="AC3886" s="466"/>
      <c r="AD3886" s="466"/>
      <c r="AE3886" s="466"/>
      <c r="AF3886" s="466"/>
      <c r="AG3886" s="466"/>
      <c r="AH3886" s="466"/>
      <c r="AI3886" s="466"/>
      <c r="AJ3886" s="466"/>
      <c r="AK3886" s="466"/>
      <c r="AL3886" s="466"/>
      <c r="AM3886" s="466"/>
      <c r="AN3886" s="466"/>
      <c r="AO3886" s="466"/>
      <c r="AP3886" s="466"/>
      <c r="AQ3886" s="466"/>
      <c r="AR3886" s="466"/>
      <c r="AS3886" s="466"/>
      <c r="AT3886" s="466"/>
      <c r="AU3886" s="466"/>
      <c r="AV3886" s="466"/>
      <c r="AW3886" s="466"/>
      <c r="AX3886" s="466"/>
      <c r="AY3886" s="466"/>
      <c r="AZ3886" s="466"/>
      <c r="BA3886" s="466"/>
      <c r="BB3886" s="466"/>
      <c r="BC3886" s="466"/>
      <c r="BD3886" s="466"/>
      <c r="BE3886" s="467"/>
      <c r="BF3886" s="467"/>
      <c r="BG3886" s="466"/>
      <c r="BH3886" s="466"/>
      <c r="BI3886" s="467"/>
      <c r="BJ3886" s="467"/>
      <c r="BK3886" s="467"/>
      <c r="BL3886" s="467"/>
      <c r="BM3886" s="467"/>
      <c r="BN3886" s="467"/>
      <c r="BO3886" s="467"/>
      <c r="BP3886" s="467"/>
      <c r="BQ3886" s="467"/>
      <c r="BR3886" s="467"/>
      <c r="BS3886" s="467"/>
      <c r="BT3886" s="467"/>
      <c r="BU3886" s="467"/>
      <c r="BV3886" s="467"/>
      <c r="BW3886" s="467"/>
      <c r="BX3886" s="769"/>
      <c r="BY3886" s="769"/>
      <c r="BZ3886" s="769"/>
      <c r="CA3886" s="769"/>
      <c r="CB3886" s="769"/>
      <c r="CC3886" s="769"/>
      <c r="CD3886" s="769"/>
      <c r="CE3886" s="769"/>
      <c r="CF3886" s="769"/>
      <c r="CG3886" s="73"/>
      <c r="CH3886" s="438"/>
      <c r="CI3886" s="416"/>
      <c r="CJ3886" s="73"/>
      <c r="CK3886" s="650"/>
      <c r="CL3886" s="499"/>
      <c r="CM3886" s="650"/>
      <c r="CR3886" s="416"/>
      <c r="CS3886" s="650"/>
      <c r="CU3886" s="73"/>
      <c r="CV3886" s="73"/>
      <c r="CW3886" s="73"/>
      <c r="CX3886" s="73"/>
      <c r="DA3886" s="650"/>
    </row>
    <row r="3887" spans="1:105" s="45" customFormat="1" x14ac:dyDescent="0.2">
      <c r="A3887" s="650"/>
      <c r="B3887" s="438"/>
      <c r="D3887" s="73"/>
      <c r="E3887" s="650"/>
      <c r="F3887" s="650"/>
      <c r="G3887" s="73"/>
      <c r="I3887" s="111"/>
      <c r="J3887" s="81"/>
      <c r="K3887" s="81"/>
      <c r="L3887" s="499"/>
      <c r="M3887" s="73"/>
      <c r="N3887" s="499"/>
      <c r="O3887" s="73"/>
      <c r="P3887" s="73"/>
      <c r="Q3887" s="73"/>
      <c r="R3887" s="176"/>
      <c r="S3887" s="176"/>
      <c r="T3887" s="176"/>
      <c r="U3887" s="400"/>
      <c r="V3887" s="400"/>
      <c r="W3887" s="732"/>
      <c r="X3887" s="167"/>
      <c r="Y3887" s="509"/>
      <c r="Z3887" s="466"/>
      <c r="AA3887" s="466"/>
      <c r="AB3887" s="466"/>
      <c r="AC3887" s="466"/>
      <c r="AD3887" s="466"/>
      <c r="AE3887" s="466"/>
      <c r="AF3887" s="466"/>
      <c r="AG3887" s="466"/>
      <c r="AH3887" s="466"/>
      <c r="AI3887" s="466"/>
      <c r="AJ3887" s="466"/>
      <c r="AK3887" s="466"/>
      <c r="AL3887" s="466"/>
      <c r="AM3887" s="466"/>
      <c r="AN3887" s="466"/>
      <c r="AO3887" s="466"/>
      <c r="AP3887" s="466"/>
      <c r="AQ3887" s="466"/>
      <c r="AR3887" s="466"/>
      <c r="AS3887" s="466"/>
      <c r="AT3887" s="466"/>
      <c r="AU3887" s="466"/>
      <c r="AV3887" s="466"/>
      <c r="AW3887" s="466"/>
      <c r="AX3887" s="466"/>
      <c r="AY3887" s="466"/>
      <c r="AZ3887" s="466"/>
      <c r="BA3887" s="466"/>
      <c r="BB3887" s="466"/>
      <c r="BC3887" s="466"/>
      <c r="BD3887" s="466"/>
      <c r="BE3887" s="467"/>
      <c r="BF3887" s="467"/>
      <c r="BG3887" s="466"/>
      <c r="BH3887" s="466"/>
      <c r="BI3887" s="467"/>
      <c r="BJ3887" s="467"/>
      <c r="BK3887" s="467"/>
      <c r="BL3887" s="467"/>
      <c r="BM3887" s="467"/>
      <c r="BN3887" s="467"/>
      <c r="BO3887" s="467"/>
      <c r="BP3887" s="467"/>
      <c r="BQ3887" s="467"/>
      <c r="BR3887" s="467"/>
      <c r="BS3887" s="467"/>
      <c r="BT3887" s="467"/>
      <c r="BU3887" s="467"/>
      <c r="BV3887" s="467"/>
      <c r="BW3887" s="467"/>
      <c r="BX3887" s="769"/>
      <c r="BY3887" s="769"/>
      <c r="BZ3887" s="769"/>
      <c r="CA3887" s="769"/>
      <c r="CB3887" s="769"/>
      <c r="CC3887" s="769"/>
      <c r="CD3887" s="769"/>
      <c r="CE3887" s="769"/>
      <c r="CF3887" s="769"/>
      <c r="CG3887" s="73"/>
      <c r="CH3887" s="438"/>
      <c r="CI3887" s="416"/>
      <c r="CJ3887" s="73"/>
      <c r="CK3887" s="650"/>
      <c r="CL3887" s="499"/>
      <c r="CM3887" s="650"/>
      <c r="CR3887" s="416"/>
      <c r="CS3887" s="650"/>
      <c r="CU3887" s="73"/>
      <c r="CV3887" s="73"/>
      <c r="CW3887" s="73"/>
      <c r="CX3887" s="73"/>
      <c r="DA3887" s="650"/>
    </row>
    <row r="3888" spans="1:105" s="45" customFormat="1" x14ac:dyDescent="0.2">
      <c r="A3888" s="650"/>
      <c r="B3888" s="438"/>
      <c r="D3888" s="73"/>
      <c r="E3888" s="650"/>
      <c r="F3888" s="650"/>
      <c r="G3888" s="73"/>
      <c r="I3888" s="111"/>
      <c r="J3888" s="81"/>
      <c r="K3888" s="81"/>
      <c r="L3888" s="499"/>
      <c r="M3888" s="73"/>
      <c r="N3888" s="499"/>
      <c r="O3888" s="73"/>
      <c r="P3888" s="73"/>
      <c r="Q3888" s="73"/>
      <c r="R3888" s="176"/>
      <c r="S3888" s="176"/>
      <c r="T3888" s="176"/>
      <c r="U3888" s="400"/>
      <c r="V3888" s="400"/>
      <c r="W3888" s="732"/>
      <c r="X3888" s="167"/>
      <c r="Y3888" s="509"/>
      <c r="Z3888" s="466"/>
      <c r="AA3888" s="466"/>
      <c r="AB3888" s="466"/>
      <c r="AC3888" s="466"/>
      <c r="AD3888" s="466"/>
      <c r="AE3888" s="466"/>
      <c r="AF3888" s="466"/>
      <c r="AG3888" s="466"/>
      <c r="AH3888" s="466"/>
      <c r="AI3888" s="466"/>
      <c r="AJ3888" s="466"/>
      <c r="AK3888" s="466"/>
      <c r="AL3888" s="466"/>
      <c r="AM3888" s="466"/>
      <c r="AN3888" s="466"/>
      <c r="AO3888" s="466"/>
      <c r="AP3888" s="466"/>
      <c r="AQ3888" s="466"/>
      <c r="AR3888" s="466"/>
      <c r="AS3888" s="466"/>
      <c r="AT3888" s="466"/>
      <c r="AU3888" s="466"/>
      <c r="AV3888" s="466"/>
      <c r="AW3888" s="466"/>
      <c r="AX3888" s="466"/>
      <c r="AY3888" s="466"/>
      <c r="AZ3888" s="466"/>
      <c r="BA3888" s="466"/>
      <c r="BB3888" s="466"/>
      <c r="BC3888" s="466"/>
      <c r="BD3888" s="466"/>
      <c r="BE3888" s="467"/>
      <c r="BF3888" s="467"/>
      <c r="BG3888" s="466"/>
      <c r="BH3888" s="466"/>
      <c r="BI3888" s="467"/>
      <c r="BJ3888" s="467"/>
      <c r="BK3888" s="467"/>
      <c r="BL3888" s="467"/>
      <c r="BM3888" s="467"/>
      <c r="BN3888" s="467"/>
      <c r="BO3888" s="467"/>
      <c r="BP3888" s="467"/>
      <c r="BQ3888" s="467"/>
      <c r="BR3888" s="467"/>
      <c r="BS3888" s="467"/>
      <c r="BT3888" s="467"/>
      <c r="BU3888" s="467"/>
      <c r="BV3888" s="467"/>
      <c r="BW3888" s="467"/>
      <c r="BX3888" s="769"/>
      <c r="BY3888" s="769"/>
      <c r="BZ3888" s="769"/>
      <c r="CA3888" s="769"/>
      <c r="CB3888" s="769"/>
      <c r="CC3888" s="769"/>
      <c r="CD3888" s="769"/>
      <c r="CE3888" s="769"/>
      <c r="CF3888" s="769"/>
      <c r="CG3888" s="73"/>
      <c r="CH3888" s="438"/>
      <c r="CI3888" s="416"/>
      <c r="CJ3888" s="73"/>
      <c r="CK3888" s="650"/>
      <c r="CL3888" s="499"/>
      <c r="CM3888" s="650"/>
      <c r="CR3888" s="416"/>
      <c r="CS3888" s="650"/>
      <c r="CU3888" s="73"/>
      <c r="CV3888" s="73"/>
      <c r="CW3888" s="73"/>
      <c r="CX3888" s="73"/>
      <c r="DA3888" s="650"/>
    </row>
    <row r="3889" spans="1:105" s="45" customFormat="1" x14ac:dyDescent="0.2">
      <c r="A3889" s="650"/>
      <c r="B3889" s="438"/>
      <c r="D3889" s="73"/>
      <c r="E3889" s="650"/>
      <c r="F3889" s="650"/>
      <c r="G3889" s="73"/>
      <c r="I3889" s="111"/>
      <c r="J3889" s="81"/>
      <c r="K3889" s="81"/>
      <c r="L3889" s="499"/>
      <c r="M3889" s="73"/>
      <c r="N3889" s="499"/>
      <c r="O3889" s="73"/>
      <c r="P3889" s="73"/>
      <c r="Q3889" s="73"/>
      <c r="R3889" s="176"/>
      <c r="S3889" s="176"/>
      <c r="T3889" s="176"/>
      <c r="U3889" s="400"/>
      <c r="V3889" s="400"/>
      <c r="W3889" s="732"/>
      <c r="X3889" s="167"/>
      <c r="Y3889" s="509"/>
      <c r="Z3889" s="466"/>
      <c r="AA3889" s="466"/>
      <c r="AB3889" s="466"/>
      <c r="AC3889" s="466"/>
      <c r="AD3889" s="466"/>
      <c r="AE3889" s="466"/>
      <c r="AF3889" s="466"/>
      <c r="AG3889" s="466"/>
      <c r="AH3889" s="466"/>
      <c r="AI3889" s="466"/>
      <c r="AJ3889" s="466"/>
      <c r="AK3889" s="466"/>
      <c r="AL3889" s="466"/>
      <c r="AM3889" s="466"/>
      <c r="AN3889" s="466"/>
      <c r="AO3889" s="466"/>
      <c r="AP3889" s="466"/>
      <c r="AQ3889" s="466"/>
      <c r="AR3889" s="466"/>
      <c r="AS3889" s="466"/>
      <c r="AT3889" s="466"/>
      <c r="AU3889" s="466"/>
      <c r="AV3889" s="466"/>
      <c r="AW3889" s="466"/>
      <c r="AX3889" s="466"/>
      <c r="AY3889" s="466"/>
      <c r="AZ3889" s="466"/>
      <c r="BA3889" s="466"/>
      <c r="BB3889" s="466"/>
      <c r="BC3889" s="466"/>
      <c r="BD3889" s="466"/>
      <c r="BE3889" s="467"/>
      <c r="BF3889" s="467"/>
      <c r="BG3889" s="466"/>
      <c r="BH3889" s="466"/>
      <c r="BI3889" s="467"/>
      <c r="BJ3889" s="467"/>
      <c r="BK3889" s="467"/>
      <c r="BL3889" s="467"/>
      <c r="BM3889" s="467"/>
      <c r="BN3889" s="467"/>
      <c r="BO3889" s="467"/>
      <c r="BP3889" s="467"/>
      <c r="BQ3889" s="467"/>
      <c r="BR3889" s="467"/>
      <c r="BS3889" s="467"/>
      <c r="BT3889" s="467"/>
      <c r="BU3889" s="467"/>
      <c r="BV3889" s="467"/>
      <c r="BW3889" s="467"/>
      <c r="BX3889" s="769"/>
      <c r="BY3889" s="769"/>
      <c r="BZ3889" s="769"/>
      <c r="CA3889" s="769"/>
      <c r="CB3889" s="769"/>
      <c r="CC3889" s="769"/>
      <c r="CD3889" s="769"/>
      <c r="CE3889" s="769"/>
      <c r="CF3889" s="769"/>
      <c r="CG3889" s="73"/>
      <c r="CH3889" s="438"/>
      <c r="CI3889" s="416"/>
      <c r="CJ3889" s="73"/>
      <c r="CK3889" s="650"/>
      <c r="CL3889" s="499"/>
      <c r="CM3889" s="650"/>
      <c r="CR3889" s="416"/>
      <c r="CS3889" s="650"/>
      <c r="CU3889" s="73"/>
      <c r="CV3889" s="73"/>
      <c r="CW3889" s="73"/>
      <c r="CX3889" s="73"/>
      <c r="DA3889" s="650"/>
    </row>
    <row r="3890" spans="1:105" s="45" customFormat="1" x14ac:dyDescent="0.2">
      <c r="A3890" s="650"/>
      <c r="B3890" s="438"/>
      <c r="D3890" s="73"/>
      <c r="E3890" s="650"/>
      <c r="F3890" s="650"/>
      <c r="G3890" s="73"/>
      <c r="I3890" s="111"/>
      <c r="J3890" s="81"/>
      <c r="K3890" s="81"/>
      <c r="L3890" s="499"/>
      <c r="M3890" s="73"/>
      <c r="N3890" s="499"/>
      <c r="O3890" s="73"/>
      <c r="P3890" s="73"/>
      <c r="Q3890" s="73"/>
      <c r="R3890" s="176"/>
      <c r="S3890" s="176"/>
      <c r="T3890" s="176"/>
      <c r="U3890" s="400"/>
      <c r="V3890" s="400"/>
      <c r="W3890" s="732"/>
      <c r="X3890" s="167"/>
      <c r="Y3890" s="509"/>
      <c r="Z3890" s="466"/>
      <c r="AA3890" s="466"/>
      <c r="AB3890" s="466"/>
      <c r="AC3890" s="466"/>
      <c r="AD3890" s="466"/>
      <c r="AE3890" s="466"/>
      <c r="AF3890" s="466"/>
      <c r="AG3890" s="466"/>
      <c r="AH3890" s="466"/>
      <c r="AI3890" s="466"/>
      <c r="AJ3890" s="466"/>
      <c r="AK3890" s="466"/>
      <c r="AL3890" s="466"/>
      <c r="AM3890" s="466"/>
      <c r="AN3890" s="466"/>
      <c r="AO3890" s="466"/>
      <c r="AP3890" s="466"/>
      <c r="AQ3890" s="466"/>
      <c r="AR3890" s="466"/>
      <c r="AS3890" s="466"/>
      <c r="AT3890" s="466"/>
      <c r="AU3890" s="466"/>
      <c r="AV3890" s="466"/>
      <c r="AW3890" s="466"/>
      <c r="AX3890" s="466"/>
      <c r="AY3890" s="466"/>
      <c r="AZ3890" s="466"/>
      <c r="BA3890" s="466"/>
      <c r="BB3890" s="466"/>
      <c r="BC3890" s="466"/>
      <c r="BD3890" s="466"/>
      <c r="BE3890" s="467"/>
      <c r="BF3890" s="467"/>
      <c r="BG3890" s="466"/>
      <c r="BH3890" s="466"/>
      <c r="BI3890" s="467"/>
      <c r="BJ3890" s="467"/>
      <c r="BK3890" s="467"/>
      <c r="BL3890" s="467"/>
      <c r="BM3890" s="467"/>
      <c r="BN3890" s="467"/>
      <c r="BO3890" s="467"/>
      <c r="BP3890" s="467"/>
      <c r="BQ3890" s="467"/>
      <c r="BR3890" s="467"/>
      <c r="BS3890" s="467"/>
      <c r="BT3890" s="467"/>
      <c r="BU3890" s="467"/>
      <c r="BV3890" s="467"/>
      <c r="BW3890" s="467"/>
      <c r="BX3890" s="769"/>
      <c r="BY3890" s="769"/>
      <c r="BZ3890" s="769"/>
      <c r="CA3890" s="769"/>
      <c r="CB3890" s="769"/>
      <c r="CC3890" s="769"/>
      <c r="CD3890" s="769"/>
      <c r="CE3890" s="769"/>
      <c r="CF3890" s="769"/>
      <c r="CG3890" s="73"/>
      <c r="CH3890" s="438"/>
      <c r="CI3890" s="416"/>
      <c r="CJ3890" s="73"/>
      <c r="CK3890" s="650"/>
      <c r="CL3890" s="499"/>
      <c r="CM3890" s="650"/>
      <c r="CR3890" s="416"/>
      <c r="CS3890" s="650"/>
      <c r="CU3890" s="73"/>
      <c r="CV3890" s="73"/>
      <c r="CW3890" s="73"/>
      <c r="CX3890" s="73"/>
      <c r="DA3890" s="650"/>
    </row>
    <row r="3891" spans="1:105" s="45" customFormat="1" x14ac:dyDescent="0.2">
      <c r="A3891" s="650"/>
      <c r="B3891" s="438"/>
      <c r="D3891" s="73"/>
      <c r="E3891" s="650"/>
      <c r="F3891" s="650"/>
      <c r="G3891" s="73"/>
      <c r="I3891" s="111"/>
      <c r="J3891" s="81"/>
      <c r="K3891" s="81"/>
      <c r="L3891" s="499"/>
      <c r="M3891" s="73"/>
      <c r="N3891" s="499"/>
      <c r="O3891" s="73"/>
      <c r="P3891" s="73"/>
      <c r="Q3891" s="73"/>
      <c r="R3891" s="176"/>
      <c r="S3891" s="176"/>
      <c r="T3891" s="176"/>
      <c r="U3891" s="400"/>
      <c r="V3891" s="400"/>
      <c r="W3891" s="732"/>
      <c r="X3891" s="167"/>
      <c r="Y3891" s="509"/>
      <c r="Z3891" s="466"/>
      <c r="AA3891" s="466"/>
      <c r="AB3891" s="466"/>
      <c r="AC3891" s="466"/>
      <c r="AD3891" s="466"/>
      <c r="AE3891" s="466"/>
      <c r="AF3891" s="466"/>
      <c r="AG3891" s="466"/>
      <c r="AH3891" s="466"/>
      <c r="AI3891" s="466"/>
      <c r="AJ3891" s="466"/>
      <c r="AK3891" s="466"/>
      <c r="AL3891" s="466"/>
      <c r="AM3891" s="466"/>
      <c r="AN3891" s="466"/>
      <c r="AO3891" s="466"/>
      <c r="AP3891" s="466"/>
      <c r="AQ3891" s="466"/>
      <c r="AR3891" s="466"/>
      <c r="AS3891" s="466"/>
      <c r="AT3891" s="466"/>
      <c r="AU3891" s="466"/>
      <c r="AV3891" s="466"/>
      <c r="AW3891" s="466"/>
      <c r="AX3891" s="466"/>
      <c r="AY3891" s="466"/>
      <c r="AZ3891" s="466"/>
      <c r="BA3891" s="466"/>
      <c r="BB3891" s="466"/>
      <c r="BC3891" s="466"/>
      <c r="BD3891" s="466"/>
      <c r="BE3891" s="467"/>
      <c r="BF3891" s="467"/>
      <c r="BG3891" s="466"/>
      <c r="BH3891" s="466"/>
      <c r="BI3891" s="467"/>
      <c r="BJ3891" s="467"/>
      <c r="BK3891" s="467"/>
      <c r="BL3891" s="467"/>
      <c r="BM3891" s="467"/>
      <c r="BN3891" s="467"/>
      <c r="BO3891" s="467"/>
      <c r="BP3891" s="467"/>
      <c r="BQ3891" s="467"/>
      <c r="BR3891" s="467"/>
      <c r="BS3891" s="467"/>
      <c r="BT3891" s="467"/>
      <c r="BU3891" s="467"/>
      <c r="BV3891" s="467"/>
      <c r="BW3891" s="467"/>
      <c r="BX3891" s="769"/>
      <c r="BY3891" s="769"/>
      <c r="BZ3891" s="769"/>
      <c r="CA3891" s="769"/>
      <c r="CB3891" s="769"/>
      <c r="CC3891" s="769"/>
      <c r="CD3891" s="769"/>
      <c r="CE3891" s="769"/>
      <c r="CF3891" s="769"/>
      <c r="CG3891" s="73"/>
      <c r="CH3891" s="438"/>
      <c r="CI3891" s="416"/>
      <c r="CJ3891" s="73"/>
      <c r="CK3891" s="650"/>
      <c r="CL3891" s="499"/>
      <c r="CM3891" s="650"/>
      <c r="CR3891" s="416"/>
      <c r="CS3891" s="650"/>
      <c r="CU3891" s="73"/>
      <c r="CV3891" s="73"/>
      <c r="CW3891" s="73"/>
      <c r="CX3891" s="73"/>
      <c r="DA3891" s="650"/>
    </row>
    <row r="3892" spans="1:105" s="45" customFormat="1" x14ac:dyDescent="0.2">
      <c r="A3892" s="650"/>
      <c r="B3892" s="438"/>
      <c r="D3892" s="73"/>
      <c r="E3892" s="650"/>
      <c r="F3892" s="650"/>
      <c r="G3892" s="73"/>
      <c r="I3892" s="111"/>
      <c r="J3892" s="81"/>
      <c r="K3892" s="81"/>
      <c r="L3892" s="499"/>
      <c r="M3892" s="73"/>
      <c r="N3892" s="499"/>
      <c r="O3892" s="73"/>
      <c r="P3892" s="73"/>
      <c r="Q3892" s="73"/>
      <c r="R3892" s="176"/>
      <c r="S3892" s="176"/>
      <c r="T3892" s="176"/>
      <c r="U3892" s="400"/>
      <c r="V3892" s="400"/>
      <c r="W3892" s="732"/>
      <c r="X3892" s="167"/>
      <c r="Y3892" s="509"/>
      <c r="Z3892" s="466"/>
      <c r="AA3892" s="466"/>
      <c r="AB3892" s="466"/>
      <c r="AC3892" s="466"/>
      <c r="AD3892" s="466"/>
      <c r="AE3892" s="466"/>
      <c r="AF3892" s="466"/>
      <c r="AG3892" s="466"/>
      <c r="AH3892" s="466"/>
      <c r="AI3892" s="466"/>
      <c r="AJ3892" s="466"/>
      <c r="AK3892" s="466"/>
      <c r="AL3892" s="466"/>
      <c r="AM3892" s="466"/>
      <c r="AN3892" s="466"/>
      <c r="AO3892" s="466"/>
      <c r="AP3892" s="466"/>
      <c r="AQ3892" s="466"/>
      <c r="AR3892" s="466"/>
      <c r="AS3892" s="466"/>
      <c r="AT3892" s="466"/>
      <c r="AU3892" s="466"/>
      <c r="AV3892" s="466"/>
      <c r="AW3892" s="466"/>
      <c r="AX3892" s="466"/>
      <c r="AY3892" s="466"/>
      <c r="AZ3892" s="466"/>
      <c r="BA3892" s="466"/>
      <c r="BB3892" s="466"/>
      <c r="BC3892" s="466"/>
      <c r="BD3892" s="466"/>
      <c r="BE3892" s="467"/>
      <c r="BF3892" s="467"/>
      <c r="BG3892" s="466"/>
      <c r="BH3892" s="466"/>
      <c r="BI3892" s="467"/>
      <c r="BJ3892" s="467"/>
      <c r="BK3892" s="467"/>
      <c r="BL3892" s="467"/>
      <c r="BM3892" s="467"/>
      <c r="BN3892" s="467"/>
      <c r="BO3892" s="467"/>
      <c r="BP3892" s="467"/>
      <c r="BQ3892" s="467"/>
      <c r="BR3892" s="467"/>
      <c r="BS3892" s="467"/>
      <c r="BT3892" s="467"/>
      <c r="BU3892" s="467"/>
      <c r="BV3892" s="467"/>
      <c r="BW3892" s="467"/>
      <c r="BX3892" s="769"/>
      <c r="BY3892" s="769"/>
      <c r="BZ3892" s="769"/>
      <c r="CA3892" s="769"/>
      <c r="CB3892" s="769"/>
      <c r="CC3892" s="769"/>
      <c r="CD3892" s="769"/>
      <c r="CE3892" s="769"/>
      <c r="CF3892" s="769"/>
      <c r="CG3892" s="73"/>
      <c r="CH3892" s="438"/>
      <c r="CI3892" s="416"/>
      <c r="CJ3892" s="73"/>
      <c r="CK3892" s="650"/>
      <c r="CL3892" s="499"/>
      <c r="CM3892" s="650"/>
      <c r="CR3892" s="416"/>
      <c r="CS3892" s="650"/>
      <c r="CU3892" s="73"/>
      <c r="CV3892" s="73"/>
      <c r="CW3892" s="73"/>
      <c r="CX3892" s="73"/>
      <c r="DA3892" s="650"/>
    </row>
    <row r="3893" spans="1:105" s="45" customFormat="1" x14ac:dyDescent="0.2">
      <c r="A3893" s="650"/>
      <c r="B3893" s="438"/>
      <c r="D3893" s="73"/>
      <c r="E3893" s="650"/>
      <c r="F3893" s="650"/>
      <c r="G3893" s="73"/>
      <c r="I3893" s="111"/>
      <c r="J3893" s="81"/>
      <c r="K3893" s="81"/>
      <c r="L3893" s="499"/>
      <c r="M3893" s="73"/>
      <c r="N3893" s="499"/>
      <c r="O3893" s="73"/>
      <c r="P3893" s="73"/>
      <c r="Q3893" s="73"/>
      <c r="R3893" s="176"/>
      <c r="S3893" s="176"/>
      <c r="T3893" s="176"/>
      <c r="U3893" s="400"/>
      <c r="V3893" s="400"/>
      <c r="W3893" s="732"/>
      <c r="X3893" s="167"/>
      <c r="Y3893" s="509"/>
      <c r="Z3893" s="466"/>
      <c r="AA3893" s="466"/>
      <c r="AB3893" s="466"/>
      <c r="AC3893" s="466"/>
      <c r="AD3893" s="466"/>
      <c r="AE3893" s="466"/>
      <c r="AF3893" s="466"/>
      <c r="AG3893" s="466"/>
      <c r="AH3893" s="466"/>
      <c r="AI3893" s="466"/>
      <c r="AJ3893" s="466"/>
      <c r="AK3893" s="466"/>
      <c r="AL3893" s="466"/>
      <c r="AM3893" s="466"/>
      <c r="AN3893" s="466"/>
      <c r="AO3893" s="466"/>
      <c r="AP3893" s="466"/>
      <c r="AQ3893" s="466"/>
      <c r="AR3893" s="466"/>
      <c r="AS3893" s="466"/>
      <c r="AT3893" s="466"/>
      <c r="AU3893" s="466"/>
      <c r="AV3893" s="466"/>
      <c r="AW3893" s="466"/>
      <c r="AX3893" s="466"/>
      <c r="AY3893" s="466"/>
      <c r="AZ3893" s="466"/>
      <c r="BA3893" s="466"/>
      <c r="BB3893" s="466"/>
      <c r="BC3893" s="466"/>
      <c r="BD3893" s="466"/>
      <c r="BE3893" s="467"/>
      <c r="BF3893" s="467"/>
      <c r="BG3893" s="466"/>
      <c r="BH3893" s="466"/>
      <c r="BI3893" s="467"/>
      <c r="BJ3893" s="467"/>
      <c r="BK3893" s="467"/>
      <c r="BL3893" s="467"/>
      <c r="BM3893" s="467"/>
      <c r="BN3893" s="467"/>
      <c r="BO3893" s="467"/>
      <c r="BP3893" s="467"/>
      <c r="BQ3893" s="467"/>
      <c r="BR3893" s="467"/>
      <c r="BS3893" s="467"/>
      <c r="BT3893" s="467"/>
      <c r="BU3893" s="467"/>
      <c r="BV3893" s="467"/>
      <c r="BW3893" s="467"/>
      <c r="BX3893" s="769"/>
      <c r="BY3893" s="769"/>
      <c r="BZ3893" s="769"/>
      <c r="CA3893" s="769"/>
      <c r="CB3893" s="769"/>
      <c r="CC3893" s="769"/>
      <c r="CD3893" s="769"/>
      <c r="CE3893" s="769"/>
      <c r="CF3893" s="769"/>
      <c r="CG3893" s="73"/>
      <c r="CH3893" s="438"/>
      <c r="CI3893" s="416"/>
      <c r="CJ3893" s="73"/>
      <c r="CK3893" s="650"/>
      <c r="CL3893" s="499"/>
      <c r="CM3893" s="650"/>
      <c r="CR3893" s="416"/>
      <c r="CS3893" s="650"/>
      <c r="CU3893" s="73"/>
      <c r="CV3893" s="73"/>
      <c r="CW3893" s="73"/>
      <c r="CX3893" s="73"/>
      <c r="DA3893" s="650"/>
    </row>
    <row r="3894" spans="1:105" s="45" customFormat="1" x14ac:dyDescent="0.2">
      <c r="A3894" s="650"/>
      <c r="B3894" s="438"/>
      <c r="D3894" s="73"/>
      <c r="E3894" s="650"/>
      <c r="F3894" s="650"/>
      <c r="G3894" s="73"/>
      <c r="I3894" s="111"/>
      <c r="J3894" s="81"/>
      <c r="K3894" s="81"/>
      <c r="L3894" s="499"/>
      <c r="M3894" s="73"/>
      <c r="N3894" s="499"/>
      <c r="O3894" s="73"/>
      <c r="P3894" s="73"/>
      <c r="Q3894" s="73"/>
      <c r="R3894" s="176"/>
      <c r="S3894" s="176"/>
      <c r="T3894" s="176"/>
      <c r="U3894" s="400"/>
      <c r="V3894" s="400"/>
      <c r="W3894" s="732"/>
      <c r="X3894" s="167"/>
      <c r="Y3894" s="509"/>
      <c r="Z3894" s="466"/>
      <c r="AA3894" s="466"/>
      <c r="AB3894" s="466"/>
      <c r="AC3894" s="466"/>
      <c r="AD3894" s="466"/>
      <c r="AE3894" s="466"/>
      <c r="AF3894" s="466"/>
      <c r="AG3894" s="466"/>
      <c r="AH3894" s="466"/>
      <c r="AI3894" s="466"/>
      <c r="AJ3894" s="466"/>
      <c r="AK3894" s="466"/>
      <c r="AL3894" s="466"/>
      <c r="AM3894" s="466"/>
      <c r="AN3894" s="466"/>
      <c r="AO3894" s="466"/>
      <c r="AP3894" s="466"/>
      <c r="AQ3894" s="466"/>
      <c r="AR3894" s="466"/>
      <c r="AS3894" s="466"/>
      <c r="AT3894" s="466"/>
      <c r="AU3894" s="466"/>
      <c r="AV3894" s="466"/>
      <c r="AW3894" s="466"/>
      <c r="AX3894" s="466"/>
      <c r="AY3894" s="466"/>
      <c r="AZ3894" s="466"/>
      <c r="BA3894" s="466"/>
      <c r="BB3894" s="466"/>
      <c r="BC3894" s="466"/>
      <c r="BD3894" s="466"/>
      <c r="BE3894" s="467"/>
      <c r="BF3894" s="467"/>
      <c r="BG3894" s="466"/>
      <c r="BH3894" s="466"/>
      <c r="BI3894" s="467"/>
      <c r="BJ3894" s="467"/>
      <c r="BK3894" s="467"/>
      <c r="BL3894" s="467"/>
      <c r="BM3894" s="467"/>
      <c r="BN3894" s="467"/>
      <c r="BO3894" s="467"/>
      <c r="BP3894" s="467"/>
      <c r="BQ3894" s="467"/>
      <c r="BR3894" s="467"/>
      <c r="BS3894" s="467"/>
      <c r="BT3894" s="467"/>
      <c r="BU3894" s="467"/>
      <c r="BV3894" s="467"/>
      <c r="BW3894" s="467"/>
      <c r="BX3894" s="769"/>
      <c r="BY3894" s="769"/>
      <c r="BZ3894" s="769"/>
      <c r="CA3894" s="769"/>
      <c r="CB3894" s="769"/>
      <c r="CC3894" s="769"/>
      <c r="CD3894" s="769"/>
      <c r="CE3894" s="769"/>
      <c r="CF3894" s="769"/>
      <c r="CG3894" s="73"/>
      <c r="CH3894" s="438"/>
      <c r="CI3894" s="416"/>
      <c r="CJ3894" s="73"/>
      <c r="CK3894" s="650"/>
      <c r="CL3894" s="499"/>
      <c r="CM3894" s="650"/>
      <c r="CR3894" s="416"/>
      <c r="CS3894" s="650"/>
      <c r="CU3894" s="73"/>
      <c r="CV3894" s="73"/>
      <c r="CW3894" s="73"/>
      <c r="CX3894" s="73"/>
      <c r="DA3894" s="650"/>
    </row>
    <row r="3895" spans="1:105" s="45" customFormat="1" x14ac:dyDescent="0.2">
      <c r="A3895" s="650"/>
      <c r="B3895" s="438"/>
      <c r="D3895" s="73"/>
      <c r="E3895" s="650"/>
      <c r="F3895" s="650"/>
      <c r="G3895" s="73"/>
      <c r="I3895" s="111"/>
      <c r="J3895" s="81"/>
      <c r="K3895" s="81"/>
      <c r="L3895" s="499"/>
      <c r="M3895" s="73"/>
      <c r="N3895" s="499"/>
      <c r="O3895" s="73"/>
      <c r="P3895" s="73"/>
      <c r="Q3895" s="73"/>
      <c r="R3895" s="176"/>
      <c r="S3895" s="176"/>
      <c r="T3895" s="176"/>
      <c r="U3895" s="400"/>
      <c r="V3895" s="400"/>
      <c r="W3895" s="732"/>
      <c r="X3895" s="167"/>
      <c r="Y3895" s="509"/>
      <c r="Z3895" s="466"/>
      <c r="AA3895" s="466"/>
      <c r="AB3895" s="466"/>
      <c r="AC3895" s="466"/>
      <c r="AD3895" s="466"/>
      <c r="AE3895" s="466"/>
      <c r="AF3895" s="466"/>
      <c r="AG3895" s="466"/>
      <c r="AH3895" s="466"/>
      <c r="AI3895" s="466"/>
      <c r="AJ3895" s="466"/>
      <c r="AK3895" s="466"/>
      <c r="AL3895" s="466"/>
      <c r="AM3895" s="466"/>
      <c r="AN3895" s="466"/>
      <c r="AO3895" s="466"/>
      <c r="AP3895" s="466"/>
      <c r="AQ3895" s="466"/>
      <c r="AR3895" s="466"/>
      <c r="AS3895" s="466"/>
      <c r="AT3895" s="466"/>
      <c r="AU3895" s="466"/>
      <c r="AV3895" s="466"/>
      <c r="AW3895" s="466"/>
      <c r="AX3895" s="466"/>
      <c r="AY3895" s="466"/>
      <c r="AZ3895" s="466"/>
      <c r="BA3895" s="466"/>
      <c r="BB3895" s="466"/>
      <c r="BC3895" s="466"/>
      <c r="BD3895" s="466"/>
      <c r="BE3895" s="467"/>
      <c r="BF3895" s="467"/>
      <c r="BG3895" s="466"/>
      <c r="BH3895" s="466"/>
      <c r="BI3895" s="467"/>
      <c r="BJ3895" s="467"/>
      <c r="BK3895" s="467"/>
      <c r="BL3895" s="467"/>
      <c r="BM3895" s="467"/>
      <c r="BN3895" s="467"/>
      <c r="BO3895" s="467"/>
      <c r="BP3895" s="467"/>
      <c r="BQ3895" s="467"/>
      <c r="BR3895" s="467"/>
      <c r="BS3895" s="467"/>
      <c r="BT3895" s="467"/>
      <c r="BU3895" s="467"/>
      <c r="BV3895" s="467"/>
      <c r="BW3895" s="467"/>
      <c r="BX3895" s="769"/>
      <c r="BY3895" s="769"/>
      <c r="BZ3895" s="769"/>
      <c r="CA3895" s="769"/>
      <c r="CB3895" s="769"/>
      <c r="CC3895" s="769"/>
      <c r="CD3895" s="769"/>
      <c r="CE3895" s="769"/>
      <c r="CF3895" s="769"/>
      <c r="CG3895" s="73"/>
      <c r="CH3895" s="438"/>
      <c r="CI3895" s="416"/>
      <c r="CJ3895" s="73"/>
      <c r="CK3895" s="650"/>
      <c r="CL3895" s="499"/>
      <c r="CM3895" s="650"/>
      <c r="CR3895" s="416"/>
      <c r="CS3895" s="650"/>
      <c r="CU3895" s="73"/>
      <c r="CV3895" s="73"/>
      <c r="CW3895" s="73"/>
      <c r="CX3895" s="73"/>
      <c r="DA3895" s="650"/>
    </row>
    <row r="3896" spans="1:105" s="45" customFormat="1" x14ac:dyDescent="0.2">
      <c r="A3896" s="650"/>
      <c r="B3896" s="438"/>
      <c r="D3896" s="73"/>
      <c r="E3896" s="650"/>
      <c r="F3896" s="650"/>
      <c r="G3896" s="73"/>
      <c r="I3896" s="111"/>
      <c r="J3896" s="81"/>
      <c r="K3896" s="81"/>
      <c r="L3896" s="499"/>
      <c r="M3896" s="73"/>
      <c r="N3896" s="499"/>
      <c r="O3896" s="73"/>
      <c r="P3896" s="73"/>
      <c r="Q3896" s="73"/>
      <c r="R3896" s="176"/>
      <c r="S3896" s="176"/>
      <c r="T3896" s="176"/>
      <c r="U3896" s="400"/>
      <c r="V3896" s="400"/>
      <c r="W3896" s="732"/>
      <c r="X3896" s="167"/>
      <c r="Y3896" s="509"/>
      <c r="Z3896" s="466"/>
      <c r="AA3896" s="466"/>
      <c r="AB3896" s="466"/>
      <c r="AC3896" s="466"/>
      <c r="AD3896" s="466"/>
      <c r="AE3896" s="466"/>
      <c r="AF3896" s="466"/>
      <c r="AG3896" s="466"/>
      <c r="AH3896" s="466"/>
      <c r="AI3896" s="466"/>
      <c r="AJ3896" s="466"/>
      <c r="AK3896" s="466"/>
      <c r="AL3896" s="466"/>
      <c r="AM3896" s="466"/>
      <c r="AN3896" s="466"/>
      <c r="AO3896" s="466"/>
      <c r="AP3896" s="466"/>
      <c r="AQ3896" s="466"/>
      <c r="AR3896" s="466"/>
      <c r="AS3896" s="466"/>
      <c r="AT3896" s="466"/>
      <c r="AU3896" s="466"/>
      <c r="AV3896" s="466"/>
      <c r="AW3896" s="466"/>
      <c r="AX3896" s="466"/>
      <c r="AY3896" s="466"/>
      <c r="AZ3896" s="466"/>
      <c r="BA3896" s="466"/>
      <c r="BB3896" s="466"/>
      <c r="BC3896" s="466"/>
      <c r="BD3896" s="466"/>
      <c r="BE3896" s="467"/>
      <c r="BF3896" s="467"/>
      <c r="BG3896" s="466"/>
      <c r="BH3896" s="466"/>
      <c r="BI3896" s="467"/>
      <c r="BJ3896" s="467"/>
      <c r="BK3896" s="467"/>
      <c r="BL3896" s="467"/>
      <c r="BM3896" s="467"/>
      <c r="BN3896" s="467"/>
      <c r="BO3896" s="467"/>
      <c r="BP3896" s="467"/>
      <c r="BQ3896" s="467"/>
      <c r="BR3896" s="467"/>
      <c r="BS3896" s="467"/>
      <c r="BT3896" s="467"/>
      <c r="BU3896" s="467"/>
      <c r="BV3896" s="467"/>
      <c r="BW3896" s="467"/>
      <c r="BX3896" s="769"/>
      <c r="BY3896" s="769"/>
      <c r="BZ3896" s="769"/>
      <c r="CA3896" s="769"/>
      <c r="CB3896" s="769"/>
      <c r="CC3896" s="769"/>
      <c r="CD3896" s="769"/>
      <c r="CE3896" s="769"/>
      <c r="CF3896" s="769"/>
      <c r="CG3896" s="73"/>
      <c r="CH3896" s="438"/>
      <c r="CI3896" s="416"/>
      <c r="CJ3896" s="73"/>
      <c r="CK3896" s="650"/>
      <c r="CL3896" s="499"/>
      <c r="CM3896" s="650"/>
      <c r="CR3896" s="416"/>
      <c r="CS3896" s="650"/>
      <c r="CU3896" s="73"/>
      <c r="CV3896" s="73"/>
      <c r="CW3896" s="73"/>
      <c r="CX3896" s="73"/>
      <c r="DA3896" s="650"/>
    </row>
    <row r="3897" spans="1:105" s="45" customFormat="1" x14ac:dyDescent="0.2">
      <c r="A3897" s="650"/>
      <c r="B3897" s="438"/>
      <c r="D3897" s="73"/>
      <c r="E3897" s="650"/>
      <c r="F3897" s="650"/>
      <c r="G3897" s="73"/>
      <c r="I3897" s="111"/>
      <c r="J3897" s="81"/>
      <c r="K3897" s="81"/>
      <c r="L3897" s="499"/>
      <c r="M3897" s="73"/>
      <c r="N3897" s="499"/>
      <c r="O3897" s="73"/>
      <c r="P3897" s="73"/>
      <c r="Q3897" s="73"/>
      <c r="R3897" s="176"/>
      <c r="S3897" s="176"/>
      <c r="T3897" s="176"/>
      <c r="U3897" s="400"/>
      <c r="V3897" s="400"/>
      <c r="W3897" s="732"/>
      <c r="X3897" s="167"/>
      <c r="Y3897" s="509"/>
      <c r="Z3897" s="466"/>
      <c r="AA3897" s="466"/>
      <c r="AB3897" s="466"/>
      <c r="AC3897" s="466"/>
      <c r="AD3897" s="466"/>
      <c r="AE3897" s="466"/>
      <c r="AF3897" s="466"/>
      <c r="AG3897" s="466"/>
      <c r="AH3897" s="466"/>
      <c r="AI3897" s="466"/>
      <c r="AJ3897" s="466"/>
      <c r="AK3897" s="466"/>
      <c r="AL3897" s="466"/>
      <c r="AM3897" s="466"/>
      <c r="AN3897" s="466"/>
      <c r="AO3897" s="466"/>
      <c r="AP3897" s="466"/>
      <c r="AQ3897" s="466"/>
      <c r="AR3897" s="466"/>
      <c r="AS3897" s="466"/>
      <c r="AT3897" s="466"/>
      <c r="AU3897" s="466"/>
      <c r="AV3897" s="466"/>
      <c r="AW3897" s="466"/>
      <c r="AX3897" s="466"/>
      <c r="AY3897" s="466"/>
      <c r="AZ3897" s="466"/>
      <c r="BA3897" s="466"/>
      <c r="BB3897" s="466"/>
      <c r="BC3897" s="466"/>
      <c r="BD3897" s="466"/>
      <c r="BE3897" s="467"/>
      <c r="BF3897" s="467"/>
      <c r="BG3897" s="466"/>
      <c r="BH3897" s="466"/>
      <c r="BI3897" s="467"/>
      <c r="BJ3897" s="467"/>
      <c r="BK3897" s="467"/>
      <c r="BL3897" s="467"/>
      <c r="BM3897" s="467"/>
      <c r="BN3897" s="467"/>
      <c r="BO3897" s="467"/>
      <c r="BP3897" s="467"/>
      <c r="BQ3897" s="467"/>
      <c r="BR3897" s="467"/>
      <c r="BS3897" s="467"/>
      <c r="BT3897" s="467"/>
      <c r="BU3897" s="467"/>
      <c r="BV3897" s="467"/>
      <c r="BW3897" s="467"/>
      <c r="BX3897" s="769"/>
      <c r="BY3897" s="769"/>
      <c r="BZ3897" s="769"/>
      <c r="CA3897" s="769"/>
      <c r="CB3897" s="769"/>
      <c r="CC3897" s="769"/>
      <c r="CD3897" s="769"/>
      <c r="CE3897" s="769"/>
      <c r="CF3897" s="769"/>
      <c r="CG3897" s="73"/>
      <c r="CH3897" s="438"/>
      <c r="CI3897" s="416"/>
      <c r="CJ3897" s="73"/>
      <c r="CK3897" s="650"/>
      <c r="CL3897" s="499"/>
      <c r="CM3897" s="650"/>
      <c r="CR3897" s="416"/>
      <c r="CS3897" s="650"/>
      <c r="CU3897" s="73"/>
      <c r="CV3897" s="73"/>
      <c r="CW3897" s="73"/>
      <c r="CX3897" s="73"/>
      <c r="DA3897" s="650"/>
    </row>
    <row r="3898" spans="1:105" s="45" customFormat="1" x14ac:dyDescent="0.2">
      <c r="A3898" s="650"/>
      <c r="B3898" s="438"/>
      <c r="D3898" s="73"/>
      <c r="E3898" s="650"/>
      <c r="F3898" s="650"/>
      <c r="G3898" s="73"/>
      <c r="I3898" s="111"/>
      <c r="J3898" s="81"/>
      <c r="K3898" s="81"/>
      <c r="L3898" s="499"/>
      <c r="M3898" s="73"/>
      <c r="N3898" s="499"/>
      <c r="O3898" s="73"/>
      <c r="P3898" s="73"/>
      <c r="Q3898" s="73"/>
      <c r="R3898" s="176"/>
      <c r="S3898" s="176"/>
      <c r="T3898" s="176"/>
      <c r="U3898" s="400"/>
      <c r="V3898" s="400"/>
      <c r="W3898" s="732"/>
      <c r="X3898" s="167"/>
      <c r="Y3898" s="509"/>
      <c r="Z3898" s="466"/>
      <c r="AA3898" s="466"/>
      <c r="AB3898" s="466"/>
      <c r="AC3898" s="466"/>
      <c r="AD3898" s="466"/>
      <c r="AE3898" s="466"/>
      <c r="AF3898" s="466"/>
      <c r="AG3898" s="466"/>
      <c r="AH3898" s="466"/>
      <c r="AI3898" s="466"/>
      <c r="AJ3898" s="466"/>
      <c r="AK3898" s="466"/>
      <c r="AL3898" s="466"/>
      <c r="AM3898" s="466"/>
      <c r="AN3898" s="466"/>
      <c r="AO3898" s="466"/>
      <c r="AP3898" s="466"/>
      <c r="AQ3898" s="466"/>
      <c r="AR3898" s="466"/>
      <c r="AS3898" s="466"/>
      <c r="AT3898" s="466"/>
      <c r="AU3898" s="466"/>
      <c r="AV3898" s="466"/>
      <c r="AW3898" s="466"/>
      <c r="AX3898" s="466"/>
      <c r="AY3898" s="466"/>
      <c r="AZ3898" s="466"/>
      <c r="BA3898" s="466"/>
      <c r="BB3898" s="466"/>
      <c r="BC3898" s="466"/>
      <c r="BD3898" s="466"/>
      <c r="BE3898" s="467"/>
      <c r="BF3898" s="467"/>
      <c r="BG3898" s="466"/>
      <c r="BH3898" s="466"/>
      <c r="BI3898" s="467"/>
      <c r="BJ3898" s="467"/>
      <c r="BK3898" s="467"/>
      <c r="BL3898" s="467"/>
      <c r="BM3898" s="467"/>
      <c r="BN3898" s="467"/>
      <c r="BO3898" s="467"/>
      <c r="BP3898" s="467"/>
      <c r="BQ3898" s="467"/>
      <c r="BR3898" s="467"/>
      <c r="BS3898" s="467"/>
      <c r="BT3898" s="467"/>
      <c r="BU3898" s="467"/>
      <c r="BV3898" s="467"/>
      <c r="BW3898" s="467"/>
      <c r="BX3898" s="769"/>
      <c r="BY3898" s="769"/>
      <c r="BZ3898" s="769"/>
      <c r="CA3898" s="769"/>
      <c r="CB3898" s="769"/>
      <c r="CC3898" s="769"/>
      <c r="CD3898" s="769"/>
      <c r="CE3898" s="769"/>
      <c r="CF3898" s="769"/>
      <c r="CG3898" s="73"/>
      <c r="CH3898" s="438"/>
      <c r="CI3898" s="416"/>
      <c r="CJ3898" s="73"/>
      <c r="CK3898" s="650"/>
      <c r="CL3898" s="499"/>
      <c r="CM3898" s="650"/>
      <c r="CR3898" s="416"/>
      <c r="CS3898" s="650"/>
      <c r="CU3898" s="73"/>
      <c r="CV3898" s="73"/>
      <c r="CW3898" s="73"/>
      <c r="CX3898" s="73"/>
      <c r="DA3898" s="650"/>
    </row>
    <row r="3899" spans="1:105" s="45" customFormat="1" x14ac:dyDescent="0.2">
      <c r="A3899" s="650"/>
      <c r="B3899" s="438"/>
      <c r="D3899" s="73"/>
      <c r="E3899" s="650"/>
      <c r="F3899" s="650"/>
      <c r="G3899" s="73"/>
      <c r="I3899" s="111"/>
      <c r="J3899" s="81"/>
      <c r="K3899" s="81"/>
      <c r="L3899" s="499"/>
      <c r="M3899" s="73"/>
      <c r="N3899" s="499"/>
      <c r="O3899" s="73"/>
      <c r="P3899" s="73"/>
      <c r="Q3899" s="73"/>
      <c r="R3899" s="176"/>
      <c r="S3899" s="176"/>
      <c r="T3899" s="176"/>
      <c r="U3899" s="400"/>
      <c r="V3899" s="400"/>
      <c r="W3899" s="732"/>
      <c r="X3899" s="167"/>
      <c r="Y3899" s="509"/>
      <c r="Z3899" s="466"/>
      <c r="AA3899" s="466"/>
      <c r="AB3899" s="466"/>
      <c r="AC3899" s="466"/>
      <c r="AD3899" s="466"/>
      <c r="AE3899" s="466"/>
      <c r="AF3899" s="466"/>
      <c r="AG3899" s="466"/>
      <c r="AH3899" s="466"/>
      <c r="AI3899" s="466"/>
      <c r="AJ3899" s="466"/>
      <c r="AK3899" s="466"/>
      <c r="AL3899" s="466"/>
      <c r="AM3899" s="466"/>
      <c r="AN3899" s="466"/>
      <c r="AO3899" s="466"/>
      <c r="AP3899" s="466"/>
      <c r="AQ3899" s="466"/>
      <c r="AR3899" s="466"/>
      <c r="AS3899" s="466"/>
      <c r="AT3899" s="466"/>
      <c r="AU3899" s="466"/>
      <c r="AV3899" s="466"/>
      <c r="AW3899" s="466"/>
      <c r="AX3899" s="466"/>
      <c r="AY3899" s="466"/>
      <c r="AZ3899" s="466"/>
      <c r="BA3899" s="466"/>
      <c r="BB3899" s="466"/>
      <c r="BC3899" s="466"/>
      <c r="BD3899" s="466"/>
      <c r="BE3899" s="467"/>
      <c r="BF3899" s="467"/>
      <c r="BG3899" s="466"/>
      <c r="BH3899" s="466"/>
      <c r="BI3899" s="467"/>
      <c r="BJ3899" s="467"/>
      <c r="BK3899" s="467"/>
      <c r="BL3899" s="467"/>
      <c r="BM3899" s="467"/>
      <c r="BN3899" s="467"/>
      <c r="BO3899" s="467"/>
      <c r="BP3899" s="467"/>
      <c r="BQ3899" s="467"/>
      <c r="BR3899" s="467"/>
      <c r="BS3899" s="467"/>
      <c r="BT3899" s="467"/>
      <c r="BU3899" s="467"/>
      <c r="BV3899" s="467"/>
      <c r="BW3899" s="467"/>
      <c r="BX3899" s="769"/>
      <c r="BY3899" s="769"/>
      <c r="BZ3899" s="769"/>
      <c r="CA3899" s="769"/>
      <c r="CB3899" s="769"/>
      <c r="CC3899" s="769"/>
      <c r="CD3899" s="769"/>
      <c r="CE3899" s="769"/>
      <c r="CF3899" s="769"/>
      <c r="CG3899" s="73"/>
      <c r="CH3899" s="438"/>
      <c r="CI3899" s="416"/>
      <c r="CJ3899" s="73"/>
      <c r="CK3899" s="650"/>
      <c r="CL3899" s="499"/>
      <c r="CM3899" s="650"/>
      <c r="CR3899" s="416"/>
      <c r="CS3899" s="650"/>
      <c r="CU3899" s="73"/>
      <c r="CV3899" s="73"/>
      <c r="CW3899" s="73"/>
      <c r="CX3899" s="73"/>
      <c r="DA3899" s="650"/>
    </row>
    <row r="3900" spans="1:105" s="45" customFormat="1" x14ac:dyDescent="0.2">
      <c r="A3900" s="650"/>
      <c r="B3900" s="438"/>
      <c r="D3900" s="73"/>
      <c r="E3900" s="650"/>
      <c r="F3900" s="650"/>
      <c r="G3900" s="73"/>
      <c r="I3900" s="111"/>
      <c r="J3900" s="81"/>
      <c r="K3900" s="81"/>
      <c r="L3900" s="499"/>
      <c r="M3900" s="73"/>
      <c r="N3900" s="499"/>
      <c r="O3900" s="73"/>
      <c r="P3900" s="73"/>
      <c r="Q3900" s="73"/>
      <c r="R3900" s="176"/>
      <c r="S3900" s="176"/>
      <c r="T3900" s="176"/>
      <c r="U3900" s="400"/>
      <c r="V3900" s="400"/>
      <c r="W3900" s="732"/>
      <c r="X3900" s="167"/>
      <c r="Y3900" s="509"/>
      <c r="Z3900" s="466"/>
      <c r="AA3900" s="466"/>
      <c r="AB3900" s="466"/>
      <c r="AC3900" s="466"/>
      <c r="AD3900" s="466"/>
      <c r="AE3900" s="466"/>
      <c r="AF3900" s="466"/>
      <c r="AG3900" s="466"/>
      <c r="AH3900" s="466"/>
      <c r="AI3900" s="466"/>
      <c r="AJ3900" s="466"/>
      <c r="AK3900" s="466"/>
      <c r="AL3900" s="466"/>
      <c r="AM3900" s="466"/>
      <c r="AN3900" s="466"/>
      <c r="AO3900" s="466"/>
      <c r="AP3900" s="466"/>
      <c r="AQ3900" s="466"/>
      <c r="AR3900" s="466"/>
      <c r="AS3900" s="466"/>
      <c r="AT3900" s="466"/>
      <c r="AU3900" s="466"/>
      <c r="AV3900" s="466"/>
      <c r="AW3900" s="466"/>
      <c r="AX3900" s="466"/>
      <c r="AY3900" s="466"/>
      <c r="AZ3900" s="466"/>
      <c r="BA3900" s="466"/>
      <c r="BB3900" s="466"/>
      <c r="BC3900" s="466"/>
      <c r="BD3900" s="466"/>
      <c r="BE3900" s="467"/>
      <c r="BF3900" s="467"/>
      <c r="BG3900" s="466"/>
      <c r="BH3900" s="466"/>
      <c r="BI3900" s="467"/>
      <c r="BJ3900" s="467"/>
      <c r="BK3900" s="467"/>
      <c r="BL3900" s="467"/>
      <c r="BM3900" s="467"/>
      <c r="BN3900" s="467"/>
      <c r="BO3900" s="467"/>
      <c r="BP3900" s="467"/>
      <c r="BQ3900" s="467"/>
      <c r="BR3900" s="467"/>
      <c r="BS3900" s="467"/>
      <c r="BT3900" s="467"/>
      <c r="BU3900" s="467"/>
      <c r="BV3900" s="467"/>
      <c r="BW3900" s="467"/>
      <c r="BX3900" s="769"/>
      <c r="BY3900" s="769"/>
      <c r="BZ3900" s="769"/>
      <c r="CA3900" s="769"/>
      <c r="CB3900" s="769"/>
      <c r="CC3900" s="769"/>
      <c r="CD3900" s="769"/>
      <c r="CE3900" s="769"/>
      <c r="CF3900" s="769"/>
      <c r="CG3900" s="73"/>
      <c r="CH3900" s="438"/>
      <c r="CI3900" s="416"/>
      <c r="CJ3900" s="73"/>
      <c r="CK3900" s="650"/>
      <c r="CL3900" s="499"/>
      <c r="CM3900" s="650"/>
      <c r="CR3900" s="416"/>
      <c r="CS3900" s="650"/>
      <c r="CU3900" s="73"/>
      <c r="CV3900" s="73"/>
      <c r="CW3900" s="73"/>
      <c r="CX3900" s="73"/>
      <c r="DA3900" s="650"/>
    </row>
    <row r="3901" spans="1:105" s="45" customFormat="1" x14ac:dyDescent="0.2">
      <c r="A3901" s="650"/>
      <c r="B3901" s="438"/>
      <c r="D3901" s="73"/>
      <c r="E3901" s="650"/>
      <c r="F3901" s="650"/>
      <c r="G3901" s="73"/>
      <c r="I3901" s="111"/>
      <c r="J3901" s="81"/>
      <c r="K3901" s="81"/>
      <c r="L3901" s="499"/>
      <c r="M3901" s="73"/>
      <c r="N3901" s="499"/>
      <c r="O3901" s="73"/>
      <c r="P3901" s="73"/>
      <c r="Q3901" s="73"/>
      <c r="R3901" s="176"/>
      <c r="S3901" s="176"/>
      <c r="T3901" s="176"/>
      <c r="U3901" s="400"/>
      <c r="V3901" s="400"/>
      <c r="W3901" s="732"/>
      <c r="X3901" s="167"/>
      <c r="Y3901" s="509"/>
      <c r="Z3901" s="466"/>
      <c r="AA3901" s="466"/>
      <c r="AB3901" s="466"/>
      <c r="AC3901" s="466"/>
      <c r="AD3901" s="466"/>
      <c r="AE3901" s="466"/>
      <c r="AF3901" s="466"/>
      <c r="AG3901" s="466"/>
      <c r="AH3901" s="466"/>
      <c r="AI3901" s="466"/>
      <c r="AJ3901" s="466"/>
      <c r="AK3901" s="466"/>
      <c r="AL3901" s="466"/>
      <c r="AM3901" s="466"/>
      <c r="AN3901" s="466"/>
      <c r="AO3901" s="466"/>
      <c r="AP3901" s="466"/>
      <c r="AQ3901" s="466"/>
      <c r="AR3901" s="466"/>
      <c r="AS3901" s="466"/>
      <c r="AT3901" s="466"/>
      <c r="AU3901" s="466"/>
      <c r="AV3901" s="466"/>
      <c r="AW3901" s="466"/>
      <c r="AX3901" s="466"/>
      <c r="AY3901" s="466"/>
      <c r="AZ3901" s="466"/>
      <c r="BA3901" s="466"/>
      <c r="BB3901" s="466"/>
      <c r="BC3901" s="466"/>
      <c r="BD3901" s="466"/>
      <c r="BE3901" s="467"/>
      <c r="BF3901" s="467"/>
      <c r="BG3901" s="466"/>
      <c r="BH3901" s="466"/>
      <c r="BI3901" s="467"/>
      <c r="BJ3901" s="467"/>
      <c r="BK3901" s="467"/>
      <c r="BL3901" s="467"/>
      <c r="BM3901" s="467"/>
      <c r="BN3901" s="467"/>
      <c r="BO3901" s="467"/>
      <c r="BP3901" s="467"/>
      <c r="BQ3901" s="467"/>
      <c r="BR3901" s="467"/>
      <c r="BS3901" s="467"/>
      <c r="BT3901" s="467"/>
      <c r="BU3901" s="467"/>
      <c r="BV3901" s="467"/>
      <c r="BW3901" s="467"/>
      <c r="BX3901" s="769"/>
      <c r="BY3901" s="769"/>
      <c r="BZ3901" s="769"/>
      <c r="CA3901" s="769"/>
      <c r="CB3901" s="769"/>
      <c r="CC3901" s="769"/>
      <c r="CD3901" s="769"/>
      <c r="CE3901" s="769"/>
      <c r="CF3901" s="769"/>
      <c r="CG3901" s="73"/>
      <c r="CH3901" s="438"/>
      <c r="CI3901" s="416"/>
      <c r="CJ3901" s="73"/>
      <c r="CK3901" s="650"/>
      <c r="CL3901" s="499"/>
      <c r="CM3901" s="650"/>
      <c r="CR3901" s="416"/>
      <c r="CS3901" s="650"/>
      <c r="CU3901" s="73"/>
      <c r="CV3901" s="73"/>
      <c r="CW3901" s="73"/>
      <c r="CX3901" s="73"/>
      <c r="DA3901" s="650"/>
    </row>
    <row r="3902" spans="1:105" s="45" customFormat="1" x14ac:dyDescent="0.2">
      <c r="A3902" s="650"/>
      <c r="B3902" s="438"/>
      <c r="D3902" s="73"/>
      <c r="E3902" s="650"/>
      <c r="F3902" s="650"/>
      <c r="G3902" s="73"/>
      <c r="I3902" s="111"/>
      <c r="J3902" s="81"/>
      <c r="K3902" s="81"/>
      <c r="L3902" s="499"/>
      <c r="M3902" s="73"/>
      <c r="N3902" s="499"/>
      <c r="O3902" s="73"/>
      <c r="P3902" s="73"/>
      <c r="Q3902" s="73"/>
      <c r="R3902" s="176"/>
      <c r="S3902" s="176"/>
      <c r="T3902" s="176"/>
      <c r="U3902" s="400"/>
      <c r="V3902" s="400"/>
      <c r="W3902" s="732"/>
      <c r="X3902" s="167"/>
      <c r="Y3902" s="509"/>
      <c r="Z3902" s="466"/>
      <c r="AA3902" s="466"/>
      <c r="AB3902" s="466"/>
      <c r="AC3902" s="466"/>
      <c r="AD3902" s="466"/>
      <c r="AE3902" s="466"/>
      <c r="AF3902" s="466"/>
      <c r="AG3902" s="466"/>
      <c r="AH3902" s="466"/>
      <c r="AI3902" s="466"/>
      <c r="AJ3902" s="466"/>
      <c r="AK3902" s="466"/>
      <c r="AL3902" s="466"/>
      <c r="AM3902" s="466"/>
      <c r="AN3902" s="466"/>
      <c r="AO3902" s="466"/>
      <c r="AP3902" s="466"/>
      <c r="AQ3902" s="466"/>
      <c r="AR3902" s="466"/>
      <c r="AS3902" s="466"/>
      <c r="AT3902" s="466"/>
      <c r="AU3902" s="466"/>
      <c r="AV3902" s="466"/>
      <c r="AW3902" s="466"/>
      <c r="AX3902" s="466"/>
      <c r="AY3902" s="466"/>
      <c r="AZ3902" s="466"/>
      <c r="BA3902" s="466"/>
      <c r="BB3902" s="466"/>
      <c r="BC3902" s="466"/>
      <c r="BD3902" s="466"/>
      <c r="BE3902" s="467"/>
      <c r="BF3902" s="467"/>
      <c r="BG3902" s="466"/>
      <c r="BH3902" s="466"/>
      <c r="BI3902" s="467"/>
      <c r="BJ3902" s="467"/>
      <c r="BK3902" s="467"/>
      <c r="BL3902" s="467"/>
      <c r="BM3902" s="467"/>
      <c r="BN3902" s="467"/>
      <c r="BO3902" s="467"/>
      <c r="BP3902" s="467"/>
      <c r="BQ3902" s="467"/>
      <c r="BR3902" s="467"/>
      <c r="BS3902" s="467"/>
      <c r="BT3902" s="467"/>
      <c r="BU3902" s="467"/>
      <c r="BV3902" s="467"/>
      <c r="BW3902" s="467"/>
      <c r="BX3902" s="769"/>
      <c r="BY3902" s="769"/>
      <c r="BZ3902" s="769"/>
      <c r="CA3902" s="769"/>
      <c r="CB3902" s="769"/>
      <c r="CC3902" s="769"/>
      <c r="CD3902" s="769"/>
      <c r="CE3902" s="769"/>
      <c r="CF3902" s="769"/>
      <c r="CG3902" s="73"/>
      <c r="CH3902" s="438"/>
      <c r="CI3902" s="416"/>
      <c r="CJ3902" s="73"/>
      <c r="CK3902" s="650"/>
      <c r="CL3902" s="499"/>
      <c r="CM3902" s="650"/>
      <c r="CR3902" s="416"/>
      <c r="CS3902" s="650"/>
      <c r="CU3902" s="73"/>
      <c r="CV3902" s="73"/>
      <c r="CW3902" s="73"/>
      <c r="CX3902" s="73"/>
      <c r="DA3902" s="650"/>
    </row>
    <row r="3903" spans="1:105" s="45" customFormat="1" x14ac:dyDescent="0.2">
      <c r="A3903" s="650"/>
      <c r="B3903" s="438"/>
      <c r="D3903" s="73"/>
      <c r="E3903" s="650"/>
      <c r="F3903" s="650"/>
      <c r="G3903" s="73"/>
      <c r="I3903" s="111"/>
      <c r="J3903" s="81"/>
      <c r="K3903" s="81"/>
      <c r="L3903" s="499"/>
      <c r="M3903" s="73"/>
      <c r="N3903" s="499"/>
      <c r="O3903" s="73"/>
      <c r="P3903" s="73"/>
      <c r="Q3903" s="73"/>
      <c r="R3903" s="176"/>
      <c r="S3903" s="176"/>
      <c r="T3903" s="176"/>
      <c r="U3903" s="400"/>
      <c r="V3903" s="400"/>
      <c r="W3903" s="732"/>
      <c r="X3903" s="167"/>
      <c r="Y3903" s="509"/>
      <c r="Z3903" s="466"/>
      <c r="AA3903" s="466"/>
      <c r="AB3903" s="466"/>
      <c r="AC3903" s="466"/>
      <c r="AD3903" s="466"/>
      <c r="AE3903" s="466"/>
      <c r="AF3903" s="466"/>
      <c r="AG3903" s="466"/>
      <c r="AH3903" s="466"/>
      <c r="AI3903" s="466"/>
      <c r="AJ3903" s="466"/>
      <c r="AK3903" s="466"/>
      <c r="AL3903" s="466"/>
      <c r="AM3903" s="466"/>
      <c r="AN3903" s="466"/>
      <c r="AO3903" s="466"/>
      <c r="AP3903" s="466"/>
      <c r="AQ3903" s="466"/>
      <c r="AR3903" s="466"/>
      <c r="AS3903" s="466"/>
      <c r="AT3903" s="466"/>
      <c r="AU3903" s="466"/>
      <c r="AV3903" s="466"/>
      <c r="AW3903" s="466"/>
      <c r="AX3903" s="466"/>
      <c r="AY3903" s="466"/>
      <c r="AZ3903" s="466"/>
      <c r="BA3903" s="466"/>
      <c r="BB3903" s="466"/>
      <c r="BC3903" s="466"/>
      <c r="BD3903" s="466"/>
      <c r="BE3903" s="467"/>
      <c r="BF3903" s="467"/>
      <c r="BG3903" s="466"/>
      <c r="BH3903" s="466"/>
      <c r="BI3903" s="467"/>
      <c r="BJ3903" s="467"/>
      <c r="BK3903" s="467"/>
      <c r="BL3903" s="467"/>
      <c r="BM3903" s="467"/>
      <c r="BN3903" s="467"/>
      <c r="BO3903" s="467"/>
      <c r="BP3903" s="467"/>
      <c r="BQ3903" s="467"/>
      <c r="BR3903" s="467"/>
      <c r="BS3903" s="467"/>
      <c r="BT3903" s="467"/>
      <c r="BU3903" s="467"/>
      <c r="BV3903" s="467"/>
      <c r="BW3903" s="467"/>
      <c r="BX3903" s="769"/>
      <c r="BY3903" s="769"/>
      <c r="BZ3903" s="769"/>
      <c r="CA3903" s="769"/>
      <c r="CB3903" s="769"/>
      <c r="CC3903" s="769"/>
      <c r="CD3903" s="769"/>
      <c r="CE3903" s="769"/>
      <c r="CF3903" s="769"/>
      <c r="CG3903" s="73"/>
      <c r="CH3903" s="438"/>
      <c r="CI3903" s="416"/>
      <c r="CJ3903" s="73"/>
      <c r="CK3903" s="650"/>
      <c r="CL3903" s="499"/>
      <c r="CM3903" s="650"/>
      <c r="CR3903" s="416"/>
      <c r="CS3903" s="650"/>
      <c r="CU3903" s="73"/>
      <c r="CV3903" s="73"/>
      <c r="CW3903" s="73"/>
      <c r="CX3903" s="73"/>
      <c r="DA3903" s="650"/>
    </row>
    <row r="3904" spans="1:105" s="45" customFormat="1" x14ac:dyDescent="0.2">
      <c r="A3904" s="650"/>
      <c r="B3904" s="438"/>
      <c r="D3904" s="73"/>
      <c r="E3904" s="650"/>
      <c r="F3904" s="650"/>
      <c r="G3904" s="73"/>
      <c r="I3904" s="111"/>
      <c r="J3904" s="81"/>
      <c r="K3904" s="81"/>
      <c r="L3904" s="499"/>
      <c r="M3904" s="73"/>
      <c r="N3904" s="499"/>
      <c r="O3904" s="73"/>
      <c r="P3904" s="73"/>
      <c r="Q3904" s="73"/>
      <c r="R3904" s="176"/>
      <c r="S3904" s="176"/>
      <c r="T3904" s="176"/>
      <c r="U3904" s="400"/>
      <c r="V3904" s="400"/>
      <c r="W3904" s="732"/>
      <c r="X3904" s="167"/>
      <c r="Y3904" s="509"/>
      <c r="Z3904" s="466"/>
      <c r="AA3904" s="466"/>
      <c r="AB3904" s="466"/>
      <c r="AC3904" s="466"/>
      <c r="AD3904" s="466"/>
      <c r="AE3904" s="466"/>
      <c r="AF3904" s="466"/>
      <c r="AG3904" s="466"/>
      <c r="AH3904" s="466"/>
      <c r="AI3904" s="466"/>
      <c r="AJ3904" s="466"/>
      <c r="AK3904" s="466"/>
      <c r="AL3904" s="466"/>
      <c r="AM3904" s="466"/>
      <c r="AN3904" s="466"/>
      <c r="AO3904" s="466"/>
      <c r="AP3904" s="466"/>
      <c r="AQ3904" s="466"/>
      <c r="AR3904" s="466"/>
      <c r="AS3904" s="466"/>
      <c r="AT3904" s="466"/>
      <c r="AU3904" s="466"/>
      <c r="AV3904" s="466"/>
      <c r="AW3904" s="466"/>
      <c r="AX3904" s="466"/>
      <c r="AY3904" s="466"/>
      <c r="AZ3904" s="466"/>
      <c r="BA3904" s="466"/>
      <c r="BB3904" s="466"/>
      <c r="BC3904" s="466"/>
      <c r="BD3904" s="466"/>
      <c r="BE3904" s="467"/>
      <c r="BF3904" s="467"/>
      <c r="BG3904" s="466"/>
      <c r="BH3904" s="466"/>
      <c r="BI3904" s="467"/>
      <c r="BJ3904" s="467"/>
      <c r="BK3904" s="467"/>
      <c r="BL3904" s="467"/>
      <c r="BM3904" s="467"/>
      <c r="BN3904" s="467"/>
      <c r="BO3904" s="467"/>
      <c r="BP3904" s="467"/>
      <c r="BQ3904" s="467"/>
      <c r="BR3904" s="467"/>
      <c r="BS3904" s="467"/>
      <c r="BT3904" s="467"/>
      <c r="BU3904" s="467"/>
      <c r="BV3904" s="467"/>
      <c r="BW3904" s="467"/>
      <c r="BX3904" s="769"/>
      <c r="BY3904" s="769"/>
      <c r="BZ3904" s="769"/>
      <c r="CA3904" s="769"/>
      <c r="CB3904" s="769"/>
      <c r="CC3904" s="769"/>
      <c r="CD3904" s="769"/>
      <c r="CE3904" s="769"/>
      <c r="CF3904" s="769"/>
      <c r="CG3904" s="73"/>
      <c r="CH3904" s="438"/>
      <c r="CI3904" s="416"/>
      <c r="CJ3904" s="73"/>
      <c r="CK3904" s="650"/>
      <c r="CL3904" s="499"/>
      <c r="CM3904" s="650"/>
      <c r="CR3904" s="416"/>
      <c r="CS3904" s="650"/>
      <c r="CU3904" s="73"/>
      <c r="CV3904" s="73"/>
      <c r="CW3904" s="73"/>
      <c r="CX3904" s="73"/>
      <c r="DA3904" s="650"/>
    </row>
    <row r="3905" spans="1:105" s="45" customFormat="1" x14ac:dyDescent="0.2">
      <c r="A3905" s="650"/>
      <c r="B3905" s="438"/>
      <c r="D3905" s="73"/>
      <c r="E3905" s="650"/>
      <c r="F3905" s="650"/>
      <c r="G3905" s="73"/>
      <c r="I3905" s="111"/>
      <c r="J3905" s="81"/>
      <c r="K3905" s="81"/>
      <c r="L3905" s="499"/>
      <c r="M3905" s="73"/>
      <c r="N3905" s="499"/>
      <c r="O3905" s="73"/>
      <c r="P3905" s="73"/>
      <c r="Q3905" s="73"/>
      <c r="R3905" s="176"/>
      <c r="S3905" s="176"/>
      <c r="T3905" s="176"/>
      <c r="U3905" s="400"/>
      <c r="V3905" s="400"/>
      <c r="W3905" s="732"/>
      <c r="X3905" s="167"/>
      <c r="Y3905" s="509"/>
      <c r="Z3905" s="466"/>
      <c r="AA3905" s="466"/>
      <c r="AB3905" s="466"/>
      <c r="AC3905" s="466"/>
      <c r="AD3905" s="466"/>
      <c r="AE3905" s="466"/>
      <c r="AF3905" s="466"/>
      <c r="AG3905" s="466"/>
      <c r="AH3905" s="466"/>
      <c r="AI3905" s="466"/>
      <c r="AJ3905" s="466"/>
      <c r="AK3905" s="466"/>
      <c r="AL3905" s="466"/>
      <c r="AM3905" s="466"/>
      <c r="AN3905" s="466"/>
      <c r="AO3905" s="466"/>
      <c r="AP3905" s="466"/>
      <c r="AQ3905" s="466"/>
      <c r="AR3905" s="466"/>
      <c r="AS3905" s="466"/>
      <c r="AT3905" s="466"/>
      <c r="AU3905" s="466"/>
      <c r="AV3905" s="466"/>
      <c r="AW3905" s="466"/>
      <c r="AX3905" s="466"/>
      <c r="AY3905" s="466"/>
      <c r="AZ3905" s="466"/>
      <c r="BA3905" s="466"/>
      <c r="BB3905" s="466"/>
      <c r="BC3905" s="466"/>
      <c r="BD3905" s="466"/>
      <c r="BE3905" s="467"/>
      <c r="BF3905" s="467"/>
      <c r="BG3905" s="466"/>
      <c r="BH3905" s="466"/>
      <c r="BI3905" s="467"/>
      <c r="BJ3905" s="467"/>
      <c r="BK3905" s="467"/>
      <c r="BL3905" s="467"/>
      <c r="BM3905" s="467"/>
      <c r="BN3905" s="467"/>
      <c r="BO3905" s="467"/>
      <c r="BP3905" s="467"/>
      <c r="BQ3905" s="467"/>
      <c r="BR3905" s="467"/>
      <c r="BS3905" s="467"/>
      <c r="BT3905" s="467"/>
      <c r="BU3905" s="467"/>
      <c r="BV3905" s="467"/>
      <c r="BW3905" s="467"/>
      <c r="BX3905" s="769"/>
      <c r="BY3905" s="769"/>
      <c r="BZ3905" s="769"/>
      <c r="CA3905" s="769"/>
      <c r="CB3905" s="769"/>
      <c r="CC3905" s="769"/>
      <c r="CD3905" s="769"/>
      <c r="CE3905" s="769"/>
      <c r="CF3905" s="769"/>
      <c r="CG3905" s="73"/>
      <c r="CH3905" s="438"/>
      <c r="CI3905" s="416"/>
      <c r="CJ3905" s="73"/>
      <c r="CK3905" s="650"/>
      <c r="CL3905" s="499"/>
      <c r="CM3905" s="650"/>
      <c r="CR3905" s="416"/>
      <c r="CS3905" s="650"/>
      <c r="CU3905" s="73"/>
      <c r="CV3905" s="73"/>
      <c r="CW3905" s="73"/>
      <c r="CX3905" s="73"/>
      <c r="DA3905" s="650"/>
    </row>
    <row r="3906" spans="1:105" s="45" customFormat="1" x14ac:dyDescent="0.2">
      <c r="A3906" s="650"/>
      <c r="B3906" s="438"/>
      <c r="D3906" s="73"/>
      <c r="E3906" s="650"/>
      <c r="F3906" s="650"/>
      <c r="G3906" s="73"/>
      <c r="I3906" s="111"/>
      <c r="J3906" s="81"/>
      <c r="K3906" s="81"/>
      <c r="L3906" s="499"/>
      <c r="M3906" s="73"/>
      <c r="N3906" s="499"/>
      <c r="O3906" s="73"/>
      <c r="P3906" s="73"/>
      <c r="Q3906" s="73"/>
      <c r="R3906" s="176"/>
      <c r="S3906" s="176"/>
      <c r="T3906" s="176"/>
      <c r="U3906" s="400"/>
      <c r="V3906" s="400"/>
      <c r="W3906" s="732"/>
      <c r="X3906" s="167"/>
      <c r="Y3906" s="509"/>
      <c r="Z3906" s="466"/>
      <c r="AA3906" s="466"/>
      <c r="AB3906" s="466"/>
      <c r="AC3906" s="466"/>
      <c r="AD3906" s="466"/>
      <c r="AE3906" s="466"/>
      <c r="AF3906" s="466"/>
      <c r="AG3906" s="466"/>
      <c r="AH3906" s="466"/>
      <c r="AI3906" s="466"/>
      <c r="AJ3906" s="466"/>
      <c r="AK3906" s="466"/>
      <c r="AL3906" s="466"/>
      <c r="AM3906" s="466"/>
      <c r="AN3906" s="466"/>
      <c r="AO3906" s="466"/>
      <c r="AP3906" s="466"/>
      <c r="AQ3906" s="466"/>
      <c r="AR3906" s="466"/>
      <c r="AS3906" s="466"/>
      <c r="AT3906" s="466"/>
      <c r="AU3906" s="466"/>
      <c r="AV3906" s="466"/>
      <c r="AW3906" s="466"/>
      <c r="AX3906" s="466"/>
      <c r="AY3906" s="466"/>
      <c r="AZ3906" s="466"/>
      <c r="BA3906" s="466"/>
      <c r="BB3906" s="466"/>
      <c r="BC3906" s="466"/>
      <c r="BD3906" s="466"/>
      <c r="BE3906" s="467"/>
      <c r="BF3906" s="467"/>
      <c r="BG3906" s="466"/>
      <c r="BH3906" s="466"/>
      <c r="BI3906" s="467"/>
      <c r="BJ3906" s="467"/>
      <c r="BK3906" s="467"/>
      <c r="BL3906" s="467"/>
      <c r="BM3906" s="467"/>
      <c r="BN3906" s="467"/>
      <c r="BO3906" s="467"/>
      <c r="BP3906" s="467"/>
      <c r="BQ3906" s="467"/>
      <c r="BR3906" s="467"/>
      <c r="BS3906" s="467"/>
      <c r="BT3906" s="467"/>
      <c r="BU3906" s="467"/>
      <c r="BV3906" s="467"/>
      <c r="BW3906" s="467"/>
      <c r="BX3906" s="769"/>
      <c r="BY3906" s="769"/>
      <c r="BZ3906" s="769"/>
      <c r="CA3906" s="769"/>
      <c r="CB3906" s="769"/>
      <c r="CC3906" s="769"/>
      <c r="CD3906" s="769"/>
      <c r="CE3906" s="769"/>
      <c r="CF3906" s="769"/>
      <c r="CG3906" s="73"/>
      <c r="CH3906" s="438"/>
      <c r="CI3906" s="416"/>
      <c r="CJ3906" s="73"/>
      <c r="CK3906" s="650"/>
      <c r="CL3906" s="499"/>
      <c r="CM3906" s="650"/>
      <c r="CR3906" s="416"/>
      <c r="CS3906" s="650"/>
      <c r="CU3906" s="73"/>
      <c r="CV3906" s="73"/>
      <c r="CW3906" s="73"/>
      <c r="CX3906" s="73"/>
      <c r="DA3906" s="650"/>
    </row>
    <row r="3907" spans="1:105" s="45" customFormat="1" x14ac:dyDescent="0.2">
      <c r="A3907" s="650"/>
      <c r="B3907" s="438"/>
      <c r="D3907" s="73"/>
      <c r="E3907" s="650"/>
      <c r="F3907" s="650"/>
      <c r="G3907" s="73"/>
      <c r="I3907" s="111"/>
      <c r="J3907" s="81"/>
      <c r="K3907" s="81"/>
      <c r="L3907" s="499"/>
      <c r="M3907" s="73"/>
      <c r="N3907" s="499"/>
      <c r="O3907" s="73"/>
      <c r="P3907" s="73"/>
      <c r="Q3907" s="73"/>
      <c r="R3907" s="176"/>
      <c r="S3907" s="176"/>
      <c r="T3907" s="176"/>
      <c r="U3907" s="400"/>
      <c r="V3907" s="400"/>
      <c r="W3907" s="732"/>
      <c r="X3907" s="167"/>
      <c r="Y3907" s="509"/>
      <c r="Z3907" s="466"/>
      <c r="AA3907" s="466"/>
      <c r="AB3907" s="466"/>
      <c r="AC3907" s="466"/>
      <c r="AD3907" s="466"/>
      <c r="AE3907" s="466"/>
      <c r="AF3907" s="466"/>
      <c r="AG3907" s="466"/>
      <c r="AH3907" s="466"/>
      <c r="AI3907" s="466"/>
      <c r="AJ3907" s="466"/>
      <c r="AK3907" s="466"/>
      <c r="AL3907" s="466"/>
      <c r="AM3907" s="466"/>
      <c r="AN3907" s="466"/>
      <c r="AO3907" s="466"/>
      <c r="AP3907" s="466"/>
      <c r="AQ3907" s="466"/>
      <c r="AR3907" s="466"/>
      <c r="AS3907" s="466"/>
      <c r="AT3907" s="466"/>
      <c r="AU3907" s="466"/>
      <c r="AV3907" s="466"/>
      <c r="AW3907" s="466"/>
      <c r="AX3907" s="466"/>
      <c r="AY3907" s="466"/>
      <c r="AZ3907" s="466"/>
      <c r="BA3907" s="466"/>
      <c r="BB3907" s="466"/>
      <c r="BC3907" s="466"/>
      <c r="BD3907" s="466"/>
      <c r="BE3907" s="467"/>
      <c r="BF3907" s="467"/>
      <c r="BG3907" s="466"/>
      <c r="BH3907" s="466"/>
      <c r="BI3907" s="467"/>
      <c r="BJ3907" s="467"/>
      <c r="BK3907" s="467"/>
      <c r="BL3907" s="467"/>
      <c r="BM3907" s="467"/>
      <c r="BN3907" s="467"/>
      <c r="BO3907" s="467"/>
      <c r="BP3907" s="467"/>
      <c r="BQ3907" s="467"/>
      <c r="BR3907" s="467"/>
      <c r="BS3907" s="467"/>
      <c r="BT3907" s="467"/>
      <c r="BU3907" s="467"/>
      <c r="BV3907" s="467"/>
      <c r="BW3907" s="467"/>
      <c r="BX3907" s="769"/>
      <c r="BY3907" s="769"/>
      <c r="BZ3907" s="769"/>
      <c r="CA3907" s="769"/>
      <c r="CB3907" s="769"/>
      <c r="CC3907" s="769"/>
      <c r="CD3907" s="769"/>
      <c r="CE3907" s="769"/>
      <c r="CF3907" s="769"/>
      <c r="CG3907" s="73"/>
      <c r="CH3907" s="438"/>
      <c r="CI3907" s="416"/>
      <c r="CJ3907" s="73"/>
      <c r="CK3907" s="650"/>
      <c r="CL3907" s="499"/>
      <c r="CM3907" s="650"/>
      <c r="CR3907" s="416"/>
      <c r="CS3907" s="650"/>
      <c r="CU3907" s="73"/>
      <c r="CV3907" s="73"/>
      <c r="CW3907" s="73"/>
      <c r="CX3907" s="73"/>
      <c r="DA3907" s="650"/>
    </row>
    <row r="3908" spans="1:105" s="45" customFormat="1" x14ac:dyDescent="0.2">
      <c r="A3908" s="650"/>
      <c r="B3908" s="438"/>
      <c r="D3908" s="73"/>
      <c r="E3908" s="650"/>
      <c r="F3908" s="650"/>
      <c r="G3908" s="73"/>
      <c r="I3908" s="111"/>
      <c r="J3908" s="81"/>
      <c r="K3908" s="81"/>
      <c r="L3908" s="499"/>
      <c r="M3908" s="73"/>
      <c r="N3908" s="499"/>
      <c r="O3908" s="73"/>
      <c r="P3908" s="73"/>
      <c r="Q3908" s="73"/>
      <c r="R3908" s="176"/>
      <c r="S3908" s="176"/>
      <c r="T3908" s="176"/>
      <c r="U3908" s="400"/>
      <c r="V3908" s="400"/>
      <c r="W3908" s="732"/>
      <c r="X3908" s="167"/>
      <c r="Y3908" s="509"/>
      <c r="Z3908" s="466"/>
      <c r="AA3908" s="466"/>
      <c r="AB3908" s="466"/>
      <c r="AC3908" s="466"/>
      <c r="AD3908" s="466"/>
      <c r="AE3908" s="466"/>
      <c r="AF3908" s="466"/>
      <c r="AG3908" s="466"/>
      <c r="AH3908" s="466"/>
      <c r="AI3908" s="466"/>
      <c r="AJ3908" s="466"/>
      <c r="AK3908" s="466"/>
      <c r="AL3908" s="466"/>
      <c r="AM3908" s="466"/>
      <c r="AN3908" s="466"/>
      <c r="AO3908" s="466"/>
      <c r="AP3908" s="466"/>
      <c r="AQ3908" s="466"/>
      <c r="AR3908" s="466"/>
      <c r="AS3908" s="466"/>
      <c r="AT3908" s="466"/>
      <c r="AU3908" s="466"/>
      <c r="AV3908" s="466"/>
      <c r="AW3908" s="466"/>
      <c r="AX3908" s="466"/>
      <c r="AY3908" s="466"/>
      <c r="AZ3908" s="466"/>
      <c r="BA3908" s="466"/>
      <c r="BB3908" s="466"/>
      <c r="BC3908" s="466"/>
      <c r="BD3908" s="466"/>
      <c r="BE3908" s="467"/>
      <c r="BF3908" s="467"/>
      <c r="BG3908" s="466"/>
      <c r="BH3908" s="466"/>
      <c r="BI3908" s="467"/>
      <c r="BJ3908" s="467"/>
      <c r="BK3908" s="467"/>
      <c r="BL3908" s="467"/>
      <c r="BM3908" s="467"/>
      <c r="BN3908" s="467"/>
      <c r="BO3908" s="467"/>
      <c r="BP3908" s="467"/>
      <c r="BQ3908" s="467"/>
      <c r="BR3908" s="467"/>
      <c r="BS3908" s="467"/>
      <c r="BT3908" s="467"/>
      <c r="BU3908" s="467"/>
      <c r="BV3908" s="467"/>
      <c r="BW3908" s="467"/>
      <c r="BX3908" s="769"/>
      <c r="BY3908" s="769"/>
      <c r="BZ3908" s="769"/>
      <c r="CA3908" s="769"/>
      <c r="CB3908" s="769"/>
      <c r="CC3908" s="769"/>
      <c r="CD3908" s="769"/>
      <c r="CE3908" s="769"/>
      <c r="CF3908" s="769"/>
      <c r="CG3908" s="73"/>
      <c r="CH3908" s="438"/>
      <c r="CI3908" s="416"/>
      <c r="CJ3908" s="73"/>
      <c r="CK3908" s="650"/>
      <c r="CL3908" s="499"/>
      <c r="CM3908" s="650"/>
      <c r="CR3908" s="416"/>
      <c r="CS3908" s="650"/>
      <c r="CU3908" s="73"/>
      <c r="CV3908" s="73"/>
      <c r="CW3908" s="73"/>
      <c r="CX3908" s="73"/>
      <c r="DA3908" s="650"/>
    </row>
    <row r="3909" spans="1:105" s="45" customFormat="1" x14ac:dyDescent="0.2">
      <c r="A3909" s="650"/>
      <c r="B3909" s="438"/>
      <c r="D3909" s="73"/>
      <c r="E3909" s="650"/>
      <c r="F3909" s="650"/>
      <c r="G3909" s="73"/>
      <c r="I3909" s="111"/>
      <c r="J3909" s="81"/>
      <c r="K3909" s="81"/>
      <c r="L3909" s="499"/>
      <c r="M3909" s="73"/>
      <c r="N3909" s="499"/>
      <c r="O3909" s="73"/>
      <c r="P3909" s="73"/>
      <c r="Q3909" s="73"/>
      <c r="R3909" s="176"/>
      <c r="S3909" s="176"/>
      <c r="T3909" s="176"/>
      <c r="U3909" s="400"/>
      <c r="V3909" s="400"/>
      <c r="W3909" s="732"/>
      <c r="X3909" s="167"/>
      <c r="Y3909" s="509"/>
      <c r="Z3909" s="466"/>
      <c r="AA3909" s="466"/>
      <c r="AB3909" s="466"/>
      <c r="AC3909" s="466"/>
      <c r="AD3909" s="466"/>
      <c r="AE3909" s="466"/>
      <c r="AF3909" s="466"/>
      <c r="AG3909" s="466"/>
      <c r="AH3909" s="466"/>
      <c r="AI3909" s="466"/>
      <c r="AJ3909" s="466"/>
      <c r="AK3909" s="466"/>
      <c r="AL3909" s="466"/>
      <c r="AM3909" s="466"/>
      <c r="AN3909" s="466"/>
      <c r="AO3909" s="466"/>
      <c r="AP3909" s="466"/>
      <c r="AQ3909" s="466"/>
      <c r="AR3909" s="466"/>
      <c r="AS3909" s="466"/>
      <c r="AT3909" s="466"/>
      <c r="AU3909" s="466"/>
      <c r="AV3909" s="466"/>
      <c r="AW3909" s="466"/>
      <c r="AX3909" s="466"/>
      <c r="AY3909" s="466"/>
      <c r="AZ3909" s="466"/>
      <c r="BA3909" s="466"/>
      <c r="BB3909" s="466"/>
      <c r="BC3909" s="466"/>
      <c r="BD3909" s="466"/>
      <c r="BE3909" s="467"/>
      <c r="BF3909" s="467"/>
      <c r="BG3909" s="466"/>
      <c r="BH3909" s="466"/>
      <c r="BI3909" s="467"/>
      <c r="BJ3909" s="467"/>
      <c r="BK3909" s="467"/>
      <c r="BL3909" s="467"/>
      <c r="BM3909" s="467"/>
      <c r="BN3909" s="467"/>
      <c r="BO3909" s="467"/>
      <c r="BP3909" s="467"/>
      <c r="BQ3909" s="467"/>
      <c r="BR3909" s="467"/>
      <c r="BS3909" s="467"/>
      <c r="BT3909" s="467"/>
      <c r="BU3909" s="467"/>
      <c r="BV3909" s="467"/>
      <c r="BW3909" s="467"/>
      <c r="BX3909" s="769"/>
      <c r="BY3909" s="769"/>
      <c r="BZ3909" s="769"/>
      <c r="CA3909" s="769"/>
      <c r="CB3909" s="769"/>
      <c r="CC3909" s="769"/>
      <c r="CD3909" s="769"/>
      <c r="CE3909" s="769"/>
      <c r="CF3909" s="769"/>
      <c r="CG3909" s="73"/>
      <c r="CH3909" s="438"/>
      <c r="CI3909" s="416"/>
      <c r="CJ3909" s="73"/>
      <c r="CK3909" s="650"/>
      <c r="CL3909" s="499"/>
      <c r="CM3909" s="650"/>
      <c r="CR3909" s="416"/>
      <c r="CS3909" s="650"/>
      <c r="CU3909" s="73"/>
      <c r="CV3909" s="73"/>
      <c r="CW3909" s="73"/>
      <c r="CX3909" s="73"/>
      <c r="DA3909" s="650"/>
    </row>
    <row r="3910" spans="1:105" s="45" customFormat="1" x14ac:dyDescent="0.2">
      <c r="A3910" s="650"/>
      <c r="B3910" s="438"/>
      <c r="D3910" s="73"/>
      <c r="E3910" s="650"/>
      <c r="F3910" s="650"/>
      <c r="G3910" s="73"/>
      <c r="I3910" s="111"/>
      <c r="J3910" s="81"/>
      <c r="K3910" s="81"/>
      <c r="L3910" s="499"/>
      <c r="M3910" s="73"/>
      <c r="N3910" s="499"/>
      <c r="O3910" s="73"/>
      <c r="P3910" s="73"/>
      <c r="Q3910" s="73"/>
      <c r="R3910" s="176"/>
      <c r="S3910" s="176"/>
      <c r="T3910" s="176"/>
      <c r="U3910" s="400"/>
      <c r="V3910" s="400"/>
      <c r="W3910" s="732"/>
      <c r="X3910" s="167"/>
      <c r="Y3910" s="509"/>
      <c r="Z3910" s="466"/>
      <c r="AA3910" s="466"/>
      <c r="AB3910" s="466"/>
      <c r="AC3910" s="466"/>
      <c r="AD3910" s="466"/>
      <c r="AE3910" s="466"/>
      <c r="AF3910" s="466"/>
      <c r="AG3910" s="466"/>
      <c r="AH3910" s="466"/>
      <c r="AI3910" s="466"/>
      <c r="AJ3910" s="466"/>
      <c r="AK3910" s="466"/>
      <c r="AL3910" s="466"/>
      <c r="AM3910" s="466"/>
      <c r="AN3910" s="466"/>
      <c r="AO3910" s="466"/>
      <c r="AP3910" s="466"/>
      <c r="AQ3910" s="466"/>
      <c r="AR3910" s="466"/>
      <c r="AS3910" s="466"/>
      <c r="AT3910" s="466"/>
      <c r="AU3910" s="466"/>
      <c r="AV3910" s="466"/>
      <c r="AW3910" s="466"/>
      <c r="AX3910" s="466"/>
      <c r="AY3910" s="466"/>
      <c r="AZ3910" s="466"/>
      <c r="BA3910" s="466"/>
      <c r="BB3910" s="466"/>
      <c r="BC3910" s="466"/>
      <c r="BD3910" s="466"/>
      <c r="BE3910" s="467"/>
      <c r="BF3910" s="467"/>
      <c r="BG3910" s="466"/>
      <c r="BH3910" s="466"/>
      <c r="BI3910" s="467"/>
      <c r="BJ3910" s="467"/>
      <c r="BK3910" s="467"/>
      <c r="BL3910" s="467"/>
      <c r="BM3910" s="467"/>
      <c r="BN3910" s="467"/>
      <c r="BO3910" s="467"/>
      <c r="BP3910" s="467"/>
      <c r="BQ3910" s="467"/>
      <c r="BR3910" s="467"/>
      <c r="BS3910" s="467"/>
      <c r="BT3910" s="467"/>
      <c r="BU3910" s="467"/>
      <c r="BV3910" s="467"/>
      <c r="BW3910" s="467"/>
      <c r="BX3910" s="769"/>
      <c r="BY3910" s="769"/>
      <c r="BZ3910" s="769"/>
      <c r="CA3910" s="769"/>
      <c r="CB3910" s="769"/>
      <c r="CC3910" s="769"/>
      <c r="CD3910" s="769"/>
      <c r="CE3910" s="769"/>
      <c r="CF3910" s="769"/>
      <c r="CG3910" s="73"/>
      <c r="CH3910" s="438"/>
      <c r="CI3910" s="416"/>
      <c r="CJ3910" s="73"/>
      <c r="CK3910" s="650"/>
      <c r="CL3910" s="499"/>
      <c r="CM3910" s="650"/>
      <c r="CR3910" s="416"/>
      <c r="CS3910" s="650"/>
      <c r="CU3910" s="73"/>
      <c r="CV3910" s="73"/>
      <c r="CW3910" s="73"/>
      <c r="CX3910" s="73"/>
      <c r="DA3910" s="650"/>
    </row>
    <row r="3911" spans="1:105" s="45" customFormat="1" x14ac:dyDescent="0.2">
      <c r="A3911" s="650"/>
      <c r="B3911" s="438"/>
      <c r="D3911" s="73"/>
      <c r="E3911" s="650"/>
      <c r="F3911" s="650"/>
      <c r="G3911" s="73"/>
      <c r="I3911" s="111"/>
      <c r="J3911" s="81"/>
      <c r="K3911" s="81"/>
      <c r="L3911" s="499"/>
      <c r="M3911" s="73"/>
      <c r="N3911" s="499"/>
      <c r="O3911" s="73"/>
      <c r="P3911" s="73"/>
      <c r="Q3911" s="73"/>
      <c r="R3911" s="176"/>
      <c r="S3911" s="176"/>
      <c r="T3911" s="176"/>
      <c r="U3911" s="400"/>
      <c r="V3911" s="400"/>
      <c r="W3911" s="732"/>
      <c r="X3911" s="167"/>
      <c r="Y3911" s="509"/>
      <c r="Z3911" s="466"/>
      <c r="AA3911" s="466"/>
      <c r="AB3911" s="466"/>
      <c r="AC3911" s="466"/>
      <c r="AD3911" s="466"/>
      <c r="AE3911" s="466"/>
      <c r="AF3911" s="466"/>
      <c r="AG3911" s="466"/>
      <c r="AH3911" s="466"/>
      <c r="AI3911" s="466"/>
      <c r="AJ3911" s="466"/>
      <c r="AK3911" s="466"/>
      <c r="AL3911" s="466"/>
      <c r="AM3911" s="466"/>
      <c r="AN3911" s="466"/>
      <c r="AO3911" s="466"/>
      <c r="AP3911" s="466"/>
      <c r="AQ3911" s="466"/>
      <c r="AR3911" s="466"/>
      <c r="AS3911" s="466"/>
      <c r="AT3911" s="466"/>
      <c r="AU3911" s="466"/>
      <c r="AV3911" s="466"/>
      <c r="AW3911" s="466"/>
      <c r="AX3911" s="466"/>
      <c r="AY3911" s="466"/>
      <c r="AZ3911" s="466"/>
      <c r="BA3911" s="466"/>
      <c r="BB3911" s="466"/>
      <c r="BC3911" s="466"/>
      <c r="BD3911" s="466"/>
      <c r="BE3911" s="467"/>
      <c r="BF3911" s="467"/>
      <c r="BG3911" s="466"/>
      <c r="BH3911" s="466"/>
      <c r="BI3911" s="467"/>
      <c r="BJ3911" s="467"/>
      <c r="BK3911" s="467"/>
      <c r="BL3911" s="467"/>
      <c r="BM3911" s="467"/>
      <c r="BN3911" s="467"/>
      <c r="BO3911" s="467"/>
      <c r="BP3911" s="467"/>
      <c r="BQ3911" s="467"/>
      <c r="BR3911" s="467"/>
      <c r="BS3911" s="467"/>
      <c r="BT3911" s="467"/>
      <c r="BU3911" s="467"/>
      <c r="BV3911" s="467"/>
      <c r="BW3911" s="467"/>
      <c r="BX3911" s="769"/>
      <c r="BY3911" s="769"/>
      <c r="BZ3911" s="769"/>
      <c r="CA3911" s="769"/>
      <c r="CB3911" s="769"/>
      <c r="CC3911" s="769"/>
      <c r="CD3911" s="769"/>
      <c r="CE3911" s="769"/>
      <c r="CF3911" s="769"/>
      <c r="CG3911" s="73"/>
      <c r="CH3911" s="438"/>
      <c r="CI3911" s="416"/>
      <c r="CJ3911" s="73"/>
      <c r="CK3911" s="650"/>
      <c r="CL3911" s="499"/>
      <c r="CM3911" s="650"/>
      <c r="CR3911" s="416"/>
      <c r="CS3911" s="650"/>
      <c r="CU3911" s="73"/>
      <c r="CV3911" s="73"/>
      <c r="CW3911" s="73"/>
      <c r="CX3911" s="73"/>
      <c r="DA3911" s="650"/>
    </row>
    <row r="3912" spans="1:105" s="45" customFormat="1" x14ac:dyDescent="0.2">
      <c r="A3912" s="650"/>
      <c r="B3912" s="438"/>
      <c r="D3912" s="73"/>
      <c r="E3912" s="650"/>
      <c r="F3912" s="650"/>
      <c r="G3912" s="73"/>
      <c r="I3912" s="111"/>
      <c r="J3912" s="81"/>
      <c r="K3912" s="81"/>
      <c r="L3912" s="499"/>
      <c r="M3912" s="73"/>
      <c r="N3912" s="499"/>
      <c r="O3912" s="73"/>
      <c r="P3912" s="73"/>
      <c r="Q3912" s="73"/>
      <c r="R3912" s="176"/>
      <c r="S3912" s="176"/>
      <c r="T3912" s="176"/>
      <c r="U3912" s="400"/>
      <c r="V3912" s="400"/>
      <c r="W3912" s="732"/>
      <c r="X3912" s="167"/>
      <c r="Y3912" s="509"/>
      <c r="Z3912" s="466"/>
      <c r="AA3912" s="466"/>
      <c r="AB3912" s="466"/>
      <c r="AC3912" s="466"/>
      <c r="AD3912" s="466"/>
      <c r="AE3912" s="466"/>
      <c r="AF3912" s="466"/>
      <c r="AG3912" s="466"/>
      <c r="AH3912" s="466"/>
      <c r="AI3912" s="466"/>
      <c r="AJ3912" s="466"/>
      <c r="AK3912" s="466"/>
      <c r="AL3912" s="466"/>
      <c r="AM3912" s="466"/>
      <c r="AN3912" s="466"/>
      <c r="AO3912" s="466"/>
      <c r="AP3912" s="466"/>
      <c r="AQ3912" s="466"/>
      <c r="AR3912" s="466"/>
      <c r="AS3912" s="466"/>
      <c r="AT3912" s="466"/>
      <c r="AU3912" s="466"/>
      <c r="AV3912" s="466"/>
      <c r="AW3912" s="466"/>
      <c r="AX3912" s="466"/>
      <c r="AY3912" s="466"/>
      <c r="AZ3912" s="466"/>
      <c r="BA3912" s="466"/>
      <c r="BB3912" s="466"/>
      <c r="BC3912" s="466"/>
      <c r="BD3912" s="466"/>
      <c r="BE3912" s="467"/>
      <c r="BF3912" s="467"/>
      <c r="BG3912" s="466"/>
      <c r="BH3912" s="466"/>
      <c r="BI3912" s="467"/>
      <c r="BJ3912" s="467"/>
      <c r="BK3912" s="467"/>
      <c r="BL3912" s="467"/>
      <c r="BM3912" s="467"/>
      <c r="BN3912" s="467"/>
      <c r="BO3912" s="467"/>
      <c r="BP3912" s="467"/>
      <c r="BQ3912" s="467"/>
      <c r="BR3912" s="467"/>
      <c r="BS3912" s="467"/>
      <c r="BT3912" s="467"/>
      <c r="BU3912" s="467"/>
      <c r="BV3912" s="467"/>
      <c r="BW3912" s="467"/>
      <c r="BX3912" s="769"/>
      <c r="BY3912" s="769"/>
      <c r="BZ3912" s="769"/>
      <c r="CA3912" s="769"/>
      <c r="CB3912" s="769"/>
      <c r="CC3912" s="769"/>
      <c r="CD3912" s="769"/>
      <c r="CE3912" s="769"/>
      <c r="CF3912" s="769"/>
      <c r="CG3912" s="73"/>
      <c r="CH3912" s="438"/>
      <c r="CI3912" s="416"/>
      <c r="CJ3912" s="73"/>
      <c r="CK3912" s="650"/>
      <c r="CL3912" s="499"/>
      <c r="CM3912" s="650"/>
      <c r="CR3912" s="416"/>
      <c r="CS3912" s="650"/>
      <c r="CU3912" s="73"/>
      <c r="CV3912" s="73"/>
      <c r="CW3912" s="73"/>
      <c r="CX3912" s="73"/>
      <c r="DA3912" s="650"/>
    </row>
    <row r="3913" spans="1:105" s="45" customFormat="1" x14ac:dyDescent="0.2">
      <c r="A3913" s="650"/>
      <c r="B3913" s="438"/>
      <c r="D3913" s="73"/>
      <c r="E3913" s="650"/>
      <c r="F3913" s="650"/>
      <c r="G3913" s="73"/>
      <c r="I3913" s="111"/>
      <c r="J3913" s="81"/>
      <c r="K3913" s="81"/>
      <c r="L3913" s="499"/>
      <c r="M3913" s="73"/>
      <c r="N3913" s="499"/>
      <c r="O3913" s="73"/>
      <c r="P3913" s="73"/>
      <c r="Q3913" s="73"/>
      <c r="R3913" s="176"/>
      <c r="S3913" s="176"/>
      <c r="T3913" s="176"/>
      <c r="U3913" s="400"/>
      <c r="V3913" s="400"/>
      <c r="W3913" s="732"/>
      <c r="X3913" s="167"/>
      <c r="Y3913" s="509"/>
      <c r="Z3913" s="466"/>
      <c r="AA3913" s="466"/>
      <c r="AB3913" s="466"/>
      <c r="AC3913" s="466"/>
      <c r="AD3913" s="466"/>
      <c r="AE3913" s="466"/>
      <c r="AF3913" s="466"/>
      <c r="AG3913" s="466"/>
      <c r="AH3913" s="466"/>
      <c r="AI3913" s="466"/>
      <c r="AJ3913" s="466"/>
      <c r="AK3913" s="466"/>
      <c r="AL3913" s="466"/>
      <c r="AM3913" s="466"/>
      <c r="AN3913" s="466"/>
      <c r="AO3913" s="466"/>
      <c r="AP3913" s="466"/>
      <c r="AQ3913" s="466"/>
      <c r="AR3913" s="466"/>
      <c r="AS3913" s="466"/>
      <c r="AT3913" s="466"/>
      <c r="AU3913" s="466"/>
      <c r="AV3913" s="466"/>
      <c r="AW3913" s="466"/>
      <c r="AX3913" s="466"/>
      <c r="AY3913" s="466"/>
      <c r="AZ3913" s="466"/>
      <c r="BA3913" s="466"/>
      <c r="BB3913" s="466"/>
      <c r="BC3913" s="466"/>
      <c r="BD3913" s="466"/>
      <c r="BE3913" s="467"/>
      <c r="BF3913" s="467"/>
      <c r="BG3913" s="466"/>
      <c r="BH3913" s="466"/>
      <c r="BI3913" s="467"/>
      <c r="BJ3913" s="467"/>
      <c r="BK3913" s="467"/>
      <c r="BL3913" s="467"/>
      <c r="BM3913" s="467"/>
      <c r="BN3913" s="467"/>
      <c r="BO3913" s="467"/>
      <c r="BP3913" s="467"/>
      <c r="BQ3913" s="467"/>
      <c r="BR3913" s="467"/>
      <c r="BS3913" s="467"/>
      <c r="BT3913" s="467"/>
      <c r="BU3913" s="467"/>
      <c r="BV3913" s="467"/>
      <c r="BW3913" s="467"/>
      <c r="BX3913" s="769"/>
      <c r="BY3913" s="769"/>
      <c r="BZ3913" s="769"/>
      <c r="CA3913" s="769"/>
      <c r="CB3913" s="769"/>
      <c r="CC3913" s="769"/>
      <c r="CD3913" s="769"/>
      <c r="CE3913" s="769"/>
      <c r="CF3913" s="769"/>
      <c r="CG3913" s="73"/>
      <c r="CH3913" s="438"/>
      <c r="CI3913" s="416"/>
      <c r="CJ3913" s="73"/>
      <c r="CK3913" s="650"/>
      <c r="CL3913" s="499"/>
      <c r="CM3913" s="650"/>
      <c r="CR3913" s="416"/>
      <c r="CS3913" s="650"/>
      <c r="CU3913" s="73"/>
      <c r="CV3913" s="73"/>
      <c r="CW3913" s="73"/>
      <c r="CX3913" s="73"/>
      <c r="DA3913" s="650"/>
    </row>
    <row r="3914" spans="1:105" s="45" customFormat="1" x14ac:dyDescent="0.2">
      <c r="A3914" s="650"/>
      <c r="B3914" s="438"/>
      <c r="D3914" s="73"/>
      <c r="E3914" s="650"/>
      <c r="F3914" s="650"/>
      <c r="G3914" s="73"/>
      <c r="I3914" s="111"/>
      <c r="J3914" s="81"/>
      <c r="K3914" s="81"/>
      <c r="L3914" s="499"/>
      <c r="M3914" s="73"/>
      <c r="N3914" s="499"/>
      <c r="O3914" s="73"/>
      <c r="P3914" s="73"/>
      <c r="Q3914" s="73"/>
      <c r="R3914" s="176"/>
      <c r="S3914" s="176"/>
      <c r="T3914" s="176"/>
      <c r="U3914" s="400"/>
      <c r="V3914" s="400"/>
      <c r="W3914" s="732"/>
      <c r="X3914" s="167"/>
      <c r="Y3914" s="509"/>
      <c r="Z3914" s="466"/>
      <c r="AA3914" s="466"/>
      <c r="AB3914" s="466"/>
      <c r="AC3914" s="466"/>
      <c r="AD3914" s="466"/>
      <c r="AE3914" s="466"/>
      <c r="AF3914" s="466"/>
      <c r="AG3914" s="466"/>
      <c r="AH3914" s="466"/>
      <c r="AI3914" s="466"/>
      <c r="AJ3914" s="466"/>
      <c r="AK3914" s="466"/>
      <c r="AL3914" s="466"/>
      <c r="AM3914" s="466"/>
      <c r="AN3914" s="466"/>
      <c r="AO3914" s="466"/>
      <c r="AP3914" s="466"/>
      <c r="AQ3914" s="466"/>
      <c r="AR3914" s="466"/>
      <c r="AS3914" s="466"/>
      <c r="AT3914" s="466"/>
      <c r="AU3914" s="466"/>
      <c r="AV3914" s="466"/>
      <c r="AW3914" s="466"/>
      <c r="AX3914" s="466"/>
      <c r="AY3914" s="466"/>
      <c r="AZ3914" s="466"/>
      <c r="BA3914" s="466"/>
      <c r="BB3914" s="466"/>
      <c r="BC3914" s="466"/>
      <c r="BD3914" s="466"/>
      <c r="BE3914" s="467"/>
      <c r="BF3914" s="467"/>
      <c r="BG3914" s="466"/>
      <c r="BH3914" s="466"/>
      <c r="BI3914" s="467"/>
      <c r="BJ3914" s="467"/>
      <c r="BK3914" s="467"/>
      <c r="BL3914" s="467"/>
      <c r="BM3914" s="467"/>
      <c r="BN3914" s="467"/>
      <c r="BO3914" s="467"/>
      <c r="BP3914" s="467"/>
      <c r="BQ3914" s="467"/>
      <c r="BR3914" s="467"/>
      <c r="BS3914" s="467"/>
      <c r="BT3914" s="467"/>
      <c r="BU3914" s="467"/>
      <c r="BV3914" s="467"/>
      <c r="BW3914" s="467"/>
      <c r="BX3914" s="769"/>
      <c r="BY3914" s="769"/>
      <c r="BZ3914" s="769"/>
      <c r="CA3914" s="769"/>
      <c r="CB3914" s="769"/>
      <c r="CC3914" s="769"/>
      <c r="CD3914" s="769"/>
      <c r="CE3914" s="769"/>
      <c r="CF3914" s="769"/>
      <c r="CG3914" s="73"/>
      <c r="CH3914" s="438"/>
      <c r="CI3914" s="416"/>
      <c r="CJ3914" s="73"/>
      <c r="CK3914" s="650"/>
      <c r="CL3914" s="499"/>
      <c r="CM3914" s="650"/>
      <c r="CR3914" s="416"/>
      <c r="CS3914" s="650"/>
      <c r="CU3914" s="73"/>
      <c r="CV3914" s="73"/>
      <c r="CW3914" s="73"/>
      <c r="CX3914" s="73"/>
      <c r="DA3914" s="650"/>
    </row>
    <row r="3915" spans="1:105" s="45" customFormat="1" x14ac:dyDescent="0.2">
      <c r="A3915" s="650"/>
      <c r="B3915" s="438"/>
      <c r="D3915" s="73"/>
      <c r="E3915" s="650"/>
      <c r="F3915" s="650"/>
      <c r="G3915" s="73"/>
      <c r="I3915" s="111"/>
      <c r="J3915" s="81"/>
      <c r="K3915" s="81"/>
      <c r="L3915" s="499"/>
      <c r="M3915" s="73"/>
      <c r="N3915" s="499"/>
      <c r="O3915" s="73"/>
      <c r="P3915" s="73"/>
      <c r="Q3915" s="73"/>
      <c r="R3915" s="176"/>
      <c r="S3915" s="176"/>
      <c r="T3915" s="176"/>
      <c r="U3915" s="400"/>
      <c r="V3915" s="400"/>
      <c r="W3915" s="732"/>
      <c r="X3915" s="167"/>
      <c r="Y3915" s="509"/>
      <c r="Z3915" s="466"/>
      <c r="AA3915" s="466"/>
      <c r="AB3915" s="466"/>
      <c r="AC3915" s="466"/>
      <c r="AD3915" s="466"/>
      <c r="AE3915" s="466"/>
      <c r="AF3915" s="466"/>
      <c r="AG3915" s="466"/>
      <c r="AH3915" s="466"/>
      <c r="AI3915" s="466"/>
      <c r="AJ3915" s="466"/>
      <c r="AK3915" s="466"/>
      <c r="AL3915" s="466"/>
      <c r="AM3915" s="466"/>
      <c r="AN3915" s="466"/>
      <c r="AO3915" s="466"/>
      <c r="AP3915" s="466"/>
      <c r="AQ3915" s="466"/>
      <c r="AR3915" s="466"/>
      <c r="AS3915" s="466"/>
      <c r="AT3915" s="466"/>
      <c r="AU3915" s="466"/>
      <c r="AV3915" s="466"/>
      <c r="AW3915" s="466"/>
      <c r="AX3915" s="466"/>
      <c r="AY3915" s="466"/>
      <c r="AZ3915" s="466"/>
      <c r="BA3915" s="466"/>
      <c r="BB3915" s="466"/>
      <c r="BC3915" s="466"/>
      <c r="BD3915" s="466"/>
      <c r="BE3915" s="467"/>
      <c r="BF3915" s="467"/>
      <c r="BG3915" s="466"/>
      <c r="BH3915" s="466"/>
      <c r="BI3915" s="467"/>
      <c r="BJ3915" s="467"/>
      <c r="BK3915" s="467"/>
      <c r="BL3915" s="467"/>
      <c r="BM3915" s="467"/>
      <c r="BN3915" s="467"/>
      <c r="BO3915" s="467"/>
      <c r="BP3915" s="467"/>
      <c r="BQ3915" s="467"/>
      <c r="BR3915" s="467"/>
      <c r="BS3915" s="467"/>
      <c r="BT3915" s="467"/>
      <c r="BU3915" s="467"/>
      <c r="BV3915" s="467"/>
      <c r="BW3915" s="467"/>
      <c r="BX3915" s="769"/>
      <c r="BY3915" s="769"/>
      <c r="BZ3915" s="769"/>
      <c r="CA3915" s="769"/>
      <c r="CB3915" s="769"/>
      <c r="CC3915" s="769"/>
      <c r="CD3915" s="769"/>
      <c r="CE3915" s="769"/>
      <c r="CF3915" s="769"/>
      <c r="CG3915" s="73"/>
      <c r="CH3915" s="438"/>
      <c r="CI3915" s="416"/>
      <c r="CJ3915" s="73"/>
      <c r="CK3915" s="650"/>
      <c r="CL3915" s="499"/>
      <c r="CM3915" s="650"/>
      <c r="CR3915" s="416"/>
      <c r="CS3915" s="650"/>
      <c r="CU3915" s="73"/>
      <c r="CV3915" s="73"/>
      <c r="CW3915" s="73"/>
      <c r="CX3915" s="73"/>
      <c r="DA3915" s="650"/>
    </row>
    <row r="3916" spans="1:105" s="45" customFormat="1" x14ac:dyDescent="0.2">
      <c r="A3916" s="650"/>
      <c r="B3916" s="438"/>
      <c r="D3916" s="73"/>
      <c r="E3916" s="650"/>
      <c r="F3916" s="650"/>
      <c r="G3916" s="73"/>
      <c r="I3916" s="111"/>
      <c r="J3916" s="81"/>
      <c r="K3916" s="81"/>
      <c r="L3916" s="499"/>
      <c r="M3916" s="73"/>
      <c r="N3916" s="499"/>
      <c r="O3916" s="73"/>
      <c r="P3916" s="73"/>
      <c r="Q3916" s="73"/>
      <c r="R3916" s="176"/>
      <c r="S3916" s="176"/>
      <c r="T3916" s="176"/>
      <c r="U3916" s="400"/>
      <c r="V3916" s="400"/>
      <c r="W3916" s="732"/>
      <c r="X3916" s="167"/>
      <c r="Y3916" s="509"/>
      <c r="Z3916" s="466"/>
      <c r="AA3916" s="466"/>
      <c r="AB3916" s="466"/>
      <c r="AC3916" s="466"/>
      <c r="AD3916" s="466"/>
      <c r="AE3916" s="466"/>
      <c r="AF3916" s="466"/>
      <c r="AG3916" s="466"/>
      <c r="AH3916" s="466"/>
      <c r="AI3916" s="466"/>
      <c r="AJ3916" s="466"/>
      <c r="AK3916" s="466"/>
      <c r="AL3916" s="466"/>
      <c r="AM3916" s="466"/>
      <c r="AN3916" s="466"/>
      <c r="AO3916" s="466"/>
      <c r="AP3916" s="466"/>
      <c r="AQ3916" s="466"/>
      <c r="AR3916" s="466"/>
      <c r="AS3916" s="466"/>
      <c r="AT3916" s="466"/>
      <c r="AU3916" s="466"/>
      <c r="AV3916" s="466"/>
      <c r="AW3916" s="466"/>
      <c r="AX3916" s="466"/>
      <c r="AY3916" s="466"/>
      <c r="AZ3916" s="466"/>
      <c r="BA3916" s="466"/>
      <c r="BB3916" s="466"/>
      <c r="BC3916" s="466"/>
      <c r="BD3916" s="466"/>
      <c r="BE3916" s="467"/>
      <c r="BF3916" s="467"/>
      <c r="BG3916" s="466"/>
      <c r="BH3916" s="466"/>
      <c r="BI3916" s="467"/>
      <c r="BJ3916" s="467"/>
      <c r="BK3916" s="467"/>
      <c r="BL3916" s="467"/>
      <c r="BM3916" s="467"/>
      <c r="BN3916" s="467"/>
      <c r="BO3916" s="467"/>
      <c r="BP3916" s="467"/>
      <c r="BQ3916" s="467"/>
      <c r="BR3916" s="467"/>
      <c r="BS3916" s="467"/>
      <c r="BT3916" s="467"/>
      <c r="BU3916" s="467"/>
      <c r="BV3916" s="467"/>
      <c r="BW3916" s="467"/>
      <c r="BX3916" s="769"/>
      <c r="BY3916" s="769"/>
      <c r="BZ3916" s="769"/>
      <c r="CA3916" s="769"/>
      <c r="CB3916" s="769"/>
      <c r="CC3916" s="769"/>
      <c r="CD3916" s="769"/>
      <c r="CE3916" s="769"/>
      <c r="CF3916" s="769"/>
      <c r="CG3916" s="73"/>
      <c r="CH3916" s="438"/>
      <c r="CI3916" s="416"/>
      <c r="CJ3916" s="73"/>
      <c r="CK3916" s="650"/>
      <c r="CL3916" s="499"/>
      <c r="CM3916" s="650"/>
      <c r="CR3916" s="416"/>
      <c r="CS3916" s="650"/>
      <c r="CU3916" s="73"/>
      <c r="CV3916" s="73"/>
      <c r="CW3916" s="73"/>
      <c r="CX3916" s="73"/>
      <c r="DA3916" s="650"/>
    </row>
    <row r="3917" spans="1:105" s="45" customFormat="1" x14ac:dyDescent="0.2">
      <c r="A3917" s="650"/>
      <c r="B3917" s="438"/>
      <c r="D3917" s="73"/>
      <c r="E3917" s="650"/>
      <c r="F3917" s="650"/>
      <c r="G3917" s="73"/>
      <c r="I3917" s="111"/>
      <c r="J3917" s="81"/>
      <c r="K3917" s="81"/>
      <c r="L3917" s="499"/>
      <c r="M3917" s="73"/>
      <c r="N3917" s="499"/>
      <c r="O3917" s="73"/>
      <c r="P3917" s="73"/>
      <c r="Q3917" s="73"/>
      <c r="R3917" s="176"/>
      <c r="S3917" s="176"/>
      <c r="T3917" s="176"/>
      <c r="U3917" s="400"/>
      <c r="V3917" s="400"/>
      <c r="W3917" s="732"/>
      <c r="X3917" s="167"/>
      <c r="Y3917" s="509"/>
      <c r="Z3917" s="466"/>
      <c r="AA3917" s="466"/>
      <c r="AB3917" s="466"/>
      <c r="AC3917" s="466"/>
      <c r="AD3917" s="466"/>
      <c r="AE3917" s="466"/>
      <c r="AF3917" s="466"/>
      <c r="AG3917" s="466"/>
      <c r="AH3917" s="466"/>
      <c r="AI3917" s="466"/>
      <c r="AJ3917" s="466"/>
      <c r="AK3917" s="466"/>
      <c r="AL3917" s="466"/>
      <c r="AM3917" s="466"/>
      <c r="AN3917" s="466"/>
      <c r="AO3917" s="466"/>
      <c r="AP3917" s="466"/>
      <c r="AQ3917" s="466"/>
      <c r="AR3917" s="466"/>
      <c r="AS3917" s="466"/>
      <c r="AT3917" s="466"/>
      <c r="AU3917" s="466"/>
      <c r="AV3917" s="466"/>
      <c r="AW3917" s="466"/>
      <c r="AX3917" s="466"/>
      <c r="AY3917" s="466"/>
      <c r="AZ3917" s="466"/>
      <c r="BA3917" s="466"/>
      <c r="BB3917" s="466"/>
      <c r="BC3917" s="466"/>
      <c r="BD3917" s="466"/>
      <c r="BE3917" s="467"/>
      <c r="BF3917" s="467"/>
      <c r="BG3917" s="466"/>
      <c r="BH3917" s="466"/>
      <c r="BI3917" s="467"/>
      <c r="BJ3917" s="467"/>
      <c r="BK3917" s="467"/>
      <c r="BL3917" s="467"/>
      <c r="BM3917" s="467"/>
      <c r="BN3917" s="467"/>
      <c r="BO3917" s="467"/>
      <c r="BP3917" s="467"/>
      <c r="BQ3917" s="467"/>
      <c r="BR3917" s="467"/>
      <c r="BS3917" s="467"/>
      <c r="BT3917" s="467"/>
      <c r="BU3917" s="467"/>
      <c r="BV3917" s="467"/>
      <c r="BW3917" s="467"/>
      <c r="BX3917" s="769"/>
      <c r="BY3917" s="769"/>
      <c r="BZ3917" s="769"/>
      <c r="CA3917" s="769"/>
      <c r="CB3917" s="769"/>
      <c r="CC3917" s="769"/>
      <c r="CD3917" s="769"/>
      <c r="CE3917" s="769"/>
      <c r="CF3917" s="769"/>
      <c r="CG3917" s="73"/>
      <c r="CH3917" s="438"/>
      <c r="CI3917" s="416"/>
      <c r="CJ3917" s="73"/>
      <c r="CK3917" s="650"/>
      <c r="CL3917" s="499"/>
      <c r="CM3917" s="650"/>
      <c r="CR3917" s="416"/>
      <c r="CS3917" s="650"/>
      <c r="CU3917" s="73"/>
      <c r="CV3917" s="73"/>
      <c r="CW3917" s="73"/>
      <c r="CX3917" s="73"/>
      <c r="DA3917" s="650"/>
    </row>
    <row r="3918" spans="1:105" s="45" customFormat="1" x14ac:dyDescent="0.2">
      <c r="A3918" s="650"/>
      <c r="B3918" s="438"/>
      <c r="D3918" s="73"/>
      <c r="E3918" s="650"/>
      <c r="F3918" s="650"/>
      <c r="G3918" s="73"/>
      <c r="I3918" s="111"/>
      <c r="J3918" s="81"/>
      <c r="K3918" s="81"/>
      <c r="L3918" s="499"/>
      <c r="M3918" s="73"/>
      <c r="N3918" s="499"/>
      <c r="O3918" s="73"/>
      <c r="P3918" s="73"/>
      <c r="Q3918" s="73"/>
      <c r="R3918" s="176"/>
      <c r="S3918" s="176"/>
      <c r="T3918" s="176"/>
      <c r="U3918" s="400"/>
      <c r="V3918" s="400"/>
      <c r="W3918" s="732"/>
      <c r="X3918" s="167"/>
      <c r="Y3918" s="509"/>
      <c r="Z3918" s="466"/>
      <c r="AA3918" s="466"/>
      <c r="AB3918" s="466"/>
      <c r="AC3918" s="466"/>
      <c r="AD3918" s="466"/>
      <c r="AE3918" s="466"/>
      <c r="AF3918" s="466"/>
      <c r="AG3918" s="466"/>
      <c r="AH3918" s="466"/>
      <c r="AI3918" s="466"/>
      <c r="AJ3918" s="466"/>
      <c r="AK3918" s="466"/>
      <c r="AL3918" s="466"/>
      <c r="AM3918" s="466"/>
      <c r="AN3918" s="466"/>
      <c r="AO3918" s="466"/>
      <c r="AP3918" s="466"/>
      <c r="AQ3918" s="466"/>
      <c r="AR3918" s="466"/>
      <c r="AS3918" s="466"/>
      <c r="AT3918" s="466"/>
      <c r="AU3918" s="466"/>
      <c r="AV3918" s="466"/>
      <c r="AW3918" s="466"/>
      <c r="AX3918" s="466"/>
      <c r="AY3918" s="466"/>
      <c r="AZ3918" s="466"/>
      <c r="BA3918" s="466"/>
      <c r="BB3918" s="466"/>
      <c r="BC3918" s="466"/>
      <c r="BD3918" s="466"/>
      <c r="BE3918" s="467"/>
      <c r="BF3918" s="467"/>
      <c r="BG3918" s="466"/>
      <c r="BH3918" s="466"/>
      <c r="BI3918" s="467"/>
      <c r="BJ3918" s="467"/>
      <c r="BK3918" s="467"/>
      <c r="BL3918" s="467"/>
      <c r="BM3918" s="467"/>
      <c r="BN3918" s="467"/>
      <c r="BO3918" s="467"/>
      <c r="BP3918" s="467"/>
      <c r="BQ3918" s="467"/>
      <c r="BR3918" s="467"/>
      <c r="BS3918" s="467"/>
      <c r="BT3918" s="467"/>
      <c r="BU3918" s="467"/>
      <c r="BV3918" s="467"/>
      <c r="BW3918" s="467"/>
      <c r="BX3918" s="769"/>
      <c r="BY3918" s="769"/>
      <c r="BZ3918" s="769"/>
      <c r="CA3918" s="769"/>
      <c r="CB3918" s="769"/>
      <c r="CC3918" s="769"/>
      <c r="CD3918" s="769"/>
      <c r="CE3918" s="769"/>
      <c r="CF3918" s="769"/>
      <c r="CG3918" s="73"/>
      <c r="CH3918" s="438"/>
      <c r="CI3918" s="416"/>
      <c r="CJ3918" s="73"/>
      <c r="CK3918" s="650"/>
      <c r="CL3918" s="499"/>
      <c r="CM3918" s="650"/>
      <c r="CR3918" s="416"/>
      <c r="CS3918" s="650"/>
      <c r="CU3918" s="73"/>
      <c r="CV3918" s="73"/>
      <c r="CW3918" s="73"/>
      <c r="CX3918" s="73"/>
      <c r="DA3918" s="650"/>
    </row>
    <row r="3919" spans="1:105" s="45" customFormat="1" x14ac:dyDescent="0.2">
      <c r="A3919" s="650"/>
      <c r="B3919" s="438"/>
      <c r="D3919" s="73"/>
      <c r="E3919" s="650"/>
      <c r="F3919" s="650"/>
      <c r="G3919" s="73"/>
      <c r="I3919" s="111"/>
      <c r="J3919" s="81"/>
      <c r="K3919" s="81"/>
      <c r="L3919" s="499"/>
      <c r="M3919" s="73"/>
      <c r="N3919" s="499"/>
      <c r="O3919" s="73"/>
      <c r="P3919" s="73"/>
      <c r="Q3919" s="73"/>
      <c r="R3919" s="176"/>
      <c r="S3919" s="176"/>
      <c r="T3919" s="176"/>
      <c r="U3919" s="400"/>
      <c r="V3919" s="400"/>
      <c r="W3919" s="732"/>
      <c r="X3919" s="167"/>
      <c r="Y3919" s="509"/>
      <c r="Z3919" s="466"/>
      <c r="AA3919" s="466"/>
      <c r="AB3919" s="466"/>
      <c r="AC3919" s="466"/>
      <c r="AD3919" s="466"/>
      <c r="AE3919" s="466"/>
      <c r="AF3919" s="466"/>
      <c r="AG3919" s="466"/>
      <c r="AH3919" s="466"/>
      <c r="AI3919" s="466"/>
      <c r="AJ3919" s="466"/>
      <c r="AK3919" s="466"/>
      <c r="AL3919" s="466"/>
      <c r="AM3919" s="466"/>
      <c r="AN3919" s="466"/>
      <c r="AO3919" s="466"/>
      <c r="AP3919" s="466"/>
      <c r="AQ3919" s="466"/>
      <c r="AR3919" s="466"/>
      <c r="AS3919" s="466"/>
      <c r="AT3919" s="466"/>
      <c r="AU3919" s="466"/>
      <c r="AV3919" s="466"/>
      <c r="AW3919" s="466"/>
      <c r="AX3919" s="466"/>
      <c r="AY3919" s="466"/>
      <c r="AZ3919" s="466"/>
      <c r="BA3919" s="466"/>
      <c r="BB3919" s="466"/>
      <c r="BC3919" s="466"/>
      <c r="BD3919" s="466"/>
      <c r="BE3919" s="467"/>
      <c r="BF3919" s="467"/>
      <c r="BG3919" s="466"/>
      <c r="BH3919" s="466"/>
      <c r="BI3919" s="467"/>
      <c r="BJ3919" s="467"/>
      <c r="BK3919" s="467"/>
      <c r="BL3919" s="467"/>
      <c r="BM3919" s="467"/>
      <c r="BN3919" s="467"/>
      <c r="BO3919" s="467"/>
      <c r="BP3919" s="467"/>
      <c r="BQ3919" s="467"/>
      <c r="BR3919" s="467"/>
      <c r="BS3919" s="467"/>
      <c r="BT3919" s="467"/>
      <c r="BU3919" s="467"/>
      <c r="BV3919" s="467"/>
      <c r="BW3919" s="467"/>
      <c r="BX3919" s="769"/>
      <c r="BY3919" s="769"/>
      <c r="BZ3919" s="769"/>
      <c r="CA3919" s="769"/>
      <c r="CB3919" s="769"/>
      <c r="CC3919" s="769"/>
      <c r="CD3919" s="769"/>
      <c r="CE3919" s="769"/>
      <c r="CF3919" s="769"/>
      <c r="CG3919" s="73"/>
      <c r="CH3919" s="438"/>
      <c r="CI3919" s="416"/>
      <c r="CJ3919" s="73"/>
      <c r="CK3919" s="650"/>
      <c r="CL3919" s="499"/>
      <c r="CM3919" s="650"/>
      <c r="CR3919" s="416"/>
      <c r="CS3919" s="650"/>
      <c r="CU3919" s="73"/>
      <c r="CV3919" s="73"/>
      <c r="CW3919" s="73"/>
      <c r="CX3919" s="73"/>
      <c r="DA3919" s="650"/>
    </row>
    <row r="3920" spans="1:105" s="45" customFormat="1" x14ac:dyDescent="0.2">
      <c r="A3920" s="650"/>
      <c r="B3920" s="438"/>
      <c r="D3920" s="73"/>
      <c r="E3920" s="650"/>
      <c r="F3920" s="650"/>
      <c r="G3920" s="73"/>
      <c r="I3920" s="111"/>
      <c r="J3920" s="81"/>
      <c r="K3920" s="81"/>
      <c r="L3920" s="499"/>
      <c r="M3920" s="73"/>
      <c r="N3920" s="499"/>
      <c r="O3920" s="73"/>
      <c r="P3920" s="73"/>
      <c r="Q3920" s="73"/>
      <c r="R3920" s="176"/>
      <c r="S3920" s="176"/>
      <c r="T3920" s="176"/>
      <c r="U3920" s="400"/>
      <c r="V3920" s="400"/>
      <c r="W3920" s="732"/>
      <c r="X3920" s="167"/>
      <c r="Y3920" s="509"/>
      <c r="Z3920" s="466"/>
      <c r="AA3920" s="466"/>
      <c r="AB3920" s="466"/>
      <c r="AC3920" s="466"/>
      <c r="AD3920" s="466"/>
      <c r="AE3920" s="466"/>
      <c r="AF3920" s="466"/>
      <c r="AG3920" s="466"/>
      <c r="AH3920" s="466"/>
      <c r="AI3920" s="466"/>
      <c r="AJ3920" s="466"/>
      <c r="AK3920" s="466"/>
      <c r="AL3920" s="466"/>
      <c r="AM3920" s="466"/>
      <c r="AN3920" s="466"/>
      <c r="AO3920" s="466"/>
      <c r="AP3920" s="466"/>
      <c r="AQ3920" s="466"/>
      <c r="AR3920" s="466"/>
      <c r="AS3920" s="466"/>
      <c r="AT3920" s="466"/>
      <c r="AU3920" s="466"/>
      <c r="AV3920" s="466"/>
      <c r="AW3920" s="466"/>
      <c r="AX3920" s="466"/>
      <c r="AY3920" s="466"/>
      <c r="AZ3920" s="466"/>
      <c r="BA3920" s="466"/>
      <c r="BB3920" s="466"/>
      <c r="BC3920" s="466"/>
      <c r="BD3920" s="466"/>
      <c r="BE3920" s="467"/>
      <c r="BF3920" s="467"/>
      <c r="BG3920" s="466"/>
      <c r="BH3920" s="466"/>
      <c r="BI3920" s="467"/>
      <c r="BJ3920" s="467"/>
      <c r="BK3920" s="467"/>
      <c r="BL3920" s="467"/>
      <c r="BM3920" s="467"/>
      <c r="BN3920" s="467"/>
      <c r="BO3920" s="467"/>
      <c r="BP3920" s="467"/>
      <c r="BQ3920" s="467"/>
      <c r="BR3920" s="467"/>
      <c r="BS3920" s="467"/>
      <c r="BT3920" s="467"/>
      <c r="BU3920" s="467"/>
      <c r="BV3920" s="467"/>
      <c r="BW3920" s="467"/>
      <c r="BX3920" s="769"/>
      <c r="BY3920" s="769"/>
      <c r="BZ3920" s="769"/>
      <c r="CA3920" s="769"/>
      <c r="CB3920" s="769"/>
      <c r="CC3920" s="769"/>
      <c r="CD3920" s="769"/>
      <c r="CE3920" s="769"/>
      <c r="CF3920" s="769"/>
      <c r="CG3920" s="73"/>
      <c r="CH3920" s="438"/>
      <c r="CI3920" s="416"/>
      <c r="CJ3920" s="73"/>
      <c r="CK3920" s="650"/>
      <c r="CL3920" s="499"/>
      <c r="CM3920" s="650"/>
      <c r="CR3920" s="416"/>
      <c r="CS3920" s="650"/>
      <c r="CU3920" s="73"/>
      <c r="CV3920" s="73"/>
      <c r="CW3920" s="73"/>
      <c r="CX3920" s="73"/>
      <c r="DA3920" s="650"/>
    </row>
    <row r="3921" spans="1:105" s="45" customFormat="1" x14ac:dyDescent="0.2">
      <c r="A3921" s="650"/>
      <c r="B3921" s="438"/>
      <c r="D3921" s="73"/>
      <c r="E3921" s="650"/>
      <c r="F3921" s="650"/>
      <c r="G3921" s="73"/>
      <c r="I3921" s="111"/>
      <c r="J3921" s="81"/>
      <c r="K3921" s="81"/>
      <c r="L3921" s="499"/>
      <c r="M3921" s="73"/>
      <c r="N3921" s="499"/>
      <c r="O3921" s="73"/>
      <c r="P3921" s="73"/>
      <c r="Q3921" s="73"/>
      <c r="R3921" s="176"/>
      <c r="S3921" s="176"/>
      <c r="T3921" s="176"/>
      <c r="U3921" s="400"/>
      <c r="V3921" s="400"/>
      <c r="W3921" s="732"/>
      <c r="X3921" s="167"/>
      <c r="Y3921" s="509"/>
      <c r="Z3921" s="466"/>
      <c r="AA3921" s="466"/>
      <c r="AB3921" s="466"/>
      <c r="AC3921" s="466"/>
      <c r="AD3921" s="466"/>
      <c r="AE3921" s="466"/>
      <c r="AF3921" s="466"/>
      <c r="AG3921" s="466"/>
      <c r="AH3921" s="466"/>
      <c r="AI3921" s="466"/>
      <c r="AJ3921" s="466"/>
      <c r="AK3921" s="466"/>
      <c r="AL3921" s="466"/>
      <c r="AM3921" s="466"/>
      <c r="AN3921" s="466"/>
      <c r="AO3921" s="466"/>
      <c r="AP3921" s="466"/>
      <c r="AQ3921" s="466"/>
      <c r="AR3921" s="466"/>
      <c r="AS3921" s="466"/>
      <c r="AT3921" s="466"/>
      <c r="AU3921" s="466"/>
      <c r="AV3921" s="466"/>
      <c r="AW3921" s="466"/>
      <c r="AX3921" s="466"/>
      <c r="AY3921" s="466"/>
      <c r="AZ3921" s="466"/>
      <c r="BA3921" s="466"/>
      <c r="BB3921" s="466"/>
      <c r="BC3921" s="466"/>
      <c r="BD3921" s="466"/>
      <c r="BE3921" s="467"/>
      <c r="BF3921" s="467"/>
      <c r="BG3921" s="466"/>
      <c r="BH3921" s="466"/>
      <c r="BI3921" s="467"/>
      <c r="BJ3921" s="467"/>
      <c r="BK3921" s="467"/>
      <c r="BL3921" s="467"/>
      <c r="BM3921" s="467"/>
      <c r="BN3921" s="467"/>
      <c r="BO3921" s="467"/>
      <c r="BP3921" s="467"/>
      <c r="BQ3921" s="467"/>
      <c r="BR3921" s="467"/>
      <c r="BS3921" s="467"/>
      <c r="BT3921" s="467"/>
      <c r="BU3921" s="467"/>
      <c r="BV3921" s="467"/>
      <c r="BW3921" s="467"/>
      <c r="BX3921" s="769"/>
      <c r="BY3921" s="769"/>
      <c r="BZ3921" s="769"/>
      <c r="CA3921" s="769"/>
      <c r="CB3921" s="769"/>
      <c r="CC3921" s="769"/>
      <c r="CD3921" s="769"/>
      <c r="CE3921" s="769"/>
      <c r="CF3921" s="769"/>
      <c r="CG3921" s="73"/>
      <c r="CH3921" s="438"/>
      <c r="CI3921" s="416"/>
      <c r="CJ3921" s="73"/>
      <c r="CK3921" s="650"/>
      <c r="CL3921" s="499"/>
      <c r="CM3921" s="650"/>
      <c r="CR3921" s="416"/>
      <c r="CS3921" s="650"/>
      <c r="CU3921" s="73"/>
      <c r="CV3921" s="73"/>
      <c r="CW3921" s="73"/>
      <c r="CX3921" s="73"/>
      <c r="DA3921" s="650"/>
    </row>
    <row r="3922" spans="1:105" s="45" customFormat="1" x14ac:dyDescent="0.2">
      <c r="A3922" s="650"/>
      <c r="B3922" s="438"/>
      <c r="D3922" s="73"/>
      <c r="E3922" s="650"/>
      <c r="F3922" s="650"/>
      <c r="G3922" s="73"/>
      <c r="I3922" s="111"/>
      <c r="J3922" s="81"/>
      <c r="K3922" s="81"/>
      <c r="L3922" s="499"/>
      <c r="M3922" s="73"/>
      <c r="N3922" s="499"/>
      <c r="O3922" s="73"/>
      <c r="P3922" s="73"/>
      <c r="Q3922" s="73"/>
      <c r="R3922" s="176"/>
      <c r="S3922" s="176"/>
      <c r="T3922" s="176"/>
      <c r="U3922" s="400"/>
      <c r="V3922" s="400"/>
      <c r="W3922" s="732"/>
      <c r="X3922" s="167"/>
      <c r="Y3922" s="509"/>
      <c r="Z3922" s="466"/>
      <c r="AA3922" s="466"/>
      <c r="AB3922" s="466"/>
      <c r="AC3922" s="466"/>
      <c r="AD3922" s="466"/>
      <c r="AE3922" s="466"/>
      <c r="AF3922" s="466"/>
      <c r="AG3922" s="466"/>
      <c r="AH3922" s="466"/>
      <c r="AI3922" s="466"/>
      <c r="AJ3922" s="466"/>
      <c r="AK3922" s="466"/>
      <c r="AL3922" s="466"/>
      <c r="AM3922" s="466"/>
      <c r="AN3922" s="466"/>
      <c r="AO3922" s="466"/>
      <c r="AP3922" s="466"/>
      <c r="AQ3922" s="466"/>
      <c r="AR3922" s="466"/>
      <c r="AS3922" s="466"/>
      <c r="AT3922" s="466"/>
      <c r="AU3922" s="466"/>
      <c r="AV3922" s="466"/>
      <c r="AW3922" s="466"/>
      <c r="AX3922" s="466"/>
      <c r="AY3922" s="466"/>
      <c r="AZ3922" s="466"/>
      <c r="BA3922" s="466"/>
      <c r="BB3922" s="466"/>
      <c r="BC3922" s="466"/>
      <c r="BD3922" s="466"/>
      <c r="BE3922" s="467"/>
      <c r="BF3922" s="467"/>
      <c r="BG3922" s="466"/>
      <c r="BH3922" s="466"/>
      <c r="BI3922" s="467"/>
      <c r="BJ3922" s="467"/>
      <c r="BK3922" s="467"/>
      <c r="BL3922" s="467"/>
      <c r="BM3922" s="467"/>
      <c r="BN3922" s="467"/>
      <c r="BO3922" s="467"/>
      <c r="BP3922" s="467"/>
      <c r="BQ3922" s="467"/>
      <c r="BR3922" s="467"/>
      <c r="BS3922" s="467"/>
      <c r="BT3922" s="467"/>
      <c r="BU3922" s="467"/>
      <c r="BV3922" s="467"/>
      <c r="BW3922" s="467"/>
      <c r="BX3922" s="769"/>
      <c r="BY3922" s="769"/>
      <c r="BZ3922" s="769"/>
      <c r="CA3922" s="769"/>
      <c r="CB3922" s="769"/>
      <c r="CC3922" s="769"/>
      <c r="CD3922" s="769"/>
      <c r="CE3922" s="769"/>
      <c r="CF3922" s="769"/>
      <c r="CG3922" s="73"/>
      <c r="CH3922" s="438"/>
      <c r="CI3922" s="416"/>
      <c r="CJ3922" s="73"/>
      <c r="CK3922" s="650"/>
      <c r="CL3922" s="499"/>
      <c r="CM3922" s="650"/>
      <c r="CR3922" s="416"/>
      <c r="CS3922" s="650"/>
      <c r="CU3922" s="73"/>
      <c r="CV3922" s="73"/>
      <c r="CW3922" s="73"/>
      <c r="CX3922" s="73"/>
      <c r="DA3922" s="650"/>
    </row>
    <row r="3923" spans="1:105" s="45" customFormat="1" x14ac:dyDescent="0.2">
      <c r="A3923" s="650"/>
      <c r="B3923" s="438"/>
      <c r="D3923" s="73"/>
      <c r="E3923" s="650"/>
      <c r="F3923" s="650"/>
      <c r="G3923" s="73"/>
      <c r="I3923" s="111"/>
      <c r="J3923" s="81"/>
      <c r="K3923" s="81"/>
      <c r="L3923" s="499"/>
      <c r="M3923" s="73"/>
      <c r="N3923" s="499"/>
      <c r="O3923" s="73"/>
      <c r="P3923" s="73"/>
      <c r="Q3923" s="73"/>
      <c r="R3923" s="176"/>
      <c r="S3923" s="176"/>
      <c r="T3923" s="176"/>
      <c r="U3923" s="400"/>
      <c r="V3923" s="400"/>
      <c r="W3923" s="732"/>
      <c r="X3923" s="167"/>
      <c r="Y3923" s="509"/>
      <c r="Z3923" s="466"/>
      <c r="AA3923" s="466"/>
      <c r="AB3923" s="466"/>
      <c r="AC3923" s="466"/>
      <c r="AD3923" s="466"/>
      <c r="AE3923" s="466"/>
      <c r="AF3923" s="466"/>
      <c r="AG3923" s="466"/>
      <c r="AH3923" s="466"/>
      <c r="AI3923" s="466"/>
      <c r="AJ3923" s="466"/>
      <c r="AK3923" s="466"/>
      <c r="AL3923" s="466"/>
      <c r="AM3923" s="466"/>
      <c r="AN3923" s="466"/>
      <c r="AO3923" s="466"/>
      <c r="AP3923" s="466"/>
      <c r="AQ3923" s="466"/>
      <c r="AR3923" s="466"/>
      <c r="AS3923" s="466"/>
      <c r="AT3923" s="466"/>
      <c r="AU3923" s="466"/>
      <c r="AV3923" s="466"/>
      <c r="AW3923" s="466"/>
      <c r="AX3923" s="466"/>
      <c r="AY3923" s="466"/>
      <c r="AZ3923" s="466"/>
      <c r="BA3923" s="466"/>
      <c r="BB3923" s="466"/>
      <c r="BC3923" s="466"/>
      <c r="BD3923" s="466"/>
      <c r="BE3923" s="467"/>
      <c r="BF3923" s="467"/>
      <c r="BG3923" s="466"/>
      <c r="BH3923" s="466"/>
      <c r="BI3923" s="467"/>
      <c r="BJ3923" s="467"/>
      <c r="BK3923" s="467"/>
      <c r="BL3923" s="467"/>
      <c r="BM3923" s="467"/>
      <c r="BN3923" s="467"/>
      <c r="BO3923" s="467"/>
      <c r="BP3923" s="467"/>
      <c r="BQ3923" s="467"/>
      <c r="BR3923" s="467"/>
      <c r="BS3923" s="467"/>
      <c r="BT3923" s="467"/>
      <c r="BU3923" s="467"/>
      <c r="BV3923" s="467"/>
      <c r="BW3923" s="467"/>
      <c r="BX3923" s="769"/>
      <c r="BY3923" s="769"/>
      <c r="BZ3923" s="769"/>
      <c r="CA3923" s="769"/>
      <c r="CB3923" s="769"/>
      <c r="CC3923" s="769"/>
      <c r="CD3923" s="769"/>
      <c r="CE3923" s="769"/>
      <c r="CF3923" s="769"/>
      <c r="CG3923" s="73"/>
      <c r="CH3923" s="438"/>
      <c r="CI3923" s="416"/>
      <c r="CJ3923" s="73"/>
      <c r="CK3923" s="650"/>
      <c r="CL3923" s="499"/>
      <c r="CM3923" s="650"/>
      <c r="CR3923" s="416"/>
      <c r="CS3923" s="650"/>
      <c r="CU3923" s="73"/>
      <c r="CV3923" s="73"/>
      <c r="CW3923" s="73"/>
      <c r="CX3923" s="73"/>
      <c r="DA3923" s="650"/>
    </row>
    <row r="3924" spans="1:105" s="45" customFormat="1" x14ac:dyDescent="0.2">
      <c r="A3924" s="650"/>
      <c r="B3924" s="438"/>
      <c r="D3924" s="73"/>
      <c r="E3924" s="650"/>
      <c r="F3924" s="650"/>
      <c r="G3924" s="73"/>
      <c r="I3924" s="111"/>
      <c r="J3924" s="81"/>
      <c r="K3924" s="81"/>
      <c r="L3924" s="499"/>
      <c r="M3924" s="73"/>
      <c r="N3924" s="499"/>
      <c r="O3924" s="73"/>
      <c r="P3924" s="73"/>
      <c r="Q3924" s="73"/>
      <c r="R3924" s="176"/>
      <c r="S3924" s="176"/>
      <c r="T3924" s="176"/>
      <c r="U3924" s="400"/>
      <c r="V3924" s="400"/>
      <c r="W3924" s="732"/>
      <c r="X3924" s="167"/>
      <c r="Y3924" s="509"/>
      <c r="Z3924" s="466"/>
      <c r="AA3924" s="466"/>
      <c r="AB3924" s="466"/>
      <c r="AC3924" s="466"/>
      <c r="AD3924" s="466"/>
      <c r="AE3924" s="466"/>
      <c r="AF3924" s="466"/>
      <c r="AG3924" s="466"/>
      <c r="AH3924" s="466"/>
      <c r="AI3924" s="466"/>
      <c r="AJ3924" s="466"/>
      <c r="AK3924" s="466"/>
      <c r="AL3924" s="466"/>
      <c r="AM3924" s="466"/>
      <c r="AN3924" s="466"/>
      <c r="AO3924" s="466"/>
      <c r="AP3924" s="466"/>
      <c r="AQ3924" s="466"/>
      <c r="AR3924" s="466"/>
      <c r="AS3924" s="466"/>
      <c r="AT3924" s="466"/>
      <c r="AU3924" s="466"/>
      <c r="AV3924" s="466"/>
      <c r="AW3924" s="466"/>
      <c r="AX3924" s="466"/>
      <c r="AY3924" s="466"/>
      <c r="AZ3924" s="466"/>
      <c r="BA3924" s="466"/>
      <c r="BB3924" s="466"/>
      <c r="BC3924" s="466"/>
      <c r="BD3924" s="466"/>
      <c r="BE3924" s="467"/>
      <c r="BF3924" s="467"/>
      <c r="BG3924" s="466"/>
      <c r="BH3924" s="466"/>
      <c r="BI3924" s="467"/>
      <c r="BJ3924" s="467"/>
      <c r="BK3924" s="467"/>
      <c r="BL3924" s="467"/>
      <c r="BM3924" s="467"/>
      <c r="BN3924" s="467"/>
      <c r="BO3924" s="467"/>
      <c r="BP3924" s="467"/>
      <c r="BQ3924" s="467"/>
      <c r="BR3924" s="467"/>
      <c r="BS3924" s="467"/>
      <c r="BT3924" s="467"/>
      <c r="BU3924" s="467"/>
      <c r="BV3924" s="467"/>
      <c r="BW3924" s="467"/>
      <c r="BX3924" s="769"/>
      <c r="BY3924" s="769"/>
      <c r="BZ3924" s="769"/>
      <c r="CA3924" s="769"/>
      <c r="CB3924" s="769"/>
      <c r="CC3924" s="769"/>
      <c r="CD3924" s="769"/>
      <c r="CE3924" s="769"/>
      <c r="CF3924" s="769"/>
      <c r="CG3924" s="73"/>
      <c r="CH3924" s="438"/>
      <c r="CI3924" s="416"/>
      <c r="CJ3924" s="73"/>
      <c r="CK3924" s="650"/>
      <c r="CL3924" s="499"/>
      <c r="CM3924" s="650"/>
      <c r="CR3924" s="416"/>
      <c r="CS3924" s="650"/>
      <c r="CU3924" s="73"/>
      <c r="CV3924" s="73"/>
      <c r="CW3924" s="73"/>
      <c r="CX3924" s="73"/>
      <c r="DA3924" s="650"/>
    </row>
    <row r="3925" spans="1:105" s="45" customFormat="1" x14ac:dyDescent="0.2">
      <c r="A3925" s="650"/>
      <c r="B3925" s="438"/>
      <c r="D3925" s="73"/>
      <c r="E3925" s="650"/>
      <c r="F3925" s="650"/>
      <c r="G3925" s="73"/>
      <c r="I3925" s="111"/>
      <c r="J3925" s="81"/>
      <c r="K3925" s="81"/>
      <c r="L3925" s="499"/>
      <c r="M3925" s="73"/>
      <c r="N3925" s="499"/>
      <c r="O3925" s="73"/>
      <c r="P3925" s="73"/>
      <c r="Q3925" s="73"/>
      <c r="R3925" s="176"/>
      <c r="S3925" s="176"/>
      <c r="T3925" s="176"/>
      <c r="U3925" s="400"/>
      <c r="V3925" s="400"/>
      <c r="W3925" s="732"/>
      <c r="X3925" s="167"/>
      <c r="Y3925" s="509"/>
      <c r="Z3925" s="466"/>
      <c r="AA3925" s="466"/>
      <c r="AB3925" s="466"/>
      <c r="AC3925" s="466"/>
      <c r="AD3925" s="466"/>
      <c r="AE3925" s="466"/>
      <c r="AF3925" s="466"/>
      <c r="AG3925" s="466"/>
      <c r="AH3925" s="466"/>
      <c r="AI3925" s="466"/>
      <c r="AJ3925" s="466"/>
      <c r="AK3925" s="466"/>
      <c r="AL3925" s="466"/>
      <c r="AM3925" s="466"/>
      <c r="AN3925" s="466"/>
      <c r="AO3925" s="466"/>
      <c r="AP3925" s="466"/>
      <c r="AQ3925" s="466"/>
      <c r="AR3925" s="466"/>
      <c r="AS3925" s="466"/>
      <c r="AT3925" s="466"/>
      <c r="AU3925" s="466"/>
      <c r="AV3925" s="466"/>
      <c r="AW3925" s="466"/>
      <c r="AX3925" s="466"/>
      <c r="AY3925" s="466"/>
      <c r="AZ3925" s="466"/>
      <c r="BA3925" s="466"/>
      <c r="BB3925" s="466"/>
      <c r="BC3925" s="466"/>
      <c r="BD3925" s="466"/>
      <c r="BE3925" s="467"/>
      <c r="BF3925" s="467"/>
      <c r="BG3925" s="466"/>
      <c r="BH3925" s="466"/>
      <c r="BI3925" s="467"/>
      <c r="BJ3925" s="467"/>
      <c r="BK3925" s="467"/>
      <c r="BL3925" s="467"/>
      <c r="BM3925" s="467"/>
      <c r="BN3925" s="467"/>
      <c r="BO3925" s="467"/>
      <c r="BP3925" s="467"/>
      <c r="BQ3925" s="467"/>
      <c r="BR3925" s="467"/>
      <c r="BS3925" s="467"/>
      <c r="BT3925" s="467"/>
      <c r="BU3925" s="467"/>
      <c r="BV3925" s="467"/>
      <c r="BW3925" s="467"/>
      <c r="BX3925" s="769"/>
      <c r="BY3925" s="769"/>
      <c r="BZ3925" s="769"/>
      <c r="CA3925" s="769"/>
      <c r="CB3925" s="769"/>
      <c r="CC3925" s="769"/>
      <c r="CD3925" s="769"/>
      <c r="CE3925" s="769"/>
      <c r="CF3925" s="769"/>
      <c r="CG3925" s="73"/>
      <c r="CH3925" s="438"/>
      <c r="CI3925" s="416"/>
      <c r="CJ3925" s="73"/>
      <c r="CK3925" s="650"/>
      <c r="CL3925" s="499"/>
      <c r="CM3925" s="650"/>
      <c r="CR3925" s="416"/>
      <c r="CS3925" s="650"/>
      <c r="CU3925" s="73"/>
      <c r="CV3925" s="73"/>
      <c r="CW3925" s="73"/>
      <c r="CX3925" s="73"/>
      <c r="DA3925" s="650"/>
    </row>
    <row r="3926" spans="1:105" s="45" customFormat="1" x14ac:dyDescent="0.2">
      <c r="A3926" s="650"/>
      <c r="B3926" s="438"/>
      <c r="D3926" s="73"/>
      <c r="E3926" s="650"/>
      <c r="F3926" s="650"/>
      <c r="G3926" s="73"/>
      <c r="I3926" s="111"/>
      <c r="J3926" s="81"/>
      <c r="K3926" s="81"/>
      <c r="L3926" s="499"/>
      <c r="M3926" s="73"/>
      <c r="N3926" s="499"/>
      <c r="O3926" s="73"/>
      <c r="P3926" s="73"/>
      <c r="Q3926" s="73"/>
      <c r="R3926" s="176"/>
      <c r="S3926" s="176"/>
      <c r="T3926" s="176"/>
      <c r="U3926" s="400"/>
      <c r="V3926" s="400"/>
      <c r="W3926" s="732"/>
      <c r="X3926" s="167"/>
      <c r="Y3926" s="509"/>
      <c r="Z3926" s="466"/>
      <c r="AA3926" s="466"/>
      <c r="AB3926" s="466"/>
      <c r="AC3926" s="466"/>
      <c r="AD3926" s="466"/>
      <c r="AE3926" s="466"/>
      <c r="AF3926" s="466"/>
      <c r="AG3926" s="466"/>
      <c r="AH3926" s="466"/>
      <c r="AI3926" s="466"/>
      <c r="AJ3926" s="466"/>
      <c r="AK3926" s="466"/>
      <c r="AL3926" s="466"/>
      <c r="AM3926" s="466"/>
      <c r="AN3926" s="466"/>
      <c r="AO3926" s="466"/>
      <c r="AP3926" s="466"/>
      <c r="AQ3926" s="466"/>
      <c r="AR3926" s="466"/>
      <c r="AS3926" s="466"/>
      <c r="AT3926" s="466"/>
      <c r="AU3926" s="466"/>
      <c r="AV3926" s="466"/>
      <c r="AW3926" s="466"/>
      <c r="AX3926" s="466"/>
      <c r="AY3926" s="466"/>
      <c r="AZ3926" s="466"/>
      <c r="BA3926" s="466"/>
      <c r="BB3926" s="466"/>
      <c r="BC3926" s="466"/>
      <c r="BD3926" s="466"/>
      <c r="BE3926" s="467"/>
      <c r="BF3926" s="467"/>
      <c r="BG3926" s="466"/>
      <c r="BH3926" s="466"/>
      <c r="BI3926" s="467"/>
      <c r="BJ3926" s="467"/>
      <c r="BK3926" s="467"/>
      <c r="BL3926" s="467"/>
      <c r="BM3926" s="467"/>
      <c r="BN3926" s="467"/>
      <c r="BO3926" s="467"/>
      <c r="BP3926" s="467"/>
      <c r="BQ3926" s="467"/>
      <c r="BR3926" s="467"/>
      <c r="BS3926" s="467"/>
      <c r="BT3926" s="467"/>
      <c r="BU3926" s="467"/>
      <c r="BV3926" s="467"/>
      <c r="BW3926" s="467"/>
      <c r="BX3926" s="769"/>
      <c r="BY3926" s="769"/>
      <c r="BZ3926" s="769"/>
      <c r="CA3926" s="769"/>
      <c r="CB3926" s="769"/>
      <c r="CC3926" s="769"/>
      <c r="CD3926" s="769"/>
      <c r="CE3926" s="769"/>
      <c r="CF3926" s="769"/>
      <c r="CG3926" s="73"/>
      <c r="CH3926" s="438"/>
      <c r="CI3926" s="416"/>
      <c r="CJ3926" s="73"/>
      <c r="CK3926" s="650"/>
      <c r="CL3926" s="499"/>
      <c r="CM3926" s="650"/>
      <c r="CR3926" s="416"/>
      <c r="CS3926" s="650"/>
      <c r="CU3926" s="73"/>
      <c r="CV3926" s="73"/>
      <c r="CW3926" s="73"/>
      <c r="CX3926" s="73"/>
      <c r="DA3926" s="650"/>
    </row>
    <row r="3927" spans="1:105" s="45" customFormat="1" x14ac:dyDescent="0.2">
      <c r="A3927" s="650"/>
      <c r="B3927" s="438"/>
      <c r="D3927" s="73"/>
      <c r="E3927" s="650"/>
      <c r="F3927" s="650"/>
      <c r="G3927" s="73"/>
      <c r="I3927" s="111"/>
      <c r="J3927" s="81"/>
      <c r="K3927" s="81"/>
      <c r="L3927" s="499"/>
      <c r="M3927" s="73"/>
      <c r="N3927" s="499"/>
      <c r="O3927" s="73"/>
      <c r="P3927" s="73"/>
      <c r="Q3927" s="73"/>
      <c r="R3927" s="176"/>
      <c r="S3927" s="176"/>
      <c r="T3927" s="176"/>
      <c r="U3927" s="400"/>
      <c r="V3927" s="400"/>
      <c r="W3927" s="732"/>
      <c r="X3927" s="167"/>
      <c r="Y3927" s="509"/>
      <c r="Z3927" s="466"/>
      <c r="AA3927" s="466"/>
      <c r="AB3927" s="466"/>
      <c r="AC3927" s="466"/>
      <c r="AD3927" s="466"/>
      <c r="AE3927" s="466"/>
      <c r="AF3927" s="466"/>
      <c r="AG3927" s="466"/>
      <c r="AH3927" s="466"/>
      <c r="AI3927" s="466"/>
      <c r="AJ3927" s="466"/>
      <c r="AK3927" s="466"/>
      <c r="AL3927" s="466"/>
      <c r="AM3927" s="466"/>
      <c r="AN3927" s="466"/>
      <c r="AO3927" s="466"/>
      <c r="AP3927" s="466"/>
      <c r="AQ3927" s="466"/>
      <c r="AR3927" s="466"/>
      <c r="AS3927" s="466"/>
      <c r="AT3927" s="466"/>
      <c r="AU3927" s="466"/>
      <c r="AV3927" s="466"/>
      <c r="AW3927" s="466"/>
      <c r="AX3927" s="466"/>
      <c r="AY3927" s="466"/>
      <c r="AZ3927" s="466"/>
      <c r="BA3927" s="466"/>
      <c r="BB3927" s="466"/>
      <c r="BC3927" s="466"/>
      <c r="BD3927" s="466"/>
      <c r="BE3927" s="467"/>
      <c r="BF3927" s="467"/>
      <c r="BG3927" s="466"/>
      <c r="BH3927" s="466"/>
      <c r="BI3927" s="467"/>
      <c r="BJ3927" s="467"/>
      <c r="BK3927" s="467"/>
      <c r="BL3927" s="467"/>
      <c r="BM3927" s="467"/>
      <c r="BN3927" s="467"/>
      <c r="BO3927" s="467"/>
      <c r="BP3927" s="467"/>
      <c r="BQ3927" s="467"/>
      <c r="BR3927" s="467"/>
      <c r="BS3927" s="467"/>
      <c r="BT3927" s="467"/>
      <c r="BU3927" s="467"/>
      <c r="BV3927" s="467"/>
      <c r="BW3927" s="467"/>
      <c r="BX3927" s="769"/>
      <c r="BY3927" s="769"/>
      <c r="BZ3927" s="769"/>
      <c r="CA3927" s="769"/>
      <c r="CB3927" s="769"/>
      <c r="CC3927" s="769"/>
      <c r="CD3927" s="769"/>
      <c r="CE3927" s="769"/>
      <c r="CF3927" s="769"/>
      <c r="CG3927" s="73"/>
      <c r="CH3927" s="438"/>
      <c r="CI3927" s="416"/>
      <c r="CJ3927" s="73"/>
      <c r="CK3927" s="650"/>
      <c r="CL3927" s="499"/>
      <c r="CM3927" s="650"/>
      <c r="CR3927" s="416"/>
      <c r="CS3927" s="650"/>
      <c r="CU3927" s="73"/>
      <c r="CV3927" s="73"/>
      <c r="CW3927" s="73"/>
      <c r="CX3927" s="73"/>
      <c r="DA3927" s="650"/>
    </row>
    <row r="3928" spans="1:105" s="45" customFormat="1" x14ac:dyDescent="0.2">
      <c r="A3928" s="650"/>
      <c r="B3928" s="438"/>
      <c r="D3928" s="73"/>
      <c r="E3928" s="650"/>
      <c r="F3928" s="650"/>
      <c r="G3928" s="73"/>
      <c r="I3928" s="111"/>
      <c r="J3928" s="81"/>
      <c r="K3928" s="81"/>
      <c r="L3928" s="499"/>
      <c r="M3928" s="73"/>
      <c r="N3928" s="499"/>
      <c r="O3928" s="73"/>
      <c r="P3928" s="73"/>
      <c r="Q3928" s="73"/>
      <c r="R3928" s="176"/>
      <c r="S3928" s="176"/>
      <c r="T3928" s="176"/>
      <c r="U3928" s="400"/>
      <c r="V3928" s="400"/>
      <c r="W3928" s="732"/>
      <c r="X3928" s="167"/>
      <c r="Y3928" s="509"/>
      <c r="Z3928" s="466"/>
      <c r="AA3928" s="466"/>
      <c r="AB3928" s="466"/>
      <c r="AC3928" s="466"/>
      <c r="AD3928" s="466"/>
      <c r="AE3928" s="466"/>
      <c r="AF3928" s="466"/>
      <c r="AG3928" s="466"/>
      <c r="AH3928" s="466"/>
      <c r="AI3928" s="466"/>
      <c r="AJ3928" s="466"/>
      <c r="AK3928" s="466"/>
      <c r="AL3928" s="466"/>
      <c r="AM3928" s="466"/>
      <c r="AN3928" s="466"/>
      <c r="AO3928" s="466"/>
      <c r="AP3928" s="466"/>
      <c r="AQ3928" s="466"/>
      <c r="AR3928" s="466"/>
      <c r="AS3928" s="466"/>
      <c r="AT3928" s="466"/>
      <c r="AU3928" s="466"/>
      <c r="AV3928" s="466"/>
      <c r="AW3928" s="466"/>
      <c r="AX3928" s="466"/>
      <c r="AY3928" s="466"/>
      <c r="AZ3928" s="466"/>
      <c r="BA3928" s="466"/>
      <c r="BB3928" s="466"/>
      <c r="BC3928" s="466"/>
      <c r="BD3928" s="466"/>
      <c r="BE3928" s="467"/>
      <c r="BF3928" s="467"/>
      <c r="BG3928" s="466"/>
      <c r="BH3928" s="466"/>
      <c r="BI3928" s="467"/>
      <c r="BJ3928" s="467"/>
      <c r="BK3928" s="467"/>
      <c r="BL3928" s="467"/>
      <c r="BM3928" s="467"/>
      <c r="BN3928" s="467"/>
      <c r="BO3928" s="467"/>
      <c r="BP3928" s="467"/>
      <c r="BQ3928" s="467"/>
      <c r="BR3928" s="467"/>
      <c r="BS3928" s="467"/>
      <c r="BT3928" s="467"/>
      <c r="BU3928" s="467"/>
      <c r="BV3928" s="467"/>
      <c r="BW3928" s="467"/>
      <c r="BX3928" s="769"/>
      <c r="BY3928" s="769"/>
      <c r="BZ3928" s="769"/>
      <c r="CA3928" s="769"/>
      <c r="CB3928" s="769"/>
      <c r="CC3928" s="769"/>
      <c r="CD3928" s="769"/>
      <c r="CE3928" s="769"/>
      <c r="CF3928" s="769"/>
      <c r="CG3928" s="73"/>
      <c r="CH3928" s="438"/>
      <c r="CI3928" s="416"/>
      <c r="CJ3928" s="73"/>
      <c r="CK3928" s="650"/>
      <c r="CL3928" s="499"/>
      <c r="CM3928" s="650"/>
      <c r="CR3928" s="416"/>
      <c r="CS3928" s="650"/>
      <c r="CU3928" s="73"/>
      <c r="CV3928" s="73"/>
      <c r="CW3928" s="73"/>
      <c r="CX3928" s="73"/>
      <c r="DA3928" s="650"/>
    </row>
    <row r="3929" spans="1:105" s="45" customFormat="1" x14ac:dyDescent="0.2">
      <c r="A3929" s="650"/>
      <c r="B3929" s="438"/>
      <c r="D3929" s="73"/>
      <c r="E3929" s="650"/>
      <c r="F3929" s="650"/>
      <c r="G3929" s="73"/>
      <c r="I3929" s="111"/>
      <c r="J3929" s="81"/>
      <c r="K3929" s="81"/>
      <c r="L3929" s="499"/>
      <c r="M3929" s="73"/>
      <c r="N3929" s="499"/>
      <c r="O3929" s="73"/>
      <c r="P3929" s="73"/>
      <c r="Q3929" s="73"/>
      <c r="R3929" s="176"/>
      <c r="S3929" s="176"/>
      <c r="T3929" s="176"/>
      <c r="U3929" s="400"/>
      <c r="V3929" s="400"/>
      <c r="W3929" s="732"/>
      <c r="X3929" s="167"/>
      <c r="Y3929" s="509"/>
      <c r="Z3929" s="466"/>
      <c r="AA3929" s="466"/>
      <c r="AB3929" s="466"/>
      <c r="AC3929" s="466"/>
      <c r="AD3929" s="466"/>
      <c r="AE3929" s="466"/>
      <c r="AF3929" s="466"/>
      <c r="AG3929" s="466"/>
      <c r="AH3929" s="466"/>
      <c r="AI3929" s="466"/>
      <c r="AJ3929" s="466"/>
      <c r="AK3929" s="466"/>
      <c r="AL3929" s="466"/>
      <c r="AM3929" s="466"/>
      <c r="AN3929" s="466"/>
      <c r="AO3929" s="466"/>
      <c r="AP3929" s="466"/>
      <c r="AQ3929" s="466"/>
      <c r="AR3929" s="466"/>
      <c r="AS3929" s="466"/>
      <c r="AT3929" s="466"/>
      <c r="AU3929" s="466"/>
      <c r="AV3929" s="466"/>
      <c r="AW3929" s="466"/>
      <c r="AX3929" s="466"/>
      <c r="AY3929" s="466"/>
      <c r="AZ3929" s="466"/>
      <c r="BA3929" s="466"/>
      <c r="BB3929" s="466"/>
      <c r="BC3929" s="466"/>
      <c r="BD3929" s="466"/>
      <c r="BE3929" s="467"/>
      <c r="BF3929" s="467"/>
      <c r="BG3929" s="466"/>
      <c r="BH3929" s="466"/>
      <c r="BI3929" s="467"/>
      <c r="BJ3929" s="467"/>
      <c r="BK3929" s="467"/>
      <c r="BL3929" s="467"/>
      <c r="BM3929" s="467"/>
      <c r="BN3929" s="467"/>
      <c r="BO3929" s="467"/>
      <c r="BP3929" s="467"/>
      <c r="BQ3929" s="467"/>
      <c r="BR3929" s="467"/>
      <c r="BS3929" s="467"/>
      <c r="BT3929" s="467"/>
      <c r="BU3929" s="467"/>
      <c r="BV3929" s="467"/>
      <c r="BW3929" s="467"/>
      <c r="BX3929" s="769"/>
      <c r="BY3929" s="769"/>
      <c r="BZ3929" s="769"/>
      <c r="CA3929" s="769"/>
      <c r="CB3929" s="769"/>
      <c r="CC3929" s="769"/>
      <c r="CD3929" s="769"/>
      <c r="CE3929" s="769"/>
      <c r="CF3929" s="769"/>
      <c r="CG3929" s="73"/>
      <c r="CH3929" s="438"/>
      <c r="CI3929" s="416"/>
      <c r="CJ3929" s="73"/>
      <c r="CK3929" s="650"/>
      <c r="CL3929" s="499"/>
      <c r="CM3929" s="650"/>
      <c r="CR3929" s="416"/>
      <c r="CS3929" s="650"/>
      <c r="CU3929" s="73"/>
      <c r="CV3929" s="73"/>
      <c r="CW3929" s="73"/>
      <c r="CX3929" s="73"/>
      <c r="DA3929" s="650"/>
    </row>
    <row r="3930" spans="1:105" s="45" customFormat="1" x14ac:dyDescent="0.2">
      <c r="A3930" s="650"/>
      <c r="B3930" s="438"/>
      <c r="D3930" s="73"/>
      <c r="E3930" s="650"/>
      <c r="F3930" s="650"/>
      <c r="G3930" s="73"/>
      <c r="I3930" s="111"/>
      <c r="J3930" s="81"/>
      <c r="K3930" s="81"/>
      <c r="L3930" s="499"/>
      <c r="M3930" s="73"/>
      <c r="N3930" s="499"/>
      <c r="O3930" s="73"/>
      <c r="P3930" s="73"/>
      <c r="Q3930" s="73"/>
      <c r="R3930" s="176"/>
      <c r="S3930" s="176"/>
      <c r="T3930" s="176"/>
      <c r="U3930" s="400"/>
      <c r="V3930" s="400"/>
      <c r="W3930" s="732"/>
      <c r="X3930" s="167"/>
      <c r="Y3930" s="509"/>
      <c r="Z3930" s="466"/>
      <c r="AA3930" s="466"/>
      <c r="AB3930" s="466"/>
      <c r="AC3930" s="466"/>
      <c r="AD3930" s="466"/>
      <c r="AE3930" s="466"/>
      <c r="AF3930" s="466"/>
      <c r="AG3930" s="466"/>
      <c r="AH3930" s="466"/>
      <c r="AI3930" s="466"/>
      <c r="AJ3930" s="466"/>
      <c r="AK3930" s="466"/>
      <c r="AL3930" s="466"/>
      <c r="AM3930" s="466"/>
      <c r="AN3930" s="466"/>
      <c r="AO3930" s="466"/>
      <c r="AP3930" s="466"/>
      <c r="AQ3930" s="466"/>
      <c r="AR3930" s="466"/>
      <c r="AS3930" s="466"/>
      <c r="AT3930" s="466"/>
      <c r="AU3930" s="466"/>
      <c r="AV3930" s="466"/>
      <c r="AW3930" s="466"/>
      <c r="AX3930" s="466"/>
      <c r="AY3930" s="466"/>
      <c r="AZ3930" s="466"/>
      <c r="BA3930" s="466"/>
      <c r="BB3930" s="466"/>
      <c r="BC3930" s="466"/>
      <c r="BD3930" s="466"/>
      <c r="BE3930" s="467"/>
      <c r="BF3930" s="467"/>
      <c r="BG3930" s="466"/>
      <c r="BH3930" s="466"/>
      <c r="BI3930" s="467"/>
      <c r="BJ3930" s="467"/>
      <c r="BK3930" s="467"/>
      <c r="BL3930" s="467"/>
      <c r="BM3930" s="467"/>
      <c r="BN3930" s="467"/>
      <c r="BO3930" s="467"/>
      <c r="BP3930" s="467"/>
      <c r="BQ3930" s="467"/>
      <c r="BR3930" s="467"/>
      <c r="BS3930" s="467"/>
      <c r="BT3930" s="467"/>
      <c r="BU3930" s="467"/>
      <c r="BV3930" s="467"/>
      <c r="BW3930" s="467"/>
      <c r="BX3930" s="769"/>
      <c r="BY3930" s="769"/>
      <c r="BZ3930" s="769"/>
      <c r="CA3930" s="769"/>
      <c r="CB3930" s="769"/>
      <c r="CC3930" s="769"/>
      <c r="CD3930" s="769"/>
      <c r="CE3930" s="769"/>
      <c r="CF3930" s="769"/>
      <c r="CG3930" s="73"/>
      <c r="CH3930" s="438"/>
      <c r="CI3930" s="416"/>
      <c r="CJ3930" s="73"/>
      <c r="CK3930" s="650"/>
      <c r="CL3930" s="499"/>
      <c r="CM3930" s="650"/>
      <c r="CR3930" s="416"/>
      <c r="CS3930" s="650"/>
      <c r="CU3930" s="73"/>
      <c r="CV3930" s="73"/>
      <c r="CW3930" s="73"/>
      <c r="CX3930" s="73"/>
      <c r="DA3930" s="650"/>
    </row>
    <row r="3931" spans="1:105" s="45" customFormat="1" x14ac:dyDescent="0.2">
      <c r="A3931" s="650"/>
      <c r="B3931" s="438"/>
      <c r="D3931" s="73"/>
      <c r="E3931" s="650"/>
      <c r="F3931" s="650"/>
      <c r="G3931" s="73"/>
      <c r="I3931" s="111"/>
      <c r="J3931" s="81"/>
      <c r="K3931" s="81"/>
      <c r="L3931" s="499"/>
      <c r="M3931" s="73"/>
      <c r="N3931" s="499"/>
      <c r="O3931" s="73"/>
      <c r="P3931" s="73"/>
      <c r="Q3931" s="73"/>
      <c r="R3931" s="176"/>
      <c r="S3931" s="176"/>
      <c r="T3931" s="176"/>
      <c r="U3931" s="400"/>
      <c r="V3931" s="400"/>
      <c r="W3931" s="732"/>
      <c r="X3931" s="167"/>
      <c r="Y3931" s="509"/>
      <c r="Z3931" s="466"/>
      <c r="AA3931" s="466"/>
      <c r="AB3931" s="466"/>
      <c r="AC3931" s="466"/>
      <c r="AD3931" s="466"/>
      <c r="AE3931" s="466"/>
      <c r="AF3931" s="466"/>
      <c r="AG3931" s="466"/>
      <c r="AH3931" s="466"/>
      <c r="AI3931" s="466"/>
      <c r="AJ3931" s="466"/>
      <c r="AK3931" s="466"/>
      <c r="AL3931" s="466"/>
      <c r="AM3931" s="466"/>
      <c r="AN3931" s="466"/>
      <c r="AO3931" s="466"/>
      <c r="AP3931" s="466"/>
      <c r="AQ3931" s="466"/>
      <c r="AR3931" s="466"/>
      <c r="AS3931" s="466"/>
      <c r="AT3931" s="466"/>
      <c r="AU3931" s="466"/>
      <c r="AV3931" s="466"/>
      <c r="AW3931" s="466"/>
      <c r="AX3931" s="466"/>
      <c r="AY3931" s="466"/>
      <c r="AZ3931" s="466"/>
      <c r="BA3931" s="466"/>
      <c r="BB3931" s="466"/>
      <c r="BC3931" s="466"/>
      <c r="BD3931" s="466"/>
      <c r="BE3931" s="467"/>
      <c r="BF3931" s="467"/>
      <c r="BG3931" s="466"/>
      <c r="BH3931" s="466"/>
      <c r="BI3931" s="467"/>
      <c r="BJ3931" s="467"/>
      <c r="BK3931" s="467"/>
      <c r="BL3931" s="467"/>
      <c r="BM3931" s="467"/>
      <c r="BN3931" s="467"/>
      <c r="BO3931" s="467"/>
      <c r="BP3931" s="467"/>
      <c r="BQ3931" s="467"/>
      <c r="BR3931" s="467"/>
      <c r="BS3931" s="467"/>
      <c r="BT3931" s="467"/>
      <c r="BU3931" s="467"/>
      <c r="BV3931" s="467"/>
      <c r="BW3931" s="467"/>
      <c r="BX3931" s="769"/>
      <c r="BY3931" s="769"/>
      <c r="BZ3931" s="769"/>
      <c r="CA3931" s="769"/>
      <c r="CB3931" s="769"/>
      <c r="CC3931" s="769"/>
      <c r="CD3931" s="769"/>
      <c r="CE3931" s="769"/>
      <c r="CF3931" s="769"/>
      <c r="CG3931" s="73"/>
      <c r="CH3931" s="438"/>
      <c r="CI3931" s="416"/>
      <c r="CJ3931" s="73"/>
      <c r="CK3931" s="650"/>
      <c r="CL3931" s="499"/>
      <c r="CM3931" s="650"/>
      <c r="CR3931" s="416"/>
      <c r="CS3931" s="650"/>
      <c r="CU3931" s="73"/>
      <c r="CV3931" s="73"/>
      <c r="CW3931" s="73"/>
      <c r="CX3931" s="73"/>
      <c r="DA3931" s="650"/>
    </row>
    <row r="3932" spans="1:105" s="45" customFormat="1" x14ac:dyDescent="0.2">
      <c r="A3932" s="650"/>
      <c r="B3932" s="438"/>
      <c r="D3932" s="73"/>
      <c r="E3932" s="650"/>
      <c r="F3932" s="650"/>
      <c r="G3932" s="73"/>
      <c r="I3932" s="111"/>
      <c r="J3932" s="81"/>
      <c r="K3932" s="81"/>
      <c r="L3932" s="499"/>
      <c r="M3932" s="73"/>
      <c r="N3932" s="499"/>
      <c r="O3932" s="73"/>
      <c r="P3932" s="73"/>
      <c r="Q3932" s="73"/>
      <c r="R3932" s="176"/>
      <c r="S3932" s="176"/>
      <c r="T3932" s="176"/>
      <c r="U3932" s="400"/>
      <c r="V3932" s="400"/>
      <c r="W3932" s="732"/>
      <c r="X3932" s="167"/>
      <c r="Y3932" s="509"/>
      <c r="Z3932" s="466"/>
      <c r="AA3932" s="466"/>
      <c r="AB3932" s="466"/>
      <c r="AC3932" s="466"/>
      <c r="AD3932" s="466"/>
      <c r="AE3932" s="466"/>
      <c r="AF3932" s="466"/>
      <c r="AG3932" s="466"/>
      <c r="AH3932" s="466"/>
      <c r="AI3932" s="466"/>
      <c r="AJ3932" s="466"/>
      <c r="AK3932" s="466"/>
      <c r="AL3932" s="466"/>
      <c r="AM3932" s="466"/>
      <c r="AN3932" s="466"/>
      <c r="AO3932" s="466"/>
      <c r="AP3932" s="466"/>
      <c r="AQ3932" s="466"/>
      <c r="AR3932" s="466"/>
      <c r="AS3932" s="466"/>
      <c r="AT3932" s="466"/>
      <c r="AU3932" s="466"/>
      <c r="AV3932" s="466"/>
      <c r="AW3932" s="466"/>
      <c r="AX3932" s="466"/>
      <c r="AY3932" s="466"/>
      <c r="AZ3932" s="466"/>
      <c r="BA3932" s="466"/>
      <c r="BB3932" s="466"/>
      <c r="BC3932" s="466"/>
      <c r="BD3932" s="466"/>
      <c r="BE3932" s="467"/>
      <c r="BF3932" s="467"/>
      <c r="BG3932" s="466"/>
      <c r="BH3932" s="466"/>
      <c r="BI3932" s="467"/>
      <c r="BJ3932" s="467"/>
      <c r="BK3932" s="467"/>
      <c r="BL3932" s="467"/>
      <c r="BM3932" s="467"/>
      <c r="BN3932" s="467"/>
      <c r="BO3932" s="467"/>
      <c r="BP3932" s="467"/>
      <c r="BQ3932" s="467"/>
      <c r="BR3932" s="467"/>
      <c r="BS3932" s="467"/>
      <c r="BT3932" s="467"/>
      <c r="BU3932" s="467"/>
      <c r="BV3932" s="467"/>
      <c r="BW3932" s="467"/>
      <c r="BX3932" s="769"/>
      <c r="BY3932" s="769"/>
      <c r="BZ3932" s="769"/>
      <c r="CA3932" s="769"/>
      <c r="CB3932" s="769"/>
      <c r="CC3932" s="769"/>
      <c r="CD3932" s="769"/>
      <c r="CE3932" s="769"/>
      <c r="CF3932" s="769"/>
      <c r="CG3932" s="73"/>
      <c r="CH3932" s="438"/>
      <c r="CI3932" s="416"/>
      <c r="CJ3932" s="73"/>
      <c r="CK3932" s="650"/>
      <c r="CL3932" s="499"/>
      <c r="CM3932" s="650"/>
      <c r="CR3932" s="416"/>
      <c r="CS3932" s="650"/>
      <c r="CU3932" s="73"/>
      <c r="CV3932" s="73"/>
      <c r="CW3932" s="73"/>
      <c r="CX3932" s="73"/>
      <c r="DA3932" s="650"/>
    </row>
    <row r="3933" spans="1:105" s="45" customFormat="1" x14ac:dyDescent="0.2">
      <c r="A3933" s="650"/>
      <c r="B3933" s="438"/>
      <c r="D3933" s="73"/>
      <c r="E3933" s="650"/>
      <c r="F3933" s="650"/>
      <c r="G3933" s="73"/>
      <c r="I3933" s="111"/>
      <c r="J3933" s="81"/>
      <c r="K3933" s="81"/>
      <c r="L3933" s="499"/>
      <c r="M3933" s="73"/>
      <c r="N3933" s="499"/>
      <c r="O3933" s="73"/>
      <c r="P3933" s="73"/>
      <c r="Q3933" s="73"/>
      <c r="R3933" s="176"/>
      <c r="S3933" s="176"/>
      <c r="T3933" s="176"/>
      <c r="U3933" s="400"/>
      <c r="V3933" s="400"/>
      <c r="W3933" s="732"/>
      <c r="X3933" s="167"/>
      <c r="Y3933" s="509"/>
      <c r="Z3933" s="466"/>
      <c r="AA3933" s="466"/>
      <c r="AB3933" s="466"/>
      <c r="AC3933" s="466"/>
      <c r="AD3933" s="466"/>
      <c r="AE3933" s="466"/>
      <c r="AF3933" s="466"/>
      <c r="AG3933" s="466"/>
      <c r="AH3933" s="466"/>
      <c r="AI3933" s="466"/>
      <c r="AJ3933" s="466"/>
      <c r="AK3933" s="466"/>
      <c r="AL3933" s="466"/>
      <c r="AM3933" s="466"/>
      <c r="AN3933" s="466"/>
      <c r="AO3933" s="466"/>
      <c r="AP3933" s="466"/>
      <c r="AQ3933" s="466"/>
      <c r="AR3933" s="466"/>
      <c r="AS3933" s="466"/>
      <c r="AT3933" s="466"/>
      <c r="AU3933" s="466"/>
      <c r="AV3933" s="466"/>
      <c r="AW3933" s="466"/>
      <c r="AX3933" s="466"/>
      <c r="AY3933" s="466"/>
      <c r="AZ3933" s="466"/>
      <c r="BA3933" s="466"/>
      <c r="BB3933" s="466"/>
      <c r="BC3933" s="466"/>
      <c r="BD3933" s="466"/>
      <c r="BE3933" s="467"/>
      <c r="BF3933" s="467"/>
      <c r="BG3933" s="466"/>
      <c r="BH3933" s="466"/>
      <c r="BI3933" s="467"/>
      <c r="BJ3933" s="467"/>
      <c r="BK3933" s="467"/>
      <c r="BL3933" s="467"/>
      <c r="BM3933" s="467"/>
      <c r="BN3933" s="467"/>
      <c r="BO3933" s="467"/>
      <c r="BP3933" s="467"/>
      <c r="BQ3933" s="467"/>
      <c r="BR3933" s="467"/>
      <c r="BS3933" s="467"/>
      <c r="BT3933" s="467"/>
      <c r="BU3933" s="467"/>
      <c r="BV3933" s="467"/>
      <c r="BW3933" s="467"/>
      <c r="BX3933" s="769"/>
      <c r="BY3933" s="769"/>
      <c r="BZ3933" s="769"/>
      <c r="CA3933" s="769"/>
      <c r="CB3933" s="769"/>
      <c r="CC3933" s="769"/>
      <c r="CD3933" s="769"/>
      <c r="CE3933" s="769"/>
      <c r="CF3933" s="769"/>
      <c r="CG3933" s="73"/>
      <c r="CH3933" s="438"/>
      <c r="CI3933" s="416"/>
      <c r="CJ3933" s="73"/>
      <c r="CK3933" s="650"/>
      <c r="CL3933" s="499"/>
      <c r="CM3933" s="650"/>
      <c r="CR3933" s="416"/>
      <c r="CS3933" s="650"/>
      <c r="CU3933" s="73"/>
      <c r="CV3933" s="73"/>
      <c r="CW3933" s="73"/>
      <c r="CX3933" s="73"/>
      <c r="DA3933" s="650"/>
    </row>
    <row r="3934" spans="1:105" s="45" customFormat="1" x14ac:dyDescent="0.2">
      <c r="A3934" s="650"/>
      <c r="B3934" s="438"/>
      <c r="D3934" s="73"/>
      <c r="E3934" s="650"/>
      <c r="F3934" s="650"/>
      <c r="G3934" s="73"/>
      <c r="I3934" s="111"/>
      <c r="J3934" s="81"/>
      <c r="K3934" s="81"/>
      <c r="L3934" s="499"/>
      <c r="M3934" s="73"/>
      <c r="N3934" s="499"/>
      <c r="O3934" s="73"/>
      <c r="P3934" s="73"/>
      <c r="Q3934" s="73"/>
      <c r="R3934" s="176"/>
      <c r="S3934" s="176"/>
      <c r="T3934" s="176"/>
      <c r="U3934" s="400"/>
      <c r="V3934" s="400"/>
      <c r="W3934" s="732"/>
      <c r="X3934" s="167"/>
      <c r="Y3934" s="509"/>
      <c r="Z3934" s="466"/>
      <c r="AA3934" s="466"/>
      <c r="AB3934" s="466"/>
      <c r="AC3934" s="466"/>
      <c r="AD3934" s="466"/>
      <c r="AE3934" s="466"/>
      <c r="AF3934" s="466"/>
      <c r="AG3934" s="466"/>
      <c r="AH3934" s="466"/>
      <c r="AI3934" s="466"/>
      <c r="AJ3934" s="466"/>
      <c r="AK3934" s="466"/>
      <c r="AL3934" s="466"/>
      <c r="AM3934" s="466"/>
      <c r="AN3934" s="466"/>
      <c r="AO3934" s="466"/>
      <c r="AP3934" s="466"/>
      <c r="AQ3934" s="466"/>
      <c r="AR3934" s="466"/>
      <c r="AS3934" s="466"/>
      <c r="AT3934" s="466"/>
      <c r="AU3934" s="466"/>
      <c r="AV3934" s="466"/>
      <c r="AW3934" s="466"/>
      <c r="AX3934" s="466"/>
      <c r="AY3934" s="466"/>
      <c r="AZ3934" s="466"/>
      <c r="BA3934" s="466"/>
      <c r="BB3934" s="466"/>
      <c r="BC3934" s="466"/>
      <c r="BD3934" s="466"/>
      <c r="BE3934" s="467"/>
      <c r="BF3934" s="467"/>
      <c r="BG3934" s="466"/>
      <c r="BH3934" s="466"/>
      <c r="BI3934" s="467"/>
      <c r="BJ3934" s="467"/>
      <c r="BK3934" s="467"/>
      <c r="BL3934" s="467"/>
      <c r="BM3934" s="467"/>
      <c r="BN3934" s="467"/>
      <c r="BO3934" s="467"/>
      <c r="BP3934" s="467"/>
      <c r="BQ3934" s="467"/>
      <c r="BR3934" s="467"/>
      <c r="BS3934" s="467"/>
      <c r="BT3934" s="467"/>
      <c r="BU3934" s="467"/>
      <c r="BV3934" s="467"/>
      <c r="BW3934" s="467"/>
      <c r="BX3934" s="769"/>
      <c r="BY3934" s="769"/>
      <c r="BZ3934" s="769"/>
      <c r="CA3934" s="769"/>
      <c r="CB3934" s="769"/>
      <c r="CC3934" s="769"/>
      <c r="CD3934" s="769"/>
      <c r="CE3934" s="769"/>
      <c r="CF3934" s="769"/>
      <c r="CG3934" s="73"/>
      <c r="CH3934" s="438"/>
      <c r="CI3934" s="416"/>
      <c r="CJ3934" s="73"/>
      <c r="CK3934" s="650"/>
      <c r="CL3934" s="499"/>
      <c r="CM3934" s="650"/>
      <c r="CR3934" s="416"/>
      <c r="CS3934" s="650"/>
      <c r="CU3934" s="73"/>
      <c r="CV3934" s="73"/>
      <c r="CW3934" s="73"/>
      <c r="CX3934" s="73"/>
      <c r="DA3934" s="650"/>
    </row>
    <row r="3935" spans="1:105" s="45" customFormat="1" x14ac:dyDescent="0.2">
      <c r="A3935" s="650"/>
      <c r="B3935" s="438"/>
      <c r="D3935" s="73"/>
      <c r="E3935" s="650"/>
      <c r="F3935" s="650"/>
      <c r="G3935" s="73"/>
      <c r="I3935" s="111"/>
      <c r="J3935" s="81"/>
      <c r="K3935" s="81"/>
      <c r="L3935" s="499"/>
      <c r="M3935" s="73"/>
      <c r="N3935" s="499"/>
      <c r="O3935" s="73"/>
      <c r="P3935" s="73"/>
      <c r="Q3935" s="73"/>
      <c r="R3935" s="176"/>
      <c r="S3935" s="176"/>
      <c r="T3935" s="176"/>
      <c r="U3935" s="400"/>
      <c r="V3935" s="400"/>
      <c r="W3935" s="732"/>
      <c r="X3935" s="167"/>
      <c r="Y3935" s="509"/>
      <c r="Z3935" s="466"/>
      <c r="AA3935" s="466"/>
      <c r="AB3935" s="466"/>
      <c r="AC3935" s="466"/>
      <c r="AD3935" s="466"/>
      <c r="AE3935" s="466"/>
      <c r="AF3935" s="466"/>
      <c r="AG3935" s="466"/>
      <c r="AH3935" s="466"/>
      <c r="AI3935" s="466"/>
      <c r="AJ3935" s="466"/>
      <c r="AK3935" s="466"/>
      <c r="AL3935" s="466"/>
      <c r="AM3935" s="466"/>
      <c r="AN3935" s="466"/>
      <c r="AO3935" s="466"/>
      <c r="AP3935" s="466"/>
      <c r="AQ3935" s="466"/>
      <c r="AR3935" s="466"/>
      <c r="AS3935" s="466"/>
      <c r="AT3935" s="466"/>
      <c r="AU3935" s="466"/>
      <c r="AV3935" s="466"/>
      <c r="AW3935" s="466"/>
      <c r="AX3935" s="466"/>
      <c r="AY3935" s="466"/>
      <c r="AZ3935" s="466"/>
      <c r="BA3935" s="466"/>
      <c r="BB3935" s="466"/>
      <c r="BC3935" s="466"/>
      <c r="BD3935" s="466"/>
      <c r="BE3935" s="467"/>
      <c r="BF3935" s="467"/>
      <c r="BG3935" s="466"/>
      <c r="BH3935" s="466"/>
      <c r="BI3935" s="467"/>
      <c r="BJ3935" s="467"/>
      <c r="BK3935" s="467"/>
      <c r="BL3935" s="467"/>
      <c r="BM3935" s="467"/>
      <c r="BN3935" s="467"/>
      <c r="BO3935" s="467"/>
      <c r="BP3935" s="467"/>
      <c r="BQ3935" s="467"/>
      <c r="BR3935" s="467"/>
      <c r="BS3935" s="467"/>
      <c r="BT3935" s="467"/>
      <c r="BU3935" s="467"/>
      <c r="BV3935" s="467"/>
      <c r="BW3935" s="467"/>
      <c r="BX3935" s="769"/>
      <c r="BY3935" s="769"/>
      <c r="BZ3935" s="769"/>
      <c r="CA3935" s="769"/>
      <c r="CB3935" s="769"/>
      <c r="CC3935" s="769"/>
      <c r="CD3935" s="769"/>
      <c r="CE3935" s="769"/>
      <c r="CF3935" s="769"/>
      <c r="CG3935" s="73"/>
      <c r="CH3935" s="438"/>
      <c r="CI3935" s="416"/>
      <c r="CJ3935" s="73"/>
      <c r="CK3935" s="650"/>
      <c r="CL3935" s="499"/>
      <c r="CM3935" s="650"/>
      <c r="CR3935" s="416"/>
      <c r="CS3935" s="650"/>
      <c r="CU3935" s="73"/>
      <c r="CV3935" s="73"/>
      <c r="CW3935" s="73"/>
      <c r="CX3935" s="73"/>
      <c r="DA3935" s="650"/>
    </row>
    <row r="3936" spans="1:105" s="45" customFormat="1" x14ac:dyDescent="0.2">
      <c r="A3936" s="650"/>
      <c r="B3936" s="438"/>
      <c r="D3936" s="73"/>
      <c r="E3936" s="650"/>
      <c r="F3936" s="650"/>
      <c r="G3936" s="73"/>
      <c r="I3936" s="111"/>
      <c r="J3936" s="81"/>
      <c r="K3936" s="81"/>
      <c r="L3936" s="499"/>
      <c r="M3936" s="73"/>
      <c r="N3936" s="499"/>
      <c r="O3936" s="73"/>
      <c r="P3936" s="73"/>
      <c r="Q3936" s="73"/>
      <c r="R3936" s="176"/>
      <c r="S3936" s="176"/>
      <c r="T3936" s="176"/>
      <c r="U3936" s="400"/>
      <c r="V3936" s="400"/>
      <c r="W3936" s="732"/>
      <c r="X3936" s="167"/>
      <c r="Y3936" s="509"/>
      <c r="Z3936" s="466"/>
      <c r="AA3936" s="466"/>
      <c r="AB3936" s="466"/>
      <c r="AC3936" s="466"/>
      <c r="AD3936" s="466"/>
      <c r="AE3936" s="466"/>
      <c r="AF3936" s="466"/>
      <c r="AG3936" s="466"/>
      <c r="AH3936" s="466"/>
      <c r="AI3936" s="466"/>
      <c r="AJ3936" s="466"/>
      <c r="AK3936" s="466"/>
      <c r="AL3936" s="466"/>
      <c r="AM3936" s="466"/>
      <c r="AN3936" s="466"/>
      <c r="AO3936" s="466"/>
      <c r="AP3936" s="466"/>
      <c r="AQ3936" s="466"/>
      <c r="AR3936" s="466"/>
      <c r="AS3936" s="466"/>
      <c r="AT3936" s="466"/>
      <c r="AU3936" s="466"/>
      <c r="AV3936" s="466"/>
      <c r="AW3936" s="466"/>
      <c r="AX3936" s="466"/>
      <c r="AY3936" s="466"/>
      <c r="AZ3936" s="466"/>
      <c r="BA3936" s="466"/>
      <c r="BB3936" s="466"/>
      <c r="BC3936" s="466"/>
      <c r="BD3936" s="466"/>
      <c r="BE3936" s="467"/>
      <c r="BF3936" s="467"/>
      <c r="BG3936" s="466"/>
      <c r="BH3936" s="466"/>
      <c r="BI3936" s="467"/>
      <c r="BJ3936" s="467"/>
      <c r="BK3936" s="467"/>
      <c r="BL3936" s="467"/>
      <c r="BM3936" s="467"/>
      <c r="BN3936" s="467"/>
      <c r="BO3936" s="467"/>
      <c r="BP3936" s="467"/>
      <c r="BQ3936" s="467"/>
      <c r="BR3936" s="467"/>
      <c r="BS3936" s="467"/>
      <c r="BT3936" s="467"/>
      <c r="BU3936" s="467"/>
      <c r="BV3936" s="467"/>
      <c r="BW3936" s="467"/>
      <c r="BX3936" s="769"/>
      <c r="BY3936" s="769"/>
      <c r="BZ3936" s="769"/>
      <c r="CA3936" s="769"/>
      <c r="CB3936" s="769"/>
      <c r="CC3936" s="769"/>
      <c r="CD3936" s="769"/>
      <c r="CE3936" s="769"/>
      <c r="CF3936" s="769"/>
      <c r="CG3936" s="73"/>
      <c r="CH3936" s="438"/>
      <c r="CI3936" s="416"/>
      <c r="CJ3936" s="73"/>
      <c r="CK3936" s="650"/>
      <c r="CL3936" s="499"/>
      <c r="CM3936" s="650"/>
      <c r="CR3936" s="416"/>
      <c r="CS3936" s="650"/>
      <c r="CU3936" s="73"/>
      <c r="CV3936" s="73"/>
      <c r="CW3936" s="73"/>
      <c r="CX3936" s="73"/>
      <c r="DA3936" s="650"/>
    </row>
    <row r="3937" spans="1:105" s="45" customFormat="1" x14ac:dyDescent="0.2">
      <c r="A3937" s="650"/>
      <c r="B3937" s="438"/>
      <c r="D3937" s="73"/>
      <c r="E3937" s="650"/>
      <c r="F3937" s="650"/>
      <c r="G3937" s="73"/>
      <c r="I3937" s="111"/>
      <c r="J3937" s="81"/>
      <c r="K3937" s="81"/>
      <c r="L3937" s="499"/>
      <c r="M3937" s="73"/>
      <c r="N3937" s="499"/>
      <c r="O3937" s="73"/>
      <c r="P3937" s="73"/>
      <c r="Q3937" s="73"/>
      <c r="R3937" s="176"/>
      <c r="S3937" s="176"/>
      <c r="T3937" s="176"/>
      <c r="U3937" s="400"/>
      <c r="V3937" s="400"/>
      <c r="W3937" s="732"/>
      <c r="X3937" s="167"/>
      <c r="Y3937" s="509"/>
      <c r="Z3937" s="466"/>
      <c r="AA3937" s="466"/>
      <c r="AB3937" s="466"/>
      <c r="AC3937" s="466"/>
      <c r="AD3937" s="466"/>
      <c r="AE3937" s="466"/>
      <c r="AF3937" s="466"/>
      <c r="AG3937" s="466"/>
      <c r="AH3937" s="466"/>
      <c r="AI3937" s="466"/>
      <c r="AJ3937" s="466"/>
      <c r="AK3937" s="466"/>
      <c r="AL3937" s="466"/>
      <c r="AM3937" s="466"/>
      <c r="AN3937" s="466"/>
      <c r="AO3937" s="466"/>
      <c r="AP3937" s="466"/>
      <c r="AQ3937" s="466"/>
      <c r="AR3937" s="466"/>
      <c r="AS3937" s="466"/>
      <c r="AT3937" s="466"/>
      <c r="AU3937" s="466"/>
      <c r="AV3937" s="466"/>
      <c r="AW3937" s="466"/>
      <c r="AX3937" s="466"/>
      <c r="AY3937" s="466"/>
      <c r="AZ3937" s="466"/>
      <c r="BA3937" s="466"/>
      <c r="BB3937" s="466"/>
      <c r="BC3937" s="466"/>
      <c r="BD3937" s="466"/>
      <c r="BE3937" s="467"/>
      <c r="BF3937" s="467"/>
      <c r="BG3937" s="466"/>
      <c r="BH3937" s="466"/>
      <c r="BI3937" s="467"/>
      <c r="BJ3937" s="467"/>
      <c r="BK3937" s="467"/>
      <c r="BL3937" s="467"/>
      <c r="BM3937" s="467"/>
      <c r="BN3937" s="467"/>
      <c r="BO3937" s="467"/>
      <c r="BP3937" s="467"/>
      <c r="BQ3937" s="467"/>
      <c r="BR3937" s="467"/>
      <c r="BS3937" s="467"/>
      <c r="BT3937" s="467"/>
      <c r="BU3937" s="467"/>
      <c r="BV3937" s="467"/>
      <c r="BW3937" s="467"/>
      <c r="BX3937" s="769"/>
      <c r="BY3937" s="769"/>
      <c r="BZ3937" s="769"/>
      <c r="CA3937" s="769"/>
      <c r="CB3937" s="769"/>
      <c r="CC3937" s="769"/>
      <c r="CD3937" s="769"/>
      <c r="CE3937" s="769"/>
      <c r="CF3937" s="769"/>
      <c r="CG3937" s="73"/>
      <c r="CH3937" s="438"/>
      <c r="CI3937" s="416"/>
      <c r="CJ3937" s="73"/>
      <c r="CK3937" s="650"/>
      <c r="CL3937" s="499"/>
      <c r="CM3937" s="650"/>
      <c r="CR3937" s="416"/>
      <c r="CS3937" s="650"/>
      <c r="CU3937" s="73"/>
      <c r="CV3937" s="73"/>
      <c r="CW3937" s="73"/>
      <c r="CX3937" s="73"/>
      <c r="DA3937" s="650"/>
    </row>
    <row r="3938" spans="1:105" s="45" customFormat="1" x14ac:dyDescent="0.2">
      <c r="A3938" s="650"/>
      <c r="B3938" s="438"/>
      <c r="D3938" s="73"/>
      <c r="E3938" s="650"/>
      <c r="F3938" s="650"/>
      <c r="G3938" s="73"/>
      <c r="I3938" s="111"/>
      <c r="J3938" s="81"/>
      <c r="K3938" s="81"/>
      <c r="L3938" s="499"/>
      <c r="M3938" s="73"/>
      <c r="N3938" s="499"/>
      <c r="O3938" s="73"/>
      <c r="P3938" s="73"/>
      <c r="Q3938" s="73"/>
      <c r="R3938" s="176"/>
      <c r="S3938" s="176"/>
      <c r="T3938" s="176"/>
      <c r="U3938" s="400"/>
      <c r="V3938" s="400"/>
      <c r="W3938" s="732"/>
      <c r="X3938" s="167"/>
      <c r="Y3938" s="509"/>
      <c r="Z3938" s="466"/>
      <c r="AA3938" s="466"/>
      <c r="AB3938" s="466"/>
      <c r="AC3938" s="466"/>
      <c r="AD3938" s="466"/>
      <c r="AE3938" s="466"/>
      <c r="AF3938" s="466"/>
      <c r="AG3938" s="466"/>
      <c r="AH3938" s="466"/>
      <c r="AI3938" s="466"/>
      <c r="AJ3938" s="466"/>
      <c r="AK3938" s="466"/>
      <c r="AL3938" s="466"/>
      <c r="AM3938" s="466"/>
      <c r="AN3938" s="466"/>
      <c r="AO3938" s="466"/>
      <c r="AP3938" s="466"/>
      <c r="AQ3938" s="466"/>
      <c r="AR3938" s="466"/>
      <c r="AS3938" s="466"/>
      <c r="AT3938" s="466"/>
      <c r="AU3938" s="466"/>
      <c r="AV3938" s="466"/>
      <c r="AW3938" s="466"/>
      <c r="AX3938" s="466"/>
      <c r="AY3938" s="466"/>
      <c r="AZ3938" s="466"/>
      <c r="BA3938" s="466"/>
      <c r="BB3938" s="466"/>
      <c r="BC3938" s="466"/>
      <c r="BD3938" s="466"/>
      <c r="BE3938" s="467"/>
      <c r="BF3938" s="467"/>
      <c r="BG3938" s="466"/>
      <c r="BH3938" s="466"/>
      <c r="BI3938" s="467"/>
      <c r="BJ3938" s="467"/>
      <c r="BK3938" s="467"/>
      <c r="BL3938" s="467"/>
      <c r="BM3938" s="467"/>
      <c r="BN3938" s="467"/>
      <c r="BO3938" s="467"/>
      <c r="BP3938" s="467"/>
      <c r="BQ3938" s="467"/>
      <c r="BR3938" s="467"/>
      <c r="BS3938" s="467"/>
      <c r="BT3938" s="467"/>
      <c r="BU3938" s="467"/>
      <c r="BV3938" s="467"/>
      <c r="BW3938" s="467"/>
      <c r="BX3938" s="769"/>
      <c r="BY3938" s="769"/>
      <c r="BZ3938" s="769"/>
      <c r="CA3938" s="769"/>
      <c r="CB3938" s="769"/>
      <c r="CC3938" s="769"/>
      <c r="CD3938" s="769"/>
      <c r="CE3938" s="769"/>
      <c r="CF3938" s="769"/>
      <c r="CG3938" s="73"/>
      <c r="CH3938" s="438"/>
      <c r="CI3938" s="416"/>
      <c r="CJ3938" s="73"/>
      <c r="CK3938" s="650"/>
      <c r="CL3938" s="499"/>
      <c r="CM3938" s="650"/>
      <c r="CR3938" s="416"/>
      <c r="CS3938" s="650"/>
      <c r="CU3938" s="73"/>
      <c r="CV3938" s="73"/>
      <c r="CW3938" s="73"/>
      <c r="CX3938" s="73"/>
      <c r="DA3938" s="650"/>
    </row>
    <row r="3939" spans="1:105" s="45" customFormat="1" x14ac:dyDescent="0.2">
      <c r="A3939" s="650"/>
      <c r="B3939" s="438"/>
      <c r="D3939" s="73"/>
      <c r="E3939" s="650"/>
      <c r="F3939" s="650"/>
      <c r="G3939" s="73"/>
      <c r="I3939" s="111"/>
      <c r="J3939" s="81"/>
      <c r="K3939" s="81"/>
      <c r="L3939" s="499"/>
      <c r="M3939" s="73"/>
      <c r="N3939" s="499"/>
      <c r="O3939" s="73"/>
      <c r="P3939" s="73"/>
      <c r="Q3939" s="73"/>
      <c r="R3939" s="176"/>
      <c r="S3939" s="176"/>
      <c r="T3939" s="176"/>
      <c r="U3939" s="400"/>
      <c r="V3939" s="400"/>
      <c r="W3939" s="732"/>
      <c r="X3939" s="167"/>
      <c r="Y3939" s="509"/>
      <c r="Z3939" s="466"/>
      <c r="AA3939" s="466"/>
      <c r="AB3939" s="466"/>
      <c r="AC3939" s="466"/>
      <c r="AD3939" s="466"/>
      <c r="AE3939" s="466"/>
      <c r="AF3939" s="466"/>
      <c r="AG3939" s="466"/>
      <c r="AH3939" s="466"/>
      <c r="AI3939" s="466"/>
      <c r="AJ3939" s="466"/>
      <c r="AK3939" s="466"/>
      <c r="AL3939" s="466"/>
      <c r="AM3939" s="466"/>
      <c r="AN3939" s="466"/>
      <c r="AO3939" s="466"/>
      <c r="AP3939" s="466"/>
      <c r="AQ3939" s="466"/>
      <c r="AR3939" s="466"/>
      <c r="AS3939" s="466"/>
      <c r="AT3939" s="466"/>
      <c r="AU3939" s="466"/>
      <c r="AV3939" s="466"/>
      <c r="AW3939" s="466"/>
      <c r="AX3939" s="466"/>
      <c r="AY3939" s="466"/>
      <c r="AZ3939" s="466"/>
      <c r="BA3939" s="466"/>
      <c r="BB3939" s="466"/>
      <c r="BC3939" s="466"/>
      <c r="BD3939" s="466"/>
      <c r="BE3939" s="467"/>
      <c r="BF3939" s="467"/>
      <c r="BG3939" s="466"/>
      <c r="BH3939" s="466"/>
      <c r="BI3939" s="467"/>
      <c r="BJ3939" s="467"/>
      <c r="BK3939" s="467"/>
      <c r="BL3939" s="467"/>
      <c r="BM3939" s="467"/>
      <c r="BN3939" s="467"/>
      <c r="BO3939" s="467"/>
      <c r="BP3939" s="467"/>
      <c r="BQ3939" s="467"/>
      <c r="BR3939" s="467"/>
      <c r="BS3939" s="467"/>
      <c r="BT3939" s="467"/>
      <c r="BU3939" s="467"/>
      <c r="BV3939" s="467"/>
      <c r="BW3939" s="467"/>
      <c r="BX3939" s="769"/>
      <c r="BY3939" s="769"/>
      <c r="BZ3939" s="769"/>
      <c r="CA3939" s="769"/>
      <c r="CB3939" s="769"/>
      <c r="CC3939" s="769"/>
      <c r="CD3939" s="769"/>
      <c r="CE3939" s="769"/>
      <c r="CF3939" s="769"/>
      <c r="CG3939" s="73"/>
      <c r="CH3939" s="438"/>
      <c r="CI3939" s="416"/>
      <c r="CJ3939" s="73"/>
      <c r="CK3939" s="650"/>
      <c r="CL3939" s="499"/>
      <c r="CM3939" s="650"/>
      <c r="CR3939" s="416"/>
      <c r="CS3939" s="650"/>
      <c r="CU3939" s="73"/>
      <c r="CV3939" s="73"/>
      <c r="CW3939" s="73"/>
      <c r="CX3939" s="73"/>
      <c r="DA3939" s="650"/>
    </row>
    <row r="3940" spans="1:105" s="45" customFormat="1" x14ac:dyDescent="0.2">
      <c r="A3940" s="650"/>
      <c r="B3940" s="438"/>
      <c r="D3940" s="73"/>
      <c r="E3940" s="650"/>
      <c r="F3940" s="650"/>
      <c r="G3940" s="73"/>
      <c r="I3940" s="111"/>
      <c r="J3940" s="81"/>
      <c r="K3940" s="81"/>
      <c r="L3940" s="499"/>
      <c r="M3940" s="73"/>
      <c r="N3940" s="499"/>
      <c r="O3940" s="73"/>
      <c r="P3940" s="73"/>
      <c r="Q3940" s="73"/>
      <c r="R3940" s="176"/>
      <c r="S3940" s="176"/>
      <c r="T3940" s="176"/>
      <c r="U3940" s="400"/>
      <c r="V3940" s="400"/>
      <c r="W3940" s="732"/>
      <c r="X3940" s="167"/>
      <c r="Y3940" s="509"/>
      <c r="Z3940" s="466"/>
      <c r="AA3940" s="466"/>
      <c r="AB3940" s="466"/>
      <c r="AC3940" s="466"/>
      <c r="AD3940" s="466"/>
      <c r="AE3940" s="466"/>
      <c r="AF3940" s="466"/>
      <c r="AG3940" s="466"/>
      <c r="AH3940" s="466"/>
      <c r="AI3940" s="466"/>
      <c r="AJ3940" s="466"/>
      <c r="AK3940" s="466"/>
      <c r="AL3940" s="466"/>
      <c r="AM3940" s="466"/>
      <c r="AN3940" s="466"/>
      <c r="AO3940" s="466"/>
      <c r="AP3940" s="466"/>
      <c r="AQ3940" s="466"/>
      <c r="AR3940" s="466"/>
      <c r="AS3940" s="466"/>
      <c r="AT3940" s="466"/>
      <c r="AU3940" s="466"/>
      <c r="AV3940" s="466"/>
      <c r="AW3940" s="466"/>
      <c r="AX3940" s="466"/>
      <c r="AY3940" s="466"/>
      <c r="AZ3940" s="466"/>
      <c r="BA3940" s="466"/>
      <c r="BB3940" s="466"/>
      <c r="BC3940" s="466"/>
      <c r="BD3940" s="466"/>
      <c r="BE3940" s="467"/>
      <c r="BF3940" s="467"/>
      <c r="BG3940" s="466"/>
      <c r="BH3940" s="466"/>
      <c r="BI3940" s="467"/>
      <c r="BJ3940" s="467"/>
      <c r="BK3940" s="467"/>
      <c r="BL3940" s="467"/>
      <c r="BM3940" s="467"/>
      <c r="BN3940" s="467"/>
      <c r="BO3940" s="467"/>
      <c r="BP3940" s="467"/>
      <c r="BQ3940" s="467"/>
      <c r="BR3940" s="467"/>
      <c r="BS3940" s="467"/>
      <c r="BT3940" s="467"/>
      <c r="BU3940" s="467"/>
      <c r="BV3940" s="467"/>
      <c r="BW3940" s="467"/>
      <c r="BX3940" s="769"/>
      <c r="BY3940" s="769"/>
      <c r="BZ3940" s="769"/>
      <c r="CA3940" s="769"/>
      <c r="CB3940" s="769"/>
      <c r="CC3940" s="769"/>
      <c r="CD3940" s="769"/>
      <c r="CE3940" s="769"/>
      <c r="CF3940" s="769"/>
      <c r="CG3940" s="73"/>
      <c r="CH3940" s="438"/>
      <c r="CI3940" s="416"/>
      <c r="CJ3940" s="73"/>
      <c r="CK3940" s="650"/>
      <c r="CL3940" s="499"/>
      <c r="CM3940" s="650"/>
      <c r="CR3940" s="416"/>
      <c r="CS3940" s="650"/>
      <c r="CU3940" s="73"/>
      <c r="CV3940" s="73"/>
      <c r="CW3940" s="73"/>
      <c r="CX3940" s="73"/>
      <c r="DA3940" s="650"/>
    </row>
    <row r="3941" spans="1:105" s="45" customFormat="1" x14ac:dyDescent="0.2">
      <c r="A3941" s="650"/>
      <c r="B3941" s="438"/>
      <c r="D3941" s="73"/>
      <c r="E3941" s="650"/>
      <c r="F3941" s="650"/>
      <c r="G3941" s="73"/>
      <c r="I3941" s="111"/>
      <c r="J3941" s="81"/>
      <c r="K3941" s="81"/>
      <c r="L3941" s="499"/>
      <c r="M3941" s="73"/>
      <c r="N3941" s="499"/>
      <c r="O3941" s="73"/>
      <c r="P3941" s="73"/>
      <c r="Q3941" s="73"/>
      <c r="R3941" s="176"/>
      <c r="S3941" s="176"/>
      <c r="T3941" s="176"/>
      <c r="U3941" s="400"/>
      <c r="V3941" s="400"/>
      <c r="W3941" s="732"/>
      <c r="X3941" s="167"/>
      <c r="Y3941" s="509"/>
      <c r="Z3941" s="466"/>
      <c r="AA3941" s="466"/>
      <c r="AB3941" s="466"/>
      <c r="AC3941" s="466"/>
      <c r="AD3941" s="466"/>
      <c r="AE3941" s="466"/>
      <c r="AF3941" s="466"/>
      <c r="AG3941" s="466"/>
      <c r="AH3941" s="466"/>
      <c r="AI3941" s="466"/>
      <c r="AJ3941" s="466"/>
      <c r="AK3941" s="466"/>
      <c r="AL3941" s="466"/>
      <c r="AM3941" s="466"/>
      <c r="AN3941" s="466"/>
      <c r="AO3941" s="466"/>
      <c r="AP3941" s="466"/>
      <c r="AQ3941" s="466"/>
      <c r="AR3941" s="466"/>
      <c r="AS3941" s="466"/>
      <c r="AT3941" s="466"/>
      <c r="AU3941" s="466"/>
      <c r="AV3941" s="466"/>
      <c r="AW3941" s="466"/>
      <c r="AX3941" s="466"/>
      <c r="AY3941" s="466"/>
      <c r="AZ3941" s="466"/>
      <c r="BA3941" s="466"/>
      <c r="BB3941" s="466"/>
      <c r="BC3941" s="466"/>
      <c r="BD3941" s="466"/>
      <c r="BE3941" s="467"/>
      <c r="BF3941" s="467"/>
      <c r="BG3941" s="466"/>
      <c r="BH3941" s="466"/>
      <c r="BI3941" s="467"/>
      <c r="BJ3941" s="467"/>
      <c r="BK3941" s="467"/>
      <c r="BL3941" s="467"/>
      <c r="BM3941" s="467"/>
      <c r="BN3941" s="467"/>
      <c r="BO3941" s="467"/>
      <c r="BP3941" s="467"/>
      <c r="BQ3941" s="467"/>
      <c r="BR3941" s="467"/>
      <c r="BS3941" s="467"/>
      <c r="BT3941" s="467"/>
      <c r="BU3941" s="467"/>
      <c r="BV3941" s="467"/>
      <c r="BW3941" s="467"/>
      <c r="BX3941" s="769"/>
      <c r="BY3941" s="769"/>
      <c r="BZ3941" s="769"/>
      <c r="CA3941" s="769"/>
      <c r="CB3941" s="769"/>
      <c r="CC3941" s="769"/>
      <c r="CD3941" s="769"/>
      <c r="CE3941" s="769"/>
      <c r="CF3941" s="769"/>
      <c r="CG3941" s="73"/>
      <c r="CH3941" s="438"/>
      <c r="CI3941" s="416"/>
      <c r="CJ3941" s="73"/>
      <c r="CK3941" s="650"/>
      <c r="CL3941" s="499"/>
      <c r="CM3941" s="650"/>
      <c r="CR3941" s="416"/>
      <c r="CS3941" s="650"/>
      <c r="CU3941" s="73"/>
      <c r="CV3941" s="73"/>
      <c r="CW3941" s="73"/>
      <c r="CX3941" s="73"/>
      <c r="DA3941" s="650"/>
    </row>
    <row r="3942" spans="1:105" s="45" customFormat="1" x14ac:dyDescent="0.2">
      <c r="A3942" s="650"/>
      <c r="B3942" s="438"/>
      <c r="D3942" s="73"/>
      <c r="E3942" s="650"/>
      <c r="F3942" s="650"/>
      <c r="G3942" s="73"/>
      <c r="I3942" s="111"/>
      <c r="J3942" s="81"/>
      <c r="K3942" s="81"/>
      <c r="L3942" s="499"/>
      <c r="M3942" s="73"/>
      <c r="N3942" s="499"/>
      <c r="O3942" s="73"/>
      <c r="P3942" s="73"/>
      <c r="Q3942" s="73"/>
      <c r="R3942" s="176"/>
      <c r="S3942" s="176"/>
      <c r="T3942" s="176"/>
      <c r="U3942" s="400"/>
      <c r="V3942" s="400"/>
      <c r="W3942" s="732"/>
      <c r="X3942" s="167"/>
      <c r="Y3942" s="509"/>
      <c r="Z3942" s="466"/>
      <c r="AA3942" s="466"/>
      <c r="AB3942" s="466"/>
      <c r="AC3942" s="466"/>
      <c r="AD3942" s="466"/>
      <c r="AE3942" s="466"/>
      <c r="AF3942" s="466"/>
      <c r="AG3942" s="466"/>
      <c r="AH3942" s="466"/>
      <c r="AI3942" s="466"/>
      <c r="AJ3942" s="466"/>
      <c r="AK3942" s="466"/>
      <c r="AL3942" s="466"/>
      <c r="AM3942" s="466"/>
      <c r="AN3942" s="466"/>
      <c r="AO3942" s="466"/>
      <c r="AP3942" s="466"/>
      <c r="AQ3942" s="466"/>
      <c r="AR3942" s="466"/>
      <c r="AS3942" s="466"/>
      <c r="AT3942" s="466"/>
      <c r="AU3942" s="466"/>
      <c r="AV3942" s="466"/>
      <c r="AW3942" s="466"/>
      <c r="AX3942" s="466"/>
      <c r="AY3942" s="466"/>
      <c r="AZ3942" s="466"/>
      <c r="BA3942" s="466"/>
      <c r="BB3942" s="466"/>
      <c r="BC3942" s="466"/>
      <c r="BD3942" s="466"/>
      <c r="BE3942" s="467"/>
      <c r="BF3942" s="467"/>
      <c r="BG3942" s="466"/>
      <c r="BH3942" s="466"/>
      <c r="BI3942" s="467"/>
      <c r="BJ3942" s="467"/>
      <c r="BK3942" s="467"/>
      <c r="BL3942" s="467"/>
      <c r="BM3942" s="467"/>
      <c r="BN3942" s="467"/>
      <c r="BO3942" s="467"/>
      <c r="BP3942" s="467"/>
      <c r="BQ3942" s="467"/>
      <c r="BR3942" s="467"/>
      <c r="BS3942" s="467"/>
      <c r="BT3942" s="467"/>
      <c r="BU3942" s="467"/>
      <c r="BV3942" s="467"/>
      <c r="BW3942" s="467"/>
      <c r="BX3942" s="769"/>
      <c r="BY3942" s="769"/>
      <c r="BZ3942" s="769"/>
      <c r="CA3942" s="769"/>
      <c r="CB3942" s="769"/>
      <c r="CC3942" s="769"/>
      <c r="CD3942" s="769"/>
      <c r="CE3942" s="769"/>
      <c r="CF3942" s="769"/>
      <c r="CG3942" s="73"/>
      <c r="CH3942" s="438"/>
      <c r="CI3942" s="416"/>
      <c r="CJ3942" s="73"/>
      <c r="CK3942" s="650"/>
      <c r="CL3942" s="499"/>
      <c r="CM3942" s="650"/>
      <c r="CR3942" s="416"/>
      <c r="CS3942" s="650"/>
      <c r="CU3942" s="73"/>
      <c r="CV3942" s="73"/>
      <c r="CW3942" s="73"/>
      <c r="CX3942" s="73"/>
      <c r="DA3942" s="650"/>
    </row>
    <row r="3943" spans="1:105" s="45" customFormat="1" x14ac:dyDescent="0.2">
      <c r="A3943" s="650"/>
      <c r="B3943" s="438"/>
      <c r="D3943" s="73"/>
      <c r="E3943" s="650"/>
      <c r="F3943" s="650"/>
      <c r="G3943" s="73"/>
      <c r="I3943" s="111"/>
      <c r="J3943" s="81"/>
      <c r="K3943" s="81"/>
      <c r="L3943" s="499"/>
      <c r="M3943" s="73"/>
      <c r="N3943" s="499"/>
      <c r="O3943" s="73"/>
      <c r="P3943" s="73"/>
      <c r="Q3943" s="73"/>
      <c r="R3943" s="176"/>
      <c r="S3943" s="176"/>
      <c r="T3943" s="176"/>
      <c r="U3943" s="400"/>
      <c r="V3943" s="400"/>
      <c r="W3943" s="732"/>
      <c r="X3943" s="167"/>
      <c r="Y3943" s="509"/>
      <c r="Z3943" s="466"/>
      <c r="AA3943" s="466"/>
      <c r="AB3943" s="466"/>
      <c r="AC3943" s="466"/>
      <c r="AD3943" s="466"/>
      <c r="AE3943" s="466"/>
      <c r="AF3943" s="466"/>
      <c r="AG3943" s="466"/>
      <c r="AH3943" s="466"/>
      <c r="AI3943" s="466"/>
      <c r="AJ3943" s="466"/>
      <c r="AK3943" s="466"/>
      <c r="AL3943" s="466"/>
      <c r="AM3943" s="466"/>
      <c r="AN3943" s="466"/>
      <c r="AO3943" s="466"/>
      <c r="AP3943" s="466"/>
      <c r="AQ3943" s="466"/>
      <c r="AR3943" s="466"/>
      <c r="AS3943" s="466"/>
      <c r="AT3943" s="466"/>
      <c r="AU3943" s="466"/>
      <c r="AV3943" s="466"/>
      <c r="AW3943" s="466"/>
      <c r="AX3943" s="466"/>
      <c r="AY3943" s="466"/>
      <c r="AZ3943" s="466"/>
      <c r="BA3943" s="466"/>
      <c r="BB3943" s="466"/>
      <c r="BC3943" s="466"/>
      <c r="BD3943" s="466"/>
      <c r="BE3943" s="467"/>
      <c r="BF3943" s="467"/>
      <c r="BG3943" s="466"/>
      <c r="BH3943" s="466"/>
      <c r="BI3943" s="467"/>
      <c r="BJ3943" s="467"/>
      <c r="BK3943" s="467"/>
      <c r="BL3943" s="467"/>
      <c r="BM3943" s="467"/>
      <c r="BN3943" s="467"/>
      <c r="BO3943" s="467"/>
      <c r="BP3943" s="467"/>
      <c r="BQ3943" s="467"/>
      <c r="BR3943" s="467"/>
      <c r="BS3943" s="467"/>
      <c r="BT3943" s="467"/>
      <c r="BU3943" s="467"/>
      <c r="BV3943" s="467"/>
      <c r="BW3943" s="467"/>
      <c r="BX3943" s="769"/>
      <c r="BY3943" s="769"/>
      <c r="BZ3943" s="769"/>
      <c r="CA3943" s="769"/>
      <c r="CB3943" s="769"/>
      <c r="CC3943" s="769"/>
      <c r="CD3943" s="769"/>
      <c r="CE3943" s="769"/>
      <c r="CF3943" s="769"/>
      <c r="CG3943" s="73"/>
      <c r="CH3943" s="438"/>
      <c r="CI3943" s="416"/>
      <c r="CJ3943" s="73"/>
      <c r="CK3943" s="650"/>
      <c r="CL3943" s="499"/>
      <c r="CM3943" s="650"/>
      <c r="CR3943" s="416"/>
      <c r="CS3943" s="650"/>
      <c r="CU3943" s="73"/>
      <c r="CV3943" s="73"/>
      <c r="CW3943" s="73"/>
      <c r="CX3943" s="73"/>
      <c r="DA3943" s="650"/>
    </row>
    <row r="3944" spans="1:105" s="45" customFormat="1" x14ac:dyDescent="0.2">
      <c r="A3944" s="650"/>
      <c r="B3944" s="438"/>
      <c r="D3944" s="73"/>
      <c r="E3944" s="650"/>
      <c r="F3944" s="650"/>
      <c r="G3944" s="73"/>
      <c r="I3944" s="111"/>
      <c r="J3944" s="81"/>
      <c r="K3944" s="81"/>
      <c r="L3944" s="499"/>
      <c r="M3944" s="73"/>
      <c r="N3944" s="499"/>
      <c r="O3944" s="73"/>
      <c r="P3944" s="73"/>
      <c r="Q3944" s="73"/>
      <c r="R3944" s="176"/>
      <c r="S3944" s="176"/>
      <c r="T3944" s="176"/>
      <c r="U3944" s="400"/>
      <c r="V3944" s="400"/>
      <c r="W3944" s="732"/>
      <c r="X3944" s="167"/>
      <c r="Y3944" s="509"/>
      <c r="Z3944" s="466"/>
      <c r="AA3944" s="466"/>
      <c r="AB3944" s="466"/>
      <c r="AC3944" s="466"/>
      <c r="AD3944" s="466"/>
      <c r="AE3944" s="466"/>
      <c r="AF3944" s="466"/>
      <c r="AG3944" s="466"/>
      <c r="AH3944" s="466"/>
      <c r="AI3944" s="466"/>
      <c r="AJ3944" s="466"/>
      <c r="AK3944" s="466"/>
      <c r="AL3944" s="466"/>
      <c r="AM3944" s="466"/>
      <c r="AN3944" s="466"/>
      <c r="AO3944" s="466"/>
      <c r="AP3944" s="466"/>
      <c r="AQ3944" s="466"/>
      <c r="AR3944" s="466"/>
      <c r="AS3944" s="466"/>
      <c r="AT3944" s="466"/>
      <c r="AU3944" s="466"/>
      <c r="AV3944" s="466"/>
      <c r="AW3944" s="466"/>
      <c r="AX3944" s="466"/>
      <c r="AY3944" s="466"/>
      <c r="AZ3944" s="466"/>
      <c r="BA3944" s="466"/>
      <c r="BB3944" s="466"/>
      <c r="BC3944" s="466"/>
      <c r="BD3944" s="466"/>
      <c r="BE3944" s="467"/>
      <c r="BF3944" s="467"/>
      <c r="BG3944" s="466"/>
      <c r="BH3944" s="466"/>
      <c r="BI3944" s="467"/>
      <c r="BJ3944" s="467"/>
      <c r="BK3944" s="467"/>
      <c r="BL3944" s="467"/>
      <c r="BM3944" s="467"/>
      <c r="BN3944" s="467"/>
      <c r="BO3944" s="467"/>
      <c r="BP3944" s="467"/>
      <c r="BQ3944" s="467"/>
      <c r="BR3944" s="467"/>
      <c r="BS3944" s="467"/>
      <c r="BT3944" s="467"/>
      <c r="BU3944" s="467"/>
      <c r="BV3944" s="467"/>
      <c r="BW3944" s="467"/>
      <c r="BX3944" s="769"/>
      <c r="BY3944" s="769"/>
      <c r="BZ3944" s="769"/>
      <c r="CA3944" s="769"/>
      <c r="CB3944" s="769"/>
      <c r="CC3944" s="769"/>
      <c r="CD3944" s="769"/>
      <c r="CE3944" s="769"/>
      <c r="CF3944" s="769"/>
      <c r="CG3944" s="73"/>
      <c r="CH3944" s="438"/>
      <c r="CI3944" s="416"/>
      <c r="CJ3944" s="73"/>
      <c r="CK3944" s="650"/>
      <c r="CL3944" s="499"/>
      <c r="CM3944" s="650"/>
      <c r="CR3944" s="416"/>
      <c r="CS3944" s="650"/>
      <c r="CU3944" s="73"/>
      <c r="CV3944" s="73"/>
      <c r="CW3944" s="73"/>
      <c r="CX3944" s="73"/>
      <c r="DA3944" s="650"/>
    </row>
    <row r="3945" spans="1:105" s="45" customFormat="1" x14ac:dyDescent="0.2">
      <c r="A3945" s="650"/>
      <c r="B3945" s="438"/>
      <c r="D3945" s="73"/>
      <c r="E3945" s="650"/>
      <c r="F3945" s="650"/>
      <c r="G3945" s="73"/>
      <c r="I3945" s="111"/>
      <c r="J3945" s="81"/>
      <c r="K3945" s="81"/>
      <c r="L3945" s="499"/>
      <c r="M3945" s="73"/>
      <c r="N3945" s="499"/>
      <c r="O3945" s="73"/>
      <c r="P3945" s="73"/>
      <c r="Q3945" s="73"/>
      <c r="R3945" s="176"/>
      <c r="S3945" s="176"/>
      <c r="T3945" s="176"/>
      <c r="U3945" s="400"/>
      <c r="V3945" s="400"/>
      <c r="W3945" s="732"/>
      <c r="X3945" s="167"/>
      <c r="Y3945" s="509"/>
      <c r="Z3945" s="466"/>
      <c r="AA3945" s="466"/>
      <c r="AB3945" s="466"/>
      <c r="AC3945" s="466"/>
      <c r="AD3945" s="466"/>
      <c r="AE3945" s="466"/>
      <c r="AF3945" s="466"/>
      <c r="AG3945" s="466"/>
      <c r="AH3945" s="466"/>
      <c r="AI3945" s="466"/>
      <c r="AJ3945" s="466"/>
      <c r="AK3945" s="466"/>
      <c r="AL3945" s="466"/>
      <c r="AM3945" s="466"/>
      <c r="AN3945" s="466"/>
      <c r="AO3945" s="466"/>
      <c r="AP3945" s="466"/>
      <c r="AQ3945" s="466"/>
      <c r="AR3945" s="466"/>
      <c r="AS3945" s="466"/>
      <c r="AT3945" s="466"/>
      <c r="AU3945" s="466"/>
      <c r="AV3945" s="466"/>
      <c r="AW3945" s="466"/>
      <c r="AX3945" s="466"/>
      <c r="AY3945" s="466"/>
      <c r="AZ3945" s="466"/>
      <c r="BA3945" s="466"/>
      <c r="BB3945" s="466"/>
      <c r="BC3945" s="466"/>
      <c r="BD3945" s="466"/>
      <c r="BE3945" s="467"/>
      <c r="BF3945" s="467"/>
      <c r="BG3945" s="466"/>
      <c r="BH3945" s="466"/>
      <c r="BI3945" s="467"/>
      <c r="BJ3945" s="467"/>
      <c r="BK3945" s="467"/>
      <c r="BL3945" s="467"/>
      <c r="BM3945" s="467"/>
      <c r="BN3945" s="467"/>
      <c r="BO3945" s="467"/>
      <c r="BP3945" s="467"/>
      <c r="BQ3945" s="467"/>
      <c r="BR3945" s="467"/>
      <c r="BS3945" s="467"/>
      <c r="BT3945" s="467"/>
      <c r="BU3945" s="467"/>
      <c r="BV3945" s="467"/>
      <c r="BW3945" s="467"/>
      <c r="BX3945" s="769"/>
      <c r="BY3945" s="769"/>
      <c r="BZ3945" s="769"/>
      <c r="CA3945" s="769"/>
      <c r="CB3945" s="769"/>
      <c r="CC3945" s="769"/>
      <c r="CD3945" s="769"/>
      <c r="CE3945" s="769"/>
      <c r="CF3945" s="769"/>
      <c r="CG3945" s="73"/>
      <c r="CH3945" s="438"/>
      <c r="CI3945" s="416"/>
      <c r="CJ3945" s="73"/>
      <c r="CK3945" s="650"/>
      <c r="CL3945" s="499"/>
      <c r="CM3945" s="650"/>
      <c r="CR3945" s="416"/>
      <c r="CS3945" s="650"/>
      <c r="CU3945" s="73"/>
      <c r="CV3945" s="73"/>
      <c r="CW3945" s="73"/>
      <c r="CX3945" s="73"/>
      <c r="DA3945" s="650"/>
    </row>
    <row r="3946" spans="1:105" s="45" customFormat="1" x14ac:dyDescent="0.2">
      <c r="A3946" s="650"/>
      <c r="B3946" s="438"/>
      <c r="D3946" s="73"/>
      <c r="E3946" s="650"/>
      <c r="F3946" s="650"/>
      <c r="G3946" s="73"/>
      <c r="I3946" s="111"/>
      <c r="J3946" s="81"/>
      <c r="K3946" s="81"/>
      <c r="L3946" s="499"/>
      <c r="M3946" s="73"/>
      <c r="N3946" s="499"/>
      <c r="O3946" s="73"/>
      <c r="P3946" s="73"/>
      <c r="Q3946" s="73"/>
      <c r="R3946" s="176"/>
      <c r="S3946" s="176"/>
      <c r="T3946" s="176"/>
      <c r="U3946" s="400"/>
      <c r="V3946" s="400"/>
      <c r="W3946" s="732"/>
      <c r="X3946" s="167"/>
      <c r="Y3946" s="509"/>
      <c r="Z3946" s="466"/>
      <c r="AA3946" s="466"/>
      <c r="AB3946" s="466"/>
      <c r="AC3946" s="466"/>
      <c r="AD3946" s="466"/>
      <c r="AE3946" s="466"/>
      <c r="AF3946" s="466"/>
      <c r="AG3946" s="466"/>
      <c r="AH3946" s="466"/>
      <c r="AI3946" s="466"/>
      <c r="AJ3946" s="466"/>
      <c r="AK3946" s="466"/>
      <c r="AL3946" s="466"/>
      <c r="AM3946" s="466"/>
      <c r="AN3946" s="466"/>
      <c r="AO3946" s="466"/>
      <c r="AP3946" s="466"/>
      <c r="AQ3946" s="466"/>
      <c r="AR3946" s="466"/>
      <c r="AS3946" s="466"/>
      <c r="AT3946" s="466"/>
      <c r="AU3946" s="466"/>
      <c r="AV3946" s="466"/>
      <c r="AW3946" s="466"/>
      <c r="AX3946" s="466"/>
      <c r="AY3946" s="466"/>
      <c r="AZ3946" s="466"/>
      <c r="BA3946" s="466"/>
      <c r="BB3946" s="466"/>
      <c r="BC3946" s="466"/>
      <c r="BD3946" s="466"/>
      <c r="BE3946" s="467"/>
      <c r="BF3946" s="467"/>
      <c r="BG3946" s="466"/>
      <c r="BH3946" s="466"/>
      <c r="BI3946" s="467"/>
      <c r="BJ3946" s="467"/>
      <c r="BK3946" s="467"/>
      <c r="BL3946" s="467"/>
      <c r="BM3946" s="467"/>
      <c r="BN3946" s="467"/>
      <c r="BO3946" s="467"/>
      <c r="BP3946" s="467"/>
      <c r="BQ3946" s="467"/>
      <c r="BR3946" s="467"/>
      <c r="BS3946" s="467"/>
      <c r="BT3946" s="467"/>
      <c r="BU3946" s="467"/>
      <c r="BV3946" s="467"/>
      <c r="BW3946" s="467"/>
      <c r="BX3946" s="769"/>
      <c r="BY3946" s="769"/>
      <c r="BZ3946" s="769"/>
      <c r="CA3946" s="769"/>
      <c r="CB3946" s="769"/>
      <c r="CC3946" s="769"/>
      <c r="CD3946" s="769"/>
      <c r="CE3946" s="769"/>
      <c r="CF3946" s="769"/>
      <c r="CG3946" s="73"/>
      <c r="CH3946" s="438"/>
      <c r="CI3946" s="416"/>
      <c r="CJ3946" s="73"/>
      <c r="CK3946" s="650"/>
      <c r="CL3946" s="499"/>
      <c r="CM3946" s="650"/>
      <c r="CR3946" s="416"/>
      <c r="CS3946" s="650"/>
      <c r="CU3946" s="73"/>
      <c r="CV3946" s="73"/>
      <c r="CW3946" s="73"/>
      <c r="CX3946" s="73"/>
      <c r="DA3946" s="650"/>
    </row>
    <row r="3947" spans="1:105" s="45" customFormat="1" x14ac:dyDescent="0.2">
      <c r="A3947" s="650"/>
      <c r="B3947" s="438"/>
      <c r="D3947" s="73"/>
      <c r="E3947" s="650"/>
      <c r="F3947" s="650"/>
      <c r="G3947" s="73"/>
      <c r="I3947" s="111"/>
      <c r="J3947" s="81"/>
      <c r="K3947" s="81"/>
      <c r="L3947" s="499"/>
      <c r="M3947" s="73"/>
      <c r="N3947" s="499"/>
      <c r="O3947" s="73"/>
      <c r="P3947" s="73"/>
      <c r="Q3947" s="73"/>
      <c r="R3947" s="176"/>
      <c r="S3947" s="176"/>
      <c r="T3947" s="176"/>
      <c r="U3947" s="400"/>
      <c r="V3947" s="400"/>
      <c r="W3947" s="732"/>
      <c r="X3947" s="167"/>
      <c r="Y3947" s="509"/>
      <c r="Z3947" s="466"/>
      <c r="AA3947" s="466"/>
      <c r="AB3947" s="466"/>
      <c r="AC3947" s="466"/>
      <c r="AD3947" s="466"/>
      <c r="AE3947" s="466"/>
      <c r="AF3947" s="466"/>
      <c r="AG3947" s="466"/>
      <c r="AH3947" s="466"/>
      <c r="AI3947" s="466"/>
      <c r="AJ3947" s="466"/>
      <c r="AK3947" s="466"/>
      <c r="AL3947" s="466"/>
      <c r="AM3947" s="466"/>
      <c r="AN3947" s="466"/>
      <c r="AO3947" s="466"/>
      <c r="AP3947" s="466"/>
      <c r="AQ3947" s="466"/>
      <c r="AR3947" s="466"/>
      <c r="AS3947" s="466"/>
      <c r="AT3947" s="466"/>
      <c r="AU3947" s="466"/>
      <c r="AV3947" s="466"/>
      <c r="AW3947" s="466"/>
      <c r="AX3947" s="466"/>
      <c r="AY3947" s="466"/>
      <c r="AZ3947" s="466"/>
      <c r="BA3947" s="466"/>
      <c r="BB3947" s="466"/>
      <c r="BC3947" s="466"/>
      <c r="BD3947" s="466"/>
      <c r="BE3947" s="467"/>
      <c r="BF3947" s="467"/>
      <c r="BG3947" s="466"/>
      <c r="BH3947" s="466"/>
      <c r="BI3947" s="467"/>
      <c r="BJ3947" s="467"/>
      <c r="BK3947" s="467"/>
      <c r="BL3947" s="467"/>
      <c r="BM3947" s="467"/>
      <c r="BN3947" s="467"/>
      <c r="BO3947" s="467"/>
      <c r="BP3947" s="467"/>
      <c r="BQ3947" s="467"/>
      <c r="BR3947" s="467"/>
      <c r="BS3947" s="467"/>
      <c r="BT3947" s="467"/>
      <c r="BU3947" s="467"/>
      <c r="BV3947" s="467"/>
      <c r="BW3947" s="467"/>
      <c r="BX3947" s="769"/>
      <c r="BY3947" s="769"/>
      <c r="BZ3947" s="769"/>
      <c r="CA3947" s="769"/>
      <c r="CB3947" s="769"/>
      <c r="CC3947" s="769"/>
      <c r="CD3947" s="769"/>
      <c r="CE3947" s="769"/>
      <c r="CF3947" s="769"/>
      <c r="CG3947" s="73"/>
      <c r="CH3947" s="438"/>
      <c r="CI3947" s="416"/>
      <c r="CJ3947" s="73"/>
      <c r="CK3947" s="650"/>
      <c r="CL3947" s="499"/>
      <c r="CM3947" s="650"/>
      <c r="CR3947" s="416"/>
      <c r="CS3947" s="650"/>
      <c r="CU3947" s="73"/>
      <c r="CV3947" s="73"/>
      <c r="CW3947" s="73"/>
      <c r="CX3947" s="73"/>
      <c r="DA3947" s="650"/>
    </row>
    <row r="3948" spans="1:105" s="45" customFormat="1" x14ac:dyDescent="0.2">
      <c r="A3948" s="650"/>
      <c r="B3948" s="438"/>
      <c r="D3948" s="73"/>
      <c r="E3948" s="650"/>
      <c r="F3948" s="650"/>
      <c r="G3948" s="73"/>
      <c r="I3948" s="111"/>
      <c r="J3948" s="81"/>
      <c r="K3948" s="81"/>
      <c r="L3948" s="499"/>
      <c r="M3948" s="73"/>
      <c r="N3948" s="499"/>
      <c r="O3948" s="73"/>
      <c r="P3948" s="73"/>
      <c r="Q3948" s="73"/>
      <c r="R3948" s="176"/>
      <c r="S3948" s="176"/>
      <c r="T3948" s="176"/>
      <c r="U3948" s="400"/>
      <c r="V3948" s="400"/>
      <c r="W3948" s="732"/>
      <c r="X3948" s="167"/>
      <c r="Y3948" s="509"/>
      <c r="Z3948" s="466"/>
      <c r="AA3948" s="466"/>
      <c r="AB3948" s="466"/>
      <c r="AC3948" s="466"/>
      <c r="AD3948" s="466"/>
      <c r="AE3948" s="466"/>
      <c r="AF3948" s="466"/>
      <c r="AG3948" s="466"/>
      <c r="AH3948" s="466"/>
      <c r="AI3948" s="466"/>
      <c r="AJ3948" s="466"/>
      <c r="AK3948" s="466"/>
      <c r="AL3948" s="466"/>
      <c r="AM3948" s="466"/>
      <c r="AN3948" s="466"/>
      <c r="AO3948" s="466"/>
      <c r="AP3948" s="466"/>
      <c r="AQ3948" s="466"/>
      <c r="AR3948" s="466"/>
      <c r="AS3948" s="466"/>
      <c r="AT3948" s="466"/>
      <c r="AU3948" s="466"/>
      <c r="AV3948" s="466"/>
      <c r="AW3948" s="466"/>
      <c r="AX3948" s="466"/>
      <c r="AY3948" s="466"/>
      <c r="AZ3948" s="466"/>
      <c r="BA3948" s="466"/>
      <c r="BB3948" s="466"/>
      <c r="BC3948" s="466"/>
      <c r="BD3948" s="466"/>
      <c r="BE3948" s="467"/>
      <c r="BF3948" s="467"/>
      <c r="BG3948" s="466"/>
      <c r="BH3948" s="466"/>
      <c r="BI3948" s="467"/>
      <c r="BJ3948" s="467"/>
      <c r="BK3948" s="467"/>
      <c r="BL3948" s="467"/>
      <c r="BM3948" s="467"/>
      <c r="BN3948" s="467"/>
      <c r="BO3948" s="467"/>
      <c r="BP3948" s="467"/>
      <c r="BQ3948" s="467"/>
      <c r="BR3948" s="467"/>
      <c r="BS3948" s="467"/>
      <c r="BT3948" s="467"/>
      <c r="BU3948" s="467"/>
      <c r="BV3948" s="467"/>
      <c r="BW3948" s="467"/>
      <c r="BX3948" s="769"/>
      <c r="BY3948" s="769"/>
      <c r="BZ3948" s="769"/>
      <c r="CA3948" s="769"/>
      <c r="CB3948" s="769"/>
      <c r="CC3948" s="769"/>
      <c r="CD3948" s="769"/>
      <c r="CE3948" s="769"/>
      <c r="CF3948" s="769"/>
      <c r="CG3948" s="73"/>
      <c r="CH3948" s="438"/>
      <c r="CI3948" s="416"/>
      <c r="CJ3948" s="73"/>
      <c r="CK3948" s="650"/>
      <c r="CL3948" s="499"/>
      <c r="CM3948" s="650"/>
      <c r="CR3948" s="416"/>
      <c r="CS3948" s="650"/>
      <c r="CU3948" s="73"/>
      <c r="CV3948" s="73"/>
      <c r="CW3948" s="73"/>
      <c r="CX3948" s="73"/>
      <c r="DA3948" s="650"/>
    </row>
    <row r="3949" spans="1:105" s="45" customFormat="1" x14ac:dyDescent="0.2">
      <c r="A3949" s="650"/>
      <c r="B3949" s="438"/>
      <c r="D3949" s="73"/>
      <c r="E3949" s="650"/>
      <c r="F3949" s="650"/>
      <c r="G3949" s="73"/>
      <c r="I3949" s="111"/>
      <c r="J3949" s="81"/>
      <c r="K3949" s="81"/>
      <c r="L3949" s="499"/>
      <c r="M3949" s="73"/>
      <c r="N3949" s="499"/>
      <c r="O3949" s="73"/>
      <c r="P3949" s="73"/>
      <c r="Q3949" s="73"/>
      <c r="R3949" s="176"/>
      <c r="S3949" s="176"/>
      <c r="T3949" s="176"/>
      <c r="U3949" s="400"/>
      <c r="V3949" s="400"/>
      <c r="W3949" s="732"/>
      <c r="X3949" s="167"/>
      <c r="Y3949" s="509"/>
      <c r="Z3949" s="466"/>
      <c r="AA3949" s="466"/>
      <c r="AB3949" s="466"/>
      <c r="AC3949" s="466"/>
      <c r="AD3949" s="466"/>
      <c r="AE3949" s="466"/>
      <c r="AF3949" s="466"/>
      <c r="AG3949" s="466"/>
      <c r="AH3949" s="466"/>
      <c r="AI3949" s="466"/>
      <c r="AJ3949" s="466"/>
      <c r="AK3949" s="466"/>
      <c r="AL3949" s="466"/>
      <c r="AM3949" s="466"/>
      <c r="AN3949" s="466"/>
      <c r="AO3949" s="466"/>
      <c r="AP3949" s="466"/>
      <c r="AQ3949" s="466"/>
      <c r="AR3949" s="466"/>
      <c r="AS3949" s="466"/>
      <c r="AT3949" s="466"/>
      <c r="AU3949" s="466"/>
      <c r="AV3949" s="466"/>
      <c r="AW3949" s="466"/>
      <c r="AX3949" s="466"/>
      <c r="AY3949" s="466"/>
      <c r="AZ3949" s="466"/>
      <c r="BA3949" s="466"/>
      <c r="BB3949" s="466"/>
      <c r="BC3949" s="466"/>
      <c r="BD3949" s="466"/>
      <c r="BE3949" s="467"/>
      <c r="BF3949" s="467"/>
      <c r="BG3949" s="466"/>
      <c r="BH3949" s="466"/>
      <c r="BI3949" s="467"/>
      <c r="BJ3949" s="467"/>
      <c r="BK3949" s="467"/>
      <c r="BL3949" s="467"/>
      <c r="BM3949" s="467"/>
      <c r="BN3949" s="467"/>
      <c r="BO3949" s="467"/>
      <c r="BP3949" s="467"/>
      <c r="BQ3949" s="467"/>
      <c r="BR3949" s="467"/>
      <c r="BS3949" s="467"/>
      <c r="BT3949" s="467"/>
      <c r="BU3949" s="467"/>
      <c r="BV3949" s="467"/>
      <c r="BW3949" s="467"/>
      <c r="BX3949" s="769"/>
      <c r="BY3949" s="769"/>
      <c r="BZ3949" s="769"/>
      <c r="CA3949" s="769"/>
      <c r="CB3949" s="769"/>
      <c r="CC3949" s="769"/>
      <c r="CD3949" s="769"/>
      <c r="CE3949" s="769"/>
      <c r="CF3949" s="769"/>
      <c r="CG3949" s="73"/>
      <c r="CH3949" s="438"/>
      <c r="CI3949" s="416"/>
      <c r="CJ3949" s="73"/>
      <c r="CK3949" s="650"/>
      <c r="CL3949" s="499"/>
      <c r="CM3949" s="650"/>
      <c r="CR3949" s="416"/>
      <c r="CS3949" s="650"/>
      <c r="CU3949" s="73"/>
      <c r="CV3949" s="73"/>
      <c r="CW3949" s="73"/>
      <c r="CX3949" s="73"/>
      <c r="DA3949" s="650"/>
    </row>
    <row r="3950" spans="1:105" s="45" customFormat="1" x14ac:dyDescent="0.2">
      <c r="A3950" s="650"/>
      <c r="B3950" s="438"/>
      <c r="D3950" s="73"/>
      <c r="E3950" s="650"/>
      <c r="F3950" s="650"/>
      <c r="G3950" s="73"/>
      <c r="I3950" s="111"/>
      <c r="J3950" s="81"/>
      <c r="K3950" s="81"/>
      <c r="L3950" s="499"/>
      <c r="M3950" s="73"/>
      <c r="N3950" s="499"/>
      <c r="O3950" s="73"/>
      <c r="P3950" s="73"/>
      <c r="Q3950" s="73"/>
      <c r="R3950" s="176"/>
      <c r="S3950" s="176"/>
      <c r="T3950" s="176"/>
      <c r="U3950" s="400"/>
      <c r="V3950" s="400"/>
      <c r="W3950" s="732"/>
      <c r="X3950" s="167"/>
      <c r="Y3950" s="509"/>
      <c r="Z3950" s="466"/>
      <c r="AA3950" s="466"/>
      <c r="AB3950" s="466"/>
      <c r="AC3950" s="466"/>
      <c r="AD3950" s="466"/>
      <c r="AE3950" s="466"/>
      <c r="AF3950" s="466"/>
      <c r="AG3950" s="466"/>
      <c r="AH3950" s="466"/>
      <c r="AI3950" s="466"/>
      <c r="AJ3950" s="466"/>
      <c r="AK3950" s="466"/>
      <c r="AL3950" s="466"/>
      <c r="AM3950" s="466"/>
      <c r="AN3950" s="466"/>
      <c r="AO3950" s="466"/>
      <c r="AP3950" s="466"/>
      <c r="AQ3950" s="466"/>
      <c r="AR3950" s="466"/>
      <c r="AS3950" s="466"/>
      <c r="AT3950" s="466"/>
      <c r="AU3950" s="466"/>
      <c r="AV3950" s="466"/>
      <c r="AW3950" s="466"/>
      <c r="AX3950" s="466"/>
      <c r="AY3950" s="466"/>
      <c r="AZ3950" s="466"/>
      <c r="BA3950" s="466"/>
      <c r="BB3950" s="466"/>
      <c r="BC3950" s="466"/>
      <c r="BD3950" s="466"/>
      <c r="BE3950" s="467"/>
      <c r="BF3950" s="467"/>
      <c r="BG3950" s="466"/>
      <c r="BH3950" s="466"/>
      <c r="BI3950" s="467"/>
      <c r="BJ3950" s="467"/>
      <c r="BK3950" s="467"/>
      <c r="BL3950" s="467"/>
      <c r="BM3950" s="467"/>
      <c r="BN3950" s="467"/>
      <c r="BO3950" s="467"/>
      <c r="BP3950" s="467"/>
      <c r="BQ3950" s="467"/>
      <c r="BR3950" s="467"/>
      <c r="BS3950" s="467"/>
      <c r="BT3950" s="467"/>
      <c r="BU3950" s="467"/>
      <c r="BV3950" s="467"/>
      <c r="BW3950" s="467"/>
      <c r="BX3950" s="769"/>
      <c r="BY3950" s="769"/>
      <c r="BZ3950" s="769"/>
      <c r="CA3950" s="769"/>
      <c r="CB3950" s="769"/>
      <c r="CC3950" s="769"/>
      <c r="CD3950" s="769"/>
      <c r="CE3950" s="769"/>
      <c r="CF3950" s="769"/>
      <c r="CG3950" s="73"/>
      <c r="CH3950" s="438"/>
      <c r="CI3950" s="416"/>
      <c r="CJ3950" s="73"/>
      <c r="CK3950" s="650"/>
      <c r="CL3950" s="499"/>
      <c r="CM3950" s="650"/>
      <c r="CR3950" s="416"/>
      <c r="CS3950" s="650"/>
      <c r="CU3950" s="73"/>
      <c r="CV3950" s="73"/>
      <c r="CW3950" s="73"/>
      <c r="CX3950" s="73"/>
      <c r="DA3950" s="650"/>
    </row>
    <row r="3951" spans="1:105" s="45" customFormat="1" x14ac:dyDescent="0.2">
      <c r="A3951" s="650"/>
      <c r="B3951" s="438"/>
      <c r="D3951" s="73"/>
      <c r="E3951" s="650"/>
      <c r="F3951" s="650"/>
      <c r="G3951" s="73"/>
      <c r="I3951" s="111"/>
      <c r="J3951" s="81"/>
      <c r="K3951" s="81"/>
      <c r="L3951" s="499"/>
      <c r="M3951" s="73"/>
      <c r="N3951" s="499"/>
      <c r="O3951" s="73"/>
      <c r="P3951" s="73"/>
      <c r="Q3951" s="73"/>
      <c r="R3951" s="176"/>
      <c r="S3951" s="176"/>
      <c r="T3951" s="176"/>
      <c r="U3951" s="400"/>
      <c r="V3951" s="400"/>
      <c r="W3951" s="732"/>
      <c r="X3951" s="167"/>
      <c r="Y3951" s="509"/>
      <c r="Z3951" s="466"/>
      <c r="AA3951" s="466"/>
      <c r="AB3951" s="466"/>
      <c r="AC3951" s="466"/>
      <c r="AD3951" s="466"/>
      <c r="AE3951" s="466"/>
      <c r="AF3951" s="466"/>
      <c r="AG3951" s="466"/>
      <c r="AH3951" s="466"/>
      <c r="AI3951" s="466"/>
      <c r="AJ3951" s="466"/>
      <c r="AK3951" s="466"/>
      <c r="AL3951" s="466"/>
      <c r="AM3951" s="466"/>
      <c r="AN3951" s="466"/>
      <c r="AO3951" s="466"/>
      <c r="AP3951" s="466"/>
      <c r="AQ3951" s="466"/>
      <c r="AR3951" s="466"/>
      <c r="AS3951" s="466"/>
      <c r="AT3951" s="466"/>
      <c r="AU3951" s="466"/>
      <c r="AV3951" s="466"/>
      <c r="AW3951" s="466"/>
      <c r="AX3951" s="466"/>
      <c r="AY3951" s="466"/>
      <c r="AZ3951" s="466"/>
      <c r="BA3951" s="466"/>
      <c r="BB3951" s="466"/>
      <c r="BC3951" s="466"/>
      <c r="BD3951" s="466"/>
      <c r="BE3951" s="467"/>
      <c r="BF3951" s="467"/>
      <c r="BG3951" s="466"/>
      <c r="BH3951" s="466"/>
      <c r="BI3951" s="467"/>
      <c r="BJ3951" s="467"/>
      <c r="BK3951" s="467"/>
      <c r="BL3951" s="467"/>
      <c r="BM3951" s="467"/>
      <c r="BN3951" s="467"/>
      <c r="BO3951" s="467"/>
      <c r="BP3951" s="467"/>
      <c r="BQ3951" s="467"/>
      <c r="BR3951" s="467"/>
      <c r="BS3951" s="467"/>
      <c r="BT3951" s="467"/>
      <c r="BU3951" s="467"/>
      <c r="BV3951" s="467"/>
      <c r="BW3951" s="467"/>
      <c r="BX3951" s="769"/>
      <c r="BY3951" s="769"/>
      <c r="BZ3951" s="769"/>
      <c r="CA3951" s="769"/>
      <c r="CB3951" s="769"/>
      <c r="CC3951" s="769"/>
      <c r="CD3951" s="769"/>
      <c r="CE3951" s="769"/>
      <c r="CF3951" s="769"/>
      <c r="CG3951" s="73"/>
      <c r="CH3951" s="438"/>
      <c r="CI3951" s="416"/>
      <c r="CJ3951" s="73"/>
      <c r="CK3951" s="650"/>
      <c r="CL3951" s="499"/>
      <c r="CM3951" s="650"/>
      <c r="CR3951" s="416"/>
      <c r="CS3951" s="650"/>
      <c r="CU3951" s="73"/>
      <c r="CV3951" s="73"/>
      <c r="CW3951" s="73"/>
      <c r="CX3951" s="73"/>
      <c r="DA3951" s="650"/>
    </row>
    <row r="3952" spans="1:105" s="45" customFormat="1" x14ac:dyDescent="0.2">
      <c r="A3952" s="650"/>
      <c r="B3952" s="438"/>
      <c r="D3952" s="73"/>
      <c r="E3952" s="650"/>
      <c r="F3952" s="650"/>
      <c r="G3952" s="73"/>
      <c r="I3952" s="111"/>
      <c r="J3952" s="81"/>
      <c r="K3952" s="81"/>
      <c r="L3952" s="499"/>
      <c r="M3952" s="73"/>
      <c r="N3952" s="499"/>
      <c r="O3952" s="73"/>
      <c r="P3952" s="73"/>
      <c r="Q3952" s="73"/>
      <c r="R3952" s="176"/>
      <c r="S3952" s="176"/>
      <c r="T3952" s="176"/>
      <c r="U3952" s="400"/>
      <c r="V3952" s="400"/>
      <c r="W3952" s="732"/>
      <c r="X3952" s="167"/>
      <c r="Y3952" s="509"/>
      <c r="Z3952" s="466"/>
      <c r="AA3952" s="466"/>
      <c r="AB3952" s="466"/>
      <c r="AC3952" s="466"/>
      <c r="AD3952" s="466"/>
      <c r="AE3952" s="466"/>
      <c r="AF3952" s="466"/>
      <c r="AG3952" s="466"/>
      <c r="AH3952" s="466"/>
      <c r="AI3952" s="466"/>
      <c r="AJ3952" s="466"/>
      <c r="AK3952" s="466"/>
      <c r="AL3952" s="466"/>
      <c r="AM3952" s="466"/>
      <c r="AN3952" s="466"/>
      <c r="AO3952" s="466"/>
      <c r="AP3952" s="466"/>
      <c r="AQ3952" s="466"/>
      <c r="AR3952" s="466"/>
      <c r="AS3952" s="466"/>
      <c r="AT3952" s="466"/>
      <c r="AU3952" s="466"/>
      <c r="AV3952" s="466"/>
      <c r="AW3952" s="466"/>
      <c r="AX3952" s="466"/>
      <c r="AY3952" s="466"/>
      <c r="AZ3952" s="466"/>
      <c r="BA3952" s="466"/>
      <c r="BB3952" s="466"/>
      <c r="BC3952" s="466"/>
      <c r="BD3952" s="466"/>
      <c r="BE3952" s="467"/>
      <c r="BF3952" s="467"/>
      <c r="BG3952" s="466"/>
      <c r="BH3952" s="466"/>
      <c r="BI3952" s="467"/>
      <c r="BJ3952" s="467"/>
      <c r="BK3952" s="467"/>
      <c r="BL3952" s="467"/>
      <c r="BM3952" s="467"/>
      <c r="BN3952" s="467"/>
      <c r="BO3952" s="467"/>
      <c r="BP3952" s="467"/>
      <c r="BQ3952" s="467"/>
      <c r="BR3952" s="467"/>
      <c r="BS3952" s="467"/>
      <c r="BT3952" s="467"/>
      <c r="BU3952" s="467"/>
      <c r="BV3952" s="467"/>
      <c r="BW3952" s="467"/>
      <c r="BX3952" s="769"/>
      <c r="BY3952" s="769"/>
      <c r="BZ3952" s="769"/>
      <c r="CA3952" s="769"/>
      <c r="CB3952" s="769"/>
      <c r="CC3952" s="769"/>
      <c r="CD3952" s="769"/>
      <c r="CE3952" s="769"/>
      <c r="CF3952" s="769"/>
      <c r="CG3952" s="73"/>
      <c r="CH3952" s="438"/>
      <c r="CI3952" s="416"/>
      <c r="CJ3952" s="73"/>
      <c r="CK3952" s="650"/>
      <c r="CL3952" s="499"/>
      <c r="CM3952" s="650"/>
      <c r="CR3952" s="416"/>
      <c r="CS3952" s="650"/>
      <c r="CU3952" s="73"/>
      <c r="CV3952" s="73"/>
      <c r="CW3952" s="73"/>
      <c r="CX3952" s="73"/>
      <c r="DA3952" s="650"/>
    </row>
    <row r="3953" spans="1:105" s="45" customFormat="1" x14ac:dyDescent="0.2">
      <c r="A3953" s="650"/>
      <c r="B3953" s="438"/>
      <c r="D3953" s="73"/>
      <c r="E3953" s="650"/>
      <c r="F3953" s="650"/>
      <c r="G3953" s="73"/>
      <c r="I3953" s="111"/>
      <c r="J3953" s="81"/>
      <c r="K3953" s="81"/>
      <c r="L3953" s="499"/>
      <c r="M3953" s="73"/>
      <c r="N3953" s="499"/>
      <c r="O3953" s="73"/>
      <c r="P3953" s="73"/>
      <c r="Q3953" s="73"/>
      <c r="R3953" s="176"/>
      <c r="S3953" s="176"/>
      <c r="T3953" s="176"/>
      <c r="U3953" s="400"/>
      <c r="V3953" s="400"/>
      <c r="W3953" s="732"/>
      <c r="X3953" s="167"/>
      <c r="Y3953" s="509"/>
      <c r="Z3953" s="466"/>
      <c r="AA3953" s="466"/>
      <c r="AB3953" s="466"/>
      <c r="AC3953" s="466"/>
      <c r="AD3953" s="466"/>
      <c r="AE3953" s="466"/>
      <c r="AF3953" s="466"/>
      <c r="AG3953" s="466"/>
      <c r="AH3953" s="466"/>
      <c r="AI3953" s="466"/>
      <c r="AJ3953" s="466"/>
      <c r="AK3953" s="466"/>
      <c r="AL3953" s="466"/>
      <c r="AM3953" s="466"/>
      <c r="AN3953" s="466"/>
      <c r="AO3953" s="466"/>
      <c r="AP3953" s="466"/>
      <c r="AQ3953" s="466"/>
      <c r="AR3953" s="466"/>
      <c r="AS3953" s="466"/>
      <c r="AT3953" s="466"/>
      <c r="AU3953" s="466"/>
      <c r="AV3953" s="466"/>
      <c r="AW3953" s="466"/>
      <c r="AX3953" s="466"/>
      <c r="AY3953" s="466"/>
      <c r="AZ3953" s="466"/>
      <c r="BA3953" s="466"/>
      <c r="BB3953" s="466"/>
      <c r="BC3953" s="466"/>
      <c r="BD3953" s="466"/>
      <c r="BE3953" s="467"/>
      <c r="BF3953" s="467"/>
      <c r="BG3953" s="466"/>
      <c r="BH3953" s="466"/>
      <c r="BI3953" s="467"/>
      <c r="BJ3953" s="467"/>
      <c r="BK3953" s="467"/>
      <c r="BL3953" s="467"/>
      <c r="BM3953" s="467"/>
      <c r="BN3953" s="467"/>
      <c r="BO3953" s="467"/>
      <c r="BP3953" s="467"/>
      <c r="BQ3953" s="467"/>
      <c r="BR3953" s="467"/>
      <c r="BS3953" s="467"/>
      <c r="BT3953" s="467"/>
      <c r="BU3953" s="467"/>
      <c r="BV3953" s="467"/>
      <c r="BW3953" s="467"/>
      <c r="BX3953" s="769"/>
      <c r="BY3953" s="769"/>
      <c r="BZ3953" s="769"/>
      <c r="CA3953" s="769"/>
      <c r="CB3953" s="769"/>
      <c r="CC3953" s="769"/>
      <c r="CD3953" s="769"/>
      <c r="CE3953" s="769"/>
      <c r="CF3953" s="769"/>
      <c r="CG3953" s="73"/>
      <c r="CH3953" s="438"/>
      <c r="CI3953" s="416"/>
      <c r="CJ3953" s="73"/>
      <c r="CK3953" s="650"/>
      <c r="CL3953" s="499"/>
      <c r="CM3953" s="650"/>
      <c r="CR3953" s="416"/>
      <c r="CS3953" s="650"/>
      <c r="CU3953" s="73"/>
      <c r="CV3953" s="73"/>
      <c r="CW3953" s="73"/>
      <c r="CX3953" s="73"/>
      <c r="DA3953" s="650"/>
    </row>
    <row r="3954" spans="1:105" s="45" customFormat="1" x14ac:dyDescent="0.2">
      <c r="A3954" s="650"/>
      <c r="B3954" s="438"/>
      <c r="D3954" s="73"/>
      <c r="E3954" s="650"/>
      <c r="F3954" s="650"/>
      <c r="G3954" s="73"/>
      <c r="I3954" s="111"/>
      <c r="J3954" s="81"/>
      <c r="K3954" s="81"/>
      <c r="L3954" s="499"/>
      <c r="M3954" s="73"/>
      <c r="N3954" s="499"/>
      <c r="O3954" s="73"/>
      <c r="P3954" s="73"/>
      <c r="Q3954" s="73"/>
      <c r="R3954" s="176"/>
      <c r="S3954" s="176"/>
      <c r="T3954" s="176"/>
      <c r="U3954" s="400"/>
      <c r="V3954" s="400"/>
      <c r="W3954" s="732"/>
      <c r="X3954" s="167"/>
      <c r="Y3954" s="509"/>
      <c r="Z3954" s="466"/>
      <c r="AA3954" s="466"/>
      <c r="AB3954" s="466"/>
      <c r="AC3954" s="466"/>
      <c r="AD3954" s="466"/>
      <c r="AE3954" s="466"/>
      <c r="AF3954" s="466"/>
      <c r="AG3954" s="466"/>
      <c r="AH3954" s="466"/>
      <c r="AI3954" s="466"/>
      <c r="AJ3954" s="466"/>
      <c r="AK3954" s="466"/>
      <c r="AL3954" s="466"/>
      <c r="AM3954" s="466"/>
      <c r="AN3954" s="466"/>
      <c r="AO3954" s="466"/>
      <c r="AP3954" s="466"/>
      <c r="AQ3954" s="466"/>
      <c r="AR3954" s="466"/>
      <c r="AS3954" s="466"/>
      <c r="AT3954" s="466"/>
      <c r="AU3954" s="466"/>
      <c r="AV3954" s="466"/>
      <c r="AW3954" s="466"/>
      <c r="AX3954" s="466"/>
      <c r="AY3954" s="466"/>
      <c r="AZ3954" s="466"/>
      <c r="BA3954" s="466"/>
      <c r="BB3954" s="466"/>
      <c r="BC3954" s="466"/>
      <c r="BD3954" s="466"/>
      <c r="BE3954" s="467"/>
      <c r="BF3954" s="467"/>
      <c r="BG3954" s="466"/>
      <c r="BH3954" s="466"/>
      <c r="BI3954" s="467"/>
      <c r="BJ3954" s="467"/>
      <c r="BK3954" s="467"/>
      <c r="BL3954" s="467"/>
      <c r="BM3954" s="467"/>
      <c r="BN3954" s="467"/>
      <c r="BO3954" s="467"/>
      <c r="BP3954" s="467"/>
      <c r="BQ3954" s="467"/>
      <c r="BR3954" s="467"/>
      <c r="BS3954" s="467"/>
      <c r="BT3954" s="467"/>
      <c r="BU3954" s="467"/>
      <c r="BV3954" s="467"/>
      <c r="BW3954" s="467"/>
      <c r="BX3954" s="769"/>
      <c r="BY3954" s="769"/>
      <c r="BZ3954" s="769"/>
      <c r="CA3954" s="769"/>
      <c r="CB3954" s="769"/>
      <c r="CC3954" s="769"/>
      <c r="CD3954" s="769"/>
      <c r="CE3954" s="769"/>
      <c r="CF3954" s="769"/>
      <c r="CG3954" s="73"/>
      <c r="CH3954" s="438"/>
      <c r="CI3954" s="416"/>
      <c r="CJ3954" s="73"/>
      <c r="CK3954" s="650"/>
      <c r="CL3954" s="499"/>
      <c r="CM3954" s="650"/>
      <c r="CR3954" s="416"/>
      <c r="CS3954" s="650"/>
      <c r="CU3954" s="73"/>
      <c r="CV3954" s="73"/>
      <c r="CW3954" s="73"/>
      <c r="CX3954" s="73"/>
      <c r="DA3954" s="650"/>
    </row>
    <row r="3955" spans="1:105" s="45" customFormat="1" x14ac:dyDescent="0.2">
      <c r="A3955" s="650"/>
      <c r="B3955" s="438"/>
      <c r="D3955" s="73"/>
      <c r="E3955" s="650"/>
      <c r="F3955" s="650"/>
      <c r="G3955" s="73"/>
      <c r="I3955" s="111"/>
      <c r="J3955" s="81"/>
      <c r="K3955" s="81"/>
      <c r="L3955" s="499"/>
      <c r="M3955" s="73"/>
      <c r="N3955" s="499"/>
      <c r="O3955" s="73"/>
      <c r="P3955" s="73"/>
      <c r="Q3955" s="73"/>
      <c r="R3955" s="176"/>
      <c r="S3955" s="176"/>
      <c r="T3955" s="176"/>
      <c r="U3955" s="400"/>
      <c r="V3955" s="400"/>
      <c r="W3955" s="732"/>
      <c r="X3955" s="167"/>
      <c r="Y3955" s="509"/>
      <c r="Z3955" s="466"/>
      <c r="AA3955" s="466"/>
      <c r="AB3955" s="466"/>
      <c r="AC3955" s="466"/>
      <c r="AD3955" s="466"/>
      <c r="AE3955" s="466"/>
      <c r="AF3955" s="466"/>
      <c r="AG3955" s="466"/>
      <c r="AH3955" s="466"/>
      <c r="AI3955" s="466"/>
      <c r="AJ3955" s="466"/>
      <c r="AK3955" s="466"/>
      <c r="AL3955" s="466"/>
      <c r="AM3955" s="466"/>
      <c r="AN3955" s="466"/>
      <c r="AO3955" s="466"/>
      <c r="AP3955" s="466"/>
      <c r="AQ3955" s="466"/>
      <c r="AR3955" s="466"/>
      <c r="AS3955" s="466"/>
      <c r="AT3955" s="466"/>
      <c r="AU3955" s="466"/>
      <c r="AV3955" s="466"/>
      <c r="AW3955" s="466"/>
      <c r="AX3955" s="466"/>
      <c r="AY3955" s="466"/>
      <c r="AZ3955" s="466"/>
      <c r="BA3955" s="466"/>
      <c r="BB3955" s="466"/>
      <c r="BC3955" s="466"/>
      <c r="BD3955" s="466"/>
      <c r="BE3955" s="467"/>
      <c r="BF3955" s="467"/>
      <c r="BG3955" s="466"/>
      <c r="BH3955" s="466"/>
      <c r="BI3955" s="467"/>
      <c r="BJ3955" s="467"/>
      <c r="BK3955" s="467"/>
      <c r="BL3955" s="467"/>
      <c r="BM3955" s="467"/>
      <c r="BN3955" s="467"/>
      <c r="BO3955" s="467"/>
      <c r="BP3955" s="467"/>
      <c r="BQ3955" s="467"/>
      <c r="BR3955" s="467"/>
      <c r="BS3955" s="467"/>
      <c r="BT3955" s="467"/>
      <c r="BU3955" s="467"/>
      <c r="BV3955" s="467"/>
      <c r="BW3955" s="467"/>
      <c r="BX3955" s="769"/>
      <c r="BY3955" s="769"/>
      <c r="BZ3955" s="769"/>
      <c r="CA3955" s="769"/>
      <c r="CB3955" s="769"/>
      <c r="CC3955" s="769"/>
      <c r="CD3955" s="769"/>
      <c r="CE3955" s="769"/>
      <c r="CF3955" s="769"/>
      <c r="CG3955" s="73"/>
      <c r="CH3955" s="438"/>
      <c r="CI3955" s="416"/>
      <c r="CJ3955" s="73"/>
      <c r="CK3955" s="650"/>
      <c r="CL3955" s="499"/>
      <c r="CM3955" s="650"/>
      <c r="CR3955" s="416"/>
      <c r="CS3955" s="650"/>
      <c r="CU3955" s="73"/>
      <c r="CV3955" s="73"/>
      <c r="CW3955" s="73"/>
      <c r="CX3955" s="73"/>
      <c r="DA3955" s="650"/>
    </row>
    <row r="3956" spans="1:105" s="45" customFormat="1" x14ac:dyDescent="0.2">
      <c r="A3956" s="650"/>
      <c r="B3956" s="438"/>
      <c r="D3956" s="73"/>
      <c r="E3956" s="650"/>
      <c r="F3956" s="650"/>
      <c r="G3956" s="73"/>
      <c r="I3956" s="111"/>
      <c r="J3956" s="81"/>
      <c r="K3956" s="81"/>
      <c r="L3956" s="499"/>
      <c r="M3956" s="73"/>
      <c r="N3956" s="499"/>
      <c r="O3956" s="73"/>
      <c r="P3956" s="73"/>
      <c r="Q3956" s="73"/>
      <c r="R3956" s="176"/>
      <c r="S3956" s="176"/>
      <c r="T3956" s="176"/>
      <c r="U3956" s="400"/>
      <c r="V3956" s="400"/>
      <c r="W3956" s="732"/>
      <c r="X3956" s="167"/>
      <c r="Y3956" s="509"/>
      <c r="Z3956" s="466"/>
      <c r="AA3956" s="466"/>
      <c r="AB3956" s="466"/>
      <c r="AC3956" s="466"/>
      <c r="AD3956" s="466"/>
      <c r="AE3956" s="466"/>
      <c r="AF3956" s="466"/>
      <c r="AG3956" s="466"/>
      <c r="AH3956" s="466"/>
      <c r="AI3956" s="466"/>
      <c r="AJ3956" s="466"/>
      <c r="AK3956" s="466"/>
      <c r="AL3956" s="466"/>
      <c r="AM3956" s="466"/>
      <c r="AN3956" s="466"/>
      <c r="AO3956" s="466"/>
      <c r="AP3956" s="466"/>
      <c r="AQ3956" s="466"/>
      <c r="AR3956" s="466"/>
      <c r="AS3956" s="466"/>
      <c r="AT3956" s="466"/>
      <c r="AU3956" s="466"/>
      <c r="AV3956" s="466"/>
      <c r="AW3956" s="466"/>
      <c r="AX3956" s="466"/>
      <c r="AY3956" s="466"/>
      <c r="AZ3956" s="466"/>
      <c r="BA3956" s="466"/>
      <c r="BB3956" s="466"/>
      <c r="BC3956" s="466"/>
      <c r="BD3956" s="466"/>
      <c r="BE3956" s="467"/>
      <c r="BF3956" s="467"/>
      <c r="BG3956" s="466"/>
      <c r="BH3956" s="466"/>
      <c r="BI3956" s="467"/>
      <c r="BJ3956" s="467"/>
      <c r="BK3956" s="467"/>
      <c r="BL3956" s="467"/>
      <c r="BM3956" s="467"/>
      <c r="BN3956" s="467"/>
      <c r="BO3956" s="467"/>
      <c r="BP3956" s="467"/>
      <c r="BQ3956" s="467"/>
      <c r="BR3956" s="467"/>
      <c r="BS3956" s="467"/>
      <c r="BT3956" s="467"/>
      <c r="BU3956" s="467"/>
      <c r="BV3956" s="467"/>
      <c r="BW3956" s="467"/>
      <c r="BX3956" s="769"/>
      <c r="BY3956" s="769"/>
      <c r="BZ3956" s="769"/>
      <c r="CA3956" s="769"/>
      <c r="CB3956" s="769"/>
      <c r="CC3956" s="769"/>
      <c r="CD3956" s="769"/>
      <c r="CE3956" s="769"/>
      <c r="CF3956" s="769"/>
      <c r="CG3956" s="73"/>
      <c r="CH3956" s="438"/>
      <c r="CI3956" s="416"/>
      <c r="CJ3956" s="73"/>
      <c r="CK3956" s="650"/>
      <c r="CL3956" s="499"/>
      <c r="CM3956" s="650"/>
      <c r="CR3956" s="416"/>
      <c r="CS3956" s="650"/>
      <c r="CU3956" s="73"/>
      <c r="CV3956" s="73"/>
      <c r="CW3956" s="73"/>
      <c r="CX3956" s="73"/>
      <c r="DA3956" s="650"/>
    </row>
    <row r="3957" spans="1:105" s="45" customFormat="1" x14ac:dyDescent="0.2">
      <c r="A3957" s="650"/>
      <c r="B3957" s="438"/>
      <c r="D3957" s="73"/>
      <c r="E3957" s="650"/>
      <c r="F3957" s="650"/>
      <c r="G3957" s="73"/>
      <c r="I3957" s="111"/>
      <c r="J3957" s="81"/>
      <c r="K3957" s="81"/>
      <c r="L3957" s="499"/>
      <c r="M3957" s="73"/>
      <c r="N3957" s="499"/>
      <c r="O3957" s="73"/>
      <c r="P3957" s="73"/>
      <c r="Q3957" s="73"/>
      <c r="R3957" s="176"/>
      <c r="S3957" s="176"/>
      <c r="T3957" s="176"/>
      <c r="U3957" s="400"/>
      <c r="V3957" s="400"/>
      <c r="W3957" s="732"/>
      <c r="X3957" s="167"/>
      <c r="Y3957" s="509"/>
      <c r="Z3957" s="466"/>
      <c r="AA3957" s="466"/>
      <c r="AB3957" s="466"/>
      <c r="AC3957" s="466"/>
      <c r="AD3957" s="466"/>
      <c r="AE3957" s="466"/>
      <c r="AF3957" s="466"/>
      <c r="AG3957" s="466"/>
      <c r="AH3957" s="466"/>
      <c r="AI3957" s="466"/>
      <c r="AJ3957" s="466"/>
      <c r="AK3957" s="466"/>
      <c r="AL3957" s="466"/>
      <c r="AM3957" s="466"/>
      <c r="AN3957" s="466"/>
      <c r="AO3957" s="466"/>
      <c r="AP3957" s="466"/>
      <c r="AQ3957" s="466"/>
      <c r="AR3957" s="466"/>
      <c r="AS3957" s="466"/>
      <c r="AT3957" s="466"/>
      <c r="AU3957" s="466"/>
      <c r="AV3957" s="466"/>
      <c r="AW3957" s="466"/>
      <c r="AX3957" s="466"/>
      <c r="AY3957" s="466"/>
      <c r="AZ3957" s="466"/>
      <c r="BA3957" s="466"/>
      <c r="BB3957" s="466"/>
      <c r="BC3957" s="466"/>
      <c r="BD3957" s="466"/>
      <c r="BE3957" s="467"/>
      <c r="BF3957" s="467"/>
      <c r="BG3957" s="466"/>
      <c r="BH3957" s="466"/>
      <c r="BI3957" s="467"/>
      <c r="BJ3957" s="467"/>
      <c r="BK3957" s="467"/>
      <c r="BL3957" s="467"/>
      <c r="BM3957" s="467"/>
      <c r="BN3957" s="467"/>
      <c r="BO3957" s="467"/>
      <c r="BP3957" s="467"/>
      <c r="BQ3957" s="467"/>
      <c r="BR3957" s="467"/>
      <c r="BS3957" s="467"/>
      <c r="BT3957" s="467"/>
      <c r="BU3957" s="467"/>
      <c r="BV3957" s="467"/>
      <c r="BW3957" s="467"/>
      <c r="BX3957" s="769"/>
      <c r="BY3957" s="769"/>
      <c r="BZ3957" s="769"/>
      <c r="CA3957" s="769"/>
      <c r="CB3957" s="769"/>
      <c r="CC3957" s="769"/>
      <c r="CD3957" s="769"/>
      <c r="CE3957" s="769"/>
      <c r="CF3957" s="769"/>
      <c r="CG3957" s="73"/>
      <c r="CH3957" s="438"/>
      <c r="CI3957" s="416"/>
      <c r="CJ3957" s="73"/>
      <c r="CK3957" s="650"/>
      <c r="CL3957" s="499"/>
      <c r="CM3957" s="650"/>
      <c r="CR3957" s="416"/>
      <c r="CS3957" s="650"/>
      <c r="CU3957" s="73"/>
      <c r="CV3957" s="73"/>
      <c r="CW3957" s="73"/>
      <c r="CX3957" s="73"/>
      <c r="DA3957" s="650"/>
    </row>
    <row r="3958" spans="1:105" s="45" customFormat="1" x14ac:dyDescent="0.2">
      <c r="A3958" s="650"/>
      <c r="B3958" s="438"/>
      <c r="D3958" s="73"/>
      <c r="E3958" s="650"/>
      <c r="F3958" s="650"/>
      <c r="G3958" s="73"/>
      <c r="I3958" s="111"/>
      <c r="J3958" s="81"/>
      <c r="K3958" s="81"/>
      <c r="L3958" s="499"/>
      <c r="M3958" s="73"/>
      <c r="N3958" s="499"/>
      <c r="O3958" s="73"/>
      <c r="P3958" s="73"/>
      <c r="Q3958" s="73"/>
      <c r="R3958" s="176"/>
      <c r="S3958" s="176"/>
      <c r="T3958" s="176"/>
      <c r="U3958" s="400"/>
      <c r="V3958" s="400"/>
      <c r="W3958" s="732"/>
      <c r="X3958" s="167"/>
      <c r="Y3958" s="509"/>
      <c r="Z3958" s="466"/>
      <c r="AA3958" s="466"/>
      <c r="AB3958" s="466"/>
      <c r="AC3958" s="466"/>
      <c r="AD3958" s="466"/>
      <c r="AE3958" s="466"/>
      <c r="AF3958" s="466"/>
      <c r="AG3958" s="466"/>
      <c r="AH3958" s="466"/>
      <c r="AI3958" s="466"/>
      <c r="AJ3958" s="466"/>
      <c r="AK3958" s="466"/>
      <c r="AL3958" s="466"/>
      <c r="AM3958" s="466"/>
      <c r="AN3958" s="466"/>
      <c r="AO3958" s="466"/>
      <c r="AP3958" s="466"/>
      <c r="AQ3958" s="466"/>
      <c r="AR3958" s="466"/>
      <c r="AS3958" s="466"/>
      <c r="AT3958" s="466"/>
      <c r="AU3958" s="466"/>
      <c r="AV3958" s="466"/>
      <c r="AW3958" s="466"/>
      <c r="AX3958" s="466"/>
      <c r="AY3958" s="466"/>
      <c r="AZ3958" s="466"/>
      <c r="BA3958" s="466"/>
      <c r="BB3958" s="466"/>
      <c r="BC3958" s="466"/>
      <c r="BD3958" s="466"/>
      <c r="BE3958" s="467"/>
      <c r="BF3958" s="467"/>
      <c r="BG3958" s="466"/>
      <c r="BH3958" s="466"/>
      <c r="BI3958" s="467"/>
      <c r="BJ3958" s="467"/>
      <c r="BK3958" s="467"/>
      <c r="BL3958" s="467"/>
      <c r="BM3958" s="467"/>
      <c r="BN3958" s="467"/>
      <c r="BO3958" s="467"/>
      <c r="BP3958" s="467"/>
      <c r="BQ3958" s="467"/>
      <c r="BR3958" s="467"/>
      <c r="BS3958" s="467"/>
      <c r="BT3958" s="467"/>
      <c r="BU3958" s="467"/>
      <c r="BV3958" s="467"/>
      <c r="BW3958" s="467"/>
      <c r="BX3958" s="769"/>
      <c r="BY3958" s="769"/>
      <c r="BZ3958" s="769"/>
      <c r="CA3958" s="769"/>
      <c r="CB3958" s="769"/>
      <c r="CC3958" s="769"/>
      <c r="CD3958" s="769"/>
      <c r="CE3958" s="769"/>
      <c r="CF3958" s="769"/>
      <c r="CG3958" s="73"/>
      <c r="CH3958" s="438"/>
      <c r="CI3958" s="416"/>
      <c r="CJ3958" s="73"/>
      <c r="CK3958" s="650"/>
      <c r="CL3958" s="499"/>
      <c r="CM3958" s="650"/>
      <c r="CR3958" s="416"/>
      <c r="CS3958" s="650"/>
      <c r="CU3958" s="73"/>
      <c r="CV3958" s="73"/>
      <c r="CW3958" s="73"/>
      <c r="CX3958" s="73"/>
      <c r="DA3958" s="650"/>
    </row>
    <row r="3959" spans="1:105" s="45" customFormat="1" x14ac:dyDescent="0.2">
      <c r="A3959" s="650"/>
      <c r="B3959" s="438"/>
      <c r="D3959" s="73"/>
      <c r="E3959" s="650"/>
      <c r="F3959" s="650"/>
      <c r="G3959" s="73"/>
      <c r="I3959" s="111"/>
      <c r="J3959" s="81"/>
      <c r="K3959" s="81"/>
      <c r="L3959" s="499"/>
      <c r="M3959" s="73"/>
      <c r="N3959" s="499"/>
      <c r="O3959" s="73"/>
      <c r="P3959" s="73"/>
      <c r="Q3959" s="73"/>
      <c r="R3959" s="176"/>
      <c r="S3959" s="176"/>
      <c r="T3959" s="176"/>
      <c r="U3959" s="400"/>
      <c r="V3959" s="400"/>
      <c r="W3959" s="732"/>
      <c r="X3959" s="167"/>
      <c r="Y3959" s="509"/>
      <c r="Z3959" s="466"/>
      <c r="AA3959" s="466"/>
      <c r="AB3959" s="466"/>
      <c r="AC3959" s="466"/>
      <c r="AD3959" s="466"/>
      <c r="AE3959" s="466"/>
      <c r="AF3959" s="466"/>
      <c r="AG3959" s="466"/>
      <c r="AH3959" s="466"/>
      <c r="AI3959" s="466"/>
      <c r="AJ3959" s="466"/>
      <c r="AK3959" s="466"/>
      <c r="AL3959" s="466"/>
      <c r="AM3959" s="466"/>
      <c r="AN3959" s="466"/>
      <c r="AO3959" s="466"/>
      <c r="AP3959" s="466"/>
      <c r="AQ3959" s="466"/>
      <c r="AR3959" s="466"/>
      <c r="AS3959" s="466"/>
      <c r="AT3959" s="466"/>
      <c r="AU3959" s="466"/>
      <c r="AV3959" s="466"/>
      <c r="AW3959" s="466"/>
      <c r="AX3959" s="466"/>
      <c r="AY3959" s="466"/>
      <c r="AZ3959" s="466"/>
      <c r="BA3959" s="466"/>
      <c r="BB3959" s="466"/>
      <c r="BC3959" s="466"/>
      <c r="BD3959" s="466"/>
      <c r="BE3959" s="467"/>
      <c r="BF3959" s="467"/>
      <c r="BG3959" s="466"/>
      <c r="BH3959" s="466"/>
      <c r="BI3959" s="467"/>
      <c r="BJ3959" s="467"/>
      <c r="BK3959" s="467"/>
      <c r="BL3959" s="467"/>
      <c r="BM3959" s="467"/>
      <c r="BN3959" s="467"/>
      <c r="BO3959" s="467"/>
      <c r="BP3959" s="467"/>
      <c r="BQ3959" s="467"/>
      <c r="BR3959" s="467"/>
      <c r="BS3959" s="467"/>
      <c r="BT3959" s="467"/>
      <c r="BU3959" s="467"/>
      <c r="BV3959" s="467"/>
      <c r="BW3959" s="467"/>
      <c r="BX3959" s="769"/>
      <c r="BY3959" s="769"/>
      <c r="BZ3959" s="769"/>
      <c r="CA3959" s="769"/>
      <c r="CB3959" s="769"/>
      <c r="CC3959" s="769"/>
      <c r="CD3959" s="769"/>
      <c r="CE3959" s="769"/>
      <c r="CF3959" s="769"/>
      <c r="CG3959" s="73"/>
      <c r="CH3959" s="438"/>
      <c r="CI3959" s="416"/>
      <c r="CJ3959" s="73"/>
      <c r="CK3959" s="650"/>
      <c r="CL3959" s="499"/>
      <c r="CM3959" s="650"/>
      <c r="CR3959" s="416"/>
      <c r="CS3959" s="650"/>
      <c r="CU3959" s="73"/>
      <c r="CV3959" s="73"/>
      <c r="CW3959" s="73"/>
      <c r="CX3959" s="73"/>
      <c r="DA3959" s="650"/>
    </row>
    <row r="3960" spans="1:105" s="45" customFormat="1" x14ac:dyDescent="0.2">
      <c r="A3960" s="650"/>
      <c r="B3960" s="438"/>
      <c r="D3960" s="73"/>
      <c r="E3960" s="650"/>
      <c r="F3960" s="650"/>
      <c r="G3960" s="73"/>
      <c r="I3960" s="111"/>
      <c r="J3960" s="81"/>
      <c r="K3960" s="81"/>
      <c r="L3960" s="499"/>
      <c r="M3960" s="73"/>
      <c r="N3960" s="499"/>
      <c r="O3960" s="73"/>
      <c r="P3960" s="73"/>
      <c r="Q3960" s="73"/>
      <c r="R3960" s="176"/>
      <c r="S3960" s="176"/>
      <c r="T3960" s="176"/>
      <c r="U3960" s="400"/>
      <c r="V3960" s="400"/>
      <c r="W3960" s="732"/>
      <c r="X3960" s="167"/>
      <c r="Y3960" s="509"/>
      <c r="Z3960" s="466"/>
      <c r="AA3960" s="466"/>
      <c r="AB3960" s="466"/>
      <c r="AC3960" s="466"/>
      <c r="AD3960" s="466"/>
      <c r="AE3960" s="466"/>
      <c r="AF3960" s="466"/>
      <c r="AG3960" s="466"/>
      <c r="AH3960" s="466"/>
      <c r="AI3960" s="466"/>
      <c r="AJ3960" s="466"/>
      <c r="AK3960" s="466"/>
      <c r="AL3960" s="466"/>
      <c r="AM3960" s="466"/>
      <c r="AN3960" s="466"/>
      <c r="AO3960" s="466"/>
      <c r="AP3960" s="466"/>
      <c r="AQ3960" s="466"/>
      <c r="AR3960" s="466"/>
      <c r="AS3960" s="466"/>
      <c r="AT3960" s="466"/>
      <c r="AU3960" s="466"/>
      <c r="AV3960" s="466"/>
      <c r="AW3960" s="466"/>
      <c r="AX3960" s="466"/>
      <c r="AY3960" s="466"/>
      <c r="AZ3960" s="466"/>
      <c r="BA3960" s="466"/>
      <c r="BB3960" s="466"/>
      <c r="BC3960" s="466"/>
      <c r="BD3960" s="466"/>
      <c r="BE3960" s="467"/>
      <c r="BF3960" s="467"/>
      <c r="BG3960" s="466"/>
      <c r="BH3960" s="466"/>
      <c r="BI3960" s="467"/>
      <c r="BJ3960" s="467"/>
      <c r="BK3960" s="467"/>
      <c r="BL3960" s="467"/>
      <c r="BM3960" s="467"/>
      <c r="BN3960" s="467"/>
      <c r="BO3960" s="467"/>
      <c r="BP3960" s="467"/>
      <c r="BQ3960" s="467"/>
      <c r="BR3960" s="467"/>
      <c r="BS3960" s="467"/>
      <c r="BT3960" s="467"/>
      <c r="BU3960" s="467"/>
      <c r="BV3960" s="467"/>
      <c r="BW3960" s="467"/>
      <c r="BX3960" s="769"/>
      <c r="BY3960" s="769"/>
      <c r="BZ3960" s="769"/>
      <c r="CA3960" s="769"/>
      <c r="CB3960" s="769"/>
      <c r="CC3960" s="769"/>
      <c r="CD3960" s="769"/>
      <c r="CE3960" s="769"/>
      <c r="CF3960" s="769"/>
      <c r="CG3960" s="73"/>
      <c r="CH3960" s="438"/>
      <c r="CI3960" s="416"/>
      <c r="CJ3960" s="73"/>
      <c r="CK3960" s="650"/>
      <c r="CL3960" s="499"/>
      <c r="CM3960" s="650"/>
      <c r="CR3960" s="416"/>
      <c r="CS3960" s="650"/>
      <c r="CU3960" s="73"/>
      <c r="CV3960" s="73"/>
      <c r="CW3960" s="73"/>
      <c r="CX3960" s="73"/>
      <c r="DA3960" s="650"/>
    </row>
    <row r="3961" spans="1:105" s="45" customFormat="1" x14ac:dyDescent="0.2">
      <c r="A3961" s="650"/>
      <c r="B3961" s="438"/>
      <c r="D3961" s="73"/>
      <c r="E3961" s="650"/>
      <c r="F3961" s="650"/>
      <c r="G3961" s="73"/>
      <c r="I3961" s="111"/>
      <c r="J3961" s="81"/>
      <c r="K3961" s="81"/>
      <c r="L3961" s="499"/>
      <c r="M3961" s="73"/>
      <c r="N3961" s="499"/>
      <c r="O3961" s="73"/>
      <c r="P3961" s="73"/>
      <c r="Q3961" s="73"/>
      <c r="R3961" s="176"/>
      <c r="S3961" s="176"/>
      <c r="T3961" s="176"/>
      <c r="U3961" s="400"/>
      <c r="V3961" s="400"/>
      <c r="W3961" s="732"/>
      <c r="X3961" s="167"/>
      <c r="Y3961" s="509"/>
      <c r="Z3961" s="466"/>
      <c r="AA3961" s="466"/>
      <c r="AB3961" s="466"/>
      <c r="AC3961" s="466"/>
      <c r="AD3961" s="466"/>
      <c r="AE3961" s="466"/>
      <c r="AF3961" s="466"/>
      <c r="AG3961" s="466"/>
      <c r="AH3961" s="466"/>
      <c r="AI3961" s="466"/>
      <c r="AJ3961" s="466"/>
      <c r="AK3961" s="466"/>
      <c r="AL3961" s="466"/>
      <c r="AM3961" s="466"/>
      <c r="AN3961" s="466"/>
      <c r="AO3961" s="466"/>
      <c r="AP3961" s="466"/>
      <c r="AQ3961" s="466"/>
      <c r="AR3961" s="466"/>
      <c r="AS3961" s="466"/>
      <c r="AT3961" s="466"/>
      <c r="AU3961" s="466"/>
      <c r="AV3961" s="466"/>
      <c r="AW3961" s="466"/>
      <c r="AX3961" s="466"/>
      <c r="AY3961" s="466"/>
      <c r="AZ3961" s="466"/>
      <c r="BA3961" s="466"/>
      <c r="BB3961" s="466"/>
      <c r="BC3961" s="466"/>
      <c r="BD3961" s="466"/>
      <c r="BE3961" s="467"/>
      <c r="BF3961" s="467"/>
      <c r="BG3961" s="466"/>
      <c r="BH3961" s="466"/>
      <c r="BI3961" s="467"/>
      <c r="BJ3961" s="467"/>
      <c r="BK3961" s="467"/>
      <c r="BL3961" s="467"/>
      <c r="BM3961" s="467"/>
      <c r="BN3961" s="467"/>
      <c r="BO3961" s="467"/>
      <c r="BP3961" s="467"/>
      <c r="BQ3961" s="467"/>
      <c r="BR3961" s="467"/>
      <c r="BS3961" s="467"/>
      <c r="BT3961" s="467"/>
      <c r="BU3961" s="467"/>
      <c r="BV3961" s="467"/>
      <c r="BW3961" s="467"/>
      <c r="BX3961" s="769"/>
      <c r="BY3961" s="769"/>
      <c r="BZ3961" s="769"/>
      <c r="CA3961" s="769"/>
      <c r="CB3961" s="769"/>
      <c r="CC3961" s="769"/>
      <c r="CD3961" s="769"/>
      <c r="CE3961" s="769"/>
      <c r="CF3961" s="769"/>
      <c r="CG3961" s="73"/>
      <c r="CH3961" s="438"/>
      <c r="CI3961" s="416"/>
      <c r="CJ3961" s="73"/>
      <c r="CK3961" s="650"/>
      <c r="CL3961" s="499"/>
      <c r="CM3961" s="650"/>
      <c r="CR3961" s="416"/>
      <c r="CS3961" s="650"/>
      <c r="CU3961" s="73"/>
      <c r="CV3961" s="73"/>
      <c r="CW3961" s="73"/>
      <c r="CX3961" s="73"/>
      <c r="DA3961" s="650"/>
    </row>
    <row r="3962" spans="1:105" s="45" customFormat="1" x14ac:dyDescent="0.2">
      <c r="A3962" s="650"/>
      <c r="B3962" s="438"/>
      <c r="D3962" s="73"/>
      <c r="E3962" s="650"/>
      <c r="F3962" s="650"/>
      <c r="G3962" s="73"/>
      <c r="I3962" s="111"/>
      <c r="J3962" s="81"/>
      <c r="K3962" s="81"/>
      <c r="L3962" s="499"/>
      <c r="M3962" s="73"/>
      <c r="N3962" s="499"/>
      <c r="O3962" s="73"/>
      <c r="P3962" s="73"/>
      <c r="Q3962" s="73"/>
      <c r="R3962" s="176"/>
      <c r="S3962" s="176"/>
      <c r="T3962" s="176"/>
      <c r="U3962" s="400"/>
      <c r="V3962" s="400"/>
      <c r="W3962" s="732"/>
      <c r="X3962" s="167"/>
      <c r="Y3962" s="509"/>
      <c r="Z3962" s="466"/>
      <c r="AA3962" s="466"/>
      <c r="AB3962" s="466"/>
      <c r="AC3962" s="466"/>
      <c r="AD3962" s="466"/>
      <c r="AE3962" s="466"/>
      <c r="AF3962" s="466"/>
      <c r="AG3962" s="466"/>
      <c r="AH3962" s="466"/>
      <c r="AI3962" s="466"/>
      <c r="AJ3962" s="466"/>
      <c r="AK3962" s="466"/>
      <c r="AL3962" s="466"/>
      <c r="AM3962" s="466"/>
      <c r="AN3962" s="466"/>
      <c r="AO3962" s="466"/>
      <c r="AP3962" s="466"/>
      <c r="AQ3962" s="466"/>
      <c r="AR3962" s="466"/>
      <c r="AS3962" s="466"/>
      <c r="AT3962" s="466"/>
      <c r="AU3962" s="466"/>
      <c r="AV3962" s="466"/>
      <c r="AW3962" s="466"/>
      <c r="AX3962" s="466"/>
      <c r="AY3962" s="466"/>
      <c r="AZ3962" s="466"/>
      <c r="BA3962" s="466"/>
      <c r="BB3962" s="466"/>
      <c r="BC3962" s="466"/>
      <c r="BD3962" s="466"/>
      <c r="BE3962" s="467"/>
      <c r="BF3962" s="467"/>
      <c r="BG3962" s="466"/>
      <c r="BH3962" s="466"/>
      <c r="BI3962" s="467"/>
      <c r="BJ3962" s="467"/>
      <c r="BK3962" s="467"/>
      <c r="BL3962" s="467"/>
      <c r="BM3962" s="467"/>
      <c r="BN3962" s="467"/>
      <c r="BO3962" s="467"/>
      <c r="BP3962" s="467"/>
      <c r="BQ3962" s="467"/>
      <c r="BR3962" s="467"/>
      <c r="BS3962" s="467"/>
      <c r="BT3962" s="467"/>
      <c r="BU3962" s="467"/>
      <c r="BV3962" s="467"/>
      <c r="BW3962" s="467"/>
      <c r="BX3962" s="769"/>
      <c r="BY3962" s="769"/>
      <c r="BZ3962" s="769"/>
      <c r="CA3962" s="769"/>
      <c r="CB3962" s="769"/>
      <c r="CC3962" s="769"/>
      <c r="CD3962" s="769"/>
      <c r="CE3962" s="769"/>
      <c r="CF3962" s="769"/>
      <c r="CG3962" s="73"/>
      <c r="CH3962" s="438"/>
      <c r="CI3962" s="416"/>
      <c r="CJ3962" s="73"/>
      <c r="CK3962" s="650"/>
      <c r="CL3962" s="499"/>
      <c r="CM3962" s="650"/>
      <c r="CR3962" s="416"/>
      <c r="CS3962" s="650"/>
      <c r="CU3962" s="73"/>
      <c r="CV3962" s="73"/>
      <c r="CW3962" s="73"/>
      <c r="CX3962" s="73"/>
      <c r="DA3962" s="650"/>
    </row>
    <row r="3963" spans="1:105" s="45" customFormat="1" x14ac:dyDescent="0.2">
      <c r="A3963" s="650"/>
      <c r="B3963" s="438"/>
      <c r="D3963" s="73"/>
      <c r="E3963" s="650"/>
      <c r="F3963" s="650"/>
      <c r="G3963" s="73"/>
      <c r="I3963" s="111"/>
      <c r="J3963" s="81"/>
      <c r="K3963" s="81"/>
      <c r="L3963" s="499"/>
      <c r="M3963" s="73"/>
      <c r="N3963" s="499"/>
      <c r="O3963" s="73"/>
      <c r="P3963" s="73"/>
      <c r="Q3963" s="73"/>
      <c r="R3963" s="176"/>
      <c r="S3963" s="176"/>
      <c r="T3963" s="176"/>
      <c r="U3963" s="400"/>
      <c r="V3963" s="400"/>
      <c r="W3963" s="732"/>
      <c r="X3963" s="167"/>
      <c r="Y3963" s="509"/>
      <c r="Z3963" s="466"/>
      <c r="AA3963" s="466"/>
      <c r="AB3963" s="466"/>
      <c r="AC3963" s="466"/>
      <c r="AD3963" s="466"/>
      <c r="AE3963" s="466"/>
      <c r="AF3963" s="466"/>
      <c r="AG3963" s="466"/>
      <c r="AH3963" s="466"/>
      <c r="AI3963" s="466"/>
      <c r="AJ3963" s="466"/>
      <c r="AK3963" s="466"/>
      <c r="AL3963" s="466"/>
      <c r="AM3963" s="466"/>
      <c r="AN3963" s="466"/>
      <c r="AO3963" s="466"/>
      <c r="AP3963" s="466"/>
      <c r="AQ3963" s="466"/>
      <c r="AR3963" s="466"/>
      <c r="AS3963" s="466"/>
      <c r="AT3963" s="466"/>
      <c r="AU3963" s="466"/>
      <c r="AV3963" s="466"/>
      <c r="AW3963" s="466"/>
      <c r="AX3963" s="466"/>
      <c r="AY3963" s="466"/>
      <c r="AZ3963" s="466"/>
      <c r="BA3963" s="466"/>
      <c r="BB3963" s="466"/>
      <c r="BC3963" s="466"/>
      <c r="BD3963" s="466"/>
      <c r="BE3963" s="467"/>
      <c r="BF3963" s="467"/>
      <c r="BG3963" s="466"/>
      <c r="BH3963" s="466"/>
      <c r="BI3963" s="467"/>
      <c r="BJ3963" s="467"/>
      <c r="BK3963" s="467"/>
      <c r="BL3963" s="467"/>
      <c r="BM3963" s="467"/>
      <c r="BN3963" s="467"/>
      <c r="BO3963" s="467"/>
      <c r="BP3963" s="467"/>
      <c r="BQ3963" s="467"/>
      <c r="BR3963" s="467"/>
      <c r="BS3963" s="467"/>
      <c r="BT3963" s="467"/>
      <c r="BU3963" s="467"/>
      <c r="BV3963" s="467"/>
      <c r="BW3963" s="467"/>
      <c r="BX3963" s="769"/>
      <c r="BY3963" s="769"/>
      <c r="BZ3963" s="769"/>
      <c r="CA3963" s="769"/>
      <c r="CB3963" s="769"/>
      <c r="CC3963" s="769"/>
      <c r="CD3963" s="769"/>
      <c r="CE3963" s="769"/>
      <c r="CF3963" s="769"/>
      <c r="CG3963" s="73"/>
      <c r="CH3963" s="438"/>
      <c r="CI3963" s="416"/>
      <c r="CJ3963" s="73"/>
      <c r="CK3963" s="650"/>
      <c r="CL3963" s="499"/>
      <c r="CM3963" s="650"/>
      <c r="CR3963" s="416"/>
      <c r="CS3963" s="650"/>
      <c r="CU3963" s="73"/>
      <c r="CV3963" s="73"/>
      <c r="CW3963" s="73"/>
      <c r="CX3963" s="73"/>
      <c r="DA3963" s="650"/>
    </row>
    <row r="3964" spans="1:105" s="45" customFormat="1" x14ac:dyDescent="0.2">
      <c r="A3964" s="650"/>
      <c r="B3964" s="438"/>
      <c r="D3964" s="73"/>
      <c r="E3964" s="650"/>
      <c r="F3964" s="650"/>
      <c r="G3964" s="73"/>
      <c r="I3964" s="111"/>
      <c r="J3964" s="81"/>
      <c r="K3964" s="81"/>
      <c r="L3964" s="499"/>
      <c r="M3964" s="73"/>
      <c r="N3964" s="499"/>
      <c r="O3964" s="73"/>
      <c r="P3964" s="73"/>
      <c r="Q3964" s="73"/>
      <c r="R3964" s="176"/>
      <c r="S3964" s="176"/>
      <c r="T3964" s="176"/>
      <c r="U3964" s="400"/>
      <c r="V3964" s="400"/>
      <c r="W3964" s="732"/>
      <c r="X3964" s="167"/>
      <c r="Y3964" s="509"/>
      <c r="Z3964" s="466"/>
      <c r="AA3964" s="466"/>
      <c r="AB3964" s="466"/>
      <c r="AC3964" s="466"/>
      <c r="AD3964" s="466"/>
      <c r="AE3964" s="466"/>
      <c r="AF3964" s="466"/>
      <c r="AG3964" s="466"/>
      <c r="AH3964" s="466"/>
      <c r="AI3964" s="466"/>
      <c r="AJ3964" s="466"/>
      <c r="AK3964" s="466"/>
      <c r="AL3964" s="466"/>
      <c r="AM3964" s="466"/>
      <c r="AN3964" s="466"/>
      <c r="AO3964" s="466"/>
      <c r="AP3964" s="466"/>
      <c r="AQ3964" s="466"/>
      <c r="AR3964" s="466"/>
      <c r="AS3964" s="466"/>
      <c r="AT3964" s="466"/>
      <c r="AU3964" s="466"/>
      <c r="AV3964" s="466"/>
      <c r="AW3964" s="466"/>
      <c r="AX3964" s="466"/>
      <c r="AY3964" s="466"/>
      <c r="AZ3964" s="466"/>
      <c r="BA3964" s="466"/>
      <c r="BB3964" s="466"/>
      <c r="BC3964" s="466"/>
      <c r="BD3964" s="466"/>
      <c r="BE3964" s="467"/>
      <c r="BF3964" s="467"/>
      <c r="BG3964" s="466"/>
      <c r="BH3964" s="466"/>
      <c r="BI3964" s="467"/>
      <c r="BJ3964" s="467"/>
      <c r="BK3964" s="467"/>
      <c r="BL3964" s="467"/>
      <c r="BM3964" s="467"/>
      <c r="BN3964" s="467"/>
      <c r="BO3964" s="467"/>
      <c r="BP3964" s="467"/>
      <c r="BQ3964" s="467"/>
      <c r="BR3964" s="467"/>
      <c r="BS3964" s="467"/>
      <c r="BT3964" s="467"/>
      <c r="BU3964" s="467"/>
      <c r="BV3964" s="467"/>
      <c r="BW3964" s="467"/>
      <c r="BX3964" s="769"/>
      <c r="BY3964" s="769"/>
      <c r="BZ3964" s="769"/>
      <c r="CA3964" s="769"/>
      <c r="CB3964" s="769"/>
      <c r="CC3964" s="769"/>
      <c r="CD3964" s="769"/>
      <c r="CE3964" s="769"/>
      <c r="CF3964" s="769"/>
      <c r="CG3964" s="73"/>
      <c r="CH3964" s="438"/>
      <c r="CI3964" s="416"/>
      <c r="CJ3964" s="73"/>
      <c r="CK3964" s="650"/>
      <c r="CL3964" s="499"/>
      <c r="CM3964" s="650"/>
      <c r="CR3964" s="416"/>
      <c r="CS3964" s="650"/>
      <c r="CU3964" s="73"/>
      <c r="CV3964" s="73"/>
      <c r="CW3964" s="73"/>
      <c r="CX3964" s="73"/>
      <c r="DA3964" s="650"/>
    </row>
    <row r="3965" spans="1:105" s="45" customFormat="1" x14ac:dyDescent="0.2">
      <c r="A3965" s="650"/>
      <c r="B3965" s="438"/>
      <c r="D3965" s="73"/>
      <c r="E3965" s="650"/>
      <c r="F3965" s="650"/>
      <c r="G3965" s="73"/>
      <c r="I3965" s="111"/>
      <c r="J3965" s="81"/>
      <c r="K3965" s="81"/>
      <c r="L3965" s="499"/>
      <c r="M3965" s="73"/>
      <c r="N3965" s="499"/>
      <c r="O3965" s="73"/>
      <c r="P3965" s="73"/>
      <c r="Q3965" s="73"/>
      <c r="R3965" s="176"/>
      <c r="S3965" s="176"/>
      <c r="T3965" s="176"/>
      <c r="U3965" s="400"/>
      <c r="V3965" s="400"/>
      <c r="W3965" s="732"/>
      <c r="X3965" s="167"/>
      <c r="Y3965" s="509"/>
      <c r="Z3965" s="466"/>
      <c r="AA3965" s="466"/>
      <c r="AB3965" s="466"/>
      <c r="AC3965" s="466"/>
      <c r="AD3965" s="466"/>
      <c r="AE3965" s="466"/>
      <c r="AF3965" s="466"/>
      <c r="AG3965" s="466"/>
      <c r="AH3965" s="466"/>
      <c r="AI3965" s="466"/>
      <c r="AJ3965" s="466"/>
      <c r="AK3965" s="466"/>
      <c r="AL3965" s="466"/>
      <c r="AM3965" s="466"/>
      <c r="AN3965" s="466"/>
      <c r="AO3965" s="466"/>
      <c r="AP3965" s="466"/>
      <c r="AQ3965" s="466"/>
      <c r="AR3965" s="466"/>
      <c r="AS3965" s="466"/>
      <c r="AT3965" s="466"/>
      <c r="AU3965" s="466"/>
      <c r="AV3965" s="466"/>
      <c r="AW3965" s="466"/>
      <c r="AX3965" s="466"/>
      <c r="AY3965" s="466"/>
      <c r="AZ3965" s="466"/>
      <c r="BA3965" s="466"/>
      <c r="BB3965" s="466"/>
      <c r="BC3965" s="466"/>
      <c r="BD3965" s="466"/>
      <c r="BE3965" s="467"/>
      <c r="BF3965" s="467"/>
      <c r="BG3965" s="466"/>
      <c r="BH3965" s="466"/>
      <c r="BI3965" s="467"/>
      <c r="BJ3965" s="467"/>
      <c r="BK3965" s="467"/>
      <c r="BL3965" s="467"/>
      <c r="BM3965" s="467"/>
      <c r="BN3965" s="467"/>
      <c r="BO3965" s="467"/>
      <c r="BP3965" s="467"/>
      <c r="BQ3965" s="467"/>
      <c r="BR3965" s="467"/>
      <c r="BS3965" s="467"/>
      <c r="BT3965" s="467"/>
      <c r="BU3965" s="467"/>
      <c r="BV3965" s="467"/>
      <c r="BW3965" s="467"/>
      <c r="BX3965" s="769"/>
      <c r="BY3965" s="769"/>
      <c r="BZ3965" s="769"/>
      <c r="CA3965" s="769"/>
      <c r="CB3965" s="769"/>
      <c r="CC3965" s="769"/>
      <c r="CD3965" s="769"/>
      <c r="CE3965" s="769"/>
      <c r="CF3965" s="769"/>
      <c r="CG3965" s="73"/>
      <c r="CH3965" s="438"/>
      <c r="CI3965" s="416"/>
      <c r="CJ3965" s="73"/>
      <c r="CK3965" s="650"/>
      <c r="CL3965" s="499"/>
      <c r="CM3965" s="650"/>
      <c r="CR3965" s="416"/>
      <c r="CS3965" s="650"/>
      <c r="CU3965" s="73"/>
      <c r="CV3965" s="73"/>
      <c r="CW3965" s="73"/>
      <c r="CX3965" s="73"/>
      <c r="DA3965" s="650"/>
    </row>
    <row r="3966" spans="1:105" s="45" customFormat="1" x14ac:dyDescent="0.2">
      <c r="A3966" s="650"/>
      <c r="B3966" s="438"/>
      <c r="D3966" s="73"/>
      <c r="E3966" s="650"/>
      <c r="F3966" s="650"/>
      <c r="G3966" s="73"/>
      <c r="I3966" s="111"/>
      <c r="J3966" s="81"/>
      <c r="K3966" s="81"/>
      <c r="L3966" s="499"/>
      <c r="M3966" s="73"/>
      <c r="N3966" s="499"/>
      <c r="O3966" s="73"/>
      <c r="P3966" s="73"/>
      <c r="Q3966" s="73"/>
      <c r="R3966" s="176"/>
      <c r="S3966" s="176"/>
      <c r="T3966" s="176"/>
      <c r="U3966" s="400"/>
      <c r="V3966" s="400"/>
      <c r="W3966" s="732"/>
      <c r="X3966" s="167"/>
      <c r="Y3966" s="509"/>
      <c r="Z3966" s="466"/>
      <c r="AA3966" s="466"/>
      <c r="AB3966" s="466"/>
      <c r="AC3966" s="466"/>
      <c r="AD3966" s="466"/>
      <c r="AE3966" s="466"/>
      <c r="AF3966" s="466"/>
      <c r="AG3966" s="466"/>
      <c r="AH3966" s="466"/>
      <c r="AI3966" s="466"/>
      <c r="AJ3966" s="466"/>
      <c r="AK3966" s="466"/>
      <c r="AL3966" s="466"/>
      <c r="AM3966" s="466"/>
      <c r="AN3966" s="466"/>
      <c r="AO3966" s="466"/>
      <c r="AP3966" s="466"/>
      <c r="AQ3966" s="466"/>
      <c r="AR3966" s="466"/>
      <c r="AS3966" s="466"/>
      <c r="AT3966" s="466"/>
      <c r="AU3966" s="466"/>
      <c r="AV3966" s="466"/>
      <c r="AW3966" s="466"/>
      <c r="AX3966" s="466"/>
      <c r="AY3966" s="466"/>
      <c r="AZ3966" s="466"/>
      <c r="BA3966" s="466"/>
      <c r="BB3966" s="466"/>
      <c r="BC3966" s="466"/>
      <c r="BD3966" s="466"/>
      <c r="BE3966" s="467"/>
      <c r="BF3966" s="467"/>
      <c r="BG3966" s="466"/>
      <c r="BH3966" s="466"/>
      <c r="BI3966" s="467"/>
      <c r="BJ3966" s="467"/>
      <c r="BK3966" s="467"/>
      <c r="BL3966" s="467"/>
      <c r="BM3966" s="467"/>
      <c r="BN3966" s="467"/>
      <c r="BO3966" s="467"/>
      <c r="BP3966" s="467"/>
      <c r="BQ3966" s="467"/>
      <c r="BR3966" s="467"/>
      <c r="BS3966" s="467"/>
      <c r="BT3966" s="467"/>
      <c r="BU3966" s="467"/>
      <c r="BV3966" s="467"/>
      <c r="BW3966" s="467"/>
      <c r="BX3966" s="769"/>
      <c r="BY3966" s="769"/>
      <c r="BZ3966" s="769"/>
      <c r="CA3966" s="769"/>
      <c r="CB3966" s="769"/>
      <c r="CC3966" s="769"/>
      <c r="CD3966" s="769"/>
      <c r="CE3966" s="769"/>
      <c r="CF3966" s="769"/>
      <c r="CG3966" s="73"/>
      <c r="CH3966" s="438"/>
      <c r="CI3966" s="416"/>
      <c r="CJ3966" s="73"/>
      <c r="CK3966" s="650"/>
      <c r="CL3966" s="499"/>
      <c r="CM3966" s="650"/>
      <c r="CR3966" s="416"/>
      <c r="CS3966" s="650"/>
      <c r="CU3966" s="73"/>
      <c r="CV3966" s="73"/>
      <c r="CW3966" s="73"/>
      <c r="CX3966" s="73"/>
      <c r="DA3966" s="650"/>
    </row>
    <row r="3967" spans="1:105" s="45" customFormat="1" x14ac:dyDescent="0.2">
      <c r="A3967" s="650"/>
      <c r="B3967" s="438"/>
      <c r="D3967" s="73"/>
      <c r="E3967" s="650"/>
      <c r="F3967" s="650"/>
      <c r="G3967" s="73"/>
      <c r="I3967" s="111"/>
      <c r="J3967" s="81"/>
      <c r="K3967" s="81"/>
      <c r="L3967" s="499"/>
      <c r="M3967" s="73"/>
      <c r="N3967" s="499"/>
      <c r="O3967" s="73"/>
      <c r="P3967" s="73"/>
      <c r="Q3967" s="73"/>
      <c r="R3967" s="176"/>
      <c r="S3967" s="176"/>
      <c r="T3967" s="176"/>
      <c r="U3967" s="400"/>
      <c r="V3967" s="400"/>
      <c r="W3967" s="732"/>
      <c r="X3967" s="167"/>
      <c r="Y3967" s="509"/>
      <c r="Z3967" s="466"/>
      <c r="AA3967" s="466"/>
      <c r="AB3967" s="466"/>
      <c r="AC3967" s="466"/>
      <c r="AD3967" s="466"/>
      <c r="AE3967" s="466"/>
      <c r="AF3967" s="466"/>
      <c r="AG3967" s="466"/>
      <c r="AH3967" s="466"/>
      <c r="AI3967" s="466"/>
      <c r="AJ3967" s="466"/>
      <c r="AK3967" s="466"/>
      <c r="AL3967" s="466"/>
      <c r="AM3967" s="466"/>
      <c r="AN3967" s="466"/>
      <c r="AO3967" s="466"/>
      <c r="AP3967" s="466"/>
      <c r="AQ3967" s="466"/>
      <c r="AR3967" s="466"/>
      <c r="AS3967" s="466"/>
      <c r="AT3967" s="466"/>
      <c r="AU3967" s="466"/>
      <c r="AV3967" s="466"/>
      <c r="AW3967" s="466"/>
      <c r="AX3967" s="466"/>
      <c r="AY3967" s="466"/>
      <c r="AZ3967" s="466"/>
      <c r="BA3967" s="466"/>
      <c r="BB3967" s="466"/>
      <c r="BC3967" s="466"/>
      <c r="BD3967" s="466"/>
      <c r="BE3967" s="467"/>
      <c r="BF3967" s="467"/>
      <c r="BG3967" s="466"/>
      <c r="BH3967" s="466"/>
      <c r="BI3967" s="467"/>
      <c r="BJ3967" s="467"/>
      <c r="BK3967" s="467"/>
      <c r="BL3967" s="467"/>
      <c r="BM3967" s="467"/>
      <c r="BN3967" s="467"/>
      <c r="BO3967" s="467"/>
      <c r="BP3967" s="467"/>
      <c r="BQ3967" s="467"/>
      <c r="BR3967" s="467"/>
      <c r="BS3967" s="467"/>
      <c r="BT3967" s="467"/>
      <c r="BU3967" s="467"/>
      <c r="BV3967" s="467"/>
      <c r="BW3967" s="467"/>
      <c r="BX3967" s="769"/>
      <c r="BY3967" s="769"/>
      <c r="BZ3967" s="769"/>
      <c r="CA3967" s="769"/>
      <c r="CB3967" s="769"/>
      <c r="CC3967" s="769"/>
      <c r="CD3967" s="769"/>
      <c r="CE3967" s="769"/>
      <c r="CF3967" s="769"/>
      <c r="CG3967" s="73"/>
      <c r="CH3967" s="438"/>
      <c r="CI3967" s="416"/>
      <c r="CJ3967" s="73"/>
      <c r="CK3967" s="650"/>
      <c r="CL3967" s="499"/>
      <c r="CM3967" s="650"/>
      <c r="CR3967" s="416"/>
      <c r="CS3967" s="650"/>
      <c r="CU3967" s="73"/>
      <c r="CV3967" s="73"/>
      <c r="CW3967" s="73"/>
      <c r="CX3967" s="73"/>
      <c r="DA3967" s="650"/>
    </row>
    <row r="3968" spans="1:105" s="45" customFormat="1" x14ac:dyDescent="0.2">
      <c r="A3968" s="650"/>
      <c r="B3968" s="438"/>
      <c r="D3968" s="73"/>
      <c r="E3968" s="650"/>
      <c r="F3968" s="650"/>
      <c r="G3968" s="73"/>
      <c r="I3968" s="111"/>
      <c r="J3968" s="81"/>
      <c r="K3968" s="81"/>
      <c r="L3968" s="499"/>
      <c r="M3968" s="73"/>
      <c r="N3968" s="499"/>
      <c r="O3968" s="73"/>
      <c r="P3968" s="73"/>
      <c r="Q3968" s="73"/>
      <c r="R3968" s="176"/>
      <c r="S3968" s="176"/>
      <c r="T3968" s="176"/>
      <c r="U3968" s="400"/>
      <c r="V3968" s="400"/>
      <c r="W3968" s="732"/>
      <c r="X3968" s="167"/>
      <c r="Y3968" s="509"/>
      <c r="Z3968" s="466"/>
      <c r="AA3968" s="466"/>
      <c r="AB3968" s="466"/>
      <c r="AC3968" s="466"/>
      <c r="AD3968" s="466"/>
      <c r="AE3968" s="466"/>
      <c r="AF3968" s="466"/>
      <c r="AG3968" s="466"/>
      <c r="AH3968" s="466"/>
      <c r="AI3968" s="466"/>
      <c r="AJ3968" s="466"/>
      <c r="AK3968" s="466"/>
      <c r="AL3968" s="466"/>
      <c r="AM3968" s="466"/>
      <c r="AN3968" s="466"/>
      <c r="AO3968" s="466"/>
      <c r="AP3968" s="466"/>
      <c r="AQ3968" s="466"/>
      <c r="AR3968" s="466"/>
      <c r="AS3968" s="466"/>
      <c r="AT3968" s="466"/>
      <c r="AU3968" s="466"/>
      <c r="AV3968" s="466"/>
      <c r="AW3968" s="466"/>
      <c r="AX3968" s="466"/>
      <c r="AY3968" s="466"/>
      <c r="AZ3968" s="466"/>
      <c r="BA3968" s="466"/>
      <c r="BB3968" s="466"/>
      <c r="BC3968" s="466"/>
      <c r="BD3968" s="466"/>
      <c r="BE3968" s="467"/>
      <c r="BF3968" s="467"/>
      <c r="BG3968" s="466"/>
      <c r="BH3968" s="466"/>
      <c r="BI3968" s="467"/>
      <c r="BJ3968" s="467"/>
      <c r="BK3968" s="467"/>
      <c r="BL3968" s="467"/>
      <c r="BM3968" s="467"/>
      <c r="BN3968" s="467"/>
      <c r="BO3968" s="467"/>
      <c r="BP3968" s="467"/>
      <c r="BQ3968" s="467"/>
      <c r="BR3968" s="467"/>
      <c r="BS3968" s="467"/>
      <c r="BT3968" s="467"/>
      <c r="BU3968" s="467"/>
      <c r="BV3968" s="467"/>
      <c r="BW3968" s="467"/>
      <c r="BX3968" s="769"/>
      <c r="BY3968" s="769"/>
      <c r="BZ3968" s="769"/>
      <c r="CA3968" s="769"/>
      <c r="CB3968" s="769"/>
      <c r="CC3968" s="769"/>
      <c r="CD3968" s="769"/>
      <c r="CE3968" s="769"/>
      <c r="CF3968" s="769"/>
      <c r="CG3968" s="73"/>
      <c r="CH3968" s="438"/>
      <c r="CI3968" s="416"/>
      <c r="CJ3968" s="73"/>
      <c r="CK3968" s="650"/>
      <c r="CL3968" s="499"/>
      <c r="CM3968" s="650"/>
      <c r="CR3968" s="416"/>
      <c r="CS3968" s="650"/>
      <c r="CU3968" s="73"/>
      <c r="CV3968" s="73"/>
      <c r="CW3968" s="73"/>
      <c r="CX3968" s="73"/>
      <c r="DA3968" s="650"/>
    </row>
    <row r="3969" spans="1:105" s="45" customFormat="1" x14ac:dyDescent="0.2">
      <c r="A3969" s="650"/>
      <c r="B3969" s="438"/>
      <c r="D3969" s="73"/>
      <c r="E3969" s="650"/>
      <c r="F3969" s="650"/>
      <c r="G3969" s="73"/>
      <c r="I3969" s="111"/>
      <c r="J3969" s="81"/>
      <c r="K3969" s="81"/>
      <c r="L3969" s="499"/>
      <c r="M3969" s="73"/>
      <c r="N3969" s="499"/>
      <c r="O3969" s="73"/>
      <c r="P3969" s="73"/>
      <c r="Q3969" s="73"/>
      <c r="R3969" s="176"/>
      <c r="S3969" s="176"/>
      <c r="T3969" s="176"/>
      <c r="U3969" s="400"/>
      <c r="V3969" s="400"/>
      <c r="W3969" s="732"/>
      <c r="X3969" s="167"/>
      <c r="Y3969" s="509"/>
      <c r="Z3969" s="466"/>
      <c r="AA3969" s="466"/>
      <c r="AB3969" s="466"/>
      <c r="AC3969" s="466"/>
      <c r="AD3969" s="466"/>
      <c r="AE3969" s="466"/>
      <c r="AF3969" s="466"/>
      <c r="AG3969" s="466"/>
      <c r="AH3969" s="466"/>
      <c r="AI3969" s="466"/>
      <c r="AJ3969" s="466"/>
      <c r="AK3969" s="466"/>
      <c r="AL3969" s="466"/>
      <c r="AM3969" s="466"/>
      <c r="AN3969" s="466"/>
      <c r="AO3969" s="466"/>
      <c r="AP3969" s="466"/>
      <c r="AQ3969" s="466"/>
      <c r="AR3969" s="466"/>
      <c r="AS3969" s="466"/>
      <c r="AT3969" s="466"/>
      <c r="AU3969" s="466"/>
      <c r="AV3969" s="466"/>
      <c r="AW3969" s="466"/>
      <c r="AX3969" s="466"/>
      <c r="AY3969" s="466"/>
      <c r="AZ3969" s="466"/>
      <c r="BA3969" s="466"/>
      <c r="BB3969" s="466"/>
      <c r="BC3969" s="466"/>
      <c r="BD3969" s="466"/>
      <c r="BE3969" s="467"/>
      <c r="BF3969" s="467"/>
      <c r="BG3969" s="466"/>
      <c r="BH3969" s="466"/>
      <c r="BI3969" s="467"/>
      <c r="BJ3969" s="467"/>
      <c r="BK3969" s="467"/>
      <c r="BL3969" s="467"/>
      <c r="BM3969" s="467"/>
      <c r="BN3969" s="467"/>
      <c r="BO3969" s="467"/>
      <c r="BP3969" s="467"/>
      <c r="BQ3969" s="467"/>
      <c r="BR3969" s="467"/>
      <c r="BS3969" s="467"/>
      <c r="BT3969" s="467"/>
      <c r="BU3969" s="467"/>
      <c r="BV3969" s="467"/>
      <c r="BW3969" s="467"/>
      <c r="BX3969" s="769"/>
      <c r="BY3969" s="769"/>
      <c r="BZ3969" s="769"/>
      <c r="CA3969" s="769"/>
      <c r="CB3969" s="769"/>
      <c r="CC3969" s="769"/>
      <c r="CD3969" s="769"/>
      <c r="CE3969" s="769"/>
      <c r="CF3969" s="769"/>
      <c r="CG3969" s="73"/>
      <c r="CH3969" s="438"/>
      <c r="CI3969" s="416"/>
      <c r="CJ3969" s="73"/>
      <c r="CK3969" s="650"/>
      <c r="CL3969" s="499"/>
      <c r="CM3969" s="650"/>
      <c r="CR3969" s="416"/>
      <c r="CS3969" s="650"/>
      <c r="CU3969" s="73"/>
      <c r="CV3969" s="73"/>
      <c r="CW3969" s="73"/>
      <c r="CX3969" s="73"/>
      <c r="DA3969" s="650"/>
    </row>
    <row r="3970" spans="1:105" s="45" customFormat="1" x14ac:dyDescent="0.2">
      <c r="A3970" s="650"/>
      <c r="B3970" s="438"/>
      <c r="D3970" s="73"/>
      <c r="E3970" s="650"/>
      <c r="F3970" s="650"/>
      <c r="G3970" s="73"/>
      <c r="I3970" s="111"/>
      <c r="J3970" s="81"/>
      <c r="K3970" s="81"/>
      <c r="L3970" s="499"/>
      <c r="M3970" s="73"/>
      <c r="N3970" s="499"/>
      <c r="O3970" s="73"/>
      <c r="P3970" s="73"/>
      <c r="Q3970" s="73"/>
      <c r="R3970" s="176"/>
      <c r="S3970" s="176"/>
      <c r="T3970" s="176"/>
      <c r="U3970" s="400"/>
      <c r="V3970" s="400"/>
      <c r="W3970" s="732"/>
      <c r="X3970" s="167"/>
      <c r="Y3970" s="509"/>
      <c r="Z3970" s="466"/>
      <c r="AA3970" s="466"/>
      <c r="AB3970" s="466"/>
      <c r="AC3970" s="466"/>
      <c r="AD3970" s="466"/>
      <c r="AE3970" s="466"/>
      <c r="AF3970" s="466"/>
      <c r="AG3970" s="466"/>
      <c r="AH3970" s="466"/>
      <c r="AI3970" s="466"/>
      <c r="AJ3970" s="466"/>
      <c r="AK3970" s="466"/>
      <c r="AL3970" s="466"/>
      <c r="AM3970" s="466"/>
      <c r="AN3970" s="466"/>
      <c r="AO3970" s="466"/>
      <c r="AP3970" s="466"/>
      <c r="AQ3970" s="466"/>
      <c r="AR3970" s="466"/>
      <c r="AS3970" s="466"/>
      <c r="AT3970" s="466"/>
      <c r="AU3970" s="466"/>
      <c r="AV3970" s="466"/>
      <c r="AW3970" s="466"/>
      <c r="AX3970" s="466"/>
      <c r="AY3970" s="466"/>
      <c r="AZ3970" s="466"/>
      <c r="BA3970" s="466"/>
      <c r="BB3970" s="466"/>
      <c r="BC3970" s="466"/>
      <c r="BD3970" s="466"/>
      <c r="BE3970" s="467"/>
      <c r="BF3970" s="467"/>
      <c r="BG3970" s="466"/>
      <c r="BH3970" s="466"/>
      <c r="BI3970" s="467"/>
      <c r="BJ3970" s="467"/>
      <c r="BK3970" s="467"/>
      <c r="BL3970" s="467"/>
      <c r="BM3970" s="467"/>
      <c r="BN3970" s="467"/>
      <c r="BO3970" s="467"/>
      <c r="BP3970" s="467"/>
      <c r="BQ3970" s="467"/>
      <c r="BR3970" s="467"/>
      <c r="BS3970" s="467"/>
      <c r="BT3970" s="467"/>
      <c r="BU3970" s="467"/>
      <c r="BV3970" s="467"/>
      <c r="BW3970" s="467"/>
      <c r="BX3970" s="769"/>
      <c r="BY3970" s="769"/>
      <c r="BZ3970" s="769"/>
      <c r="CA3970" s="769"/>
      <c r="CB3970" s="769"/>
      <c r="CC3970" s="769"/>
      <c r="CD3970" s="769"/>
      <c r="CE3970" s="769"/>
      <c r="CF3970" s="769"/>
      <c r="CG3970" s="73"/>
      <c r="CH3970" s="438"/>
      <c r="CI3970" s="416"/>
      <c r="CJ3970" s="73"/>
      <c r="CK3970" s="650"/>
      <c r="CL3970" s="499"/>
      <c r="CM3970" s="650"/>
      <c r="CR3970" s="416"/>
      <c r="CS3970" s="650"/>
      <c r="CU3970" s="73"/>
      <c r="CV3970" s="73"/>
      <c r="CW3970" s="73"/>
      <c r="CX3970" s="73"/>
      <c r="DA3970" s="650"/>
    </row>
    <row r="3971" spans="1:105" s="45" customFormat="1" x14ac:dyDescent="0.2">
      <c r="A3971" s="650"/>
      <c r="B3971" s="438"/>
      <c r="D3971" s="73"/>
      <c r="E3971" s="650"/>
      <c r="F3971" s="650"/>
      <c r="G3971" s="73"/>
      <c r="I3971" s="111"/>
      <c r="J3971" s="81"/>
      <c r="K3971" s="81"/>
      <c r="L3971" s="499"/>
      <c r="M3971" s="73"/>
      <c r="N3971" s="499"/>
      <c r="O3971" s="73"/>
      <c r="P3971" s="73"/>
      <c r="Q3971" s="73"/>
      <c r="R3971" s="176"/>
      <c r="S3971" s="176"/>
      <c r="T3971" s="176"/>
      <c r="U3971" s="400"/>
      <c r="V3971" s="400"/>
      <c r="W3971" s="732"/>
      <c r="X3971" s="167"/>
      <c r="Y3971" s="509"/>
      <c r="Z3971" s="466"/>
      <c r="AA3971" s="466"/>
      <c r="AB3971" s="466"/>
      <c r="AC3971" s="466"/>
      <c r="AD3971" s="466"/>
      <c r="AE3971" s="466"/>
      <c r="AF3971" s="466"/>
      <c r="AG3971" s="466"/>
      <c r="AH3971" s="466"/>
      <c r="AI3971" s="466"/>
      <c r="AJ3971" s="466"/>
      <c r="AK3971" s="466"/>
      <c r="AL3971" s="466"/>
      <c r="AM3971" s="466"/>
      <c r="AN3971" s="466"/>
      <c r="AO3971" s="466"/>
      <c r="AP3971" s="466"/>
      <c r="AQ3971" s="466"/>
      <c r="AR3971" s="466"/>
      <c r="AS3971" s="466"/>
      <c r="AT3971" s="466"/>
      <c r="AU3971" s="466"/>
      <c r="AV3971" s="466"/>
      <c r="AW3971" s="466"/>
      <c r="AX3971" s="466"/>
      <c r="AY3971" s="466"/>
      <c r="AZ3971" s="466"/>
      <c r="BA3971" s="466"/>
      <c r="BB3971" s="466"/>
      <c r="BC3971" s="466"/>
      <c r="BD3971" s="466"/>
      <c r="BE3971" s="467"/>
      <c r="BF3971" s="467"/>
      <c r="BG3971" s="466"/>
      <c r="BH3971" s="466"/>
      <c r="BI3971" s="467"/>
      <c r="BJ3971" s="467"/>
      <c r="BK3971" s="467"/>
      <c r="BL3971" s="467"/>
      <c r="BM3971" s="467"/>
      <c r="BN3971" s="467"/>
      <c r="BO3971" s="467"/>
      <c r="BP3971" s="467"/>
      <c r="BQ3971" s="467"/>
      <c r="BR3971" s="467"/>
      <c r="BS3971" s="467"/>
      <c r="BT3971" s="467"/>
      <c r="BU3971" s="467"/>
      <c r="BV3971" s="467"/>
      <c r="BW3971" s="467"/>
      <c r="BX3971" s="769"/>
      <c r="BY3971" s="769"/>
      <c r="BZ3971" s="769"/>
      <c r="CA3971" s="769"/>
      <c r="CB3971" s="769"/>
      <c r="CC3971" s="769"/>
      <c r="CD3971" s="769"/>
      <c r="CE3971" s="769"/>
      <c r="CF3971" s="769"/>
      <c r="CG3971" s="73"/>
      <c r="CH3971" s="438"/>
      <c r="CI3971" s="416"/>
      <c r="CJ3971" s="73"/>
      <c r="CK3971" s="650"/>
      <c r="CL3971" s="499"/>
      <c r="CM3971" s="650"/>
      <c r="CR3971" s="416"/>
      <c r="CS3971" s="650"/>
      <c r="CU3971" s="73"/>
      <c r="CV3971" s="73"/>
      <c r="CW3971" s="73"/>
      <c r="CX3971" s="73"/>
      <c r="DA3971" s="650"/>
    </row>
    <row r="3972" spans="1:105" s="45" customFormat="1" x14ac:dyDescent="0.2">
      <c r="A3972" s="650"/>
      <c r="B3972" s="438"/>
      <c r="D3972" s="73"/>
      <c r="E3972" s="650"/>
      <c r="F3972" s="650"/>
      <c r="G3972" s="73"/>
      <c r="I3972" s="111"/>
      <c r="J3972" s="81"/>
      <c r="K3972" s="81"/>
      <c r="L3972" s="499"/>
      <c r="M3972" s="73"/>
      <c r="N3972" s="499"/>
      <c r="O3972" s="73"/>
      <c r="P3972" s="73"/>
      <c r="Q3972" s="73"/>
      <c r="R3972" s="176"/>
      <c r="S3972" s="176"/>
      <c r="T3972" s="176"/>
      <c r="U3972" s="400"/>
      <c r="V3972" s="400"/>
      <c r="W3972" s="732"/>
      <c r="X3972" s="167"/>
      <c r="Y3972" s="509"/>
      <c r="Z3972" s="466"/>
      <c r="AA3972" s="466"/>
      <c r="AB3972" s="466"/>
      <c r="AC3972" s="466"/>
      <c r="AD3972" s="466"/>
      <c r="AE3972" s="466"/>
      <c r="AF3972" s="466"/>
      <c r="AG3972" s="466"/>
      <c r="AH3972" s="466"/>
      <c r="AI3972" s="466"/>
      <c r="AJ3972" s="466"/>
      <c r="AK3972" s="466"/>
      <c r="AL3972" s="466"/>
      <c r="AM3972" s="466"/>
      <c r="AN3972" s="466"/>
      <c r="AO3972" s="466"/>
      <c r="AP3972" s="466"/>
      <c r="AQ3972" s="466"/>
      <c r="AR3972" s="466"/>
      <c r="AS3972" s="466"/>
      <c r="AT3972" s="466"/>
      <c r="AU3972" s="466"/>
      <c r="AV3972" s="466"/>
      <c r="AW3972" s="466"/>
      <c r="AX3972" s="466"/>
      <c r="AY3972" s="466"/>
      <c r="AZ3972" s="466"/>
      <c r="BA3972" s="466"/>
      <c r="BB3972" s="466"/>
      <c r="BC3972" s="466"/>
      <c r="BD3972" s="466"/>
      <c r="BE3972" s="467"/>
      <c r="BF3972" s="467"/>
      <c r="BG3972" s="466"/>
      <c r="BH3972" s="466"/>
      <c r="BI3972" s="467"/>
      <c r="BJ3972" s="467"/>
      <c r="BK3972" s="467"/>
      <c r="BL3972" s="467"/>
      <c r="BM3972" s="467"/>
      <c r="BN3972" s="467"/>
      <c r="BO3972" s="467"/>
      <c r="BP3972" s="467"/>
      <c r="BQ3972" s="467"/>
      <c r="BR3972" s="467"/>
      <c r="BS3972" s="467"/>
      <c r="BT3972" s="467"/>
      <c r="BU3972" s="467"/>
      <c r="BV3972" s="467"/>
      <c r="BW3972" s="467"/>
      <c r="BX3972" s="769"/>
      <c r="BY3972" s="769"/>
      <c r="BZ3972" s="769"/>
      <c r="CA3972" s="769"/>
      <c r="CB3972" s="769"/>
      <c r="CC3972" s="769"/>
      <c r="CD3972" s="769"/>
      <c r="CE3972" s="769"/>
      <c r="CF3972" s="769"/>
      <c r="CG3972" s="73"/>
      <c r="CH3972" s="438"/>
      <c r="CI3972" s="416"/>
      <c r="CJ3972" s="73"/>
      <c r="CK3972" s="650"/>
      <c r="CL3972" s="499"/>
      <c r="CM3972" s="650"/>
      <c r="CR3972" s="416"/>
      <c r="CS3972" s="650"/>
      <c r="CU3972" s="73"/>
      <c r="CV3972" s="73"/>
      <c r="CW3972" s="73"/>
      <c r="CX3972" s="73"/>
      <c r="DA3972" s="650"/>
    </row>
    <row r="3973" spans="1:105" s="45" customFormat="1" x14ac:dyDescent="0.2">
      <c r="A3973" s="650"/>
      <c r="B3973" s="438"/>
      <c r="D3973" s="73"/>
      <c r="E3973" s="650"/>
      <c r="F3973" s="650"/>
      <c r="G3973" s="73"/>
      <c r="I3973" s="111"/>
      <c r="J3973" s="81"/>
      <c r="K3973" s="81"/>
      <c r="L3973" s="499"/>
      <c r="M3973" s="73"/>
      <c r="N3973" s="499"/>
      <c r="O3973" s="73"/>
      <c r="P3973" s="73"/>
      <c r="Q3973" s="73"/>
      <c r="R3973" s="176"/>
      <c r="S3973" s="176"/>
      <c r="T3973" s="176"/>
      <c r="U3973" s="400"/>
      <c r="V3973" s="400"/>
      <c r="W3973" s="732"/>
      <c r="X3973" s="167"/>
      <c r="Y3973" s="509"/>
      <c r="Z3973" s="466"/>
      <c r="AA3973" s="466"/>
      <c r="AB3973" s="466"/>
      <c r="AC3973" s="466"/>
      <c r="AD3973" s="466"/>
      <c r="AE3973" s="466"/>
      <c r="AF3973" s="466"/>
      <c r="AG3973" s="466"/>
      <c r="AH3973" s="466"/>
      <c r="AI3973" s="466"/>
      <c r="AJ3973" s="466"/>
      <c r="AK3973" s="466"/>
      <c r="AL3973" s="466"/>
      <c r="AM3973" s="466"/>
      <c r="AN3973" s="466"/>
      <c r="AO3973" s="466"/>
      <c r="AP3973" s="466"/>
      <c r="AQ3973" s="466"/>
      <c r="AR3973" s="466"/>
      <c r="AS3973" s="466"/>
      <c r="AT3973" s="466"/>
      <c r="AU3973" s="466"/>
      <c r="AV3973" s="466"/>
      <c r="AW3973" s="466"/>
      <c r="AX3973" s="466"/>
      <c r="AY3973" s="466"/>
      <c r="AZ3973" s="466"/>
      <c r="BA3973" s="466"/>
      <c r="BB3973" s="466"/>
      <c r="BC3973" s="466"/>
      <c r="BD3973" s="466"/>
      <c r="BE3973" s="467"/>
      <c r="BF3973" s="467"/>
      <c r="BG3973" s="466"/>
      <c r="BH3973" s="466"/>
      <c r="BI3973" s="467"/>
      <c r="BJ3973" s="467"/>
      <c r="BK3973" s="467"/>
      <c r="BL3973" s="467"/>
      <c r="BM3973" s="467"/>
      <c r="BN3973" s="467"/>
      <c r="BO3973" s="467"/>
      <c r="BP3973" s="467"/>
      <c r="BQ3973" s="467"/>
      <c r="BR3973" s="467"/>
      <c r="BS3973" s="467"/>
      <c r="BT3973" s="467"/>
      <c r="BU3973" s="467"/>
      <c r="BV3973" s="467"/>
      <c r="BW3973" s="467"/>
      <c r="BX3973" s="769"/>
      <c r="BY3973" s="769"/>
      <c r="BZ3973" s="769"/>
      <c r="CA3973" s="769"/>
      <c r="CB3973" s="769"/>
      <c r="CC3973" s="769"/>
      <c r="CD3973" s="769"/>
      <c r="CE3973" s="769"/>
      <c r="CF3973" s="769"/>
      <c r="CG3973" s="73"/>
      <c r="CH3973" s="438"/>
      <c r="CI3973" s="416"/>
      <c r="CJ3973" s="73"/>
      <c r="CK3973" s="650"/>
      <c r="CL3973" s="499"/>
      <c r="CM3973" s="650"/>
      <c r="CR3973" s="416"/>
      <c r="CS3973" s="650"/>
      <c r="CU3973" s="73"/>
      <c r="CV3973" s="73"/>
      <c r="CW3973" s="73"/>
      <c r="CX3973" s="73"/>
      <c r="DA3973" s="650"/>
    </row>
    <row r="3974" spans="1:105" s="45" customFormat="1" x14ac:dyDescent="0.2">
      <c r="A3974" s="650"/>
      <c r="B3974" s="438"/>
      <c r="D3974" s="73"/>
      <c r="E3974" s="650"/>
      <c r="F3974" s="650"/>
      <c r="G3974" s="73"/>
      <c r="I3974" s="111"/>
      <c r="J3974" s="81"/>
      <c r="K3974" s="81"/>
      <c r="L3974" s="499"/>
      <c r="M3974" s="73"/>
      <c r="N3974" s="499"/>
      <c r="O3974" s="73"/>
      <c r="P3974" s="73"/>
      <c r="Q3974" s="73"/>
      <c r="R3974" s="176"/>
      <c r="S3974" s="176"/>
      <c r="T3974" s="176"/>
      <c r="U3974" s="400"/>
      <c r="V3974" s="400"/>
      <c r="W3974" s="732"/>
      <c r="X3974" s="167"/>
      <c r="Y3974" s="509"/>
      <c r="Z3974" s="466"/>
      <c r="AA3974" s="466"/>
      <c r="AB3974" s="466"/>
      <c r="AC3974" s="466"/>
      <c r="AD3974" s="466"/>
      <c r="AE3974" s="466"/>
      <c r="AF3974" s="466"/>
      <c r="AG3974" s="466"/>
      <c r="AH3974" s="466"/>
      <c r="AI3974" s="466"/>
      <c r="AJ3974" s="466"/>
      <c r="AK3974" s="466"/>
      <c r="AL3974" s="466"/>
      <c r="AM3974" s="466"/>
      <c r="AN3974" s="466"/>
      <c r="AO3974" s="466"/>
      <c r="AP3974" s="466"/>
      <c r="AQ3974" s="466"/>
      <c r="AR3974" s="466"/>
      <c r="AS3974" s="466"/>
      <c r="AT3974" s="466"/>
      <c r="AU3974" s="466"/>
      <c r="AV3974" s="466"/>
      <c r="AW3974" s="466"/>
      <c r="AX3974" s="466"/>
      <c r="AY3974" s="466"/>
      <c r="AZ3974" s="466"/>
      <c r="BA3974" s="466"/>
      <c r="BB3974" s="466"/>
      <c r="BC3974" s="466"/>
      <c r="BD3974" s="466"/>
      <c r="BE3974" s="467"/>
      <c r="BF3974" s="467"/>
      <c r="BG3974" s="466"/>
      <c r="BH3974" s="466"/>
      <c r="BI3974" s="467"/>
      <c r="BJ3974" s="467"/>
      <c r="BK3974" s="467"/>
      <c r="BL3974" s="467"/>
      <c r="BM3974" s="467"/>
      <c r="BN3974" s="467"/>
      <c r="BO3974" s="467"/>
      <c r="BP3974" s="467"/>
      <c r="BQ3974" s="467"/>
      <c r="BR3974" s="467"/>
      <c r="BS3974" s="467"/>
      <c r="BT3974" s="467"/>
      <c r="BU3974" s="467"/>
      <c r="BV3974" s="467"/>
      <c r="BW3974" s="467"/>
      <c r="BX3974" s="769"/>
      <c r="BY3974" s="769"/>
      <c r="BZ3974" s="769"/>
      <c r="CA3974" s="769"/>
      <c r="CB3974" s="769"/>
      <c r="CC3974" s="769"/>
      <c r="CD3974" s="769"/>
      <c r="CE3974" s="769"/>
      <c r="CF3974" s="769"/>
      <c r="CG3974" s="73"/>
      <c r="CH3974" s="438"/>
      <c r="CI3974" s="416"/>
      <c r="CJ3974" s="73"/>
      <c r="CK3974" s="650"/>
      <c r="CL3974" s="499"/>
      <c r="CM3974" s="650"/>
      <c r="CR3974" s="416"/>
      <c r="CS3974" s="650"/>
      <c r="CU3974" s="73"/>
      <c r="CV3974" s="73"/>
      <c r="CW3974" s="73"/>
      <c r="CX3974" s="73"/>
      <c r="DA3974" s="650"/>
    </row>
    <row r="3975" spans="1:105" s="45" customFormat="1" x14ac:dyDescent="0.2">
      <c r="A3975" s="650"/>
      <c r="B3975" s="438"/>
      <c r="D3975" s="73"/>
      <c r="E3975" s="650"/>
      <c r="F3975" s="650"/>
      <c r="G3975" s="73"/>
      <c r="I3975" s="111"/>
      <c r="J3975" s="81"/>
      <c r="K3975" s="81"/>
      <c r="L3975" s="499"/>
      <c r="M3975" s="73"/>
      <c r="N3975" s="499"/>
      <c r="O3975" s="73"/>
      <c r="P3975" s="73"/>
      <c r="Q3975" s="73"/>
      <c r="R3975" s="176"/>
      <c r="S3975" s="176"/>
      <c r="T3975" s="176"/>
      <c r="U3975" s="400"/>
      <c r="V3975" s="400"/>
      <c r="W3975" s="732"/>
      <c r="X3975" s="167"/>
      <c r="Y3975" s="509"/>
      <c r="Z3975" s="466"/>
      <c r="AA3975" s="466"/>
      <c r="AB3975" s="466"/>
      <c r="AC3975" s="466"/>
      <c r="AD3975" s="466"/>
      <c r="AE3975" s="466"/>
      <c r="AF3975" s="466"/>
      <c r="AG3975" s="466"/>
      <c r="AH3975" s="466"/>
      <c r="AI3975" s="466"/>
      <c r="AJ3975" s="466"/>
      <c r="AK3975" s="466"/>
      <c r="AL3975" s="466"/>
      <c r="AM3975" s="466"/>
      <c r="AN3975" s="466"/>
      <c r="AO3975" s="466"/>
      <c r="AP3975" s="466"/>
      <c r="AQ3975" s="466"/>
      <c r="AR3975" s="466"/>
      <c r="AS3975" s="466"/>
      <c r="AT3975" s="466"/>
      <c r="AU3975" s="466"/>
      <c r="AV3975" s="466"/>
      <c r="AW3975" s="466"/>
      <c r="AX3975" s="466"/>
      <c r="AY3975" s="466"/>
      <c r="AZ3975" s="466"/>
      <c r="BA3975" s="466"/>
      <c r="BB3975" s="466"/>
      <c r="BC3975" s="466"/>
      <c r="BD3975" s="466"/>
      <c r="BE3975" s="467"/>
      <c r="BF3975" s="467"/>
      <c r="BG3975" s="466"/>
      <c r="BH3975" s="466"/>
      <c r="BI3975" s="467"/>
      <c r="BJ3975" s="467"/>
      <c r="BK3975" s="467"/>
      <c r="BL3975" s="467"/>
      <c r="BM3975" s="467"/>
      <c r="BN3975" s="467"/>
      <c r="BO3975" s="467"/>
      <c r="BP3975" s="467"/>
      <c r="BQ3975" s="467"/>
      <c r="BR3975" s="467"/>
      <c r="BS3975" s="467"/>
      <c r="BT3975" s="467"/>
      <c r="BU3975" s="467"/>
      <c r="BV3975" s="467"/>
      <c r="BW3975" s="467"/>
      <c r="BX3975" s="769"/>
      <c r="BY3975" s="769"/>
      <c r="BZ3975" s="769"/>
      <c r="CA3975" s="769"/>
      <c r="CB3975" s="769"/>
      <c r="CC3975" s="769"/>
      <c r="CD3975" s="769"/>
      <c r="CE3975" s="769"/>
      <c r="CF3975" s="769"/>
      <c r="CG3975" s="73"/>
      <c r="CH3975" s="438"/>
      <c r="CI3975" s="416"/>
      <c r="CJ3975" s="73"/>
      <c r="CK3975" s="650"/>
      <c r="CL3975" s="499"/>
      <c r="CM3975" s="650"/>
      <c r="CR3975" s="416"/>
      <c r="CS3975" s="650"/>
      <c r="CU3975" s="73"/>
      <c r="CV3975" s="73"/>
      <c r="CW3975" s="73"/>
      <c r="CX3975" s="73"/>
      <c r="DA3975" s="650"/>
    </row>
    <row r="3976" spans="1:105" s="45" customFormat="1" x14ac:dyDescent="0.2">
      <c r="A3976" s="650"/>
      <c r="B3976" s="438"/>
      <c r="D3976" s="73"/>
      <c r="E3976" s="650"/>
      <c r="F3976" s="650"/>
      <c r="G3976" s="73"/>
      <c r="I3976" s="111"/>
      <c r="J3976" s="81"/>
      <c r="K3976" s="81"/>
      <c r="L3976" s="499"/>
      <c r="M3976" s="73"/>
      <c r="N3976" s="499"/>
      <c r="O3976" s="73"/>
      <c r="P3976" s="73"/>
      <c r="Q3976" s="73"/>
      <c r="R3976" s="176"/>
      <c r="S3976" s="176"/>
      <c r="T3976" s="176"/>
      <c r="U3976" s="400"/>
      <c r="V3976" s="400"/>
      <c r="W3976" s="732"/>
      <c r="X3976" s="167"/>
      <c r="Y3976" s="509"/>
      <c r="Z3976" s="466"/>
      <c r="AA3976" s="466"/>
      <c r="AB3976" s="466"/>
      <c r="AC3976" s="466"/>
      <c r="AD3976" s="466"/>
      <c r="AE3976" s="466"/>
      <c r="AF3976" s="466"/>
      <c r="AG3976" s="466"/>
      <c r="AH3976" s="466"/>
      <c r="AI3976" s="466"/>
      <c r="AJ3976" s="466"/>
      <c r="AK3976" s="466"/>
      <c r="AL3976" s="466"/>
      <c r="AM3976" s="466"/>
      <c r="AN3976" s="466"/>
      <c r="AO3976" s="466"/>
      <c r="AP3976" s="466"/>
      <c r="AQ3976" s="466"/>
      <c r="AR3976" s="466"/>
      <c r="AS3976" s="466"/>
      <c r="AT3976" s="466"/>
      <c r="AU3976" s="466"/>
      <c r="AV3976" s="466"/>
      <c r="AW3976" s="466"/>
      <c r="AX3976" s="466"/>
      <c r="AY3976" s="466"/>
      <c r="AZ3976" s="466"/>
      <c r="BA3976" s="466"/>
      <c r="BB3976" s="466"/>
      <c r="BC3976" s="466"/>
      <c r="BD3976" s="466"/>
      <c r="BE3976" s="467"/>
      <c r="BF3976" s="467"/>
      <c r="BG3976" s="466"/>
      <c r="BH3976" s="466"/>
      <c r="BI3976" s="467"/>
      <c r="BJ3976" s="467"/>
      <c r="BK3976" s="467"/>
      <c r="BL3976" s="467"/>
      <c r="BM3976" s="467"/>
      <c r="BN3976" s="467"/>
      <c r="BO3976" s="467"/>
      <c r="BP3976" s="467"/>
      <c r="BQ3976" s="467"/>
      <c r="BR3976" s="467"/>
      <c r="BS3976" s="467"/>
      <c r="BT3976" s="467"/>
      <c r="BU3976" s="467"/>
      <c r="BV3976" s="467"/>
      <c r="BW3976" s="467"/>
      <c r="BX3976" s="769"/>
      <c r="BY3976" s="769"/>
      <c r="BZ3976" s="769"/>
      <c r="CA3976" s="769"/>
      <c r="CB3976" s="769"/>
      <c r="CC3976" s="769"/>
      <c r="CD3976" s="769"/>
      <c r="CE3976" s="769"/>
      <c r="CF3976" s="769"/>
      <c r="CG3976" s="73"/>
      <c r="CH3976" s="438"/>
      <c r="CI3976" s="416"/>
      <c r="CJ3976" s="73"/>
      <c r="CK3976" s="650"/>
      <c r="CL3976" s="499"/>
      <c r="CM3976" s="650"/>
      <c r="CR3976" s="416"/>
      <c r="CS3976" s="650"/>
      <c r="CU3976" s="73"/>
      <c r="CV3976" s="73"/>
      <c r="CW3976" s="73"/>
      <c r="CX3976" s="73"/>
      <c r="DA3976" s="650"/>
    </row>
    <row r="3977" spans="1:105" s="45" customFormat="1" x14ac:dyDescent="0.2">
      <c r="A3977" s="650"/>
      <c r="B3977" s="438"/>
      <c r="D3977" s="73"/>
      <c r="E3977" s="650"/>
      <c r="F3977" s="650"/>
      <c r="G3977" s="73"/>
      <c r="I3977" s="111"/>
      <c r="J3977" s="81"/>
      <c r="K3977" s="81"/>
      <c r="L3977" s="499"/>
      <c r="M3977" s="73"/>
      <c r="N3977" s="499"/>
      <c r="O3977" s="73"/>
      <c r="P3977" s="73"/>
      <c r="Q3977" s="73"/>
      <c r="R3977" s="176"/>
      <c r="S3977" s="176"/>
      <c r="T3977" s="176"/>
      <c r="U3977" s="400"/>
      <c r="V3977" s="400"/>
      <c r="W3977" s="732"/>
      <c r="X3977" s="167"/>
      <c r="Y3977" s="509"/>
      <c r="Z3977" s="466"/>
      <c r="AA3977" s="466"/>
      <c r="AB3977" s="466"/>
      <c r="AC3977" s="466"/>
      <c r="AD3977" s="466"/>
      <c r="AE3977" s="466"/>
      <c r="AF3977" s="466"/>
      <c r="AG3977" s="466"/>
      <c r="AH3977" s="466"/>
      <c r="AI3977" s="466"/>
      <c r="AJ3977" s="466"/>
      <c r="AK3977" s="466"/>
      <c r="AL3977" s="466"/>
      <c r="AM3977" s="466"/>
      <c r="AN3977" s="466"/>
      <c r="AO3977" s="466"/>
      <c r="AP3977" s="466"/>
      <c r="AQ3977" s="466"/>
      <c r="AR3977" s="466"/>
      <c r="AS3977" s="466"/>
      <c r="AT3977" s="466"/>
      <c r="AU3977" s="466"/>
      <c r="AV3977" s="466"/>
      <c r="AW3977" s="466"/>
      <c r="AX3977" s="466"/>
      <c r="AY3977" s="466"/>
      <c r="AZ3977" s="466"/>
      <c r="BA3977" s="466"/>
      <c r="BB3977" s="466"/>
      <c r="BC3977" s="466"/>
      <c r="BD3977" s="466"/>
      <c r="BE3977" s="467"/>
      <c r="BF3977" s="467"/>
      <c r="BG3977" s="466"/>
      <c r="BH3977" s="466"/>
      <c r="BI3977" s="467"/>
      <c r="BJ3977" s="467"/>
      <c r="BK3977" s="467"/>
      <c r="BL3977" s="467"/>
      <c r="BM3977" s="467"/>
      <c r="BN3977" s="467"/>
      <c r="BO3977" s="467"/>
      <c r="BP3977" s="467"/>
      <c r="BQ3977" s="467"/>
      <c r="BR3977" s="467"/>
      <c r="BS3977" s="467"/>
      <c r="BT3977" s="467"/>
      <c r="BU3977" s="467"/>
      <c r="BV3977" s="467"/>
      <c r="BW3977" s="467"/>
      <c r="BX3977" s="769"/>
      <c r="BY3977" s="769"/>
      <c r="BZ3977" s="769"/>
      <c r="CA3977" s="769"/>
      <c r="CB3977" s="769"/>
      <c r="CC3977" s="769"/>
      <c r="CD3977" s="769"/>
      <c r="CE3977" s="769"/>
      <c r="CF3977" s="769"/>
      <c r="CG3977" s="73"/>
      <c r="CH3977" s="438"/>
      <c r="CI3977" s="416"/>
      <c r="CJ3977" s="73"/>
      <c r="CK3977" s="650"/>
      <c r="CL3977" s="499"/>
      <c r="CM3977" s="650"/>
      <c r="CR3977" s="416"/>
      <c r="CS3977" s="650"/>
      <c r="CU3977" s="73"/>
      <c r="CV3977" s="73"/>
      <c r="CW3977" s="73"/>
      <c r="CX3977" s="73"/>
      <c r="DA3977" s="650"/>
    </row>
    <row r="3978" spans="1:105" s="45" customFormat="1" x14ac:dyDescent="0.2">
      <c r="A3978" s="650"/>
      <c r="B3978" s="438"/>
      <c r="D3978" s="73"/>
      <c r="E3978" s="650"/>
      <c r="F3978" s="650"/>
      <c r="G3978" s="73"/>
      <c r="I3978" s="111"/>
      <c r="J3978" s="81"/>
      <c r="K3978" s="81"/>
      <c r="L3978" s="499"/>
      <c r="M3978" s="73"/>
      <c r="N3978" s="499"/>
      <c r="O3978" s="73"/>
      <c r="P3978" s="73"/>
      <c r="Q3978" s="73"/>
      <c r="R3978" s="176"/>
      <c r="S3978" s="176"/>
      <c r="T3978" s="176"/>
      <c r="U3978" s="400"/>
      <c r="V3978" s="400"/>
      <c r="W3978" s="732"/>
      <c r="X3978" s="167"/>
      <c r="Y3978" s="509"/>
      <c r="Z3978" s="466"/>
      <c r="AA3978" s="466"/>
      <c r="AB3978" s="466"/>
      <c r="AC3978" s="466"/>
      <c r="AD3978" s="466"/>
      <c r="AE3978" s="466"/>
      <c r="AF3978" s="466"/>
      <c r="AG3978" s="466"/>
      <c r="AH3978" s="466"/>
      <c r="AI3978" s="466"/>
      <c r="AJ3978" s="466"/>
      <c r="AK3978" s="466"/>
      <c r="AL3978" s="466"/>
      <c r="AM3978" s="466"/>
      <c r="AN3978" s="466"/>
      <c r="AO3978" s="466"/>
      <c r="AP3978" s="466"/>
      <c r="AQ3978" s="466"/>
      <c r="AR3978" s="466"/>
      <c r="AS3978" s="466"/>
      <c r="AT3978" s="466"/>
      <c r="AU3978" s="466"/>
      <c r="AV3978" s="466"/>
      <c r="AW3978" s="466"/>
      <c r="AX3978" s="466"/>
      <c r="AY3978" s="466"/>
      <c r="AZ3978" s="466"/>
      <c r="BA3978" s="466"/>
      <c r="BB3978" s="466"/>
      <c r="BC3978" s="466"/>
      <c r="BD3978" s="466"/>
      <c r="BE3978" s="467"/>
      <c r="BF3978" s="467"/>
      <c r="BG3978" s="466"/>
      <c r="BH3978" s="466"/>
      <c r="BI3978" s="467"/>
      <c r="BJ3978" s="467"/>
      <c r="BK3978" s="467"/>
      <c r="BL3978" s="467"/>
      <c r="BM3978" s="467"/>
      <c r="BN3978" s="467"/>
      <c r="BO3978" s="467"/>
      <c r="BP3978" s="467"/>
      <c r="BQ3978" s="467"/>
      <c r="BR3978" s="467"/>
      <c r="BS3978" s="467"/>
      <c r="BT3978" s="467"/>
      <c r="BU3978" s="467"/>
      <c r="BV3978" s="467"/>
      <c r="BW3978" s="467"/>
      <c r="BX3978" s="769"/>
      <c r="BY3978" s="769"/>
      <c r="BZ3978" s="769"/>
      <c r="CA3978" s="769"/>
      <c r="CB3978" s="769"/>
      <c r="CC3978" s="769"/>
      <c r="CD3978" s="769"/>
      <c r="CE3978" s="769"/>
      <c r="CF3978" s="769"/>
      <c r="CG3978" s="73"/>
      <c r="CH3978" s="438"/>
      <c r="CI3978" s="416"/>
      <c r="CJ3978" s="73"/>
      <c r="CK3978" s="650"/>
      <c r="CL3978" s="499"/>
      <c r="CM3978" s="650"/>
      <c r="CR3978" s="416"/>
      <c r="CS3978" s="650"/>
      <c r="CU3978" s="73"/>
      <c r="CV3978" s="73"/>
      <c r="CW3978" s="73"/>
      <c r="CX3978" s="73"/>
      <c r="DA3978" s="650"/>
    </row>
    <row r="3979" spans="1:105" s="45" customFormat="1" x14ac:dyDescent="0.2">
      <c r="A3979" s="650"/>
      <c r="B3979" s="438"/>
      <c r="D3979" s="73"/>
      <c r="E3979" s="650"/>
      <c r="F3979" s="650"/>
      <c r="G3979" s="73"/>
      <c r="I3979" s="111"/>
      <c r="J3979" s="81"/>
      <c r="K3979" s="81"/>
      <c r="L3979" s="499"/>
      <c r="M3979" s="73"/>
      <c r="N3979" s="499"/>
      <c r="O3979" s="73"/>
      <c r="P3979" s="73"/>
      <c r="Q3979" s="73"/>
      <c r="R3979" s="176"/>
      <c r="S3979" s="176"/>
      <c r="T3979" s="176"/>
      <c r="U3979" s="400"/>
      <c r="V3979" s="400"/>
      <c r="W3979" s="732"/>
      <c r="X3979" s="167"/>
      <c r="Y3979" s="509"/>
      <c r="Z3979" s="466"/>
      <c r="AA3979" s="466"/>
      <c r="AB3979" s="466"/>
      <c r="AC3979" s="466"/>
      <c r="AD3979" s="466"/>
      <c r="AE3979" s="466"/>
      <c r="AF3979" s="466"/>
      <c r="AG3979" s="466"/>
      <c r="AH3979" s="466"/>
      <c r="AI3979" s="466"/>
      <c r="AJ3979" s="466"/>
      <c r="AK3979" s="466"/>
      <c r="AL3979" s="466"/>
      <c r="AM3979" s="466"/>
      <c r="AN3979" s="466"/>
      <c r="AO3979" s="466"/>
      <c r="AP3979" s="466"/>
      <c r="AQ3979" s="466"/>
      <c r="AR3979" s="466"/>
      <c r="AS3979" s="466"/>
      <c r="AT3979" s="466"/>
      <c r="AU3979" s="466"/>
      <c r="AV3979" s="466"/>
      <c r="AW3979" s="466"/>
      <c r="AX3979" s="466"/>
      <c r="AY3979" s="466"/>
      <c r="AZ3979" s="466"/>
      <c r="BA3979" s="466"/>
      <c r="BB3979" s="466"/>
      <c r="BC3979" s="466"/>
      <c r="BD3979" s="466"/>
      <c r="BE3979" s="467"/>
      <c r="BF3979" s="467"/>
      <c r="BG3979" s="466"/>
      <c r="BH3979" s="466"/>
      <c r="BI3979" s="467"/>
      <c r="BJ3979" s="467"/>
      <c r="BK3979" s="467"/>
      <c r="BL3979" s="467"/>
      <c r="BM3979" s="467"/>
      <c r="BN3979" s="467"/>
      <c r="BO3979" s="467"/>
      <c r="BP3979" s="467"/>
      <c r="BQ3979" s="467"/>
      <c r="BR3979" s="467"/>
      <c r="BS3979" s="467"/>
      <c r="BT3979" s="467"/>
      <c r="BU3979" s="467"/>
      <c r="BV3979" s="467"/>
      <c r="BW3979" s="467"/>
      <c r="BX3979" s="769"/>
      <c r="BY3979" s="769"/>
      <c r="BZ3979" s="769"/>
      <c r="CA3979" s="769"/>
      <c r="CB3979" s="769"/>
      <c r="CC3979" s="769"/>
      <c r="CD3979" s="769"/>
      <c r="CE3979" s="769"/>
      <c r="CF3979" s="769"/>
      <c r="CG3979" s="73"/>
      <c r="CH3979" s="438"/>
      <c r="CI3979" s="416"/>
      <c r="CJ3979" s="73"/>
      <c r="CK3979" s="650"/>
      <c r="CL3979" s="499"/>
      <c r="CM3979" s="650"/>
      <c r="CR3979" s="416"/>
      <c r="CS3979" s="650"/>
      <c r="CU3979" s="73"/>
      <c r="CV3979" s="73"/>
      <c r="CW3979" s="73"/>
      <c r="CX3979" s="73"/>
      <c r="DA3979" s="650"/>
    </row>
    <row r="3980" spans="1:105" s="45" customFormat="1" x14ac:dyDescent="0.2">
      <c r="A3980" s="650"/>
      <c r="B3980" s="438"/>
      <c r="D3980" s="73"/>
      <c r="E3980" s="650"/>
      <c r="F3980" s="650"/>
      <c r="G3980" s="73"/>
      <c r="I3980" s="111"/>
      <c r="J3980" s="81"/>
      <c r="K3980" s="81"/>
      <c r="L3980" s="499"/>
      <c r="M3980" s="73"/>
      <c r="N3980" s="499"/>
      <c r="O3980" s="73"/>
      <c r="P3980" s="73"/>
      <c r="Q3980" s="73"/>
      <c r="R3980" s="176"/>
      <c r="S3980" s="176"/>
      <c r="T3980" s="176"/>
      <c r="U3980" s="400"/>
      <c r="V3980" s="400"/>
      <c r="W3980" s="732"/>
      <c r="X3980" s="167"/>
      <c r="Y3980" s="509"/>
      <c r="Z3980" s="466"/>
      <c r="AA3980" s="466"/>
      <c r="AB3980" s="466"/>
      <c r="AC3980" s="466"/>
      <c r="AD3980" s="466"/>
      <c r="AE3980" s="466"/>
      <c r="AF3980" s="466"/>
      <c r="AG3980" s="466"/>
      <c r="AH3980" s="466"/>
      <c r="AI3980" s="466"/>
      <c r="AJ3980" s="466"/>
      <c r="AK3980" s="466"/>
      <c r="AL3980" s="466"/>
      <c r="AM3980" s="466"/>
      <c r="AN3980" s="466"/>
      <c r="AO3980" s="466"/>
      <c r="AP3980" s="466"/>
      <c r="AQ3980" s="466"/>
      <c r="AR3980" s="466"/>
      <c r="AS3980" s="466"/>
      <c r="AT3980" s="466"/>
      <c r="AU3980" s="466"/>
      <c r="AV3980" s="466"/>
      <c r="AW3980" s="466"/>
      <c r="AX3980" s="466"/>
      <c r="AY3980" s="466"/>
      <c r="AZ3980" s="466"/>
      <c r="BA3980" s="466"/>
      <c r="BB3980" s="466"/>
      <c r="BC3980" s="466"/>
      <c r="BD3980" s="466"/>
      <c r="BE3980" s="467"/>
      <c r="BF3980" s="467"/>
      <c r="BG3980" s="466"/>
      <c r="BH3980" s="466"/>
      <c r="BI3980" s="467"/>
      <c r="BJ3980" s="467"/>
      <c r="BK3980" s="467"/>
      <c r="BL3980" s="467"/>
      <c r="BM3980" s="467"/>
      <c r="BN3980" s="467"/>
      <c r="BO3980" s="467"/>
      <c r="BP3980" s="467"/>
      <c r="BQ3980" s="467"/>
      <c r="BR3980" s="467"/>
      <c r="BS3980" s="467"/>
      <c r="BT3980" s="467"/>
      <c r="BU3980" s="467"/>
      <c r="BV3980" s="467"/>
      <c r="BW3980" s="467"/>
      <c r="BX3980" s="769"/>
      <c r="BY3980" s="769"/>
      <c r="BZ3980" s="769"/>
      <c r="CA3980" s="769"/>
      <c r="CB3980" s="769"/>
      <c r="CC3980" s="769"/>
      <c r="CD3980" s="769"/>
      <c r="CE3980" s="769"/>
      <c r="CF3980" s="769"/>
      <c r="CG3980" s="73"/>
      <c r="CH3980" s="438"/>
      <c r="CI3980" s="416"/>
      <c r="CJ3980" s="73"/>
      <c r="CK3980" s="650"/>
      <c r="CL3980" s="499"/>
      <c r="CM3980" s="650"/>
      <c r="CR3980" s="416"/>
      <c r="CS3980" s="650"/>
      <c r="CU3980" s="73"/>
      <c r="CV3980" s="73"/>
      <c r="CW3980" s="73"/>
      <c r="CX3980" s="73"/>
      <c r="DA3980" s="650"/>
    </row>
    <row r="3981" spans="1:105" s="45" customFormat="1" x14ac:dyDescent="0.2">
      <c r="A3981" s="650"/>
      <c r="B3981" s="438"/>
      <c r="D3981" s="73"/>
      <c r="E3981" s="650"/>
      <c r="F3981" s="650"/>
      <c r="G3981" s="73"/>
      <c r="I3981" s="111"/>
      <c r="J3981" s="81"/>
      <c r="K3981" s="81"/>
      <c r="L3981" s="499"/>
      <c r="M3981" s="73"/>
      <c r="N3981" s="499"/>
      <c r="O3981" s="73"/>
      <c r="P3981" s="73"/>
      <c r="Q3981" s="73"/>
      <c r="R3981" s="176"/>
      <c r="S3981" s="176"/>
      <c r="T3981" s="176"/>
      <c r="U3981" s="400"/>
      <c r="V3981" s="400"/>
      <c r="W3981" s="732"/>
      <c r="X3981" s="167"/>
      <c r="Y3981" s="509"/>
      <c r="Z3981" s="466"/>
      <c r="AA3981" s="466"/>
      <c r="AB3981" s="466"/>
      <c r="AC3981" s="466"/>
      <c r="AD3981" s="466"/>
      <c r="AE3981" s="466"/>
      <c r="AF3981" s="466"/>
      <c r="AG3981" s="466"/>
      <c r="AH3981" s="466"/>
      <c r="AI3981" s="466"/>
      <c r="AJ3981" s="466"/>
      <c r="AK3981" s="466"/>
      <c r="AL3981" s="466"/>
      <c r="AM3981" s="466"/>
      <c r="AN3981" s="466"/>
      <c r="AO3981" s="466"/>
      <c r="AP3981" s="466"/>
      <c r="AQ3981" s="466"/>
      <c r="AR3981" s="466"/>
      <c r="AS3981" s="466"/>
      <c r="AT3981" s="466"/>
      <c r="AU3981" s="466"/>
      <c r="AV3981" s="466"/>
      <c r="AW3981" s="466"/>
      <c r="AX3981" s="466"/>
      <c r="AY3981" s="466"/>
      <c r="AZ3981" s="466"/>
      <c r="BA3981" s="466"/>
      <c r="BB3981" s="466"/>
      <c r="BC3981" s="466"/>
      <c r="BD3981" s="466"/>
      <c r="BE3981" s="467"/>
      <c r="BF3981" s="467"/>
      <c r="BG3981" s="466"/>
      <c r="BH3981" s="466"/>
      <c r="BI3981" s="467"/>
      <c r="BJ3981" s="467"/>
      <c r="BK3981" s="467"/>
      <c r="BL3981" s="467"/>
      <c r="BM3981" s="467"/>
      <c r="BN3981" s="467"/>
      <c r="BO3981" s="467"/>
      <c r="BP3981" s="467"/>
      <c r="BQ3981" s="467"/>
      <c r="BR3981" s="467"/>
      <c r="BS3981" s="467"/>
      <c r="BT3981" s="467"/>
      <c r="BU3981" s="467"/>
      <c r="BV3981" s="467"/>
      <c r="BW3981" s="467"/>
      <c r="BX3981" s="769"/>
      <c r="BY3981" s="769"/>
      <c r="BZ3981" s="769"/>
      <c r="CA3981" s="769"/>
      <c r="CB3981" s="769"/>
      <c r="CC3981" s="769"/>
      <c r="CD3981" s="769"/>
      <c r="CE3981" s="769"/>
      <c r="CF3981" s="769"/>
      <c r="CG3981" s="73"/>
      <c r="CH3981" s="438"/>
      <c r="CI3981" s="416"/>
      <c r="CJ3981" s="73"/>
      <c r="CK3981" s="650"/>
      <c r="CL3981" s="499"/>
      <c r="CM3981" s="650"/>
      <c r="CR3981" s="416"/>
      <c r="CS3981" s="650"/>
      <c r="CU3981" s="73"/>
      <c r="CV3981" s="73"/>
      <c r="CW3981" s="73"/>
      <c r="CX3981" s="73"/>
      <c r="DA3981" s="650"/>
    </row>
    <row r="3982" spans="1:105" s="45" customFormat="1" x14ac:dyDescent="0.2">
      <c r="A3982" s="650"/>
      <c r="B3982" s="438"/>
      <c r="D3982" s="73"/>
      <c r="E3982" s="650"/>
      <c r="F3982" s="650"/>
      <c r="G3982" s="73"/>
      <c r="I3982" s="111"/>
      <c r="J3982" s="81"/>
      <c r="K3982" s="81"/>
      <c r="L3982" s="499"/>
      <c r="M3982" s="73"/>
      <c r="N3982" s="499"/>
      <c r="O3982" s="73"/>
      <c r="P3982" s="73"/>
      <c r="Q3982" s="73"/>
      <c r="R3982" s="176"/>
      <c r="S3982" s="176"/>
      <c r="T3982" s="176"/>
      <c r="U3982" s="400"/>
      <c r="V3982" s="400"/>
      <c r="W3982" s="732"/>
      <c r="X3982" s="167"/>
      <c r="Y3982" s="509"/>
      <c r="Z3982" s="466"/>
      <c r="AA3982" s="466"/>
      <c r="AB3982" s="466"/>
      <c r="AC3982" s="466"/>
      <c r="AD3982" s="466"/>
      <c r="AE3982" s="466"/>
      <c r="AF3982" s="466"/>
      <c r="AG3982" s="466"/>
      <c r="AH3982" s="466"/>
      <c r="AI3982" s="466"/>
      <c r="AJ3982" s="466"/>
      <c r="AK3982" s="466"/>
      <c r="AL3982" s="466"/>
      <c r="AM3982" s="466"/>
      <c r="AN3982" s="466"/>
      <c r="AO3982" s="466"/>
      <c r="AP3982" s="466"/>
      <c r="AQ3982" s="466"/>
      <c r="AR3982" s="466"/>
      <c r="AS3982" s="466"/>
      <c r="AT3982" s="466"/>
      <c r="AU3982" s="466"/>
      <c r="AV3982" s="466"/>
      <c r="AW3982" s="466"/>
      <c r="AX3982" s="466"/>
      <c r="AY3982" s="466"/>
      <c r="AZ3982" s="466"/>
      <c r="BA3982" s="466"/>
      <c r="BB3982" s="466"/>
      <c r="BC3982" s="466"/>
      <c r="BD3982" s="466"/>
      <c r="BE3982" s="467"/>
      <c r="BF3982" s="467"/>
      <c r="BG3982" s="466"/>
      <c r="BH3982" s="466"/>
      <c r="BI3982" s="467"/>
      <c r="BJ3982" s="467"/>
      <c r="BK3982" s="467"/>
      <c r="BL3982" s="467"/>
      <c r="BM3982" s="467"/>
      <c r="BN3982" s="467"/>
      <c r="BO3982" s="467"/>
      <c r="BP3982" s="467"/>
      <c r="BQ3982" s="467"/>
      <c r="BR3982" s="467"/>
      <c r="BS3982" s="467"/>
      <c r="BT3982" s="467"/>
      <c r="BU3982" s="467"/>
      <c r="BV3982" s="467"/>
      <c r="BW3982" s="467"/>
      <c r="BX3982" s="769"/>
      <c r="BY3982" s="769"/>
      <c r="BZ3982" s="769"/>
      <c r="CA3982" s="769"/>
      <c r="CB3982" s="769"/>
      <c r="CC3982" s="769"/>
      <c r="CD3982" s="769"/>
      <c r="CE3982" s="769"/>
      <c r="CF3982" s="769"/>
      <c r="CG3982" s="73"/>
      <c r="CH3982" s="438"/>
      <c r="CI3982" s="416"/>
      <c r="CJ3982" s="73"/>
      <c r="CK3982" s="650"/>
      <c r="CL3982" s="499"/>
      <c r="CM3982" s="650"/>
      <c r="CR3982" s="416"/>
      <c r="CS3982" s="650"/>
      <c r="CU3982" s="73"/>
      <c r="CV3982" s="73"/>
      <c r="CW3982" s="73"/>
      <c r="CX3982" s="73"/>
      <c r="DA3982" s="650"/>
    </row>
    <row r="3983" spans="1:105" s="45" customFormat="1" x14ac:dyDescent="0.2">
      <c r="A3983" s="650"/>
      <c r="B3983" s="438"/>
      <c r="D3983" s="73"/>
      <c r="E3983" s="650"/>
      <c r="F3983" s="650"/>
      <c r="G3983" s="73"/>
      <c r="I3983" s="111"/>
      <c r="J3983" s="81"/>
      <c r="K3983" s="81"/>
      <c r="L3983" s="499"/>
      <c r="M3983" s="73"/>
      <c r="N3983" s="499"/>
      <c r="O3983" s="73"/>
      <c r="P3983" s="73"/>
      <c r="Q3983" s="73"/>
      <c r="R3983" s="176"/>
      <c r="S3983" s="176"/>
      <c r="T3983" s="176"/>
      <c r="U3983" s="400"/>
      <c r="V3983" s="400"/>
      <c r="W3983" s="732"/>
      <c r="X3983" s="167"/>
      <c r="Y3983" s="509"/>
      <c r="Z3983" s="466"/>
      <c r="AA3983" s="466"/>
      <c r="AB3983" s="466"/>
      <c r="AC3983" s="466"/>
      <c r="AD3983" s="466"/>
      <c r="AE3983" s="466"/>
      <c r="AF3983" s="466"/>
      <c r="AG3983" s="466"/>
      <c r="AH3983" s="466"/>
      <c r="AI3983" s="466"/>
      <c r="AJ3983" s="466"/>
      <c r="AK3983" s="466"/>
      <c r="AL3983" s="466"/>
      <c r="AM3983" s="466"/>
      <c r="AN3983" s="466"/>
      <c r="AO3983" s="466"/>
      <c r="AP3983" s="466"/>
      <c r="AQ3983" s="466"/>
      <c r="AR3983" s="466"/>
      <c r="AS3983" s="466"/>
      <c r="AT3983" s="466"/>
      <c r="AU3983" s="466"/>
      <c r="AV3983" s="466"/>
      <c r="AW3983" s="466"/>
      <c r="AX3983" s="466"/>
      <c r="AY3983" s="466"/>
      <c r="AZ3983" s="466"/>
      <c r="BA3983" s="466"/>
      <c r="BB3983" s="466"/>
      <c r="BC3983" s="466"/>
      <c r="BD3983" s="466"/>
      <c r="BE3983" s="467"/>
      <c r="BF3983" s="467"/>
      <c r="BG3983" s="466"/>
      <c r="BH3983" s="466"/>
      <c r="BI3983" s="467"/>
      <c r="BJ3983" s="467"/>
      <c r="BK3983" s="467"/>
      <c r="BL3983" s="467"/>
      <c r="BM3983" s="467"/>
      <c r="BN3983" s="467"/>
      <c r="BO3983" s="467"/>
      <c r="BP3983" s="467"/>
      <c r="BQ3983" s="467"/>
      <c r="BR3983" s="467"/>
      <c r="BS3983" s="467"/>
      <c r="BT3983" s="467"/>
      <c r="BU3983" s="467"/>
      <c r="BV3983" s="467"/>
      <c r="BW3983" s="467"/>
      <c r="BX3983" s="769"/>
      <c r="BY3983" s="769"/>
      <c r="BZ3983" s="769"/>
      <c r="CA3983" s="769"/>
      <c r="CB3983" s="769"/>
      <c r="CC3983" s="769"/>
      <c r="CD3983" s="769"/>
      <c r="CE3983" s="769"/>
      <c r="CF3983" s="769"/>
      <c r="CG3983" s="73"/>
      <c r="CH3983" s="438"/>
      <c r="CI3983" s="416"/>
      <c r="CJ3983" s="73"/>
      <c r="CK3983" s="650"/>
      <c r="CL3983" s="499"/>
      <c r="CM3983" s="650"/>
      <c r="CR3983" s="416"/>
      <c r="CS3983" s="650"/>
      <c r="CU3983" s="73"/>
      <c r="CV3983" s="73"/>
      <c r="CW3983" s="73"/>
      <c r="CX3983" s="73"/>
      <c r="DA3983" s="650"/>
    </row>
    <row r="3984" spans="1:105" s="45" customFormat="1" x14ac:dyDescent="0.2">
      <c r="A3984" s="650"/>
      <c r="B3984" s="438"/>
      <c r="D3984" s="73"/>
      <c r="E3984" s="650"/>
      <c r="F3984" s="650"/>
      <c r="G3984" s="73"/>
      <c r="I3984" s="111"/>
      <c r="J3984" s="81"/>
      <c r="K3984" s="81"/>
      <c r="L3984" s="499"/>
      <c r="M3984" s="73"/>
      <c r="N3984" s="499"/>
      <c r="O3984" s="73"/>
      <c r="P3984" s="73"/>
      <c r="Q3984" s="73"/>
      <c r="R3984" s="176"/>
      <c r="S3984" s="176"/>
      <c r="T3984" s="176"/>
      <c r="U3984" s="400"/>
      <c r="V3984" s="400"/>
      <c r="W3984" s="732"/>
      <c r="X3984" s="167"/>
      <c r="Y3984" s="509"/>
      <c r="Z3984" s="466"/>
      <c r="AA3984" s="466"/>
      <c r="AB3984" s="466"/>
      <c r="AC3984" s="466"/>
      <c r="AD3984" s="466"/>
      <c r="AE3984" s="466"/>
      <c r="AF3984" s="466"/>
      <c r="AG3984" s="466"/>
      <c r="AH3984" s="466"/>
      <c r="AI3984" s="466"/>
      <c r="AJ3984" s="466"/>
      <c r="AK3984" s="466"/>
      <c r="AL3984" s="466"/>
      <c r="AM3984" s="466"/>
      <c r="AN3984" s="466"/>
      <c r="AO3984" s="466"/>
      <c r="AP3984" s="466"/>
      <c r="AQ3984" s="466"/>
      <c r="AR3984" s="466"/>
      <c r="AS3984" s="466"/>
      <c r="AT3984" s="466"/>
      <c r="AU3984" s="466"/>
      <c r="AV3984" s="466"/>
      <c r="AW3984" s="466"/>
      <c r="AX3984" s="466"/>
      <c r="AY3984" s="466"/>
      <c r="AZ3984" s="466"/>
      <c r="BA3984" s="466"/>
      <c r="BB3984" s="466"/>
      <c r="BC3984" s="466"/>
      <c r="BD3984" s="466"/>
      <c r="BE3984" s="467"/>
      <c r="BF3984" s="467"/>
      <c r="BG3984" s="466"/>
      <c r="BH3984" s="466"/>
      <c r="BI3984" s="467"/>
      <c r="BJ3984" s="467"/>
      <c r="BK3984" s="467"/>
      <c r="BL3984" s="467"/>
      <c r="BM3984" s="467"/>
      <c r="BN3984" s="467"/>
      <c r="BO3984" s="467"/>
      <c r="BP3984" s="467"/>
      <c r="BQ3984" s="467"/>
      <c r="BR3984" s="467"/>
      <c r="BS3984" s="467"/>
      <c r="BT3984" s="467"/>
      <c r="BU3984" s="467"/>
      <c r="BV3984" s="467"/>
      <c r="BW3984" s="467"/>
      <c r="BX3984" s="769"/>
      <c r="BY3984" s="769"/>
      <c r="BZ3984" s="769"/>
      <c r="CA3984" s="769"/>
      <c r="CB3984" s="769"/>
      <c r="CC3984" s="769"/>
      <c r="CD3984" s="769"/>
      <c r="CE3984" s="769"/>
      <c r="CF3984" s="769"/>
      <c r="CG3984" s="73"/>
      <c r="CH3984" s="438"/>
      <c r="CI3984" s="416"/>
      <c r="CJ3984" s="73"/>
      <c r="CK3984" s="650"/>
      <c r="CL3984" s="499"/>
      <c r="CM3984" s="650"/>
      <c r="CR3984" s="416"/>
      <c r="CS3984" s="650"/>
      <c r="CU3984" s="73"/>
      <c r="CV3984" s="73"/>
      <c r="CW3984" s="73"/>
      <c r="CX3984" s="73"/>
      <c r="DA3984" s="650"/>
    </row>
    <row r="3985" spans="1:105" s="45" customFormat="1" x14ac:dyDescent="0.2">
      <c r="A3985" s="650"/>
      <c r="B3985" s="438"/>
      <c r="D3985" s="73"/>
      <c r="E3985" s="650"/>
      <c r="F3985" s="650"/>
      <c r="G3985" s="73"/>
      <c r="I3985" s="111"/>
      <c r="J3985" s="81"/>
      <c r="K3985" s="81"/>
      <c r="L3985" s="499"/>
      <c r="M3985" s="73"/>
      <c r="N3985" s="499"/>
      <c r="O3985" s="73"/>
      <c r="P3985" s="73"/>
      <c r="Q3985" s="73"/>
      <c r="R3985" s="176"/>
      <c r="S3985" s="176"/>
      <c r="T3985" s="176"/>
      <c r="U3985" s="400"/>
      <c r="V3985" s="400"/>
      <c r="W3985" s="732"/>
      <c r="X3985" s="167"/>
      <c r="Y3985" s="509"/>
      <c r="Z3985" s="466"/>
      <c r="AA3985" s="466"/>
      <c r="AB3985" s="466"/>
      <c r="AC3985" s="466"/>
      <c r="AD3985" s="466"/>
      <c r="AE3985" s="466"/>
      <c r="AF3985" s="466"/>
      <c r="AG3985" s="466"/>
      <c r="AH3985" s="466"/>
      <c r="AI3985" s="466"/>
      <c r="AJ3985" s="466"/>
      <c r="AK3985" s="466"/>
      <c r="AL3985" s="466"/>
      <c r="AM3985" s="466"/>
      <c r="AN3985" s="466"/>
      <c r="AO3985" s="466"/>
      <c r="AP3985" s="466"/>
      <c r="AQ3985" s="466"/>
      <c r="AR3985" s="466"/>
      <c r="AS3985" s="466"/>
      <c r="AT3985" s="466"/>
      <c r="AU3985" s="466"/>
      <c r="AV3985" s="466"/>
      <c r="AW3985" s="466"/>
      <c r="AX3985" s="466"/>
      <c r="AY3985" s="466"/>
      <c r="AZ3985" s="466"/>
      <c r="BA3985" s="466"/>
      <c r="BB3985" s="466"/>
      <c r="BC3985" s="466"/>
      <c r="BD3985" s="466"/>
      <c r="BE3985" s="467"/>
      <c r="BF3985" s="467"/>
      <c r="BG3985" s="466"/>
      <c r="BH3985" s="466"/>
      <c r="BI3985" s="467"/>
      <c r="BJ3985" s="467"/>
      <c r="BK3985" s="467"/>
      <c r="BL3985" s="467"/>
      <c r="BM3985" s="467"/>
      <c r="BN3985" s="467"/>
      <c r="BO3985" s="467"/>
      <c r="BP3985" s="467"/>
      <c r="BQ3985" s="467"/>
      <c r="BR3985" s="467"/>
      <c r="BS3985" s="467"/>
      <c r="BT3985" s="467"/>
      <c r="BU3985" s="467"/>
      <c r="BV3985" s="467"/>
      <c r="BW3985" s="467"/>
      <c r="BX3985" s="769"/>
      <c r="BY3985" s="769"/>
      <c r="BZ3985" s="769"/>
      <c r="CA3985" s="769"/>
      <c r="CB3985" s="769"/>
      <c r="CC3985" s="769"/>
      <c r="CD3985" s="769"/>
      <c r="CE3985" s="769"/>
      <c r="CF3985" s="769"/>
      <c r="CG3985" s="73"/>
      <c r="CH3985" s="438"/>
      <c r="CI3985" s="416"/>
      <c r="CJ3985" s="73"/>
      <c r="CK3985" s="650"/>
      <c r="CL3985" s="499"/>
      <c r="CM3985" s="650"/>
      <c r="CR3985" s="416"/>
      <c r="CS3985" s="650"/>
      <c r="CU3985" s="73"/>
      <c r="CV3985" s="73"/>
      <c r="CW3985" s="73"/>
      <c r="CX3985" s="73"/>
      <c r="DA3985" s="650"/>
    </row>
    <row r="3986" spans="1:105" s="45" customFormat="1" x14ac:dyDescent="0.2">
      <c r="A3986" s="650"/>
      <c r="B3986" s="438"/>
      <c r="D3986" s="73"/>
      <c r="E3986" s="650"/>
      <c r="F3986" s="650"/>
      <c r="G3986" s="73"/>
      <c r="I3986" s="111"/>
      <c r="J3986" s="81"/>
      <c r="K3986" s="81"/>
      <c r="L3986" s="499"/>
      <c r="M3986" s="73"/>
      <c r="N3986" s="499"/>
      <c r="O3986" s="73"/>
      <c r="P3986" s="73"/>
      <c r="Q3986" s="73"/>
      <c r="R3986" s="176"/>
      <c r="S3986" s="176"/>
      <c r="T3986" s="176"/>
      <c r="U3986" s="400"/>
      <c r="V3986" s="400"/>
      <c r="W3986" s="732"/>
      <c r="X3986" s="167"/>
      <c r="Y3986" s="509"/>
      <c r="Z3986" s="466"/>
      <c r="AA3986" s="466"/>
      <c r="AB3986" s="466"/>
      <c r="AC3986" s="466"/>
      <c r="AD3986" s="466"/>
      <c r="AE3986" s="466"/>
      <c r="AF3986" s="466"/>
      <c r="AG3986" s="466"/>
      <c r="AH3986" s="466"/>
      <c r="AI3986" s="466"/>
      <c r="AJ3986" s="466"/>
      <c r="AK3986" s="466"/>
      <c r="AL3986" s="466"/>
      <c r="AM3986" s="466"/>
      <c r="AN3986" s="466"/>
      <c r="AO3986" s="466"/>
      <c r="AP3986" s="466"/>
      <c r="AQ3986" s="466"/>
      <c r="AR3986" s="466"/>
      <c r="AS3986" s="466"/>
      <c r="AT3986" s="466"/>
      <c r="AU3986" s="466"/>
      <c r="AV3986" s="466"/>
      <c r="AW3986" s="466"/>
      <c r="AX3986" s="466"/>
      <c r="AY3986" s="466"/>
      <c r="AZ3986" s="466"/>
      <c r="BA3986" s="466"/>
      <c r="BB3986" s="466"/>
      <c r="BC3986" s="466"/>
      <c r="BD3986" s="466"/>
      <c r="BE3986" s="467"/>
      <c r="BF3986" s="467"/>
      <c r="BG3986" s="466"/>
      <c r="BH3986" s="466"/>
      <c r="BI3986" s="467"/>
      <c r="BJ3986" s="467"/>
      <c r="BK3986" s="467"/>
      <c r="BL3986" s="467"/>
      <c r="BM3986" s="467"/>
      <c r="BN3986" s="467"/>
      <c r="BO3986" s="467"/>
      <c r="BP3986" s="467"/>
      <c r="BQ3986" s="467"/>
      <c r="BR3986" s="467"/>
      <c r="BS3986" s="467"/>
      <c r="BT3986" s="467"/>
      <c r="BU3986" s="467"/>
      <c r="BV3986" s="467"/>
      <c r="BW3986" s="467"/>
      <c r="BX3986" s="769"/>
      <c r="BY3986" s="769"/>
      <c r="BZ3986" s="769"/>
      <c r="CA3986" s="769"/>
      <c r="CB3986" s="769"/>
      <c r="CC3986" s="769"/>
      <c r="CD3986" s="769"/>
      <c r="CE3986" s="769"/>
      <c r="CF3986" s="769"/>
      <c r="CG3986" s="73"/>
      <c r="CH3986" s="438"/>
      <c r="CI3986" s="416"/>
      <c r="CJ3986" s="73"/>
      <c r="CK3986" s="650"/>
      <c r="CL3986" s="499"/>
      <c r="CM3986" s="650"/>
      <c r="CR3986" s="416"/>
      <c r="CS3986" s="650"/>
      <c r="CU3986" s="73"/>
      <c r="CV3986" s="73"/>
      <c r="CW3986" s="73"/>
      <c r="CX3986" s="73"/>
      <c r="DA3986" s="650"/>
    </row>
    <row r="3987" spans="1:105" s="45" customFormat="1" x14ac:dyDescent="0.2">
      <c r="A3987" s="650"/>
      <c r="B3987" s="438"/>
      <c r="D3987" s="73"/>
      <c r="E3987" s="650"/>
      <c r="F3987" s="650"/>
      <c r="G3987" s="73"/>
      <c r="I3987" s="111"/>
      <c r="J3987" s="81"/>
      <c r="K3987" s="81"/>
      <c r="L3987" s="499"/>
      <c r="M3987" s="73"/>
      <c r="N3987" s="499"/>
      <c r="O3987" s="73"/>
      <c r="P3987" s="73"/>
      <c r="Q3987" s="73"/>
      <c r="R3987" s="176"/>
      <c r="S3987" s="176"/>
      <c r="T3987" s="176"/>
      <c r="U3987" s="400"/>
      <c r="V3987" s="400"/>
      <c r="W3987" s="732"/>
      <c r="X3987" s="167"/>
      <c r="Y3987" s="509"/>
      <c r="Z3987" s="466"/>
      <c r="AA3987" s="466"/>
      <c r="AB3987" s="466"/>
      <c r="AC3987" s="466"/>
      <c r="AD3987" s="466"/>
      <c r="AE3987" s="466"/>
      <c r="AF3987" s="466"/>
      <c r="AG3987" s="466"/>
      <c r="AH3987" s="466"/>
      <c r="AI3987" s="466"/>
      <c r="AJ3987" s="466"/>
      <c r="AK3987" s="466"/>
      <c r="AL3987" s="466"/>
      <c r="AM3987" s="466"/>
      <c r="AN3987" s="466"/>
      <c r="AO3987" s="466"/>
      <c r="AP3987" s="466"/>
      <c r="AQ3987" s="466"/>
      <c r="AR3987" s="466"/>
      <c r="AS3987" s="466"/>
      <c r="AT3987" s="466"/>
      <c r="AU3987" s="466"/>
      <c r="AV3987" s="466"/>
      <c r="AW3987" s="466"/>
      <c r="AX3987" s="466"/>
      <c r="AY3987" s="466"/>
      <c r="AZ3987" s="466"/>
      <c r="BA3987" s="466"/>
      <c r="BB3987" s="466"/>
      <c r="BC3987" s="466"/>
      <c r="BD3987" s="466"/>
      <c r="BE3987" s="467"/>
      <c r="BF3987" s="467"/>
      <c r="BG3987" s="466"/>
      <c r="BH3987" s="466"/>
      <c r="BI3987" s="467"/>
      <c r="BJ3987" s="467"/>
      <c r="BK3987" s="467"/>
      <c r="BL3987" s="467"/>
      <c r="BM3987" s="467"/>
      <c r="BN3987" s="467"/>
      <c r="BO3987" s="467"/>
      <c r="BP3987" s="467"/>
      <c r="BQ3987" s="467"/>
      <c r="BR3987" s="467"/>
      <c r="BS3987" s="467"/>
      <c r="BT3987" s="467"/>
      <c r="BU3987" s="467"/>
      <c r="BV3987" s="467"/>
      <c r="BW3987" s="467"/>
      <c r="BX3987" s="769"/>
      <c r="BY3987" s="769"/>
      <c r="BZ3987" s="769"/>
      <c r="CA3987" s="769"/>
      <c r="CB3987" s="769"/>
      <c r="CC3987" s="769"/>
      <c r="CD3987" s="769"/>
      <c r="CE3987" s="769"/>
      <c r="CF3987" s="769"/>
      <c r="CG3987" s="73"/>
      <c r="CH3987" s="438"/>
      <c r="CI3987" s="416"/>
      <c r="CJ3987" s="73"/>
      <c r="CK3987" s="650"/>
      <c r="CL3987" s="499"/>
      <c r="CM3987" s="650"/>
      <c r="CR3987" s="416"/>
      <c r="CS3987" s="650"/>
      <c r="CU3987" s="73"/>
      <c r="CV3987" s="73"/>
      <c r="CW3987" s="73"/>
      <c r="CX3987" s="73"/>
      <c r="DA3987" s="650"/>
    </row>
    <row r="3988" spans="1:105" s="45" customFormat="1" x14ac:dyDescent="0.2">
      <c r="A3988" s="650"/>
      <c r="B3988" s="438"/>
      <c r="D3988" s="73"/>
      <c r="E3988" s="650"/>
      <c r="F3988" s="650"/>
      <c r="G3988" s="73"/>
      <c r="I3988" s="111"/>
      <c r="J3988" s="81"/>
      <c r="K3988" s="81"/>
      <c r="L3988" s="499"/>
      <c r="M3988" s="73"/>
      <c r="N3988" s="499"/>
      <c r="O3988" s="73"/>
      <c r="P3988" s="73"/>
      <c r="Q3988" s="73"/>
      <c r="R3988" s="176"/>
      <c r="S3988" s="176"/>
      <c r="T3988" s="176"/>
      <c r="U3988" s="400"/>
      <c r="V3988" s="400"/>
      <c r="W3988" s="732"/>
      <c r="X3988" s="167"/>
      <c r="Y3988" s="509"/>
      <c r="Z3988" s="466"/>
      <c r="AA3988" s="466"/>
      <c r="AB3988" s="466"/>
      <c r="AC3988" s="466"/>
      <c r="AD3988" s="466"/>
      <c r="AE3988" s="466"/>
      <c r="AF3988" s="466"/>
      <c r="AG3988" s="466"/>
      <c r="AH3988" s="466"/>
      <c r="AI3988" s="466"/>
      <c r="AJ3988" s="466"/>
      <c r="AK3988" s="466"/>
      <c r="AL3988" s="466"/>
      <c r="AM3988" s="466"/>
      <c r="AN3988" s="466"/>
      <c r="AO3988" s="466"/>
      <c r="AP3988" s="466"/>
      <c r="AQ3988" s="466"/>
      <c r="AR3988" s="466"/>
      <c r="AS3988" s="466"/>
      <c r="AT3988" s="466"/>
      <c r="AU3988" s="466"/>
      <c r="AV3988" s="466"/>
      <c r="AW3988" s="466"/>
      <c r="AX3988" s="466"/>
      <c r="AY3988" s="466"/>
      <c r="AZ3988" s="466"/>
      <c r="BA3988" s="466"/>
      <c r="BB3988" s="466"/>
      <c r="BC3988" s="466"/>
      <c r="BD3988" s="466"/>
      <c r="BE3988" s="467"/>
      <c r="BF3988" s="467"/>
      <c r="BG3988" s="466"/>
      <c r="BH3988" s="466"/>
      <c r="BI3988" s="467"/>
      <c r="BJ3988" s="467"/>
      <c r="BK3988" s="467"/>
      <c r="BL3988" s="467"/>
      <c r="BM3988" s="467"/>
      <c r="BN3988" s="467"/>
      <c r="BO3988" s="467"/>
      <c r="BP3988" s="467"/>
      <c r="BQ3988" s="467"/>
      <c r="BR3988" s="467"/>
      <c r="BS3988" s="467"/>
      <c r="BT3988" s="467"/>
      <c r="BU3988" s="467"/>
      <c r="BV3988" s="467"/>
      <c r="BW3988" s="467"/>
      <c r="BX3988" s="769"/>
      <c r="BY3988" s="769"/>
      <c r="BZ3988" s="769"/>
      <c r="CA3988" s="769"/>
      <c r="CB3988" s="769"/>
      <c r="CC3988" s="769"/>
      <c r="CD3988" s="769"/>
      <c r="CE3988" s="769"/>
      <c r="CF3988" s="769"/>
      <c r="CG3988" s="73"/>
      <c r="CH3988" s="438"/>
      <c r="CI3988" s="416"/>
      <c r="CJ3988" s="73"/>
      <c r="CK3988" s="650"/>
      <c r="CL3988" s="499"/>
      <c r="CM3988" s="650"/>
      <c r="CR3988" s="416"/>
      <c r="CS3988" s="650"/>
      <c r="CU3988" s="73"/>
      <c r="CV3988" s="73"/>
      <c r="CW3988" s="73"/>
      <c r="CX3988" s="73"/>
      <c r="DA3988" s="650"/>
    </row>
    <row r="3989" spans="1:105" s="45" customFormat="1" x14ac:dyDescent="0.2">
      <c r="A3989" s="650"/>
      <c r="B3989" s="438"/>
      <c r="D3989" s="73"/>
      <c r="E3989" s="650"/>
      <c r="F3989" s="650"/>
      <c r="G3989" s="73"/>
      <c r="I3989" s="111"/>
      <c r="J3989" s="81"/>
      <c r="K3989" s="81"/>
      <c r="L3989" s="499"/>
      <c r="M3989" s="73"/>
      <c r="N3989" s="499"/>
      <c r="O3989" s="73"/>
      <c r="P3989" s="73"/>
      <c r="Q3989" s="73"/>
      <c r="R3989" s="176"/>
      <c r="S3989" s="176"/>
      <c r="T3989" s="176"/>
      <c r="U3989" s="400"/>
      <c r="V3989" s="400"/>
      <c r="W3989" s="732"/>
      <c r="X3989" s="167"/>
      <c r="Y3989" s="509"/>
      <c r="Z3989" s="466"/>
      <c r="AA3989" s="466"/>
      <c r="AB3989" s="466"/>
      <c r="AC3989" s="466"/>
      <c r="AD3989" s="466"/>
      <c r="AE3989" s="466"/>
      <c r="AF3989" s="466"/>
      <c r="AG3989" s="466"/>
      <c r="AH3989" s="466"/>
      <c r="AI3989" s="466"/>
      <c r="AJ3989" s="466"/>
      <c r="AK3989" s="466"/>
      <c r="AL3989" s="466"/>
      <c r="AM3989" s="466"/>
      <c r="AN3989" s="466"/>
      <c r="AO3989" s="466"/>
      <c r="AP3989" s="466"/>
      <c r="AQ3989" s="466"/>
      <c r="AR3989" s="466"/>
      <c r="AS3989" s="466"/>
      <c r="AT3989" s="466"/>
      <c r="AU3989" s="466"/>
      <c r="AV3989" s="466"/>
      <c r="AW3989" s="466"/>
      <c r="AX3989" s="466"/>
      <c r="AY3989" s="466"/>
      <c r="AZ3989" s="466"/>
      <c r="BA3989" s="466"/>
      <c r="BB3989" s="466"/>
      <c r="BC3989" s="466"/>
      <c r="BD3989" s="466"/>
      <c r="BE3989" s="467"/>
      <c r="BF3989" s="467"/>
      <c r="BG3989" s="466"/>
      <c r="BH3989" s="466"/>
      <c r="BI3989" s="467"/>
      <c r="BJ3989" s="467"/>
      <c r="BK3989" s="467"/>
      <c r="BL3989" s="467"/>
      <c r="BM3989" s="467"/>
      <c r="BN3989" s="467"/>
      <c r="BO3989" s="467"/>
      <c r="BP3989" s="467"/>
      <c r="BQ3989" s="467"/>
      <c r="BR3989" s="467"/>
      <c r="BS3989" s="467"/>
      <c r="BT3989" s="467"/>
      <c r="BU3989" s="467"/>
      <c r="BV3989" s="467"/>
      <c r="BW3989" s="467"/>
      <c r="BX3989" s="769"/>
      <c r="BY3989" s="769"/>
      <c r="BZ3989" s="769"/>
      <c r="CA3989" s="769"/>
      <c r="CB3989" s="769"/>
      <c r="CC3989" s="769"/>
      <c r="CD3989" s="769"/>
      <c r="CE3989" s="769"/>
      <c r="CF3989" s="769"/>
      <c r="CG3989" s="73"/>
      <c r="CH3989" s="438"/>
      <c r="CI3989" s="416"/>
      <c r="CJ3989" s="73"/>
      <c r="CK3989" s="650"/>
      <c r="CL3989" s="499"/>
      <c r="CM3989" s="650"/>
      <c r="CR3989" s="416"/>
      <c r="CS3989" s="650"/>
      <c r="CU3989" s="73"/>
      <c r="CV3989" s="73"/>
      <c r="CW3989" s="73"/>
      <c r="CX3989" s="73"/>
      <c r="DA3989" s="650"/>
    </row>
    <row r="3990" spans="1:105" s="45" customFormat="1" x14ac:dyDescent="0.2">
      <c r="A3990" s="650"/>
      <c r="B3990" s="438"/>
      <c r="D3990" s="73"/>
      <c r="E3990" s="650"/>
      <c r="F3990" s="650"/>
      <c r="G3990" s="73"/>
      <c r="I3990" s="111"/>
      <c r="J3990" s="81"/>
      <c r="K3990" s="81"/>
      <c r="L3990" s="499"/>
      <c r="M3990" s="73"/>
      <c r="N3990" s="499"/>
      <c r="O3990" s="73"/>
      <c r="P3990" s="73"/>
      <c r="Q3990" s="73"/>
      <c r="R3990" s="176"/>
      <c r="S3990" s="176"/>
      <c r="T3990" s="176"/>
      <c r="U3990" s="400"/>
      <c r="V3990" s="400"/>
      <c r="W3990" s="732"/>
      <c r="X3990" s="167"/>
      <c r="Y3990" s="509"/>
      <c r="Z3990" s="466"/>
      <c r="AA3990" s="466"/>
      <c r="AB3990" s="466"/>
      <c r="AC3990" s="466"/>
      <c r="AD3990" s="466"/>
      <c r="AE3990" s="466"/>
      <c r="AF3990" s="466"/>
      <c r="AG3990" s="466"/>
      <c r="AH3990" s="466"/>
      <c r="AI3990" s="466"/>
      <c r="AJ3990" s="466"/>
      <c r="AK3990" s="466"/>
      <c r="AL3990" s="466"/>
      <c r="AM3990" s="466"/>
      <c r="AN3990" s="466"/>
      <c r="AO3990" s="466"/>
      <c r="AP3990" s="466"/>
      <c r="AQ3990" s="466"/>
      <c r="AR3990" s="466"/>
      <c r="AS3990" s="466"/>
      <c r="AT3990" s="466"/>
      <c r="AU3990" s="466"/>
      <c r="AV3990" s="466"/>
      <c r="AW3990" s="466"/>
      <c r="AX3990" s="466"/>
      <c r="AY3990" s="466"/>
      <c r="AZ3990" s="466"/>
      <c r="BA3990" s="466"/>
      <c r="BB3990" s="466"/>
      <c r="BC3990" s="466"/>
      <c r="BD3990" s="466"/>
      <c r="BE3990" s="467"/>
      <c r="BF3990" s="467"/>
      <c r="BG3990" s="466"/>
      <c r="BH3990" s="466"/>
      <c r="BI3990" s="467"/>
      <c r="BJ3990" s="467"/>
      <c r="BK3990" s="467"/>
      <c r="BL3990" s="467"/>
      <c r="BM3990" s="467"/>
      <c r="BN3990" s="467"/>
      <c r="BO3990" s="467"/>
      <c r="BP3990" s="467"/>
      <c r="BQ3990" s="467"/>
      <c r="BR3990" s="467"/>
      <c r="BS3990" s="467"/>
      <c r="BT3990" s="467"/>
      <c r="BU3990" s="467"/>
      <c r="BV3990" s="467"/>
      <c r="BW3990" s="467"/>
      <c r="BX3990" s="769"/>
      <c r="BY3990" s="769"/>
      <c r="BZ3990" s="769"/>
      <c r="CA3990" s="769"/>
      <c r="CB3990" s="769"/>
      <c r="CC3990" s="769"/>
      <c r="CD3990" s="769"/>
      <c r="CE3990" s="769"/>
      <c r="CF3990" s="769"/>
      <c r="CG3990" s="73"/>
      <c r="CH3990" s="438"/>
      <c r="CI3990" s="416"/>
      <c r="CJ3990" s="73"/>
      <c r="CK3990" s="650"/>
      <c r="CL3990" s="499"/>
      <c r="CM3990" s="650"/>
      <c r="CR3990" s="416"/>
      <c r="CS3990" s="650"/>
      <c r="CU3990" s="73"/>
      <c r="CV3990" s="73"/>
      <c r="CW3990" s="73"/>
      <c r="CX3990" s="73"/>
      <c r="DA3990" s="650"/>
    </row>
    <row r="3991" spans="1:105" s="45" customFormat="1" x14ac:dyDescent="0.2">
      <c r="A3991" s="650"/>
      <c r="B3991" s="438"/>
      <c r="D3991" s="73"/>
      <c r="E3991" s="650"/>
      <c r="F3991" s="650"/>
      <c r="G3991" s="73"/>
      <c r="I3991" s="111"/>
      <c r="J3991" s="81"/>
      <c r="K3991" s="81"/>
      <c r="L3991" s="499"/>
      <c r="M3991" s="73"/>
      <c r="N3991" s="499"/>
      <c r="O3991" s="73"/>
      <c r="P3991" s="73"/>
      <c r="Q3991" s="73"/>
      <c r="R3991" s="176"/>
      <c r="S3991" s="176"/>
      <c r="T3991" s="176"/>
      <c r="U3991" s="400"/>
      <c r="V3991" s="400"/>
      <c r="W3991" s="732"/>
      <c r="X3991" s="167"/>
      <c r="Y3991" s="509"/>
      <c r="Z3991" s="466"/>
      <c r="AA3991" s="466"/>
      <c r="AB3991" s="466"/>
      <c r="AC3991" s="466"/>
      <c r="AD3991" s="466"/>
      <c r="AE3991" s="466"/>
      <c r="AF3991" s="466"/>
      <c r="AG3991" s="466"/>
      <c r="AH3991" s="466"/>
      <c r="AI3991" s="466"/>
      <c r="AJ3991" s="466"/>
      <c r="AK3991" s="466"/>
      <c r="AL3991" s="466"/>
      <c r="AM3991" s="466"/>
      <c r="AN3991" s="466"/>
      <c r="AO3991" s="466"/>
      <c r="AP3991" s="466"/>
      <c r="AQ3991" s="466"/>
      <c r="AR3991" s="466"/>
      <c r="AS3991" s="466"/>
      <c r="AT3991" s="466"/>
      <c r="AU3991" s="466"/>
      <c r="AV3991" s="466"/>
      <c r="AW3991" s="466"/>
      <c r="AX3991" s="466"/>
      <c r="AY3991" s="466"/>
      <c r="AZ3991" s="466"/>
      <c r="BA3991" s="466"/>
      <c r="BB3991" s="466"/>
      <c r="BC3991" s="466"/>
      <c r="BD3991" s="466"/>
      <c r="BE3991" s="467"/>
      <c r="BF3991" s="467"/>
      <c r="BG3991" s="466"/>
      <c r="BH3991" s="466"/>
      <c r="BI3991" s="467"/>
      <c r="BJ3991" s="467"/>
      <c r="BK3991" s="467"/>
      <c r="BL3991" s="467"/>
      <c r="BM3991" s="467"/>
      <c r="BN3991" s="467"/>
      <c r="BO3991" s="467"/>
      <c r="BP3991" s="467"/>
      <c r="BQ3991" s="467"/>
      <c r="BR3991" s="467"/>
      <c r="BS3991" s="467"/>
      <c r="BT3991" s="467"/>
      <c r="BU3991" s="467"/>
      <c r="BV3991" s="467"/>
      <c r="BW3991" s="467"/>
      <c r="BX3991" s="769"/>
      <c r="BY3991" s="769"/>
      <c r="BZ3991" s="769"/>
      <c r="CA3991" s="769"/>
      <c r="CB3991" s="769"/>
      <c r="CC3991" s="769"/>
      <c r="CD3991" s="769"/>
      <c r="CE3991" s="769"/>
      <c r="CF3991" s="769"/>
      <c r="CG3991" s="73"/>
      <c r="CH3991" s="438"/>
      <c r="CI3991" s="416"/>
      <c r="CJ3991" s="73"/>
      <c r="CK3991" s="650"/>
      <c r="CL3991" s="499"/>
      <c r="CM3991" s="650"/>
      <c r="CR3991" s="416"/>
      <c r="CS3991" s="650"/>
      <c r="CU3991" s="73"/>
      <c r="CV3991" s="73"/>
      <c r="CW3991" s="73"/>
      <c r="CX3991" s="73"/>
      <c r="DA3991" s="650"/>
    </row>
    <row r="3992" spans="1:105" s="45" customFormat="1" x14ac:dyDescent="0.2">
      <c r="A3992" s="650"/>
      <c r="B3992" s="438"/>
      <c r="D3992" s="73"/>
      <c r="E3992" s="650"/>
      <c r="F3992" s="650"/>
      <c r="G3992" s="73"/>
      <c r="I3992" s="111"/>
      <c r="J3992" s="81"/>
      <c r="K3992" s="81"/>
      <c r="L3992" s="499"/>
      <c r="M3992" s="73"/>
      <c r="N3992" s="499"/>
      <c r="O3992" s="73"/>
      <c r="P3992" s="73"/>
      <c r="Q3992" s="73"/>
      <c r="R3992" s="176"/>
      <c r="S3992" s="176"/>
      <c r="T3992" s="176"/>
      <c r="U3992" s="400"/>
      <c r="V3992" s="400"/>
      <c r="W3992" s="732"/>
      <c r="X3992" s="167"/>
      <c r="Y3992" s="509"/>
      <c r="Z3992" s="466"/>
      <c r="AA3992" s="466"/>
      <c r="AB3992" s="466"/>
      <c r="AC3992" s="466"/>
      <c r="AD3992" s="466"/>
      <c r="AE3992" s="466"/>
      <c r="AF3992" s="466"/>
      <c r="AG3992" s="466"/>
      <c r="AH3992" s="466"/>
      <c r="AI3992" s="466"/>
      <c r="AJ3992" s="466"/>
      <c r="AK3992" s="466"/>
      <c r="AL3992" s="466"/>
      <c r="AM3992" s="466"/>
      <c r="AN3992" s="466"/>
      <c r="AO3992" s="466"/>
      <c r="AP3992" s="466"/>
      <c r="AQ3992" s="466"/>
      <c r="AR3992" s="466"/>
      <c r="AS3992" s="466"/>
      <c r="AT3992" s="466"/>
      <c r="AU3992" s="466"/>
      <c r="AV3992" s="466"/>
      <c r="AW3992" s="466"/>
      <c r="AX3992" s="466"/>
      <c r="AY3992" s="466"/>
      <c r="AZ3992" s="466"/>
      <c r="BA3992" s="466"/>
      <c r="BB3992" s="466"/>
      <c r="BC3992" s="466"/>
      <c r="BD3992" s="466"/>
      <c r="BE3992" s="467"/>
      <c r="BF3992" s="467"/>
      <c r="BG3992" s="466"/>
      <c r="BH3992" s="466"/>
      <c r="BI3992" s="467"/>
      <c r="BJ3992" s="467"/>
      <c r="BK3992" s="467"/>
      <c r="BL3992" s="467"/>
      <c r="BM3992" s="467"/>
      <c r="BN3992" s="467"/>
      <c r="BO3992" s="467"/>
      <c r="BP3992" s="467"/>
      <c r="BQ3992" s="467"/>
      <c r="BR3992" s="467"/>
      <c r="BS3992" s="467"/>
      <c r="BT3992" s="467"/>
      <c r="BU3992" s="467"/>
      <c r="BV3992" s="467"/>
      <c r="BW3992" s="467"/>
      <c r="BX3992" s="769"/>
      <c r="BY3992" s="769"/>
      <c r="BZ3992" s="769"/>
      <c r="CA3992" s="769"/>
      <c r="CB3992" s="769"/>
      <c r="CC3992" s="769"/>
      <c r="CD3992" s="769"/>
      <c r="CE3992" s="769"/>
      <c r="CF3992" s="769"/>
      <c r="CG3992" s="73"/>
      <c r="CH3992" s="438"/>
      <c r="CI3992" s="416"/>
      <c r="CJ3992" s="73"/>
      <c r="CK3992" s="650"/>
      <c r="CL3992" s="499"/>
      <c r="CM3992" s="650"/>
      <c r="CR3992" s="416"/>
      <c r="CS3992" s="650"/>
      <c r="CU3992" s="73"/>
      <c r="CV3992" s="73"/>
      <c r="CW3992" s="73"/>
      <c r="CX3992" s="73"/>
      <c r="DA3992" s="650"/>
    </row>
    <row r="3993" spans="1:105" s="45" customFormat="1" x14ac:dyDescent="0.2">
      <c r="A3993" s="650"/>
      <c r="B3993" s="438"/>
      <c r="D3993" s="73"/>
      <c r="E3993" s="650"/>
      <c r="F3993" s="650"/>
      <c r="G3993" s="73"/>
      <c r="I3993" s="111"/>
      <c r="J3993" s="81"/>
      <c r="K3993" s="81"/>
      <c r="L3993" s="499"/>
      <c r="M3993" s="73"/>
      <c r="N3993" s="499"/>
      <c r="O3993" s="73"/>
      <c r="P3993" s="73"/>
      <c r="Q3993" s="73"/>
      <c r="R3993" s="176"/>
      <c r="S3993" s="176"/>
      <c r="T3993" s="176"/>
      <c r="U3993" s="400"/>
      <c r="V3993" s="400"/>
      <c r="W3993" s="732"/>
      <c r="X3993" s="167"/>
      <c r="Y3993" s="509"/>
      <c r="Z3993" s="466"/>
      <c r="AA3993" s="466"/>
      <c r="AB3993" s="466"/>
      <c r="AC3993" s="466"/>
      <c r="AD3993" s="466"/>
      <c r="AE3993" s="466"/>
      <c r="AF3993" s="466"/>
      <c r="AG3993" s="466"/>
      <c r="AH3993" s="466"/>
      <c r="AI3993" s="466"/>
      <c r="AJ3993" s="466"/>
      <c r="AK3993" s="466"/>
      <c r="AL3993" s="466"/>
      <c r="AM3993" s="466"/>
      <c r="AN3993" s="466"/>
      <c r="AO3993" s="466"/>
      <c r="AP3993" s="466"/>
      <c r="AQ3993" s="466"/>
      <c r="AR3993" s="466"/>
      <c r="AS3993" s="466"/>
      <c r="AT3993" s="466"/>
      <c r="AU3993" s="466"/>
      <c r="AV3993" s="466"/>
      <c r="AW3993" s="466"/>
      <c r="AX3993" s="466"/>
      <c r="AY3993" s="466"/>
      <c r="AZ3993" s="466"/>
      <c r="BA3993" s="466"/>
      <c r="BB3993" s="466"/>
      <c r="BC3993" s="466"/>
      <c r="BD3993" s="466"/>
      <c r="BE3993" s="467"/>
      <c r="BF3993" s="467"/>
      <c r="BG3993" s="466"/>
      <c r="BH3993" s="466"/>
      <c r="BI3993" s="467"/>
      <c r="BJ3993" s="467"/>
      <c r="BK3993" s="467"/>
      <c r="BL3993" s="467"/>
      <c r="BM3993" s="467"/>
      <c r="BN3993" s="467"/>
      <c r="BO3993" s="467"/>
      <c r="BP3993" s="467"/>
      <c r="BQ3993" s="467"/>
      <c r="BR3993" s="467"/>
      <c r="BS3993" s="467"/>
      <c r="BT3993" s="467"/>
      <c r="BU3993" s="467"/>
      <c r="BV3993" s="467"/>
      <c r="BW3993" s="467"/>
      <c r="BX3993" s="769"/>
      <c r="BY3993" s="769"/>
      <c r="BZ3993" s="769"/>
      <c r="CA3993" s="769"/>
      <c r="CB3993" s="769"/>
      <c r="CC3993" s="769"/>
      <c r="CD3993" s="769"/>
      <c r="CE3993" s="769"/>
      <c r="CF3993" s="769"/>
      <c r="CG3993" s="73"/>
      <c r="CH3993" s="438"/>
      <c r="CI3993" s="416"/>
      <c r="CJ3993" s="73"/>
      <c r="CK3993" s="650"/>
      <c r="CL3993" s="499"/>
      <c r="CM3993" s="650"/>
      <c r="CR3993" s="416"/>
      <c r="CS3993" s="650"/>
      <c r="CU3993" s="73"/>
      <c r="CV3993" s="73"/>
      <c r="CW3993" s="73"/>
      <c r="CX3993" s="73"/>
      <c r="DA3993" s="650"/>
    </row>
    <row r="3994" spans="1:105" s="45" customFormat="1" x14ac:dyDescent="0.2">
      <c r="A3994" s="650"/>
      <c r="B3994" s="438"/>
      <c r="D3994" s="73"/>
      <c r="E3994" s="650"/>
      <c r="F3994" s="650"/>
      <c r="G3994" s="73"/>
      <c r="I3994" s="111"/>
      <c r="J3994" s="81"/>
      <c r="K3994" s="81"/>
      <c r="L3994" s="499"/>
      <c r="M3994" s="73"/>
      <c r="N3994" s="499"/>
      <c r="O3994" s="73"/>
      <c r="P3994" s="73"/>
      <c r="Q3994" s="73"/>
      <c r="R3994" s="176"/>
      <c r="S3994" s="176"/>
      <c r="T3994" s="176"/>
      <c r="U3994" s="400"/>
      <c r="V3994" s="400"/>
      <c r="W3994" s="732"/>
      <c r="X3994" s="167"/>
      <c r="Y3994" s="509"/>
      <c r="Z3994" s="466"/>
      <c r="AA3994" s="466"/>
      <c r="AB3994" s="466"/>
      <c r="AC3994" s="466"/>
      <c r="AD3994" s="466"/>
      <c r="AE3994" s="466"/>
      <c r="AF3994" s="466"/>
      <c r="AG3994" s="466"/>
      <c r="AH3994" s="466"/>
      <c r="AI3994" s="466"/>
      <c r="AJ3994" s="466"/>
      <c r="AK3994" s="466"/>
      <c r="AL3994" s="466"/>
      <c r="AM3994" s="466"/>
      <c r="AN3994" s="466"/>
      <c r="AO3994" s="466"/>
      <c r="AP3994" s="466"/>
      <c r="AQ3994" s="466"/>
      <c r="AR3994" s="466"/>
      <c r="AS3994" s="466"/>
      <c r="AT3994" s="466"/>
      <c r="AU3994" s="466"/>
      <c r="AV3994" s="466"/>
      <c r="AW3994" s="466"/>
      <c r="AX3994" s="466"/>
      <c r="AY3994" s="466"/>
      <c r="AZ3994" s="466"/>
      <c r="BA3994" s="466"/>
      <c r="BB3994" s="466"/>
      <c r="BC3994" s="466"/>
      <c r="BD3994" s="466"/>
      <c r="BE3994" s="467"/>
      <c r="BF3994" s="467"/>
      <c r="BG3994" s="466"/>
      <c r="BH3994" s="466"/>
      <c r="BI3994" s="467"/>
      <c r="BJ3994" s="467"/>
      <c r="BK3994" s="467"/>
      <c r="BL3994" s="467"/>
      <c r="BM3994" s="467"/>
      <c r="BN3994" s="467"/>
      <c r="BO3994" s="467"/>
      <c r="BP3994" s="467"/>
      <c r="BQ3994" s="467"/>
      <c r="BR3994" s="467"/>
      <c r="BS3994" s="467"/>
      <c r="BT3994" s="467"/>
      <c r="BU3994" s="467"/>
      <c r="BV3994" s="467"/>
      <c r="BW3994" s="467"/>
      <c r="BX3994" s="769"/>
      <c r="BY3994" s="769"/>
      <c r="BZ3994" s="769"/>
      <c r="CA3994" s="769"/>
      <c r="CB3994" s="769"/>
      <c r="CC3994" s="769"/>
      <c r="CD3994" s="769"/>
      <c r="CE3994" s="769"/>
      <c r="CF3994" s="769"/>
      <c r="CG3994" s="73"/>
      <c r="CH3994" s="438"/>
      <c r="CI3994" s="416"/>
      <c r="CJ3994" s="73"/>
      <c r="CK3994" s="650"/>
      <c r="CL3994" s="499"/>
      <c r="CM3994" s="650"/>
      <c r="CR3994" s="416"/>
      <c r="CS3994" s="650"/>
      <c r="CU3994" s="73"/>
      <c r="CV3994" s="73"/>
      <c r="CW3994" s="73"/>
      <c r="CX3994" s="73"/>
      <c r="DA3994" s="650"/>
    </row>
    <row r="3995" spans="1:105" s="45" customFormat="1" x14ac:dyDescent="0.2">
      <c r="A3995" s="650"/>
      <c r="B3995" s="438"/>
      <c r="D3995" s="73"/>
      <c r="E3995" s="650"/>
      <c r="F3995" s="650"/>
      <c r="G3995" s="73"/>
      <c r="I3995" s="111"/>
      <c r="J3995" s="81"/>
      <c r="K3995" s="81"/>
      <c r="L3995" s="499"/>
      <c r="M3995" s="73"/>
      <c r="N3995" s="499"/>
      <c r="O3995" s="73"/>
      <c r="P3995" s="73"/>
      <c r="Q3995" s="73"/>
      <c r="R3995" s="176"/>
      <c r="S3995" s="176"/>
      <c r="T3995" s="176"/>
      <c r="U3995" s="400"/>
      <c r="V3995" s="400"/>
      <c r="W3995" s="732"/>
      <c r="X3995" s="167"/>
      <c r="Y3995" s="509"/>
      <c r="Z3995" s="466"/>
      <c r="AA3995" s="466"/>
      <c r="AB3995" s="466"/>
      <c r="AC3995" s="466"/>
      <c r="AD3995" s="466"/>
      <c r="AE3995" s="466"/>
      <c r="AF3995" s="466"/>
      <c r="AG3995" s="466"/>
      <c r="AH3995" s="466"/>
      <c r="AI3995" s="466"/>
      <c r="AJ3995" s="466"/>
      <c r="AK3995" s="466"/>
      <c r="AL3995" s="466"/>
      <c r="AM3995" s="466"/>
      <c r="AN3995" s="466"/>
      <c r="AO3995" s="466"/>
      <c r="AP3995" s="466"/>
      <c r="AQ3995" s="466"/>
      <c r="AR3995" s="466"/>
      <c r="AS3995" s="466"/>
      <c r="AT3995" s="466"/>
      <c r="AU3995" s="466"/>
      <c r="AV3995" s="466"/>
      <c r="AW3995" s="466"/>
      <c r="AX3995" s="466"/>
      <c r="AY3995" s="466"/>
      <c r="AZ3995" s="466"/>
      <c r="BA3995" s="466"/>
      <c r="BB3995" s="466"/>
      <c r="BC3995" s="466"/>
      <c r="BD3995" s="466"/>
      <c r="BE3995" s="467"/>
      <c r="BF3995" s="467"/>
      <c r="BG3995" s="466"/>
      <c r="BH3995" s="466"/>
      <c r="BI3995" s="467"/>
      <c r="BJ3995" s="467"/>
      <c r="BK3995" s="467"/>
      <c r="BL3995" s="467"/>
      <c r="BM3995" s="467"/>
      <c r="BN3995" s="467"/>
      <c r="BO3995" s="467"/>
      <c r="BP3995" s="467"/>
      <c r="BQ3995" s="467"/>
      <c r="BR3995" s="467"/>
      <c r="BS3995" s="467"/>
      <c r="BT3995" s="467"/>
      <c r="BU3995" s="467"/>
      <c r="BV3995" s="467"/>
      <c r="BW3995" s="467"/>
      <c r="BX3995" s="769"/>
      <c r="BY3995" s="769"/>
      <c r="BZ3995" s="769"/>
      <c r="CA3995" s="769"/>
      <c r="CB3995" s="769"/>
      <c r="CC3995" s="769"/>
      <c r="CD3995" s="769"/>
      <c r="CE3995" s="769"/>
      <c r="CF3995" s="769"/>
      <c r="CG3995" s="73"/>
      <c r="CH3995" s="438"/>
      <c r="CI3995" s="416"/>
      <c r="CJ3995" s="73"/>
      <c r="CK3995" s="650"/>
      <c r="CL3995" s="499"/>
      <c r="CM3995" s="650"/>
      <c r="CR3995" s="416"/>
      <c r="CS3995" s="650"/>
      <c r="CU3995" s="73"/>
      <c r="CV3995" s="73"/>
      <c r="CW3995" s="73"/>
      <c r="CX3995" s="73"/>
      <c r="DA3995" s="650"/>
    </row>
    <row r="3996" spans="1:105" s="45" customFormat="1" x14ac:dyDescent="0.2">
      <c r="A3996" s="650"/>
      <c r="B3996" s="438"/>
      <c r="D3996" s="73"/>
      <c r="E3996" s="650"/>
      <c r="F3996" s="650"/>
      <c r="G3996" s="73"/>
      <c r="I3996" s="111"/>
      <c r="J3996" s="81"/>
      <c r="K3996" s="81"/>
      <c r="L3996" s="499"/>
      <c r="M3996" s="73"/>
      <c r="N3996" s="499"/>
      <c r="O3996" s="73"/>
      <c r="P3996" s="73"/>
      <c r="Q3996" s="73"/>
      <c r="R3996" s="176"/>
      <c r="S3996" s="176"/>
      <c r="T3996" s="176"/>
      <c r="U3996" s="400"/>
      <c r="V3996" s="400"/>
      <c r="W3996" s="732"/>
      <c r="X3996" s="167"/>
      <c r="Y3996" s="509"/>
      <c r="Z3996" s="466"/>
      <c r="AA3996" s="466"/>
      <c r="AB3996" s="466"/>
      <c r="AC3996" s="466"/>
      <c r="AD3996" s="466"/>
      <c r="AE3996" s="466"/>
      <c r="AF3996" s="466"/>
      <c r="AG3996" s="466"/>
      <c r="AH3996" s="466"/>
      <c r="AI3996" s="466"/>
      <c r="AJ3996" s="466"/>
      <c r="AK3996" s="466"/>
      <c r="AL3996" s="466"/>
      <c r="AM3996" s="466"/>
      <c r="AN3996" s="466"/>
      <c r="AO3996" s="466"/>
      <c r="AP3996" s="466"/>
      <c r="AQ3996" s="466"/>
      <c r="AR3996" s="466"/>
      <c r="AS3996" s="466"/>
      <c r="AT3996" s="466"/>
      <c r="AU3996" s="466"/>
      <c r="AV3996" s="466"/>
      <c r="AW3996" s="466"/>
      <c r="AX3996" s="466"/>
      <c r="AY3996" s="466"/>
      <c r="AZ3996" s="466"/>
      <c r="BA3996" s="466"/>
      <c r="BB3996" s="466"/>
      <c r="BC3996" s="466"/>
      <c r="BD3996" s="466"/>
      <c r="BE3996" s="467"/>
      <c r="BF3996" s="467"/>
      <c r="BG3996" s="466"/>
      <c r="BH3996" s="466"/>
      <c r="BI3996" s="467"/>
      <c r="BJ3996" s="467"/>
      <c r="BK3996" s="467"/>
      <c r="BL3996" s="467"/>
      <c r="BM3996" s="467"/>
      <c r="BN3996" s="467"/>
      <c r="BO3996" s="467"/>
      <c r="BP3996" s="467"/>
      <c r="BQ3996" s="467"/>
      <c r="BR3996" s="467"/>
      <c r="BS3996" s="467"/>
      <c r="BT3996" s="467"/>
      <c r="BU3996" s="467"/>
      <c r="BV3996" s="467"/>
      <c r="BW3996" s="467"/>
      <c r="BX3996" s="769"/>
      <c r="BY3996" s="769"/>
      <c r="BZ3996" s="769"/>
      <c r="CA3996" s="769"/>
      <c r="CB3996" s="769"/>
      <c r="CC3996" s="769"/>
      <c r="CD3996" s="769"/>
      <c r="CE3996" s="769"/>
      <c r="CF3996" s="769"/>
      <c r="CG3996" s="73"/>
      <c r="CH3996" s="438"/>
      <c r="CI3996" s="416"/>
      <c r="CJ3996" s="73"/>
      <c r="CK3996" s="650"/>
      <c r="CL3996" s="499"/>
      <c r="CM3996" s="650"/>
      <c r="CR3996" s="416"/>
      <c r="CS3996" s="650"/>
      <c r="CU3996" s="73"/>
      <c r="CV3996" s="73"/>
      <c r="CW3996" s="73"/>
      <c r="CX3996" s="73"/>
      <c r="DA3996" s="650"/>
    </row>
    <row r="3997" spans="1:105" s="45" customFormat="1" x14ac:dyDescent="0.2">
      <c r="A3997" s="650"/>
      <c r="B3997" s="438"/>
      <c r="D3997" s="73"/>
      <c r="E3997" s="650"/>
      <c r="F3997" s="650"/>
      <c r="G3997" s="73"/>
      <c r="I3997" s="111"/>
      <c r="J3997" s="81"/>
      <c r="K3997" s="81"/>
      <c r="L3997" s="499"/>
      <c r="M3997" s="73"/>
      <c r="N3997" s="499"/>
      <c r="O3997" s="73"/>
      <c r="P3997" s="73"/>
      <c r="Q3997" s="73"/>
      <c r="R3997" s="176"/>
      <c r="S3997" s="176"/>
      <c r="T3997" s="176"/>
      <c r="U3997" s="400"/>
      <c r="V3997" s="400"/>
      <c r="W3997" s="732"/>
      <c r="X3997" s="167"/>
      <c r="Y3997" s="509"/>
      <c r="Z3997" s="466"/>
      <c r="AA3997" s="466"/>
      <c r="AB3997" s="466"/>
      <c r="AC3997" s="466"/>
      <c r="AD3997" s="466"/>
      <c r="AE3997" s="466"/>
      <c r="AF3997" s="466"/>
      <c r="AG3997" s="466"/>
      <c r="AH3997" s="466"/>
      <c r="AI3997" s="466"/>
      <c r="AJ3997" s="466"/>
      <c r="AK3997" s="466"/>
      <c r="AL3997" s="466"/>
      <c r="AM3997" s="466"/>
      <c r="AN3997" s="466"/>
      <c r="AO3997" s="466"/>
      <c r="AP3997" s="466"/>
      <c r="AQ3997" s="466"/>
      <c r="AR3997" s="466"/>
      <c r="AS3997" s="466"/>
      <c r="AT3997" s="466"/>
      <c r="AU3997" s="466"/>
      <c r="AV3997" s="466"/>
      <c r="AW3997" s="466"/>
      <c r="AX3997" s="466"/>
      <c r="AY3997" s="466"/>
      <c r="AZ3997" s="466"/>
      <c r="BA3997" s="466"/>
      <c r="BB3997" s="466"/>
      <c r="BC3997" s="466"/>
      <c r="BD3997" s="466"/>
      <c r="BE3997" s="467"/>
      <c r="BF3997" s="467"/>
      <c r="BG3997" s="466"/>
      <c r="BH3997" s="466"/>
      <c r="BI3997" s="467"/>
      <c r="BJ3997" s="467"/>
      <c r="BK3997" s="467"/>
      <c r="BL3997" s="467"/>
      <c r="BM3997" s="467"/>
      <c r="BN3997" s="467"/>
      <c r="BO3997" s="467"/>
      <c r="BP3997" s="467"/>
      <c r="BQ3997" s="467"/>
      <c r="BR3997" s="467"/>
      <c r="BS3997" s="467"/>
      <c r="BT3997" s="467"/>
      <c r="BU3997" s="467"/>
      <c r="BV3997" s="467"/>
      <c r="BW3997" s="467"/>
      <c r="BX3997" s="769"/>
      <c r="BY3997" s="769"/>
      <c r="BZ3997" s="769"/>
      <c r="CA3997" s="769"/>
      <c r="CB3997" s="769"/>
      <c r="CC3997" s="769"/>
      <c r="CD3997" s="769"/>
      <c r="CE3997" s="769"/>
      <c r="CF3997" s="769"/>
      <c r="CG3997" s="73"/>
      <c r="CH3997" s="438"/>
      <c r="CI3997" s="416"/>
      <c r="CJ3997" s="73"/>
      <c r="CK3997" s="650"/>
      <c r="CL3997" s="499"/>
      <c r="CM3997" s="650"/>
      <c r="CR3997" s="416"/>
      <c r="CS3997" s="650"/>
      <c r="CU3997" s="73"/>
      <c r="CV3997" s="73"/>
      <c r="CW3997" s="73"/>
      <c r="CX3997" s="73"/>
      <c r="DA3997" s="650"/>
    </row>
    <row r="3998" spans="1:105" s="45" customFormat="1" x14ac:dyDescent="0.2">
      <c r="A3998" s="650"/>
      <c r="B3998" s="438"/>
      <c r="D3998" s="73"/>
      <c r="E3998" s="650"/>
      <c r="F3998" s="650"/>
      <c r="G3998" s="73"/>
      <c r="I3998" s="111"/>
      <c r="J3998" s="81"/>
      <c r="K3998" s="81"/>
      <c r="L3998" s="499"/>
      <c r="M3998" s="73"/>
      <c r="N3998" s="499"/>
      <c r="O3998" s="73"/>
      <c r="P3998" s="73"/>
      <c r="Q3998" s="73"/>
      <c r="R3998" s="176"/>
      <c r="S3998" s="176"/>
      <c r="T3998" s="176"/>
      <c r="U3998" s="400"/>
      <c r="V3998" s="400"/>
      <c r="W3998" s="732"/>
      <c r="X3998" s="167"/>
      <c r="Y3998" s="509"/>
      <c r="Z3998" s="466"/>
      <c r="AA3998" s="466"/>
      <c r="AB3998" s="466"/>
      <c r="AC3998" s="466"/>
      <c r="AD3998" s="466"/>
      <c r="AE3998" s="466"/>
      <c r="AF3998" s="466"/>
      <c r="AG3998" s="466"/>
      <c r="AH3998" s="466"/>
      <c r="AI3998" s="466"/>
      <c r="AJ3998" s="466"/>
      <c r="AK3998" s="466"/>
      <c r="AL3998" s="466"/>
      <c r="AM3998" s="466"/>
      <c r="AN3998" s="466"/>
      <c r="AO3998" s="466"/>
      <c r="AP3998" s="466"/>
      <c r="AQ3998" s="466"/>
      <c r="AR3998" s="466"/>
      <c r="AS3998" s="466"/>
      <c r="AT3998" s="466"/>
      <c r="AU3998" s="466"/>
      <c r="AV3998" s="466"/>
      <c r="AW3998" s="466"/>
      <c r="AX3998" s="466"/>
      <c r="AY3998" s="466"/>
      <c r="AZ3998" s="466"/>
      <c r="BA3998" s="466"/>
      <c r="BB3998" s="466"/>
      <c r="BC3998" s="466"/>
      <c r="BD3998" s="466"/>
      <c r="BE3998" s="467"/>
      <c r="BF3998" s="467"/>
      <c r="BG3998" s="466"/>
      <c r="BH3998" s="466"/>
      <c r="BI3998" s="467"/>
      <c r="BJ3998" s="467"/>
      <c r="BK3998" s="467"/>
      <c r="BL3998" s="467"/>
      <c r="BM3998" s="467"/>
      <c r="BN3998" s="467"/>
      <c r="BO3998" s="467"/>
      <c r="BP3998" s="467"/>
      <c r="BQ3998" s="467"/>
      <c r="BR3998" s="467"/>
      <c r="BS3998" s="467"/>
      <c r="BT3998" s="467"/>
      <c r="BU3998" s="467"/>
      <c r="BV3998" s="467"/>
      <c r="BW3998" s="467"/>
      <c r="BX3998" s="769"/>
      <c r="BY3998" s="769"/>
      <c r="BZ3998" s="769"/>
      <c r="CA3998" s="769"/>
      <c r="CB3998" s="769"/>
      <c r="CC3998" s="769"/>
      <c r="CD3998" s="769"/>
      <c r="CE3998" s="769"/>
      <c r="CF3998" s="769"/>
      <c r="CG3998" s="73"/>
      <c r="CH3998" s="438"/>
      <c r="CI3998" s="416"/>
      <c r="CJ3998" s="73"/>
      <c r="CK3998" s="650"/>
      <c r="CL3998" s="499"/>
      <c r="CM3998" s="650"/>
      <c r="CR3998" s="416"/>
      <c r="CS3998" s="650"/>
      <c r="CU3998" s="73"/>
      <c r="CV3998" s="73"/>
      <c r="CW3998" s="73"/>
      <c r="CX3998" s="73"/>
      <c r="DA3998" s="650"/>
    </row>
    <row r="3999" spans="1:105" s="45" customFormat="1" x14ac:dyDescent="0.2">
      <c r="A3999" s="650"/>
      <c r="B3999" s="438"/>
      <c r="D3999" s="73"/>
      <c r="E3999" s="650"/>
      <c r="F3999" s="650"/>
      <c r="G3999" s="73"/>
      <c r="I3999" s="111"/>
      <c r="J3999" s="81"/>
      <c r="K3999" s="81"/>
      <c r="L3999" s="499"/>
      <c r="M3999" s="73"/>
      <c r="N3999" s="499"/>
      <c r="O3999" s="73"/>
      <c r="P3999" s="73"/>
      <c r="Q3999" s="73"/>
      <c r="R3999" s="176"/>
      <c r="S3999" s="176"/>
      <c r="T3999" s="176"/>
      <c r="U3999" s="400"/>
      <c r="V3999" s="400"/>
      <c r="W3999" s="732"/>
      <c r="X3999" s="167"/>
      <c r="Y3999" s="509"/>
      <c r="Z3999" s="466"/>
      <c r="AA3999" s="466"/>
      <c r="AB3999" s="466"/>
      <c r="AC3999" s="466"/>
      <c r="AD3999" s="466"/>
      <c r="AE3999" s="466"/>
      <c r="AF3999" s="466"/>
      <c r="AG3999" s="466"/>
      <c r="AH3999" s="466"/>
      <c r="AI3999" s="466"/>
      <c r="AJ3999" s="466"/>
      <c r="AK3999" s="466"/>
      <c r="AL3999" s="466"/>
      <c r="AM3999" s="466"/>
      <c r="AN3999" s="466"/>
      <c r="AO3999" s="466"/>
      <c r="AP3999" s="466"/>
      <c r="AQ3999" s="466"/>
      <c r="AR3999" s="466"/>
      <c r="AS3999" s="466"/>
      <c r="AT3999" s="466"/>
      <c r="AU3999" s="466"/>
      <c r="AV3999" s="466"/>
      <c r="AW3999" s="466"/>
      <c r="AX3999" s="466"/>
      <c r="AY3999" s="466"/>
      <c r="AZ3999" s="466"/>
      <c r="BA3999" s="466"/>
      <c r="BB3999" s="466"/>
      <c r="BC3999" s="466"/>
      <c r="BD3999" s="466"/>
      <c r="BE3999" s="467"/>
      <c r="BF3999" s="467"/>
      <c r="BG3999" s="466"/>
      <c r="BH3999" s="466"/>
      <c r="BI3999" s="467"/>
      <c r="BJ3999" s="467"/>
      <c r="BK3999" s="467"/>
      <c r="BL3999" s="467"/>
      <c r="BM3999" s="467"/>
      <c r="BN3999" s="467"/>
      <c r="BO3999" s="467"/>
      <c r="BP3999" s="467"/>
      <c r="BQ3999" s="467"/>
      <c r="BR3999" s="467"/>
      <c r="BS3999" s="467"/>
      <c r="BT3999" s="467"/>
      <c r="BU3999" s="467"/>
      <c r="BV3999" s="467"/>
      <c r="BW3999" s="467"/>
      <c r="BX3999" s="769"/>
      <c r="BY3999" s="769"/>
      <c r="BZ3999" s="769"/>
      <c r="CA3999" s="769"/>
      <c r="CB3999" s="769"/>
      <c r="CC3999" s="769"/>
      <c r="CD3999" s="769"/>
      <c r="CE3999" s="769"/>
      <c r="CF3999" s="769"/>
      <c r="CG3999" s="73"/>
      <c r="CH3999" s="438"/>
      <c r="CI3999" s="416"/>
      <c r="CJ3999" s="73"/>
      <c r="CK3999" s="650"/>
      <c r="CL3999" s="499"/>
      <c r="CM3999" s="650"/>
      <c r="CR3999" s="416"/>
      <c r="CS3999" s="650"/>
      <c r="CU3999" s="73"/>
      <c r="CV3999" s="73"/>
      <c r="CW3999" s="73"/>
      <c r="CX3999" s="73"/>
      <c r="DA3999" s="650"/>
    </row>
    <row r="4000" spans="1:105" s="45" customFormat="1" x14ac:dyDescent="0.2">
      <c r="A4000" s="650"/>
      <c r="B4000" s="438"/>
      <c r="D4000" s="73"/>
      <c r="E4000" s="650"/>
      <c r="F4000" s="650"/>
      <c r="G4000" s="73"/>
      <c r="I4000" s="111"/>
      <c r="J4000" s="81"/>
      <c r="K4000" s="81"/>
      <c r="L4000" s="499"/>
      <c r="M4000" s="73"/>
      <c r="N4000" s="499"/>
      <c r="O4000" s="73"/>
      <c r="P4000" s="73"/>
      <c r="Q4000" s="73"/>
      <c r="R4000" s="176"/>
      <c r="S4000" s="176"/>
      <c r="T4000" s="176"/>
      <c r="U4000" s="400"/>
      <c r="V4000" s="400"/>
      <c r="W4000" s="732"/>
      <c r="X4000" s="167"/>
      <c r="Y4000" s="509"/>
      <c r="Z4000" s="466"/>
      <c r="AA4000" s="466"/>
      <c r="AB4000" s="466"/>
      <c r="AC4000" s="466"/>
      <c r="AD4000" s="466"/>
      <c r="AE4000" s="466"/>
      <c r="AF4000" s="466"/>
      <c r="AG4000" s="466"/>
      <c r="AH4000" s="466"/>
      <c r="AI4000" s="466"/>
      <c r="AJ4000" s="466"/>
      <c r="AK4000" s="466"/>
      <c r="AL4000" s="466"/>
      <c r="AM4000" s="466"/>
      <c r="AN4000" s="466"/>
      <c r="AO4000" s="466"/>
      <c r="AP4000" s="466"/>
      <c r="AQ4000" s="466"/>
      <c r="AR4000" s="466"/>
      <c r="AS4000" s="466"/>
      <c r="AT4000" s="466"/>
      <c r="AU4000" s="466"/>
      <c r="AV4000" s="466"/>
      <c r="AW4000" s="466"/>
      <c r="AX4000" s="466"/>
      <c r="AY4000" s="466"/>
      <c r="AZ4000" s="466"/>
      <c r="BA4000" s="466"/>
      <c r="BB4000" s="466"/>
      <c r="BC4000" s="466"/>
      <c r="BD4000" s="466"/>
      <c r="BE4000" s="467"/>
      <c r="BF4000" s="467"/>
      <c r="BG4000" s="466"/>
      <c r="BH4000" s="466"/>
      <c r="BI4000" s="467"/>
      <c r="BJ4000" s="467"/>
      <c r="BK4000" s="467"/>
      <c r="BL4000" s="467"/>
      <c r="BM4000" s="467"/>
      <c r="BN4000" s="467"/>
      <c r="BO4000" s="467"/>
      <c r="BP4000" s="467"/>
      <c r="BQ4000" s="467"/>
      <c r="BR4000" s="467"/>
      <c r="BS4000" s="467"/>
      <c r="BT4000" s="467"/>
      <c r="BU4000" s="467"/>
      <c r="BV4000" s="467"/>
      <c r="BW4000" s="467"/>
      <c r="BX4000" s="769"/>
      <c r="BY4000" s="769"/>
      <c r="BZ4000" s="769"/>
      <c r="CA4000" s="769"/>
      <c r="CB4000" s="769"/>
      <c r="CC4000" s="769"/>
      <c r="CD4000" s="769"/>
      <c r="CE4000" s="769"/>
      <c r="CF4000" s="769"/>
      <c r="CG4000" s="73"/>
      <c r="CH4000" s="438"/>
      <c r="CI4000" s="416"/>
      <c r="CJ4000" s="73"/>
      <c r="CK4000" s="650"/>
      <c r="CL4000" s="499"/>
      <c r="CM4000" s="650"/>
      <c r="CR4000" s="416"/>
      <c r="CS4000" s="650"/>
      <c r="CU4000" s="73"/>
      <c r="CV4000" s="73"/>
      <c r="CW4000" s="73"/>
      <c r="CX4000" s="73"/>
      <c r="DA4000" s="650"/>
    </row>
    <row r="4001" spans="1:105" s="45" customFormat="1" x14ac:dyDescent="0.2">
      <c r="A4001" s="650"/>
      <c r="B4001" s="438"/>
      <c r="D4001" s="73"/>
      <c r="E4001" s="650"/>
      <c r="F4001" s="650"/>
      <c r="G4001" s="73"/>
      <c r="I4001" s="111"/>
      <c r="J4001" s="81"/>
      <c r="K4001" s="81"/>
      <c r="L4001" s="499"/>
      <c r="M4001" s="73"/>
      <c r="N4001" s="499"/>
      <c r="O4001" s="73"/>
      <c r="P4001" s="73"/>
      <c r="Q4001" s="73"/>
      <c r="R4001" s="176"/>
      <c r="S4001" s="176"/>
      <c r="T4001" s="176"/>
      <c r="U4001" s="400"/>
      <c r="V4001" s="400"/>
      <c r="W4001" s="732"/>
      <c r="X4001" s="167"/>
      <c r="Y4001" s="509"/>
      <c r="Z4001" s="466"/>
      <c r="AA4001" s="466"/>
      <c r="AB4001" s="466"/>
      <c r="AC4001" s="466"/>
      <c r="AD4001" s="466"/>
      <c r="AE4001" s="466"/>
      <c r="AF4001" s="466"/>
      <c r="AG4001" s="466"/>
      <c r="AH4001" s="466"/>
      <c r="AI4001" s="466"/>
      <c r="AJ4001" s="466"/>
      <c r="AK4001" s="466"/>
      <c r="AL4001" s="466"/>
      <c r="AM4001" s="466"/>
      <c r="AN4001" s="466"/>
      <c r="AO4001" s="466"/>
      <c r="AP4001" s="466"/>
      <c r="AQ4001" s="466"/>
      <c r="AR4001" s="466"/>
      <c r="AS4001" s="466"/>
      <c r="AT4001" s="466"/>
      <c r="AU4001" s="466"/>
      <c r="AV4001" s="466"/>
      <c r="AW4001" s="466"/>
      <c r="AX4001" s="466"/>
      <c r="AY4001" s="466"/>
      <c r="AZ4001" s="466"/>
      <c r="BA4001" s="466"/>
      <c r="BB4001" s="466"/>
      <c r="BC4001" s="466"/>
      <c r="BD4001" s="466"/>
      <c r="BE4001" s="467"/>
      <c r="BF4001" s="467"/>
      <c r="BG4001" s="466"/>
      <c r="BH4001" s="466"/>
      <c r="BI4001" s="467"/>
      <c r="BJ4001" s="467"/>
      <c r="BK4001" s="467"/>
      <c r="BL4001" s="467"/>
      <c r="BM4001" s="467"/>
      <c r="BN4001" s="467"/>
      <c r="BO4001" s="467"/>
      <c r="BP4001" s="467"/>
      <c r="BQ4001" s="467"/>
      <c r="BR4001" s="467"/>
      <c r="BS4001" s="467"/>
      <c r="BT4001" s="467"/>
      <c r="BU4001" s="467"/>
      <c r="BV4001" s="467"/>
      <c r="BW4001" s="467"/>
      <c r="BX4001" s="769"/>
      <c r="BY4001" s="769"/>
      <c r="BZ4001" s="769"/>
      <c r="CA4001" s="769"/>
      <c r="CB4001" s="769"/>
      <c r="CC4001" s="769"/>
      <c r="CD4001" s="769"/>
      <c r="CE4001" s="769"/>
      <c r="CF4001" s="769"/>
      <c r="CG4001" s="73"/>
      <c r="CH4001" s="438"/>
      <c r="CI4001" s="416"/>
      <c r="CJ4001" s="73"/>
      <c r="CK4001" s="650"/>
      <c r="CL4001" s="499"/>
      <c r="CM4001" s="650"/>
      <c r="CR4001" s="416"/>
      <c r="CS4001" s="650"/>
      <c r="CU4001" s="73"/>
      <c r="CV4001" s="73"/>
      <c r="CW4001" s="73"/>
      <c r="CX4001" s="73"/>
      <c r="DA4001" s="650"/>
    </row>
    <row r="4002" spans="1:105" s="45" customFormat="1" x14ac:dyDescent="0.2">
      <c r="A4002" s="650"/>
      <c r="B4002" s="438"/>
      <c r="D4002" s="73"/>
      <c r="E4002" s="650"/>
      <c r="F4002" s="650"/>
      <c r="G4002" s="73"/>
      <c r="I4002" s="111"/>
      <c r="J4002" s="81"/>
      <c r="K4002" s="81"/>
      <c r="L4002" s="499"/>
      <c r="M4002" s="73"/>
      <c r="N4002" s="499"/>
      <c r="O4002" s="73"/>
      <c r="P4002" s="73"/>
      <c r="Q4002" s="73"/>
      <c r="R4002" s="176"/>
      <c r="S4002" s="176"/>
      <c r="T4002" s="176"/>
      <c r="U4002" s="400"/>
      <c r="V4002" s="400"/>
      <c r="W4002" s="732"/>
      <c r="X4002" s="167"/>
      <c r="Y4002" s="509"/>
      <c r="Z4002" s="466"/>
      <c r="AA4002" s="466"/>
      <c r="AB4002" s="466"/>
      <c r="AC4002" s="466"/>
      <c r="AD4002" s="466"/>
      <c r="AE4002" s="466"/>
      <c r="AF4002" s="466"/>
      <c r="AG4002" s="466"/>
      <c r="AH4002" s="466"/>
      <c r="AI4002" s="466"/>
      <c r="AJ4002" s="466"/>
      <c r="AK4002" s="466"/>
      <c r="AL4002" s="466"/>
      <c r="AM4002" s="466"/>
      <c r="AN4002" s="466"/>
      <c r="AO4002" s="466"/>
      <c r="AP4002" s="466"/>
      <c r="AQ4002" s="466"/>
      <c r="AR4002" s="466"/>
      <c r="AS4002" s="466"/>
      <c r="AT4002" s="466"/>
      <c r="AU4002" s="466"/>
      <c r="AV4002" s="466"/>
      <c r="AW4002" s="466"/>
      <c r="AX4002" s="466"/>
      <c r="AY4002" s="466"/>
      <c r="AZ4002" s="466"/>
      <c r="BA4002" s="466"/>
      <c r="BB4002" s="466"/>
      <c r="BC4002" s="466"/>
      <c r="BD4002" s="466"/>
      <c r="BE4002" s="467"/>
      <c r="BF4002" s="467"/>
      <c r="BG4002" s="466"/>
      <c r="BH4002" s="466"/>
      <c r="BI4002" s="467"/>
      <c r="BJ4002" s="467"/>
      <c r="BK4002" s="467"/>
      <c r="BL4002" s="467"/>
      <c r="BM4002" s="467"/>
      <c r="BN4002" s="467"/>
      <c r="BO4002" s="467"/>
      <c r="BP4002" s="467"/>
      <c r="BQ4002" s="467"/>
      <c r="BR4002" s="467"/>
      <c r="BS4002" s="467"/>
      <c r="BT4002" s="467"/>
      <c r="BU4002" s="467"/>
      <c r="BV4002" s="467"/>
      <c r="BW4002" s="467"/>
      <c r="BX4002" s="769"/>
      <c r="BY4002" s="769"/>
      <c r="BZ4002" s="769"/>
      <c r="CA4002" s="769"/>
      <c r="CB4002" s="769"/>
      <c r="CC4002" s="769"/>
      <c r="CD4002" s="769"/>
      <c r="CE4002" s="769"/>
      <c r="CF4002" s="769"/>
      <c r="CG4002" s="73"/>
      <c r="CH4002" s="438"/>
      <c r="CI4002" s="416"/>
      <c r="CJ4002" s="73"/>
      <c r="CK4002" s="650"/>
      <c r="CL4002" s="499"/>
      <c r="CM4002" s="650"/>
      <c r="CR4002" s="416"/>
      <c r="CS4002" s="650"/>
      <c r="CU4002" s="73"/>
      <c r="CV4002" s="73"/>
      <c r="CW4002" s="73"/>
      <c r="CX4002" s="73"/>
      <c r="DA4002" s="650"/>
    </row>
    <row r="4003" spans="1:105" s="45" customFormat="1" x14ac:dyDescent="0.2">
      <c r="A4003" s="650"/>
      <c r="B4003" s="438"/>
      <c r="D4003" s="73"/>
      <c r="E4003" s="650"/>
      <c r="F4003" s="650"/>
      <c r="G4003" s="73"/>
      <c r="I4003" s="111"/>
      <c r="J4003" s="81"/>
      <c r="K4003" s="81"/>
      <c r="L4003" s="499"/>
      <c r="M4003" s="73"/>
      <c r="N4003" s="499"/>
      <c r="O4003" s="73"/>
      <c r="P4003" s="73"/>
      <c r="Q4003" s="73"/>
      <c r="R4003" s="176"/>
      <c r="S4003" s="176"/>
      <c r="T4003" s="176"/>
      <c r="U4003" s="400"/>
      <c r="V4003" s="400"/>
      <c r="W4003" s="732"/>
      <c r="X4003" s="167"/>
      <c r="Y4003" s="509"/>
      <c r="Z4003" s="466"/>
      <c r="AA4003" s="466"/>
      <c r="AB4003" s="466"/>
      <c r="AC4003" s="466"/>
      <c r="AD4003" s="466"/>
      <c r="AE4003" s="466"/>
      <c r="AF4003" s="466"/>
      <c r="AG4003" s="466"/>
      <c r="AH4003" s="466"/>
      <c r="AI4003" s="466"/>
      <c r="AJ4003" s="466"/>
      <c r="AK4003" s="466"/>
      <c r="AL4003" s="466"/>
      <c r="AM4003" s="466"/>
      <c r="AN4003" s="466"/>
      <c r="AO4003" s="466"/>
      <c r="AP4003" s="466"/>
      <c r="AQ4003" s="466"/>
      <c r="AR4003" s="466"/>
      <c r="AS4003" s="466"/>
      <c r="AT4003" s="466"/>
      <c r="AU4003" s="466"/>
      <c r="AV4003" s="466"/>
      <c r="AW4003" s="466"/>
      <c r="AX4003" s="466"/>
      <c r="AY4003" s="466"/>
      <c r="AZ4003" s="466"/>
      <c r="BA4003" s="466"/>
      <c r="BB4003" s="466"/>
      <c r="BC4003" s="466"/>
      <c r="BD4003" s="466"/>
      <c r="BE4003" s="467"/>
      <c r="BF4003" s="467"/>
      <c r="BG4003" s="466"/>
      <c r="BH4003" s="466"/>
      <c r="BI4003" s="467"/>
      <c r="BJ4003" s="467"/>
      <c r="BK4003" s="467"/>
      <c r="BL4003" s="467"/>
      <c r="BM4003" s="467"/>
      <c r="BN4003" s="467"/>
      <c r="BO4003" s="467"/>
      <c r="BP4003" s="467"/>
      <c r="BQ4003" s="467"/>
      <c r="BR4003" s="467"/>
      <c r="BS4003" s="467"/>
      <c r="BT4003" s="467"/>
      <c r="BU4003" s="467"/>
      <c r="BV4003" s="467"/>
      <c r="BW4003" s="467"/>
      <c r="BX4003" s="769"/>
      <c r="BY4003" s="769"/>
      <c r="BZ4003" s="769"/>
      <c r="CA4003" s="769"/>
      <c r="CB4003" s="769"/>
      <c r="CC4003" s="769"/>
      <c r="CD4003" s="769"/>
      <c r="CE4003" s="769"/>
      <c r="CF4003" s="769"/>
      <c r="CG4003" s="73"/>
      <c r="CH4003" s="438"/>
      <c r="CI4003" s="416"/>
      <c r="CJ4003" s="73"/>
      <c r="CK4003" s="650"/>
      <c r="CL4003" s="499"/>
      <c r="CM4003" s="650"/>
      <c r="CR4003" s="416"/>
      <c r="CS4003" s="650"/>
      <c r="CU4003" s="73"/>
      <c r="CV4003" s="73"/>
      <c r="CW4003" s="73"/>
      <c r="CX4003" s="73"/>
      <c r="DA4003" s="650"/>
    </row>
    <row r="4004" spans="1:105" s="45" customFormat="1" x14ac:dyDescent="0.2">
      <c r="A4004" s="650"/>
      <c r="B4004" s="438"/>
      <c r="D4004" s="73"/>
      <c r="E4004" s="650"/>
      <c r="F4004" s="650"/>
      <c r="G4004" s="73"/>
      <c r="I4004" s="111"/>
      <c r="J4004" s="81"/>
      <c r="K4004" s="81"/>
      <c r="L4004" s="499"/>
      <c r="M4004" s="73"/>
      <c r="N4004" s="499"/>
      <c r="O4004" s="73"/>
      <c r="P4004" s="73"/>
      <c r="Q4004" s="73"/>
      <c r="R4004" s="176"/>
      <c r="S4004" s="176"/>
      <c r="T4004" s="176"/>
      <c r="U4004" s="400"/>
      <c r="V4004" s="400"/>
      <c r="W4004" s="732"/>
      <c r="X4004" s="167"/>
      <c r="Y4004" s="509"/>
      <c r="Z4004" s="466"/>
      <c r="AA4004" s="466"/>
      <c r="AB4004" s="466"/>
      <c r="AC4004" s="466"/>
      <c r="AD4004" s="466"/>
      <c r="AE4004" s="466"/>
      <c r="AF4004" s="466"/>
      <c r="AG4004" s="466"/>
      <c r="AH4004" s="466"/>
      <c r="AI4004" s="466"/>
      <c r="AJ4004" s="466"/>
      <c r="AK4004" s="466"/>
      <c r="AL4004" s="466"/>
      <c r="AM4004" s="466"/>
      <c r="AN4004" s="466"/>
      <c r="AO4004" s="466"/>
      <c r="AP4004" s="466"/>
      <c r="AQ4004" s="466"/>
      <c r="AR4004" s="466"/>
      <c r="AS4004" s="466"/>
      <c r="AT4004" s="466"/>
      <c r="AU4004" s="466"/>
      <c r="AV4004" s="466"/>
      <c r="AW4004" s="466"/>
      <c r="AX4004" s="466"/>
      <c r="AY4004" s="466"/>
      <c r="AZ4004" s="466"/>
      <c r="BA4004" s="466"/>
      <c r="BB4004" s="466"/>
      <c r="BC4004" s="466"/>
      <c r="BD4004" s="466"/>
      <c r="BE4004" s="467"/>
      <c r="BF4004" s="467"/>
      <c r="BG4004" s="466"/>
      <c r="BH4004" s="466"/>
      <c r="BI4004" s="467"/>
      <c r="BJ4004" s="467"/>
      <c r="BK4004" s="467"/>
      <c r="BL4004" s="467"/>
      <c r="BM4004" s="467"/>
      <c r="BN4004" s="467"/>
      <c r="BO4004" s="467"/>
      <c r="BP4004" s="467"/>
      <c r="BQ4004" s="467"/>
      <c r="BR4004" s="467"/>
      <c r="BS4004" s="467"/>
      <c r="BT4004" s="467"/>
      <c r="BU4004" s="467"/>
      <c r="BV4004" s="467"/>
      <c r="BW4004" s="467"/>
      <c r="BX4004" s="769"/>
      <c r="BY4004" s="769"/>
      <c r="BZ4004" s="769"/>
      <c r="CA4004" s="769"/>
      <c r="CB4004" s="769"/>
      <c r="CC4004" s="769"/>
      <c r="CD4004" s="769"/>
      <c r="CE4004" s="769"/>
      <c r="CF4004" s="769"/>
      <c r="CG4004" s="73"/>
      <c r="CH4004" s="438"/>
      <c r="CI4004" s="416"/>
      <c r="CJ4004" s="73"/>
      <c r="CK4004" s="650"/>
      <c r="CL4004" s="499"/>
      <c r="CM4004" s="650"/>
      <c r="CR4004" s="416"/>
      <c r="CS4004" s="650"/>
      <c r="CU4004" s="73"/>
      <c r="CV4004" s="73"/>
      <c r="CW4004" s="73"/>
      <c r="CX4004" s="73"/>
      <c r="DA4004" s="650"/>
    </row>
    <row r="4005" spans="1:105" s="45" customFormat="1" x14ac:dyDescent="0.2">
      <c r="A4005" s="650"/>
      <c r="B4005" s="438"/>
      <c r="D4005" s="73"/>
      <c r="E4005" s="650"/>
      <c r="F4005" s="650"/>
      <c r="G4005" s="73"/>
      <c r="I4005" s="111"/>
      <c r="J4005" s="81"/>
      <c r="K4005" s="81"/>
      <c r="L4005" s="499"/>
      <c r="M4005" s="73"/>
      <c r="N4005" s="499"/>
      <c r="O4005" s="73"/>
      <c r="P4005" s="73"/>
      <c r="Q4005" s="73"/>
      <c r="R4005" s="176"/>
      <c r="S4005" s="176"/>
      <c r="T4005" s="176"/>
      <c r="U4005" s="400"/>
      <c r="V4005" s="400"/>
      <c r="W4005" s="732"/>
      <c r="X4005" s="167"/>
      <c r="Y4005" s="509"/>
      <c r="Z4005" s="466"/>
      <c r="AA4005" s="466"/>
      <c r="AB4005" s="466"/>
      <c r="AC4005" s="466"/>
      <c r="AD4005" s="466"/>
      <c r="AE4005" s="466"/>
      <c r="AF4005" s="466"/>
      <c r="AG4005" s="466"/>
      <c r="AH4005" s="466"/>
      <c r="AI4005" s="466"/>
      <c r="AJ4005" s="466"/>
      <c r="AK4005" s="466"/>
      <c r="AL4005" s="466"/>
      <c r="AM4005" s="466"/>
      <c r="AN4005" s="466"/>
      <c r="AO4005" s="466"/>
      <c r="AP4005" s="466"/>
      <c r="AQ4005" s="466"/>
      <c r="AR4005" s="466"/>
      <c r="AS4005" s="466"/>
      <c r="AT4005" s="466"/>
      <c r="AU4005" s="466"/>
      <c r="AV4005" s="466"/>
      <c r="AW4005" s="466"/>
      <c r="AX4005" s="466"/>
      <c r="AY4005" s="466"/>
      <c r="AZ4005" s="466"/>
      <c r="BA4005" s="466"/>
      <c r="BB4005" s="466"/>
      <c r="BC4005" s="466"/>
      <c r="BD4005" s="466"/>
      <c r="BE4005" s="467"/>
      <c r="BF4005" s="467"/>
      <c r="BG4005" s="466"/>
      <c r="BH4005" s="466"/>
      <c r="BI4005" s="467"/>
      <c r="BJ4005" s="467"/>
      <c r="BK4005" s="467"/>
      <c r="BL4005" s="467"/>
      <c r="BM4005" s="467"/>
      <c r="BN4005" s="467"/>
      <c r="BO4005" s="467"/>
      <c r="BP4005" s="467"/>
      <c r="BQ4005" s="467"/>
      <c r="BR4005" s="467"/>
      <c r="BS4005" s="467"/>
      <c r="BT4005" s="467"/>
      <c r="BU4005" s="467"/>
      <c r="BV4005" s="467"/>
      <c r="BW4005" s="467"/>
      <c r="BX4005" s="769"/>
      <c r="BY4005" s="769"/>
      <c r="BZ4005" s="769"/>
      <c r="CA4005" s="769"/>
      <c r="CB4005" s="769"/>
      <c r="CC4005" s="769"/>
      <c r="CD4005" s="769"/>
      <c r="CE4005" s="769"/>
      <c r="CF4005" s="769"/>
      <c r="CG4005" s="73"/>
      <c r="CH4005" s="438"/>
      <c r="CI4005" s="416"/>
      <c r="CJ4005" s="73"/>
      <c r="CK4005" s="650"/>
      <c r="CL4005" s="499"/>
      <c r="CM4005" s="650"/>
      <c r="CR4005" s="416"/>
      <c r="CS4005" s="650"/>
      <c r="CU4005" s="73"/>
      <c r="CV4005" s="73"/>
      <c r="CW4005" s="73"/>
      <c r="CX4005" s="73"/>
      <c r="DA4005" s="650"/>
    </row>
    <row r="4006" spans="1:105" s="45" customFormat="1" x14ac:dyDescent="0.2">
      <c r="A4006" s="650"/>
      <c r="B4006" s="438"/>
      <c r="D4006" s="73"/>
      <c r="E4006" s="650"/>
      <c r="F4006" s="650"/>
      <c r="G4006" s="73"/>
      <c r="I4006" s="111"/>
      <c r="J4006" s="81"/>
      <c r="K4006" s="81"/>
      <c r="L4006" s="499"/>
      <c r="M4006" s="73"/>
      <c r="N4006" s="499"/>
      <c r="O4006" s="73"/>
      <c r="P4006" s="73"/>
      <c r="Q4006" s="73"/>
      <c r="R4006" s="176"/>
      <c r="S4006" s="176"/>
      <c r="T4006" s="176"/>
      <c r="U4006" s="400"/>
      <c r="V4006" s="400"/>
      <c r="W4006" s="732"/>
      <c r="X4006" s="167"/>
      <c r="Y4006" s="509"/>
      <c r="Z4006" s="466"/>
      <c r="AA4006" s="466"/>
      <c r="AB4006" s="466"/>
      <c r="AC4006" s="466"/>
      <c r="AD4006" s="466"/>
      <c r="AE4006" s="466"/>
      <c r="AF4006" s="466"/>
      <c r="AG4006" s="466"/>
      <c r="AH4006" s="466"/>
      <c r="AI4006" s="466"/>
      <c r="AJ4006" s="466"/>
      <c r="AK4006" s="466"/>
      <c r="AL4006" s="466"/>
      <c r="AM4006" s="466"/>
      <c r="AN4006" s="466"/>
      <c r="AO4006" s="466"/>
      <c r="AP4006" s="466"/>
      <c r="AQ4006" s="466"/>
      <c r="AR4006" s="466"/>
      <c r="AS4006" s="466"/>
      <c r="AT4006" s="466"/>
      <c r="AU4006" s="466"/>
      <c r="AV4006" s="466"/>
      <c r="AW4006" s="466"/>
      <c r="AX4006" s="466"/>
      <c r="AY4006" s="466"/>
      <c r="AZ4006" s="466"/>
      <c r="BA4006" s="466"/>
      <c r="BB4006" s="466"/>
      <c r="BC4006" s="466"/>
      <c r="BD4006" s="466"/>
      <c r="BE4006" s="467"/>
      <c r="BF4006" s="467"/>
      <c r="BG4006" s="466"/>
      <c r="BH4006" s="466"/>
      <c r="BI4006" s="467"/>
      <c r="BJ4006" s="467"/>
      <c r="BK4006" s="467"/>
      <c r="BL4006" s="467"/>
      <c r="BM4006" s="467"/>
      <c r="BN4006" s="467"/>
      <c r="BO4006" s="467"/>
      <c r="BP4006" s="467"/>
      <c r="BQ4006" s="467"/>
      <c r="BR4006" s="467"/>
      <c r="BS4006" s="467"/>
      <c r="BT4006" s="467"/>
      <c r="BU4006" s="467"/>
      <c r="BV4006" s="467"/>
      <c r="BW4006" s="467"/>
      <c r="BX4006" s="769"/>
      <c r="BY4006" s="769"/>
      <c r="BZ4006" s="769"/>
      <c r="CA4006" s="769"/>
      <c r="CB4006" s="769"/>
      <c r="CC4006" s="769"/>
      <c r="CD4006" s="769"/>
      <c r="CE4006" s="769"/>
      <c r="CF4006" s="769"/>
      <c r="CG4006" s="73"/>
      <c r="CH4006" s="438"/>
      <c r="CI4006" s="416"/>
      <c r="CJ4006" s="73"/>
      <c r="CK4006" s="650"/>
      <c r="CL4006" s="499"/>
      <c r="CM4006" s="650"/>
      <c r="CR4006" s="416"/>
      <c r="CS4006" s="650"/>
      <c r="CU4006" s="73"/>
      <c r="CV4006" s="73"/>
      <c r="CW4006" s="73"/>
      <c r="CX4006" s="73"/>
      <c r="DA4006" s="650"/>
    </row>
    <row r="4007" spans="1:105" s="45" customFormat="1" x14ac:dyDescent="0.2">
      <c r="A4007" s="650"/>
      <c r="B4007" s="438"/>
      <c r="D4007" s="73"/>
      <c r="E4007" s="650"/>
      <c r="F4007" s="650"/>
      <c r="G4007" s="73"/>
      <c r="I4007" s="111"/>
      <c r="J4007" s="81"/>
      <c r="K4007" s="81"/>
      <c r="L4007" s="499"/>
      <c r="M4007" s="73"/>
      <c r="N4007" s="499"/>
      <c r="O4007" s="73"/>
      <c r="P4007" s="73"/>
      <c r="Q4007" s="73"/>
      <c r="R4007" s="176"/>
      <c r="S4007" s="176"/>
      <c r="T4007" s="176"/>
      <c r="U4007" s="400"/>
      <c r="V4007" s="400"/>
      <c r="W4007" s="732"/>
      <c r="X4007" s="167"/>
      <c r="Y4007" s="509"/>
      <c r="Z4007" s="466"/>
      <c r="AA4007" s="466"/>
      <c r="AB4007" s="466"/>
      <c r="AC4007" s="466"/>
      <c r="AD4007" s="466"/>
      <c r="AE4007" s="466"/>
      <c r="AF4007" s="466"/>
      <c r="AG4007" s="466"/>
      <c r="AH4007" s="466"/>
      <c r="AI4007" s="466"/>
      <c r="AJ4007" s="466"/>
      <c r="AK4007" s="466"/>
      <c r="AL4007" s="466"/>
      <c r="AM4007" s="466"/>
      <c r="AN4007" s="466"/>
      <c r="AO4007" s="466"/>
      <c r="AP4007" s="466"/>
      <c r="AQ4007" s="466"/>
      <c r="AR4007" s="466"/>
      <c r="AS4007" s="466"/>
      <c r="AT4007" s="466"/>
      <c r="AU4007" s="466"/>
      <c r="AV4007" s="466"/>
      <c r="AW4007" s="466"/>
      <c r="AX4007" s="466"/>
      <c r="AY4007" s="466"/>
      <c r="AZ4007" s="466"/>
      <c r="BA4007" s="466"/>
      <c r="BB4007" s="466"/>
      <c r="BC4007" s="466"/>
      <c r="BD4007" s="466"/>
      <c r="BE4007" s="467"/>
      <c r="BF4007" s="467"/>
      <c r="BG4007" s="466"/>
      <c r="BH4007" s="466"/>
      <c r="BI4007" s="467"/>
      <c r="BJ4007" s="467"/>
      <c r="BK4007" s="467"/>
      <c r="BL4007" s="467"/>
      <c r="BM4007" s="467"/>
      <c r="BN4007" s="467"/>
      <c r="BO4007" s="467"/>
      <c r="BP4007" s="467"/>
      <c r="BQ4007" s="467"/>
      <c r="BR4007" s="467"/>
      <c r="BS4007" s="467"/>
      <c r="BT4007" s="467"/>
      <c r="BU4007" s="467"/>
      <c r="BV4007" s="467"/>
      <c r="BW4007" s="467"/>
      <c r="BX4007" s="769"/>
      <c r="BY4007" s="769"/>
      <c r="BZ4007" s="769"/>
      <c r="CA4007" s="769"/>
      <c r="CB4007" s="769"/>
      <c r="CC4007" s="769"/>
      <c r="CD4007" s="769"/>
      <c r="CE4007" s="769"/>
      <c r="CF4007" s="769"/>
      <c r="CG4007" s="73"/>
      <c r="CH4007" s="438"/>
      <c r="CI4007" s="416"/>
      <c r="CJ4007" s="73"/>
      <c r="CK4007" s="650"/>
      <c r="CL4007" s="499"/>
      <c r="CM4007" s="650"/>
      <c r="CR4007" s="416"/>
      <c r="CS4007" s="650"/>
      <c r="CU4007" s="73"/>
      <c r="CV4007" s="73"/>
      <c r="CW4007" s="73"/>
      <c r="CX4007" s="73"/>
      <c r="DA4007" s="650"/>
    </row>
    <row r="4008" spans="1:105" s="45" customFormat="1" x14ac:dyDescent="0.2">
      <c r="A4008" s="650"/>
      <c r="B4008" s="438"/>
      <c r="D4008" s="73"/>
      <c r="E4008" s="650"/>
      <c r="F4008" s="650"/>
      <c r="G4008" s="73"/>
      <c r="I4008" s="111"/>
      <c r="J4008" s="81"/>
      <c r="K4008" s="81"/>
      <c r="L4008" s="499"/>
      <c r="M4008" s="73"/>
      <c r="N4008" s="499"/>
      <c r="O4008" s="73"/>
      <c r="P4008" s="73"/>
      <c r="Q4008" s="73"/>
      <c r="R4008" s="176"/>
      <c r="S4008" s="176"/>
      <c r="T4008" s="176"/>
      <c r="U4008" s="400"/>
      <c r="V4008" s="400"/>
      <c r="W4008" s="732"/>
      <c r="X4008" s="167"/>
      <c r="Y4008" s="509"/>
      <c r="Z4008" s="466"/>
      <c r="AA4008" s="466"/>
      <c r="AB4008" s="466"/>
      <c r="AC4008" s="466"/>
      <c r="AD4008" s="466"/>
      <c r="AE4008" s="466"/>
      <c r="AF4008" s="466"/>
      <c r="AG4008" s="466"/>
      <c r="AH4008" s="466"/>
      <c r="AI4008" s="466"/>
      <c r="AJ4008" s="466"/>
      <c r="AK4008" s="466"/>
      <c r="AL4008" s="466"/>
      <c r="AM4008" s="466"/>
      <c r="AN4008" s="466"/>
      <c r="AO4008" s="466"/>
      <c r="AP4008" s="466"/>
      <c r="AQ4008" s="466"/>
      <c r="AR4008" s="466"/>
      <c r="AS4008" s="466"/>
      <c r="AT4008" s="466"/>
      <c r="AU4008" s="466"/>
      <c r="AV4008" s="466"/>
      <c r="AW4008" s="466"/>
      <c r="AX4008" s="466"/>
      <c r="AY4008" s="466"/>
      <c r="AZ4008" s="466"/>
      <c r="BA4008" s="466"/>
      <c r="BB4008" s="466"/>
      <c r="BC4008" s="466"/>
      <c r="BD4008" s="466"/>
      <c r="BE4008" s="467"/>
      <c r="BF4008" s="467"/>
      <c r="BG4008" s="466"/>
      <c r="BH4008" s="466"/>
      <c r="BI4008" s="467"/>
      <c r="BJ4008" s="467"/>
      <c r="BK4008" s="467"/>
      <c r="BL4008" s="467"/>
      <c r="BM4008" s="467"/>
      <c r="BN4008" s="467"/>
      <c r="BO4008" s="467"/>
      <c r="BP4008" s="467"/>
      <c r="BQ4008" s="467"/>
      <c r="BR4008" s="467"/>
      <c r="BS4008" s="467"/>
      <c r="BT4008" s="467"/>
      <c r="BU4008" s="467"/>
      <c r="BV4008" s="467"/>
      <c r="BW4008" s="467"/>
      <c r="BX4008" s="769"/>
      <c r="BY4008" s="769"/>
      <c r="BZ4008" s="769"/>
      <c r="CA4008" s="769"/>
      <c r="CB4008" s="769"/>
      <c r="CC4008" s="769"/>
      <c r="CD4008" s="769"/>
      <c r="CE4008" s="769"/>
      <c r="CF4008" s="769"/>
      <c r="CG4008" s="73"/>
      <c r="CH4008" s="438"/>
      <c r="CI4008" s="416"/>
      <c r="CJ4008" s="73"/>
      <c r="CK4008" s="650"/>
      <c r="CL4008" s="499"/>
      <c r="CM4008" s="650"/>
      <c r="CR4008" s="416"/>
      <c r="CS4008" s="650"/>
      <c r="CU4008" s="73"/>
      <c r="CV4008" s="73"/>
      <c r="CW4008" s="73"/>
      <c r="CX4008" s="73"/>
      <c r="DA4008" s="650"/>
    </row>
    <row r="4009" spans="1:105" s="45" customFormat="1" x14ac:dyDescent="0.2">
      <c r="A4009" s="650"/>
      <c r="B4009" s="438"/>
      <c r="D4009" s="73"/>
      <c r="E4009" s="650"/>
      <c r="F4009" s="650"/>
      <c r="G4009" s="73"/>
      <c r="I4009" s="111"/>
      <c r="J4009" s="81"/>
      <c r="K4009" s="81"/>
      <c r="L4009" s="499"/>
      <c r="M4009" s="73"/>
      <c r="N4009" s="499"/>
      <c r="O4009" s="73"/>
      <c r="P4009" s="73"/>
      <c r="Q4009" s="73"/>
      <c r="R4009" s="176"/>
      <c r="S4009" s="176"/>
      <c r="T4009" s="176"/>
      <c r="U4009" s="400"/>
      <c r="V4009" s="400"/>
      <c r="W4009" s="732"/>
      <c r="X4009" s="167"/>
      <c r="Y4009" s="509"/>
      <c r="Z4009" s="466"/>
      <c r="AA4009" s="466"/>
      <c r="AB4009" s="466"/>
      <c r="AC4009" s="466"/>
      <c r="AD4009" s="466"/>
      <c r="AE4009" s="466"/>
      <c r="AF4009" s="466"/>
      <c r="AG4009" s="466"/>
      <c r="AH4009" s="466"/>
      <c r="AI4009" s="466"/>
      <c r="AJ4009" s="466"/>
      <c r="AK4009" s="466"/>
      <c r="AL4009" s="466"/>
      <c r="AM4009" s="466"/>
      <c r="AN4009" s="466"/>
      <c r="AO4009" s="466"/>
      <c r="AP4009" s="466"/>
      <c r="AQ4009" s="466"/>
      <c r="AR4009" s="466"/>
      <c r="AS4009" s="466"/>
      <c r="AT4009" s="466"/>
      <c r="AU4009" s="466"/>
      <c r="AV4009" s="466"/>
      <c r="AW4009" s="466"/>
      <c r="AX4009" s="466"/>
      <c r="AY4009" s="466"/>
      <c r="AZ4009" s="466"/>
      <c r="BA4009" s="466"/>
      <c r="BB4009" s="466"/>
      <c r="BC4009" s="466"/>
      <c r="BD4009" s="466"/>
      <c r="BE4009" s="467"/>
      <c r="BF4009" s="467"/>
      <c r="BG4009" s="466"/>
      <c r="BH4009" s="466"/>
      <c r="BI4009" s="467"/>
      <c r="BJ4009" s="467"/>
      <c r="BK4009" s="467"/>
      <c r="BL4009" s="467"/>
      <c r="BM4009" s="467"/>
      <c r="BN4009" s="467"/>
      <c r="BO4009" s="467"/>
      <c r="BP4009" s="467"/>
      <c r="BQ4009" s="467"/>
      <c r="BR4009" s="467"/>
      <c r="BS4009" s="467"/>
      <c r="BT4009" s="467"/>
      <c r="BU4009" s="467"/>
      <c r="BV4009" s="467"/>
      <c r="BW4009" s="467"/>
      <c r="BX4009" s="769"/>
      <c r="BY4009" s="769"/>
      <c r="BZ4009" s="769"/>
      <c r="CA4009" s="769"/>
      <c r="CB4009" s="769"/>
      <c r="CC4009" s="769"/>
      <c r="CD4009" s="769"/>
      <c r="CE4009" s="769"/>
      <c r="CF4009" s="769"/>
      <c r="CG4009" s="73"/>
      <c r="CH4009" s="438"/>
      <c r="CI4009" s="416"/>
      <c r="CJ4009" s="73"/>
      <c r="CK4009" s="650"/>
      <c r="CL4009" s="499"/>
      <c r="CM4009" s="650"/>
      <c r="CR4009" s="416"/>
      <c r="CS4009" s="650"/>
      <c r="CU4009" s="73"/>
      <c r="CV4009" s="73"/>
      <c r="CW4009" s="73"/>
      <c r="CX4009" s="73"/>
      <c r="DA4009" s="650"/>
    </row>
    <row r="4010" spans="1:105" s="45" customFormat="1" x14ac:dyDescent="0.2">
      <c r="A4010" s="650"/>
      <c r="B4010" s="438"/>
      <c r="D4010" s="73"/>
      <c r="E4010" s="650"/>
      <c r="F4010" s="650"/>
      <c r="G4010" s="73"/>
      <c r="I4010" s="111"/>
      <c r="J4010" s="81"/>
      <c r="K4010" s="81"/>
      <c r="L4010" s="499"/>
      <c r="M4010" s="73"/>
      <c r="N4010" s="499"/>
      <c r="O4010" s="73"/>
      <c r="P4010" s="73"/>
      <c r="Q4010" s="73"/>
      <c r="R4010" s="176"/>
      <c r="S4010" s="176"/>
      <c r="T4010" s="176"/>
      <c r="U4010" s="400"/>
      <c r="V4010" s="400"/>
      <c r="W4010" s="732"/>
      <c r="X4010" s="167"/>
      <c r="Y4010" s="509"/>
      <c r="Z4010" s="466"/>
      <c r="AA4010" s="466"/>
      <c r="AB4010" s="466"/>
      <c r="AC4010" s="466"/>
      <c r="AD4010" s="466"/>
      <c r="AE4010" s="466"/>
      <c r="AF4010" s="466"/>
      <c r="AG4010" s="466"/>
      <c r="AH4010" s="466"/>
      <c r="AI4010" s="466"/>
      <c r="AJ4010" s="466"/>
      <c r="AK4010" s="466"/>
      <c r="AL4010" s="466"/>
      <c r="AM4010" s="466"/>
      <c r="AN4010" s="466"/>
      <c r="AO4010" s="466"/>
      <c r="AP4010" s="466"/>
      <c r="AQ4010" s="466"/>
      <c r="AR4010" s="466"/>
      <c r="AS4010" s="466"/>
      <c r="AT4010" s="466"/>
      <c r="AU4010" s="466"/>
      <c r="AV4010" s="466"/>
      <c r="AW4010" s="466"/>
      <c r="AX4010" s="466"/>
      <c r="AY4010" s="466"/>
      <c r="AZ4010" s="466"/>
      <c r="BA4010" s="466"/>
      <c r="BB4010" s="466"/>
      <c r="BC4010" s="466"/>
      <c r="BD4010" s="466"/>
      <c r="BE4010" s="467"/>
      <c r="BF4010" s="467"/>
      <c r="BG4010" s="466"/>
      <c r="BH4010" s="466"/>
      <c r="BI4010" s="467"/>
      <c r="BJ4010" s="467"/>
      <c r="BK4010" s="467"/>
      <c r="BL4010" s="467"/>
      <c r="BM4010" s="467"/>
      <c r="BN4010" s="467"/>
      <c r="BO4010" s="467"/>
      <c r="BP4010" s="467"/>
      <c r="BQ4010" s="467"/>
      <c r="BR4010" s="467"/>
      <c r="BS4010" s="467"/>
      <c r="BT4010" s="467"/>
      <c r="BU4010" s="467"/>
      <c r="BV4010" s="467"/>
      <c r="BW4010" s="467"/>
      <c r="BX4010" s="769"/>
      <c r="BY4010" s="769"/>
      <c r="BZ4010" s="769"/>
      <c r="CA4010" s="769"/>
      <c r="CB4010" s="769"/>
      <c r="CC4010" s="769"/>
      <c r="CD4010" s="769"/>
      <c r="CE4010" s="769"/>
      <c r="CF4010" s="769"/>
      <c r="CG4010" s="73"/>
      <c r="CH4010" s="438"/>
      <c r="CI4010" s="416"/>
      <c r="CJ4010" s="73"/>
      <c r="CK4010" s="650"/>
      <c r="CL4010" s="499"/>
      <c r="CM4010" s="650"/>
      <c r="CR4010" s="416"/>
      <c r="CS4010" s="650"/>
      <c r="CU4010" s="73"/>
      <c r="CV4010" s="73"/>
      <c r="CW4010" s="73"/>
      <c r="CX4010" s="73"/>
      <c r="DA4010" s="650"/>
    </row>
    <row r="4011" spans="1:105" s="45" customFormat="1" x14ac:dyDescent="0.2">
      <c r="A4011" s="650"/>
      <c r="B4011" s="438"/>
      <c r="D4011" s="73"/>
      <c r="E4011" s="650"/>
      <c r="F4011" s="650"/>
      <c r="G4011" s="73"/>
      <c r="I4011" s="111"/>
      <c r="J4011" s="81"/>
      <c r="K4011" s="81"/>
      <c r="L4011" s="499"/>
      <c r="M4011" s="73"/>
      <c r="N4011" s="499"/>
      <c r="O4011" s="73"/>
      <c r="P4011" s="73"/>
      <c r="Q4011" s="73"/>
      <c r="R4011" s="176"/>
      <c r="S4011" s="176"/>
      <c r="T4011" s="176"/>
      <c r="U4011" s="400"/>
      <c r="V4011" s="400"/>
      <c r="W4011" s="732"/>
      <c r="X4011" s="167"/>
      <c r="Y4011" s="509"/>
      <c r="Z4011" s="466"/>
      <c r="AA4011" s="466"/>
      <c r="AB4011" s="466"/>
      <c r="AC4011" s="466"/>
      <c r="AD4011" s="466"/>
      <c r="AE4011" s="466"/>
      <c r="AF4011" s="466"/>
      <c r="AG4011" s="466"/>
      <c r="AH4011" s="466"/>
      <c r="AI4011" s="466"/>
      <c r="AJ4011" s="466"/>
      <c r="AK4011" s="466"/>
      <c r="AL4011" s="466"/>
      <c r="AM4011" s="466"/>
      <c r="AN4011" s="466"/>
      <c r="AO4011" s="466"/>
      <c r="AP4011" s="466"/>
      <c r="AQ4011" s="466"/>
      <c r="AR4011" s="466"/>
      <c r="AS4011" s="466"/>
      <c r="AT4011" s="466"/>
      <c r="AU4011" s="466"/>
      <c r="AV4011" s="466"/>
      <c r="AW4011" s="466"/>
      <c r="AX4011" s="466"/>
      <c r="AY4011" s="466"/>
      <c r="AZ4011" s="466"/>
      <c r="BA4011" s="466"/>
      <c r="BB4011" s="466"/>
      <c r="BC4011" s="466"/>
      <c r="BD4011" s="466"/>
      <c r="BE4011" s="467"/>
      <c r="BF4011" s="467"/>
      <c r="BG4011" s="466"/>
      <c r="BH4011" s="466"/>
      <c r="BI4011" s="467"/>
      <c r="BJ4011" s="467"/>
      <c r="BK4011" s="467"/>
      <c r="BL4011" s="467"/>
      <c r="BM4011" s="467"/>
      <c r="BN4011" s="467"/>
      <c r="BO4011" s="467"/>
      <c r="BP4011" s="467"/>
      <c r="BQ4011" s="467"/>
      <c r="BR4011" s="467"/>
      <c r="BS4011" s="467"/>
      <c r="BT4011" s="467"/>
      <c r="BU4011" s="467"/>
      <c r="BV4011" s="467"/>
      <c r="BW4011" s="467"/>
      <c r="BX4011" s="769"/>
      <c r="BY4011" s="769"/>
      <c r="BZ4011" s="769"/>
      <c r="CA4011" s="769"/>
      <c r="CB4011" s="769"/>
      <c r="CC4011" s="769"/>
      <c r="CD4011" s="769"/>
      <c r="CE4011" s="769"/>
      <c r="CF4011" s="769"/>
      <c r="CG4011" s="73"/>
      <c r="CH4011" s="438"/>
      <c r="CI4011" s="416"/>
      <c r="CJ4011" s="73"/>
      <c r="CK4011" s="650"/>
      <c r="CL4011" s="499"/>
      <c r="CM4011" s="650"/>
      <c r="CR4011" s="416"/>
      <c r="CS4011" s="650"/>
      <c r="CU4011" s="73"/>
      <c r="CV4011" s="73"/>
      <c r="CW4011" s="73"/>
      <c r="CX4011" s="73"/>
      <c r="DA4011" s="650"/>
    </row>
    <row r="4012" spans="1:105" s="45" customFormat="1" x14ac:dyDescent="0.2">
      <c r="A4012" s="650"/>
      <c r="B4012" s="438"/>
      <c r="D4012" s="73"/>
      <c r="E4012" s="650"/>
      <c r="F4012" s="650"/>
      <c r="G4012" s="73"/>
      <c r="I4012" s="111"/>
      <c r="J4012" s="81"/>
      <c r="K4012" s="81"/>
      <c r="L4012" s="499"/>
      <c r="M4012" s="73"/>
      <c r="N4012" s="499"/>
      <c r="O4012" s="73"/>
      <c r="P4012" s="73"/>
      <c r="Q4012" s="73"/>
      <c r="R4012" s="176"/>
      <c r="S4012" s="176"/>
      <c r="T4012" s="176"/>
      <c r="U4012" s="400"/>
      <c r="V4012" s="400"/>
      <c r="W4012" s="732"/>
      <c r="X4012" s="167"/>
      <c r="Y4012" s="509"/>
      <c r="Z4012" s="466"/>
      <c r="AA4012" s="466"/>
      <c r="AB4012" s="466"/>
      <c r="AC4012" s="466"/>
      <c r="AD4012" s="466"/>
      <c r="AE4012" s="466"/>
      <c r="AF4012" s="466"/>
      <c r="AG4012" s="466"/>
      <c r="AH4012" s="466"/>
      <c r="AI4012" s="466"/>
      <c r="AJ4012" s="466"/>
      <c r="AK4012" s="466"/>
      <c r="AL4012" s="466"/>
      <c r="AM4012" s="466"/>
      <c r="AN4012" s="466"/>
      <c r="AO4012" s="466"/>
      <c r="AP4012" s="466"/>
      <c r="AQ4012" s="466"/>
      <c r="AR4012" s="466"/>
      <c r="AS4012" s="466"/>
      <c r="AT4012" s="466"/>
      <c r="AU4012" s="466"/>
      <c r="AV4012" s="466"/>
      <c r="AW4012" s="466"/>
      <c r="AX4012" s="466"/>
      <c r="AY4012" s="466"/>
      <c r="AZ4012" s="466"/>
      <c r="BA4012" s="466"/>
      <c r="BB4012" s="466"/>
      <c r="BC4012" s="466"/>
      <c r="BD4012" s="466"/>
      <c r="BE4012" s="467"/>
      <c r="BF4012" s="467"/>
      <c r="BG4012" s="466"/>
      <c r="BH4012" s="466"/>
      <c r="BI4012" s="467"/>
      <c r="BJ4012" s="467"/>
      <c r="BK4012" s="467"/>
      <c r="BL4012" s="467"/>
      <c r="BM4012" s="467"/>
      <c r="BN4012" s="467"/>
      <c r="BO4012" s="467"/>
      <c r="BP4012" s="467"/>
      <c r="BQ4012" s="467"/>
      <c r="BR4012" s="467"/>
      <c r="BS4012" s="467"/>
      <c r="BT4012" s="467"/>
      <c r="BU4012" s="467"/>
      <c r="BV4012" s="467"/>
      <c r="BW4012" s="467"/>
      <c r="BX4012" s="769"/>
      <c r="BY4012" s="769"/>
      <c r="BZ4012" s="769"/>
      <c r="CA4012" s="769"/>
      <c r="CB4012" s="769"/>
      <c r="CC4012" s="769"/>
      <c r="CD4012" s="769"/>
      <c r="CE4012" s="769"/>
      <c r="CF4012" s="769"/>
      <c r="CG4012" s="73"/>
      <c r="CH4012" s="438"/>
      <c r="CI4012" s="416"/>
      <c r="CJ4012" s="73"/>
      <c r="CK4012" s="650"/>
      <c r="CL4012" s="499"/>
      <c r="CM4012" s="650"/>
      <c r="CR4012" s="416"/>
      <c r="CS4012" s="650"/>
      <c r="CU4012" s="73"/>
      <c r="CV4012" s="73"/>
      <c r="CW4012" s="73"/>
      <c r="CX4012" s="73"/>
      <c r="DA4012" s="650"/>
    </row>
    <row r="4013" spans="1:105" s="45" customFormat="1" x14ac:dyDescent="0.2">
      <c r="A4013" s="650"/>
      <c r="B4013" s="438"/>
      <c r="D4013" s="73"/>
      <c r="E4013" s="650"/>
      <c r="F4013" s="650"/>
      <c r="G4013" s="73"/>
      <c r="I4013" s="111"/>
      <c r="J4013" s="81"/>
      <c r="K4013" s="81"/>
      <c r="L4013" s="499"/>
      <c r="M4013" s="73"/>
      <c r="N4013" s="499"/>
      <c r="O4013" s="73"/>
      <c r="P4013" s="73"/>
      <c r="Q4013" s="73"/>
      <c r="R4013" s="176"/>
      <c r="S4013" s="176"/>
      <c r="T4013" s="176"/>
      <c r="U4013" s="400"/>
      <c r="V4013" s="400"/>
      <c r="W4013" s="732"/>
      <c r="X4013" s="167"/>
      <c r="Y4013" s="509"/>
      <c r="Z4013" s="466"/>
      <c r="AA4013" s="466"/>
      <c r="AB4013" s="466"/>
      <c r="AC4013" s="466"/>
      <c r="AD4013" s="466"/>
      <c r="AE4013" s="466"/>
      <c r="AF4013" s="466"/>
      <c r="AG4013" s="466"/>
      <c r="AH4013" s="466"/>
      <c r="AI4013" s="466"/>
      <c r="AJ4013" s="466"/>
      <c r="AK4013" s="466"/>
      <c r="AL4013" s="466"/>
      <c r="AM4013" s="466"/>
      <c r="AN4013" s="466"/>
      <c r="AO4013" s="466"/>
      <c r="AP4013" s="466"/>
      <c r="AQ4013" s="466"/>
      <c r="AR4013" s="466"/>
      <c r="AS4013" s="466"/>
      <c r="AT4013" s="466"/>
      <c r="AU4013" s="466"/>
      <c r="AV4013" s="466"/>
      <c r="AW4013" s="466"/>
      <c r="AX4013" s="466"/>
      <c r="AY4013" s="466"/>
      <c r="AZ4013" s="466"/>
      <c r="BA4013" s="466"/>
      <c r="BB4013" s="466"/>
      <c r="BC4013" s="466"/>
      <c r="BD4013" s="466"/>
      <c r="BE4013" s="467"/>
      <c r="BF4013" s="467"/>
      <c r="BG4013" s="466"/>
      <c r="BH4013" s="466"/>
      <c r="BI4013" s="467"/>
      <c r="BJ4013" s="467"/>
      <c r="BK4013" s="467"/>
      <c r="BL4013" s="467"/>
      <c r="BM4013" s="467"/>
      <c r="BN4013" s="467"/>
      <c r="BO4013" s="467"/>
      <c r="BP4013" s="467"/>
      <c r="BQ4013" s="467"/>
      <c r="BR4013" s="467"/>
      <c r="BS4013" s="467"/>
      <c r="BT4013" s="467"/>
      <c r="BU4013" s="467"/>
      <c r="BV4013" s="467"/>
      <c r="BW4013" s="467"/>
      <c r="BX4013" s="769"/>
      <c r="BY4013" s="769"/>
      <c r="BZ4013" s="769"/>
      <c r="CA4013" s="769"/>
      <c r="CB4013" s="769"/>
      <c r="CC4013" s="769"/>
      <c r="CD4013" s="769"/>
      <c r="CE4013" s="769"/>
      <c r="CF4013" s="769"/>
      <c r="CG4013" s="73"/>
      <c r="CH4013" s="438"/>
      <c r="CI4013" s="416"/>
      <c r="CJ4013" s="73"/>
      <c r="CK4013" s="650"/>
      <c r="CL4013" s="499"/>
      <c r="CM4013" s="650"/>
      <c r="CR4013" s="416"/>
      <c r="CS4013" s="650"/>
      <c r="CU4013" s="73"/>
      <c r="CV4013" s="73"/>
      <c r="CW4013" s="73"/>
      <c r="CX4013" s="73"/>
      <c r="DA4013" s="650"/>
    </row>
    <row r="4014" spans="1:105" s="45" customFormat="1" x14ac:dyDescent="0.2">
      <c r="A4014" s="650"/>
      <c r="B4014" s="438"/>
      <c r="D4014" s="73"/>
      <c r="E4014" s="650"/>
      <c r="F4014" s="650"/>
      <c r="G4014" s="73"/>
      <c r="I4014" s="111"/>
      <c r="J4014" s="81"/>
      <c r="K4014" s="81"/>
      <c r="L4014" s="499"/>
      <c r="M4014" s="73"/>
      <c r="N4014" s="499"/>
      <c r="O4014" s="73"/>
      <c r="P4014" s="73"/>
      <c r="Q4014" s="73"/>
      <c r="R4014" s="176"/>
      <c r="S4014" s="176"/>
      <c r="T4014" s="176"/>
      <c r="U4014" s="400"/>
      <c r="V4014" s="400"/>
      <c r="W4014" s="732"/>
      <c r="X4014" s="167"/>
      <c r="Y4014" s="509"/>
      <c r="Z4014" s="466"/>
      <c r="AA4014" s="466"/>
      <c r="AB4014" s="466"/>
      <c r="AC4014" s="466"/>
      <c r="AD4014" s="466"/>
      <c r="AE4014" s="466"/>
      <c r="AF4014" s="466"/>
      <c r="AG4014" s="466"/>
      <c r="AH4014" s="466"/>
      <c r="AI4014" s="466"/>
      <c r="AJ4014" s="466"/>
      <c r="AK4014" s="466"/>
      <c r="AL4014" s="466"/>
      <c r="AM4014" s="466"/>
      <c r="AN4014" s="466"/>
      <c r="AO4014" s="466"/>
      <c r="AP4014" s="466"/>
      <c r="AQ4014" s="466"/>
      <c r="AR4014" s="466"/>
      <c r="AS4014" s="466"/>
      <c r="AT4014" s="466"/>
      <c r="AU4014" s="466"/>
      <c r="AV4014" s="466"/>
      <c r="AW4014" s="466"/>
      <c r="AX4014" s="466"/>
      <c r="AY4014" s="466"/>
      <c r="AZ4014" s="466"/>
      <c r="BA4014" s="466"/>
      <c r="BB4014" s="466"/>
      <c r="BC4014" s="466"/>
      <c r="BD4014" s="466"/>
      <c r="BE4014" s="467"/>
      <c r="BF4014" s="467"/>
      <c r="BG4014" s="466"/>
      <c r="BH4014" s="466"/>
      <c r="BI4014" s="467"/>
      <c r="BJ4014" s="467"/>
      <c r="BK4014" s="467"/>
      <c r="BL4014" s="467"/>
      <c r="BM4014" s="467"/>
      <c r="BN4014" s="467"/>
      <c r="BO4014" s="467"/>
      <c r="BP4014" s="467"/>
      <c r="BQ4014" s="467"/>
      <c r="BR4014" s="467"/>
      <c r="BS4014" s="467"/>
      <c r="BT4014" s="467"/>
      <c r="BU4014" s="467"/>
      <c r="BV4014" s="467"/>
      <c r="BW4014" s="467"/>
      <c r="BX4014" s="769"/>
      <c r="BY4014" s="769"/>
      <c r="BZ4014" s="769"/>
      <c r="CA4014" s="769"/>
      <c r="CB4014" s="769"/>
      <c r="CC4014" s="769"/>
      <c r="CD4014" s="769"/>
      <c r="CE4014" s="769"/>
      <c r="CF4014" s="769"/>
      <c r="CG4014" s="73"/>
      <c r="CH4014" s="438"/>
      <c r="CI4014" s="416"/>
      <c r="CJ4014" s="73"/>
      <c r="CK4014" s="650"/>
      <c r="CL4014" s="499"/>
      <c r="CM4014" s="650"/>
      <c r="CR4014" s="416"/>
      <c r="CS4014" s="650"/>
      <c r="CU4014" s="73"/>
      <c r="CV4014" s="73"/>
      <c r="CW4014" s="73"/>
      <c r="CX4014" s="73"/>
      <c r="DA4014" s="650"/>
    </row>
    <row r="4015" spans="1:105" s="45" customFormat="1" x14ac:dyDescent="0.2">
      <c r="A4015" s="650"/>
      <c r="B4015" s="438"/>
      <c r="D4015" s="73"/>
      <c r="E4015" s="650"/>
      <c r="F4015" s="650"/>
      <c r="G4015" s="73"/>
      <c r="I4015" s="111"/>
      <c r="J4015" s="81"/>
      <c r="K4015" s="81"/>
      <c r="L4015" s="499"/>
      <c r="M4015" s="73"/>
      <c r="N4015" s="499"/>
      <c r="O4015" s="73"/>
      <c r="P4015" s="73"/>
      <c r="Q4015" s="73"/>
      <c r="R4015" s="176"/>
      <c r="S4015" s="176"/>
      <c r="T4015" s="176"/>
      <c r="U4015" s="400"/>
      <c r="V4015" s="400"/>
      <c r="W4015" s="732"/>
      <c r="X4015" s="167"/>
      <c r="Y4015" s="509"/>
      <c r="Z4015" s="466"/>
      <c r="AA4015" s="466"/>
      <c r="AB4015" s="466"/>
      <c r="AC4015" s="466"/>
      <c r="AD4015" s="466"/>
      <c r="AE4015" s="466"/>
      <c r="AF4015" s="466"/>
      <c r="AG4015" s="466"/>
      <c r="AH4015" s="466"/>
      <c r="AI4015" s="466"/>
      <c r="AJ4015" s="466"/>
      <c r="AK4015" s="466"/>
      <c r="AL4015" s="466"/>
      <c r="AM4015" s="466"/>
      <c r="AN4015" s="466"/>
      <c r="AO4015" s="466"/>
      <c r="AP4015" s="466"/>
      <c r="AQ4015" s="466"/>
      <c r="AR4015" s="466"/>
      <c r="AS4015" s="466"/>
      <c r="AT4015" s="466"/>
      <c r="AU4015" s="466"/>
      <c r="AV4015" s="466"/>
      <c r="AW4015" s="466"/>
      <c r="AX4015" s="466"/>
      <c r="AY4015" s="466"/>
      <c r="AZ4015" s="466"/>
      <c r="BA4015" s="466"/>
      <c r="BB4015" s="466"/>
      <c r="BC4015" s="466"/>
      <c r="BD4015" s="466"/>
      <c r="BE4015" s="467"/>
      <c r="BF4015" s="467"/>
      <c r="BG4015" s="466"/>
      <c r="BH4015" s="466"/>
      <c r="BI4015" s="467"/>
      <c r="BJ4015" s="467"/>
      <c r="BK4015" s="467"/>
      <c r="BL4015" s="467"/>
      <c r="BM4015" s="467"/>
      <c r="BN4015" s="467"/>
      <c r="BO4015" s="467"/>
      <c r="BP4015" s="467"/>
      <c r="BQ4015" s="467"/>
      <c r="BR4015" s="467"/>
      <c r="BS4015" s="467"/>
      <c r="BT4015" s="467"/>
      <c r="BU4015" s="467"/>
      <c r="BV4015" s="467"/>
      <c r="BW4015" s="467"/>
      <c r="BX4015" s="769"/>
      <c r="BY4015" s="769"/>
      <c r="BZ4015" s="769"/>
      <c r="CA4015" s="769"/>
      <c r="CB4015" s="769"/>
      <c r="CC4015" s="769"/>
      <c r="CD4015" s="769"/>
      <c r="CE4015" s="769"/>
      <c r="CF4015" s="769"/>
      <c r="CG4015" s="73"/>
      <c r="CH4015" s="438"/>
      <c r="CI4015" s="416"/>
      <c r="CJ4015" s="73"/>
      <c r="CK4015" s="650"/>
      <c r="CL4015" s="499"/>
      <c r="CM4015" s="650"/>
      <c r="CR4015" s="416"/>
      <c r="CS4015" s="650"/>
      <c r="CU4015" s="73"/>
      <c r="CV4015" s="73"/>
      <c r="CW4015" s="73"/>
      <c r="CX4015" s="73"/>
      <c r="DA4015" s="650"/>
    </row>
    <row r="4016" spans="1:105" s="45" customFormat="1" x14ac:dyDescent="0.2">
      <c r="A4016" s="650"/>
      <c r="B4016" s="438"/>
      <c r="D4016" s="73"/>
      <c r="E4016" s="650"/>
      <c r="F4016" s="650"/>
      <c r="G4016" s="73"/>
      <c r="I4016" s="111"/>
      <c r="J4016" s="81"/>
      <c r="K4016" s="81"/>
      <c r="L4016" s="499"/>
      <c r="M4016" s="73"/>
      <c r="N4016" s="499"/>
      <c r="O4016" s="73"/>
      <c r="P4016" s="73"/>
      <c r="Q4016" s="73"/>
      <c r="R4016" s="176"/>
      <c r="S4016" s="176"/>
      <c r="T4016" s="176"/>
      <c r="U4016" s="400"/>
      <c r="V4016" s="400"/>
      <c r="W4016" s="732"/>
      <c r="X4016" s="167"/>
      <c r="Y4016" s="509"/>
      <c r="Z4016" s="466"/>
      <c r="AA4016" s="466"/>
      <c r="AB4016" s="466"/>
      <c r="AC4016" s="466"/>
      <c r="AD4016" s="466"/>
      <c r="AE4016" s="466"/>
      <c r="AF4016" s="466"/>
      <c r="AG4016" s="466"/>
      <c r="AH4016" s="466"/>
      <c r="AI4016" s="466"/>
      <c r="AJ4016" s="466"/>
      <c r="AK4016" s="466"/>
      <c r="AL4016" s="466"/>
      <c r="AM4016" s="466"/>
      <c r="AN4016" s="466"/>
      <c r="AO4016" s="466"/>
      <c r="AP4016" s="466"/>
      <c r="AQ4016" s="466"/>
      <c r="AR4016" s="466"/>
      <c r="AS4016" s="466"/>
      <c r="AT4016" s="466"/>
      <c r="AU4016" s="466"/>
      <c r="AV4016" s="466"/>
      <c r="AW4016" s="466"/>
      <c r="AX4016" s="466"/>
      <c r="AY4016" s="466"/>
      <c r="AZ4016" s="466"/>
      <c r="BA4016" s="466"/>
      <c r="BB4016" s="466"/>
      <c r="BC4016" s="466"/>
      <c r="BD4016" s="466"/>
      <c r="BE4016" s="467"/>
      <c r="BF4016" s="467"/>
      <c r="BG4016" s="466"/>
      <c r="BH4016" s="466"/>
      <c r="BI4016" s="467"/>
      <c r="BJ4016" s="467"/>
      <c r="BK4016" s="467"/>
      <c r="BL4016" s="467"/>
      <c r="BM4016" s="467"/>
      <c r="BN4016" s="467"/>
      <c r="BO4016" s="467"/>
      <c r="BP4016" s="467"/>
      <c r="BQ4016" s="467"/>
      <c r="BR4016" s="467"/>
      <c r="BS4016" s="467"/>
      <c r="BT4016" s="467"/>
      <c r="BU4016" s="467"/>
      <c r="BV4016" s="467"/>
      <c r="BW4016" s="467"/>
      <c r="BX4016" s="769"/>
      <c r="BY4016" s="769"/>
      <c r="BZ4016" s="769"/>
      <c r="CA4016" s="769"/>
      <c r="CB4016" s="769"/>
      <c r="CC4016" s="769"/>
      <c r="CD4016" s="769"/>
      <c r="CE4016" s="769"/>
      <c r="CF4016" s="769"/>
      <c r="CG4016" s="73"/>
      <c r="CH4016" s="438"/>
      <c r="CI4016" s="416"/>
      <c r="CJ4016" s="73"/>
      <c r="CK4016" s="650"/>
      <c r="CL4016" s="499"/>
      <c r="CM4016" s="650"/>
      <c r="CR4016" s="416"/>
      <c r="CS4016" s="650"/>
      <c r="CU4016" s="73"/>
      <c r="CV4016" s="73"/>
      <c r="CW4016" s="73"/>
      <c r="CX4016" s="73"/>
      <c r="DA4016" s="650"/>
    </row>
    <row r="4017" spans="1:105" s="45" customFormat="1" x14ac:dyDescent="0.2">
      <c r="A4017" s="650"/>
      <c r="B4017" s="438"/>
      <c r="D4017" s="73"/>
      <c r="E4017" s="650"/>
      <c r="F4017" s="650"/>
      <c r="G4017" s="73"/>
      <c r="I4017" s="111"/>
      <c r="J4017" s="81"/>
      <c r="K4017" s="81"/>
      <c r="L4017" s="499"/>
      <c r="M4017" s="73"/>
      <c r="N4017" s="499"/>
      <c r="O4017" s="73"/>
      <c r="P4017" s="73"/>
      <c r="Q4017" s="73"/>
      <c r="R4017" s="176"/>
      <c r="S4017" s="176"/>
      <c r="T4017" s="176"/>
      <c r="U4017" s="400"/>
      <c r="V4017" s="400"/>
      <c r="W4017" s="732"/>
      <c r="X4017" s="167"/>
      <c r="Y4017" s="509"/>
      <c r="Z4017" s="466"/>
      <c r="AA4017" s="466"/>
      <c r="AB4017" s="466"/>
      <c r="AC4017" s="466"/>
      <c r="AD4017" s="466"/>
      <c r="AE4017" s="466"/>
      <c r="AF4017" s="466"/>
      <c r="AG4017" s="466"/>
      <c r="AH4017" s="466"/>
      <c r="AI4017" s="466"/>
      <c r="AJ4017" s="466"/>
      <c r="AK4017" s="466"/>
      <c r="AL4017" s="466"/>
      <c r="AM4017" s="466"/>
      <c r="AN4017" s="466"/>
      <c r="AO4017" s="466"/>
      <c r="AP4017" s="466"/>
      <c r="AQ4017" s="466"/>
      <c r="AR4017" s="466"/>
      <c r="AS4017" s="466"/>
      <c r="AT4017" s="466"/>
      <c r="AU4017" s="466"/>
      <c r="AV4017" s="466"/>
      <c r="AW4017" s="466"/>
      <c r="AX4017" s="466"/>
      <c r="AY4017" s="466"/>
      <c r="AZ4017" s="466"/>
      <c r="BA4017" s="466"/>
      <c r="BB4017" s="466"/>
      <c r="BC4017" s="466"/>
      <c r="BD4017" s="466"/>
      <c r="BE4017" s="467"/>
      <c r="BF4017" s="467"/>
      <c r="BG4017" s="466"/>
      <c r="BH4017" s="466"/>
      <c r="BI4017" s="467"/>
      <c r="BJ4017" s="467"/>
      <c r="BK4017" s="467"/>
      <c r="BL4017" s="467"/>
      <c r="BM4017" s="467"/>
      <c r="BN4017" s="467"/>
      <c r="BO4017" s="467"/>
      <c r="BP4017" s="467"/>
      <c r="BQ4017" s="467"/>
      <c r="BR4017" s="467"/>
      <c r="BS4017" s="467"/>
      <c r="BT4017" s="467"/>
      <c r="BU4017" s="467"/>
      <c r="BV4017" s="467"/>
      <c r="BW4017" s="467"/>
      <c r="BX4017" s="769"/>
      <c r="BY4017" s="769"/>
      <c r="BZ4017" s="769"/>
      <c r="CA4017" s="769"/>
      <c r="CB4017" s="769"/>
      <c r="CC4017" s="769"/>
      <c r="CD4017" s="769"/>
      <c r="CE4017" s="769"/>
      <c r="CF4017" s="769"/>
      <c r="CG4017" s="73"/>
      <c r="CH4017" s="438"/>
      <c r="CI4017" s="416"/>
      <c r="CJ4017" s="73"/>
      <c r="CK4017" s="650"/>
      <c r="CL4017" s="499"/>
      <c r="CM4017" s="650"/>
      <c r="CR4017" s="416"/>
      <c r="CS4017" s="650"/>
      <c r="CU4017" s="73"/>
      <c r="CV4017" s="73"/>
      <c r="CW4017" s="73"/>
      <c r="CX4017" s="73"/>
      <c r="DA4017" s="650"/>
    </row>
    <row r="4018" spans="1:105" s="45" customFormat="1" x14ac:dyDescent="0.2">
      <c r="A4018" s="650"/>
      <c r="B4018" s="438"/>
      <c r="D4018" s="73"/>
      <c r="E4018" s="650"/>
      <c r="F4018" s="650"/>
      <c r="G4018" s="73"/>
      <c r="I4018" s="111"/>
      <c r="J4018" s="81"/>
      <c r="K4018" s="81"/>
      <c r="L4018" s="499"/>
      <c r="M4018" s="73"/>
      <c r="N4018" s="499"/>
      <c r="O4018" s="73"/>
      <c r="P4018" s="73"/>
      <c r="Q4018" s="73"/>
      <c r="R4018" s="176"/>
      <c r="S4018" s="176"/>
      <c r="T4018" s="176"/>
      <c r="U4018" s="400"/>
      <c r="V4018" s="400"/>
      <c r="W4018" s="732"/>
      <c r="X4018" s="167"/>
      <c r="Y4018" s="509"/>
      <c r="Z4018" s="466"/>
      <c r="AA4018" s="466"/>
      <c r="AB4018" s="466"/>
      <c r="AC4018" s="466"/>
      <c r="AD4018" s="466"/>
      <c r="AE4018" s="466"/>
      <c r="AF4018" s="466"/>
      <c r="AG4018" s="466"/>
      <c r="AH4018" s="466"/>
      <c r="AI4018" s="466"/>
      <c r="AJ4018" s="466"/>
      <c r="AK4018" s="466"/>
      <c r="AL4018" s="466"/>
      <c r="AM4018" s="466"/>
      <c r="AN4018" s="466"/>
      <c r="AO4018" s="466"/>
      <c r="AP4018" s="466"/>
      <c r="AQ4018" s="466"/>
      <c r="AR4018" s="466"/>
      <c r="AS4018" s="466"/>
      <c r="AT4018" s="466"/>
      <c r="AU4018" s="466"/>
      <c r="AV4018" s="466"/>
      <c r="AW4018" s="466"/>
      <c r="AX4018" s="466"/>
      <c r="AY4018" s="466"/>
      <c r="AZ4018" s="466"/>
      <c r="BA4018" s="466"/>
      <c r="BB4018" s="466"/>
      <c r="BC4018" s="466"/>
      <c r="BD4018" s="466"/>
      <c r="BE4018" s="467"/>
      <c r="BF4018" s="467"/>
      <c r="BG4018" s="466"/>
      <c r="BH4018" s="466"/>
      <c r="BI4018" s="467"/>
      <c r="BJ4018" s="467"/>
      <c r="BK4018" s="467"/>
      <c r="BL4018" s="467"/>
      <c r="BM4018" s="467"/>
      <c r="BN4018" s="467"/>
      <c r="BO4018" s="467"/>
      <c r="BP4018" s="467"/>
      <c r="BQ4018" s="467"/>
      <c r="BR4018" s="467"/>
      <c r="BS4018" s="467"/>
      <c r="BT4018" s="467"/>
      <c r="BU4018" s="467"/>
      <c r="BV4018" s="467"/>
      <c r="BW4018" s="467"/>
      <c r="BX4018" s="769"/>
      <c r="BY4018" s="769"/>
      <c r="BZ4018" s="769"/>
      <c r="CA4018" s="769"/>
      <c r="CB4018" s="769"/>
      <c r="CC4018" s="769"/>
      <c r="CD4018" s="769"/>
      <c r="CE4018" s="769"/>
      <c r="CF4018" s="769"/>
      <c r="CG4018" s="73"/>
      <c r="CH4018" s="438"/>
      <c r="CI4018" s="416"/>
      <c r="CJ4018" s="73"/>
      <c r="CK4018" s="650"/>
      <c r="CL4018" s="499"/>
      <c r="CM4018" s="650"/>
      <c r="CR4018" s="416"/>
      <c r="CS4018" s="650"/>
      <c r="CU4018" s="73"/>
      <c r="CV4018" s="73"/>
      <c r="CW4018" s="73"/>
      <c r="CX4018" s="73"/>
      <c r="DA4018" s="650"/>
    </row>
    <row r="4019" spans="1:105" s="45" customFormat="1" x14ac:dyDescent="0.2">
      <c r="A4019" s="650"/>
      <c r="B4019" s="438"/>
      <c r="D4019" s="73"/>
      <c r="E4019" s="650"/>
      <c r="F4019" s="650"/>
      <c r="G4019" s="73"/>
      <c r="I4019" s="111"/>
      <c r="J4019" s="81"/>
      <c r="K4019" s="81"/>
      <c r="L4019" s="499"/>
      <c r="M4019" s="73"/>
      <c r="N4019" s="499"/>
      <c r="O4019" s="73"/>
      <c r="P4019" s="73"/>
      <c r="Q4019" s="73"/>
      <c r="R4019" s="176"/>
      <c r="S4019" s="176"/>
      <c r="T4019" s="176"/>
      <c r="U4019" s="400"/>
      <c r="V4019" s="400"/>
      <c r="W4019" s="732"/>
      <c r="X4019" s="167"/>
      <c r="Y4019" s="509"/>
      <c r="Z4019" s="466"/>
      <c r="AA4019" s="466"/>
      <c r="AB4019" s="466"/>
      <c r="AC4019" s="466"/>
      <c r="AD4019" s="466"/>
      <c r="AE4019" s="466"/>
      <c r="AF4019" s="466"/>
      <c r="AG4019" s="466"/>
      <c r="AH4019" s="466"/>
      <c r="AI4019" s="466"/>
      <c r="AJ4019" s="466"/>
      <c r="AK4019" s="466"/>
      <c r="AL4019" s="466"/>
      <c r="AM4019" s="466"/>
      <c r="AN4019" s="466"/>
      <c r="AO4019" s="466"/>
      <c r="AP4019" s="466"/>
      <c r="AQ4019" s="466"/>
      <c r="AR4019" s="466"/>
      <c r="AS4019" s="466"/>
      <c r="AT4019" s="466"/>
      <c r="AU4019" s="466"/>
      <c r="AV4019" s="466"/>
      <c r="AW4019" s="466"/>
      <c r="AX4019" s="466"/>
      <c r="AY4019" s="466"/>
      <c r="AZ4019" s="466"/>
      <c r="BA4019" s="466"/>
      <c r="BB4019" s="466"/>
      <c r="BC4019" s="466"/>
      <c r="BD4019" s="466"/>
      <c r="BE4019" s="467"/>
      <c r="BF4019" s="467"/>
      <c r="BG4019" s="466"/>
      <c r="BH4019" s="466"/>
      <c r="BI4019" s="467"/>
      <c r="BJ4019" s="467"/>
      <c r="BK4019" s="467"/>
      <c r="BL4019" s="467"/>
      <c r="BM4019" s="467"/>
      <c r="BN4019" s="467"/>
      <c r="BO4019" s="467"/>
      <c r="BP4019" s="467"/>
      <c r="BQ4019" s="467"/>
      <c r="BR4019" s="467"/>
      <c r="BS4019" s="467"/>
      <c r="BT4019" s="467"/>
      <c r="BU4019" s="467"/>
      <c r="BV4019" s="467"/>
      <c r="BW4019" s="467"/>
      <c r="BX4019" s="769"/>
      <c r="BY4019" s="769"/>
      <c r="BZ4019" s="769"/>
      <c r="CA4019" s="769"/>
      <c r="CB4019" s="769"/>
      <c r="CC4019" s="769"/>
      <c r="CD4019" s="769"/>
      <c r="CE4019" s="769"/>
      <c r="CF4019" s="769"/>
      <c r="CG4019" s="73"/>
      <c r="CH4019" s="438"/>
      <c r="CI4019" s="416"/>
      <c r="CJ4019" s="73"/>
      <c r="CK4019" s="650"/>
      <c r="CL4019" s="499"/>
      <c r="CM4019" s="650"/>
      <c r="CR4019" s="416"/>
      <c r="CS4019" s="650"/>
      <c r="CU4019" s="73"/>
      <c r="CV4019" s="73"/>
      <c r="CW4019" s="73"/>
      <c r="CX4019" s="73"/>
      <c r="DA4019" s="650"/>
    </row>
    <row r="4020" spans="1:105" s="45" customFormat="1" x14ac:dyDescent="0.2">
      <c r="A4020" s="650"/>
      <c r="B4020" s="438"/>
      <c r="D4020" s="73"/>
      <c r="E4020" s="650"/>
      <c r="F4020" s="650"/>
      <c r="G4020" s="73"/>
      <c r="I4020" s="111"/>
      <c r="J4020" s="81"/>
      <c r="K4020" s="81"/>
      <c r="L4020" s="499"/>
      <c r="M4020" s="73"/>
      <c r="N4020" s="499"/>
      <c r="O4020" s="73"/>
      <c r="P4020" s="73"/>
      <c r="Q4020" s="73"/>
      <c r="R4020" s="176"/>
      <c r="S4020" s="176"/>
      <c r="T4020" s="176"/>
      <c r="U4020" s="400"/>
      <c r="V4020" s="400"/>
      <c r="W4020" s="732"/>
      <c r="X4020" s="167"/>
      <c r="Y4020" s="509"/>
      <c r="Z4020" s="466"/>
      <c r="AA4020" s="466"/>
      <c r="AB4020" s="466"/>
      <c r="AC4020" s="466"/>
      <c r="AD4020" s="466"/>
      <c r="AE4020" s="466"/>
      <c r="AF4020" s="466"/>
      <c r="AG4020" s="466"/>
      <c r="AH4020" s="466"/>
      <c r="AI4020" s="466"/>
      <c r="AJ4020" s="466"/>
      <c r="AK4020" s="466"/>
      <c r="AL4020" s="466"/>
      <c r="AM4020" s="466"/>
      <c r="AN4020" s="466"/>
      <c r="AO4020" s="466"/>
      <c r="AP4020" s="466"/>
      <c r="AQ4020" s="466"/>
      <c r="AR4020" s="466"/>
      <c r="AS4020" s="466"/>
      <c r="AT4020" s="466"/>
      <c r="AU4020" s="466"/>
      <c r="AV4020" s="466"/>
      <c r="AW4020" s="466"/>
      <c r="AX4020" s="466"/>
      <c r="AY4020" s="466"/>
      <c r="AZ4020" s="466"/>
      <c r="BA4020" s="466"/>
      <c r="BB4020" s="466"/>
      <c r="BC4020" s="466"/>
      <c r="BD4020" s="466"/>
      <c r="BE4020" s="467"/>
      <c r="BF4020" s="467"/>
      <c r="BG4020" s="466"/>
      <c r="BH4020" s="466"/>
      <c r="BI4020" s="467"/>
      <c r="BJ4020" s="467"/>
      <c r="BK4020" s="467"/>
      <c r="BL4020" s="467"/>
      <c r="BM4020" s="467"/>
      <c r="BN4020" s="467"/>
      <c r="BO4020" s="467"/>
      <c r="BP4020" s="467"/>
      <c r="BQ4020" s="467"/>
      <c r="BR4020" s="467"/>
      <c r="BS4020" s="467"/>
      <c r="BT4020" s="467"/>
      <c r="BU4020" s="467"/>
      <c r="BV4020" s="467"/>
      <c r="BW4020" s="467"/>
      <c r="BX4020" s="769"/>
      <c r="BY4020" s="769"/>
      <c r="BZ4020" s="769"/>
      <c r="CA4020" s="769"/>
      <c r="CB4020" s="769"/>
      <c r="CC4020" s="769"/>
      <c r="CD4020" s="769"/>
      <c r="CE4020" s="769"/>
      <c r="CF4020" s="769"/>
      <c r="CG4020" s="73"/>
      <c r="CH4020" s="438"/>
      <c r="CI4020" s="416"/>
      <c r="CJ4020" s="73"/>
      <c r="CK4020" s="650"/>
      <c r="CL4020" s="499"/>
      <c r="CM4020" s="650"/>
      <c r="CR4020" s="416"/>
      <c r="CS4020" s="650"/>
      <c r="CU4020" s="73"/>
      <c r="CV4020" s="73"/>
      <c r="CW4020" s="73"/>
      <c r="CX4020" s="73"/>
      <c r="DA4020" s="650"/>
    </row>
    <row r="4021" spans="1:105" s="45" customFormat="1" x14ac:dyDescent="0.2">
      <c r="A4021" s="650"/>
      <c r="B4021" s="438"/>
      <c r="D4021" s="73"/>
      <c r="E4021" s="650"/>
      <c r="F4021" s="650"/>
      <c r="G4021" s="73"/>
      <c r="I4021" s="111"/>
      <c r="J4021" s="81"/>
      <c r="K4021" s="81"/>
      <c r="L4021" s="499"/>
      <c r="M4021" s="73"/>
      <c r="N4021" s="499"/>
      <c r="O4021" s="73"/>
      <c r="P4021" s="73"/>
      <c r="Q4021" s="73"/>
      <c r="R4021" s="176"/>
      <c r="S4021" s="176"/>
      <c r="T4021" s="176"/>
      <c r="U4021" s="400"/>
      <c r="V4021" s="400"/>
      <c r="W4021" s="732"/>
      <c r="X4021" s="167"/>
      <c r="Y4021" s="509"/>
      <c r="Z4021" s="466"/>
      <c r="AA4021" s="466"/>
      <c r="AB4021" s="466"/>
      <c r="AC4021" s="466"/>
      <c r="AD4021" s="466"/>
      <c r="AE4021" s="466"/>
      <c r="AF4021" s="466"/>
      <c r="AG4021" s="466"/>
      <c r="AH4021" s="466"/>
      <c r="AI4021" s="466"/>
      <c r="AJ4021" s="466"/>
      <c r="AK4021" s="466"/>
      <c r="AL4021" s="466"/>
      <c r="AM4021" s="466"/>
      <c r="AN4021" s="466"/>
      <c r="AO4021" s="466"/>
      <c r="AP4021" s="466"/>
      <c r="AQ4021" s="466"/>
      <c r="AR4021" s="466"/>
      <c r="AS4021" s="466"/>
      <c r="AT4021" s="466"/>
      <c r="AU4021" s="466"/>
      <c r="AV4021" s="466"/>
      <c r="AW4021" s="466"/>
      <c r="AX4021" s="466"/>
      <c r="AY4021" s="466"/>
      <c r="AZ4021" s="466"/>
      <c r="BA4021" s="466"/>
      <c r="BB4021" s="466"/>
      <c r="BC4021" s="466"/>
      <c r="BD4021" s="466"/>
      <c r="BE4021" s="467"/>
      <c r="BF4021" s="467"/>
      <c r="BG4021" s="466"/>
      <c r="BH4021" s="466"/>
      <c r="BI4021" s="467"/>
      <c r="BJ4021" s="467"/>
      <c r="BK4021" s="467"/>
      <c r="BL4021" s="467"/>
      <c r="BM4021" s="467"/>
      <c r="BN4021" s="467"/>
      <c r="BO4021" s="467"/>
      <c r="BP4021" s="467"/>
      <c r="BQ4021" s="467"/>
      <c r="BR4021" s="467"/>
      <c r="BS4021" s="467"/>
      <c r="BT4021" s="467"/>
      <c r="BU4021" s="467"/>
      <c r="BV4021" s="467"/>
      <c r="BW4021" s="467"/>
      <c r="BX4021" s="769"/>
      <c r="BY4021" s="769"/>
      <c r="BZ4021" s="769"/>
      <c r="CA4021" s="769"/>
      <c r="CB4021" s="769"/>
      <c r="CC4021" s="769"/>
      <c r="CD4021" s="769"/>
      <c r="CE4021" s="769"/>
      <c r="CF4021" s="769"/>
      <c r="CG4021" s="73"/>
      <c r="CH4021" s="438"/>
      <c r="CI4021" s="416"/>
      <c r="CJ4021" s="73"/>
      <c r="CK4021" s="650"/>
      <c r="CL4021" s="499"/>
      <c r="CM4021" s="650"/>
      <c r="CR4021" s="416"/>
      <c r="CS4021" s="650"/>
      <c r="CU4021" s="73"/>
      <c r="CV4021" s="73"/>
      <c r="CW4021" s="73"/>
      <c r="CX4021" s="73"/>
      <c r="DA4021" s="650"/>
    </row>
    <row r="4022" spans="1:105" s="45" customFormat="1" x14ac:dyDescent="0.2">
      <c r="A4022" s="650"/>
      <c r="B4022" s="438"/>
      <c r="D4022" s="73"/>
      <c r="E4022" s="650"/>
      <c r="F4022" s="650"/>
      <c r="G4022" s="73"/>
      <c r="I4022" s="111"/>
      <c r="J4022" s="81"/>
      <c r="K4022" s="81"/>
      <c r="L4022" s="499"/>
      <c r="M4022" s="73"/>
      <c r="N4022" s="499"/>
      <c r="O4022" s="73"/>
      <c r="P4022" s="73"/>
      <c r="Q4022" s="73"/>
      <c r="R4022" s="176"/>
      <c r="S4022" s="176"/>
      <c r="T4022" s="176"/>
      <c r="U4022" s="400"/>
      <c r="V4022" s="400"/>
      <c r="W4022" s="732"/>
      <c r="X4022" s="167"/>
      <c r="Y4022" s="509"/>
      <c r="Z4022" s="466"/>
      <c r="AA4022" s="466"/>
      <c r="AB4022" s="466"/>
      <c r="AC4022" s="466"/>
      <c r="AD4022" s="466"/>
      <c r="AE4022" s="466"/>
      <c r="AF4022" s="466"/>
      <c r="AG4022" s="466"/>
      <c r="AH4022" s="466"/>
      <c r="AI4022" s="466"/>
      <c r="AJ4022" s="466"/>
      <c r="AK4022" s="466"/>
      <c r="AL4022" s="466"/>
      <c r="AM4022" s="466"/>
      <c r="AN4022" s="466"/>
      <c r="AO4022" s="466"/>
      <c r="AP4022" s="466"/>
      <c r="AQ4022" s="466"/>
      <c r="AR4022" s="466"/>
      <c r="AS4022" s="466"/>
      <c r="AT4022" s="466"/>
      <c r="AU4022" s="466"/>
      <c r="AV4022" s="466"/>
      <c r="AW4022" s="466"/>
      <c r="AX4022" s="466"/>
      <c r="AY4022" s="466"/>
      <c r="AZ4022" s="466"/>
      <c r="BA4022" s="466"/>
      <c r="BB4022" s="466"/>
      <c r="BC4022" s="466"/>
      <c r="BD4022" s="466"/>
      <c r="BE4022" s="467"/>
      <c r="BF4022" s="467"/>
      <c r="BG4022" s="466"/>
      <c r="BH4022" s="466"/>
      <c r="BI4022" s="467"/>
      <c r="BJ4022" s="467"/>
      <c r="BK4022" s="467"/>
      <c r="BL4022" s="467"/>
      <c r="BM4022" s="467"/>
      <c r="BN4022" s="467"/>
      <c r="BO4022" s="467"/>
      <c r="BP4022" s="467"/>
      <c r="BQ4022" s="467"/>
      <c r="BR4022" s="467"/>
      <c r="BS4022" s="467"/>
      <c r="BT4022" s="467"/>
      <c r="BU4022" s="467"/>
      <c r="BV4022" s="467"/>
      <c r="BW4022" s="467"/>
      <c r="BX4022" s="769"/>
      <c r="BY4022" s="769"/>
      <c r="BZ4022" s="769"/>
      <c r="CA4022" s="769"/>
      <c r="CB4022" s="769"/>
      <c r="CC4022" s="769"/>
      <c r="CD4022" s="769"/>
      <c r="CE4022" s="769"/>
      <c r="CF4022" s="769"/>
      <c r="CG4022" s="73"/>
      <c r="CH4022" s="438"/>
      <c r="CI4022" s="416"/>
      <c r="CJ4022" s="73"/>
      <c r="CK4022" s="650"/>
      <c r="CL4022" s="499"/>
      <c r="CM4022" s="650"/>
      <c r="CR4022" s="416"/>
      <c r="CS4022" s="650"/>
      <c r="CU4022" s="73"/>
      <c r="CV4022" s="73"/>
      <c r="CW4022" s="73"/>
      <c r="CX4022" s="73"/>
      <c r="DA4022" s="650"/>
    </row>
    <row r="4023" spans="1:105" s="45" customFormat="1" x14ac:dyDescent="0.2">
      <c r="A4023" s="650"/>
      <c r="B4023" s="438"/>
      <c r="D4023" s="73"/>
      <c r="E4023" s="650"/>
      <c r="F4023" s="650"/>
      <c r="G4023" s="73"/>
      <c r="I4023" s="111"/>
      <c r="J4023" s="81"/>
      <c r="K4023" s="81"/>
      <c r="L4023" s="499"/>
      <c r="M4023" s="73"/>
      <c r="N4023" s="499"/>
      <c r="O4023" s="73"/>
      <c r="P4023" s="73"/>
      <c r="Q4023" s="73"/>
      <c r="R4023" s="176"/>
      <c r="S4023" s="176"/>
      <c r="T4023" s="176"/>
      <c r="U4023" s="400"/>
      <c r="V4023" s="400"/>
      <c r="W4023" s="732"/>
      <c r="X4023" s="167"/>
      <c r="Y4023" s="509"/>
      <c r="Z4023" s="466"/>
      <c r="AA4023" s="466"/>
      <c r="AB4023" s="466"/>
      <c r="AC4023" s="466"/>
      <c r="AD4023" s="466"/>
      <c r="AE4023" s="466"/>
      <c r="AF4023" s="466"/>
      <c r="AG4023" s="466"/>
      <c r="AH4023" s="466"/>
      <c r="AI4023" s="466"/>
      <c r="AJ4023" s="466"/>
      <c r="AK4023" s="466"/>
      <c r="AL4023" s="466"/>
      <c r="AM4023" s="466"/>
      <c r="AN4023" s="466"/>
      <c r="AO4023" s="466"/>
      <c r="AP4023" s="466"/>
      <c r="AQ4023" s="466"/>
      <c r="AR4023" s="466"/>
      <c r="AS4023" s="466"/>
      <c r="AT4023" s="466"/>
      <c r="AU4023" s="466"/>
      <c r="AV4023" s="466"/>
      <c r="AW4023" s="466"/>
      <c r="AX4023" s="466"/>
      <c r="AY4023" s="466"/>
      <c r="AZ4023" s="466"/>
      <c r="BA4023" s="466"/>
      <c r="BB4023" s="466"/>
      <c r="BC4023" s="466"/>
      <c r="BD4023" s="466"/>
      <c r="BE4023" s="467"/>
      <c r="BF4023" s="467"/>
      <c r="BG4023" s="466"/>
      <c r="BH4023" s="466"/>
      <c r="BI4023" s="467"/>
      <c r="BJ4023" s="467"/>
      <c r="BK4023" s="467"/>
      <c r="BL4023" s="467"/>
      <c r="BM4023" s="467"/>
      <c r="BN4023" s="467"/>
      <c r="BO4023" s="467"/>
      <c r="BP4023" s="467"/>
      <c r="BQ4023" s="467"/>
      <c r="BR4023" s="467"/>
      <c r="BS4023" s="467"/>
      <c r="BT4023" s="467"/>
      <c r="BU4023" s="467"/>
      <c r="BV4023" s="467"/>
      <c r="BW4023" s="467"/>
      <c r="BX4023" s="769"/>
      <c r="BY4023" s="769"/>
      <c r="BZ4023" s="769"/>
      <c r="CA4023" s="769"/>
      <c r="CB4023" s="769"/>
      <c r="CC4023" s="769"/>
      <c r="CD4023" s="769"/>
      <c r="CE4023" s="769"/>
      <c r="CF4023" s="769"/>
      <c r="CG4023" s="73"/>
      <c r="CH4023" s="438"/>
      <c r="CI4023" s="416"/>
      <c r="CJ4023" s="73"/>
      <c r="CK4023" s="650"/>
      <c r="CL4023" s="499"/>
      <c r="CM4023" s="650"/>
      <c r="CR4023" s="416"/>
      <c r="CS4023" s="650"/>
      <c r="CU4023" s="73"/>
      <c r="CV4023" s="73"/>
      <c r="CW4023" s="73"/>
      <c r="CX4023" s="73"/>
      <c r="DA4023" s="650"/>
    </row>
    <row r="4024" spans="1:105" s="45" customFormat="1" x14ac:dyDescent="0.2">
      <c r="A4024" s="650"/>
      <c r="B4024" s="438"/>
      <c r="D4024" s="73"/>
      <c r="E4024" s="650"/>
      <c r="F4024" s="650"/>
      <c r="G4024" s="73"/>
      <c r="I4024" s="111"/>
      <c r="J4024" s="81"/>
      <c r="K4024" s="81"/>
      <c r="L4024" s="499"/>
      <c r="M4024" s="73"/>
      <c r="N4024" s="499"/>
      <c r="O4024" s="73"/>
      <c r="P4024" s="73"/>
      <c r="Q4024" s="73"/>
      <c r="R4024" s="176"/>
      <c r="S4024" s="176"/>
      <c r="T4024" s="176"/>
      <c r="U4024" s="400"/>
      <c r="V4024" s="400"/>
      <c r="W4024" s="732"/>
      <c r="X4024" s="167"/>
      <c r="Y4024" s="509"/>
      <c r="Z4024" s="466"/>
      <c r="AA4024" s="466"/>
      <c r="AB4024" s="466"/>
      <c r="AC4024" s="466"/>
      <c r="AD4024" s="466"/>
      <c r="AE4024" s="466"/>
      <c r="AF4024" s="466"/>
      <c r="AG4024" s="466"/>
      <c r="AH4024" s="466"/>
      <c r="AI4024" s="466"/>
      <c r="AJ4024" s="466"/>
      <c r="AK4024" s="466"/>
      <c r="AL4024" s="466"/>
      <c r="AM4024" s="466"/>
      <c r="AN4024" s="466"/>
      <c r="AO4024" s="466"/>
      <c r="AP4024" s="466"/>
      <c r="AQ4024" s="466"/>
      <c r="AR4024" s="466"/>
      <c r="AS4024" s="466"/>
      <c r="AT4024" s="466"/>
      <c r="AU4024" s="466"/>
      <c r="AV4024" s="466"/>
      <c r="AW4024" s="466"/>
      <c r="AX4024" s="466"/>
      <c r="AY4024" s="466"/>
      <c r="AZ4024" s="466"/>
      <c r="BA4024" s="466"/>
      <c r="BB4024" s="466"/>
      <c r="BC4024" s="466"/>
      <c r="BD4024" s="466"/>
      <c r="BE4024" s="467"/>
      <c r="BF4024" s="467"/>
      <c r="BG4024" s="466"/>
      <c r="BH4024" s="466"/>
      <c r="BI4024" s="467"/>
      <c r="BJ4024" s="467"/>
      <c r="BK4024" s="467"/>
      <c r="BL4024" s="467"/>
      <c r="BM4024" s="467"/>
      <c r="BN4024" s="467"/>
      <c r="BO4024" s="467"/>
      <c r="BP4024" s="467"/>
      <c r="BQ4024" s="467"/>
      <c r="BR4024" s="467"/>
      <c r="BS4024" s="467"/>
      <c r="BT4024" s="467"/>
      <c r="BU4024" s="467"/>
      <c r="BV4024" s="467"/>
      <c r="BW4024" s="467"/>
      <c r="BX4024" s="769"/>
      <c r="BY4024" s="769"/>
      <c r="BZ4024" s="769"/>
      <c r="CA4024" s="769"/>
      <c r="CB4024" s="769"/>
      <c r="CC4024" s="769"/>
      <c r="CD4024" s="769"/>
      <c r="CE4024" s="769"/>
      <c r="CF4024" s="769"/>
      <c r="CG4024" s="73"/>
      <c r="CH4024" s="438"/>
      <c r="CI4024" s="416"/>
      <c r="CJ4024" s="73"/>
      <c r="CK4024" s="650"/>
      <c r="CL4024" s="499"/>
      <c r="CM4024" s="650"/>
      <c r="CR4024" s="416"/>
      <c r="CS4024" s="650"/>
      <c r="CU4024" s="73"/>
      <c r="CV4024" s="73"/>
      <c r="CW4024" s="73"/>
      <c r="CX4024" s="73"/>
      <c r="DA4024" s="650"/>
    </row>
    <row r="4025" spans="1:105" s="45" customFormat="1" x14ac:dyDescent="0.2">
      <c r="A4025" s="650"/>
      <c r="B4025" s="438"/>
      <c r="D4025" s="73"/>
      <c r="E4025" s="650"/>
      <c r="F4025" s="650"/>
      <c r="G4025" s="73"/>
      <c r="I4025" s="111"/>
      <c r="J4025" s="81"/>
      <c r="K4025" s="81"/>
      <c r="L4025" s="499"/>
      <c r="M4025" s="73"/>
      <c r="N4025" s="499"/>
      <c r="O4025" s="73"/>
      <c r="P4025" s="73"/>
      <c r="Q4025" s="73"/>
      <c r="R4025" s="176"/>
      <c r="S4025" s="176"/>
      <c r="T4025" s="176"/>
      <c r="U4025" s="400"/>
      <c r="V4025" s="400"/>
      <c r="W4025" s="732"/>
      <c r="X4025" s="167"/>
      <c r="Y4025" s="509"/>
      <c r="Z4025" s="466"/>
      <c r="AA4025" s="466"/>
      <c r="AB4025" s="466"/>
      <c r="AC4025" s="466"/>
      <c r="AD4025" s="466"/>
      <c r="AE4025" s="466"/>
      <c r="AF4025" s="466"/>
      <c r="AG4025" s="466"/>
      <c r="AH4025" s="466"/>
      <c r="AI4025" s="466"/>
      <c r="AJ4025" s="466"/>
      <c r="AK4025" s="466"/>
      <c r="AL4025" s="466"/>
      <c r="AM4025" s="466"/>
      <c r="AN4025" s="466"/>
      <c r="AO4025" s="466"/>
      <c r="AP4025" s="466"/>
      <c r="AQ4025" s="466"/>
      <c r="AR4025" s="466"/>
      <c r="AS4025" s="466"/>
      <c r="AT4025" s="466"/>
      <c r="AU4025" s="466"/>
      <c r="AV4025" s="466"/>
      <c r="AW4025" s="466"/>
      <c r="AX4025" s="466"/>
      <c r="AY4025" s="466"/>
      <c r="AZ4025" s="466"/>
      <c r="BA4025" s="466"/>
      <c r="BB4025" s="466"/>
      <c r="BC4025" s="466"/>
      <c r="BD4025" s="466"/>
      <c r="BE4025" s="467"/>
      <c r="BF4025" s="467"/>
      <c r="BG4025" s="466"/>
      <c r="BH4025" s="466"/>
      <c r="BI4025" s="467"/>
      <c r="BJ4025" s="467"/>
      <c r="BK4025" s="467"/>
      <c r="BL4025" s="467"/>
      <c r="BM4025" s="467"/>
      <c r="BN4025" s="467"/>
      <c r="BO4025" s="467"/>
      <c r="BP4025" s="467"/>
      <c r="BQ4025" s="467"/>
      <c r="BR4025" s="467"/>
      <c r="BS4025" s="467"/>
      <c r="BT4025" s="467"/>
      <c r="BU4025" s="467"/>
      <c r="BV4025" s="467"/>
      <c r="BW4025" s="467"/>
      <c r="BX4025" s="769"/>
      <c r="BY4025" s="769"/>
      <c r="BZ4025" s="769"/>
      <c r="CA4025" s="769"/>
      <c r="CB4025" s="769"/>
      <c r="CC4025" s="769"/>
      <c r="CD4025" s="769"/>
      <c r="CE4025" s="769"/>
      <c r="CF4025" s="769"/>
      <c r="CG4025" s="73"/>
      <c r="CH4025" s="438"/>
      <c r="CI4025" s="416"/>
      <c r="CJ4025" s="73"/>
      <c r="CK4025" s="650"/>
      <c r="CL4025" s="499"/>
      <c r="CM4025" s="650"/>
      <c r="CR4025" s="416"/>
      <c r="CS4025" s="650"/>
      <c r="CU4025" s="73"/>
      <c r="CV4025" s="73"/>
      <c r="CW4025" s="73"/>
      <c r="CX4025" s="73"/>
      <c r="DA4025" s="650"/>
    </row>
    <row r="4026" spans="1:105" s="45" customFormat="1" x14ac:dyDescent="0.2">
      <c r="A4026" s="650"/>
      <c r="B4026" s="438"/>
      <c r="D4026" s="73"/>
      <c r="E4026" s="650"/>
      <c r="F4026" s="650"/>
      <c r="G4026" s="73"/>
      <c r="I4026" s="111"/>
      <c r="J4026" s="81"/>
      <c r="K4026" s="81"/>
      <c r="L4026" s="499"/>
      <c r="M4026" s="73"/>
      <c r="N4026" s="499"/>
      <c r="O4026" s="73"/>
      <c r="P4026" s="73"/>
      <c r="Q4026" s="73"/>
      <c r="R4026" s="176"/>
      <c r="S4026" s="176"/>
      <c r="T4026" s="176"/>
      <c r="U4026" s="400"/>
      <c r="V4026" s="400"/>
      <c r="W4026" s="732"/>
      <c r="X4026" s="167"/>
      <c r="Y4026" s="509"/>
      <c r="Z4026" s="466"/>
      <c r="AA4026" s="466"/>
      <c r="AB4026" s="466"/>
      <c r="AC4026" s="466"/>
      <c r="AD4026" s="466"/>
      <c r="AE4026" s="466"/>
      <c r="AF4026" s="466"/>
      <c r="AG4026" s="466"/>
      <c r="AH4026" s="466"/>
      <c r="AI4026" s="466"/>
      <c r="AJ4026" s="466"/>
      <c r="AK4026" s="466"/>
      <c r="AL4026" s="466"/>
      <c r="AM4026" s="466"/>
      <c r="AN4026" s="466"/>
      <c r="AO4026" s="466"/>
      <c r="AP4026" s="466"/>
      <c r="AQ4026" s="466"/>
      <c r="AR4026" s="466"/>
      <c r="AS4026" s="466"/>
      <c r="AT4026" s="466"/>
      <c r="AU4026" s="466"/>
      <c r="AV4026" s="466"/>
      <c r="AW4026" s="466"/>
      <c r="AX4026" s="466"/>
      <c r="AY4026" s="466"/>
      <c r="AZ4026" s="466"/>
      <c r="BA4026" s="466"/>
      <c r="BB4026" s="466"/>
      <c r="BC4026" s="466"/>
      <c r="BD4026" s="466"/>
      <c r="BE4026" s="467"/>
      <c r="BF4026" s="467"/>
      <c r="BG4026" s="466"/>
      <c r="BH4026" s="466"/>
      <c r="BI4026" s="467"/>
      <c r="BJ4026" s="467"/>
      <c r="BK4026" s="467"/>
      <c r="BL4026" s="467"/>
      <c r="BM4026" s="467"/>
      <c r="BN4026" s="467"/>
      <c r="BO4026" s="467"/>
      <c r="BP4026" s="467"/>
      <c r="BQ4026" s="467"/>
      <c r="BR4026" s="467"/>
      <c r="BS4026" s="467"/>
      <c r="BT4026" s="467"/>
      <c r="BU4026" s="467"/>
      <c r="BV4026" s="467"/>
      <c r="BW4026" s="467"/>
      <c r="BX4026" s="769"/>
      <c r="BY4026" s="769"/>
      <c r="BZ4026" s="769"/>
      <c r="CA4026" s="769"/>
      <c r="CB4026" s="769"/>
      <c r="CC4026" s="769"/>
      <c r="CD4026" s="769"/>
      <c r="CE4026" s="769"/>
      <c r="CF4026" s="769"/>
      <c r="CG4026" s="73"/>
      <c r="CH4026" s="438"/>
      <c r="CI4026" s="416"/>
      <c r="CJ4026" s="73"/>
      <c r="CK4026" s="650"/>
      <c r="CL4026" s="499"/>
      <c r="CM4026" s="650"/>
      <c r="CR4026" s="416"/>
      <c r="CS4026" s="650"/>
      <c r="CU4026" s="73"/>
      <c r="CV4026" s="73"/>
      <c r="CW4026" s="73"/>
      <c r="CX4026" s="73"/>
      <c r="DA4026" s="650"/>
    </row>
    <row r="4027" spans="1:105" s="45" customFormat="1" x14ac:dyDescent="0.2">
      <c r="A4027" s="650"/>
      <c r="B4027" s="438"/>
      <c r="D4027" s="73"/>
      <c r="E4027" s="650"/>
      <c r="F4027" s="650"/>
      <c r="G4027" s="73"/>
      <c r="I4027" s="111"/>
      <c r="J4027" s="81"/>
      <c r="K4027" s="81"/>
      <c r="L4027" s="499"/>
      <c r="M4027" s="73"/>
      <c r="N4027" s="499"/>
      <c r="O4027" s="73"/>
      <c r="P4027" s="73"/>
      <c r="Q4027" s="73"/>
      <c r="R4027" s="176"/>
      <c r="S4027" s="176"/>
      <c r="T4027" s="176"/>
      <c r="U4027" s="400"/>
      <c r="V4027" s="400"/>
      <c r="W4027" s="732"/>
      <c r="X4027" s="167"/>
      <c r="Y4027" s="509"/>
      <c r="Z4027" s="466"/>
      <c r="AA4027" s="466"/>
      <c r="AB4027" s="466"/>
      <c r="AC4027" s="466"/>
      <c r="AD4027" s="466"/>
      <c r="AE4027" s="466"/>
      <c r="AF4027" s="466"/>
      <c r="AG4027" s="466"/>
      <c r="AH4027" s="466"/>
      <c r="AI4027" s="466"/>
      <c r="AJ4027" s="466"/>
      <c r="AK4027" s="466"/>
      <c r="AL4027" s="466"/>
      <c r="AM4027" s="466"/>
      <c r="AN4027" s="466"/>
      <c r="AO4027" s="466"/>
      <c r="AP4027" s="466"/>
      <c r="AQ4027" s="466"/>
      <c r="AR4027" s="466"/>
      <c r="AS4027" s="466"/>
      <c r="AT4027" s="466"/>
      <c r="AU4027" s="466"/>
      <c r="AV4027" s="466"/>
      <c r="AW4027" s="466"/>
      <c r="AX4027" s="466"/>
      <c r="AY4027" s="466"/>
      <c r="AZ4027" s="466"/>
      <c r="BA4027" s="466"/>
      <c r="BB4027" s="466"/>
      <c r="BC4027" s="466"/>
      <c r="BD4027" s="466"/>
      <c r="BE4027" s="467"/>
      <c r="BF4027" s="467"/>
      <c r="BG4027" s="466"/>
      <c r="BH4027" s="466"/>
      <c r="BI4027" s="467"/>
      <c r="BJ4027" s="467"/>
      <c r="BK4027" s="467"/>
      <c r="BL4027" s="467"/>
      <c r="BM4027" s="467"/>
      <c r="BN4027" s="467"/>
      <c r="BO4027" s="467"/>
      <c r="BP4027" s="467"/>
      <c r="BQ4027" s="467"/>
      <c r="BR4027" s="467"/>
      <c r="BS4027" s="467"/>
      <c r="BT4027" s="467"/>
      <c r="BU4027" s="467"/>
      <c r="BV4027" s="467"/>
      <c r="BW4027" s="467"/>
      <c r="BX4027" s="769"/>
      <c r="BY4027" s="769"/>
      <c r="BZ4027" s="769"/>
      <c r="CA4027" s="769"/>
      <c r="CB4027" s="769"/>
      <c r="CC4027" s="769"/>
      <c r="CD4027" s="769"/>
      <c r="CE4027" s="769"/>
      <c r="CF4027" s="769"/>
      <c r="CG4027" s="73"/>
      <c r="CH4027" s="438"/>
      <c r="CI4027" s="416"/>
      <c r="CJ4027" s="73"/>
      <c r="CK4027" s="650"/>
      <c r="CL4027" s="499"/>
      <c r="CM4027" s="650"/>
      <c r="CR4027" s="416"/>
      <c r="CS4027" s="650"/>
      <c r="CU4027" s="73"/>
      <c r="CV4027" s="73"/>
      <c r="CW4027" s="73"/>
      <c r="CX4027" s="73"/>
      <c r="DA4027" s="650"/>
    </row>
    <row r="4028" spans="1:105" s="45" customFormat="1" x14ac:dyDescent="0.2">
      <c r="A4028" s="650"/>
      <c r="B4028" s="438"/>
      <c r="D4028" s="73"/>
      <c r="E4028" s="650"/>
      <c r="F4028" s="650"/>
      <c r="G4028" s="73"/>
      <c r="I4028" s="111"/>
      <c r="J4028" s="81"/>
      <c r="K4028" s="81"/>
      <c r="L4028" s="499"/>
      <c r="M4028" s="73"/>
      <c r="N4028" s="499"/>
      <c r="O4028" s="73"/>
      <c r="P4028" s="73"/>
      <c r="Q4028" s="73"/>
      <c r="R4028" s="176"/>
      <c r="S4028" s="176"/>
      <c r="T4028" s="176"/>
      <c r="U4028" s="400"/>
      <c r="V4028" s="400"/>
      <c r="W4028" s="732"/>
      <c r="X4028" s="167"/>
      <c r="Y4028" s="509"/>
      <c r="Z4028" s="466"/>
      <c r="AA4028" s="466"/>
      <c r="AB4028" s="466"/>
      <c r="AC4028" s="466"/>
      <c r="AD4028" s="466"/>
      <c r="AE4028" s="466"/>
      <c r="AF4028" s="466"/>
      <c r="AG4028" s="466"/>
      <c r="AH4028" s="466"/>
      <c r="AI4028" s="466"/>
      <c r="AJ4028" s="466"/>
      <c r="AK4028" s="466"/>
      <c r="AL4028" s="466"/>
      <c r="AM4028" s="466"/>
      <c r="AN4028" s="466"/>
      <c r="AO4028" s="466"/>
      <c r="AP4028" s="466"/>
      <c r="AQ4028" s="466"/>
      <c r="AR4028" s="466"/>
      <c r="AS4028" s="466"/>
      <c r="AT4028" s="466"/>
      <c r="AU4028" s="466"/>
      <c r="AV4028" s="466"/>
      <c r="AW4028" s="466"/>
      <c r="AX4028" s="466"/>
      <c r="AY4028" s="466"/>
      <c r="AZ4028" s="466"/>
      <c r="BA4028" s="466"/>
      <c r="BB4028" s="466"/>
      <c r="BC4028" s="466"/>
      <c r="BD4028" s="466"/>
      <c r="BE4028" s="467"/>
      <c r="BF4028" s="467"/>
      <c r="BG4028" s="466"/>
      <c r="BH4028" s="466"/>
      <c r="BI4028" s="467"/>
      <c r="BJ4028" s="467"/>
      <c r="BK4028" s="467"/>
      <c r="BL4028" s="467"/>
      <c r="BM4028" s="467"/>
      <c r="BN4028" s="467"/>
      <c r="BO4028" s="467"/>
      <c r="BP4028" s="467"/>
      <c r="BQ4028" s="467"/>
      <c r="BR4028" s="467"/>
      <c r="BS4028" s="467"/>
      <c r="BT4028" s="467"/>
      <c r="BU4028" s="467"/>
      <c r="BV4028" s="467"/>
      <c r="BW4028" s="467"/>
      <c r="BX4028" s="769"/>
      <c r="BY4028" s="769"/>
      <c r="BZ4028" s="769"/>
      <c r="CA4028" s="769"/>
      <c r="CB4028" s="769"/>
      <c r="CC4028" s="769"/>
      <c r="CD4028" s="769"/>
      <c r="CE4028" s="769"/>
      <c r="CF4028" s="769"/>
      <c r="CG4028" s="73"/>
      <c r="CH4028" s="438"/>
      <c r="CI4028" s="416"/>
      <c r="CJ4028" s="73"/>
      <c r="CK4028" s="650"/>
      <c r="CL4028" s="499"/>
      <c r="CM4028" s="650"/>
      <c r="CR4028" s="416"/>
      <c r="CS4028" s="650"/>
      <c r="CU4028" s="73"/>
      <c r="CV4028" s="73"/>
      <c r="CW4028" s="73"/>
      <c r="CX4028" s="73"/>
      <c r="DA4028" s="650"/>
    </row>
    <row r="4029" spans="1:105" s="45" customFormat="1" x14ac:dyDescent="0.2">
      <c r="A4029" s="650"/>
      <c r="B4029" s="438"/>
      <c r="D4029" s="73"/>
      <c r="E4029" s="650"/>
      <c r="F4029" s="650"/>
      <c r="G4029" s="73"/>
      <c r="I4029" s="111"/>
      <c r="J4029" s="81"/>
      <c r="K4029" s="81"/>
      <c r="L4029" s="499"/>
      <c r="M4029" s="73"/>
      <c r="N4029" s="499"/>
      <c r="O4029" s="73"/>
      <c r="P4029" s="73"/>
      <c r="Q4029" s="73"/>
      <c r="R4029" s="176"/>
      <c r="S4029" s="176"/>
      <c r="T4029" s="176"/>
      <c r="U4029" s="400"/>
      <c r="V4029" s="400"/>
      <c r="W4029" s="732"/>
      <c r="X4029" s="167"/>
      <c r="Y4029" s="509"/>
      <c r="Z4029" s="466"/>
      <c r="AA4029" s="466"/>
      <c r="AB4029" s="466"/>
      <c r="AC4029" s="466"/>
      <c r="AD4029" s="466"/>
      <c r="AE4029" s="466"/>
      <c r="AF4029" s="466"/>
      <c r="AG4029" s="466"/>
      <c r="AH4029" s="466"/>
      <c r="AI4029" s="466"/>
      <c r="AJ4029" s="466"/>
      <c r="AK4029" s="466"/>
      <c r="AL4029" s="466"/>
      <c r="AM4029" s="466"/>
      <c r="AN4029" s="466"/>
      <c r="AO4029" s="466"/>
      <c r="AP4029" s="466"/>
      <c r="AQ4029" s="466"/>
      <c r="AR4029" s="466"/>
      <c r="AS4029" s="466"/>
      <c r="AT4029" s="466"/>
      <c r="AU4029" s="466"/>
      <c r="AV4029" s="466"/>
      <c r="AW4029" s="466"/>
      <c r="AX4029" s="466"/>
      <c r="AY4029" s="466"/>
      <c r="AZ4029" s="466"/>
      <c r="BA4029" s="466"/>
      <c r="BB4029" s="466"/>
      <c r="BC4029" s="466"/>
      <c r="BD4029" s="466"/>
      <c r="BE4029" s="467"/>
      <c r="BF4029" s="467"/>
      <c r="BG4029" s="466"/>
      <c r="BH4029" s="466"/>
      <c r="BI4029" s="467"/>
      <c r="BJ4029" s="467"/>
      <c r="BK4029" s="467"/>
      <c r="BL4029" s="467"/>
      <c r="BM4029" s="467"/>
      <c r="BN4029" s="467"/>
      <c r="BO4029" s="467"/>
      <c r="BP4029" s="467"/>
      <c r="BQ4029" s="467"/>
      <c r="BR4029" s="467"/>
      <c r="BS4029" s="467"/>
      <c r="BT4029" s="467"/>
      <c r="BU4029" s="467"/>
      <c r="BV4029" s="467"/>
      <c r="BW4029" s="467"/>
      <c r="BX4029" s="769"/>
      <c r="BY4029" s="769"/>
      <c r="BZ4029" s="769"/>
      <c r="CA4029" s="769"/>
      <c r="CB4029" s="769"/>
      <c r="CC4029" s="769"/>
      <c r="CD4029" s="769"/>
      <c r="CE4029" s="769"/>
      <c r="CF4029" s="769"/>
      <c r="CG4029" s="73"/>
      <c r="CH4029" s="438"/>
      <c r="CI4029" s="416"/>
      <c r="CJ4029" s="73"/>
      <c r="CK4029" s="650"/>
      <c r="CL4029" s="499"/>
      <c r="CM4029" s="650"/>
      <c r="CR4029" s="416"/>
      <c r="CS4029" s="650"/>
      <c r="CU4029" s="73"/>
      <c r="CV4029" s="73"/>
      <c r="CW4029" s="73"/>
      <c r="CX4029" s="73"/>
      <c r="DA4029" s="650"/>
    </row>
    <row r="4030" spans="1:105" s="45" customFormat="1" x14ac:dyDescent="0.2">
      <c r="A4030" s="650"/>
      <c r="B4030" s="438"/>
      <c r="D4030" s="73"/>
      <c r="E4030" s="650"/>
      <c r="F4030" s="650"/>
      <c r="G4030" s="73"/>
      <c r="I4030" s="111"/>
      <c r="J4030" s="81"/>
      <c r="K4030" s="81"/>
      <c r="L4030" s="499"/>
      <c r="M4030" s="73"/>
      <c r="N4030" s="499"/>
      <c r="O4030" s="73"/>
      <c r="P4030" s="73"/>
      <c r="Q4030" s="73"/>
      <c r="R4030" s="176"/>
      <c r="S4030" s="176"/>
      <c r="T4030" s="176"/>
      <c r="U4030" s="400"/>
      <c r="V4030" s="400"/>
      <c r="W4030" s="732"/>
      <c r="X4030" s="167"/>
      <c r="Y4030" s="509"/>
      <c r="Z4030" s="466"/>
      <c r="AA4030" s="466"/>
      <c r="AB4030" s="466"/>
      <c r="AC4030" s="466"/>
      <c r="AD4030" s="466"/>
      <c r="AE4030" s="466"/>
      <c r="AF4030" s="466"/>
      <c r="AG4030" s="466"/>
      <c r="AH4030" s="466"/>
      <c r="AI4030" s="466"/>
      <c r="AJ4030" s="466"/>
      <c r="AK4030" s="466"/>
      <c r="AL4030" s="466"/>
      <c r="AM4030" s="466"/>
      <c r="AN4030" s="466"/>
      <c r="AO4030" s="466"/>
      <c r="AP4030" s="466"/>
      <c r="AQ4030" s="466"/>
      <c r="AR4030" s="466"/>
      <c r="AS4030" s="466"/>
      <c r="AT4030" s="466"/>
      <c r="AU4030" s="466"/>
      <c r="AV4030" s="466"/>
      <c r="AW4030" s="466"/>
      <c r="AX4030" s="466"/>
      <c r="AY4030" s="466"/>
      <c r="AZ4030" s="466"/>
      <c r="BA4030" s="466"/>
      <c r="BB4030" s="466"/>
      <c r="BC4030" s="466"/>
      <c r="BD4030" s="466"/>
      <c r="BE4030" s="467"/>
      <c r="BF4030" s="467"/>
      <c r="BG4030" s="466"/>
      <c r="BH4030" s="466"/>
      <c r="BI4030" s="467"/>
      <c r="BJ4030" s="467"/>
      <c r="BK4030" s="467"/>
      <c r="BL4030" s="467"/>
      <c r="BM4030" s="467"/>
      <c r="BN4030" s="467"/>
      <c r="BO4030" s="467"/>
      <c r="BP4030" s="467"/>
      <c r="BQ4030" s="467"/>
      <c r="BR4030" s="467"/>
      <c r="BS4030" s="467"/>
      <c r="BT4030" s="467"/>
      <c r="BU4030" s="467"/>
      <c r="BV4030" s="467"/>
      <c r="BW4030" s="467"/>
      <c r="BX4030" s="769"/>
      <c r="BY4030" s="769"/>
      <c r="BZ4030" s="769"/>
      <c r="CA4030" s="769"/>
      <c r="CB4030" s="769"/>
      <c r="CC4030" s="769"/>
      <c r="CD4030" s="769"/>
      <c r="CE4030" s="769"/>
      <c r="CF4030" s="769"/>
      <c r="CG4030" s="73"/>
      <c r="CH4030" s="438"/>
      <c r="CI4030" s="416"/>
      <c r="CJ4030" s="73"/>
      <c r="CK4030" s="650"/>
      <c r="CL4030" s="499"/>
      <c r="CM4030" s="650"/>
      <c r="CR4030" s="416"/>
      <c r="CS4030" s="650"/>
      <c r="CU4030" s="73"/>
      <c r="CV4030" s="73"/>
      <c r="CW4030" s="73"/>
      <c r="CX4030" s="73"/>
      <c r="DA4030" s="650"/>
    </row>
    <row r="4031" spans="1:105" s="45" customFormat="1" x14ac:dyDescent="0.2">
      <c r="A4031" s="650"/>
      <c r="B4031" s="438"/>
      <c r="D4031" s="73"/>
      <c r="E4031" s="650"/>
      <c r="F4031" s="650"/>
      <c r="G4031" s="73"/>
      <c r="I4031" s="111"/>
      <c r="J4031" s="81"/>
      <c r="K4031" s="81"/>
      <c r="L4031" s="499"/>
      <c r="M4031" s="73"/>
      <c r="N4031" s="499"/>
      <c r="O4031" s="73"/>
      <c r="P4031" s="73"/>
      <c r="Q4031" s="73"/>
      <c r="R4031" s="176"/>
      <c r="S4031" s="176"/>
      <c r="T4031" s="176"/>
      <c r="U4031" s="400"/>
      <c r="V4031" s="400"/>
      <c r="W4031" s="732"/>
      <c r="X4031" s="167"/>
      <c r="Y4031" s="509"/>
      <c r="Z4031" s="466"/>
      <c r="AA4031" s="466"/>
      <c r="AB4031" s="466"/>
      <c r="AC4031" s="466"/>
      <c r="AD4031" s="466"/>
      <c r="AE4031" s="466"/>
      <c r="AF4031" s="466"/>
      <c r="AG4031" s="466"/>
      <c r="AH4031" s="466"/>
      <c r="AI4031" s="466"/>
      <c r="AJ4031" s="466"/>
      <c r="AK4031" s="466"/>
      <c r="AL4031" s="466"/>
      <c r="AM4031" s="466"/>
      <c r="AN4031" s="466"/>
      <c r="AO4031" s="466"/>
      <c r="AP4031" s="466"/>
      <c r="AQ4031" s="466"/>
      <c r="AR4031" s="466"/>
      <c r="AS4031" s="466"/>
      <c r="AT4031" s="466"/>
      <c r="AU4031" s="466"/>
      <c r="AV4031" s="466"/>
      <c r="AW4031" s="466"/>
      <c r="AX4031" s="466"/>
      <c r="AY4031" s="466"/>
      <c r="AZ4031" s="466"/>
      <c r="BA4031" s="466"/>
      <c r="BB4031" s="466"/>
      <c r="BC4031" s="466"/>
      <c r="BD4031" s="466"/>
      <c r="BE4031" s="467"/>
      <c r="BF4031" s="467"/>
      <c r="BG4031" s="466"/>
      <c r="BH4031" s="466"/>
      <c r="BI4031" s="467"/>
      <c r="BJ4031" s="467"/>
      <c r="BK4031" s="467"/>
      <c r="BL4031" s="467"/>
      <c r="BM4031" s="467"/>
      <c r="BN4031" s="467"/>
      <c r="BO4031" s="467"/>
      <c r="BP4031" s="467"/>
      <c r="BQ4031" s="467"/>
      <c r="BR4031" s="467"/>
      <c r="BS4031" s="467"/>
      <c r="BT4031" s="467"/>
      <c r="BU4031" s="467"/>
      <c r="BV4031" s="467"/>
      <c r="BW4031" s="467"/>
      <c r="BX4031" s="769"/>
      <c r="BY4031" s="769"/>
      <c r="BZ4031" s="769"/>
      <c r="CA4031" s="769"/>
      <c r="CB4031" s="769"/>
      <c r="CC4031" s="769"/>
      <c r="CD4031" s="769"/>
      <c r="CE4031" s="769"/>
      <c r="CF4031" s="769"/>
      <c r="CG4031" s="73"/>
      <c r="CH4031" s="438"/>
      <c r="CI4031" s="416"/>
      <c r="CJ4031" s="73"/>
      <c r="CK4031" s="650"/>
      <c r="CL4031" s="499"/>
      <c r="CM4031" s="650"/>
      <c r="CR4031" s="416"/>
      <c r="CS4031" s="650"/>
      <c r="CU4031" s="73"/>
      <c r="CV4031" s="73"/>
      <c r="CW4031" s="73"/>
      <c r="CX4031" s="73"/>
      <c r="DA4031" s="650"/>
    </row>
    <row r="4032" spans="1:105" s="45" customFormat="1" x14ac:dyDescent="0.2">
      <c r="A4032" s="650"/>
      <c r="B4032" s="438"/>
      <c r="D4032" s="73"/>
      <c r="E4032" s="650"/>
      <c r="F4032" s="650"/>
      <c r="G4032" s="73"/>
      <c r="I4032" s="111"/>
      <c r="J4032" s="81"/>
      <c r="K4032" s="81"/>
      <c r="L4032" s="499"/>
      <c r="M4032" s="73"/>
      <c r="N4032" s="499"/>
      <c r="O4032" s="73"/>
      <c r="P4032" s="73"/>
      <c r="Q4032" s="73"/>
      <c r="R4032" s="176"/>
      <c r="S4032" s="176"/>
      <c r="T4032" s="176"/>
      <c r="U4032" s="400"/>
      <c r="V4032" s="400"/>
      <c r="W4032" s="732"/>
      <c r="X4032" s="167"/>
      <c r="Y4032" s="509"/>
      <c r="Z4032" s="466"/>
      <c r="AA4032" s="466"/>
      <c r="AB4032" s="466"/>
      <c r="AC4032" s="466"/>
      <c r="AD4032" s="466"/>
      <c r="AE4032" s="466"/>
      <c r="AF4032" s="466"/>
      <c r="AG4032" s="466"/>
      <c r="AH4032" s="466"/>
      <c r="AI4032" s="466"/>
      <c r="AJ4032" s="466"/>
      <c r="AK4032" s="466"/>
      <c r="AL4032" s="466"/>
      <c r="AM4032" s="466"/>
      <c r="AN4032" s="466"/>
      <c r="AO4032" s="466"/>
      <c r="AP4032" s="466"/>
      <c r="AQ4032" s="466"/>
      <c r="AR4032" s="466"/>
      <c r="AS4032" s="466"/>
      <c r="AT4032" s="466"/>
      <c r="AU4032" s="466"/>
      <c r="AV4032" s="466"/>
      <c r="AW4032" s="466"/>
      <c r="AX4032" s="466"/>
      <c r="AY4032" s="466"/>
      <c r="AZ4032" s="466"/>
      <c r="BA4032" s="466"/>
      <c r="BB4032" s="466"/>
      <c r="BC4032" s="466"/>
      <c r="BD4032" s="466"/>
      <c r="BE4032" s="467"/>
      <c r="BF4032" s="467"/>
      <c r="BG4032" s="466"/>
      <c r="BH4032" s="466"/>
      <c r="BI4032" s="467"/>
      <c r="BJ4032" s="467"/>
      <c r="BK4032" s="467"/>
      <c r="BL4032" s="467"/>
      <c r="BM4032" s="467"/>
      <c r="BN4032" s="467"/>
      <c r="BO4032" s="467"/>
      <c r="BP4032" s="467"/>
      <c r="BQ4032" s="467"/>
      <c r="BR4032" s="467"/>
      <c r="BS4032" s="467"/>
      <c r="BT4032" s="467"/>
      <c r="BU4032" s="467"/>
      <c r="BV4032" s="467"/>
      <c r="BW4032" s="467"/>
      <c r="BX4032" s="769"/>
      <c r="BY4032" s="769"/>
      <c r="BZ4032" s="769"/>
      <c r="CA4032" s="769"/>
      <c r="CB4032" s="769"/>
      <c r="CC4032" s="769"/>
      <c r="CD4032" s="769"/>
      <c r="CE4032" s="769"/>
      <c r="CF4032" s="769"/>
      <c r="CG4032" s="73"/>
      <c r="CH4032" s="438"/>
      <c r="CI4032" s="416"/>
      <c r="CJ4032" s="73"/>
      <c r="CK4032" s="650"/>
      <c r="CL4032" s="499"/>
      <c r="CM4032" s="650"/>
      <c r="CR4032" s="416"/>
      <c r="CS4032" s="650"/>
      <c r="CU4032" s="73"/>
      <c r="CV4032" s="73"/>
      <c r="CW4032" s="73"/>
      <c r="CX4032" s="73"/>
      <c r="DA4032" s="650"/>
    </row>
    <row r="4033" spans="1:105" s="45" customFormat="1" x14ac:dyDescent="0.2">
      <c r="A4033" s="650"/>
      <c r="B4033" s="438"/>
      <c r="D4033" s="73"/>
      <c r="E4033" s="650"/>
      <c r="F4033" s="650"/>
      <c r="G4033" s="73"/>
      <c r="I4033" s="111"/>
      <c r="J4033" s="81"/>
      <c r="K4033" s="81"/>
      <c r="L4033" s="499"/>
      <c r="M4033" s="73"/>
      <c r="N4033" s="499"/>
      <c r="O4033" s="73"/>
      <c r="P4033" s="73"/>
      <c r="Q4033" s="73"/>
      <c r="R4033" s="176"/>
      <c r="S4033" s="176"/>
      <c r="T4033" s="176"/>
      <c r="U4033" s="400"/>
      <c r="V4033" s="400"/>
      <c r="W4033" s="732"/>
      <c r="X4033" s="167"/>
      <c r="Y4033" s="509"/>
      <c r="Z4033" s="466"/>
      <c r="AA4033" s="466"/>
      <c r="AB4033" s="466"/>
      <c r="AC4033" s="466"/>
      <c r="AD4033" s="466"/>
      <c r="AE4033" s="466"/>
      <c r="AF4033" s="466"/>
      <c r="AG4033" s="466"/>
      <c r="AH4033" s="466"/>
      <c r="AI4033" s="466"/>
      <c r="AJ4033" s="466"/>
      <c r="AK4033" s="466"/>
      <c r="AL4033" s="466"/>
      <c r="AM4033" s="466"/>
      <c r="AN4033" s="466"/>
      <c r="AO4033" s="466"/>
      <c r="AP4033" s="466"/>
      <c r="AQ4033" s="466"/>
      <c r="AR4033" s="466"/>
      <c r="AS4033" s="466"/>
      <c r="AT4033" s="466"/>
      <c r="AU4033" s="466"/>
      <c r="AV4033" s="466"/>
      <c r="AW4033" s="466"/>
      <c r="AX4033" s="466"/>
      <c r="AY4033" s="466"/>
      <c r="AZ4033" s="466"/>
      <c r="BA4033" s="466"/>
      <c r="BB4033" s="466"/>
      <c r="BC4033" s="466"/>
      <c r="BD4033" s="466"/>
      <c r="BE4033" s="467"/>
      <c r="BF4033" s="467"/>
      <c r="BG4033" s="466"/>
      <c r="BH4033" s="466"/>
      <c r="BI4033" s="467"/>
      <c r="BJ4033" s="467"/>
      <c r="BK4033" s="467"/>
      <c r="BL4033" s="467"/>
      <c r="BM4033" s="467"/>
      <c r="BN4033" s="467"/>
      <c r="BO4033" s="467"/>
      <c r="BP4033" s="467"/>
      <c r="BQ4033" s="467"/>
      <c r="BR4033" s="467"/>
      <c r="BS4033" s="467"/>
      <c r="BT4033" s="467"/>
      <c r="BU4033" s="467"/>
      <c r="BV4033" s="467"/>
      <c r="BW4033" s="467"/>
      <c r="BX4033" s="769"/>
      <c r="BY4033" s="769"/>
      <c r="BZ4033" s="769"/>
      <c r="CA4033" s="769"/>
      <c r="CB4033" s="769"/>
      <c r="CC4033" s="769"/>
      <c r="CD4033" s="769"/>
      <c r="CE4033" s="769"/>
      <c r="CF4033" s="769"/>
      <c r="CG4033" s="73"/>
      <c r="CH4033" s="438"/>
      <c r="CI4033" s="416"/>
      <c r="CJ4033" s="73"/>
      <c r="CK4033" s="650"/>
      <c r="CL4033" s="499"/>
      <c r="CM4033" s="650"/>
      <c r="CR4033" s="416"/>
      <c r="CS4033" s="650"/>
      <c r="CU4033" s="73"/>
      <c r="CV4033" s="73"/>
      <c r="CW4033" s="73"/>
      <c r="CX4033" s="73"/>
      <c r="DA4033" s="650"/>
    </row>
    <row r="4034" spans="1:105" s="45" customFormat="1" x14ac:dyDescent="0.2">
      <c r="A4034" s="650"/>
      <c r="B4034" s="438"/>
      <c r="D4034" s="73"/>
      <c r="E4034" s="650"/>
      <c r="F4034" s="650"/>
      <c r="G4034" s="73"/>
      <c r="I4034" s="111"/>
      <c r="J4034" s="81"/>
      <c r="K4034" s="81"/>
      <c r="L4034" s="499"/>
      <c r="M4034" s="73"/>
      <c r="N4034" s="499"/>
      <c r="O4034" s="73"/>
      <c r="P4034" s="73"/>
      <c r="Q4034" s="73"/>
      <c r="R4034" s="176"/>
      <c r="S4034" s="176"/>
      <c r="T4034" s="176"/>
      <c r="U4034" s="400"/>
      <c r="V4034" s="400"/>
      <c r="W4034" s="732"/>
      <c r="X4034" s="167"/>
      <c r="Y4034" s="509"/>
      <c r="Z4034" s="466"/>
      <c r="AA4034" s="466"/>
      <c r="AB4034" s="466"/>
      <c r="AC4034" s="466"/>
      <c r="AD4034" s="466"/>
      <c r="AE4034" s="466"/>
      <c r="AF4034" s="466"/>
      <c r="AG4034" s="466"/>
      <c r="AH4034" s="466"/>
      <c r="AI4034" s="466"/>
      <c r="AJ4034" s="466"/>
      <c r="AK4034" s="466"/>
      <c r="AL4034" s="466"/>
      <c r="AM4034" s="466"/>
      <c r="AN4034" s="466"/>
      <c r="AO4034" s="466"/>
      <c r="AP4034" s="466"/>
      <c r="AQ4034" s="466"/>
      <c r="AR4034" s="466"/>
      <c r="AS4034" s="466"/>
      <c r="AT4034" s="466"/>
      <c r="AU4034" s="466"/>
      <c r="AV4034" s="466"/>
      <c r="AW4034" s="466"/>
      <c r="AX4034" s="466"/>
      <c r="AY4034" s="466"/>
      <c r="AZ4034" s="466"/>
      <c r="BA4034" s="466"/>
      <c r="BB4034" s="466"/>
      <c r="BC4034" s="466"/>
      <c r="BD4034" s="466"/>
      <c r="BE4034" s="467"/>
      <c r="BF4034" s="467"/>
      <c r="BG4034" s="466"/>
      <c r="BH4034" s="466"/>
      <c r="BI4034" s="467"/>
      <c r="BJ4034" s="467"/>
      <c r="BK4034" s="467"/>
      <c r="BL4034" s="467"/>
      <c r="BM4034" s="467"/>
      <c r="BN4034" s="467"/>
      <c r="BO4034" s="467"/>
      <c r="BP4034" s="467"/>
      <c r="BQ4034" s="467"/>
      <c r="BR4034" s="467"/>
      <c r="BS4034" s="467"/>
      <c r="BT4034" s="467"/>
      <c r="BU4034" s="467"/>
      <c r="BV4034" s="467"/>
      <c r="BW4034" s="467"/>
      <c r="BX4034" s="769"/>
      <c r="BY4034" s="769"/>
      <c r="BZ4034" s="769"/>
      <c r="CA4034" s="769"/>
      <c r="CB4034" s="769"/>
      <c r="CC4034" s="769"/>
      <c r="CD4034" s="769"/>
      <c r="CE4034" s="769"/>
      <c r="CF4034" s="769"/>
      <c r="CG4034" s="73"/>
      <c r="CH4034" s="438"/>
      <c r="CI4034" s="416"/>
      <c r="CJ4034" s="73"/>
      <c r="CK4034" s="650"/>
      <c r="CL4034" s="499"/>
      <c r="CM4034" s="650"/>
      <c r="CR4034" s="416"/>
      <c r="CS4034" s="650"/>
      <c r="CU4034" s="73"/>
      <c r="CV4034" s="73"/>
      <c r="CW4034" s="73"/>
      <c r="CX4034" s="73"/>
      <c r="DA4034" s="650"/>
    </row>
    <row r="4035" spans="1:105" s="45" customFormat="1" x14ac:dyDescent="0.2">
      <c r="A4035" s="650"/>
      <c r="B4035" s="438"/>
      <c r="D4035" s="73"/>
      <c r="E4035" s="650"/>
      <c r="F4035" s="650"/>
      <c r="G4035" s="73"/>
      <c r="I4035" s="111"/>
      <c r="J4035" s="81"/>
      <c r="K4035" s="81"/>
      <c r="L4035" s="499"/>
      <c r="M4035" s="73"/>
      <c r="N4035" s="499"/>
      <c r="O4035" s="73"/>
      <c r="P4035" s="73"/>
      <c r="Q4035" s="73"/>
      <c r="R4035" s="176"/>
      <c r="S4035" s="176"/>
      <c r="T4035" s="176"/>
      <c r="U4035" s="400"/>
      <c r="V4035" s="400"/>
      <c r="W4035" s="732"/>
      <c r="X4035" s="167"/>
      <c r="Y4035" s="509"/>
      <c r="Z4035" s="466"/>
      <c r="AA4035" s="466"/>
      <c r="AB4035" s="466"/>
      <c r="AC4035" s="466"/>
      <c r="AD4035" s="466"/>
      <c r="AE4035" s="466"/>
      <c r="AF4035" s="466"/>
      <c r="AG4035" s="466"/>
      <c r="AH4035" s="466"/>
      <c r="AI4035" s="466"/>
      <c r="AJ4035" s="466"/>
      <c r="AK4035" s="466"/>
      <c r="AL4035" s="466"/>
      <c r="AM4035" s="466"/>
      <c r="AN4035" s="466"/>
      <c r="AO4035" s="466"/>
      <c r="AP4035" s="466"/>
      <c r="AQ4035" s="466"/>
      <c r="AR4035" s="466"/>
      <c r="AS4035" s="466"/>
      <c r="AT4035" s="466"/>
      <c r="AU4035" s="466"/>
      <c r="AV4035" s="466"/>
      <c r="AW4035" s="466"/>
      <c r="AX4035" s="466"/>
      <c r="AY4035" s="466"/>
      <c r="AZ4035" s="466"/>
      <c r="BA4035" s="466"/>
      <c r="BB4035" s="466"/>
      <c r="BC4035" s="466"/>
      <c r="BD4035" s="466"/>
      <c r="BE4035" s="467"/>
      <c r="BF4035" s="467"/>
      <c r="BG4035" s="466"/>
      <c r="BH4035" s="466"/>
      <c r="BI4035" s="467"/>
      <c r="BJ4035" s="467"/>
      <c r="BK4035" s="467"/>
      <c r="BL4035" s="467"/>
      <c r="BM4035" s="467"/>
      <c r="BN4035" s="467"/>
      <c r="BO4035" s="467"/>
      <c r="BP4035" s="467"/>
      <c r="BQ4035" s="467"/>
      <c r="BR4035" s="467"/>
      <c r="BS4035" s="467"/>
      <c r="BT4035" s="467"/>
      <c r="BU4035" s="467"/>
      <c r="BV4035" s="467"/>
      <c r="BW4035" s="467"/>
      <c r="BX4035" s="769"/>
      <c r="BY4035" s="769"/>
      <c r="BZ4035" s="769"/>
      <c r="CA4035" s="769"/>
      <c r="CB4035" s="769"/>
      <c r="CC4035" s="769"/>
      <c r="CD4035" s="769"/>
      <c r="CE4035" s="769"/>
      <c r="CF4035" s="769"/>
      <c r="CG4035" s="73"/>
      <c r="CH4035" s="438"/>
      <c r="CI4035" s="416"/>
      <c r="CJ4035" s="73"/>
      <c r="CK4035" s="650"/>
      <c r="CL4035" s="499"/>
      <c r="CM4035" s="650"/>
      <c r="CR4035" s="416"/>
      <c r="CS4035" s="650"/>
      <c r="CU4035" s="73"/>
      <c r="CV4035" s="73"/>
      <c r="CW4035" s="73"/>
      <c r="CX4035" s="73"/>
      <c r="DA4035" s="650"/>
    </row>
    <row r="4036" spans="1:105" s="45" customFormat="1" x14ac:dyDescent="0.2">
      <c r="A4036" s="650"/>
      <c r="B4036" s="438"/>
      <c r="D4036" s="73"/>
      <c r="E4036" s="650"/>
      <c r="F4036" s="650"/>
      <c r="G4036" s="73"/>
      <c r="I4036" s="111"/>
      <c r="J4036" s="81"/>
      <c r="K4036" s="81"/>
      <c r="L4036" s="499"/>
      <c r="M4036" s="73"/>
      <c r="N4036" s="499"/>
      <c r="O4036" s="73"/>
      <c r="P4036" s="73"/>
      <c r="Q4036" s="73"/>
      <c r="R4036" s="176"/>
      <c r="S4036" s="176"/>
      <c r="T4036" s="176"/>
      <c r="U4036" s="400"/>
      <c r="V4036" s="400"/>
      <c r="W4036" s="732"/>
      <c r="X4036" s="167"/>
      <c r="Y4036" s="509"/>
      <c r="Z4036" s="466"/>
      <c r="AA4036" s="466"/>
      <c r="AB4036" s="466"/>
      <c r="AC4036" s="466"/>
      <c r="AD4036" s="466"/>
      <c r="AE4036" s="466"/>
      <c r="AF4036" s="466"/>
      <c r="AG4036" s="466"/>
      <c r="AH4036" s="466"/>
      <c r="AI4036" s="466"/>
      <c r="AJ4036" s="466"/>
      <c r="AK4036" s="466"/>
      <c r="AL4036" s="466"/>
      <c r="AM4036" s="466"/>
      <c r="AN4036" s="466"/>
      <c r="AO4036" s="466"/>
      <c r="AP4036" s="466"/>
      <c r="AQ4036" s="466"/>
      <c r="AR4036" s="466"/>
      <c r="AS4036" s="466"/>
      <c r="AT4036" s="466"/>
      <c r="AU4036" s="466"/>
      <c r="AV4036" s="466"/>
      <c r="AW4036" s="466"/>
      <c r="AX4036" s="466"/>
      <c r="AY4036" s="466"/>
      <c r="AZ4036" s="466"/>
      <c r="BA4036" s="466"/>
      <c r="BB4036" s="466"/>
      <c r="BC4036" s="466"/>
      <c r="BD4036" s="466"/>
      <c r="BE4036" s="467"/>
      <c r="BF4036" s="467"/>
      <c r="BG4036" s="466"/>
      <c r="BH4036" s="466"/>
      <c r="BI4036" s="467"/>
      <c r="BJ4036" s="467"/>
      <c r="BK4036" s="467"/>
      <c r="BL4036" s="467"/>
      <c r="BM4036" s="467"/>
      <c r="BN4036" s="467"/>
      <c r="BO4036" s="467"/>
      <c r="BP4036" s="467"/>
      <c r="BQ4036" s="467"/>
      <c r="BR4036" s="467"/>
      <c r="BS4036" s="467"/>
      <c r="BT4036" s="467"/>
      <c r="BU4036" s="467"/>
      <c r="BV4036" s="467"/>
      <c r="BW4036" s="467"/>
      <c r="BX4036" s="769"/>
      <c r="BY4036" s="769"/>
      <c r="BZ4036" s="769"/>
      <c r="CA4036" s="769"/>
      <c r="CB4036" s="769"/>
      <c r="CC4036" s="769"/>
      <c r="CD4036" s="769"/>
      <c r="CE4036" s="769"/>
      <c r="CF4036" s="769"/>
      <c r="CG4036" s="73"/>
      <c r="CH4036" s="438"/>
      <c r="CI4036" s="416"/>
      <c r="CJ4036" s="73"/>
      <c r="CK4036" s="650"/>
      <c r="CL4036" s="499"/>
      <c r="CM4036" s="650"/>
      <c r="CR4036" s="416"/>
      <c r="CS4036" s="650"/>
      <c r="CU4036" s="73"/>
      <c r="CV4036" s="73"/>
      <c r="CW4036" s="73"/>
      <c r="CX4036" s="73"/>
      <c r="DA4036" s="650"/>
    </row>
    <row r="4037" spans="1:105" s="45" customFormat="1" x14ac:dyDescent="0.2">
      <c r="A4037" s="650"/>
      <c r="B4037" s="438"/>
      <c r="D4037" s="73"/>
      <c r="E4037" s="650"/>
      <c r="F4037" s="650"/>
      <c r="G4037" s="73"/>
      <c r="I4037" s="111"/>
      <c r="J4037" s="81"/>
      <c r="K4037" s="81"/>
      <c r="L4037" s="499"/>
      <c r="M4037" s="73"/>
      <c r="N4037" s="499"/>
      <c r="O4037" s="73"/>
      <c r="P4037" s="73"/>
      <c r="Q4037" s="73"/>
      <c r="R4037" s="176"/>
      <c r="S4037" s="176"/>
      <c r="T4037" s="176"/>
      <c r="U4037" s="400"/>
      <c r="V4037" s="400"/>
      <c r="W4037" s="732"/>
      <c r="X4037" s="167"/>
      <c r="Y4037" s="509"/>
      <c r="Z4037" s="466"/>
      <c r="AA4037" s="466"/>
      <c r="AB4037" s="466"/>
      <c r="AC4037" s="466"/>
      <c r="AD4037" s="466"/>
      <c r="AE4037" s="466"/>
      <c r="AF4037" s="466"/>
      <c r="AG4037" s="466"/>
      <c r="AH4037" s="466"/>
      <c r="AI4037" s="466"/>
      <c r="AJ4037" s="466"/>
      <c r="AK4037" s="466"/>
      <c r="AL4037" s="466"/>
      <c r="AM4037" s="466"/>
      <c r="AN4037" s="466"/>
      <c r="AO4037" s="466"/>
      <c r="AP4037" s="466"/>
      <c r="AQ4037" s="466"/>
      <c r="AR4037" s="466"/>
      <c r="AS4037" s="466"/>
      <c r="AT4037" s="466"/>
      <c r="AU4037" s="466"/>
      <c r="AV4037" s="466"/>
      <c r="AW4037" s="466"/>
      <c r="AX4037" s="466"/>
      <c r="AY4037" s="466"/>
      <c r="AZ4037" s="466"/>
      <c r="BA4037" s="466"/>
      <c r="BB4037" s="466"/>
      <c r="BC4037" s="466"/>
      <c r="BD4037" s="466"/>
      <c r="BE4037" s="467"/>
      <c r="BF4037" s="467"/>
      <c r="BG4037" s="466"/>
      <c r="BH4037" s="466"/>
      <c r="BI4037" s="467"/>
      <c r="BJ4037" s="467"/>
      <c r="BK4037" s="467"/>
      <c r="BL4037" s="467"/>
      <c r="BM4037" s="467"/>
      <c r="BN4037" s="467"/>
      <c r="BO4037" s="467"/>
      <c r="BP4037" s="467"/>
      <c r="BQ4037" s="467"/>
      <c r="BR4037" s="467"/>
      <c r="BS4037" s="467"/>
      <c r="BT4037" s="467"/>
      <c r="BU4037" s="467"/>
      <c r="BV4037" s="467"/>
      <c r="BW4037" s="467"/>
      <c r="BX4037" s="769"/>
      <c r="BY4037" s="769"/>
      <c r="BZ4037" s="769"/>
      <c r="CA4037" s="769"/>
      <c r="CB4037" s="769"/>
      <c r="CC4037" s="769"/>
      <c r="CD4037" s="769"/>
      <c r="CE4037" s="769"/>
      <c r="CF4037" s="769"/>
      <c r="CG4037" s="73"/>
      <c r="CH4037" s="438"/>
      <c r="CI4037" s="416"/>
      <c r="CJ4037" s="73"/>
      <c r="CK4037" s="650"/>
      <c r="CL4037" s="499"/>
      <c r="CM4037" s="650"/>
      <c r="CR4037" s="416"/>
      <c r="CS4037" s="650"/>
      <c r="CU4037" s="73"/>
      <c r="CV4037" s="73"/>
      <c r="CW4037" s="73"/>
      <c r="CX4037" s="73"/>
      <c r="DA4037" s="650"/>
    </row>
    <row r="4038" spans="1:105" s="45" customFormat="1" x14ac:dyDescent="0.2">
      <c r="A4038" s="650"/>
      <c r="B4038" s="438"/>
      <c r="D4038" s="73"/>
      <c r="E4038" s="650"/>
      <c r="F4038" s="650"/>
      <c r="G4038" s="73"/>
      <c r="I4038" s="111"/>
      <c r="J4038" s="81"/>
      <c r="K4038" s="81"/>
      <c r="L4038" s="499"/>
      <c r="M4038" s="73"/>
      <c r="N4038" s="499"/>
      <c r="O4038" s="73"/>
      <c r="P4038" s="73"/>
      <c r="Q4038" s="73"/>
      <c r="R4038" s="176"/>
      <c r="S4038" s="176"/>
      <c r="T4038" s="176"/>
      <c r="U4038" s="400"/>
      <c r="V4038" s="400"/>
      <c r="W4038" s="732"/>
      <c r="X4038" s="167"/>
      <c r="Y4038" s="509"/>
      <c r="Z4038" s="466"/>
      <c r="AA4038" s="466"/>
      <c r="AB4038" s="466"/>
      <c r="AC4038" s="466"/>
      <c r="AD4038" s="466"/>
      <c r="AE4038" s="466"/>
      <c r="AF4038" s="466"/>
      <c r="AG4038" s="466"/>
      <c r="AH4038" s="466"/>
      <c r="AI4038" s="466"/>
      <c r="AJ4038" s="466"/>
      <c r="AK4038" s="466"/>
      <c r="AL4038" s="466"/>
      <c r="AM4038" s="466"/>
      <c r="AN4038" s="466"/>
      <c r="AO4038" s="466"/>
      <c r="AP4038" s="466"/>
      <c r="AQ4038" s="466"/>
      <c r="AR4038" s="466"/>
      <c r="AS4038" s="466"/>
      <c r="AT4038" s="466"/>
      <c r="AU4038" s="466"/>
      <c r="AV4038" s="466"/>
      <c r="AW4038" s="466"/>
      <c r="AX4038" s="466"/>
      <c r="AY4038" s="466"/>
      <c r="AZ4038" s="466"/>
      <c r="BA4038" s="466"/>
      <c r="BB4038" s="466"/>
      <c r="BC4038" s="466"/>
      <c r="BD4038" s="466"/>
      <c r="BE4038" s="467"/>
      <c r="BF4038" s="467"/>
      <c r="BG4038" s="466"/>
      <c r="BH4038" s="466"/>
      <c r="BI4038" s="467"/>
      <c r="BJ4038" s="467"/>
      <c r="BK4038" s="467"/>
      <c r="BL4038" s="467"/>
      <c r="BM4038" s="467"/>
      <c r="BN4038" s="467"/>
      <c r="BO4038" s="467"/>
      <c r="BP4038" s="467"/>
      <c r="BQ4038" s="467"/>
      <c r="BR4038" s="467"/>
      <c r="BS4038" s="467"/>
      <c r="BT4038" s="467"/>
      <c r="BU4038" s="467"/>
      <c r="BV4038" s="467"/>
      <c r="BW4038" s="467"/>
      <c r="BX4038" s="769"/>
      <c r="BY4038" s="769"/>
      <c r="BZ4038" s="769"/>
      <c r="CA4038" s="769"/>
      <c r="CB4038" s="769"/>
      <c r="CC4038" s="769"/>
      <c r="CD4038" s="769"/>
      <c r="CE4038" s="769"/>
      <c r="CF4038" s="769"/>
      <c r="CG4038" s="73"/>
      <c r="CH4038" s="438"/>
      <c r="CI4038" s="416"/>
      <c r="CJ4038" s="73"/>
      <c r="CK4038" s="650"/>
      <c r="CL4038" s="499"/>
      <c r="CM4038" s="650"/>
      <c r="CR4038" s="416"/>
      <c r="CS4038" s="650"/>
      <c r="CU4038" s="73"/>
      <c r="CV4038" s="73"/>
      <c r="CW4038" s="73"/>
      <c r="CX4038" s="73"/>
      <c r="DA4038" s="650"/>
    </row>
    <row r="4039" spans="1:105" s="45" customFormat="1" x14ac:dyDescent="0.2">
      <c r="A4039" s="650"/>
      <c r="B4039" s="438"/>
      <c r="D4039" s="73"/>
      <c r="E4039" s="650"/>
      <c r="F4039" s="650"/>
      <c r="G4039" s="73"/>
      <c r="I4039" s="111"/>
      <c r="J4039" s="81"/>
      <c r="K4039" s="81"/>
      <c r="L4039" s="499"/>
      <c r="M4039" s="73"/>
      <c r="N4039" s="499"/>
      <c r="O4039" s="73"/>
      <c r="P4039" s="73"/>
      <c r="Q4039" s="73"/>
      <c r="R4039" s="176"/>
      <c r="S4039" s="176"/>
      <c r="T4039" s="176"/>
      <c r="U4039" s="400"/>
      <c r="V4039" s="400"/>
      <c r="W4039" s="732"/>
      <c r="X4039" s="167"/>
      <c r="Y4039" s="509"/>
      <c r="Z4039" s="466"/>
      <c r="AA4039" s="466"/>
      <c r="AB4039" s="466"/>
      <c r="AC4039" s="466"/>
      <c r="AD4039" s="466"/>
      <c r="AE4039" s="466"/>
      <c r="AF4039" s="466"/>
      <c r="AG4039" s="466"/>
      <c r="AH4039" s="466"/>
      <c r="AI4039" s="466"/>
      <c r="AJ4039" s="466"/>
      <c r="AK4039" s="466"/>
      <c r="AL4039" s="466"/>
      <c r="AM4039" s="466"/>
      <c r="AN4039" s="466"/>
      <c r="AO4039" s="466"/>
      <c r="AP4039" s="466"/>
      <c r="AQ4039" s="466"/>
      <c r="AR4039" s="466"/>
      <c r="AS4039" s="466"/>
      <c r="AT4039" s="466"/>
      <c r="AU4039" s="466"/>
      <c r="AV4039" s="466"/>
      <c r="AW4039" s="466"/>
      <c r="AX4039" s="466"/>
      <c r="AY4039" s="466"/>
      <c r="AZ4039" s="466"/>
      <c r="BA4039" s="466"/>
      <c r="BB4039" s="466"/>
      <c r="BC4039" s="466"/>
      <c r="BD4039" s="466"/>
      <c r="BE4039" s="467"/>
      <c r="BF4039" s="467"/>
      <c r="BG4039" s="466"/>
      <c r="BH4039" s="466"/>
      <c r="BI4039" s="467"/>
      <c r="BJ4039" s="467"/>
      <c r="BK4039" s="467"/>
      <c r="BL4039" s="467"/>
      <c r="BM4039" s="467"/>
      <c r="BN4039" s="467"/>
      <c r="BO4039" s="467"/>
      <c r="BP4039" s="467"/>
      <c r="BQ4039" s="467"/>
      <c r="BR4039" s="467"/>
      <c r="BS4039" s="467"/>
      <c r="BT4039" s="467"/>
      <c r="BU4039" s="467"/>
      <c r="BV4039" s="467"/>
      <c r="BW4039" s="467"/>
      <c r="BX4039" s="769"/>
      <c r="BY4039" s="769"/>
      <c r="BZ4039" s="769"/>
      <c r="CA4039" s="769"/>
      <c r="CB4039" s="769"/>
      <c r="CC4039" s="769"/>
      <c r="CD4039" s="769"/>
      <c r="CE4039" s="769"/>
      <c r="CF4039" s="769"/>
      <c r="CG4039" s="73"/>
      <c r="CH4039" s="438"/>
      <c r="CI4039" s="416"/>
      <c r="CJ4039" s="73"/>
      <c r="CK4039" s="650"/>
      <c r="CL4039" s="499"/>
      <c r="CM4039" s="650"/>
      <c r="CR4039" s="416"/>
      <c r="CS4039" s="650"/>
      <c r="CU4039" s="73"/>
      <c r="CV4039" s="73"/>
      <c r="CW4039" s="73"/>
      <c r="CX4039" s="73"/>
      <c r="DA4039" s="650"/>
    </row>
    <row r="4040" spans="1:105" s="45" customFormat="1" x14ac:dyDescent="0.2">
      <c r="A4040" s="650"/>
      <c r="B4040" s="438"/>
      <c r="D4040" s="73"/>
      <c r="E4040" s="650"/>
      <c r="F4040" s="650"/>
      <c r="G4040" s="73"/>
      <c r="I4040" s="111"/>
      <c r="J4040" s="81"/>
      <c r="K4040" s="81"/>
      <c r="L4040" s="499"/>
      <c r="M4040" s="73"/>
      <c r="N4040" s="499"/>
      <c r="O4040" s="73"/>
      <c r="P4040" s="73"/>
      <c r="Q4040" s="73"/>
      <c r="R4040" s="176"/>
      <c r="S4040" s="176"/>
      <c r="T4040" s="176"/>
      <c r="U4040" s="400"/>
      <c r="V4040" s="400"/>
      <c r="W4040" s="732"/>
      <c r="X4040" s="167"/>
      <c r="Y4040" s="509"/>
      <c r="Z4040" s="466"/>
      <c r="AA4040" s="466"/>
      <c r="AB4040" s="466"/>
      <c r="AC4040" s="466"/>
      <c r="AD4040" s="466"/>
      <c r="AE4040" s="466"/>
      <c r="AF4040" s="466"/>
      <c r="AG4040" s="466"/>
      <c r="AH4040" s="466"/>
      <c r="AI4040" s="466"/>
      <c r="AJ4040" s="466"/>
      <c r="AK4040" s="466"/>
      <c r="AL4040" s="466"/>
      <c r="AM4040" s="466"/>
      <c r="AN4040" s="466"/>
      <c r="AO4040" s="466"/>
      <c r="AP4040" s="466"/>
      <c r="AQ4040" s="466"/>
      <c r="AR4040" s="466"/>
      <c r="AS4040" s="466"/>
      <c r="AT4040" s="466"/>
      <c r="AU4040" s="466"/>
      <c r="AV4040" s="466"/>
      <c r="AW4040" s="466"/>
      <c r="AX4040" s="466"/>
      <c r="AY4040" s="466"/>
      <c r="AZ4040" s="466"/>
      <c r="BA4040" s="466"/>
      <c r="BB4040" s="466"/>
      <c r="BC4040" s="466"/>
      <c r="BD4040" s="466"/>
      <c r="BE4040" s="467"/>
      <c r="BF4040" s="467"/>
      <c r="BG4040" s="466"/>
      <c r="BH4040" s="466"/>
      <c r="BI4040" s="467"/>
      <c r="BJ4040" s="467"/>
      <c r="BK4040" s="467"/>
      <c r="BL4040" s="467"/>
      <c r="BM4040" s="467"/>
      <c r="BN4040" s="467"/>
      <c r="BO4040" s="467"/>
      <c r="BP4040" s="467"/>
      <c r="BQ4040" s="467"/>
      <c r="BR4040" s="467"/>
      <c r="BS4040" s="467"/>
      <c r="BT4040" s="467"/>
      <c r="BU4040" s="467"/>
      <c r="BV4040" s="467"/>
      <c r="BW4040" s="467"/>
      <c r="BX4040" s="769"/>
      <c r="BY4040" s="769"/>
      <c r="BZ4040" s="769"/>
      <c r="CA4040" s="769"/>
      <c r="CB4040" s="769"/>
      <c r="CC4040" s="769"/>
      <c r="CD4040" s="769"/>
      <c r="CE4040" s="769"/>
      <c r="CF4040" s="769"/>
      <c r="CG4040" s="73"/>
      <c r="CH4040" s="438"/>
      <c r="CI4040" s="416"/>
      <c r="CJ4040" s="73"/>
      <c r="CK4040" s="650"/>
      <c r="CL4040" s="499"/>
      <c r="CM4040" s="650"/>
      <c r="CR4040" s="416"/>
      <c r="CS4040" s="650"/>
      <c r="CU4040" s="73"/>
      <c r="CV4040" s="73"/>
      <c r="CW4040" s="73"/>
      <c r="CX4040" s="73"/>
      <c r="DA4040" s="650"/>
    </row>
    <row r="4041" spans="1:105" s="45" customFormat="1" x14ac:dyDescent="0.2">
      <c r="A4041" s="650"/>
      <c r="B4041" s="438"/>
      <c r="D4041" s="73"/>
      <c r="E4041" s="650"/>
      <c r="F4041" s="650"/>
      <c r="G4041" s="73"/>
      <c r="I4041" s="111"/>
      <c r="J4041" s="81"/>
      <c r="K4041" s="81"/>
      <c r="L4041" s="499"/>
      <c r="M4041" s="73"/>
      <c r="N4041" s="499"/>
      <c r="O4041" s="73"/>
      <c r="P4041" s="73"/>
      <c r="Q4041" s="73"/>
      <c r="R4041" s="176"/>
      <c r="S4041" s="176"/>
      <c r="T4041" s="176"/>
      <c r="U4041" s="400"/>
      <c r="V4041" s="400"/>
      <c r="W4041" s="732"/>
      <c r="X4041" s="167"/>
      <c r="Y4041" s="509"/>
      <c r="Z4041" s="466"/>
      <c r="AA4041" s="466"/>
      <c r="AB4041" s="466"/>
      <c r="AC4041" s="466"/>
      <c r="AD4041" s="466"/>
      <c r="AE4041" s="466"/>
      <c r="AF4041" s="466"/>
      <c r="AG4041" s="466"/>
      <c r="AH4041" s="466"/>
      <c r="AI4041" s="466"/>
      <c r="AJ4041" s="466"/>
      <c r="AK4041" s="466"/>
      <c r="AL4041" s="466"/>
      <c r="AM4041" s="466"/>
      <c r="AN4041" s="466"/>
      <c r="AO4041" s="466"/>
      <c r="AP4041" s="466"/>
      <c r="AQ4041" s="466"/>
      <c r="AR4041" s="466"/>
      <c r="AS4041" s="466"/>
      <c r="AT4041" s="466"/>
      <c r="AU4041" s="466"/>
      <c r="AV4041" s="466"/>
      <c r="AW4041" s="466"/>
      <c r="AX4041" s="466"/>
      <c r="AY4041" s="466"/>
      <c r="AZ4041" s="466"/>
      <c r="BA4041" s="466"/>
      <c r="BB4041" s="466"/>
      <c r="BC4041" s="466"/>
      <c r="BD4041" s="466"/>
      <c r="BE4041" s="467"/>
      <c r="BF4041" s="467"/>
      <c r="BG4041" s="466"/>
      <c r="BH4041" s="466"/>
      <c r="BI4041" s="467"/>
      <c r="BJ4041" s="467"/>
      <c r="BK4041" s="467"/>
      <c r="BL4041" s="467"/>
      <c r="BM4041" s="467"/>
      <c r="BN4041" s="467"/>
      <c r="BO4041" s="467"/>
      <c r="BP4041" s="467"/>
      <c r="BQ4041" s="467"/>
      <c r="BR4041" s="467"/>
      <c r="BS4041" s="467"/>
      <c r="BT4041" s="467"/>
      <c r="BU4041" s="467"/>
      <c r="BV4041" s="467"/>
      <c r="BW4041" s="467"/>
      <c r="BX4041" s="769"/>
      <c r="BY4041" s="769"/>
      <c r="BZ4041" s="769"/>
      <c r="CA4041" s="769"/>
      <c r="CB4041" s="769"/>
      <c r="CC4041" s="769"/>
      <c r="CD4041" s="769"/>
      <c r="CE4041" s="769"/>
      <c r="CF4041" s="769"/>
      <c r="CG4041" s="73"/>
      <c r="CH4041" s="438"/>
      <c r="CI4041" s="416"/>
      <c r="CJ4041" s="73"/>
      <c r="CK4041" s="650"/>
      <c r="CL4041" s="499"/>
      <c r="CM4041" s="650"/>
      <c r="CR4041" s="416"/>
      <c r="CS4041" s="650"/>
      <c r="CU4041" s="73"/>
      <c r="CV4041" s="73"/>
      <c r="CW4041" s="73"/>
      <c r="CX4041" s="73"/>
      <c r="DA4041" s="650"/>
    </row>
    <row r="4042" spans="1:105" s="45" customFormat="1" x14ac:dyDescent="0.2">
      <c r="A4042" s="650"/>
      <c r="B4042" s="438"/>
      <c r="D4042" s="73"/>
      <c r="E4042" s="650"/>
      <c r="F4042" s="650"/>
      <c r="G4042" s="73"/>
      <c r="I4042" s="111"/>
      <c r="J4042" s="81"/>
      <c r="K4042" s="81"/>
      <c r="L4042" s="499"/>
      <c r="M4042" s="73"/>
      <c r="N4042" s="499"/>
      <c r="O4042" s="73"/>
      <c r="P4042" s="73"/>
      <c r="Q4042" s="73"/>
      <c r="R4042" s="176"/>
      <c r="S4042" s="176"/>
      <c r="T4042" s="176"/>
      <c r="U4042" s="400"/>
      <c r="V4042" s="400"/>
      <c r="W4042" s="732"/>
      <c r="X4042" s="167"/>
      <c r="Y4042" s="509"/>
      <c r="Z4042" s="466"/>
      <c r="AA4042" s="466"/>
      <c r="AB4042" s="466"/>
      <c r="AC4042" s="466"/>
      <c r="AD4042" s="466"/>
      <c r="AE4042" s="466"/>
      <c r="AF4042" s="466"/>
      <c r="AG4042" s="466"/>
      <c r="AH4042" s="466"/>
      <c r="AI4042" s="466"/>
      <c r="AJ4042" s="466"/>
      <c r="AK4042" s="466"/>
      <c r="AL4042" s="466"/>
      <c r="AM4042" s="466"/>
      <c r="AN4042" s="466"/>
      <c r="AO4042" s="466"/>
      <c r="AP4042" s="466"/>
      <c r="AQ4042" s="466"/>
      <c r="AR4042" s="466"/>
      <c r="AS4042" s="466"/>
      <c r="AT4042" s="466"/>
      <c r="AU4042" s="466"/>
      <c r="AV4042" s="466"/>
      <c r="AW4042" s="466"/>
      <c r="AX4042" s="466"/>
      <c r="AY4042" s="466"/>
      <c r="AZ4042" s="466"/>
      <c r="BA4042" s="466"/>
      <c r="BB4042" s="466"/>
      <c r="BC4042" s="466"/>
      <c r="BD4042" s="466"/>
      <c r="BE4042" s="467"/>
      <c r="BF4042" s="467"/>
      <c r="BG4042" s="466"/>
      <c r="BH4042" s="466"/>
      <c r="BI4042" s="467"/>
      <c r="BJ4042" s="467"/>
      <c r="BK4042" s="467"/>
      <c r="BL4042" s="467"/>
      <c r="BM4042" s="467"/>
      <c r="BN4042" s="467"/>
      <c r="BO4042" s="467"/>
      <c r="BP4042" s="467"/>
      <c r="BQ4042" s="467"/>
      <c r="BR4042" s="467"/>
      <c r="BS4042" s="467"/>
      <c r="BT4042" s="467"/>
      <c r="BU4042" s="467"/>
      <c r="BV4042" s="467"/>
      <c r="BW4042" s="467"/>
      <c r="BX4042" s="769"/>
      <c r="BY4042" s="769"/>
      <c r="BZ4042" s="769"/>
      <c r="CA4042" s="769"/>
      <c r="CB4042" s="769"/>
      <c r="CC4042" s="769"/>
      <c r="CD4042" s="769"/>
      <c r="CE4042" s="769"/>
      <c r="CF4042" s="769"/>
      <c r="CG4042" s="73"/>
      <c r="CH4042" s="438"/>
      <c r="CI4042" s="416"/>
      <c r="CJ4042" s="73"/>
      <c r="CK4042" s="650"/>
      <c r="CL4042" s="499"/>
      <c r="CM4042" s="650"/>
      <c r="CR4042" s="416"/>
      <c r="CS4042" s="650"/>
      <c r="CU4042" s="73"/>
      <c r="CV4042" s="73"/>
      <c r="CW4042" s="73"/>
      <c r="CX4042" s="73"/>
      <c r="DA4042" s="650"/>
    </row>
    <row r="4043" spans="1:105" s="45" customFormat="1" x14ac:dyDescent="0.2">
      <c r="A4043" s="650"/>
      <c r="B4043" s="438"/>
      <c r="D4043" s="73"/>
      <c r="E4043" s="650"/>
      <c r="F4043" s="650"/>
      <c r="G4043" s="73"/>
      <c r="I4043" s="111"/>
      <c r="J4043" s="81"/>
      <c r="K4043" s="81"/>
      <c r="L4043" s="499"/>
      <c r="M4043" s="73"/>
      <c r="N4043" s="499"/>
      <c r="O4043" s="73"/>
      <c r="P4043" s="73"/>
      <c r="Q4043" s="73"/>
      <c r="R4043" s="176"/>
      <c r="S4043" s="176"/>
      <c r="T4043" s="176"/>
      <c r="U4043" s="400"/>
      <c r="V4043" s="400"/>
      <c r="W4043" s="732"/>
      <c r="X4043" s="167"/>
      <c r="Y4043" s="509"/>
      <c r="Z4043" s="466"/>
      <c r="AA4043" s="466"/>
      <c r="AB4043" s="466"/>
      <c r="AC4043" s="466"/>
      <c r="AD4043" s="466"/>
      <c r="AE4043" s="466"/>
      <c r="AF4043" s="466"/>
      <c r="AG4043" s="466"/>
      <c r="AH4043" s="466"/>
      <c r="AI4043" s="466"/>
      <c r="AJ4043" s="466"/>
      <c r="AK4043" s="466"/>
      <c r="AL4043" s="466"/>
      <c r="AM4043" s="466"/>
      <c r="AN4043" s="466"/>
      <c r="AO4043" s="466"/>
      <c r="AP4043" s="466"/>
      <c r="AQ4043" s="466"/>
      <c r="AR4043" s="466"/>
      <c r="AS4043" s="466"/>
      <c r="AT4043" s="466"/>
      <c r="AU4043" s="466"/>
      <c r="AV4043" s="466"/>
      <c r="AW4043" s="466"/>
      <c r="AX4043" s="466"/>
      <c r="AY4043" s="466"/>
      <c r="AZ4043" s="466"/>
      <c r="BA4043" s="466"/>
      <c r="BB4043" s="466"/>
      <c r="BC4043" s="466"/>
      <c r="BD4043" s="466"/>
      <c r="BE4043" s="467"/>
      <c r="BF4043" s="467"/>
      <c r="BG4043" s="466"/>
      <c r="BH4043" s="466"/>
      <c r="BI4043" s="467"/>
      <c r="BJ4043" s="467"/>
      <c r="BK4043" s="467"/>
      <c r="BL4043" s="467"/>
      <c r="BM4043" s="467"/>
      <c r="BN4043" s="467"/>
      <c r="BO4043" s="467"/>
      <c r="BP4043" s="467"/>
      <c r="BQ4043" s="467"/>
      <c r="BR4043" s="467"/>
      <c r="BS4043" s="467"/>
      <c r="BT4043" s="467"/>
      <c r="BU4043" s="467"/>
      <c r="BV4043" s="467"/>
      <c r="BW4043" s="467"/>
      <c r="BX4043" s="769"/>
      <c r="BY4043" s="769"/>
      <c r="BZ4043" s="769"/>
      <c r="CA4043" s="769"/>
      <c r="CB4043" s="769"/>
      <c r="CC4043" s="769"/>
      <c r="CD4043" s="769"/>
      <c r="CE4043" s="769"/>
      <c r="CF4043" s="769"/>
      <c r="CG4043" s="73"/>
      <c r="CH4043" s="438"/>
      <c r="CI4043" s="416"/>
      <c r="CJ4043" s="73"/>
      <c r="CK4043" s="650"/>
      <c r="CL4043" s="499"/>
      <c r="CM4043" s="650"/>
      <c r="CR4043" s="416"/>
      <c r="CS4043" s="650"/>
      <c r="CU4043" s="73"/>
      <c r="CV4043" s="73"/>
      <c r="CW4043" s="73"/>
      <c r="CX4043" s="73"/>
      <c r="DA4043" s="650"/>
    </row>
    <row r="4044" spans="1:105" s="45" customFormat="1" x14ac:dyDescent="0.2">
      <c r="A4044" s="650"/>
      <c r="B4044" s="438"/>
      <c r="D4044" s="73"/>
      <c r="E4044" s="650"/>
      <c r="F4044" s="650"/>
      <c r="G4044" s="73"/>
      <c r="I4044" s="111"/>
      <c r="J4044" s="81"/>
      <c r="K4044" s="81"/>
      <c r="L4044" s="499"/>
      <c r="M4044" s="73"/>
      <c r="N4044" s="499"/>
      <c r="O4044" s="73"/>
      <c r="P4044" s="73"/>
      <c r="Q4044" s="73"/>
      <c r="R4044" s="176"/>
      <c r="S4044" s="176"/>
      <c r="T4044" s="176"/>
      <c r="U4044" s="400"/>
      <c r="V4044" s="400"/>
      <c r="W4044" s="732"/>
      <c r="X4044" s="167"/>
      <c r="Y4044" s="509"/>
      <c r="Z4044" s="466"/>
      <c r="AA4044" s="466"/>
      <c r="AB4044" s="466"/>
      <c r="AC4044" s="466"/>
      <c r="AD4044" s="466"/>
      <c r="AE4044" s="466"/>
      <c r="AF4044" s="466"/>
      <c r="AG4044" s="466"/>
      <c r="AH4044" s="466"/>
      <c r="AI4044" s="466"/>
      <c r="AJ4044" s="466"/>
      <c r="AK4044" s="466"/>
      <c r="AL4044" s="466"/>
      <c r="AM4044" s="466"/>
      <c r="AN4044" s="466"/>
      <c r="AO4044" s="466"/>
      <c r="AP4044" s="466"/>
      <c r="AQ4044" s="466"/>
      <c r="AR4044" s="466"/>
      <c r="AS4044" s="466"/>
      <c r="AT4044" s="466"/>
      <c r="AU4044" s="466"/>
      <c r="AV4044" s="466"/>
      <c r="AW4044" s="466"/>
      <c r="AX4044" s="466"/>
      <c r="AY4044" s="466"/>
      <c r="AZ4044" s="466"/>
      <c r="BA4044" s="466"/>
      <c r="BB4044" s="466"/>
      <c r="BC4044" s="466"/>
      <c r="BD4044" s="466"/>
      <c r="BE4044" s="467"/>
      <c r="BF4044" s="467"/>
      <c r="BG4044" s="466"/>
      <c r="BH4044" s="466"/>
      <c r="BI4044" s="467"/>
      <c r="BJ4044" s="467"/>
      <c r="BK4044" s="467"/>
      <c r="BL4044" s="467"/>
      <c r="BM4044" s="467"/>
      <c r="BN4044" s="467"/>
      <c r="BO4044" s="467"/>
      <c r="BP4044" s="467"/>
      <c r="BQ4044" s="467"/>
      <c r="BR4044" s="467"/>
      <c r="BS4044" s="467"/>
      <c r="BT4044" s="467"/>
      <c r="BU4044" s="467"/>
      <c r="BV4044" s="467"/>
      <c r="BW4044" s="467"/>
      <c r="BX4044" s="769"/>
      <c r="BY4044" s="769"/>
      <c r="BZ4044" s="769"/>
      <c r="CA4044" s="769"/>
      <c r="CB4044" s="769"/>
      <c r="CC4044" s="769"/>
      <c r="CD4044" s="769"/>
      <c r="CE4044" s="769"/>
      <c r="CF4044" s="769"/>
      <c r="CG4044" s="73"/>
      <c r="CH4044" s="438"/>
      <c r="CI4044" s="416"/>
      <c r="CJ4044" s="73"/>
      <c r="CK4044" s="650"/>
      <c r="CL4044" s="499"/>
      <c r="CM4044" s="650"/>
      <c r="CR4044" s="416"/>
      <c r="CS4044" s="650"/>
      <c r="CU4044" s="73"/>
      <c r="CV4044" s="73"/>
      <c r="CW4044" s="73"/>
      <c r="CX4044" s="73"/>
      <c r="DA4044" s="650"/>
    </row>
    <row r="4045" spans="1:105" s="45" customFormat="1" x14ac:dyDescent="0.2">
      <c r="A4045" s="650"/>
      <c r="B4045" s="438"/>
      <c r="D4045" s="73"/>
      <c r="E4045" s="650"/>
      <c r="F4045" s="650"/>
      <c r="G4045" s="73"/>
      <c r="I4045" s="111"/>
      <c r="J4045" s="81"/>
      <c r="K4045" s="81"/>
      <c r="L4045" s="499"/>
      <c r="M4045" s="73"/>
      <c r="N4045" s="499"/>
      <c r="O4045" s="73"/>
      <c r="P4045" s="73"/>
      <c r="Q4045" s="73"/>
      <c r="R4045" s="176"/>
      <c r="S4045" s="176"/>
      <c r="T4045" s="176"/>
      <c r="U4045" s="400"/>
      <c r="V4045" s="400"/>
      <c r="W4045" s="732"/>
      <c r="X4045" s="167"/>
      <c r="Y4045" s="509"/>
      <c r="Z4045" s="466"/>
      <c r="AA4045" s="466"/>
      <c r="AB4045" s="466"/>
      <c r="AC4045" s="466"/>
      <c r="AD4045" s="466"/>
      <c r="AE4045" s="466"/>
      <c r="AF4045" s="466"/>
      <c r="AG4045" s="466"/>
      <c r="AH4045" s="466"/>
      <c r="AI4045" s="466"/>
      <c r="AJ4045" s="466"/>
      <c r="AK4045" s="466"/>
      <c r="AL4045" s="466"/>
      <c r="AM4045" s="466"/>
      <c r="AN4045" s="466"/>
      <c r="AO4045" s="466"/>
      <c r="AP4045" s="466"/>
      <c r="AQ4045" s="466"/>
      <c r="AR4045" s="466"/>
      <c r="AS4045" s="466"/>
      <c r="AT4045" s="466"/>
      <c r="AU4045" s="466"/>
      <c r="AV4045" s="466"/>
      <c r="AW4045" s="466"/>
      <c r="AX4045" s="466"/>
      <c r="AY4045" s="466"/>
      <c r="AZ4045" s="466"/>
      <c r="BA4045" s="466"/>
      <c r="BB4045" s="466"/>
      <c r="BC4045" s="466"/>
      <c r="BD4045" s="466"/>
      <c r="BE4045" s="467"/>
      <c r="BF4045" s="467"/>
      <c r="BG4045" s="466"/>
      <c r="BH4045" s="466"/>
      <c r="BI4045" s="467"/>
      <c r="BJ4045" s="467"/>
      <c r="BK4045" s="467"/>
      <c r="BL4045" s="467"/>
      <c r="BM4045" s="467"/>
      <c r="BN4045" s="467"/>
      <c r="BO4045" s="467"/>
      <c r="BP4045" s="467"/>
      <c r="BQ4045" s="467"/>
      <c r="BR4045" s="467"/>
      <c r="BS4045" s="467"/>
      <c r="BT4045" s="467"/>
      <c r="BU4045" s="467"/>
      <c r="BV4045" s="467"/>
      <c r="BW4045" s="467"/>
      <c r="BX4045" s="769"/>
      <c r="BY4045" s="769"/>
      <c r="BZ4045" s="769"/>
      <c r="CA4045" s="769"/>
      <c r="CB4045" s="769"/>
      <c r="CC4045" s="769"/>
      <c r="CD4045" s="769"/>
      <c r="CE4045" s="769"/>
      <c r="CF4045" s="769"/>
      <c r="CG4045" s="73"/>
      <c r="CH4045" s="438"/>
      <c r="CI4045" s="416"/>
      <c r="CJ4045" s="73"/>
      <c r="CK4045" s="650"/>
      <c r="CL4045" s="499"/>
      <c r="CM4045" s="650"/>
      <c r="CR4045" s="416"/>
      <c r="CS4045" s="650"/>
      <c r="CU4045" s="73"/>
      <c r="CV4045" s="73"/>
      <c r="CW4045" s="73"/>
      <c r="CX4045" s="73"/>
      <c r="DA4045" s="650"/>
    </row>
    <row r="4046" spans="1:105" s="45" customFormat="1" x14ac:dyDescent="0.2">
      <c r="A4046" s="650"/>
      <c r="B4046" s="438"/>
      <c r="D4046" s="73"/>
      <c r="E4046" s="650"/>
      <c r="F4046" s="650"/>
      <c r="G4046" s="73"/>
      <c r="I4046" s="111"/>
      <c r="J4046" s="81"/>
      <c r="K4046" s="81"/>
      <c r="L4046" s="499"/>
      <c r="M4046" s="73"/>
      <c r="N4046" s="499"/>
      <c r="O4046" s="73"/>
      <c r="P4046" s="73"/>
      <c r="Q4046" s="73"/>
      <c r="R4046" s="176"/>
      <c r="S4046" s="176"/>
      <c r="T4046" s="176"/>
      <c r="U4046" s="400"/>
      <c r="V4046" s="400"/>
      <c r="W4046" s="732"/>
      <c r="X4046" s="167"/>
      <c r="Y4046" s="509"/>
      <c r="Z4046" s="466"/>
      <c r="AA4046" s="466"/>
      <c r="AB4046" s="466"/>
      <c r="AC4046" s="466"/>
      <c r="AD4046" s="466"/>
      <c r="AE4046" s="466"/>
      <c r="AF4046" s="466"/>
      <c r="AG4046" s="466"/>
      <c r="AH4046" s="466"/>
      <c r="AI4046" s="466"/>
      <c r="AJ4046" s="466"/>
      <c r="AK4046" s="466"/>
      <c r="AL4046" s="466"/>
      <c r="AM4046" s="466"/>
      <c r="AN4046" s="466"/>
      <c r="AO4046" s="466"/>
      <c r="AP4046" s="466"/>
      <c r="AQ4046" s="466"/>
      <c r="AR4046" s="466"/>
      <c r="AS4046" s="466"/>
      <c r="AT4046" s="466"/>
      <c r="AU4046" s="466"/>
      <c r="AV4046" s="466"/>
      <c r="AW4046" s="466"/>
      <c r="AX4046" s="466"/>
      <c r="AY4046" s="466"/>
      <c r="AZ4046" s="466"/>
      <c r="BA4046" s="466"/>
      <c r="BB4046" s="466"/>
      <c r="BC4046" s="466"/>
      <c r="BD4046" s="466"/>
      <c r="BE4046" s="467"/>
      <c r="BF4046" s="467"/>
      <c r="BG4046" s="466"/>
      <c r="BH4046" s="466"/>
      <c r="BI4046" s="467"/>
      <c r="BJ4046" s="467"/>
      <c r="BK4046" s="467"/>
      <c r="BL4046" s="467"/>
      <c r="BM4046" s="467"/>
      <c r="BN4046" s="467"/>
      <c r="BO4046" s="467"/>
      <c r="BP4046" s="467"/>
      <c r="BQ4046" s="467"/>
      <c r="BR4046" s="467"/>
      <c r="BS4046" s="467"/>
      <c r="BT4046" s="467"/>
      <c r="BU4046" s="467"/>
      <c r="BV4046" s="467"/>
      <c r="BW4046" s="467"/>
      <c r="BX4046" s="769"/>
      <c r="BY4046" s="769"/>
      <c r="BZ4046" s="769"/>
      <c r="CA4046" s="769"/>
      <c r="CB4046" s="769"/>
      <c r="CC4046" s="769"/>
      <c r="CD4046" s="769"/>
      <c r="CE4046" s="769"/>
      <c r="CF4046" s="769"/>
      <c r="CG4046" s="73"/>
      <c r="CH4046" s="438"/>
      <c r="CI4046" s="416"/>
      <c r="CJ4046" s="73"/>
      <c r="CK4046" s="650"/>
      <c r="CL4046" s="499"/>
      <c r="CM4046" s="650"/>
      <c r="CR4046" s="416"/>
      <c r="CS4046" s="650"/>
      <c r="CU4046" s="73"/>
      <c r="CV4046" s="73"/>
      <c r="CW4046" s="73"/>
      <c r="CX4046" s="73"/>
      <c r="DA4046" s="650"/>
    </row>
    <row r="4047" spans="1:105" s="45" customFormat="1" x14ac:dyDescent="0.2">
      <c r="A4047" s="650"/>
      <c r="B4047" s="438"/>
      <c r="D4047" s="73"/>
      <c r="E4047" s="650"/>
      <c r="F4047" s="650"/>
      <c r="G4047" s="73"/>
      <c r="I4047" s="111"/>
      <c r="J4047" s="81"/>
      <c r="K4047" s="81"/>
      <c r="L4047" s="499"/>
      <c r="M4047" s="73"/>
      <c r="N4047" s="499"/>
      <c r="O4047" s="73"/>
      <c r="P4047" s="73"/>
      <c r="Q4047" s="73"/>
      <c r="R4047" s="176"/>
      <c r="S4047" s="176"/>
      <c r="T4047" s="176"/>
      <c r="U4047" s="400"/>
      <c r="V4047" s="400"/>
      <c r="W4047" s="732"/>
      <c r="X4047" s="167"/>
      <c r="Y4047" s="509"/>
      <c r="Z4047" s="466"/>
      <c r="AA4047" s="466"/>
      <c r="AB4047" s="466"/>
      <c r="AC4047" s="466"/>
      <c r="AD4047" s="466"/>
      <c r="AE4047" s="466"/>
      <c r="AF4047" s="466"/>
      <c r="AG4047" s="466"/>
      <c r="AH4047" s="466"/>
      <c r="AI4047" s="466"/>
      <c r="AJ4047" s="466"/>
      <c r="AK4047" s="466"/>
      <c r="AL4047" s="466"/>
      <c r="AM4047" s="466"/>
      <c r="AN4047" s="466"/>
      <c r="AO4047" s="466"/>
      <c r="AP4047" s="466"/>
      <c r="AQ4047" s="466"/>
      <c r="AR4047" s="466"/>
      <c r="AS4047" s="466"/>
      <c r="AT4047" s="466"/>
      <c r="AU4047" s="466"/>
      <c r="AV4047" s="466"/>
      <c r="AW4047" s="466"/>
      <c r="AX4047" s="466"/>
      <c r="AY4047" s="466"/>
      <c r="AZ4047" s="466"/>
      <c r="BA4047" s="466"/>
      <c r="BB4047" s="466"/>
      <c r="BC4047" s="466"/>
      <c r="BD4047" s="466"/>
      <c r="BE4047" s="467"/>
      <c r="BF4047" s="467"/>
      <c r="BG4047" s="466"/>
      <c r="BH4047" s="466"/>
      <c r="BI4047" s="467"/>
      <c r="BJ4047" s="467"/>
      <c r="BK4047" s="467"/>
      <c r="BL4047" s="467"/>
      <c r="BM4047" s="467"/>
      <c r="BN4047" s="467"/>
      <c r="BO4047" s="467"/>
      <c r="BP4047" s="467"/>
      <c r="BQ4047" s="467"/>
      <c r="BR4047" s="467"/>
      <c r="BS4047" s="467"/>
      <c r="BT4047" s="467"/>
      <c r="BU4047" s="467"/>
      <c r="BV4047" s="467"/>
      <c r="BW4047" s="467"/>
      <c r="BX4047" s="769"/>
      <c r="BY4047" s="769"/>
      <c r="BZ4047" s="769"/>
      <c r="CA4047" s="769"/>
      <c r="CB4047" s="769"/>
      <c r="CC4047" s="769"/>
      <c r="CD4047" s="769"/>
      <c r="CE4047" s="769"/>
      <c r="CF4047" s="769"/>
      <c r="CG4047" s="73"/>
      <c r="CH4047" s="438"/>
      <c r="CI4047" s="416"/>
      <c r="CJ4047" s="73"/>
      <c r="CK4047" s="650"/>
      <c r="CL4047" s="499"/>
      <c r="CM4047" s="650"/>
      <c r="CR4047" s="416"/>
      <c r="CS4047" s="650"/>
      <c r="CU4047" s="73"/>
      <c r="CV4047" s="73"/>
      <c r="CW4047" s="73"/>
      <c r="CX4047" s="73"/>
      <c r="DA4047" s="650"/>
    </row>
    <row r="4048" spans="1:105" s="45" customFormat="1" x14ac:dyDescent="0.2">
      <c r="A4048" s="650"/>
      <c r="B4048" s="438"/>
      <c r="D4048" s="73"/>
      <c r="E4048" s="650"/>
      <c r="F4048" s="650"/>
      <c r="G4048" s="73"/>
      <c r="I4048" s="111"/>
      <c r="J4048" s="81"/>
      <c r="K4048" s="81"/>
      <c r="L4048" s="499"/>
      <c r="M4048" s="73"/>
      <c r="N4048" s="499"/>
      <c r="O4048" s="73"/>
      <c r="P4048" s="73"/>
      <c r="Q4048" s="73"/>
      <c r="R4048" s="176"/>
      <c r="S4048" s="176"/>
      <c r="T4048" s="176"/>
      <c r="U4048" s="400"/>
      <c r="V4048" s="400"/>
      <c r="W4048" s="732"/>
      <c r="X4048" s="167"/>
      <c r="Y4048" s="509"/>
      <c r="Z4048" s="466"/>
      <c r="AA4048" s="466"/>
      <c r="AB4048" s="466"/>
      <c r="AC4048" s="466"/>
      <c r="AD4048" s="466"/>
      <c r="AE4048" s="466"/>
      <c r="AF4048" s="466"/>
      <c r="AG4048" s="466"/>
      <c r="AH4048" s="466"/>
      <c r="AI4048" s="466"/>
      <c r="AJ4048" s="466"/>
      <c r="AK4048" s="466"/>
      <c r="AL4048" s="466"/>
      <c r="AM4048" s="466"/>
      <c r="AN4048" s="466"/>
      <c r="AO4048" s="466"/>
      <c r="AP4048" s="466"/>
      <c r="AQ4048" s="466"/>
      <c r="AR4048" s="466"/>
      <c r="AS4048" s="466"/>
      <c r="AT4048" s="466"/>
      <c r="AU4048" s="466"/>
      <c r="AV4048" s="466"/>
      <c r="AW4048" s="466"/>
      <c r="AX4048" s="466"/>
      <c r="AY4048" s="466"/>
      <c r="AZ4048" s="466"/>
      <c r="BA4048" s="466"/>
      <c r="BB4048" s="466"/>
      <c r="BC4048" s="466"/>
      <c r="BD4048" s="466"/>
      <c r="BE4048" s="467"/>
      <c r="BF4048" s="467"/>
      <c r="BG4048" s="466"/>
      <c r="BH4048" s="466"/>
      <c r="BI4048" s="467"/>
      <c r="BJ4048" s="467"/>
      <c r="BK4048" s="467"/>
      <c r="BL4048" s="467"/>
      <c r="BM4048" s="467"/>
      <c r="BN4048" s="467"/>
      <c r="BO4048" s="467"/>
      <c r="BP4048" s="467"/>
      <c r="BQ4048" s="467"/>
      <c r="BR4048" s="467"/>
      <c r="BS4048" s="467"/>
      <c r="BT4048" s="467"/>
      <c r="BU4048" s="467"/>
      <c r="BV4048" s="467"/>
      <c r="BW4048" s="467"/>
      <c r="BX4048" s="769"/>
      <c r="BY4048" s="769"/>
      <c r="BZ4048" s="769"/>
      <c r="CA4048" s="769"/>
      <c r="CB4048" s="769"/>
      <c r="CC4048" s="769"/>
      <c r="CD4048" s="769"/>
      <c r="CE4048" s="769"/>
      <c r="CF4048" s="769"/>
      <c r="CG4048" s="73"/>
      <c r="CH4048" s="438"/>
      <c r="CI4048" s="416"/>
      <c r="CJ4048" s="73"/>
      <c r="CK4048" s="650"/>
      <c r="CL4048" s="499"/>
      <c r="CM4048" s="650"/>
      <c r="CR4048" s="416"/>
      <c r="CS4048" s="650"/>
      <c r="CU4048" s="73"/>
      <c r="CV4048" s="73"/>
      <c r="CW4048" s="73"/>
      <c r="CX4048" s="73"/>
      <c r="DA4048" s="650"/>
    </row>
    <row r="4049" spans="1:105" s="45" customFormat="1" x14ac:dyDescent="0.2">
      <c r="A4049" s="650"/>
      <c r="B4049" s="438"/>
      <c r="D4049" s="73"/>
      <c r="E4049" s="650"/>
      <c r="F4049" s="650"/>
      <c r="G4049" s="73"/>
      <c r="I4049" s="111"/>
      <c r="J4049" s="81"/>
      <c r="K4049" s="81"/>
      <c r="L4049" s="499"/>
      <c r="M4049" s="73"/>
      <c r="N4049" s="499"/>
      <c r="O4049" s="73"/>
      <c r="P4049" s="73"/>
      <c r="Q4049" s="73"/>
      <c r="R4049" s="176"/>
      <c r="S4049" s="176"/>
      <c r="T4049" s="176"/>
      <c r="U4049" s="400"/>
      <c r="V4049" s="400"/>
      <c r="W4049" s="732"/>
      <c r="X4049" s="167"/>
      <c r="Y4049" s="509"/>
      <c r="Z4049" s="466"/>
      <c r="AA4049" s="466"/>
      <c r="AB4049" s="466"/>
      <c r="AC4049" s="466"/>
      <c r="AD4049" s="466"/>
      <c r="AE4049" s="466"/>
      <c r="AF4049" s="466"/>
      <c r="AG4049" s="466"/>
      <c r="AH4049" s="466"/>
      <c r="AI4049" s="466"/>
      <c r="AJ4049" s="466"/>
      <c r="AK4049" s="466"/>
      <c r="AL4049" s="466"/>
      <c r="AM4049" s="466"/>
      <c r="AN4049" s="466"/>
      <c r="AO4049" s="466"/>
      <c r="AP4049" s="466"/>
      <c r="AQ4049" s="466"/>
      <c r="AR4049" s="466"/>
      <c r="AS4049" s="466"/>
      <c r="AT4049" s="466"/>
      <c r="AU4049" s="466"/>
      <c r="AV4049" s="466"/>
      <c r="AW4049" s="466"/>
      <c r="AX4049" s="466"/>
      <c r="AY4049" s="466"/>
      <c r="AZ4049" s="466"/>
      <c r="BA4049" s="466"/>
      <c r="BB4049" s="466"/>
      <c r="BC4049" s="466"/>
      <c r="BD4049" s="466"/>
      <c r="BE4049" s="467"/>
      <c r="BF4049" s="467"/>
      <c r="BG4049" s="466"/>
      <c r="BH4049" s="466"/>
      <c r="BI4049" s="467"/>
      <c r="BJ4049" s="467"/>
      <c r="BK4049" s="467"/>
      <c r="BL4049" s="467"/>
      <c r="BM4049" s="467"/>
      <c r="BN4049" s="467"/>
      <c r="BO4049" s="467"/>
      <c r="BP4049" s="467"/>
      <c r="BQ4049" s="467"/>
      <c r="BR4049" s="467"/>
      <c r="BS4049" s="467"/>
      <c r="BT4049" s="467"/>
      <c r="BU4049" s="467"/>
      <c r="BV4049" s="467"/>
      <c r="BW4049" s="467"/>
      <c r="BX4049" s="769"/>
      <c r="BY4049" s="769"/>
      <c r="BZ4049" s="769"/>
      <c r="CA4049" s="769"/>
      <c r="CB4049" s="769"/>
      <c r="CC4049" s="769"/>
      <c r="CD4049" s="769"/>
      <c r="CE4049" s="769"/>
      <c r="CF4049" s="769"/>
      <c r="CG4049" s="73"/>
      <c r="CH4049" s="438"/>
      <c r="CI4049" s="416"/>
      <c r="CJ4049" s="73"/>
      <c r="CK4049" s="650"/>
      <c r="CL4049" s="499"/>
      <c r="CM4049" s="650"/>
      <c r="CR4049" s="416"/>
      <c r="CS4049" s="650"/>
      <c r="CU4049" s="73"/>
      <c r="CV4049" s="73"/>
      <c r="CW4049" s="73"/>
      <c r="CX4049" s="73"/>
      <c r="DA4049" s="650"/>
    </row>
    <row r="4050" spans="1:105" s="45" customFormat="1" x14ac:dyDescent="0.2">
      <c r="A4050" s="650"/>
      <c r="B4050" s="438"/>
      <c r="D4050" s="73"/>
      <c r="E4050" s="650"/>
      <c r="F4050" s="650"/>
      <c r="G4050" s="73"/>
      <c r="I4050" s="111"/>
      <c r="J4050" s="81"/>
      <c r="K4050" s="81"/>
      <c r="L4050" s="499"/>
      <c r="M4050" s="73"/>
      <c r="N4050" s="499"/>
      <c r="O4050" s="73"/>
      <c r="P4050" s="73"/>
      <c r="Q4050" s="73"/>
      <c r="R4050" s="176"/>
      <c r="S4050" s="176"/>
      <c r="T4050" s="176"/>
      <c r="U4050" s="400"/>
      <c r="V4050" s="400"/>
      <c r="W4050" s="732"/>
      <c r="X4050" s="167"/>
      <c r="Y4050" s="509"/>
      <c r="Z4050" s="466"/>
      <c r="AA4050" s="466"/>
      <c r="AB4050" s="466"/>
      <c r="AC4050" s="466"/>
      <c r="AD4050" s="466"/>
      <c r="AE4050" s="466"/>
      <c r="AF4050" s="466"/>
      <c r="AG4050" s="466"/>
      <c r="AH4050" s="466"/>
      <c r="AI4050" s="466"/>
      <c r="AJ4050" s="466"/>
      <c r="AK4050" s="466"/>
      <c r="AL4050" s="466"/>
      <c r="AM4050" s="466"/>
      <c r="AN4050" s="466"/>
      <c r="AO4050" s="466"/>
      <c r="AP4050" s="466"/>
      <c r="AQ4050" s="466"/>
      <c r="AR4050" s="466"/>
      <c r="AS4050" s="466"/>
      <c r="AT4050" s="466"/>
      <c r="AU4050" s="466"/>
      <c r="AV4050" s="466"/>
      <c r="AW4050" s="466"/>
      <c r="AX4050" s="466"/>
      <c r="AY4050" s="466"/>
      <c r="AZ4050" s="466"/>
      <c r="BA4050" s="466"/>
      <c r="BB4050" s="466"/>
      <c r="BC4050" s="466"/>
      <c r="BD4050" s="466"/>
      <c r="BE4050" s="467"/>
      <c r="BF4050" s="467"/>
      <c r="BG4050" s="466"/>
      <c r="BH4050" s="466"/>
      <c r="BI4050" s="467"/>
      <c r="BJ4050" s="467"/>
      <c r="BK4050" s="467"/>
      <c r="BL4050" s="467"/>
      <c r="BM4050" s="467"/>
      <c r="BN4050" s="467"/>
      <c r="BO4050" s="467"/>
      <c r="BP4050" s="467"/>
      <c r="BQ4050" s="467"/>
      <c r="BR4050" s="467"/>
      <c r="BS4050" s="467"/>
      <c r="BT4050" s="467"/>
      <c r="BU4050" s="467"/>
      <c r="BV4050" s="467"/>
      <c r="BW4050" s="467"/>
      <c r="BX4050" s="769"/>
      <c r="BY4050" s="769"/>
      <c r="BZ4050" s="769"/>
      <c r="CA4050" s="769"/>
      <c r="CB4050" s="769"/>
      <c r="CC4050" s="769"/>
      <c r="CD4050" s="769"/>
      <c r="CE4050" s="769"/>
      <c r="CF4050" s="769"/>
      <c r="CG4050" s="73"/>
      <c r="CH4050" s="438"/>
      <c r="CI4050" s="416"/>
      <c r="CJ4050" s="73"/>
      <c r="CK4050" s="650"/>
      <c r="CL4050" s="499"/>
      <c r="CM4050" s="650"/>
      <c r="CR4050" s="416"/>
      <c r="CS4050" s="650"/>
      <c r="CU4050" s="73"/>
      <c r="CV4050" s="73"/>
      <c r="CW4050" s="73"/>
      <c r="CX4050" s="73"/>
      <c r="DA4050" s="650"/>
    </row>
    <row r="4051" spans="1:105" s="45" customFormat="1" x14ac:dyDescent="0.2">
      <c r="A4051" s="650"/>
      <c r="B4051" s="438"/>
      <c r="D4051" s="73"/>
      <c r="E4051" s="650"/>
      <c r="F4051" s="650"/>
      <c r="G4051" s="73"/>
      <c r="I4051" s="111"/>
      <c r="J4051" s="81"/>
      <c r="K4051" s="81"/>
      <c r="L4051" s="499"/>
      <c r="M4051" s="73"/>
      <c r="N4051" s="499"/>
      <c r="O4051" s="73"/>
      <c r="P4051" s="73"/>
      <c r="Q4051" s="73"/>
      <c r="R4051" s="176"/>
      <c r="S4051" s="176"/>
      <c r="T4051" s="176"/>
      <c r="U4051" s="400"/>
      <c r="V4051" s="400"/>
      <c r="W4051" s="732"/>
      <c r="X4051" s="167"/>
      <c r="Y4051" s="509"/>
      <c r="Z4051" s="466"/>
      <c r="AA4051" s="466"/>
      <c r="AB4051" s="466"/>
      <c r="AC4051" s="466"/>
      <c r="AD4051" s="466"/>
      <c r="AE4051" s="466"/>
      <c r="AF4051" s="466"/>
      <c r="AG4051" s="466"/>
      <c r="AH4051" s="466"/>
      <c r="AI4051" s="466"/>
      <c r="AJ4051" s="466"/>
      <c r="AK4051" s="466"/>
      <c r="AL4051" s="466"/>
      <c r="AM4051" s="466"/>
      <c r="AN4051" s="466"/>
      <c r="AO4051" s="466"/>
      <c r="AP4051" s="466"/>
      <c r="AQ4051" s="466"/>
      <c r="AR4051" s="466"/>
      <c r="AS4051" s="466"/>
      <c r="AT4051" s="466"/>
      <c r="AU4051" s="466"/>
      <c r="AV4051" s="466"/>
      <c r="AW4051" s="466"/>
      <c r="AX4051" s="466"/>
      <c r="AY4051" s="466"/>
      <c r="AZ4051" s="466"/>
      <c r="BA4051" s="466"/>
      <c r="BB4051" s="466"/>
      <c r="BC4051" s="466"/>
      <c r="BD4051" s="466"/>
      <c r="BE4051" s="467"/>
      <c r="BF4051" s="467"/>
      <c r="BG4051" s="466"/>
      <c r="BH4051" s="466"/>
      <c r="BI4051" s="467"/>
      <c r="BJ4051" s="467"/>
      <c r="BK4051" s="467"/>
      <c r="BL4051" s="467"/>
      <c r="BM4051" s="467"/>
      <c r="BN4051" s="467"/>
      <c r="BO4051" s="467"/>
      <c r="BP4051" s="467"/>
      <c r="BQ4051" s="467"/>
      <c r="BR4051" s="467"/>
      <c r="BS4051" s="467"/>
      <c r="BT4051" s="467"/>
      <c r="BU4051" s="467"/>
      <c r="BV4051" s="467"/>
      <c r="BW4051" s="467"/>
      <c r="BX4051" s="769"/>
      <c r="BY4051" s="769"/>
      <c r="BZ4051" s="769"/>
      <c r="CA4051" s="769"/>
      <c r="CB4051" s="769"/>
      <c r="CC4051" s="769"/>
      <c r="CD4051" s="769"/>
      <c r="CE4051" s="769"/>
      <c r="CF4051" s="769"/>
      <c r="CG4051" s="73"/>
      <c r="CH4051" s="438"/>
      <c r="CI4051" s="416"/>
      <c r="CJ4051" s="73"/>
      <c r="CK4051" s="650"/>
      <c r="CL4051" s="499"/>
      <c r="CM4051" s="650"/>
      <c r="CR4051" s="416"/>
      <c r="CS4051" s="650"/>
      <c r="CU4051" s="73"/>
      <c r="CV4051" s="73"/>
      <c r="CW4051" s="73"/>
      <c r="CX4051" s="73"/>
      <c r="DA4051" s="650"/>
    </row>
    <row r="4052" spans="1:105" s="45" customFormat="1" x14ac:dyDescent="0.2">
      <c r="A4052" s="650"/>
      <c r="B4052" s="438"/>
      <c r="D4052" s="73"/>
      <c r="E4052" s="650"/>
      <c r="F4052" s="650"/>
      <c r="G4052" s="73"/>
      <c r="I4052" s="111"/>
      <c r="J4052" s="81"/>
      <c r="K4052" s="81"/>
      <c r="L4052" s="499"/>
      <c r="M4052" s="73"/>
      <c r="N4052" s="499"/>
      <c r="O4052" s="73"/>
      <c r="P4052" s="73"/>
      <c r="Q4052" s="73"/>
      <c r="R4052" s="176"/>
      <c r="S4052" s="176"/>
      <c r="T4052" s="176"/>
      <c r="U4052" s="400"/>
      <c r="V4052" s="400"/>
      <c r="W4052" s="732"/>
      <c r="X4052" s="167"/>
      <c r="Y4052" s="509"/>
      <c r="Z4052" s="466"/>
      <c r="AA4052" s="466"/>
      <c r="AB4052" s="466"/>
      <c r="AC4052" s="466"/>
      <c r="AD4052" s="466"/>
      <c r="AE4052" s="466"/>
      <c r="AF4052" s="466"/>
      <c r="AG4052" s="466"/>
      <c r="AH4052" s="466"/>
      <c r="AI4052" s="466"/>
      <c r="AJ4052" s="466"/>
      <c r="AK4052" s="466"/>
      <c r="AL4052" s="466"/>
      <c r="AM4052" s="466"/>
      <c r="AN4052" s="466"/>
      <c r="AO4052" s="466"/>
      <c r="AP4052" s="466"/>
      <c r="AQ4052" s="466"/>
      <c r="AR4052" s="466"/>
      <c r="AS4052" s="466"/>
      <c r="AT4052" s="466"/>
      <c r="AU4052" s="466"/>
      <c r="AV4052" s="466"/>
      <c r="AW4052" s="466"/>
      <c r="AX4052" s="466"/>
      <c r="AY4052" s="466"/>
      <c r="AZ4052" s="466"/>
      <c r="BA4052" s="466"/>
      <c r="BB4052" s="466"/>
      <c r="BC4052" s="466"/>
      <c r="BD4052" s="466"/>
      <c r="BE4052" s="467"/>
      <c r="BF4052" s="467"/>
      <c r="BG4052" s="466"/>
      <c r="BH4052" s="466"/>
      <c r="BI4052" s="467"/>
      <c r="BJ4052" s="467"/>
      <c r="BK4052" s="467"/>
      <c r="BL4052" s="467"/>
      <c r="BM4052" s="467"/>
      <c r="BN4052" s="467"/>
      <c r="BO4052" s="467"/>
      <c r="BP4052" s="467"/>
      <c r="BQ4052" s="467"/>
      <c r="BR4052" s="467"/>
      <c r="BS4052" s="467"/>
      <c r="BT4052" s="467"/>
      <c r="BU4052" s="467"/>
      <c r="BV4052" s="467"/>
      <c r="BW4052" s="467"/>
      <c r="BX4052" s="769"/>
      <c r="BY4052" s="769"/>
      <c r="BZ4052" s="769"/>
      <c r="CA4052" s="769"/>
      <c r="CB4052" s="769"/>
      <c r="CC4052" s="769"/>
      <c r="CD4052" s="769"/>
      <c r="CE4052" s="769"/>
      <c r="CF4052" s="769"/>
      <c r="CG4052" s="73"/>
      <c r="CH4052" s="438"/>
      <c r="CI4052" s="416"/>
      <c r="CJ4052" s="73"/>
      <c r="CK4052" s="650"/>
      <c r="CL4052" s="499"/>
      <c r="CM4052" s="650"/>
      <c r="CR4052" s="416"/>
      <c r="CS4052" s="650"/>
      <c r="CU4052" s="73"/>
      <c r="CV4052" s="73"/>
      <c r="CW4052" s="73"/>
      <c r="CX4052" s="73"/>
      <c r="DA4052" s="650"/>
    </row>
    <row r="4053" spans="1:105" s="45" customFormat="1" x14ac:dyDescent="0.2">
      <c r="A4053" s="650"/>
      <c r="B4053" s="438"/>
      <c r="D4053" s="73"/>
      <c r="E4053" s="650"/>
      <c r="F4053" s="650"/>
      <c r="G4053" s="73"/>
      <c r="I4053" s="111"/>
      <c r="J4053" s="81"/>
      <c r="K4053" s="81"/>
      <c r="L4053" s="499"/>
      <c r="M4053" s="73"/>
      <c r="N4053" s="499"/>
      <c r="O4053" s="73"/>
      <c r="P4053" s="73"/>
      <c r="Q4053" s="73"/>
      <c r="R4053" s="176"/>
      <c r="S4053" s="176"/>
      <c r="T4053" s="176"/>
      <c r="U4053" s="400"/>
      <c r="V4053" s="400"/>
      <c r="W4053" s="732"/>
      <c r="X4053" s="167"/>
      <c r="Y4053" s="509"/>
      <c r="Z4053" s="466"/>
      <c r="AA4053" s="466"/>
      <c r="AB4053" s="466"/>
      <c r="AC4053" s="466"/>
      <c r="AD4053" s="466"/>
      <c r="AE4053" s="466"/>
      <c r="AF4053" s="466"/>
      <c r="AG4053" s="466"/>
      <c r="AH4053" s="466"/>
      <c r="AI4053" s="466"/>
      <c r="AJ4053" s="466"/>
      <c r="AK4053" s="466"/>
      <c r="AL4053" s="466"/>
      <c r="AM4053" s="466"/>
      <c r="AN4053" s="466"/>
      <c r="AO4053" s="466"/>
      <c r="AP4053" s="466"/>
      <c r="AQ4053" s="466"/>
      <c r="AR4053" s="466"/>
      <c r="AS4053" s="466"/>
      <c r="AT4053" s="466"/>
      <c r="AU4053" s="466"/>
      <c r="AV4053" s="466"/>
      <c r="AW4053" s="466"/>
      <c r="AX4053" s="466"/>
      <c r="AY4053" s="466"/>
      <c r="AZ4053" s="466"/>
      <c r="BA4053" s="466"/>
      <c r="BB4053" s="466"/>
      <c r="BC4053" s="466"/>
      <c r="BD4053" s="466"/>
      <c r="BE4053" s="467"/>
      <c r="BF4053" s="467"/>
      <c r="BG4053" s="466"/>
      <c r="BH4053" s="466"/>
      <c r="BI4053" s="467"/>
      <c r="BJ4053" s="467"/>
      <c r="BK4053" s="467"/>
      <c r="BL4053" s="467"/>
      <c r="BM4053" s="467"/>
      <c r="BN4053" s="467"/>
      <c r="BO4053" s="467"/>
      <c r="BP4053" s="467"/>
      <c r="BQ4053" s="467"/>
      <c r="BR4053" s="467"/>
      <c r="BS4053" s="467"/>
      <c r="BT4053" s="467"/>
      <c r="BU4053" s="467"/>
      <c r="BV4053" s="467"/>
      <c r="BW4053" s="467"/>
      <c r="BX4053" s="769"/>
      <c r="BY4053" s="769"/>
      <c r="BZ4053" s="769"/>
      <c r="CA4053" s="769"/>
      <c r="CB4053" s="769"/>
      <c r="CC4053" s="769"/>
      <c r="CD4053" s="769"/>
      <c r="CE4053" s="769"/>
      <c r="CF4053" s="769"/>
      <c r="CG4053" s="73"/>
      <c r="CH4053" s="438"/>
      <c r="CI4053" s="416"/>
      <c r="CJ4053" s="73"/>
      <c r="CK4053" s="650"/>
      <c r="CL4053" s="499"/>
      <c r="CM4053" s="650"/>
      <c r="CR4053" s="416"/>
      <c r="CS4053" s="650"/>
      <c r="CU4053" s="73"/>
      <c r="CV4053" s="73"/>
      <c r="CW4053" s="73"/>
      <c r="CX4053" s="73"/>
      <c r="DA4053" s="650"/>
    </row>
    <row r="4054" spans="1:105" s="45" customFormat="1" x14ac:dyDescent="0.2">
      <c r="A4054" s="650"/>
      <c r="B4054" s="438"/>
      <c r="D4054" s="73"/>
      <c r="E4054" s="650"/>
      <c r="F4054" s="650"/>
      <c r="G4054" s="73"/>
      <c r="I4054" s="111"/>
      <c r="J4054" s="81"/>
      <c r="K4054" s="81"/>
      <c r="L4054" s="499"/>
      <c r="M4054" s="73"/>
      <c r="N4054" s="499"/>
      <c r="O4054" s="73"/>
      <c r="P4054" s="73"/>
      <c r="Q4054" s="73"/>
      <c r="R4054" s="176"/>
      <c r="S4054" s="176"/>
      <c r="T4054" s="176"/>
      <c r="U4054" s="400"/>
      <c r="V4054" s="400"/>
      <c r="W4054" s="732"/>
      <c r="X4054" s="167"/>
      <c r="Y4054" s="509"/>
      <c r="Z4054" s="466"/>
      <c r="AA4054" s="466"/>
      <c r="AB4054" s="466"/>
      <c r="AC4054" s="466"/>
      <c r="AD4054" s="466"/>
      <c r="AE4054" s="466"/>
      <c r="AF4054" s="466"/>
      <c r="AG4054" s="466"/>
      <c r="AH4054" s="466"/>
      <c r="AI4054" s="466"/>
      <c r="AJ4054" s="466"/>
      <c r="AK4054" s="466"/>
      <c r="AL4054" s="466"/>
      <c r="AM4054" s="466"/>
      <c r="AN4054" s="466"/>
      <c r="AO4054" s="466"/>
      <c r="AP4054" s="466"/>
      <c r="AQ4054" s="466"/>
      <c r="AR4054" s="466"/>
      <c r="AS4054" s="466"/>
      <c r="AT4054" s="466"/>
      <c r="AU4054" s="466"/>
      <c r="AV4054" s="466"/>
      <c r="AW4054" s="466"/>
      <c r="AX4054" s="466"/>
      <c r="AY4054" s="466"/>
      <c r="AZ4054" s="466"/>
      <c r="BA4054" s="466"/>
      <c r="BB4054" s="466"/>
      <c r="BC4054" s="466"/>
      <c r="BD4054" s="466"/>
      <c r="BE4054" s="467"/>
      <c r="BF4054" s="467"/>
      <c r="BG4054" s="466"/>
      <c r="BH4054" s="466"/>
      <c r="BI4054" s="467"/>
      <c r="BJ4054" s="467"/>
      <c r="BK4054" s="467"/>
      <c r="BL4054" s="467"/>
      <c r="BM4054" s="467"/>
      <c r="BN4054" s="467"/>
      <c r="BO4054" s="467"/>
      <c r="BP4054" s="467"/>
      <c r="BQ4054" s="467"/>
      <c r="BR4054" s="467"/>
      <c r="BS4054" s="467"/>
      <c r="BT4054" s="467"/>
      <c r="BU4054" s="467"/>
      <c r="BV4054" s="467"/>
      <c r="BW4054" s="467"/>
      <c r="BX4054" s="769"/>
      <c r="BY4054" s="769"/>
      <c r="BZ4054" s="769"/>
      <c r="CA4054" s="769"/>
      <c r="CB4054" s="769"/>
      <c r="CC4054" s="769"/>
      <c r="CD4054" s="769"/>
      <c r="CE4054" s="769"/>
      <c r="CF4054" s="769"/>
      <c r="CG4054" s="73"/>
      <c r="CH4054" s="438"/>
      <c r="CI4054" s="416"/>
      <c r="CJ4054" s="73"/>
      <c r="CK4054" s="650"/>
      <c r="CL4054" s="499"/>
      <c r="CM4054" s="650"/>
      <c r="CR4054" s="416"/>
      <c r="CS4054" s="650"/>
      <c r="CU4054" s="73"/>
      <c r="CV4054" s="73"/>
      <c r="CW4054" s="73"/>
      <c r="CX4054" s="73"/>
      <c r="DA4054" s="650"/>
    </row>
    <row r="4055" spans="1:105" s="45" customFormat="1" x14ac:dyDescent="0.2">
      <c r="A4055" s="650"/>
      <c r="B4055" s="438"/>
      <c r="D4055" s="73"/>
      <c r="E4055" s="650"/>
      <c r="F4055" s="650"/>
      <c r="G4055" s="73"/>
      <c r="I4055" s="111"/>
      <c r="J4055" s="81"/>
      <c r="K4055" s="81"/>
      <c r="L4055" s="499"/>
      <c r="M4055" s="73"/>
      <c r="N4055" s="499"/>
      <c r="O4055" s="73"/>
      <c r="P4055" s="73"/>
      <c r="Q4055" s="73"/>
      <c r="R4055" s="176"/>
      <c r="S4055" s="176"/>
      <c r="T4055" s="176"/>
      <c r="U4055" s="400"/>
      <c r="V4055" s="400"/>
      <c r="W4055" s="732"/>
      <c r="X4055" s="167"/>
      <c r="Y4055" s="509"/>
      <c r="Z4055" s="466"/>
      <c r="AA4055" s="466"/>
      <c r="AB4055" s="466"/>
      <c r="AC4055" s="466"/>
      <c r="AD4055" s="466"/>
      <c r="AE4055" s="466"/>
      <c r="AF4055" s="466"/>
      <c r="AG4055" s="466"/>
      <c r="AH4055" s="466"/>
      <c r="AI4055" s="466"/>
      <c r="AJ4055" s="466"/>
      <c r="AK4055" s="466"/>
      <c r="AL4055" s="466"/>
      <c r="AM4055" s="466"/>
      <c r="AN4055" s="466"/>
      <c r="AO4055" s="466"/>
      <c r="AP4055" s="466"/>
      <c r="AQ4055" s="466"/>
      <c r="AR4055" s="466"/>
      <c r="AS4055" s="466"/>
      <c r="AT4055" s="466"/>
      <c r="AU4055" s="466"/>
      <c r="AV4055" s="466"/>
      <c r="AW4055" s="466"/>
      <c r="AX4055" s="466"/>
      <c r="AY4055" s="466"/>
      <c r="AZ4055" s="466"/>
      <c r="BA4055" s="466"/>
      <c r="BB4055" s="466"/>
      <c r="BC4055" s="466"/>
      <c r="BD4055" s="466"/>
      <c r="BE4055" s="467"/>
      <c r="BF4055" s="467"/>
      <c r="BG4055" s="466"/>
      <c r="BH4055" s="466"/>
      <c r="BI4055" s="467"/>
      <c r="BJ4055" s="467"/>
      <c r="BK4055" s="467"/>
      <c r="BL4055" s="467"/>
      <c r="BM4055" s="467"/>
      <c r="BN4055" s="467"/>
      <c r="BO4055" s="467"/>
      <c r="BP4055" s="467"/>
      <c r="BQ4055" s="467"/>
      <c r="BR4055" s="467"/>
      <c r="BS4055" s="467"/>
      <c r="BT4055" s="467"/>
      <c r="BU4055" s="467"/>
      <c r="BV4055" s="467"/>
      <c r="BW4055" s="467"/>
      <c r="BX4055" s="769"/>
      <c r="BY4055" s="769"/>
      <c r="BZ4055" s="769"/>
      <c r="CA4055" s="769"/>
      <c r="CB4055" s="769"/>
      <c r="CC4055" s="769"/>
      <c r="CD4055" s="769"/>
      <c r="CE4055" s="769"/>
      <c r="CF4055" s="769"/>
      <c r="CG4055" s="73"/>
      <c r="CH4055" s="438"/>
      <c r="CI4055" s="416"/>
      <c r="CJ4055" s="73"/>
      <c r="CK4055" s="650"/>
      <c r="CL4055" s="499"/>
      <c r="CM4055" s="650"/>
      <c r="CR4055" s="416"/>
      <c r="CS4055" s="650"/>
      <c r="CU4055" s="73"/>
      <c r="CV4055" s="73"/>
      <c r="CW4055" s="73"/>
      <c r="CX4055" s="73"/>
      <c r="DA4055" s="650"/>
    </row>
    <row r="4056" spans="1:105" s="45" customFormat="1" x14ac:dyDescent="0.2">
      <c r="A4056" s="650"/>
      <c r="B4056" s="438"/>
      <c r="D4056" s="73"/>
      <c r="E4056" s="650"/>
      <c r="F4056" s="650"/>
      <c r="G4056" s="73"/>
      <c r="I4056" s="111"/>
      <c r="J4056" s="81"/>
      <c r="K4056" s="81"/>
      <c r="L4056" s="499"/>
      <c r="M4056" s="73"/>
      <c r="N4056" s="499"/>
      <c r="O4056" s="73"/>
      <c r="P4056" s="73"/>
      <c r="Q4056" s="73"/>
      <c r="R4056" s="176"/>
      <c r="S4056" s="176"/>
      <c r="T4056" s="176"/>
      <c r="U4056" s="400"/>
      <c r="V4056" s="400"/>
      <c r="W4056" s="732"/>
      <c r="X4056" s="167"/>
      <c r="Y4056" s="509"/>
      <c r="Z4056" s="466"/>
      <c r="AA4056" s="466"/>
      <c r="AB4056" s="466"/>
      <c r="AC4056" s="466"/>
      <c r="AD4056" s="466"/>
      <c r="AE4056" s="466"/>
      <c r="AF4056" s="466"/>
      <c r="AG4056" s="466"/>
      <c r="AH4056" s="466"/>
      <c r="AI4056" s="466"/>
      <c r="AJ4056" s="466"/>
      <c r="AK4056" s="466"/>
      <c r="AL4056" s="466"/>
      <c r="AM4056" s="466"/>
      <c r="AN4056" s="466"/>
      <c r="AO4056" s="466"/>
      <c r="AP4056" s="466"/>
      <c r="AQ4056" s="466"/>
      <c r="AR4056" s="466"/>
      <c r="AS4056" s="466"/>
      <c r="AT4056" s="466"/>
      <c r="AU4056" s="466"/>
      <c r="AV4056" s="466"/>
      <c r="AW4056" s="466"/>
      <c r="AX4056" s="466"/>
      <c r="AY4056" s="466"/>
      <c r="AZ4056" s="466"/>
      <c r="BA4056" s="466"/>
      <c r="BB4056" s="466"/>
      <c r="BC4056" s="466"/>
      <c r="BD4056" s="466"/>
      <c r="BE4056" s="467"/>
      <c r="BF4056" s="467"/>
      <c r="BG4056" s="466"/>
      <c r="BH4056" s="466"/>
      <c r="BI4056" s="467"/>
      <c r="BJ4056" s="467"/>
      <c r="BK4056" s="467"/>
      <c r="BL4056" s="467"/>
      <c r="BM4056" s="467"/>
      <c r="BN4056" s="467"/>
      <c r="BO4056" s="467"/>
      <c r="BP4056" s="467"/>
      <c r="BQ4056" s="467"/>
      <c r="BR4056" s="467"/>
      <c r="BS4056" s="467"/>
      <c r="BT4056" s="467"/>
      <c r="BU4056" s="467"/>
      <c r="BV4056" s="467"/>
      <c r="BW4056" s="467"/>
      <c r="BX4056" s="769"/>
      <c r="BY4056" s="769"/>
      <c r="BZ4056" s="769"/>
      <c r="CA4056" s="769"/>
      <c r="CB4056" s="769"/>
      <c r="CC4056" s="769"/>
      <c r="CD4056" s="769"/>
      <c r="CE4056" s="769"/>
      <c r="CF4056" s="769"/>
      <c r="CG4056" s="73"/>
      <c r="CH4056" s="438"/>
      <c r="CI4056" s="416"/>
      <c r="CJ4056" s="73"/>
      <c r="CK4056" s="650"/>
      <c r="CL4056" s="499"/>
      <c r="CM4056" s="650"/>
      <c r="CR4056" s="416"/>
      <c r="CS4056" s="650"/>
      <c r="CU4056" s="73"/>
      <c r="CV4056" s="73"/>
      <c r="CW4056" s="73"/>
      <c r="CX4056" s="73"/>
      <c r="DA4056" s="650"/>
    </row>
    <row r="4057" spans="1:105" s="45" customFormat="1" x14ac:dyDescent="0.2">
      <c r="A4057" s="650"/>
      <c r="B4057" s="438"/>
      <c r="D4057" s="73"/>
      <c r="E4057" s="650"/>
      <c r="F4057" s="650"/>
      <c r="G4057" s="73"/>
      <c r="I4057" s="111"/>
      <c r="J4057" s="81"/>
      <c r="K4057" s="81"/>
      <c r="L4057" s="499"/>
      <c r="M4057" s="73"/>
      <c r="N4057" s="499"/>
      <c r="O4057" s="73"/>
      <c r="P4057" s="73"/>
      <c r="Q4057" s="73"/>
      <c r="R4057" s="176"/>
      <c r="S4057" s="176"/>
      <c r="T4057" s="176"/>
      <c r="U4057" s="400"/>
      <c r="V4057" s="400"/>
      <c r="W4057" s="732"/>
      <c r="X4057" s="167"/>
      <c r="Y4057" s="509"/>
      <c r="Z4057" s="466"/>
      <c r="AA4057" s="466"/>
      <c r="AB4057" s="466"/>
      <c r="AC4057" s="466"/>
      <c r="AD4057" s="466"/>
      <c r="AE4057" s="466"/>
      <c r="AF4057" s="466"/>
      <c r="AG4057" s="466"/>
      <c r="AH4057" s="466"/>
      <c r="AI4057" s="466"/>
      <c r="AJ4057" s="466"/>
      <c r="AK4057" s="466"/>
      <c r="AL4057" s="466"/>
      <c r="AM4057" s="466"/>
      <c r="AN4057" s="466"/>
      <c r="AO4057" s="466"/>
      <c r="AP4057" s="466"/>
      <c r="AQ4057" s="466"/>
      <c r="AR4057" s="466"/>
      <c r="AS4057" s="466"/>
      <c r="AT4057" s="466"/>
      <c r="AU4057" s="466"/>
      <c r="AV4057" s="466"/>
      <c r="AW4057" s="466"/>
      <c r="AX4057" s="466"/>
      <c r="AY4057" s="466"/>
      <c r="AZ4057" s="466"/>
      <c r="BA4057" s="466"/>
      <c r="BB4057" s="466"/>
      <c r="BC4057" s="466"/>
      <c r="BD4057" s="466"/>
      <c r="BE4057" s="467"/>
      <c r="BF4057" s="467"/>
      <c r="BG4057" s="466"/>
      <c r="BH4057" s="466"/>
      <c r="BI4057" s="467"/>
      <c r="BJ4057" s="467"/>
      <c r="BK4057" s="467"/>
      <c r="BL4057" s="467"/>
      <c r="BM4057" s="467"/>
      <c r="BN4057" s="467"/>
      <c r="BO4057" s="467"/>
      <c r="BP4057" s="467"/>
      <c r="BQ4057" s="467"/>
      <c r="BR4057" s="467"/>
      <c r="BS4057" s="467"/>
      <c r="BT4057" s="467"/>
      <c r="BU4057" s="467"/>
      <c r="BV4057" s="467"/>
      <c r="BW4057" s="467"/>
      <c r="BX4057" s="769"/>
      <c r="BY4057" s="769"/>
      <c r="BZ4057" s="769"/>
      <c r="CA4057" s="769"/>
      <c r="CB4057" s="769"/>
      <c r="CC4057" s="769"/>
      <c r="CD4057" s="769"/>
      <c r="CE4057" s="769"/>
      <c r="CF4057" s="769"/>
      <c r="CG4057" s="73"/>
      <c r="CH4057" s="438"/>
      <c r="CI4057" s="416"/>
      <c r="CJ4057" s="73"/>
      <c r="CK4057" s="650"/>
      <c r="CL4057" s="499"/>
      <c r="CM4057" s="650"/>
      <c r="CR4057" s="416"/>
      <c r="CS4057" s="650"/>
      <c r="CU4057" s="73"/>
      <c r="CV4057" s="73"/>
      <c r="CW4057" s="73"/>
      <c r="CX4057" s="73"/>
      <c r="DA4057" s="650"/>
    </row>
    <row r="4058" spans="1:105" s="45" customFormat="1" x14ac:dyDescent="0.2">
      <c r="A4058" s="650"/>
      <c r="B4058" s="438"/>
      <c r="D4058" s="73"/>
      <c r="E4058" s="650"/>
      <c r="F4058" s="650"/>
      <c r="G4058" s="73"/>
      <c r="I4058" s="111"/>
      <c r="J4058" s="81"/>
      <c r="K4058" s="81"/>
      <c r="L4058" s="499"/>
      <c r="M4058" s="73"/>
      <c r="N4058" s="499"/>
      <c r="O4058" s="73"/>
      <c r="P4058" s="73"/>
      <c r="Q4058" s="73"/>
      <c r="R4058" s="176"/>
      <c r="S4058" s="176"/>
      <c r="T4058" s="176"/>
      <c r="U4058" s="400"/>
      <c r="V4058" s="400"/>
      <c r="W4058" s="732"/>
      <c r="X4058" s="167"/>
      <c r="Y4058" s="509"/>
      <c r="Z4058" s="466"/>
      <c r="AA4058" s="466"/>
      <c r="AB4058" s="466"/>
      <c r="AC4058" s="466"/>
      <c r="AD4058" s="466"/>
      <c r="AE4058" s="466"/>
      <c r="AF4058" s="466"/>
      <c r="AG4058" s="466"/>
      <c r="AH4058" s="466"/>
      <c r="AI4058" s="466"/>
      <c r="AJ4058" s="466"/>
      <c r="AK4058" s="466"/>
      <c r="AL4058" s="466"/>
      <c r="AM4058" s="466"/>
      <c r="AN4058" s="466"/>
      <c r="AO4058" s="466"/>
      <c r="AP4058" s="466"/>
      <c r="AQ4058" s="466"/>
      <c r="AR4058" s="466"/>
      <c r="AS4058" s="466"/>
      <c r="AT4058" s="466"/>
      <c r="AU4058" s="466"/>
      <c r="AV4058" s="466"/>
      <c r="AW4058" s="466"/>
      <c r="AX4058" s="466"/>
      <c r="AY4058" s="466"/>
      <c r="AZ4058" s="466"/>
      <c r="BA4058" s="466"/>
      <c r="BB4058" s="466"/>
      <c r="BC4058" s="466"/>
      <c r="BD4058" s="466"/>
      <c r="BE4058" s="467"/>
      <c r="BF4058" s="467"/>
      <c r="BG4058" s="466"/>
      <c r="BH4058" s="466"/>
      <c r="BI4058" s="467"/>
      <c r="BJ4058" s="467"/>
      <c r="BK4058" s="467"/>
      <c r="BL4058" s="467"/>
      <c r="BM4058" s="467"/>
      <c r="BN4058" s="467"/>
      <c r="BO4058" s="467"/>
      <c r="BP4058" s="467"/>
      <c r="BQ4058" s="467"/>
      <c r="BR4058" s="467"/>
      <c r="BS4058" s="467"/>
      <c r="BT4058" s="467"/>
      <c r="BU4058" s="467"/>
      <c r="BV4058" s="467"/>
      <c r="BW4058" s="467"/>
      <c r="BX4058" s="769"/>
      <c r="BY4058" s="769"/>
      <c r="BZ4058" s="769"/>
      <c r="CA4058" s="769"/>
      <c r="CB4058" s="769"/>
      <c r="CC4058" s="769"/>
      <c r="CD4058" s="769"/>
      <c r="CE4058" s="769"/>
      <c r="CF4058" s="769"/>
      <c r="CG4058" s="73"/>
      <c r="CH4058" s="438"/>
      <c r="CI4058" s="416"/>
      <c r="CJ4058" s="73"/>
      <c r="CK4058" s="650"/>
      <c r="CL4058" s="499"/>
      <c r="CM4058" s="650"/>
      <c r="CR4058" s="416"/>
      <c r="CS4058" s="650"/>
      <c r="CU4058" s="73"/>
      <c r="CV4058" s="73"/>
      <c r="CW4058" s="73"/>
      <c r="CX4058" s="73"/>
      <c r="DA4058" s="650"/>
    </row>
    <row r="4059" spans="1:105" s="45" customFormat="1" x14ac:dyDescent="0.2">
      <c r="A4059" s="650"/>
      <c r="B4059" s="438"/>
      <c r="D4059" s="73"/>
      <c r="E4059" s="650"/>
      <c r="F4059" s="650"/>
      <c r="G4059" s="73"/>
      <c r="I4059" s="111"/>
      <c r="J4059" s="81"/>
      <c r="K4059" s="81"/>
      <c r="L4059" s="499"/>
      <c r="M4059" s="73"/>
      <c r="N4059" s="499"/>
      <c r="O4059" s="73"/>
      <c r="P4059" s="73"/>
      <c r="Q4059" s="73"/>
      <c r="R4059" s="176"/>
      <c r="S4059" s="176"/>
      <c r="T4059" s="176"/>
      <c r="U4059" s="400"/>
      <c r="V4059" s="400"/>
      <c r="W4059" s="732"/>
      <c r="X4059" s="167"/>
      <c r="Y4059" s="509"/>
      <c r="Z4059" s="466"/>
      <c r="AA4059" s="466"/>
      <c r="AB4059" s="466"/>
      <c r="AC4059" s="466"/>
      <c r="AD4059" s="466"/>
      <c r="AE4059" s="466"/>
      <c r="AF4059" s="466"/>
      <c r="AG4059" s="466"/>
      <c r="AH4059" s="466"/>
      <c r="AI4059" s="466"/>
      <c r="AJ4059" s="466"/>
      <c r="AK4059" s="466"/>
      <c r="AL4059" s="466"/>
      <c r="AM4059" s="466"/>
      <c r="AN4059" s="466"/>
      <c r="AO4059" s="466"/>
      <c r="AP4059" s="466"/>
      <c r="AQ4059" s="466"/>
      <c r="AR4059" s="466"/>
      <c r="AS4059" s="466"/>
      <c r="AT4059" s="466"/>
      <c r="AU4059" s="466"/>
      <c r="AV4059" s="466"/>
      <c r="AW4059" s="466"/>
      <c r="AX4059" s="466"/>
      <c r="AY4059" s="466"/>
      <c r="AZ4059" s="466"/>
      <c r="BA4059" s="466"/>
      <c r="BB4059" s="466"/>
      <c r="BC4059" s="466"/>
      <c r="BD4059" s="466"/>
      <c r="BE4059" s="467"/>
      <c r="BF4059" s="467"/>
      <c r="BG4059" s="466"/>
      <c r="BH4059" s="466"/>
      <c r="BI4059" s="467"/>
      <c r="BJ4059" s="467"/>
      <c r="BK4059" s="467"/>
      <c r="BL4059" s="467"/>
      <c r="BM4059" s="467"/>
      <c r="BN4059" s="467"/>
      <c r="BO4059" s="467"/>
      <c r="BP4059" s="467"/>
      <c r="BQ4059" s="467"/>
      <c r="BR4059" s="467"/>
      <c r="BS4059" s="467"/>
      <c r="BT4059" s="467"/>
      <c r="BU4059" s="467"/>
      <c r="BV4059" s="467"/>
      <c r="BW4059" s="467"/>
      <c r="BX4059" s="769"/>
      <c r="BY4059" s="769"/>
      <c r="BZ4059" s="769"/>
      <c r="CA4059" s="769"/>
      <c r="CB4059" s="769"/>
      <c r="CC4059" s="769"/>
      <c r="CD4059" s="769"/>
      <c r="CE4059" s="769"/>
      <c r="CF4059" s="769"/>
      <c r="CG4059" s="73"/>
      <c r="CH4059" s="438"/>
      <c r="CI4059" s="416"/>
      <c r="CJ4059" s="73"/>
      <c r="CK4059" s="650"/>
      <c r="CL4059" s="499"/>
      <c r="CM4059" s="650"/>
      <c r="CR4059" s="416"/>
      <c r="CS4059" s="650"/>
      <c r="CU4059" s="73"/>
      <c r="CV4059" s="73"/>
      <c r="CW4059" s="73"/>
      <c r="CX4059" s="73"/>
      <c r="DA4059" s="650"/>
    </row>
    <row r="4060" spans="1:105" s="45" customFormat="1" x14ac:dyDescent="0.2">
      <c r="A4060" s="650"/>
      <c r="B4060" s="438"/>
      <c r="D4060" s="73"/>
      <c r="E4060" s="650"/>
      <c r="F4060" s="650"/>
      <c r="G4060" s="73"/>
      <c r="I4060" s="111"/>
      <c r="J4060" s="81"/>
      <c r="K4060" s="81"/>
      <c r="L4060" s="499"/>
      <c r="M4060" s="73"/>
      <c r="N4060" s="499"/>
      <c r="O4060" s="73"/>
      <c r="P4060" s="73"/>
      <c r="Q4060" s="73"/>
      <c r="R4060" s="176"/>
      <c r="S4060" s="176"/>
      <c r="T4060" s="176"/>
      <c r="U4060" s="400"/>
      <c r="V4060" s="400"/>
      <c r="W4060" s="732"/>
      <c r="X4060" s="167"/>
      <c r="Y4060" s="509"/>
      <c r="Z4060" s="466"/>
      <c r="AA4060" s="466"/>
      <c r="AB4060" s="466"/>
      <c r="AC4060" s="466"/>
      <c r="AD4060" s="466"/>
      <c r="AE4060" s="466"/>
      <c r="AF4060" s="466"/>
      <c r="AG4060" s="466"/>
      <c r="AH4060" s="466"/>
      <c r="AI4060" s="466"/>
      <c r="AJ4060" s="466"/>
      <c r="AK4060" s="466"/>
      <c r="AL4060" s="466"/>
      <c r="AM4060" s="466"/>
      <c r="AN4060" s="466"/>
      <c r="AO4060" s="466"/>
      <c r="AP4060" s="466"/>
      <c r="AQ4060" s="466"/>
      <c r="AR4060" s="466"/>
      <c r="AS4060" s="466"/>
      <c r="AT4060" s="466"/>
      <c r="AU4060" s="466"/>
      <c r="AV4060" s="466"/>
      <c r="AW4060" s="466"/>
      <c r="AX4060" s="466"/>
      <c r="AY4060" s="466"/>
      <c r="AZ4060" s="466"/>
      <c r="BA4060" s="466"/>
      <c r="BB4060" s="466"/>
      <c r="BC4060" s="466"/>
      <c r="BD4060" s="466"/>
      <c r="BE4060" s="467"/>
      <c r="BF4060" s="467"/>
      <c r="BG4060" s="466"/>
      <c r="BH4060" s="466"/>
      <c r="BI4060" s="467"/>
      <c r="BJ4060" s="467"/>
      <c r="BK4060" s="467"/>
      <c r="BL4060" s="467"/>
      <c r="BM4060" s="467"/>
      <c r="BN4060" s="467"/>
      <c r="BO4060" s="467"/>
      <c r="BP4060" s="467"/>
      <c r="BQ4060" s="467"/>
      <c r="BR4060" s="467"/>
      <c r="BS4060" s="467"/>
      <c r="BT4060" s="467"/>
      <c r="BU4060" s="467"/>
      <c r="BV4060" s="467"/>
      <c r="BW4060" s="467"/>
      <c r="BX4060" s="769"/>
      <c r="BY4060" s="769"/>
      <c r="BZ4060" s="769"/>
      <c r="CA4060" s="769"/>
      <c r="CB4060" s="769"/>
      <c r="CC4060" s="769"/>
      <c r="CD4060" s="769"/>
      <c r="CE4060" s="769"/>
      <c r="CF4060" s="769"/>
      <c r="CG4060" s="73"/>
      <c r="CH4060" s="438"/>
      <c r="CI4060" s="416"/>
      <c r="CJ4060" s="73"/>
      <c r="CK4060" s="650"/>
      <c r="CL4060" s="499"/>
      <c r="CM4060" s="650"/>
      <c r="CR4060" s="416"/>
      <c r="CS4060" s="650"/>
      <c r="CU4060" s="73"/>
      <c r="CV4060" s="73"/>
      <c r="CW4060" s="73"/>
      <c r="CX4060" s="73"/>
      <c r="DA4060" s="650"/>
    </row>
    <row r="4061" spans="1:105" s="45" customFormat="1" x14ac:dyDescent="0.2">
      <c r="A4061" s="650"/>
      <c r="B4061" s="438"/>
      <c r="D4061" s="73"/>
      <c r="E4061" s="650"/>
      <c r="F4061" s="650"/>
      <c r="G4061" s="73"/>
      <c r="I4061" s="111"/>
      <c r="J4061" s="81"/>
      <c r="K4061" s="81"/>
      <c r="L4061" s="499"/>
      <c r="M4061" s="73"/>
      <c r="N4061" s="499"/>
      <c r="O4061" s="73"/>
      <c r="P4061" s="73"/>
      <c r="Q4061" s="73"/>
      <c r="R4061" s="176"/>
      <c r="S4061" s="176"/>
      <c r="T4061" s="176"/>
      <c r="U4061" s="400"/>
      <c r="V4061" s="400"/>
      <c r="W4061" s="732"/>
      <c r="X4061" s="167"/>
      <c r="Y4061" s="509"/>
      <c r="Z4061" s="466"/>
      <c r="AA4061" s="466"/>
      <c r="AB4061" s="466"/>
      <c r="AC4061" s="466"/>
      <c r="AD4061" s="466"/>
      <c r="AE4061" s="466"/>
      <c r="AF4061" s="466"/>
      <c r="AG4061" s="466"/>
      <c r="AH4061" s="466"/>
      <c r="AI4061" s="466"/>
      <c r="AJ4061" s="466"/>
      <c r="AK4061" s="466"/>
      <c r="AL4061" s="466"/>
      <c r="AM4061" s="466"/>
      <c r="AN4061" s="466"/>
      <c r="AO4061" s="466"/>
      <c r="AP4061" s="466"/>
      <c r="AQ4061" s="466"/>
      <c r="AR4061" s="466"/>
      <c r="AS4061" s="466"/>
      <c r="AT4061" s="466"/>
      <c r="AU4061" s="466"/>
      <c r="AV4061" s="466"/>
      <c r="AW4061" s="466"/>
      <c r="AX4061" s="466"/>
      <c r="AY4061" s="466"/>
      <c r="AZ4061" s="466"/>
      <c r="BA4061" s="466"/>
      <c r="BB4061" s="466"/>
      <c r="BC4061" s="466"/>
      <c r="BD4061" s="466"/>
      <c r="BE4061" s="467"/>
      <c r="BF4061" s="467"/>
      <c r="BG4061" s="466"/>
      <c r="BH4061" s="466"/>
      <c r="BI4061" s="467"/>
      <c r="BJ4061" s="467"/>
      <c r="BK4061" s="467"/>
      <c r="BL4061" s="467"/>
      <c r="BM4061" s="467"/>
      <c r="BN4061" s="467"/>
      <c r="BO4061" s="467"/>
      <c r="BP4061" s="467"/>
      <c r="BQ4061" s="467"/>
      <c r="BR4061" s="467"/>
      <c r="BS4061" s="467"/>
      <c r="BT4061" s="467"/>
      <c r="BU4061" s="467"/>
      <c r="BV4061" s="467"/>
      <c r="BW4061" s="467"/>
      <c r="BX4061" s="769"/>
      <c r="BY4061" s="769"/>
      <c r="BZ4061" s="769"/>
      <c r="CA4061" s="769"/>
      <c r="CB4061" s="769"/>
      <c r="CC4061" s="769"/>
      <c r="CD4061" s="769"/>
      <c r="CE4061" s="769"/>
      <c r="CF4061" s="769"/>
      <c r="CG4061" s="73"/>
      <c r="CH4061" s="438"/>
      <c r="CI4061" s="416"/>
      <c r="CJ4061" s="73"/>
      <c r="CK4061" s="650"/>
      <c r="CL4061" s="499"/>
      <c r="CM4061" s="650"/>
      <c r="CR4061" s="416"/>
      <c r="CS4061" s="650"/>
      <c r="CU4061" s="73"/>
      <c r="CV4061" s="73"/>
      <c r="CW4061" s="73"/>
      <c r="CX4061" s="73"/>
      <c r="DA4061" s="650"/>
    </row>
    <row r="4062" spans="1:105" s="45" customFormat="1" x14ac:dyDescent="0.2">
      <c r="A4062" s="650"/>
      <c r="B4062" s="438"/>
      <c r="D4062" s="73"/>
      <c r="E4062" s="650"/>
      <c r="F4062" s="650"/>
      <c r="G4062" s="73"/>
      <c r="I4062" s="111"/>
      <c r="J4062" s="81"/>
      <c r="K4062" s="81"/>
      <c r="L4062" s="499"/>
      <c r="M4062" s="73"/>
      <c r="N4062" s="499"/>
      <c r="O4062" s="73"/>
      <c r="P4062" s="73"/>
      <c r="Q4062" s="73"/>
      <c r="R4062" s="176"/>
      <c r="S4062" s="176"/>
      <c r="T4062" s="176"/>
      <c r="U4062" s="400"/>
      <c r="V4062" s="400"/>
      <c r="W4062" s="732"/>
      <c r="X4062" s="167"/>
      <c r="Y4062" s="509"/>
      <c r="Z4062" s="466"/>
      <c r="AA4062" s="466"/>
      <c r="AB4062" s="466"/>
      <c r="AC4062" s="466"/>
      <c r="AD4062" s="466"/>
      <c r="AE4062" s="466"/>
      <c r="AF4062" s="466"/>
      <c r="AG4062" s="466"/>
      <c r="AH4062" s="466"/>
      <c r="AI4062" s="466"/>
      <c r="AJ4062" s="466"/>
      <c r="AK4062" s="466"/>
      <c r="AL4062" s="466"/>
      <c r="AM4062" s="466"/>
      <c r="AN4062" s="466"/>
      <c r="AO4062" s="466"/>
      <c r="AP4062" s="466"/>
      <c r="AQ4062" s="466"/>
      <c r="AR4062" s="466"/>
      <c r="AS4062" s="466"/>
      <c r="AT4062" s="466"/>
      <c r="AU4062" s="466"/>
      <c r="AV4062" s="466"/>
      <c r="AW4062" s="466"/>
      <c r="AX4062" s="466"/>
      <c r="AY4062" s="466"/>
      <c r="AZ4062" s="466"/>
      <c r="BA4062" s="466"/>
      <c r="BB4062" s="466"/>
      <c r="BC4062" s="466"/>
      <c r="BD4062" s="466"/>
      <c r="BE4062" s="467"/>
      <c r="BF4062" s="467"/>
      <c r="BG4062" s="466"/>
      <c r="BH4062" s="466"/>
      <c r="BI4062" s="467"/>
      <c r="BJ4062" s="467"/>
      <c r="BK4062" s="467"/>
      <c r="BL4062" s="467"/>
      <c r="BM4062" s="467"/>
      <c r="BN4062" s="467"/>
      <c r="BO4062" s="467"/>
      <c r="BP4062" s="467"/>
      <c r="BQ4062" s="467"/>
      <c r="BR4062" s="467"/>
      <c r="BS4062" s="467"/>
      <c r="BT4062" s="467"/>
      <c r="BU4062" s="467"/>
      <c r="BV4062" s="467"/>
      <c r="BW4062" s="467"/>
      <c r="BX4062" s="769"/>
      <c r="BY4062" s="769"/>
      <c r="BZ4062" s="769"/>
      <c r="CA4062" s="769"/>
      <c r="CB4062" s="769"/>
      <c r="CC4062" s="769"/>
      <c r="CD4062" s="769"/>
      <c r="CE4062" s="769"/>
      <c r="CF4062" s="769"/>
      <c r="CG4062" s="73"/>
      <c r="CH4062" s="438"/>
      <c r="CI4062" s="416"/>
      <c r="CJ4062" s="73"/>
      <c r="CK4062" s="650"/>
      <c r="CL4062" s="499"/>
      <c r="CM4062" s="650"/>
      <c r="CR4062" s="416"/>
      <c r="CS4062" s="650"/>
      <c r="CU4062" s="73"/>
      <c r="CV4062" s="73"/>
      <c r="CW4062" s="73"/>
      <c r="CX4062" s="73"/>
      <c r="DA4062" s="650"/>
    </row>
    <row r="4063" spans="1:105" s="45" customFormat="1" x14ac:dyDescent="0.2">
      <c r="A4063" s="650"/>
      <c r="B4063" s="438"/>
      <c r="D4063" s="73"/>
      <c r="E4063" s="650"/>
      <c r="F4063" s="650"/>
      <c r="G4063" s="73"/>
      <c r="I4063" s="111"/>
      <c r="J4063" s="81"/>
      <c r="K4063" s="81"/>
      <c r="L4063" s="499"/>
      <c r="M4063" s="73"/>
      <c r="N4063" s="499"/>
      <c r="O4063" s="73"/>
      <c r="P4063" s="73"/>
      <c r="Q4063" s="73"/>
      <c r="R4063" s="176"/>
      <c r="S4063" s="176"/>
      <c r="T4063" s="176"/>
      <c r="U4063" s="400"/>
      <c r="V4063" s="400"/>
      <c r="W4063" s="732"/>
      <c r="X4063" s="167"/>
      <c r="Y4063" s="509"/>
      <c r="Z4063" s="466"/>
      <c r="AA4063" s="466"/>
      <c r="AB4063" s="466"/>
      <c r="AC4063" s="466"/>
      <c r="AD4063" s="466"/>
      <c r="AE4063" s="466"/>
      <c r="AF4063" s="466"/>
      <c r="AG4063" s="466"/>
      <c r="AH4063" s="466"/>
      <c r="AI4063" s="466"/>
      <c r="AJ4063" s="466"/>
      <c r="AK4063" s="466"/>
      <c r="AL4063" s="466"/>
      <c r="AM4063" s="466"/>
      <c r="AN4063" s="466"/>
      <c r="AO4063" s="466"/>
      <c r="AP4063" s="466"/>
      <c r="AQ4063" s="466"/>
      <c r="AR4063" s="466"/>
      <c r="AS4063" s="466"/>
      <c r="AT4063" s="466"/>
      <c r="AU4063" s="466"/>
      <c r="AV4063" s="466"/>
      <c r="AW4063" s="466"/>
      <c r="AX4063" s="466"/>
      <c r="AY4063" s="466"/>
      <c r="AZ4063" s="466"/>
      <c r="BA4063" s="466"/>
      <c r="BB4063" s="466"/>
      <c r="BC4063" s="466"/>
      <c r="BD4063" s="466"/>
      <c r="BE4063" s="467"/>
      <c r="BF4063" s="467"/>
      <c r="BG4063" s="466"/>
      <c r="BH4063" s="466"/>
      <c r="BI4063" s="467"/>
      <c r="BJ4063" s="467"/>
      <c r="BK4063" s="467"/>
      <c r="BL4063" s="467"/>
      <c r="BM4063" s="467"/>
      <c r="BN4063" s="467"/>
      <c r="BO4063" s="467"/>
      <c r="BP4063" s="467"/>
      <c r="BQ4063" s="467"/>
      <c r="BR4063" s="467"/>
      <c r="BS4063" s="467"/>
      <c r="BT4063" s="467"/>
      <c r="BU4063" s="467"/>
      <c r="BV4063" s="467"/>
      <c r="BW4063" s="467"/>
      <c r="BX4063" s="769"/>
      <c r="BY4063" s="769"/>
      <c r="BZ4063" s="769"/>
      <c r="CA4063" s="769"/>
      <c r="CB4063" s="769"/>
      <c r="CC4063" s="769"/>
      <c r="CD4063" s="769"/>
      <c r="CE4063" s="769"/>
      <c r="CF4063" s="769"/>
      <c r="CG4063" s="73"/>
      <c r="CH4063" s="438"/>
      <c r="CI4063" s="416"/>
      <c r="CJ4063" s="73"/>
      <c r="CK4063" s="650"/>
      <c r="CL4063" s="499"/>
      <c r="CM4063" s="650"/>
      <c r="CR4063" s="416"/>
      <c r="CS4063" s="650"/>
      <c r="CU4063" s="73"/>
      <c r="CV4063" s="73"/>
      <c r="CW4063" s="73"/>
      <c r="CX4063" s="73"/>
      <c r="DA4063" s="650"/>
    </row>
    <row r="4064" spans="1:105" s="45" customFormat="1" x14ac:dyDescent="0.2">
      <c r="A4064" s="650"/>
      <c r="B4064" s="438"/>
      <c r="D4064" s="73"/>
      <c r="E4064" s="650"/>
      <c r="F4064" s="650"/>
      <c r="G4064" s="73"/>
      <c r="I4064" s="111"/>
      <c r="J4064" s="81"/>
      <c r="K4064" s="81"/>
      <c r="L4064" s="499"/>
      <c r="M4064" s="73"/>
      <c r="N4064" s="499"/>
      <c r="O4064" s="73"/>
      <c r="P4064" s="73"/>
      <c r="Q4064" s="73"/>
      <c r="R4064" s="176"/>
      <c r="S4064" s="176"/>
      <c r="T4064" s="176"/>
      <c r="U4064" s="400"/>
      <c r="V4064" s="400"/>
      <c r="W4064" s="732"/>
      <c r="X4064" s="167"/>
      <c r="Y4064" s="509"/>
      <c r="Z4064" s="466"/>
      <c r="AA4064" s="466"/>
      <c r="AB4064" s="466"/>
      <c r="AC4064" s="466"/>
      <c r="AD4064" s="466"/>
      <c r="AE4064" s="466"/>
      <c r="AF4064" s="466"/>
      <c r="AG4064" s="466"/>
      <c r="AH4064" s="466"/>
      <c r="AI4064" s="466"/>
      <c r="AJ4064" s="466"/>
      <c r="AK4064" s="466"/>
      <c r="AL4064" s="466"/>
      <c r="AM4064" s="466"/>
      <c r="AN4064" s="466"/>
      <c r="AO4064" s="466"/>
      <c r="AP4064" s="466"/>
      <c r="AQ4064" s="466"/>
      <c r="AR4064" s="466"/>
      <c r="AS4064" s="466"/>
      <c r="AT4064" s="466"/>
      <c r="AU4064" s="466"/>
      <c r="AV4064" s="466"/>
      <c r="AW4064" s="466"/>
      <c r="AX4064" s="466"/>
      <c r="AY4064" s="466"/>
      <c r="AZ4064" s="466"/>
      <c r="BA4064" s="466"/>
      <c r="BB4064" s="466"/>
      <c r="BC4064" s="466"/>
      <c r="BD4064" s="466"/>
      <c r="BE4064" s="467"/>
      <c r="BF4064" s="467"/>
      <c r="BG4064" s="466"/>
      <c r="BH4064" s="466"/>
      <c r="BI4064" s="467"/>
      <c r="BJ4064" s="467"/>
      <c r="BK4064" s="467"/>
      <c r="BL4064" s="467"/>
      <c r="BM4064" s="467"/>
      <c r="BN4064" s="467"/>
      <c r="BO4064" s="467"/>
      <c r="BP4064" s="467"/>
      <c r="BQ4064" s="467"/>
      <c r="BR4064" s="467"/>
      <c r="BS4064" s="467"/>
      <c r="BT4064" s="467"/>
      <c r="BU4064" s="467"/>
      <c r="BV4064" s="467"/>
      <c r="BW4064" s="467"/>
      <c r="BX4064" s="769"/>
      <c r="BY4064" s="769"/>
      <c r="BZ4064" s="769"/>
      <c r="CA4064" s="769"/>
      <c r="CB4064" s="769"/>
      <c r="CC4064" s="769"/>
      <c r="CD4064" s="769"/>
      <c r="CE4064" s="769"/>
      <c r="CF4064" s="769"/>
      <c r="CG4064" s="73"/>
      <c r="CH4064" s="438"/>
      <c r="CI4064" s="416"/>
      <c r="CJ4064" s="73"/>
      <c r="CK4064" s="650"/>
      <c r="CL4064" s="499"/>
      <c r="CM4064" s="650"/>
      <c r="CR4064" s="416"/>
      <c r="CS4064" s="650"/>
      <c r="CU4064" s="73"/>
      <c r="CV4064" s="73"/>
      <c r="CW4064" s="73"/>
      <c r="CX4064" s="73"/>
      <c r="DA4064" s="650"/>
    </row>
    <row r="4065" spans="1:105" s="45" customFormat="1" x14ac:dyDescent="0.2">
      <c r="A4065" s="650"/>
      <c r="B4065" s="438"/>
      <c r="D4065" s="73"/>
      <c r="E4065" s="650"/>
      <c r="F4065" s="650"/>
      <c r="G4065" s="73"/>
      <c r="I4065" s="111"/>
      <c r="J4065" s="81"/>
      <c r="K4065" s="81"/>
      <c r="L4065" s="499"/>
      <c r="M4065" s="73"/>
      <c r="N4065" s="499"/>
      <c r="O4065" s="73"/>
      <c r="P4065" s="73"/>
      <c r="Q4065" s="73"/>
      <c r="R4065" s="176"/>
      <c r="S4065" s="176"/>
      <c r="T4065" s="176"/>
      <c r="U4065" s="400"/>
      <c r="V4065" s="400"/>
      <c r="W4065" s="732"/>
      <c r="X4065" s="167"/>
      <c r="Y4065" s="509"/>
      <c r="Z4065" s="466"/>
      <c r="AA4065" s="466"/>
      <c r="AB4065" s="466"/>
      <c r="AC4065" s="466"/>
      <c r="AD4065" s="466"/>
      <c r="AE4065" s="466"/>
      <c r="AF4065" s="466"/>
      <c r="AG4065" s="466"/>
      <c r="AH4065" s="466"/>
      <c r="AI4065" s="466"/>
      <c r="AJ4065" s="466"/>
      <c r="AK4065" s="466"/>
      <c r="AL4065" s="466"/>
      <c r="AM4065" s="466"/>
      <c r="AN4065" s="466"/>
      <c r="AO4065" s="466"/>
      <c r="AP4065" s="466"/>
      <c r="AQ4065" s="466"/>
      <c r="AR4065" s="466"/>
      <c r="AS4065" s="466"/>
      <c r="AT4065" s="466"/>
      <c r="AU4065" s="466"/>
      <c r="AV4065" s="466"/>
      <c r="AW4065" s="466"/>
      <c r="AX4065" s="466"/>
      <c r="AY4065" s="466"/>
      <c r="AZ4065" s="466"/>
      <c r="BA4065" s="466"/>
      <c r="BB4065" s="466"/>
      <c r="BC4065" s="466"/>
      <c r="BD4065" s="466"/>
      <c r="BE4065" s="467"/>
      <c r="BF4065" s="467"/>
      <c r="BG4065" s="466"/>
      <c r="BH4065" s="466"/>
      <c r="BI4065" s="467"/>
      <c r="BJ4065" s="467"/>
      <c r="BK4065" s="467"/>
      <c r="BL4065" s="467"/>
      <c r="BM4065" s="467"/>
      <c r="BN4065" s="467"/>
      <c r="BO4065" s="467"/>
      <c r="BP4065" s="467"/>
      <c r="BQ4065" s="467"/>
      <c r="BR4065" s="467"/>
      <c r="BS4065" s="467"/>
      <c r="BT4065" s="467"/>
      <c r="BU4065" s="467"/>
      <c r="BV4065" s="467"/>
      <c r="BW4065" s="467"/>
      <c r="BX4065" s="769"/>
      <c r="BY4065" s="769"/>
      <c r="BZ4065" s="769"/>
      <c r="CA4065" s="769"/>
      <c r="CB4065" s="769"/>
      <c r="CC4065" s="769"/>
      <c r="CD4065" s="769"/>
      <c r="CE4065" s="769"/>
      <c r="CF4065" s="769"/>
      <c r="CG4065" s="73"/>
      <c r="CH4065" s="438"/>
      <c r="CI4065" s="416"/>
      <c r="CJ4065" s="73"/>
      <c r="CK4065" s="650"/>
      <c r="CL4065" s="499"/>
      <c r="CM4065" s="650"/>
      <c r="CR4065" s="416"/>
      <c r="CS4065" s="650"/>
      <c r="CU4065" s="73"/>
      <c r="CV4065" s="73"/>
      <c r="CW4065" s="73"/>
      <c r="CX4065" s="73"/>
      <c r="DA4065" s="650"/>
    </row>
    <row r="4066" spans="1:105" s="45" customFormat="1" x14ac:dyDescent="0.2">
      <c r="A4066" s="650"/>
      <c r="B4066" s="438"/>
      <c r="D4066" s="73"/>
      <c r="E4066" s="650"/>
      <c r="F4066" s="650"/>
      <c r="G4066" s="73"/>
      <c r="I4066" s="111"/>
      <c r="J4066" s="81"/>
      <c r="K4066" s="81"/>
      <c r="L4066" s="499"/>
      <c r="M4066" s="73"/>
      <c r="N4066" s="499"/>
      <c r="O4066" s="73"/>
      <c r="P4066" s="73"/>
      <c r="Q4066" s="73"/>
      <c r="R4066" s="176"/>
      <c r="S4066" s="176"/>
      <c r="T4066" s="176"/>
      <c r="U4066" s="400"/>
      <c r="V4066" s="400"/>
      <c r="W4066" s="732"/>
      <c r="X4066" s="167"/>
      <c r="Y4066" s="509"/>
      <c r="Z4066" s="466"/>
      <c r="AA4066" s="466"/>
      <c r="AB4066" s="466"/>
      <c r="AC4066" s="466"/>
      <c r="AD4066" s="466"/>
      <c r="AE4066" s="466"/>
      <c r="AF4066" s="466"/>
      <c r="AG4066" s="466"/>
      <c r="AH4066" s="466"/>
      <c r="AI4066" s="466"/>
      <c r="AJ4066" s="466"/>
      <c r="AK4066" s="466"/>
      <c r="AL4066" s="466"/>
      <c r="AM4066" s="466"/>
      <c r="AN4066" s="466"/>
      <c r="AO4066" s="466"/>
      <c r="AP4066" s="466"/>
      <c r="AQ4066" s="466"/>
      <c r="AR4066" s="466"/>
      <c r="AS4066" s="466"/>
      <c r="AT4066" s="466"/>
      <c r="AU4066" s="466"/>
      <c r="AV4066" s="466"/>
      <c r="AW4066" s="466"/>
      <c r="AX4066" s="466"/>
      <c r="AY4066" s="466"/>
      <c r="AZ4066" s="466"/>
      <c r="BA4066" s="466"/>
      <c r="BB4066" s="466"/>
      <c r="BC4066" s="466"/>
      <c r="BD4066" s="466"/>
      <c r="BE4066" s="467"/>
      <c r="BF4066" s="467"/>
      <c r="BG4066" s="466"/>
      <c r="BH4066" s="466"/>
      <c r="BI4066" s="467"/>
      <c r="BJ4066" s="467"/>
      <c r="BK4066" s="467"/>
      <c r="BL4066" s="467"/>
      <c r="BM4066" s="467"/>
      <c r="BN4066" s="467"/>
      <c r="BO4066" s="467"/>
      <c r="BP4066" s="467"/>
      <c r="BQ4066" s="467"/>
      <c r="BR4066" s="467"/>
      <c r="BS4066" s="467"/>
      <c r="BT4066" s="467"/>
      <c r="BU4066" s="467"/>
      <c r="BV4066" s="467"/>
      <c r="BW4066" s="467"/>
      <c r="BX4066" s="769"/>
      <c r="BY4066" s="769"/>
      <c r="BZ4066" s="769"/>
      <c r="CA4066" s="769"/>
      <c r="CB4066" s="769"/>
      <c r="CC4066" s="769"/>
      <c r="CD4066" s="769"/>
      <c r="CE4066" s="769"/>
      <c r="CF4066" s="769"/>
      <c r="CG4066" s="73"/>
      <c r="CH4066" s="438"/>
      <c r="CI4066" s="416"/>
      <c r="CJ4066" s="73"/>
      <c r="CK4066" s="650"/>
      <c r="CL4066" s="499"/>
      <c r="CM4066" s="650"/>
      <c r="CR4066" s="416"/>
      <c r="CS4066" s="650"/>
      <c r="CU4066" s="73"/>
      <c r="CV4066" s="73"/>
      <c r="CW4066" s="73"/>
      <c r="CX4066" s="73"/>
      <c r="DA4066" s="650"/>
    </row>
    <row r="4067" spans="1:105" s="45" customFormat="1" x14ac:dyDescent="0.2">
      <c r="A4067" s="650"/>
      <c r="B4067" s="438"/>
      <c r="D4067" s="73"/>
      <c r="E4067" s="650"/>
      <c r="F4067" s="650"/>
      <c r="G4067" s="73"/>
      <c r="I4067" s="111"/>
      <c r="J4067" s="81"/>
      <c r="K4067" s="81"/>
      <c r="L4067" s="499"/>
      <c r="M4067" s="73"/>
      <c r="N4067" s="499"/>
      <c r="O4067" s="73"/>
      <c r="P4067" s="73"/>
      <c r="Q4067" s="73"/>
      <c r="R4067" s="176"/>
      <c r="S4067" s="176"/>
      <c r="T4067" s="176"/>
      <c r="U4067" s="400"/>
      <c r="V4067" s="400"/>
      <c r="W4067" s="732"/>
      <c r="X4067" s="167"/>
      <c r="Y4067" s="509"/>
      <c r="Z4067" s="466"/>
      <c r="AA4067" s="466"/>
      <c r="AB4067" s="466"/>
      <c r="AC4067" s="466"/>
      <c r="AD4067" s="466"/>
      <c r="AE4067" s="466"/>
      <c r="AF4067" s="466"/>
      <c r="AG4067" s="466"/>
      <c r="AH4067" s="466"/>
      <c r="AI4067" s="466"/>
      <c r="AJ4067" s="466"/>
      <c r="AK4067" s="466"/>
      <c r="AL4067" s="466"/>
      <c r="AM4067" s="466"/>
      <c r="AN4067" s="466"/>
      <c r="AO4067" s="466"/>
      <c r="AP4067" s="466"/>
      <c r="AQ4067" s="466"/>
      <c r="AR4067" s="466"/>
      <c r="AS4067" s="466"/>
      <c r="AT4067" s="466"/>
      <c r="AU4067" s="466"/>
      <c r="AV4067" s="466"/>
      <c r="AW4067" s="466"/>
      <c r="AX4067" s="466"/>
      <c r="AY4067" s="466"/>
      <c r="AZ4067" s="466"/>
      <c r="BA4067" s="466"/>
      <c r="BB4067" s="466"/>
      <c r="BC4067" s="466"/>
      <c r="BD4067" s="466"/>
      <c r="BE4067" s="467"/>
      <c r="BF4067" s="467"/>
      <c r="BG4067" s="466"/>
      <c r="BH4067" s="466"/>
      <c r="BI4067" s="467"/>
      <c r="BJ4067" s="467"/>
      <c r="BK4067" s="467"/>
      <c r="BL4067" s="467"/>
      <c r="BM4067" s="467"/>
      <c r="BN4067" s="467"/>
      <c r="BO4067" s="467"/>
      <c r="BP4067" s="467"/>
      <c r="BQ4067" s="467"/>
      <c r="BR4067" s="467"/>
      <c r="BS4067" s="467"/>
      <c r="BT4067" s="467"/>
      <c r="BU4067" s="467"/>
      <c r="BV4067" s="467"/>
      <c r="BW4067" s="467"/>
      <c r="BX4067" s="769"/>
      <c r="BY4067" s="769"/>
      <c r="BZ4067" s="769"/>
      <c r="CA4067" s="769"/>
      <c r="CB4067" s="769"/>
      <c r="CC4067" s="769"/>
      <c r="CD4067" s="769"/>
      <c r="CE4067" s="769"/>
      <c r="CF4067" s="769"/>
      <c r="CG4067" s="73"/>
      <c r="CH4067" s="438"/>
      <c r="CI4067" s="416"/>
      <c r="CJ4067" s="73"/>
      <c r="CK4067" s="650"/>
      <c r="CL4067" s="499"/>
      <c r="CM4067" s="650"/>
      <c r="CR4067" s="416"/>
      <c r="CS4067" s="650"/>
      <c r="CU4067" s="73"/>
      <c r="CV4067" s="73"/>
      <c r="CW4067" s="73"/>
      <c r="CX4067" s="73"/>
      <c r="DA4067" s="650"/>
    </row>
    <row r="4068" spans="1:105" s="45" customFormat="1" x14ac:dyDescent="0.2">
      <c r="A4068" s="650"/>
      <c r="B4068" s="438"/>
      <c r="D4068" s="73"/>
      <c r="E4068" s="650"/>
      <c r="F4068" s="650"/>
      <c r="G4068" s="73"/>
      <c r="I4068" s="111"/>
      <c r="J4068" s="81"/>
      <c r="K4068" s="81"/>
      <c r="L4068" s="499"/>
      <c r="M4068" s="73"/>
      <c r="N4068" s="499"/>
      <c r="O4068" s="73"/>
      <c r="P4068" s="73"/>
      <c r="Q4068" s="73"/>
      <c r="R4068" s="176"/>
      <c r="S4068" s="176"/>
      <c r="T4068" s="176"/>
      <c r="U4068" s="400"/>
      <c r="V4068" s="400"/>
      <c r="W4068" s="732"/>
      <c r="X4068" s="167"/>
      <c r="Y4068" s="509"/>
      <c r="Z4068" s="466"/>
      <c r="AA4068" s="466"/>
      <c r="AB4068" s="466"/>
      <c r="AC4068" s="466"/>
      <c r="AD4068" s="466"/>
      <c r="AE4068" s="466"/>
      <c r="AF4068" s="466"/>
      <c r="AG4068" s="466"/>
      <c r="AH4068" s="466"/>
      <c r="AI4068" s="466"/>
      <c r="AJ4068" s="466"/>
      <c r="AK4068" s="466"/>
      <c r="AL4068" s="466"/>
      <c r="AM4068" s="466"/>
      <c r="AN4068" s="466"/>
      <c r="AO4068" s="466"/>
      <c r="AP4068" s="466"/>
      <c r="AQ4068" s="466"/>
      <c r="AR4068" s="466"/>
      <c r="AS4068" s="466"/>
      <c r="AT4068" s="466"/>
      <c r="AU4068" s="466"/>
      <c r="AV4068" s="466"/>
      <c r="AW4068" s="466"/>
      <c r="AX4068" s="466"/>
      <c r="AY4068" s="466"/>
      <c r="AZ4068" s="466"/>
      <c r="BA4068" s="466"/>
      <c r="BB4068" s="466"/>
      <c r="BC4068" s="466"/>
      <c r="BD4068" s="466"/>
      <c r="BE4068" s="467"/>
      <c r="BF4068" s="467"/>
      <c r="BG4068" s="466"/>
      <c r="BH4068" s="466"/>
      <c r="BI4068" s="467"/>
      <c r="BJ4068" s="467"/>
      <c r="BK4068" s="467"/>
      <c r="BL4068" s="467"/>
      <c r="BM4068" s="467"/>
      <c r="BN4068" s="467"/>
      <c r="BO4068" s="467"/>
      <c r="BP4068" s="467"/>
      <c r="BQ4068" s="467"/>
      <c r="BR4068" s="467"/>
      <c r="BS4068" s="467"/>
      <c r="BT4068" s="467"/>
      <c r="BU4068" s="467"/>
      <c r="BV4068" s="467"/>
      <c r="BW4068" s="467"/>
      <c r="BX4068" s="769"/>
      <c r="BY4068" s="769"/>
      <c r="BZ4068" s="769"/>
      <c r="CA4068" s="769"/>
      <c r="CB4068" s="769"/>
      <c r="CC4068" s="769"/>
      <c r="CD4068" s="769"/>
      <c r="CE4068" s="769"/>
      <c r="CF4068" s="769"/>
      <c r="CG4068" s="73"/>
      <c r="CH4068" s="438"/>
      <c r="CI4068" s="416"/>
      <c r="CJ4068" s="73"/>
      <c r="CK4068" s="650"/>
      <c r="CL4068" s="499"/>
      <c r="CM4068" s="650"/>
      <c r="CR4068" s="416"/>
      <c r="CS4068" s="650"/>
      <c r="CU4068" s="73"/>
      <c r="CV4068" s="73"/>
      <c r="CW4068" s="73"/>
      <c r="CX4068" s="73"/>
      <c r="DA4068" s="650"/>
    </row>
    <row r="4069" spans="1:105" s="45" customFormat="1" x14ac:dyDescent="0.2">
      <c r="A4069" s="650"/>
      <c r="B4069" s="438"/>
      <c r="D4069" s="73"/>
      <c r="E4069" s="650"/>
      <c r="F4069" s="650"/>
      <c r="G4069" s="73"/>
      <c r="I4069" s="111"/>
      <c r="J4069" s="81"/>
      <c r="K4069" s="81"/>
      <c r="L4069" s="499"/>
      <c r="M4069" s="73"/>
      <c r="N4069" s="499"/>
      <c r="O4069" s="73"/>
      <c r="P4069" s="73"/>
      <c r="Q4069" s="73"/>
      <c r="R4069" s="176"/>
      <c r="S4069" s="176"/>
      <c r="T4069" s="176"/>
      <c r="U4069" s="400"/>
      <c r="V4069" s="400"/>
      <c r="W4069" s="732"/>
      <c r="X4069" s="167"/>
      <c r="Y4069" s="509"/>
      <c r="Z4069" s="466"/>
      <c r="AA4069" s="466"/>
      <c r="AB4069" s="466"/>
      <c r="AC4069" s="466"/>
      <c r="AD4069" s="466"/>
      <c r="AE4069" s="466"/>
      <c r="AF4069" s="466"/>
      <c r="AG4069" s="466"/>
      <c r="AH4069" s="466"/>
      <c r="AI4069" s="466"/>
      <c r="AJ4069" s="466"/>
      <c r="AK4069" s="466"/>
      <c r="AL4069" s="466"/>
      <c r="AM4069" s="466"/>
      <c r="AN4069" s="466"/>
      <c r="AO4069" s="466"/>
      <c r="AP4069" s="466"/>
      <c r="AQ4069" s="466"/>
      <c r="AR4069" s="466"/>
      <c r="AS4069" s="466"/>
      <c r="AT4069" s="466"/>
      <c r="AU4069" s="466"/>
      <c r="AV4069" s="466"/>
      <c r="AW4069" s="466"/>
      <c r="AX4069" s="466"/>
      <c r="AY4069" s="466"/>
      <c r="AZ4069" s="466"/>
      <c r="BA4069" s="466"/>
      <c r="BB4069" s="466"/>
      <c r="BC4069" s="466"/>
      <c r="BD4069" s="466"/>
      <c r="BE4069" s="467"/>
      <c r="BF4069" s="467"/>
      <c r="BG4069" s="466"/>
      <c r="BH4069" s="466"/>
      <c r="BI4069" s="467"/>
      <c r="BJ4069" s="467"/>
      <c r="BK4069" s="467"/>
      <c r="BL4069" s="467"/>
      <c r="BM4069" s="467"/>
      <c r="BN4069" s="467"/>
      <c r="BO4069" s="467"/>
      <c r="BP4069" s="467"/>
      <c r="BQ4069" s="467"/>
      <c r="BR4069" s="467"/>
      <c r="BS4069" s="467"/>
      <c r="BT4069" s="467"/>
      <c r="BU4069" s="467"/>
      <c r="BV4069" s="467"/>
      <c r="BW4069" s="467"/>
      <c r="BX4069" s="769"/>
      <c r="BY4069" s="769"/>
      <c r="BZ4069" s="769"/>
      <c r="CA4069" s="769"/>
      <c r="CB4069" s="769"/>
      <c r="CC4069" s="769"/>
      <c r="CD4069" s="769"/>
      <c r="CE4069" s="769"/>
      <c r="CF4069" s="769"/>
      <c r="CG4069" s="73"/>
      <c r="CH4069" s="438"/>
      <c r="CI4069" s="416"/>
      <c r="CJ4069" s="73"/>
      <c r="CK4069" s="650"/>
      <c r="CL4069" s="499"/>
      <c r="CM4069" s="650"/>
      <c r="CR4069" s="416"/>
      <c r="CS4069" s="650"/>
      <c r="CU4069" s="73"/>
      <c r="CV4069" s="73"/>
      <c r="CW4069" s="73"/>
      <c r="CX4069" s="73"/>
      <c r="DA4069" s="650"/>
    </row>
    <row r="4070" spans="1:105" s="45" customFormat="1" x14ac:dyDescent="0.2">
      <c r="A4070" s="650"/>
      <c r="B4070" s="438"/>
      <c r="D4070" s="73"/>
      <c r="E4070" s="650"/>
      <c r="F4070" s="650"/>
      <c r="G4070" s="73"/>
      <c r="I4070" s="111"/>
      <c r="J4070" s="81"/>
      <c r="K4070" s="81"/>
      <c r="L4070" s="499"/>
      <c r="M4070" s="73"/>
      <c r="N4070" s="499"/>
      <c r="O4070" s="73"/>
      <c r="P4070" s="73"/>
      <c r="Q4070" s="73"/>
      <c r="R4070" s="176"/>
      <c r="S4070" s="176"/>
      <c r="T4070" s="176"/>
      <c r="U4070" s="400"/>
      <c r="V4070" s="400"/>
      <c r="W4070" s="732"/>
      <c r="X4070" s="167"/>
      <c r="Y4070" s="509"/>
      <c r="Z4070" s="466"/>
      <c r="AA4070" s="466"/>
      <c r="AB4070" s="466"/>
      <c r="AC4070" s="466"/>
      <c r="AD4070" s="466"/>
      <c r="AE4070" s="466"/>
      <c r="AF4070" s="466"/>
      <c r="AG4070" s="466"/>
      <c r="AH4070" s="466"/>
      <c r="AI4070" s="466"/>
      <c r="AJ4070" s="466"/>
      <c r="AK4070" s="466"/>
      <c r="AL4070" s="466"/>
      <c r="AM4070" s="466"/>
      <c r="AN4070" s="466"/>
      <c r="AO4070" s="466"/>
      <c r="AP4070" s="466"/>
      <c r="AQ4070" s="466"/>
      <c r="AR4070" s="466"/>
      <c r="AS4070" s="466"/>
      <c r="AT4070" s="466"/>
      <c r="AU4070" s="466"/>
      <c r="AV4070" s="466"/>
      <c r="AW4070" s="466"/>
      <c r="AX4070" s="466"/>
      <c r="AY4070" s="466"/>
      <c r="AZ4070" s="466"/>
      <c r="BA4070" s="466"/>
      <c r="BB4070" s="466"/>
      <c r="BC4070" s="466"/>
      <c r="BD4070" s="466"/>
      <c r="BE4070" s="467"/>
      <c r="BF4070" s="467"/>
      <c r="BG4070" s="466"/>
      <c r="BH4070" s="466"/>
      <c r="BI4070" s="467"/>
      <c r="BJ4070" s="467"/>
      <c r="BK4070" s="467"/>
      <c r="BL4070" s="467"/>
      <c r="BM4070" s="467"/>
      <c r="BN4070" s="467"/>
      <c r="BO4070" s="467"/>
      <c r="BP4070" s="467"/>
      <c r="BQ4070" s="467"/>
      <c r="BR4070" s="467"/>
      <c r="BS4070" s="467"/>
      <c r="BT4070" s="467"/>
      <c r="BU4070" s="467"/>
      <c r="BV4070" s="467"/>
      <c r="BW4070" s="467"/>
      <c r="BX4070" s="769"/>
      <c r="BY4070" s="769"/>
      <c r="BZ4070" s="769"/>
      <c r="CA4070" s="769"/>
      <c r="CB4070" s="769"/>
      <c r="CC4070" s="769"/>
      <c r="CD4070" s="769"/>
      <c r="CE4070" s="769"/>
      <c r="CF4070" s="769"/>
      <c r="CG4070" s="73"/>
      <c r="CH4070" s="438"/>
      <c r="CI4070" s="416"/>
      <c r="CJ4070" s="73"/>
      <c r="CK4070" s="650"/>
      <c r="CL4070" s="499"/>
      <c r="CM4070" s="650"/>
      <c r="CR4070" s="416"/>
      <c r="CS4070" s="650"/>
      <c r="CU4070" s="73"/>
      <c r="CV4070" s="73"/>
      <c r="CW4070" s="73"/>
      <c r="CX4070" s="73"/>
      <c r="DA4070" s="650"/>
    </row>
    <row r="4071" spans="1:105" s="45" customFormat="1" x14ac:dyDescent="0.2">
      <c r="A4071" s="650"/>
      <c r="B4071" s="438"/>
      <c r="D4071" s="73"/>
      <c r="E4071" s="650"/>
      <c r="F4071" s="650"/>
      <c r="G4071" s="73"/>
      <c r="I4071" s="111"/>
      <c r="J4071" s="81"/>
      <c r="K4071" s="81"/>
      <c r="L4071" s="499"/>
      <c r="M4071" s="73"/>
      <c r="N4071" s="499"/>
      <c r="O4071" s="73"/>
      <c r="P4071" s="73"/>
      <c r="Q4071" s="73"/>
      <c r="R4071" s="176"/>
      <c r="S4071" s="176"/>
      <c r="T4071" s="176"/>
      <c r="U4071" s="400"/>
      <c r="V4071" s="400"/>
      <c r="W4071" s="732"/>
      <c r="X4071" s="167"/>
      <c r="Y4071" s="509"/>
      <c r="Z4071" s="466"/>
      <c r="AA4071" s="466"/>
      <c r="AB4071" s="466"/>
      <c r="AC4071" s="466"/>
      <c r="AD4071" s="466"/>
      <c r="AE4071" s="466"/>
      <c r="AF4071" s="466"/>
      <c r="AG4071" s="466"/>
      <c r="AH4071" s="466"/>
      <c r="AI4071" s="466"/>
      <c r="AJ4071" s="466"/>
      <c r="AK4071" s="466"/>
      <c r="AL4071" s="466"/>
      <c r="AM4071" s="466"/>
      <c r="AN4071" s="466"/>
      <c r="AO4071" s="466"/>
      <c r="AP4071" s="466"/>
      <c r="AQ4071" s="466"/>
      <c r="AR4071" s="466"/>
      <c r="AS4071" s="466"/>
      <c r="AT4071" s="466"/>
      <c r="AU4071" s="466"/>
      <c r="AV4071" s="466"/>
      <c r="AW4071" s="466"/>
      <c r="AX4071" s="466"/>
      <c r="AY4071" s="466"/>
      <c r="AZ4071" s="466"/>
      <c r="BA4071" s="466"/>
      <c r="BB4071" s="466"/>
      <c r="BC4071" s="466"/>
      <c r="BD4071" s="466"/>
      <c r="BE4071" s="467"/>
      <c r="BF4071" s="467"/>
      <c r="BG4071" s="466"/>
      <c r="BH4071" s="466"/>
      <c r="BI4071" s="467"/>
      <c r="BJ4071" s="467"/>
      <c r="BK4071" s="467"/>
      <c r="BL4071" s="467"/>
      <c r="BM4071" s="467"/>
      <c r="BN4071" s="467"/>
      <c r="BO4071" s="467"/>
      <c r="BP4071" s="467"/>
      <c r="BQ4071" s="467"/>
      <c r="BR4071" s="467"/>
      <c r="BS4071" s="467"/>
      <c r="BT4071" s="467"/>
      <c r="BU4071" s="467"/>
      <c r="BV4071" s="467"/>
      <c r="BW4071" s="467"/>
      <c r="BX4071" s="769"/>
      <c r="BY4071" s="769"/>
      <c r="BZ4071" s="769"/>
      <c r="CA4071" s="769"/>
      <c r="CB4071" s="769"/>
      <c r="CC4071" s="769"/>
      <c r="CD4071" s="769"/>
      <c r="CE4071" s="769"/>
      <c r="CF4071" s="769"/>
      <c r="CG4071" s="73"/>
      <c r="CH4071" s="438"/>
      <c r="CI4071" s="416"/>
      <c r="CJ4071" s="73"/>
      <c r="CK4071" s="650"/>
      <c r="CL4071" s="499"/>
      <c r="CM4071" s="650"/>
      <c r="CR4071" s="416"/>
      <c r="CS4071" s="650"/>
      <c r="CU4071" s="73"/>
      <c r="CV4071" s="73"/>
      <c r="CW4071" s="73"/>
      <c r="CX4071" s="73"/>
      <c r="DA4071" s="650"/>
    </row>
    <row r="4072" spans="1:105" s="45" customFormat="1" x14ac:dyDescent="0.2">
      <c r="A4072" s="650"/>
      <c r="B4072" s="438"/>
      <c r="D4072" s="73"/>
      <c r="E4072" s="650"/>
      <c r="F4072" s="650"/>
      <c r="G4072" s="73"/>
      <c r="I4072" s="111"/>
      <c r="J4072" s="81"/>
      <c r="K4072" s="81"/>
      <c r="L4072" s="499"/>
      <c r="M4072" s="73"/>
      <c r="N4072" s="499"/>
      <c r="O4072" s="73"/>
      <c r="P4072" s="73"/>
      <c r="Q4072" s="73"/>
      <c r="R4072" s="176"/>
      <c r="S4072" s="176"/>
      <c r="T4072" s="176"/>
      <c r="U4072" s="400"/>
      <c r="V4072" s="400"/>
      <c r="W4072" s="732"/>
      <c r="X4072" s="167"/>
      <c r="Y4072" s="509"/>
      <c r="Z4072" s="466"/>
      <c r="AA4072" s="466"/>
      <c r="AB4072" s="466"/>
      <c r="AC4072" s="466"/>
      <c r="AD4072" s="466"/>
      <c r="AE4072" s="466"/>
      <c r="AF4072" s="466"/>
      <c r="AG4072" s="466"/>
      <c r="AH4072" s="466"/>
      <c r="AI4072" s="466"/>
      <c r="AJ4072" s="466"/>
      <c r="AK4072" s="466"/>
      <c r="AL4072" s="466"/>
      <c r="AM4072" s="466"/>
      <c r="AN4072" s="466"/>
      <c r="AO4072" s="466"/>
      <c r="AP4072" s="466"/>
      <c r="AQ4072" s="466"/>
      <c r="AR4072" s="466"/>
      <c r="AS4072" s="466"/>
      <c r="AT4072" s="466"/>
      <c r="AU4072" s="466"/>
      <c r="AV4072" s="466"/>
      <c r="AW4072" s="466"/>
      <c r="AX4072" s="466"/>
      <c r="AY4072" s="466"/>
      <c r="AZ4072" s="466"/>
      <c r="BA4072" s="466"/>
      <c r="BB4072" s="466"/>
      <c r="BC4072" s="466"/>
      <c r="BD4072" s="466"/>
      <c r="BE4072" s="467"/>
      <c r="BF4072" s="467"/>
      <c r="BG4072" s="466"/>
      <c r="BH4072" s="466"/>
      <c r="BI4072" s="467"/>
      <c r="BJ4072" s="467"/>
      <c r="BK4072" s="467"/>
      <c r="BL4072" s="467"/>
      <c r="BM4072" s="467"/>
      <c r="BN4072" s="467"/>
      <c r="BO4072" s="467"/>
      <c r="BP4072" s="467"/>
      <c r="BQ4072" s="467"/>
      <c r="BR4072" s="467"/>
      <c r="BS4072" s="467"/>
      <c r="BT4072" s="467"/>
      <c r="BU4072" s="467"/>
      <c r="BV4072" s="467"/>
      <c r="BW4072" s="467"/>
      <c r="BX4072" s="769"/>
      <c r="BY4072" s="769"/>
      <c r="BZ4072" s="769"/>
      <c r="CA4072" s="769"/>
      <c r="CB4072" s="769"/>
      <c r="CC4072" s="769"/>
      <c r="CD4072" s="769"/>
      <c r="CE4072" s="769"/>
      <c r="CF4072" s="769"/>
      <c r="CG4072" s="73"/>
      <c r="CH4072" s="438"/>
      <c r="CI4072" s="416"/>
      <c r="CJ4072" s="73"/>
      <c r="CK4072" s="650"/>
      <c r="CL4072" s="499"/>
      <c r="CM4072" s="650"/>
      <c r="CR4072" s="416"/>
      <c r="CS4072" s="650"/>
      <c r="CU4072" s="73"/>
      <c r="CV4072" s="73"/>
      <c r="CW4072" s="73"/>
      <c r="CX4072" s="73"/>
      <c r="DA4072" s="650"/>
    </row>
    <row r="4073" spans="1:105" s="45" customFormat="1" x14ac:dyDescent="0.2">
      <c r="A4073" s="650"/>
      <c r="B4073" s="438"/>
      <c r="D4073" s="73"/>
      <c r="E4073" s="650"/>
      <c r="F4073" s="650"/>
      <c r="G4073" s="73"/>
      <c r="I4073" s="111"/>
      <c r="J4073" s="81"/>
      <c r="K4073" s="81"/>
      <c r="L4073" s="499"/>
      <c r="M4073" s="73"/>
      <c r="N4073" s="499"/>
      <c r="O4073" s="73"/>
      <c r="P4073" s="73"/>
      <c r="Q4073" s="73"/>
      <c r="R4073" s="176"/>
      <c r="S4073" s="176"/>
      <c r="T4073" s="176"/>
      <c r="U4073" s="400"/>
      <c r="V4073" s="400"/>
      <c r="W4073" s="732"/>
      <c r="X4073" s="167"/>
      <c r="Y4073" s="509"/>
      <c r="Z4073" s="466"/>
      <c r="AA4073" s="466"/>
      <c r="AB4073" s="466"/>
      <c r="AC4073" s="466"/>
      <c r="AD4073" s="466"/>
      <c r="AE4073" s="466"/>
      <c r="AF4073" s="466"/>
      <c r="AG4073" s="466"/>
      <c r="AH4073" s="466"/>
      <c r="AI4073" s="466"/>
      <c r="AJ4073" s="466"/>
      <c r="AK4073" s="466"/>
      <c r="AL4073" s="466"/>
      <c r="AM4073" s="466"/>
      <c r="AN4073" s="466"/>
      <c r="AO4073" s="466"/>
      <c r="AP4073" s="466"/>
      <c r="AQ4073" s="466"/>
      <c r="AR4073" s="466"/>
      <c r="AS4073" s="466"/>
      <c r="AT4073" s="466"/>
      <c r="AU4073" s="466"/>
      <c r="AV4073" s="466"/>
      <c r="AW4073" s="466"/>
      <c r="AX4073" s="466"/>
      <c r="AY4073" s="466"/>
      <c r="AZ4073" s="466"/>
      <c r="BA4073" s="466"/>
      <c r="BB4073" s="466"/>
      <c r="BC4073" s="466"/>
      <c r="BD4073" s="466"/>
      <c r="BE4073" s="467"/>
      <c r="BF4073" s="467"/>
      <c r="BG4073" s="466"/>
      <c r="BH4073" s="466"/>
      <c r="BI4073" s="467"/>
      <c r="BJ4073" s="467"/>
      <c r="BK4073" s="467"/>
      <c r="BL4073" s="467"/>
      <c r="BM4073" s="467"/>
      <c r="BN4073" s="467"/>
      <c r="BO4073" s="467"/>
      <c r="BP4073" s="467"/>
      <c r="BQ4073" s="467"/>
      <c r="BR4073" s="467"/>
      <c r="BS4073" s="467"/>
      <c r="BT4073" s="467"/>
      <c r="BU4073" s="467"/>
      <c r="BV4073" s="467"/>
      <c r="BW4073" s="467"/>
      <c r="BX4073" s="769"/>
      <c r="BY4073" s="769"/>
      <c r="BZ4073" s="769"/>
      <c r="CA4073" s="769"/>
      <c r="CB4073" s="769"/>
      <c r="CC4073" s="769"/>
      <c r="CD4073" s="769"/>
      <c r="CE4073" s="769"/>
      <c r="CF4073" s="769"/>
      <c r="CG4073" s="73"/>
      <c r="CH4073" s="438"/>
      <c r="CI4073" s="416"/>
      <c r="CJ4073" s="73"/>
      <c r="CK4073" s="650"/>
      <c r="CL4073" s="499"/>
      <c r="CM4073" s="650"/>
      <c r="CR4073" s="416"/>
      <c r="CS4073" s="650"/>
      <c r="CU4073" s="73"/>
      <c r="CV4073" s="73"/>
      <c r="CW4073" s="73"/>
      <c r="CX4073" s="73"/>
      <c r="DA4073" s="650"/>
    </row>
    <row r="4074" spans="1:105" s="45" customFormat="1" x14ac:dyDescent="0.2">
      <c r="A4074" s="650"/>
      <c r="B4074" s="438"/>
      <c r="D4074" s="73"/>
      <c r="E4074" s="650"/>
      <c r="F4074" s="650"/>
      <c r="G4074" s="73"/>
      <c r="I4074" s="111"/>
      <c r="J4074" s="81"/>
      <c r="K4074" s="81"/>
      <c r="L4074" s="499"/>
      <c r="M4074" s="73"/>
      <c r="N4074" s="499"/>
      <c r="O4074" s="73"/>
      <c r="P4074" s="73"/>
      <c r="Q4074" s="73"/>
      <c r="R4074" s="176"/>
      <c r="S4074" s="176"/>
      <c r="T4074" s="176"/>
      <c r="U4074" s="400"/>
      <c r="V4074" s="400"/>
      <c r="W4074" s="732"/>
      <c r="X4074" s="167"/>
      <c r="Y4074" s="509"/>
      <c r="Z4074" s="466"/>
      <c r="AA4074" s="466"/>
      <c r="AB4074" s="466"/>
      <c r="AC4074" s="466"/>
      <c r="AD4074" s="466"/>
      <c r="AE4074" s="466"/>
      <c r="AF4074" s="466"/>
      <c r="AG4074" s="466"/>
      <c r="AH4074" s="466"/>
      <c r="AI4074" s="466"/>
      <c r="AJ4074" s="466"/>
      <c r="AK4074" s="466"/>
      <c r="AL4074" s="466"/>
      <c r="AM4074" s="466"/>
      <c r="AN4074" s="466"/>
      <c r="AO4074" s="466"/>
      <c r="AP4074" s="466"/>
      <c r="AQ4074" s="466"/>
      <c r="AR4074" s="466"/>
      <c r="AS4074" s="466"/>
      <c r="AT4074" s="466"/>
      <c r="AU4074" s="466"/>
      <c r="AV4074" s="466"/>
      <c r="AW4074" s="466"/>
      <c r="AX4074" s="466"/>
      <c r="AY4074" s="466"/>
      <c r="AZ4074" s="466"/>
      <c r="BA4074" s="466"/>
      <c r="BB4074" s="466"/>
      <c r="BC4074" s="466"/>
      <c r="BD4074" s="466"/>
      <c r="BE4074" s="467"/>
      <c r="BF4074" s="467"/>
      <c r="BG4074" s="466"/>
      <c r="BH4074" s="466"/>
      <c r="BI4074" s="467"/>
      <c r="BJ4074" s="467"/>
      <c r="BK4074" s="467"/>
      <c r="BL4074" s="467"/>
      <c r="BM4074" s="467"/>
      <c r="BN4074" s="467"/>
      <c r="BO4074" s="467"/>
      <c r="BP4074" s="467"/>
      <c r="BQ4074" s="467"/>
      <c r="BR4074" s="467"/>
      <c r="BS4074" s="467"/>
      <c r="BT4074" s="467"/>
      <c r="BU4074" s="467"/>
      <c r="BV4074" s="467"/>
      <c r="BW4074" s="467"/>
      <c r="BX4074" s="769"/>
      <c r="BY4074" s="769"/>
      <c r="BZ4074" s="769"/>
      <c r="CA4074" s="769"/>
      <c r="CB4074" s="769"/>
      <c r="CC4074" s="769"/>
      <c r="CD4074" s="769"/>
      <c r="CE4074" s="769"/>
      <c r="CF4074" s="769"/>
      <c r="CG4074" s="73"/>
      <c r="CH4074" s="438"/>
      <c r="CI4074" s="416"/>
      <c r="CJ4074" s="73"/>
      <c r="CK4074" s="650"/>
      <c r="CL4074" s="499"/>
      <c r="CM4074" s="650"/>
      <c r="CR4074" s="416"/>
      <c r="CS4074" s="650"/>
      <c r="CU4074" s="73"/>
      <c r="CV4074" s="73"/>
      <c r="CW4074" s="73"/>
      <c r="CX4074" s="73"/>
      <c r="DA4074" s="650"/>
    </row>
    <row r="4075" spans="1:105" s="45" customFormat="1" x14ac:dyDescent="0.2">
      <c r="A4075" s="650"/>
      <c r="B4075" s="438"/>
      <c r="D4075" s="73"/>
      <c r="E4075" s="650"/>
      <c r="F4075" s="650"/>
      <c r="G4075" s="73"/>
      <c r="I4075" s="111"/>
      <c r="J4075" s="81"/>
      <c r="K4075" s="81"/>
      <c r="L4075" s="499"/>
      <c r="M4075" s="73"/>
      <c r="N4075" s="499"/>
      <c r="O4075" s="73"/>
      <c r="P4075" s="73"/>
      <c r="Q4075" s="73"/>
      <c r="R4075" s="176"/>
      <c r="S4075" s="176"/>
      <c r="T4075" s="176"/>
      <c r="U4075" s="400"/>
      <c r="V4075" s="400"/>
      <c r="W4075" s="732"/>
      <c r="X4075" s="167"/>
      <c r="Y4075" s="509"/>
      <c r="Z4075" s="466"/>
      <c r="AA4075" s="466"/>
      <c r="AB4075" s="466"/>
      <c r="AC4075" s="466"/>
      <c r="AD4075" s="466"/>
      <c r="AE4075" s="466"/>
      <c r="AF4075" s="466"/>
      <c r="AG4075" s="466"/>
      <c r="AH4075" s="466"/>
      <c r="AI4075" s="466"/>
      <c r="AJ4075" s="466"/>
      <c r="AK4075" s="466"/>
      <c r="AL4075" s="466"/>
      <c r="AM4075" s="466"/>
      <c r="AN4075" s="466"/>
      <c r="AO4075" s="466"/>
      <c r="AP4075" s="466"/>
      <c r="AQ4075" s="466"/>
      <c r="AR4075" s="466"/>
      <c r="AS4075" s="466"/>
      <c r="AT4075" s="466"/>
      <c r="AU4075" s="466"/>
      <c r="AV4075" s="466"/>
      <c r="AW4075" s="466"/>
      <c r="AX4075" s="466"/>
      <c r="AY4075" s="466"/>
      <c r="AZ4075" s="466"/>
      <c r="BA4075" s="466"/>
      <c r="BB4075" s="466"/>
      <c r="BC4075" s="466"/>
      <c r="BD4075" s="466"/>
      <c r="BE4075" s="467"/>
      <c r="BF4075" s="467"/>
      <c r="BG4075" s="466"/>
      <c r="BH4075" s="466"/>
      <c r="BI4075" s="467"/>
      <c r="BJ4075" s="467"/>
      <c r="BK4075" s="467"/>
      <c r="BL4075" s="467"/>
      <c r="BM4075" s="467"/>
      <c r="BN4075" s="467"/>
      <c r="BO4075" s="467"/>
      <c r="BP4075" s="467"/>
      <c r="BQ4075" s="467"/>
      <c r="BR4075" s="467"/>
      <c r="BS4075" s="467"/>
      <c r="BT4075" s="467"/>
      <c r="BU4075" s="467"/>
      <c r="BV4075" s="467"/>
      <c r="BW4075" s="467"/>
      <c r="BX4075" s="769"/>
      <c r="BY4075" s="769"/>
      <c r="BZ4075" s="769"/>
      <c r="CA4075" s="769"/>
      <c r="CB4075" s="769"/>
      <c r="CC4075" s="769"/>
      <c r="CD4075" s="769"/>
      <c r="CE4075" s="769"/>
      <c r="CF4075" s="769"/>
      <c r="CG4075" s="73"/>
      <c r="CH4075" s="438"/>
      <c r="CI4075" s="416"/>
      <c r="CJ4075" s="73"/>
      <c r="CK4075" s="650"/>
      <c r="CL4075" s="499"/>
      <c r="CM4075" s="650"/>
      <c r="CR4075" s="416"/>
      <c r="CS4075" s="650"/>
      <c r="CU4075" s="73"/>
      <c r="CV4075" s="73"/>
      <c r="CW4075" s="73"/>
      <c r="CX4075" s="73"/>
      <c r="DA4075" s="650"/>
    </row>
    <row r="4076" spans="1:105" s="45" customFormat="1" x14ac:dyDescent="0.2">
      <c r="A4076" s="650"/>
      <c r="B4076" s="438"/>
      <c r="D4076" s="73"/>
      <c r="E4076" s="650"/>
      <c r="F4076" s="650"/>
      <c r="G4076" s="73"/>
      <c r="I4076" s="111"/>
      <c r="J4076" s="81"/>
      <c r="K4076" s="81"/>
      <c r="L4076" s="499"/>
      <c r="M4076" s="73"/>
      <c r="N4076" s="499"/>
      <c r="O4076" s="73"/>
      <c r="P4076" s="73"/>
      <c r="Q4076" s="73"/>
      <c r="R4076" s="176"/>
      <c r="S4076" s="176"/>
      <c r="T4076" s="176"/>
      <c r="U4076" s="400"/>
      <c r="V4076" s="400"/>
      <c r="W4076" s="732"/>
      <c r="X4076" s="167"/>
      <c r="Y4076" s="509"/>
      <c r="Z4076" s="466"/>
      <c r="AA4076" s="466"/>
      <c r="AB4076" s="466"/>
      <c r="AC4076" s="466"/>
      <c r="AD4076" s="466"/>
      <c r="AE4076" s="466"/>
      <c r="AF4076" s="466"/>
      <c r="AG4076" s="466"/>
      <c r="AH4076" s="466"/>
      <c r="AI4076" s="466"/>
      <c r="AJ4076" s="466"/>
      <c r="AK4076" s="466"/>
      <c r="AL4076" s="466"/>
      <c r="AM4076" s="466"/>
      <c r="AN4076" s="466"/>
      <c r="AO4076" s="466"/>
      <c r="AP4076" s="466"/>
      <c r="AQ4076" s="466"/>
      <c r="AR4076" s="466"/>
      <c r="AS4076" s="466"/>
      <c r="AT4076" s="466"/>
      <c r="AU4076" s="466"/>
      <c r="AV4076" s="466"/>
      <c r="AW4076" s="466"/>
      <c r="AX4076" s="466"/>
      <c r="AY4076" s="466"/>
      <c r="AZ4076" s="466"/>
      <c r="BA4076" s="466"/>
      <c r="BB4076" s="466"/>
      <c r="BC4076" s="466"/>
      <c r="BD4076" s="466"/>
      <c r="BE4076" s="467"/>
      <c r="BF4076" s="467"/>
      <c r="BG4076" s="466"/>
      <c r="BH4076" s="466"/>
      <c r="BI4076" s="467"/>
      <c r="BJ4076" s="467"/>
      <c r="BK4076" s="467"/>
      <c r="BL4076" s="467"/>
      <c r="BM4076" s="467"/>
      <c r="BN4076" s="467"/>
      <c r="BO4076" s="467"/>
      <c r="BP4076" s="467"/>
      <c r="BQ4076" s="467"/>
      <c r="BR4076" s="467"/>
      <c r="BS4076" s="467"/>
      <c r="BT4076" s="467"/>
      <c r="BU4076" s="467"/>
      <c r="BV4076" s="467"/>
      <c r="BW4076" s="467"/>
      <c r="BX4076" s="769"/>
      <c r="BY4076" s="769"/>
      <c r="BZ4076" s="769"/>
      <c r="CA4076" s="769"/>
      <c r="CB4076" s="769"/>
      <c r="CC4076" s="769"/>
      <c r="CD4076" s="769"/>
      <c r="CE4076" s="769"/>
      <c r="CF4076" s="769"/>
      <c r="CG4076" s="73"/>
      <c r="CH4076" s="438"/>
      <c r="CI4076" s="416"/>
      <c r="CJ4076" s="73"/>
      <c r="CK4076" s="650"/>
      <c r="CL4076" s="499"/>
      <c r="CM4076" s="650"/>
      <c r="CR4076" s="416"/>
      <c r="CS4076" s="650"/>
      <c r="CU4076" s="73"/>
      <c r="CV4076" s="73"/>
      <c r="CW4076" s="73"/>
      <c r="CX4076" s="73"/>
      <c r="DA4076" s="650"/>
    </row>
    <row r="4077" spans="1:105" s="45" customFormat="1" x14ac:dyDescent="0.2">
      <c r="A4077" s="650"/>
      <c r="B4077" s="438"/>
      <c r="D4077" s="73"/>
      <c r="E4077" s="650"/>
      <c r="F4077" s="650"/>
      <c r="G4077" s="73"/>
      <c r="I4077" s="111"/>
      <c r="J4077" s="81"/>
      <c r="K4077" s="81"/>
      <c r="L4077" s="499"/>
      <c r="M4077" s="73"/>
      <c r="N4077" s="499"/>
      <c r="O4077" s="73"/>
      <c r="P4077" s="73"/>
      <c r="Q4077" s="73"/>
      <c r="R4077" s="176"/>
      <c r="S4077" s="176"/>
      <c r="T4077" s="176"/>
      <c r="U4077" s="400"/>
      <c r="V4077" s="400"/>
      <c r="W4077" s="732"/>
      <c r="X4077" s="167"/>
      <c r="Y4077" s="509"/>
      <c r="Z4077" s="466"/>
      <c r="AA4077" s="466"/>
      <c r="AB4077" s="466"/>
      <c r="AC4077" s="466"/>
      <c r="AD4077" s="466"/>
      <c r="AE4077" s="466"/>
      <c r="AF4077" s="466"/>
      <c r="AG4077" s="466"/>
      <c r="AH4077" s="466"/>
      <c r="AI4077" s="466"/>
      <c r="AJ4077" s="466"/>
      <c r="AK4077" s="466"/>
      <c r="AL4077" s="466"/>
      <c r="AM4077" s="466"/>
      <c r="AN4077" s="466"/>
      <c r="AO4077" s="466"/>
      <c r="AP4077" s="466"/>
      <c r="AQ4077" s="466"/>
      <c r="AR4077" s="466"/>
      <c r="AS4077" s="466"/>
      <c r="AT4077" s="466"/>
      <c r="AU4077" s="466"/>
      <c r="AV4077" s="466"/>
      <c r="AW4077" s="466"/>
      <c r="AX4077" s="466"/>
      <c r="AY4077" s="466"/>
      <c r="AZ4077" s="466"/>
      <c r="BA4077" s="466"/>
      <c r="BB4077" s="466"/>
      <c r="BC4077" s="466"/>
      <c r="BD4077" s="466"/>
      <c r="BE4077" s="467"/>
      <c r="BF4077" s="467"/>
      <c r="BG4077" s="466"/>
      <c r="BH4077" s="466"/>
      <c r="BI4077" s="467"/>
      <c r="BJ4077" s="467"/>
      <c r="BK4077" s="467"/>
      <c r="BL4077" s="467"/>
      <c r="BM4077" s="467"/>
      <c r="BN4077" s="467"/>
      <c r="BO4077" s="467"/>
      <c r="BP4077" s="467"/>
      <c r="BQ4077" s="467"/>
      <c r="BR4077" s="467"/>
      <c r="BS4077" s="467"/>
      <c r="BT4077" s="467"/>
      <c r="BU4077" s="467"/>
      <c r="BV4077" s="467"/>
      <c r="BW4077" s="467"/>
      <c r="BX4077" s="769"/>
      <c r="BY4077" s="769"/>
      <c r="BZ4077" s="769"/>
      <c r="CA4077" s="769"/>
      <c r="CB4077" s="769"/>
      <c r="CC4077" s="769"/>
      <c r="CD4077" s="769"/>
      <c r="CE4077" s="769"/>
      <c r="CF4077" s="769"/>
      <c r="CG4077" s="73"/>
      <c r="CH4077" s="438"/>
      <c r="CI4077" s="416"/>
      <c r="CJ4077" s="73"/>
      <c r="CK4077" s="650"/>
      <c r="CL4077" s="499"/>
      <c r="CM4077" s="650"/>
      <c r="CR4077" s="416"/>
      <c r="CS4077" s="650"/>
      <c r="CU4077" s="73"/>
      <c r="CV4077" s="73"/>
      <c r="CW4077" s="73"/>
      <c r="CX4077" s="73"/>
      <c r="DA4077" s="650"/>
    </row>
    <row r="4078" spans="1:105" s="45" customFormat="1" x14ac:dyDescent="0.2">
      <c r="A4078" s="650"/>
      <c r="B4078" s="438"/>
      <c r="D4078" s="73"/>
      <c r="E4078" s="650"/>
      <c r="F4078" s="650"/>
      <c r="G4078" s="73"/>
      <c r="I4078" s="111"/>
      <c r="J4078" s="81"/>
      <c r="K4078" s="81"/>
      <c r="L4078" s="499"/>
      <c r="M4078" s="73"/>
      <c r="N4078" s="499"/>
      <c r="O4078" s="73"/>
      <c r="P4078" s="73"/>
      <c r="Q4078" s="73"/>
      <c r="R4078" s="176"/>
      <c r="S4078" s="176"/>
      <c r="T4078" s="176"/>
      <c r="U4078" s="400"/>
      <c r="V4078" s="400"/>
      <c r="W4078" s="732"/>
      <c r="X4078" s="167"/>
      <c r="Y4078" s="509"/>
      <c r="Z4078" s="466"/>
      <c r="AA4078" s="466"/>
      <c r="AB4078" s="466"/>
      <c r="AC4078" s="466"/>
      <c r="AD4078" s="466"/>
      <c r="AE4078" s="466"/>
      <c r="AF4078" s="466"/>
      <c r="AG4078" s="466"/>
      <c r="AH4078" s="466"/>
      <c r="AI4078" s="466"/>
      <c r="AJ4078" s="466"/>
      <c r="AK4078" s="466"/>
      <c r="AL4078" s="466"/>
      <c r="AM4078" s="466"/>
      <c r="AN4078" s="466"/>
      <c r="AO4078" s="466"/>
      <c r="AP4078" s="466"/>
      <c r="AQ4078" s="466"/>
      <c r="AR4078" s="466"/>
      <c r="AS4078" s="466"/>
      <c r="AT4078" s="466"/>
      <c r="AU4078" s="466"/>
      <c r="AV4078" s="466"/>
      <c r="AW4078" s="466"/>
      <c r="AX4078" s="466"/>
      <c r="AY4078" s="466"/>
      <c r="AZ4078" s="466"/>
      <c r="BA4078" s="466"/>
      <c r="BB4078" s="466"/>
      <c r="BC4078" s="466"/>
      <c r="BD4078" s="466"/>
      <c r="BE4078" s="467"/>
      <c r="BF4078" s="467"/>
      <c r="BG4078" s="466"/>
      <c r="BH4078" s="466"/>
      <c r="BI4078" s="467"/>
      <c r="BJ4078" s="467"/>
      <c r="BK4078" s="467"/>
      <c r="BL4078" s="467"/>
      <c r="BM4078" s="467"/>
      <c r="BN4078" s="467"/>
      <c r="BO4078" s="467"/>
      <c r="BP4078" s="467"/>
      <c r="BQ4078" s="467"/>
      <c r="BR4078" s="467"/>
      <c r="BS4078" s="467"/>
      <c r="BT4078" s="467"/>
      <c r="BU4078" s="467"/>
      <c r="BV4078" s="467"/>
      <c r="BW4078" s="467"/>
      <c r="BX4078" s="769"/>
      <c r="BY4078" s="769"/>
      <c r="BZ4078" s="769"/>
      <c r="CA4078" s="769"/>
      <c r="CB4078" s="769"/>
      <c r="CC4078" s="769"/>
      <c r="CD4078" s="769"/>
      <c r="CE4078" s="769"/>
      <c r="CF4078" s="769"/>
      <c r="CG4078" s="73"/>
      <c r="CH4078" s="438"/>
      <c r="CI4078" s="416"/>
      <c r="CJ4078" s="73"/>
      <c r="CK4078" s="650"/>
      <c r="CL4078" s="499"/>
      <c r="CM4078" s="650"/>
      <c r="CR4078" s="416"/>
      <c r="CS4078" s="650"/>
      <c r="CU4078" s="73"/>
      <c r="CV4078" s="73"/>
      <c r="CW4078" s="73"/>
      <c r="CX4078" s="73"/>
      <c r="DA4078" s="650"/>
    </row>
    <row r="4079" spans="1:105" s="45" customFormat="1" x14ac:dyDescent="0.2">
      <c r="A4079" s="650"/>
      <c r="B4079" s="438"/>
      <c r="D4079" s="73"/>
      <c r="E4079" s="650"/>
      <c r="F4079" s="650"/>
      <c r="G4079" s="73"/>
      <c r="I4079" s="111"/>
      <c r="J4079" s="81"/>
      <c r="K4079" s="81"/>
      <c r="L4079" s="499"/>
      <c r="M4079" s="73"/>
      <c r="N4079" s="499"/>
      <c r="O4079" s="73"/>
      <c r="P4079" s="73"/>
      <c r="Q4079" s="73"/>
      <c r="R4079" s="176"/>
      <c r="S4079" s="176"/>
      <c r="T4079" s="176"/>
      <c r="U4079" s="400"/>
      <c r="V4079" s="400"/>
      <c r="W4079" s="732"/>
      <c r="X4079" s="167"/>
      <c r="Y4079" s="509"/>
      <c r="Z4079" s="466"/>
      <c r="AA4079" s="466"/>
      <c r="AB4079" s="466"/>
      <c r="AC4079" s="466"/>
      <c r="AD4079" s="466"/>
      <c r="AE4079" s="466"/>
      <c r="AF4079" s="466"/>
      <c r="AG4079" s="466"/>
      <c r="AH4079" s="466"/>
      <c r="AI4079" s="466"/>
      <c r="AJ4079" s="466"/>
      <c r="AK4079" s="466"/>
      <c r="AL4079" s="466"/>
      <c r="AM4079" s="466"/>
      <c r="AN4079" s="466"/>
      <c r="AO4079" s="466"/>
      <c r="AP4079" s="466"/>
      <c r="AQ4079" s="466"/>
      <c r="AR4079" s="466"/>
      <c r="AS4079" s="466"/>
      <c r="AT4079" s="466"/>
      <c r="AU4079" s="466"/>
      <c r="AV4079" s="466"/>
      <c r="AW4079" s="466"/>
      <c r="AX4079" s="466"/>
      <c r="AY4079" s="466"/>
      <c r="AZ4079" s="466"/>
      <c r="BA4079" s="466"/>
      <c r="BB4079" s="466"/>
      <c r="BC4079" s="466"/>
      <c r="BD4079" s="466"/>
      <c r="BE4079" s="467"/>
      <c r="BF4079" s="467"/>
      <c r="BG4079" s="466"/>
      <c r="BH4079" s="466"/>
      <c r="BI4079" s="467"/>
      <c r="BJ4079" s="467"/>
      <c r="BK4079" s="467"/>
      <c r="BL4079" s="467"/>
      <c r="BM4079" s="467"/>
      <c r="BN4079" s="467"/>
      <c r="BO4079" s="467"/>
      <c r="BP4079" s="467"/>
      <c r="BQ4079" s="467"/>
      <c r="BR4079" s="467"/>
      <c r="BS4079" s="467"/>
      <c r="BT4079" s="467"/>
      <c r="BU4079" s="467"/>
      <c r="BV4079" s="467"/>
      <c r="BW4079" s="467"/>
      <c r="BX4079" s="769"/>
      <c r="BY4079" s="769"/>
      <c r="BZ4079" s="769"/>
      <c r="CA4079" s="769"/>
      <c r="CB4079" s="769"/>
      <c r="CC4079" s="769"/>
      <c r="CD4079" s="769"/>
      <c r="CE4079" s="769"/>
      <c r="CF4079" s="769"/>
      <c r="CG4079" s="73"/>
      <c r="CH4079" s="438"/>
      <c r="CI4079" s="416"/>
      <c r="CJ4079" s="73"/>
      <c r="CK4079" s="650"/>
      <c r="CL4079" s="499"/>
      <c r="CM4079" s="650"/>
      <c r="CR4079" s="416"/>
      <c r="CS4079" s="650"/>
      <c r="CU4079" s="73"/>
      <c r="CV4079" s="73"/>
      <c r="CW4079" s="73"/>
      <c r="CX4079" s="73"/>
      <c r="DA4079" s="650"/>
    </row>
    <row r="4080" spans="1:105" s="45" customFormat="1" x14ac:dyDescent="0.2">
      <c r="A4080" s="650"/>
      <c r="B4080" s="438"/>
      <c r="D4080" s="73"/>
      <c r="E4080" s="650"/>
      <c r="F4080" s="650"/>
      <c r="G4080" s="73"/>
      <c r="I4080" s="111"/>
      <c r="J4080" s="81"/>
      <c r="K4080" s="81"/>
      <c r="L4080" s="499"/>
      <c r="M4080" s="73"/>
      <c r="N4080" s="499"/>
      <c r="O4080" s="73"/>
      <c r="P4080" s="73"/>
      <c r="Q4080" s="73"/>
      <c r="R4080" s="176"/>
      <c r="S4080" s="176"/>
      <c r="T4080" s="176"/>
      <c r="U4080" s="400"/>
      <c r="V4080" s="400"/>
      <c r="W4080" s="732"/>
      <c r="X4080" s="167"/>
      <c r="Y4080" s="509"/>
      <c r="Z4080" s="466"/>
      <c r="AA4080" s="466"/>
      <c r="AB4080" s="466"/>
      <c r="AC4080" s="466"/>
      <c r="AD4080" s="466"/>
      <c r="AE4080" s="466"/>
      <c r="AF4080" s="466"/>
      <c r="AG4080" s="466"/>
      <c r="AH4080" s="466"/>
      <c r="AI4080" s="466"/>
      <c r="AJ4080" s="466"/>
      <c r="AK4080" s="466"/>
      <c r="AL4080" s="466"/>
      <c r="AM4080" s="466"/>
      <c r="AN4080" s="466"/>
      <c r="AO4080" s="466"/>
      <c r="AP4080" s="466"/>
      <c r="AQ4080" s="466"/>
      <c r="AR4080" s="466"/>
      <c r="AS4080" s="466"/>
      <c r="AT4080" s="466"/>
      <c r="AU4080" s="466"/>
      <c r="AV4080" s="466"/>
      <c r="AW4080" s="466"/>
      <c r="AX4080" s="466"/>
      <c r="AY4080" s="466"/>
      <c r="AZ4080" s="466"/>
      <c r="BA4080" s="466"/>
      <c r="BB4080" s="466"/>
      <c r="BC4080" s="466"/>
      <c r="BD4080" s="466"/>
      <c r="BE4080" s="467"/>
      <c r="BF4080" s="467"/>
      <c r="BG4080" s="466"/>
      <c r="BH4080" s="466"/>
      <c r="BI4080" s="467"/>
      <c r="BJ4080" s="467"/>
      <c r="BK4080" s="467"/>
      <c r="BL4080" s="467"/>
      <c r="BM4080" s="467"/>
      <c r="BN4080" s="467"/>
      <c r="BO4080" s="467"/>
      <c r="BP4080" s="467"/>
      <c r="BQ4080" s="467"/>
      <c r="BR4080" s="467"/>
      <c r="BS4080" s="467"/>
      <c r="BT4080" s="467"/>
      <c r="BU4080" s="467"/>
      <c r="BV4080" s="467"/>
      <c r="BW4080" s="467"/>
      <c r="BX4080" s="769"/>
      <c r="BY4080" s="769"/>
      <c r="BZ4080" s="769"/>
      <c r="CA4080" s="769"/>
      <c r="CB4080" s="769"/>
      <c r="CC4080" s="769"/>
      <c r="CD4080" s="769"/>
      <c r="CE4080" s="769"/>
      <c r="CF4080" s="769"/>
      <c r="CG4080" s="73"/>
      <c r="CH4080" s="438"/>
      <c r="CI4080" s="416"/>
      <c r="CJ4080" s="73"/>
      <c r="CK4080" s="650"/>
      <c r="CL4080" s="499"/>
      <c r="CM4080" s="650"/>
      <c r="CR4080" s="416"/>
      <c r="CS4080" s="650"/>
      <c r="CU4080" s="73"/>
      <c r="CV4080" s="73"/>
      <c r="CW4080" s="73"/>
      <c r="CX4080" s="73"/>
      <c r="DA4080" s="650"/>
    </row>
    <row r="4081" spans="1:105" s="45" customFormat="1" x14ac:dyDescent="0.2">
      <c r="A4081" s="650"/>
      <c r="B4081" s="438"/>
      <c r="D4081" s="73"/>
      <c r="E4081" s="650"/>
      <c r="F4081" s="650"/>
      <c r="G4081" s="73"/>
      <c r="I4081" s="111"/>
      <c r="J4081" s="81"/>
      <c r="K4081" s="81"/>
      <c r="L4081" s="499"/>
      <c r="M4081" s="73"/>
      <c r="N4081" s="499"/>
      <c r="O4081" s="73"/>
      <c r="P4081" s="73"/>
      <c r="Q4081" s="73"/>
      <c r="R4081" s="176"/>
      <c r="S4081" s="176"/>
      <c r="T4081" s="176"/>
      <c r="U4081" s="400"/>
      <c r="V4081" s="400"/>
      <c r="W4081" s="732"/>
      <c r="X4081" s="167"/>
      <c r="Y4081" s="509"/>
      <c r="Z4081" s="466"/>
      <c r="AA4081" s="466"/>
      <c r="AB4081" s="466"/>
      <c r="AC4081" s="466"/>
      <c r="AD4081" s="466"/>
      <c r="AE4081" s="466"/>
      <c r="AF4081" s="466"/>
      <c r="AG4081" s="466"/>
      <c r="AH4081" s="466"/>
      <c r="AI4081" s="466"/>
      <c r="AJ4081" s="466"/>
      <c r="AK4081" s="466"/>
      <c r="AL4081" s="466"/>
      <c r="AM4081" s="466"/>
      <c r="AN4081" s="466"/>
      <c r="AO4081" s="466"/>
      <c r="AP4081" s="466"/>
      <c r="AQ4081" s="466"/>
      <c r="AR4081" s="466"/>
      <c r="AS4081" s="466"/>
      <c r="AT4081" s="466"/>
      <c r="AU4081" s="466"/>
      <c r="AV4081" s="466"/>
      <c r="AW4081" s="466"/>
      <c r="AX4081" s="466"/>
      <c r="AY4081" s="466"/>
      <c r="AZ4081" s="466"/>
      <c r="BA4081" s="466"/>
      <c r="BB4081" s="466"/>
      <c r="BC4081" s="466"/>
      <c r="BD4081" s="466"/>
      <c r="BE4081" s="467"/>
      <c r="BF4081" s="467"/>
      <c r="BG4081" s="466"/>
      <c r="BH4081" s="466"/>
      <c r="BI4081" s="467"/>
      <c r="BJ4081" s="467"/>
      <c r="BK4081" s="467"/>
      <c r="BL4081" s="467"/>
      <c r="BM4081" s="467"/>
      <c r="BN4081" s="467"/>
      <c r="BO4081" s="467"/>
      <c r="BP4081" s="467"/>
      <c r="BQ4081" s="467"/>
      <c r="BR4081" s="467"/>
      <c r="BS4081" s="467"/>
      <c r="BT4081" s="467"/>
      <c r="BU4081" s="467"/>
      <c r="BV4081" s="467"/>
      <c r="BW4081" s="467"/>
      <c r="BX4081" s="769"/>
      <c r="BY4081" s="769"/>
      <c r="BZ4081" s="769"/>
      <c r="CA4081" s="769"/>
      <c r="CB4081" s="769"/>
      <c r="CC4081" s="769"/>
      <c r="CD4081" s="769"/>
      <c r="CE4081" s="769"/>
      <c r="CF4081" s="769"/>
      <c r="CG4081" s="73"/>
      <c r="CH4081" s="438"/>
      <c r="CI4081" s="416"/>
      <c r="CJ4081" s="73"/>
      <c r="CK4081" s="650"/>
      <c r="CL4081" s="499"/>
      <c r="CM4081" s="650"/>
      <c r="CR4081" s="416"/>
      <c r="CS4081" s="650"/>
      <c r="CU4081" s="73"/>
      <c r="CV4081" s="73"/>
      <c r="CW4081" s="73"/>
      <c r="CX4081" s="73"/>
      <c r="DA4081" s="650"/>
    </row>
    <row r="4082" spans="1:105" s="45" customFormat="1" x14ac:dyDescent="0.2">
      <c r="A4082" s="650"/>
      <c r="B4082" s="438"/>
      <c r="D4082" s="73"/>
      <c r="E4082" s="650"/>
      <c r="F4082" s="650"/>
      <c r="G4082" s="73"/>
      <c r="I4082" s="111"/>
      <c r="J4082" s="81"/>
      <c r="K4082" s="81"/>
      <c r="L4082" s="499"/>
      <c r="M4082" s="73"/>
      <c r="N4082" s="499"/>
      <c r="O4082" s="73"/>
      <c r="P4082" s="73"/>
      <c r="Q4082" s="73"/>
      <c r="R4082" s="176"/>
      <c r="S4082" s="176"/>
      <c r="T4082" s="176"/>
      <c r="U4082" s="400"/>
      <c r="V4082" s="400"/>
      <c r="W4082" s="732"/>
      <c r="X4082" s="167"/>
      <c r="Y4082" s="509"/>
      <c r="Z4082" s="466"/>
      <c r="AA4082" s="466"/>
      <c r="AB4082" s="466"/>
      <c r="AC4082" s="466"/>
      <c r="AD4082" s="466"/>
      <c r="AE4082" s="466"/>
      <c r="AF4082" s="466"/>
      <c r="AG4082" s="466"/>
      <c r="AH4082" s="466"/>
      <c r="AI4082" s="466"/>
      <c r="AJ4082" s="466"/>
      <c r="AK4082" s="466"/>
      <c r="AL4082" s="466"/>
      <c r="AM4082" s="466"/>
      <c r="AN4082" s="466"/>
      <c r="AO4082" s="466"/>
      <c r="AP4082" s="466"/>
      <c r="AQ4082" s="466"/>
      <c r="AR4082" s="466"/>
      <c r="AS4082" s="466"/>
      <c r="AT4082" s="466"/>
      <c r="AU4082" s="466"/>
      <c r="AV4082" s="466"/>
      <c r="AW4082" s="466"/>
      <c r="AX4082" s="466"/>
      <c r="AY4082" s="466"/>
      <c r="AZ4082" s="466"/>
      <c r="BA4082" s="466"/>
      <c r="BB4082" s="466"/>
      <c r="BC4082" s="466"/>
      <c r="BD4082" s="466"/>
      <c r="BE4082" s="467"/>
      <c r="BF4082" s="467"/>
      <c r="BG4082" s="466"/>
      <c r="BH4082" s="466"/>
      <c r="BI4082" s="467"/>
      <c r="BJ4082" s="467"/>
      <c r="BK4082" s="467"/>
      <c r="BL4082" s="467"/>
      <c r="BM4082" s="467"/>
      <c r="BN4082" s="467"/>
      <c r="BO4082" s="467"/>
      <c r="BP4082" s="467"/>
      <c r="BQ4082" s="467"/>
      <c r="BR4082" s="467"/>
      <c r="BS4082" s="467"/>
      <c r="BT4082" s="467"/>
      <c r="BU4082" s="467"/>
      <c r="BV4082" s="467"/>
      <c r="BW4082" s="467"/>
      <c r="BX4082" s="769"/>
      <c r="BY4082" s="769"/>
      <c r="BZ4082" s="769"/>
      <c r="CA4082" s="769"/>
      <c r="CB4082" s="769"/>
      <c r="CC4082" s="769"/>
      <c r="CD4082" s="769"/>
      <c r="CE4082" s="769"/>
      <c r="CF4082" s="769"/>
      <c r="CG4082" s="73"/>
      <c r="CH4082" s="438"/>
      <c r="CI4082" s="416"/>
      <c r="CJ4082" s="73"/>
      <c r="CK4082" s="650"/>
      <c r="CL4082" s="499"/>
      <c r="CM4082" s="650"/>
      <c r="CR4082" s="416"/>
      <c r="CS4082" s="650"/>
      <c r="CU4082" s="73"/>
      <c r="CV4082" s="73"/>
      <c r="CW4082" s="73"/>
      <c r="CX4082" s="73"/>
      <c r="DA4082" s="650"/>
    </row>
    <row r="4083" spans="1:105" s="45" customFormat="1" x14ac:dyDescent="0.2">
      <c r="A4083" s="650"/>
      <c r="B4083" s="438"/>
      <c r="D4083" s="73"/>
      <c r="E4083" s="650"/>
      <c r="F4083" s="650"/>
      <c r="G4083" s="73"/>
      <c r="I4083" s="111"/>
      <c r="J4083" s="81"/>
      <c r="K4083" s="81"/>
      <c r="L4083" s="499"/>
      <c r="M4083" s="73"/>
      <c r="N4083" s="499"/>
      <c r="O4083" s="73"/>
      <c r="P4083" s="73"/>
      <c r="Q4083" s="73"/>
      <c r="R4083" s="176"/>
      <c r="S4083" s="176"/>
      <c r="T4083" s="176"/>
      <c r="U4083" s="400"/>
      <c r="V4083" s="400"/>
      <c r="W4083" s="732"/>
      <c r="X4083" s="167"/>
      <c r="Y4083" s="509"/>
      <c r="Z4083" s="466"/>
      <c r="AA4083" s="466"/>
      <c r="AB4083" s="466"/>
      <c r="AC4083" s="466"/>
      <c r="AD4083" s="466"/>
      <c r="AE4083" s="466"/>
      <c r="AF4083" s="466"/>
      <c r="AG4083" s="466"/>
      <c r="AH4083" s="466"/>
      <c r="AI4083" s="466"/>
      <c r="AJ4083" s="466"/>
      <c r="AK4083" s="466"/>
      <c r="AL4083" s="466"/>
      <c r="AM4083" s="466"/>
      <c r="AN4083" s="466"/>
      <c r="AO4083" s="466"/>
      <c r="AP4083" s="466"/>
      <c r="AQ4083" s="466"/>
      <c r="AR4083" s="466"/>
      <c r="AS4083" s="466"/>
      <c r="AT4083" s="466"/>
      <c r="AU4083" s="466"/>
      <c r="AV4083" s="466"/>
      <c r="AW4083" s="466"/>
      <c r="AX4083" s="466"/>
      <c r="AY4083" s="466"/>
      <c r="AZ4083" s="466"/>
      <c r="BA4083" s="466"/>
      <c r="BB4083" s="466"/>
      <c r="BC4083" s="466"/>
      <c r="BD4083" s="466"/>
      <c r="BE4083" s="467"/>
      <c r="BF4083" s="467"/>
      <c r="BG4083" s="466"/>
      <c r="BH4083" s="466"/>
      <c r="BI4083" s="467"/>
      <c r="BJ4083" s="467"/>
      <c r="BK4083" s="467"/>
      <c r="BL4083" s="467"/>
      <c r="BM4083" s="467"/>
      <c r="BN4083" s="467"/>
      <c r="BO4083" s="467"/>
      <c r="BP4083" s="467"/>
      <c r="BQ4083" s="467"/>
      <c r="BR4083" s="467"/>
      <c r="BS4083" s="467"/>
      <c r="BT4083" s="467"/>
      <c r="BU4083" s="467"/>
      <c r="BV4083" s="467"/>
      <c r="BW4083" s="467"/>
      <c r="BX4083" s="769"/>
      <c r="BY4083" s="769"/>
      <c r="BZ4083" s="769"/>
      <c r="CA4083" s="769"/>
      <c r="CB4083" s="769"/>
      <c r="CC4083" s="769"/>
      <c r="CD4083" s="769"/>
      <c r="CE4083" s="769"/>
      <c r="CF4083" s="769"/>
      <c r="CG4083" s="73"/>
      <c r="CH4083" s="438"/>
      <c r="CI4083" s="416"/>
      <c r="CJ4083" s="73"/>
      <c r="CK4083" s="650"/>
      <c r="CL4083" s="499"/>
      <c r="CM4083" s="650"/>
      <c r="CR4083" s="416"/>
      <c r="CS4083" s="650"/>
      <c r="CU4083" s="73"/>
      <c r="CV4083" s="73"/>
      <c r="CW4083" s="73"/>
      <c r="CX4083" s="73"/>
      <c r="DA4083" s="650"/>
    </row>
    <row r="4084" spans="1:105" s="45" customFormat="1" x14ac:dyDescent="0.2">
      <c r="A4084" s="650"/>
      <c r="B4084" s="438"/>
      <c r="D4084" s="73"/>
      <c r="E4084" s="650"/>
      <c r="F4084" s="650"/>
      <c r="G4084" s="73"/>
      <c r="I4084" s="111"/>
      <c r="J4084" s="81"/>
      <c r="K4084" s="81"/>
      <c r="L4084" s="499"/>
      <c r="M4084" s="73"/>
      <c r="N4084" s="499"/>
      <c r="O4084" s="73"/>
      <c r="P4084" s="73"/>
      <c r="Q4084" s="73"/>
      <c r="R4084" s="176"/>
      <c r="S4084" s="176"/>
      <c r="T4084" s="176"/>
      <c r="U4084" s="400"/>
      <c r="V4084" s="400"/>
      <c r="W4084" s="732"/>
      <c r="X4084" s="167"/>
      <c r="Y4084" s="509"/>
      <c r="Z4084" s="466"/>
      <c r="AA4084" s="466"/>
      <c r="AB4084" s="466"/>
      <c r="AC4084" s="466"/>
      <c r="AD4084" s="466"/>
      <c r="AE4084" s="466"/>
      <c r="AF4084" s="466"/>
      <c r="AG4084" s="466"/>
      <c r="AH4084" s="466"/>
      <c r="AI4084" s="466"/>
      <c r="AJ4084" s="466"/>
      <c r="AK4084" s="466"/>
      <c r="AL4084" s="466"/>
      <c r="AM4084" s="466"/>
      <c r="AN4084" s="466"/>
      <c r="AO4084" s="466"/>
      <c r="AP4084" s="466"/>
      <c r="AQ4084" s="466"/>
      <c r="AR4084" s="466"/>
      <c r="AS4084" s="466"/>
      <c r="AT4084" s="466"/>
      <c r="AU4084" s="466"/>
      <c r="AV4084" s="466"/>
      <c r="AW4084" s="466"/>
      <c r="AX4084" s="466"/>
      <c r="AY4084" s="466"/>
      <c r="AZ4084" s="466"/>
      <c r="BA4084" s="466"/>
      <c r="BB4084" s="466"/>
      <c r="BC4084" s="466"/>
      <c r="BD4084" s="466"/>
      <c r="BE4084" s="467"/>
      <c r="BF4084" s="467"/>
      <c r="BG4084" s="466"/>
      <c r="BH4084" s="466"/>
      <c r="BI4084" s="467"/>
      <c r="BJ4084" s="467"/>
      <c r="BK4084" s="467"/>
      <c r="BL4084" s="467"/>
      <c r="BM4084" s="467"/>
      <c r="BN4084" s="467"/>
      <c r="BO4084" s="467"/>
      <c r="BP4084" s="467"/>
      <c r="BQ4084" s="467"/>
      <c r="BR4084" s="467"/>
      <c r="BS4084" s="467"/>
      <c r="BT4084" s="467"/>
      <c r="BU4084" s="467"/>
      <c r="BV4084" s="467"/>
      <c r="BW4084" s="467"/>
      <c r="BX4084" s="769"/>
      <c r="BY4084" s="769"/>
      <c r="BZ4084" s="769"/>
      <c r="CA4084" s="769"/>
      <c r="CB4084" s="769"/>
      <c r="CC4084" s="769"/>
      <c r="CD4084" s="769"/>
      <c r="CE4084" s="769"/>
      <c r="CF4084" s="769"/>
      <c r="CG4084" s="73"/>
      <c r="CH4084" s="438"/>
      <c r="CI4084" s="416"/>
      <c r="CJ4084" s="73"/>
      <c r="CK4084" s="650"/>
      <c r="CL4084" s="499"/>
      <c r="CM4084" s="650"/>
      <c r="CR4084" s="416"/>
      <c r="CS4084" s="650"/>
      <c r="CU4084" s="73"/>
      <c r="CV4084" s="73"/>
      <c r="CW4084" s="73"/>
      <c r="CX4084" s="73"/>
      <c r="DA4084" s="650"/>
    </row>
    <row r="4085" spans="1:105" s="45" customFormat="1" x14ac:dyDescent="0.2">
      <c r="A4085" s="650"/>
      <c r="B4085" s="438"/>
      <c r="D4085" s="73"/>
      <c r="E4085" s="650"/>
      <c r="F4085" s="650"/>
      <c r="G4085" s="73"/>
      <c r="I4085" s="111"/>
      <c r="J4085" s="81"/>
      <c r="K4085" s="81"/>
      <c r="L4085" s="499"/>
      <c r="M4085" s="73"/>
      <c r="N4085" s="499"/>
      <c r="O4085" s="73"/>
      <c r="P4085" s="73"/>
      <c r="Q4085" s="73"/>
      <c r="R4085" s="176"/>
      <c r="S4085" s="176"/>
      <c r="T4085" s="176"/>
      <c r="U4085" s="400"/>
      <c r="V4085" s="400"/>
      <c r="W4085" s="732"/>
      <c r="X4085" s="167"/>
      <c r="Y4085" s="509"/>
      <c r="Z4085" s="466"/>
      <c r="AA4085" s="466"/>
      <c r="AB4085" s="466"/>
      <c r="AC4085" s="466"/>
      <c r="AD4085" s="466"/>
      <c r="AE4085" s="466"/>
      <c r="AF4085" s="466"/>
      <c r="AG4085" s="466"/>
      <c r="AH4085" s="466"/>
      <c r="AI4085" s="466"/>
      <c r="AJ4085" s="466"/>
      <c r="AK4085" s="466"/>
      <c r="AL4085" s="466"/>
      <c r="AM4085" s="466"/>
      <c r="AN4085" s="466"/>
      <c r="AO4085" s="466"/>
      <c r="AP4085" s="466"/>
      <c r="AQ4085" s="466"/>
      <c r="AR4085" s="466"/>
      <c r="AS4085" s="466"/>
      <c r="AT4085" s="466"/>
      <c r="AU4085" s="466"/>
      <c r="AV4085" s="466"/>
      <c r="AW4085" s="466"/>
      <c r="AX4085" s="466"/>
      <c r="AY4085" s="466"/>
      <c r="AZ4085" s="466"/>
      <c r="BA4085" s="466"/>
      <c r="BB4085" s="466"/>
      <c r="BC4085" s="466"/>
      <c r="BD4085" s="466"/>
      <c r="BE4085" s="467"/>
      <c r="BF4085" s="467"/>
      <c r="BG4085" s="466"/>
      <c r="BH4085" s="466"/>
      <c r="BI4085" s="467"/>
      <c r="BJ4085" s="467"/>
      <c r="BK4085" s="467"/>
      <c r="BL4085" s="467"/>
      <c r="BM4085" s="467"/>
      <c r="BN4085" s="467"/>
      <c r="BO4085" s="467"/>
      <c r="BP4085" s="467"/>
      <c r="BQ4085" s="467"/>
      <c r="BR4085" s="467"/>
      <c r="BS4085" s="467"/>
      <c r="BT4085" s="467"/>
      <c r="BU4085" s="467"/>
      <c r="BV4085" s="467"/>
      <c r="BW4085" s="467"/>
      <c r="BX4085" s="769"/>
      <c r="BY4085" s="769"/>
      <c r="BZ4085" s="769"/>
      <c r="CA4085" s="769"/>
      <c r="CB4085" s="769"/>
      <c r="CC4085" s="769"/>
      <c r="CD4085" s="769"/>
      <c r="CE4085" s="769"/>
      <c r="CF4085" s="769"/>
      <c r="CG4085" s="73"/>
      <c r="CH4085" s="438"/>
      <c r="CI4085" s="416"/>
      <c r="CJ4085" s="73"/>
      <c r="CK4085" s="650"/>
      <c r="CL4085" s="499"/>
      <c r="CM4085" s="650"/>
      <c r="CR4085" s="416"/>
      <c r="CS4085" s="650"/>
      <c r="CU4085" s="73"/>
      <c r="CV4085" s="73"/>
      <c r="CW4085" s="73"/>
      <c r="CX4085" s="73"/>
      <c r="DA4085" s="650"/>
    </row>
    <row r="4086" spans="1:105" s="45" customFormat="1" x14ac:dyDescent="0.2">
      <c r="A4086" s="650"/>
      <c r="B4086" s="438"/>
      <c r="D4086" s="73"/>
      <c r="E4086" s="650"/>
      <c r="F4086" s="650"/>
      <c r="G4086" s="73"/>
      <c r="I4086" s="111"/>
      <c r="J4086" s="81"/>
      <c r="K4086" s="81"/>
      <c r="L4086" s="499"/>
      <c r="M4086" s="73"/>
      <c r="N4086" s="499"/>
      <c r="O4086" s="73"/>
      <c r="P4086" s="73"/>
      <c r="Q4086" s="73"/>
      <c r="R4086" s="176"/>
      <c r="S4086" s="176"/>
      <c r="T4086" s="176"/>
      <c r="U4086" s="400"/>
      <c r="V4086" s="400"/>
      <c r="W4086" s="732"/>
      <c r="X4086" s="167"/>
      <c r="Y4086" s="509"/>
      <c r="Z4086" s="466"/>
      <c r="AA4086" s="466"/>
      <c r="AB4086" s="466"/>
      <c r="AC4086" s="466"/>
      <c r="AD4086" s="466"/>
      <c r="AE4086" s="466"/>
      <c r="AF4086" s="466"/>
      <c r="AG4086" s="466"/>
      <c r="AH4086" s="466"/>
      <c r="AI4086" s="466"/>
      <c r="AJ4086" s="466"/>
      <c r="AK4086" s="466"/>
      <c r="AL4086" s="466"/>
      <c r="AM4086" s="466"/>
      <c r="AN4086" s="466"/>
      <c r="AO4086" s="466"/>
      <c r="AP4086" s="466"/>
      <c r="AQ4086" s="466"/>
      <c r="AR4086" s="466"/>
      <c r="AS4086" s="466"/>
      <c r="AT4086" s="466"/>
      <c r="AU4086" s="466"/>
      <c r="AV4086" s="466"/>
      <c r="AW4086" s="466"/>
      <c r="AX4086" s="466"/>
      <c r="AY4086" s="466"/>
      <c r="AZ4086" s="466"/>
      <c r="BA4086" s="466"/>
      <c r="BB4086" s="466"/>
      <c r="BC4086" s="466"/>
      <c r="BD4086" s="466"/>
      <c r="BE4086" s="467"/>
      <c r="BF4086" s="467"/>
      <c r="BG4086" s="466"/>
      <c r="BH4086" s="466"/>
      <c r="BI4086" s="467"/>
      <c r="BJ4086" s="467"/>
      <c r="BK4086" s="467"/>
      <c r="BL4086" s="467"/>
      <c r="BM4086" s="467"/>
      <c r="BN4086" s="467"/>
      <c r="BO4086" s="467"/>
      <c r="BP4086" s="467"/>
      <c r="BQ4086" s="467"/>
      <c r="BR4086" s="467"/>
      <c r="BS4086" s="467"/>
      <c r="BT4086" s="467"/>
      <c r="BU4086" s="467"/>
      <c r="BV4086" s="467"/>
      <c r="BW4086" s="467"/>
      <c r="BX4086" s="769"/>
      <c r="BY4086" s="769"/>
      <c r="BZ4086" s="769"/>
      <c r="CA4086" s="769"/>
      <c r="CB4086" s="769"/>
      <c r="CC4086" s="769"/>
      <c r="CD4086" s="769"/>
      <c r="CE4086" s="769"/>
      <c r="CF4086" s="769"/>
      <c r="CG4086" s="73"/>
      <c r="CH4086" s="438"/>
      <c r="CI4086" s="416"/>
      <c r="CJ4086" s="73"/>
      <c r="CK4086" s="650"/>
      <c r="CL4086" s="499"/>
      <c r="CM4086" s="650"/>
      <c r="CR4086" s="416"/>
      <c r="CS4086" s="650"/>
      <c r="CU4086" s="73"/>
      <c r="CV4086" s="73"/>
      <c r="CW4086" s="73"/>
      <c r="CX4086" s="73"/>
      <c r="DA4086" s="650"/>
    </row>
    <row r="4087" spans="1:105" s="45" customFormat="1" x14ac:dyDescent="0.2">
      <c r="A4087" s="650"/>
      <c r="B4087" s="438"/>
      <c r="D4087" s="73"/>
      <c r="E4087" s="650"/>
      <c r="F4087" s="650"/>
      <c r="G4087" s="73"/>
      <c r="I4087" s="111"/>
      <c r="J4087" s="81"/>
      <c r="K4087" s="81"/>
      <c r="L4087" s="499"/>
      <c r="M4087" s="73"/>
      <c r="N4087" s="499"/>
      <c r="O4087" s="73"/>
      <c r="P4087" s="73"/>
      <c r="Q4087" s="73"/>
      <c r="R4087" s="176"/>
      <c r="S4087" s="176"/>
      <c r="T4087" s="176"/>
      <c r="U4087" s="400"/>
      <c r="V4087" s="400"/>
      <c r="W4087" s="732"/>
      <c r="X4087" s="167"/>
      <c r="Y4087" s="509"/>
      <c r="Z4087" s="466"/>
      <c r="AA4087" s="466"/>
      <c r="AB4087" s="466"/>
      <c r="AC4087" s="466"/>
      <c r="AD4087" s="466"/>
      <c r="AE4087" s="466"/>
      <c r="AF4087" s="466"/>
      <c r="AG4087" s="466"/>
      <c r="AH4087" s="466"/>
      <c r="AI4087" s="466"/>
      <c r="AJ4087" s="466"/>
      <c r="AK4087" s="466"/>
      <c r="AL4087" s="466"/>
      <c r="AM4087" s="466"/>
      <c r="AN4087" s="466"/>
      <c r="AO4087" s="466"/>
      <c r="AP4087" s="466"/>
      <c r="AQ4087" s="466"/>
      <c r="AR4087" s="466"/>
      <c r="AS4087" s="466"/>
      <c r="AT4087" s="466"/>
      <c r="AU4087" s="466"/>
      <c r="AV4087" s="466"/>
      <c r="AW4087" s="466"/>
      <c r="AX4087" s="466"/>
      <c r="AY4087" s="466"/>
      <c r="AZ4087" s="466"/>
      <c r="BA4087" s="466"/>
      <c r="BB4087" s="466"/>
      <c r="BC4087" s="466"/>
      <c r="BD4087" s="466"/>
      <c r="BE4087" s="467"/>
      <c r="BF4087" s="467"/>
      <c r="BG4087" s="466"/>
      <c r="BH4087" s="466"/>
      <c r="BI4087" s="467"/>
      <c r="BJ4087" s="467"/>
      <c r="BK4087" s="467"/>
      <c r="BL4087" s="467"/>
      <c r="BM4087" s="467"/>
      <c r="BN4087" s="467"/>
      <c r="BO4087" s="467"/>
      <c r="BP4087" s="467"/>
      <c r="BQ4087" s="467"/>
      <c r="BR4087" s="467"/>
      <c r="BS4087" s="467"/>
      <c r="BT4087" s="467"/>
      <c r="BU4087" s="467"/>
      <c r="BV4087" s="467"/>
      <c r="BW4087" s="467"/>
      <c r="BX4087" s="769"/>
      <c r="BY4087" s="769"/>
      <c r="BZ4087" s="769"/>
      <c r="CA4087" s="769"/>
      <c r="CB4087" s="769"/>
      <c r="CC4087" s="769"/>
      <c r="CD4087" s="769"/>
      <c r="CE4087" s="769"/>
      <c r="CF4087" s="769"/>
      <c r="CG4087" s="73"/>
      <c r="CH4087" s="438"/>
      <c r="CI4087" s="416"/>
      <c r="CJ4087" s="73"/>
      <c r="CK4087" s="650"/>
      <c r="CL4087" s="499"/>
      <c r="CM4087" s="650"/>
      <c r="CR4087" s="416"/>
      <c r="CS4087" s="650"/>
      <c r="CU4087" s="73"/>
      <c r="CV4087" s="73"/>
      <c r="CW4087" s="73"/>
      <c r="CX4087" s="73"/>
      <c r="DA4087" s="650"/>
    </row>
    <row r="4088" spans="1:105" s="45" customFormat="1" x14ac:dyDescent="0.2">
      <c r="A4088" s="650"/>
      <c r="B4088" s="438"/>
      <c r="D4088" s="73"/>
      <c r="E4088" s="650"/>
      <c r="F4088" s="650"/>
      <c r="G4088" s="73"/>
      <c r="I4088" s="111"/>
      <c r="J4088" s="81"/>
      <c r="K4088" s="81"/>
      <c r="L4088" s="499"/>
      <c r="M4088" s="73"/>
      <c r="N4088" s="499"/>
      <c r="O4088" s="73"/>
      <c r="P4088" s="73"/>
      <c r="Q4088" s="73"/>
      <c r="R4088" s="176"/>
      <c r="S4088" s="176"/>
      <c r="T4088" s="176"/>
      <c r="U4088" s="400"/>
      <c r="V4088" s="400"/>
      <c r="W4088" s="732"/>
      <c r="X4088" s="167"/>
      <c r="Y4088" s="509"/>
      <c r="Z4088" s="466"/>
      <c r="AA4088" s="466"/>
      <c r="AB4088" s="466"/>
      <c r="AC4088" s="466"/>
      <c r="AD4088" s="466"/>
      <c r="AE4088" s="466"/>
      <c r="AF4088" s="466"/>
      <c r="AG4088" s="466"/>
      <c r="AH4088" s="466"/>
      <c r="AI4088" s="466"/>
      <c r="AJ4088" s="466"/>
      <c r="AK4088" s="466"/>
      <c r="AL4088" s="466"/>
      <c r="AM4088" s="466"/>
      <c r="AN4088" s="466"/>
      <c r="AO4088" s="466"/>
      <c r="AP4088" s="466"/>
      <c r="AQ4088" s="466"/>
      <c r="AR4088" s="466"/>
      <c r="AS4088" s="466"/>
      <c r="AT4088" s="466"/>
      <c r="AU4088" s="466"/>
      <c r="AV4088" s="466"/>
      <c r="AW4088" s="466"/>
      <c r="AX4088" s="466"/>
      <c r="AY4088" s="466"/>
      <c r="AZ4088" s="466"/>
      <c r="BA4088" s="466"/>
      <c r="BB4088" s="466"/>
      <c r="BC4088" s="466"/>
      <c r="BD4088" s="466"/>
      <c r="BE4088" s="467"/>
      <c r="BF4088" s="467"/>
      <c r="BG4088" s="466"/>
      <c r="BH4088" s="466"/>
      <c r="BI4088" s="467"/>
      <c r="BJ4088" s="467"/>
      <c r="BK4088" s="467"/>
      <c r="BL4088" s="467"/>
      <c r="BM4088" s="467"/>
      <c r="BN4088" s="467"/>
      <c r="BO4088" s="467"/>
      <c r="BP4088" s="467"/>
      <c r="BQ4088" s="467"/>
      <c r="BR4088" s="467"/>
      <c r="BS4088" s="467"/>
      <c r="BT4088" s="467"/>
      <c r="BU4088" s="467"/>
      <c r="BV4088" s="467"/>
      <c r="BW4088" s="467"/>
      <c r="BX4088" s="769"/>
      <c r="BY4088" s="769"/>
      <c r="BZ4088" s="769"/>
      <c r="CA4088" s="769"/>
      <c r="CB4088" s="769"/>
      <c r="CC4088" s="769"/>
      <c r="CD4088" s="769"/>
      <c r="CE4088" s="769"/>
      <c r="CF4088" s="769"/>
      <c r="CG4088" s="73"/>
      <c r="CH4088" s="438"/>
      <c r="CI4088" s="416"/>
      <c r="CJ4088" s="73"/>
      <c r="CK4088" s="650"/>
      <c r="CL4088" s="499"/>
      <c r="CM4088" s="650"/>
      <c r="CR4088" s="416"/>
      <c r="CS4088" s="650"/>
      <c r="CU4088" s="73"/>
      <c r="CV4088" s="73"/>
      <c r="CW4088" s="73"/>
      <c r="CX4088" s="73"/>
      <c r="DA4088" s="650"/>
    </row>
    <row r="4089" spans="1:105" s="45" customFormat="1" x14ac:dyDescent="0.2">
      <c r="A4089" s="650"/>
      <c r="B4089" s="438"/>
      <c r="D4089" s="73"/>
      <c r="E4089" s="650"/>
      <c r="F4089" s="650"/>
      <c r="G4089" s="73"/>
      <c r="I4089" s="111"/>
      <c r="J4089" s="81"/>
      <c r="K4089" s="81"/>
      <c r="L4089" s="499"/>
      <c r="M4089" s="73"/>
      <c r="N4089" s="499"/>
      <c r="O4089" s="73"/>
      <c r="P4089" s="73"/>
      <c r="Q4089" s="73"/>
      <c r="R4089" s="176"/>
      <c r="S4089" s="176"/>
      <c r="T4089" s="176"/>
      <c r="U4089" s="400"/>
      <c r="V4089" s="400"/>
      <c r="W4089" s="732"/>
      <c r="X4089" s="167"/>
      <c r="Y4089" s="509"/>
      <c r="Z4089" s="466"/>
      <c r="AA4089" s="466"/>
      <c r="AB4089" s="466"/>
      <c r="AC4089" s="466"/>
      <c r="AD4089" s="466"/>
      <c r="AE4089" s="466"/>
      <c r="AF4089" s="466"/>
      <c r="AG4089" s="466"/>
      <c r="AH4089" s="466"/>
      <c r="AI4089" s="466"/>
      <c r="AJ4089" s="466"/>
      <c r="AK4089" s="466"/>
      <c r="AL4089" s="466"/>
      <c r="AM4089" s="466"/>
      <c r="AN4089" s="466"/>
      <c r="AO4089" s="466"/>
      <c r="AP4089" s="466"/>
      <c r="AQ4089" s="466"/>
      <c r="AR4089" s="466"/>
      <c r="AS4089" s="466"/>
      <c r="AT4089" s="466"/>
      <c r="AU4089" s="466"/>
      <c r="AV4089" s="466"/>
      <c r="AW4089" s="466"/>
      <c r="AX4089" s="466"/>
      <c r="AY4089" s="466"/>
      <c r="AZ4089" s="466"/>
      <c r="BA4089" s="466"/>
      <c r="BB4089" s="466"/>
      <c r="BC4089" s="466"/>
      <c r="BD4089" s="466"/>
      <c r="BE4089" s="467"/>
      <c r="BF4089" s="467"/>
      <c r="BG4089" s="466"/>
      <c r="BH4089" s="466"/>
      <c r="BI4089" s="467"/>
      <c r="BJ4089" s="467"/>
      <c r="BK4089" s="467"/>
      <c r="BL4089" s="467"/>
      <c r="BM4089" s="467"/>
      <c r="BN4089" s="467"/>
      <c r="BO4089" s="467"/>
      <c r="BP4089" s="467"/>
      <c r="BQ4089" s="467"/>
      <c r="BR4089" s="467"/>
      <c r="BS4089" s="467"/>
      <c r="BT4089" s="467"/>
      <c r="BU4089" s="467"/>
      <c r="BV4089" s="467"/>
      <c r="BW4089" s="467"/>
      <c r="BX4089" s="769"/>
      <c r="BY4089" s="769"/>
      <c r="BZ4089" s="769"/>
      <c r="CA4089" s="769"/>
      <c r="CB4089" s="769"/>
      <c r="CC4089" s="769"/>
      <c r="CD4089" s="769"/>
      <c r="CE4089" s="769"/>
      <c r="CF4089" s="769"/>
      <c r="CG4089" s="73"/>
      <c r="CH4089" s="438"/>
      <c r="CI4089" s="416"/>
      <c r="CJ4089" s="73"/>
      <c r="CK4089" s="650"/>
      <c r="CL4089" s="499"/>
      <c r="CM4089" s="650"/>
      <c r="CR4089" s="416"/>
      <c r="CS4089" s="650"/>
      <c r="CU4089" s="73"/>
      <c r="CV4089" s="73"/>
      <c r="CW4089" s="73"/>
      <c r="CX4089" s="73"/>
      <c r="DA4089" s="650"/>
    </row>
    <row r="4090" spans="1:105" s="45" customFormat="1" x14ac:dyDescent="0.2">
      <c r="A4090" s="650"/>
      <c r="B4090" s="438"/>
      <c r="D4090" s="73"/>
      <c r="E4090" s="650"/>
      <c r="F4090" s="650"/>
      <c r="G4090" s="73"/>
      <c r="I4090" s="111"/>
      <c r="J4090" s="81"/>
      <c r="K4090" s="81"/>
      <c r="L4090" s="499"/>
      <c r="M4090" s="73"/>
      <c r="N4090" s="499"/>
      <c r="O4090" s="73"/>
      <c r="P4090" s="73"/>
      <c r="Q4090" s="73"/>
      <c r="R4090" s="176"/>
      <c r="S4090" s="176"/>
      <c r="T4090" s="176"/>
      <c r="U4090" s="400"/>
      <c r="V4090" s="400"/>
      <c r="W4090" s="732"/>
      <c r="X4090" s="167"/>
      <c r="Y4090" s="509"/>
      <c r="Z4090" s="466"/>
      <c r="AA4090" s="466"/>
      <c r="AB4090" s="466"/>
      <c r="AC4090" s="466"/>
      <c r="AD4090" s="466"/>
      <c r="AE4090" s="466"/>
      <c r="AF4090" s="466"/>
      <c r="AG4090" s="466"/>
      <c r="AH4090" s="466"/>
      <c r="AI4090" s="466"/>
      <c r="AJ4090" s="466"/>
      <c r="AK4090" s="466"/>
      <c r="AL4090" s="466"/>
      <c r="AM4090" s="466"/>
      <c r="AN4090" s="466"/>
      <c r="AO4090" s="466"/>
      <c r="AP4090" s="466"/>
      <c r="AQ4090" s="466"/>
      <c r="AR4090" s="466"/>
      <c r="AS4090" s="466"/>
      <c r="AT4090" s="466"/>
      <c r="AU4090" s="466"/>
      <c r="AV4090" s="466"/>
      <c r="AW4090" s="466"/>
      <c r="AX4090" s="466"/>
      <c r="AY4090" s="466"/>
      <c r="AZ4090" s="466"/>
      <c r="BA4090" s="466"/>
      <c r="BB4090" s="466"/>
      <c r="BC4090" s="466"/>
      <c r="BD4090" s="466"/>
      <c r="BE4090" s="467"/>
      <c r="BF4090" s="467"/>
      <c r="BG4090" s="466"/>
      <c r="BH4090" s="466"/>
      <c r="BI4090" s="467"/>
      <c r="BJ4090" s="467"/>
      <c r="BK4090" s="467"/>
      <c r="BL4090" s="467"/>
      <c r="BM4090" s="467"/>
      <c r="BN4090" s="467"/>
      <c r="BO4090" s="467"/>
      <c r="BP4090" s="467"/>
      <c r="BQ4090" s="467"/>
      <c r="BR4090" s="467"/>
      <c r="BS4090" s="467"/>
      <c r="BT4090" s="467"/>
      <c r="BU4090" s="467"/>
      <c r="BV4090" s="467"/>
      <c r="BW4090" s="467"/>
      <c r="BX4090" s="769"/>
      <c r="BY4090" s="769"/>
      <c r="BZ4090" s="769"/>
      <c r="CA4090" s="769"/>
      <c r="CB4090" s="769"/>
      <c r="CC4090" s="769"/>
      <c r="CD4090" s="769"/>
      <c r="CE4090" s="769"/>
      <c r="CF4090" s="769"/>
      <c r="CG4090" s="73"/>
      <c r="CH4090" s="438"/>
      <c r="CI4090" s="416"/>
      <c r="CJ4090" s="73"/>
      <c r="CK4090" s="650"/>
      <c r="CL4090" s="499"/>
      <c r="CM4090" s="650"/>
      <c r="CR4090" s="416"/>
      <c r="CS4090" s="650"/>
      <c r="CU4090" s="73"/>
      <c r="CV4090" s="73"/>
      <c r="CW4090" s="73"/>
      <c r="CX4090" s="73"/>
      <c r="DA4090" s="650"/>
    </row>
    <row r="4091" spans="1:105" s="45" customFormat="1" x14ac:dyDescent="0.2">
      <c r="A4091" s="650"/>
      <c r="B4091" s="438"/>
      <c r="D4091" s="73"/>
      <c r="E4091" s="650"/>
      <c r="F4091" s="650"/>
      <c r="G4091" s="73"/>
      <c r="I4091" s="111"/>
      <c r="J4091" s="81"/>
      <c r="K4091" s="81"/>
      <c r="L4091" s="499"/>
      <c r="M4091" s="73"/>
      <c r="N4091" s="499"/>
      <c r="O4091" s="73"/>
      <c r="P4091" s="73"/>
      <c r="Q4091" s="73"/>
      <c r="R4091" s="176"/>
      <c r="S4091" s="176"/>
      <c r="T4091" s="176"/>
      <c r="U4091" s="400"/>
      <c r="V4091" s="400"/>
      <c r="W4091" s="732"/>
      <c r="X4091" s="167"/>
      <c r="Y4091" s="509"/>
      <c r="Z4091" s="466"/>
      <c r="AA4091" s="466"/>
      <c r="AB4091" s="466"/>
      <c r="AC4091" s="466"/>
      <c r="AD4091" s="466"/>
      <c r="AE4091" s="466"/>
      <c r="AF4091" s="466"/>
      <c r="AG4091" s="466"/>
      <c r="AH4091" s="466"/>
      <c r="AI4091" s="466"/>
      <c r="AJ4091" s="466"/>
      <c r="AK4091" s="466"/>
      <c r="AL4091" s="466"/>
      <c r="AM4091" s="466"/>
      <c r="AN4091" s="466"/>
      <c r="AO4091" s="466"/>
      <c r="AP4091" s="466"/>
      <c r="AQ4091" s="466"/>
      <c r="AR4091" s="466"/>
      <c r="AS4091" s="466"/>
      <c r="AT4091" s="466"/>
      <c r="AU4091" s="466"/>
      <c r="AV4091" s="466"/>
      <c r="AW4091" s="466"/>
      <c r="AX4091" s="466"/>
      <c r="AY4091" s="466"/>
      <c r="AZ4091" s="466"/>
      <c r="BA4091" s="466"/>
      <c r="BB4091" s="466"/>
      <c r="BC4091" s="466"/>
      <c r="BD4091" s="466"/>
      <c r="BE4091" s="467"/>
      <c r="BF4091" s="467"/>
      <c r="BG4091" s="466"/>
      <c r="BH4091" s="466"/>
      <c r="BI4091" s="467"/>
      <c r="BJ4091" s="467"/>
      <c r="BK4091" s="467"/>
      <c r="BL4091" s="467"/>
      <c r="BM4091" s="467"/>
      <c r="BN4091" s="467"/>
      <c r="BO4091" s="467"/>
      <c r="BP4091" s="467"/>
      <c r="BQ4091" s="467"/>
      <c r="BR4091" s="467"/>
      <c r="BS4091" s="467"/>
      <c r="BT4091" s="467"/>
      <c r="BU4091" s="467"/>
      <c r="BV4091" s="467"/>
      <c r="BW4091" s="467"/>
      <c r="BX4091" s="769"/>
      <c r="BY4091" s="769"/>
      <c r="BZ4091" s="769"/>
      <c r="CA4091" s="769"/>
      <c r="CB4091" s="769"/>
      <c r="CC4091" s="769"/>
      <c r="CD4091" s="769"/>
      <c r="CE4091" s="769"/>
      <c r="CF4091" s="769"/>
      <c r="CG4091" s="73"/>
      <c r="CH4091" s="438"/>
      <c r="CI4091" s="416"/>
      <c r="CJ4091" s="73"/>
      <c r="CK4091" s="650"/>
      <c r="CL4091" s="499"/>
      <c r="CM4091" s="650"/>
      <c r="CR4091" s="416"/>
      <c r="CS4091" s="650"/>
      <c r="CU4091" s="73"/>
      <c r="CV4091" s="73"/>
      <c r="CW4091" s="73"/>
      <c r="CX4091" s="73"/>
      <c r="DA4091" s="650"/>
    </row>
    <row r="4092" spans="1:105" s="45" customFormat="1" x14ac:dyDescent="0.2">
      <c r="A4092" s="650"/>
      <c r="B4092" s="438"/>
      <c r="D4092" s="73"/>
      <c r="E4092" s="650"/>
      <c r="F4092" s="650"/>
      <c r="G4092" s="73"/>
      <c r="I4092" s="111"/>
      <c r="J4092" s="81"/>
      <c r="K4092" s="81"/>
      <c r="L4092" s="499"/>
      <c r="M4092" s="73"/>
      <c r="N4092" s="499"/>
      <c r="O4092" s="73"/>
      <c r="P4092" s="73"/>
      <c r="Q4092" s="73"/>
      <c r="R4092" s="176"/>
      <c r="S4092" s="176"/>
      <c r="T4092" s="176"/>
      <c r="U4092" s="400"/>
      <c r="V4092" s="400"/>
      <c r="W4092" s="732"/>
      <c r="X4092" s="167"/>
      <c r="Y4092" s="509"/>
      <c r="Z4092" s="466"/>
      <c r="AA4092" s="466"/>
      <c r="AB4092" s="466"/>
      <c r="AC4092" s="466"/>
      <c r="AD4092" s="466"/>
      <c r="AE4092" s="466"/>
      <c r="AF4092" s="466"/>
      <c r="AG4092" s="466"/>
      <c r="AH4092" s="466"/>
      <c r="AI4092" s="466"/>
      <c r="AJ4092" s="466"/>
      <c r="AK4092" s="466"/>
      <c r="AL4092" s="466"/>
      <c r="AM4092" s="466"/>
      <c r="AN4092" s="466"/>
      <c r="AO4092" s="466"/>
      <c r="AP4092" s="466"/>
      <c r="AQ4092" s="466"/>
      <c r="AR4092" s="466"/>
      <c r="AS4092" s="466"/>
      <c r="AT4092" s="466"/>
      <c r="AU4092" s="466"/>
      <c r="AV4092" s="466"/>
      <c r="AW4092" s="466"/>
      <c r="AX4092" s="466"/>
      <c r="AY4092" s="466"/>
      <c r="AZ4092" s="466"/>
      <c r="BA4092" s="466"/>
      <c r="BB4092" s="466"/>
      <c r="BC4092" s="466"/>
      <c r="BD4092" s="466"/>
      <c r="BE4092" s="467"/>
      <c r="BF4092" s="467"/>
      <c r="BG4092" s="466"/>
      <c r="BH4092" s="466"/>
      <c r="BI4092" s="467"/>
      <c r="BJ4092" s="467"/>
      <c r="BK4092" s="467"/>
      <c r="BL4092" s="467"/>
      <c r="BM4092" s="467"/>
      <c r="BN4092" s="467"/>
      <c r="BO4092" s="467"/>
      <c r="BP4092" s="467"/>
      <c r="BQ4092" s="467"/>
      <c r="BR4092" s="467"/>
      <c r="BS4092" s="467"/>
      <c r="BT4092" s="467"/>
      <c r="BU4092" s="467"/>
      <c r="BV4092" s="467"/>
      <c r="BW4092" s="467"/>
      <c r="BX4092" s="769"/>
      <c r="BY4092" s="769"/>
      <c r="BZ4092" s="769"/>
      <c r="CA4092" s="769"/>
      <c r="CB4092" s="769"/>
      <c r="CC4092" s="769"/>
      <c r="CD4092" s="769"/>
      <c r="CE4092" s="769"/>
      <c r="CF4092" s="769"/>
      <c r="CG4092" s="73"/>
      <c r="CH4092" s="438"/>
      <c r="CI4092" s="416"/>
      <c r="CJ4092" s="73"/>
      <c r="CK4092" s="650"/>
      <c r="CL4092" s="499"/>
      <c r="CM4092" s="650"/>
      <c r="CR4092" s="416"/>
      <c r="CS4092" s="650"/>
      <c r="CU4092" s="73"/>
      <c r="CV4092" s="73"/>
      <c r="CW4092" s="73"/>
      <c r="CX4092" s="73"/>
      <c r="DA4092" s="650"/>
    </row>
    <row r="4093" spans="1:105" s="45" customFormat="1" x14ac:dyDescent="0.2">
      <c r="A4093" s="650"/>
      <c r="B4093" s="438"/>
      <c r="D4093" s="73"/>
      <c r="E4093" s="650"/>
      <c r="F4093" s="650"/>
      <c r="G4093" s="73"/>
      <c r="I4093" s="111"/>
      <c r="J4093" s="81"/>
      <c r="K4093" s="81"/>
      <c r="L4093" s="499"/>
      <c r="M4093" s="73"/>
      <c r="N4093" s="499"/>
      <c r="O4093" s="73"/>
      <c r="P4093" s="73"/>
      <c r="Q4093" s="73"/>
      <c r="R4093" s="176"/>
      <c r="S4093" s="176"/>
      <c r="T4093" s="176"/>
      <c r="U4093" s="400"/>
      <c r="V4093" s="400"/>
      <c r="W4093" s="732"/>
      <c r="X4093" s="167"/>
      <c r="Y4093" s="509"/>
      <c r="Z4093" s="466"/>
      <c r="AA4093" s="466"/>
      <c r="AB4093" s="466"/>
      <c r="AC4093" s="466"/>
      <c r="AD4093" s="466"/>
      <c r="AE4093" s="466"/>
      <c r="AF4093" s="466"/>
      <c r="AG4093" s="466"/>
      <c r="AH4093" s="466"/>
      <c r="AI4093" s="466"/>
      <c r="AJ4093" s="466"/>
      <c r="AK4093" s="466"/>
      <c r="AL4093" s="466"/>
      <c r="AM4093" s="466"/>
      <c r="AN4093" s="466"/>
      <c r="AO4093" s="466"/>
      <c r="AP4093" s="466"/>
      <c r="AQ4093" s="466"/>
      <c r="AR4093" s="466"/>
      <c r="AS4093" s="466"/>
      <c r="AT4093" s="466"/>
      <c r="AU4093" s="466"/>
      <c r="AV4093" s="466"/>
      <c r="AW4093" s="466"/>
      <c r="AX4093" s="466"/>
      <c r="AY4093" s="466"/>
      <c r="AZ4093" s="466"/>
      <c r="BA4093" s="466"/>
      <c r="BB4093" s="466"/>
      <c r="BC4093" s="466"/>
      <c r="BD4093" s="466"/>
      <c r="BE4093" s="467"/>
      <c r="BF4093" s="467"/>
      <c r="BG4093" s="466"/>
      <c r="BH4093" s="466"/>
      <c r="BI4093" s="467"/>
      <c r="BJ4093" s="467"/>
      <c r="BK4093" s="467"/>
      <c r="BL4093" s="467"/>
      <c r="BM4093" s="467"/>
      <c r="BN4093" s="467"/>
      <c r="BO4093" s="467"/>
      <c r="BP4093" s="467"/>
      <c r="BQ4093" s="467"/>
      <c r="BR4093" s="467"/>
      <c r="BS4093" s="467"/>
      <c r="BT4093" s="467"/>
      <c r="BU4093" s="467"/>
      <c r="BV4093" s="467"/>
      <c r="BW4093" s="467"/>
      <c r="BX4093" s="769"/>
      <c r="BY4093" s="769"/>
      <c r="BZ4093" s="769"/>
      <c r="CA4093" s="769"/>
      <c r="CB4093" s="769"/>
      <c r="CC4093" s="769"/>
      <c r="CD4093" s="769"/>
      <c r="CE4093" s="769"/>
      <c r="CF4093" s="769"/>
      <c r="CG4093" s="73"/>
      <c r="CH4093" s="438"/>
      <c r="CI4093" s="416"/>
      <c r="CJ4093" s="73"/>
      <c r="CK4093" s="650"/>
      <c r="CL4093" s="499"/>
      <c r="CM4093" s="650"/>
      <c r="CR4093" s="416"/>
      <c r="CS4093" s="650"/>
      <c r="CU4093" s="73"/>
      <c r="CV4093" s="73"/>
      <c r="CW4093" s="73"/>
      <c r="CX4093" s="73"/>
      <c r="DA4093" s="650"/>
    </row>
    <row r="4094" spans="1:105" s="45" customFormat="1" x14ac:dyDescent="0.2">
      <c r="A4094" s="650"/>
      <c r="B4094" s="438"/>
      <c r="D4094" s="73"/>
      <c r="E4094" s="650"/>
      <c r="F4094" s="650"/>
      <c r="G4094" s="73"/>
      <c r="I4094" s="111"/>
      <c r="J4094" s="81"/>
      <c r="K4094" s="81"/>
      <c r="L4094" s="499"/>
      <c r="M4094" s="73"/>
      <c r="N4094" s="499"/>
      <c r="O4094" s="73"/>
      <c r="P4094" s="73"/>
      <c r="Q4094" s="73"/>
      <c r="R4094" s="176"/>
      <c r="S4094" s="176"/>
      <c r="T4094" s="176"/>
      <c r="U4094" s="400"/>
      <c r="V4094" s="400"/>
      <c r="W4094" s="732"/>
      <c r="X4094" s="167"/>
      <c r="Y4094" s="509"/>
      <c r="Z4094" s="466"/>
      <c r="AA4094" s="466"/>
      <c r="AB4094" s="466"/>
      <c r="AC4094" s="466"/>
      <c r="AD4094" s="466"/>
      <c r="AE4094" s="466"/>
      <c r="AF4094" s="466"/>
      <c r="AG4094" s="466"/>
      <c r="AH4094" s="466"/>
      <c r="AI4094" s="466"/>
      <c r="AJ4094" s="466"/>
      <c r="AK4094" s="466"/>
      <c r="AL4094" s="466"/>
      <c r="AM4094" s="466"/>
      <c r="AN4094" s="466"/>
      <c r="AO4094" s="466"/>
      <c r="AP4094" s="466"/>
      <c r="AQ4094" s="466"/>
      <c r="AR4094" s="466"/>
      <c r="AS4094" s="466"/>
      <c r="AT4094" s="466"/>
      <c r="AU4094" s="466"/>
      <c r="AV4094" s="466"/>
      <c r="AW4094" s="466"/>
      <c r="AX4094" s="466"/>
      <c r="AY4094" s="466"/>
      <c r="AZ4094" s="466"/>
      <c r="BA4094" s="466"/>
      <c r="BB4094" s="466"/>
      <c r="BC4094" s="466"/>
      <c r="BD4094" s="466"/>
      <c r="BE4094" s="467"/>
      <c r="BF4094" s="467"/>
      <c r="BG4094" s="466"/>
      <c r="BH4094" s="466"/>
      <c r="BI4094" s="467"/>
      <c r="BJ4094" s="467"/>
      <c r="BK4094" s="467"/>
      <c r="BL4094" s="467"/>
      <c r="BM4094" s="467"/>
      <c r="BN4094" s="467"/>
      <c r="BO4094" s="467"/>
      <c r="BP4094" s="467"/>
      <c r="BQ4094" s="467"/>
      <c r="BR4094" s="467"/>
      <c r="BS4094" s="467"/>
      <c r="BT4094" s="467"/>
      <c r="BU4094" s="467"/>
      <c r="BV4094" s="467"/>
      <c r="BW4094" s="467"/>
      <c r="BX4094" s="769"/>
      <c r="BY4094" s="769"/>
      <c r="BZ4094" s="769"/>
      <c r="CA4094" s="769"/>
      <c r="CB4094" s="769"/>
      <c r="CC4094" s="769"/>
      <c r="CD4094" s="769"/>
      <c r="CE4094" s="769"/>
      <c r="CF4094" s="769"/>
      <c r="CG4094" s="73"/>
      <c r="CH4094" s="438"/>
      <c r="CI4094" s="416"/>
      <c r="CJ4094" s="73"/>
      <c r="CK4094" s="650"/>
      <c r="CL4094" s="499"/>
      <c r="CM4094" s="650"/>
      <c r="CR4094" s="416"/>
      <c r="CS4094" s="650"/>
      <c r="CU4094" s="73"/>
      <c r="CV4094" s="73"/>
      <c r="CW4094" s="73"/>
      <c r="CX4094" s="73"/>
      <c r="DA4094" s="650"/>
    </row>
    <row r="4095" spans="1:105" s="45" customFormat="1" x14ac:dyDescent="0.2">
      <c r="A4095" s="650"/>
      <c r="B4095" s="438"/>
      <c r="D4095" s="73"/>
      <c r="E4095" s="650"/>
      <c r="F4095" s="650"/>
      <c r="G4095" s="73"/>
      <c r="I4095" s="111"/>
      <c r="J4095" s="81"/>
      <c r="K4095" s="81"/>
      <c r="L4095" s="499"/>
      <c r="M4095" s="73"/>
      <c r="N4095" s="499"/>
      <c r="O4095" s="73"/>
      <c r="P4095" s="73"/>
      <c r="Q4095" s="73"/>
      <c r="R4095" s="176"/>
      <c r="S4095" s="176"/>
      <c r="T4095" s="176"/>
      <c r="U4095" s="400"/>
      <c r="V4095" s="400"/>
      <c r="W4095" s="732"/>
      <c r="X4095" s="167"/>
      <c r="Y4095" s="509"/>
      <c r="Z4095" s="466"/>
      <c r="AA4095" s="466"/>
      <c r="AB4095" s="466"/>
      <c r="AC4095" s="466"/>
      <c r="AD4095" s="466"/>
      <c r="AE4095" s="466"/>
      <c r="AF4095" s="466"/>
      <c r="AG4095" s="466"/>
      <c r="AH4095" s="466"/>
      <c r="AI4095" s="466"/>
      <c r="AJ4095" s="466"/>
      <c r="AK4095" s="466"/>
      <c r="AL4095" s="466"/>
      <c r="AM4095" s="466"/>
      <c r="AN4095" s="466"/>
      <c r="AO4095" s="466"/>
      <c r="AP4095" s="466"/>
      <c r="AQ4095" s="466"/>
      <c r="AR4095" s="466"/>
      <c r="AS4095" s="466"/>
      <c r="AT4095" s="466"/>
      <c r="AU4095" s="466"/>
      <c r="AV4095" s="466"/>
      <c r="AW4095" s="466"/>
      <c r="AX4095" s="466"/>
      <c r="AY4095" s="466"/>
      <c r="AZ4095" s="466"/>
      <c r="BA4095" s="466"/>
      <c r="BB4095" s="466"/>
      <c r="BC4095" s="466"/>
      <c r="BD4095" s="466"/>
      <c r="BE4095" s="467"/>
      <c r="BF4095" s="467"/>
      <c r="BG4095" s="466"/>
      <c r="BH4095" s="466"/>
      <c r="BI4095" s="467"/>
      <c r="BJ4095" s="467"/>
      <c r="BK4095" s="467"/>
      <c r="BL4095" s="467"/>
      <c r="BM4095" s="467"/>
      <c r="BN4095" s="467"/>
      <c r="BO4095" s="467"/>
      <c r="BP4095" s="467"/>
      <c r="BQ4095" s="467"/>
      <c r="BR4095" s="467"/>
      <c r="BS4095" s="467"/>
      <c r="BT4095" s="467"/>
      <c r="BU4095" s="467"/>
      <c r="BV4095" s="467"/>
      <c r="BW4095" s="467"/>
      <c r="BX4095" s="769"/>
      <c r="BY4095" s="769"/>
      <c r="BZ4095" s="769"/>
      <c r="CA4095" s="769"/>
      <c r="CB4095" s="769"/>
      <c r="CC4095" s="769"/>
      <c r="CD4095" s="769"/>
      <c r="CE4095" s="769"/>
      <c r="CF4095" s="769"/>
      <c r="CG4095" s="73"/>
      <c r="CH4095" s="438"/>
      <c r="CI4095" s="416"/>
      <c r="CJ4095" s="73"/>
      <c r="CK4095" s="650"/>
      <c r="CL4095" s="499"/>
      <c r="CM4095" s="650"/>
      <c r="CR4095" s="416"/>
      <c r="CS4095" s="650"/>
      <c r="CU4095" s="73"/>
      <c r="CV4095" s="73"/>
      <c r="CW4095" s="73"/>
      <c r="CX4095" s="73"/>
      <c r="DA4095" s="650"/>
    </row>
    <row r="4096" spans="1:105" s="45" customFormat="1" x14ac:dyDescent="0.2">
      <c r="A4096" s="650"/>
      <c r="B4096" s="438"/>
      <c r="D4096" s="73"/>
      <c r="E4096" s="650"/>
      <c r="F4096" s="650"/>
      <c r="G4096" s="73"/>
      <c r="I4096" s="111"/>
      <c r="J4096" s="81"/>
      <c r="K4096" s="81"/>
      <c r="L4096" s="499"/>
      <c r="M4096" s="73"/>
      <c r="N4096" s="499"/>
      <c r="O4096" s="73"/>
      <c r="P4096" s="73"/>
      <c r="Q4096" s="73"/>
      <c r="R4096" s="176"/>
      <c r="S4096" s="176"/>
      <c r="T4096" s="176"/>
      <c r="U4096" s="400"/>
      <c r="V4096" s="400"/>
      <c r="W4096" s="732"/>
      <c r="X4096" s="167"/>
      <c r="Y4096" s="509"/>
      <c r="Z4096" s="466"/>
      <c r="AA4096" s="466"/>
      <c r="AB4096" s="466"/>
      <c r="AC4096" s="466"/>
      <c r="AD4096" s="466"/>
      <c r="AE4096" s="466"/>
      <c r="AF4096" s="466"/>
      <c r="AG4096" s="466"/>
      <c r="AH4096" s="466"/>
      <c r="AI4096" s="466"/>
      <c r="AJ4096" s="466"/>
      <c r="AK4096" s="466"/>
      <c r="AL4096" s="466"/>
      <c r="AM4096" s="466"/>
      <c r="AN4096" s="466"/>
      <c r="AO4096" s="466"/>
      <c r="AP4096" s="466"/>
      <c r="AQ4096" s="466"/>
      <c r="AR4096" s="466"/>
      <c r="AS4096" s="466"/>
      <c r="AT4096" s="466"/>
      <c r="AU4096" s="466"/>
      <c r="AV4096" s="466"/>
      <c r="AW4096" s="466"/>
      <c r="AX4096" s="466"/>
      <c r="AY4096" s="466"/>
      <c r="AZ4096" s="466"/>
      <c r="BA4096" s="466"/>
      <c r="BB4096" s="466"/>
      <c r="BC4096" s="466"/>
      <c r="BD4096" s="466"/>
      <c r="BE4096" s="467"/>
      <c r="BF4096" s="467"/>
      <c r="BG4096" s="466"/>
      <c r="BH4096" s="466"/>
      <c r="BI4096" s="467"/>
      <c r="BJ4096" s="467"/>
      <c r="BK4096" s="467"/>
      <c r="BL4096" s="467"/>
      <c r="BM4096" s="467"/>
      <c r="BN4096" s="467"/>
      <c r="BO4096" s="467"/>
      <c r="BP4096" s="467"/>
      <c r="BQ4096" s="467"/>
      <c r="BR4096" s="467"/>
      <c r="BS4096" s="467"/>
      <c r="BT4096" s="467"/>
      <c r="BU4096" s="467"/>
      <c r="BV4096" s="467"/>
      <c r="BW4096" s="467"/>
      <c r="BX4096" s="769"/>
      <c r="BY4096" s="769"/>
      <c r="BZ4096" s="769"/>
      <c r="CA4096" s="769"/>
      <c r="CB4096" s="769"/>
      <c r="CC4096" s="769"/>
      <c r="CD4096" s="769"/>
      <c r="CE4096" s="769"/>
      <c r="CF4096" s="769"/>
      <c r="CG4096" s="73"/>
      <c r="CH4096" s="438"/>
      <c r="CI4096" s="416"/>
      <c r="CJ4096" s="73"/>
      <c r="CK4096" s="650"/>
      <c r="CL4096" s="499"/>
      <c r="CM4096" s="650"/>
      <c r="CR4096" s="416"/>
      <c r="CS4096" s="650"/>
      <c r="CU4096" s="73"/>
      <c r="CV4096" s="73"/>
      <c r="CW4096" s="73"/>
      <c r="CX4096" s="73"/>
      <c r="DA4096" s="650"/>
    </row>
    <row r="4097" spans="1:105" s="45" customFormat="1" x14ac:dyDescent="0.2">
      <c r="A4097" s="650"/>
      <c r="B4097" s="438"/>
      <c r="D4097" s="73"/>
      <c r="E4097" s="650"/>
      <c r="F4097" s="650"/>
      <c r="G4097" s="73"/>
      <c r="I4097" s="111"/>
      <c r="J4097" s="81"/>
      <c r="K4097" s="81"/>
      <c r="L4097" s="499"/>
      <c r="M4097" s="73"/>
      <c r="N4097" s="499"/>
      <c r="O4097" s="73"/>
      <c r="P4097" s="73"/>
      <c r="Q4097" s="73"/>
      <c r="R4097" s="176"/>
      <c r="S4097" s="176"/>
      <c r="T4097" s="176"/>
      <c r="U4097" s="400"/>
      <c r="V4097" s="400"/>
      <c r="W4097" s="732"/>
      <c r="X4097" s="167"/>
      <c r="Y4097" s="509"/>
      <c r="Z4097" s="466"/>
      <c r="AA4097" s="466"/>
      <c r="AB4097" s="466"/>
      <c r="AC4097" s="466"/>
      <c r="AD4097" s="466"/>
      <c r="AE4097" s="466"/>
      <c r="AF4097" s="466"/>
      <c r="AG4097" s="466"/>
      <c r="AH4097" s="466"/>
      <c r="AI4097" s="466"/>
      <c r="AJ4097" s="466"/>
      <c r="AK4097" s="466"/>
      <c r="AL4097" s="466"/>
      <c r="AM4097" s="466"/>
      <c r="AN4097" s="466"/>
      <c r="AO4097" s="466"/>
      <c r="AP4097" s="466"/>
      <c r="AQ4097" s="466"/>
      <c r="AR4097" s="466"/>
      <c r="AS4097" s="466"/>
      <c r="AT4097" s="466"/>
      <c r="AU4097" s="466"/>
      <c r="AV4097" s="466"/>
      <c r="AW4097" s="466"/>
      <c r="AX4097" s="466"/>
      <c r="AY4097" s="466"/>
      <c r="AZ4097" s="466"/>
      <c r="BA4097" s="466"/>
      <c r="BB4097" s="466"/>
      <c r="BC4097" s="466"/>
      <c r="BD4097" s="466"/>
      <c r="BE4097" s="467"/>
      <c r="BF4097" s="467"/>
      <c r="BG4097" s="466"/>
      <c r="BH4097" s="466"/>
      <c r="BI4097" s="467"/>
      <c r="BJ4097" s="467"/>
      <c r="BK4097" s="467"/>
      <c r="BL4097" s="467"/>
      <c r="BM4097" s="467"/>
      <c r="BN4097" s="467"/>
      <c r="BO4097" s="467"/>
      <c r="BP4097" s="467"/>
      <c r="BQ4097" s="467"/>
      <c r="BR4097" s="467"/>
      <c r="BS4097" s="467"/>
      <c r="BT4097" s="467"/>
      <c r="BU4097" s="467"/>
      <c r="BV4097" s="467"/>
      <c r="BW4097" s="467"/>
      <c r="BX4097" s="769"/>
      <c r="BY4097" s="769"/>
      <c r="BZ4097" s="769"/>
      <c r="CA4097" s="769"/>
      <c r="CB4097" s="769"/>
      <c r="CC4097" s="769"/>
      <c r="CD4097" s="769"/>
      <c r="CE4097" s="769"/>
      <c r="CF4097" s="769"/>
      <c r="CG4097" s="73"/>
      <c r="CH4097" s="438"/>
      <c r="CI4097" s="416"/>
      <c r="CJ4097" s="73"/>
      <c r="CK4097" s="650"/>
      <c r="CL4097" s="499"/>
      <c r="CM4097" s="650"/>
      <c r="CR4097" s="416"/>
      <c r="CS4097" s="650"/>
      <c r="CU4097" s="73"/>
      <c r="CV4097" s="73"/>
      <c r="CW4097" s="73"/>
      <c r="CX4097" s="73"/>
      <c r="DA4097" s="650"/>
    </row>
    <row r="4098" spans="1:105" s="45" customFormat="1" x14ac:dyDescent="0.2">
      <c r="A4098" s="650"/>
      <c r="B4098" s="438"/>
      <c r="D4098" s="73"/>
      <c r="E4098" s="650"/>
      <c r="F4098" s="650"/>
      <c r="G4098" s="73"/>
      <c r="I4098" s="111"/>
      <c r="J4098" s="81"/>
      <c r="K4098" s="81"/>
      <c r="L4098" s="499"/>
      <c r="M4098" s="73"/>
      <c r="N4098" s="499"/>
      <c r="O4098" s="73"/>
      <c r="P4098" s="73"/>
      <c r="Q4098" s="73"/>
      <c r="R4098" s="176"/>
      <c r="S4098" s="176"/>
      <c r="T4098" s="176"/>
      <c r="U4098" s="400"/>
      <c r="V4098" s="400"/>
      <c r="W4098" s="732"/>
      <c r="X4098" s="167"/>
      <c r="Y4098" s="509"/>
      <c r="Z4098" s="466"/>
      <c r="AA4098" s="466"/>
      <c r="AB4098" s="466"/>
      <c r="AC4098" s="466"/>
      <c r="AD4098" s="466"/>
      <c r="AE4098" s="466"/>
      <c r="AF4098" s="466"/>
      <c r="AG4098" s="466"/>
      <c r="AH4098" s="466"/>
      <c r="AI4098" s="466"/>
      <c r="AJ4098" s="466"/>
      <c r="AK4098" s="466"/>
      <c r="AL4098" s="466"/>
      <c r="AM4098" s="466"/>
      <c r="AN4098" s="466"/>
      <c r="AO4098" s="466"/>
      <c r="AP4098" s="466"/>
      <c r="AQ4098" s="466"/>
      <c r="AR4098" s="466"/>
      <c r="AS4098" s="466"/>
      <c r="AT4098" s="466"/>
      <c r="AU4098" s="466"/>
      <c r="AV4098" s="466"/>
      <c r="AW4098" s="466"/>
      <c r="AX4098" s="466"/>
      <c r="AY4098" s="466"/>
      <c r="AZ4098" s="466"/>
      <c r="BA4098" s="466"/>
      <c r="BB4098" s="466"/>
      <c r="BC4098" s="466"/>
      <c r="BD4098" s="466"/>
      <c r="BE4098" s="467"/>
      <c r="BF4098" s="467"/>
      <c r="BG4098" s="466"/>
      <c r="BH4098" s="466"/>
      <c r="BI4098" s="467"/>
      <c r="BJ4098" s="467"/>
      <c r="BK4098" s="467"/>
      <c r="BL4098" s="467"/>
      <c r="BM4098" s="467"/>
      <c r="BN4098" s="467"/>
      <c r="BO4098" s="467"/>
      <c r="BP4098" s="467"/>
      <c r="BQ4098" s="467"/>
      <c r="BR4098" s="467"/>
      <c r="BS4098" s="467"/>
      <c r="BT4098" s="467"/>
      <c r="BU4098" s="467"/>
      <c r="BV4098" s="467"/>
      <c r="BW4098" s="467"/>
      <c r="BX4098" s="769"/>
      <c r="BY4098" s="769"/>
      <c r="BZ4098" s="769"/>
      <c r="CA4098" s="769"/>
      <c r="CB4098" s="769"/>
      <c r="CC4098" s="769"/>
      <c r="CD4098" s="769"/>
      <c r="CE4098" s="769"/>
      <c r="CF4098" s="769"/>
      <c r="CG4098" s="73"/>
      <c r="CH4098" s="438"/>
      <c r="CI4098" s="416"/>
      <c r="CJ4098" s="73"/>
      <c r="CK4098" s="650"/>
      <c r="CL4098" s="499"/>
      <c r="CM4098" s="650"/>
      <c r="CR4098" s="416"/>
      <c r="CS4098" s="650"/>
      <c r="CU4098" s="73"/>
      <c r="CV4098" s="73"/>
      <c r="CW4098" s="73"/>
      <c r="CX4098" s="73"/>
      <c r="DA4098" s="650"/>
    </row>
    <row r="4099" spans="1:105" s="45" customFormat="1" x14ac:dyDescent="0.2">
      <c r="A4099" s="650"/>
      <c r="B4099" s="438"/>
      <c r="D4099" s="73"/>
      <c r="E4099" s="650"/>
      <c r="F4099" s="650"/>
      <c r="G4099" s="73"/>
      <c r="I4099" s="111"/>
      <c r="J4099" s="81"/>
      <c r="K4099" s="81"/>
      <c r="L4099" s="499"/>
      <c r="M4099" s="73"/>
      <c r="N4099" s="499"/>
      <c r="O4099" s="73"/>
      <c r="P4099" s="73"/>
      <c r="Q4099" s="73"/>
      <c r="R4099" s="176"/>
      <c r="S4099" s="176"/>
      <c r="T4099" s="176"/>
      <c r="U4099" s="400"/>
      <c r="V4099" s="400"/>
      <c r="W4099" s="732"/>
      <c r="X4099" s="167"/>
      <c r="Y4099" s="509"/>
      <c r="Z4099" s="466"/>
      <c r="AA4099" s="466"/>
      <c r="AB4099" s="466"/>
      <c r="AC4099" s="466"/>
      <c r="AD4099" s="466"/>
      <c r="AE4099" s="466"/>
      <c r="AF4099" s="466"/>
      <c r="AG4099" s="466"/>
      <c r="AH4099" s="466"/>
      <c r="AI4099" s="466"/>
      <c r="AJ4099" s="466"/>
      <c r="AK4099" s="466"/>
      <c r="AL4099" s="466"/>
      <c r="AM4099" s="466"/>
      <c r="AN4099" s="466"/>
      <c r="AO4099" s="466"/>
      <c r="AP4099" s="466"/>
      <c r="AQ4099" s="466"/>
      <c r="AR4099" s="466"/>
      <c r="AS4099" s="466"/>
      <c r="AT4099" s="466"/>
      <c r="AU4099" s="466"/>
      <c r="AV4099" s="466"/>
      <c r="AW4099" s="466"/>
      <c r="AX4099" s="466"/>
      <c r="AY4099" s="466"/>
      <c r="AZ4099" s="466"/>
      <c r="BA4099" s="466"/>
      <c r="BB4099" s="466"/>
      <c r="BC4099" s="466"/>
      <c r="BD4099" s="466"/>
      <c r="BE4099" s="467"/>
      <c r="BF4099" s="467"/>
      <c r="BG4099" s="466"/>
      <c r="BH4099" s="466"/>
      <c r="BI4099" s="467"/>
      <c r="BJ4099" s="467"/>
      <c r="BK4099" s="467"/>
      <c r="BL4099" s="467"/>
      <c r="BM4099" s="467"/>
      <c r="BN4099" s="467"/>
      <c r="BO4099" s="467"/>
      <c r="BP4099" s="467"/>
      <c r="BQ4099" s="467"/>
      <c r="BR4099" s="467"/>
      <c r="BS4099" s="467"/>
      <c r="BT4099" s="467"/>
      <c r="BU4099" s="467"/>
      <c r="BV4099" s="467"/>
      <c r="BW4099" s="467"/>
      <c r="BX4099" s="769"/>
      <c r="BY4099" s="769"/>
      <c r="BZ4099" s="769"/>
      <c r="CA4099" s="769"/>
      <c r="CB4099" s="769"/>
      <c r="CC4099" s="769"/>
      <c r="CD4099" s="769"/>
      <c r="CE4099" s="769"/>
      <c r="CF4099" s="769"/>
      <c r="CG4099" s="73"/>
      <c r="CH4099" s="438"/>
      <c r="CI4099" s="416"/>
      <c r="CJ4099" s="73"/>
      <c r="CK4099" s="650"/>
      <c r="CL4099" s="499"/>
      <c r="CM4099" s="650"/>
      <c r="CR4099" s="416"/>
      <c r="CS4099" s="650"/>
      <c r="CU4099" s="73"/>
      <c r="CV4099" s="73"/>
      <c r="CW4099" s="73"/>
      <c r="CX4099" s="73"/>
      <c r="DA4099" s="650"/>
    </row>
    <row r="4100" spans="1:105" s="45" customFormat="1" x14ac:dyDescent="0.2">
      <c r="A4100" s="650"/>
      <c r="B4100" s="438"/>
      <c r="D4100" s="73"/>
      <c r="E4100" s="650"/>
      <c r="F4100" s="650"/>
      <c r="G4100" s="73"/>
      <c r="I4100" s="111"/>
      <c r="J4100" s="81"/>
      <c r="K4100" s="81"/>
      <c r="L4100" s="499"/>
      <c r="M4100" s="73"/>
      <c r="N4100" s="499"/>
      <c r="O4100" s="73"/>
      <c r="P4100" s="73"/>
      <c r="Q4100" s="73"/>
      <c r="R4100" s="176"/>
      <c r="S4100" s="176"/>
      <c r="T4100" s="176"/>
      <c r="U4100" s="400"/>
      <c r="V4100" s="400"/>
      <c r="W4100" s="732"/>
      <c r="X4100" s="167"/>
      <c r="Y4100" s="509"/>
      <c r="Z4100" s="466"/>
      <c r="AA4100" s="466"/>
      <c r="AB4100" s="466"/>
      <c r="AC4100" s="466"/>
      <c r="AD4100" s="466"/>
      <c r="AE4100" s="466"/>
      <c r="AF4100" s="466"/>
      <c r="AG4100" s="466"/>
      <c r="AH4100" s="466"/>
      <c r="AI4100" s="466"/>
      <c r="AJ4100" s="466"/>
      <c r="AK4100" s="466"/>
      <c r="AL4100" s="466"/>
      <c r="AM4100" s="466"/>
      <c r="AN4100" s="466"/>
      <c r="AO4100" s="466"/>
      <c r="AP4100" s="466"/>
      <c r="AQ4100" s="466"/>
      <c r="AR4100" s="466"/>
      <c r="AS4100" s="466"/>
      <c r="AT4100" s="466"/>
      <c r="AU4100" s="466"/>
      <c r="AV4100" s="466"/>
      <c r="AW4100" s="466"/>
      <c r="AX4100" s="466"/>
      <c r="AY4100" s="466"/>
      <c r="AZ4100" s="466"/>
      <c r="BA4100" s="466"/>
      <c r="BB4100" s="466"/>
      <c r="BC4100" s="466"/>
      <c r="BD4100" s="466"/>
      <c r="BE4100" s="467"/>
      <c r="BF4100" s="467"/>
      <c r="BG4100" s="466"/>
      <c r="BH4100" s="466"/>
      <c r="BI4100" s="467"/>
      <c r="BJ4100" s="467"/>
      <c r="BK4100" s="467"/>
      <c r="BL4100" s="467"/>
      <c r="BM4100" s="467"/>
      <c r="BN4100" s="467"/>
      <c r="BO4100" s="467"/>
      <c r="BP4100" s="467"/>
      <c r="BQ4100" s="467"/>
      <c r="BR4100" s="467"/>
      <c r="BS4100" s="467"/>
      <c r="BT4100" s="467"/>
      <c r="BU4100" s="467"/>
      <c r="BV4100" s="467"/>
      <c r="BW4100" s="467"/>
      <c r="BX4100" s="769"/>
      <c r="BY4100" s="769"/>
      <c r="BZ4100" s="769"/>
      <c r="CA4100" s="769"/>
      <c r="CB4100" s="769"/>
      <c r="CC4100" s="769"/>
      <c r="CD4100" s="769"/>
      <c r="CE4100" s="769"/>
      <c r="CF4100" s="769"/>
      <c r="CG4100" s="73"/>
      <c r="CH4100" s="438"/>
      <c r="CI4100" s="416"/>
      <c r="CJ4100" s="73"/>
      <c r="CK4100" s="650"/>
      <c r="CL4100" s="499"/>
      <c r="CM4100" s="650"/>
      <c r="CR4100" s="416"/>
      <c r="CS4100" s="650"/>
      <c r="CU4100" s="73"/>
      <c r="CV4100" s="73"/>
      <c r="CW4100" s="73"/>
      <c r="CX4100" s="73"/>
      <c r="DA4100" s="650"/>
    </row>
    <row r="4101" spans="1:105" s="45" customFormat="1" x14ac:dyDescent="0.2">
      <c r="A4101" s="650"/>
      <c r="B4101" s="438"/>
      <c r="D4101" s="73"/>
      <c r="E4101" s="650"/>
      <c r="F4101" s="650"/>
      <c r="G4101" s="73"/>
      <c r="I4101" s="111"/>
      <c r="J4101" s="81"/>
      <c r="K4101" s="81"/>
      <c r="L4101" s="499"/>
      <c r="M4101" s="73"/>
      <c r="N4101" s="499"/>
      <c r="O4101" s="73"/>
      <c r="P4101" s="73"/>
      <c r="Q4101" s="73"/>
      <c r="R4101" s="176"/>
      <c r="S4101" s="176"/>
      <c r="T4101" s="176"/>
      <c r="U4101" s="400"/>
      <c r="V4101" s="400"/>
      <c r="W4101" s="732"/>
      <c r="X4101" s="167"/>
      <c r="Y4101" s="509"/>
      <c r="Z4101" s="466"/>
      <c r="AA4101" s="466"/>
      <c r="AB4101" s="466"/>
      <c r="AC4101" s="466"/>
      <c r="AD4101" s="466"/>
      <c r="AE4101" s="466"/>
      <c r="AF4101" s="466"/>
      <c r="AG4101" s="466"/>
      <c r="AH4101" s="466"/>
      <c r="AI4101" s="466"/>
      <c r="AJ4101" s="466"/>
      <c r="AK4101" s="466"/>
      <c r="AL4101" s="466"/>
      <c r="AM4101" s="466"/>
      <c r="AN4101" s="466"/>
      <c r="AO4101" s="466"/>
      <c r="AP4101" s="466"/>
      <c r="AQ4101" s="466"/>
      <c r="AR4101" s="466"/>
      <c r="AS4101" s="466"/>
      <c r="AT4101" s="466"/>
      <c r="AU4101" s="466"/>
      <c r="AV4101" s="466"/>
      <c r="AW4101" s="466"/>
      <c r="AX4101" s="466"/>
      <c r="AY4101" s="466"/>
      <c r="AZ4101" s="466"/>
      <c r="BA4101" s="466"/>
      <c r="BB4101" s="466"/>
      <c r="BC4101" s="466"/>
      <c r="BD4101" s="466"/>
      <c r="BE4101" s="467"/>
      <c r="BF4101" s="467"/>
      <c r="BG4101" s="466"/>
      <c r="BH4101" s="466"/>
      <c r="BI4101" s="467"/>
      <c r="BJ4101" s="467"/>
      <c r="BK4101" s="467"/>
      <c r="BL4101" s="467"/>
      <c r="BM4101" s="467"/>
      <c r="BN4101" s="467"/>
      <c r="BO4101" s="467"/>
      <c r="BP4101" s="467"/>
      <c r="BQ4101" s="467"/>
      <c r="BR4101" s="467"/>
      <c r="BS4101" s="467"/>
      <c r="BT4101" s="467"/>
      <c r="BU4101" s="467"/>
      <c r="BV4101" s="467"/>
      <c r="BW4101" s="467"/>
      <c r="BX4101" s="769"/>
      <c r="BY4101" s="769"/>
      <c r="BZ4101" s="769"/>
      <c r="CA4101" s="769"/>
      <c r="CB4101" s="769"/>
      <c r="CC4101" s="769"/>
      <c r="CD4101" s="769"/>
      <c r="CE4101" s="769"/>
      <c r="CF4101" s="769"/>
      <c r="CG4101" s="73"/>
      <c r="CH4101" s="438"/>
      <c r="CI4101" s="416"/>
      <c r="CJ4101" s="73"/>
      <c r="CK4101" s="650"/>
      <c r="CL4101" s="499"/>
      <c r="CM4101" s="650"/>
      <c r="CR4101" s="416"/>
      <c r="CS4101" s="650"/>
      <c r="CU4101" s="73"/>
      <c r="CV4101" s="73"/>
      <c r="CW4101" s="73"/>
      <c r="CX4101" s="73"/>
      <c r="DA4101" s="650"/>
    </row>
    <row r="4102" spans="1:105" s="45" customFormat="1" x14ac:dyDescent="0.2">
      <c r="A4102" s="650"/>
      <c r="B4102" s="438"/>
      <c r="D4102" s="73"/>
      <c r="E4102" s="650"/>
      <c r="F4102" s="650"/>
      <c r="G4102" s="73"/>
      <c r="I4102" s="111"/>
      <c r="J4102" s="81"/>
      <c r="K4102" s="81"/>
      <c r="L4102" s="499"/>
      <c r="M4102" s="73"/>
      <c r="N4102" s="499"/>
      <c r="O4102" s="73"/>
      <c r="P4102" s="73"/>
      <c r="Q4102" s="73"/>
      <c r="R4102" s="176"/>
      <c r="S4102" s="176"/>
      <c r="T4102" s="176"/>
      <c r="U4102" s="400"/>
      <c r="V4102" s="400"/>
      <c r="W4102" s="732"/>
      <c r="X4102" s="167"/>
      <c r="Y4102" s="509"/>
      <c r="Z4102" s="466"/>
      <c r="AA4102" s="466"/>
      <c r="AB4102" s="466"/>
      <c r="AC4102" s="466"/>
      <c r="AD4102" s="466"/>
      <c r="AE4102" s="466"/>
      <c r="AF4102" s="466"/>
      <c r="AG4102" s="466"/>
      <c r="AH4102" s="466"/>
      <c r="AI4102" s="466"/>
      <c r="AJ4102" s="466"/>
      <c r="AK4102" s="466"/>
      <c r="AL4102" s="466"/>
      <c r="AM4102" s="466"/>
      <c r="AN4102" s="466"/>
      <c r="AO4102" s="466"/>
      <c r="AP4102" s="466"/>
      <c r="AQ4102" s="466"/>
      <c r="AR4102" s="466"/>
      <c r="AS4102" s="466"/>
      <c r="AT4102" s="466"/>
      <c r="AU4102" s="466"/>
      <c r="AV4102" s="466"/>
      <c r="AW4102" s="466"/>
      <c r="AX4102" s="466"/>
      <c r="AY4102" s="466"/>
      <c r="AZ4102" s="466"/>
      <c r="BA4102" s="466"/>
      <c r="BB4102" s="466"/>
      <c r="BC4102" s="466"/>
      <c r="BD4102" s="466"/>
      <c r="BE4102" s="467"/>
      <c r="BF4102" s="467"/>
      <c r="BG4102" s="466"/>
      <c r="BH4102" s="466"/>
      <c r="BI4102" s="467"/>
      <c r="BJ4102" s="467"/>
      <c r="BK4102" s="467"/>
      <c r="BL4102" s="467"/>
      <c r="BM4102" s="467"/>
      <c r="BN4102" s="467"/>
      <c r="BO4102" s="467"/>
      <c r="BP4102" s="467"/>
      <c r="BQ4102" s="467"/>
      <c r="BR4102" s="467"/>
      <c r="BS4102" s="467"/>
      <c r="BT4102" s="467"/>
      <c r="BU4102" s="467"/>
      <c r="BV4102" s="467"/>
      <c r="BW4102" s="467"/>
      <c r="BX4102" s="769"/>
      <c r="BY4102" s="769"/>
      <c r="BZ4102" s="769"/>
      <c r="CA4102" s="769"/>
      <c r="CB4102" s="769"/>
      <c r="CC4102" s="769"/>
      <c r="CD4102" s="769"/>
      <c r="CE4102" s="769"/>
      <c r="CF4102" s="769"/>
      <c r="CG4102" s="73"/>
      <c r="CH4102" s="438"/>
      <c r="CI4102" s="416"/>
      <c r="CJ4102" s="73"/>
      <c r="CK4102" s="650"/>
      <c r="CL4102" s="499"/>
      <c r="CM4102" s="650"/>
      <c r="CR4102" s="416"/>
      <c r="CS4102" s="650"/>
      <c r="CU4102" s="73"/>
      <c r="CV4102" s="73"/>
      <c r="CW4102" s="73"/>
      <c r="CX4102" s="73"/>
      <c r="DA4102" s="650"/>
    </row>
    <row r="4103" spans="1:105" s="45" customFormat="1" x14ac:dyDescent="0.2">
      <c r="A4103" s="650"/>
      <c r="B4103" s="438"/>
      <c r="D4103" s="73"/>
      <c r="E4103" s="650"/>
      <c r="F4103" s="650"/>
      <c r="G4103" s="73"/>
      <c r="I4103" s="111"/>
      <c r="J4103" s="81"/>
      <c r="K4103" s="81"/>
      <c r="L4103" s="499"/>
      <c r="M4103" s="73"/>
      <c r="N4103" s="499"/>
      <c r="O4103" s="73"/>
      <c r="P4103" s="73"/>
      <c r="Q4103" s="73"/>
      <c r="R4103" s="176"/>
      <c r="S4103" s="176"/>
      <c r="T4103" s="176"/>
      <c r="U4103" s="400"/>
      <c r="V4103" s="400"/>
      <c r="W4103" s="732"/>
      <c r="X4103" s="167"/>
      <c r="Y4103" s="509"/>
      <c r="Z4103" s="466"/>
      <c r="AA4103" s="466"/>
      <c r="AB4103" s="466"/>
      <c r="AC4103" s="466"/>
      <c r="AD4103" s="466"/>
      <c r="AE4103" s="466"/>
      <c r="AF4103" s="466"/>
      <c r="AG4103" s="466"/>
      <c r="AH4103" s="466"/>
      <c r="AI4103" s="466"/>
      <c r="AJ4103" s="466"/>
      <c r="AK4103" s="466"/>
      <c r="AL4103" s="466"/>
      <c r="AM4103" s="466"/>
      <c r="AN4103" s="466"/>
      <c r="AO4103" s="466"/>
      <c r="AP4103" s="466"/>
      <c r="AQ4103" s="466"/>
      <c r="AR4103" s="466"/>
      <c r="AS4103" s="466"/>
      <c r="AT4103" s="466"/>
      <c r="AU4103" s="466"/>
      <c r="AV4103" s="466"/>
      <c r="AW4103" s="466"/>
      <c r="AX4103" s="466"/>
      <c r="AY4103" s="466"/>
      <c r="AZ4103" s="466"/>
      <c r="BA4103" s="466"/>
      <c r="BB4103" s="466"/>
      <c r="BC4103" s="466"/>
      <c r="BD4103" s="466"/>
      <c r="BE4103" s="467"/>
      <c r="BF4103" s="467"/>
      <c r="BG4103" s="466"/>
      <c r="BH4103" s="466"/>
      <c r="BI4103" s="467"/>
      <c r="BJ4103" s="467"/>
      <c r="BK4103" s="467"/>
      <c r="BL4103" s="467"/>
      <c r="BM4103" s="467"/>
      <c r="BN4103" s="467"/>
      <c r="BO4103" s="467"/>
      <c r="BP4103" s="467"/>
      <c r="BQ4103" s="467"/>
      <c r="BR4103" s="467"/>
      <c r="BS4103" s="467"/>
      <c r="BT4103" s="467"/>
      <c r="BU4103" s="467"/>
      <c r="BV4103" s="467"/>
      <c r="BW4103" s="467"/>
      <c r="BX4103" s="769"/>
      <c r="BY4103" s="769"/>
      <c r="BZ4103" s="769"/>
      <c r="CA4103" s="769"/>
      <c r="CB4103" s="769"/>
      <c r="CC4103" s="769"/>
      <c r="CD4103" s="769"/>
      <c r="CE4103" s="769"/>
      <c r="CF4103" s="769"/>
      <c r="CG4103" s="73"/>
      <c r="CH4103" s="438"/>
      <c r="CI4103" s="416"/>
      <c r="CJ4103" s="73"/>
      <c r="CK4103" s="650"/>
      <c r="CL4103" s="499"/>
      <c r="CM4103" s="650"/>
      <c r="CR4103" s="416"/>
      <c r="CS4103" s="650"/>
      <c r="CU4103" s="73"/>
      <c r="CV4103" s="73"/>
      <c r="CW4103" s="73"/>
      <c r="CX4103" s="73"/>
      <c r="DA4103" s="650"/>
    </row>
    <row r="4104" spans="1:105" s="45" customFormat="1" x14ac:dyDescent="0.2">
      <c r="A4104" s="650"/>
      <c r="B4104" s="438"/>
      <c r="D4104" s="73"/>
      <c r="E4104" s="650"/>
      <c r="F4104" s="650"/>
      <c r="G4104" s="73"/>
      <c r="I4104" s="111"/>
      <c r="J4104" s="81"/>
      <c r="K4104" s="81"/>
      <c r="L4104" s="499"/>
      <c r="M4104" s="73"/>
      <c r="N4104" s="499"/>
      <c r="O4104" s="73"/>
      <c r="P4104" s="73"/>
      <c r="Q4104" s="73"/>
      <c r="R4104" s="176"/>
      <c r="S4104" s="176"/>
      <c r="T4104" s="176"/>
      <c r="U4104" s="400"/>
      <c r="V4104" s="400"/>
      <c r="W4104" s="732"/>
      <c r="X4104" s="167"/>
      <c r="Y4104" s="509"/>
      <c r="Z4104" s="466"/>
      <c r="AA4104" s="466"/>
      <c r="AB4104" s="466"/>
      <c r="AC4104" s="466"/>
      <c r="AD4104" s="466"/>
      <c r="AE4104" s="466"/>
      <c r="AF4104" s="466"/>
      <c r="AG4104" s="466"/>
      <c r="AH4104" s="466"/>
      <c r="AI4104" s="466"/>
      <c r="AJ4104" s="466"/>
      <c r="AK4104" s="466"/>
      <c r="AL4104" s="466"/>
      <c r="AM4104" s="466"/>
      <c r="AN4104" s="466"/>
      <c r="AO4104" s="466"/>
      <c r="AP4104" s="466"/>
      <c r="AQ4104" s="466"/>
      <c r="AR4104" s="466"/>
      <c r="AS4104" s="466"/>
      <c r="AT4104" s="466"/>
      <c r="AU4104" s="466"/>
      <c r="AV4104" s="466"/>
      <c r="AW4104" s="466"/>
      <c r="AX4104" s="466"/>
      <c r="AY4104" s="466"/>
      <c r="AZ4104" s="466"/>
      <c r="BA4104" s="466"/>
      <c r="BB4104" s="466"/>
      <c r="BC4104" s="466"/>
      <c r="BD4104" s="466"/>
      <c r="BE4104" s="467"/>
      <c r="BF4104" s="467"/>
      <c r="BG4104" s="466"/>
      <c r="BH4104" s="466"/>
      <c r="BI4104" s="467"/>
      <c r="BJ4104" s="467"/>
      <c r="BK4104" s="467"/>
      <c r="BL4104" s="467"/>
      <c r="BM4104" s="467"/>
      <c r="BN4104" s="467"/>
      <c r="BO4104" s="467"/>
      <c r="BP4104" s="467"/>
      <c r="BQ4104" s="467"/>
      <c r="BR4104" s="467"/>
      <c r="BS4104" s="467"/>
      <c r="BT4104" s="467"/>
      <c r="BU4104" s="467"/>
      <c r="BV4104" s="467"/>
      <c r="BW4104" s="467"/>
      <c r="BX4104" s="769"/>
      <c r="BY4104" s="769"/>
      <c r="BZ4104" s="769"/>
      <c r="CA4104" s="769"/>
      <c r="CB4104" s="769"/>
      <c r="CC4104" s="769"/>
      <c r="CD4104" s="769"/>
      <c r="CE4104" s="769"/>
      <c r="CF4104" s="769"/>
      <c r="CG4104" s="73"/>
      <c r="CH4104" s="438"/>
      <c r="CI4104" s="416"/>
      <c r="CJ4104" s="73"/>
      <c r="CK4104" s="650"/>
      <c r="CL4104" s="499"/>
      <c r="CM4104" s="650"/>
      <c r="CR4104" s="416"/>
      <c r="CS4104" s="650"/>
      <c r="CU4104" s="73"/>
      <c r="CV4104" s="73"/>
      <c r="CW4104" s="73"/>
      <c r="CX4104" s="73"/>
      <c r="DA4104" s="650"/>
    </row>
    <row r="4105" spans="1:105" s="45" customFormat="1" x14ac:dyDescent="0.2">
      <c r="A4105" s="650"/>
      <c r="B4105" s="438"/>
      <c r="D4105" s="73"/>
      <c r="E4105" s="650"/>
      <c r="F4105" s="650"/>
      <c r="G4105" s="73"/>
      <c r="I4105" s="111"/>
      <c r="J4105" s="81"/>
      <c r="K4105" s="81"/>
      <c r="L4105" s="499"/>
      <c r="M4105" s="73"/>
      <c r="N4105" s="499"/>
      <c r="O4105" s="73"/>
      <c r="P4105" s="73"/>
      <c r="Q4105" s="73"/>
      <c r="R4105" s="176"/>
      <c r="S4105" s="176"/>
      <c r="T4105" s="176"/>
      <c r="U4105" s="400"/>
      <c r="V4105" s="400"/>
      <c r="W4105" s="732"/>
      <c r="X4105" s="167"/>
      <c r="Y4105" s="509"/>
      <c r="Z4105" s="466"/>
      <c r="AA4105" s="466"/>
      <c r="AB4105" s="466"/>
      <c r="AC4105" s="466"/>
      <c r="AD4105" s="466"/>
      <c r="AE4105" s="466"/>
      <c r="AF4105" s="466"/>
      <c r="AG4105" s="466"/>
      <c r="AH4105" s="466"/>
      <c r="AI4105" s="466"/>
      <c r="AJ4105" s="466"/>
      <c r="AK4105" s="466"/>
      <c r="AL4105" s="466"/>
      <c r="AM4105" s="466"/>
      <c r="AN4105" s="466"/>
      <c r="AO4105" s="466"/>
      <c r="AP4105" s="466"/>
      <c r="AQ4105" s="466"/>
      <c r="AR4105" s="466"/>
      <c r="AS4105" s="466"/>
      <c r="AT4105" s="466"/>
      <c r="AU4105" s="466"/>
      <c r="AV4105" s="466"/>
      <c r="AW4105" s="466"/>
      <c r="AX4105" s="466"/>
      <c r="AY4105" s="466"/>
      <c r="AZ4105" s="466"/>
      <c r="BA4105" s="466"/>
      <c r="BB4105" s="466"/>
      <c r="BC4105" s="466"/>
      <c r="BD4105" s="466"/>
      <c r="BE4105" s="467"/>
      <c r="BF4105" s="467"/>
      <c r="BG4105" s="466"/>
      <c r="BH4105" s="466"/>
      <c r="BI4105" s="467"/>
      <c r="BJ4105" s="467"/>
      <c r="BK4105" s="467"/>
      <c r="BL4105" s="467"/>
      <c r="BM4105" s="467"/>
      <c r="BN4105" s="467"/>
      <c r="BO4105" s="467"/>
      <c r="BP4105" s="467"/>
      <c r="BQ4105" s="467"/>
      <c r="BR4105" s="467"/>
      <c r="BS4105" s="467"/>
      <c r="BT4105" s="467"/>
      <c r="BU4105" s="467"/>
      <c r="BV4105" s="467"/>
      <c r="BW4105" s="467"/>
      <c r="BX4105" s="769"/>
      <c r="BY4105" s="769"/>
      <c r="BZ4105" s="769"/>
      <c r="CA4105" s="769"/>
      <c r="CB4105" s="769"/>
      <c r="CC4105" s="769"/>
      <c r="CD4105" s="769"/>
      <c r="CE4105" s="769"/>
      <c r="CF4105" s="769"/>
      <c r="CG4105" s="73"/>
      <c r="CH4105" s="438"/>
      <c r="CI4105" s="416"/>
      <c r="CJ4105" s="73"/>
      <c r="CK4105" s="650"/>
      <c r="CL4105" s="499"/>
      <c r="CM4105" s="650"/>
      <c r="CR4105" s="416"/>
      <c r="CS4105" s="650"/>
      <c r="CU4105" s="73"/>
      <c r="CV4105" s="73"/>
      <c r="CW4105" s="73"/>
      <c r="CX4105" s="73"/>
      <c r="DA4105" s="650"/>
    </row>
    <row r="4106" spans="1:105" s="45" customFormat="1" x14ac:dyDescent="0.2">
      <c r="A4106" s="650"/>
      <c r="B4106" s="438"/>
      <c r="D4106" s="73"/>
      <c r="E4106" s="650"/>
      <c r="F4106" s="650"/>
      <c r="G4106" s="73"/>
      <c r="I4106" s="111"/>
      <c r="J4106" s="81"/>
      <c r="K4106" s="81"/>
      <c r="L4106" s="499"/>
      <c r="M4106" s="73"/>
      <c r="N4106" s="499"/>
      <c r="O4106" s="73"/>
      <c r="P4106" s="73"/>
      <c r="Q4106" s="73"/>
      <c r="R4106" s="176"/>
      <c r="S4106" s="176"/>
      <c r="T4106" s="176"/>
      <c r="U4106" s="400"/>
      <c r="V4106" s="400"/>
      <c r="W4106" s="732"/>
      <c r="X4106" s="167"/>
      <c r="Y4106" s="509"/>
      <c r="Z4106" s="466"/>
      <c r="AA4106" s="466"/>
      <c r="AB4106" s="466"/>
      <c r="AC4106" s="466"/>
      <c r="AD4106" s="466"/>
      <c r="AE4106" s="466"/>
      <c r="AF4106" s="466"/>
      <c r="AG4106" s="466"/>
      <c r="AH4106" s="466"/>
      <c r="AI4106" s="466"/>
      <c r="AJ4106" s="466"/>
      <c r="AK4106" s="466"/>
      <c r="AL4106" s="466"/>
      <c r="AM4106" s="466"/>
      <c r="AN4106" s="466"/>
      <c r="AO4106" s="466"/>
      <c r="AP4106" s="466"/>
      <c r="AQ4106" s="466"/>
      <c r="AR4106" s="466"/>
      <c r="AS4106" s="466"/>
      <c r="AT4106" s="466"/>
      <c r="AU4106" s="466"/>
      <c r="AV4106" s="466"/>
      <c r="AW4106" s="466"/>
      <c r="AX4106" s="466"/>
      <c r="AY4106" s="466"/>
      <c r="AZ4106" s="466"/>
      <c r="BA4106" s="466"/>
      <c r="BB4106" s="466"/>
      <c r="BC4106" s="466"/>
      <c r="BD4106" s="466"/>
      <c r="BE4106" s="467"/>
      <c r="BF4106" s="467"/>
      <c r="BG4106" s="466"/>
      <c r="BH4106" s="466"/>
      <c r="BI4106" s="467"/>
      <c r="BJ4106" s="467"/>
      <c r="BK4106" s="467"/>
      <c r="BL4106" s="467"/>
      <c r="BM4106" s="467"/>
      <c r="BN4106" s="467"/>
      <c r="BO4106" s="467"/>
      <c r="BP4106" s="467"/>
      <c r="BQ4106" s="467"/>
      <c r="BR4106" s="467"/>
      <c r="BS4106" s="467"/>
      <c r="BT4106" s="467"/>
      <c r="BU4106" s="467"/>
      <c r="BV4106" s="467"/>
      <c r="BW4106" s="467"/>
      <c r="BX4106" s="769"/>
      <c r="BY4106" s="769"/>
      <c r="BZ4106" s="769"/>
      <c r="CA4106" s="769"/>
      <c r="CB4106" s="769"/>
      <c r="CC4106" s="769"/>
      <c r="CD4106" s="769"/>
      <c r="CE4106" s="769"/>
      <c r="CF4106" s="769"/>
      <c r="CG4106" s="73"/>
      <c r="CH4106" s="438"/>
      <c r="CI4106" s="416"/>
      <c r="CJ4106" s="73"/>
      <c r="CK4106" s="650"/>
      <c r="CL4106" s="499"/>
      <c r="CM4106" s="650"/>
      <c r="CR4106" s="416"/>
      <c r="CS4106" s="650"/>
      <c r="CU4106" s="73"/>
      <c r="CV4106" s="73"/>
      <c r="CW4106" s="73"/>
      <c r="CX4106" s="73"/>
      <c r="DA4106" s="650"/>
    </row>
    <row r="4107" spans="1:105" s="45" customFormat="1" x14ac:dyDescent="0.2">
      <c r="A4107" s="650"/>
      <c r="B4107" s="438"/>
      <c r="D4107" s="73"/>
      <c r="E4107" s="650"/>
      <c r="F4107" s="650"/>
      <c r="G4107" s="73"/>
      <c r="I4107" s="111"/>
      <c r="J4107" s="81"/>
      <c r="K4107" s="81"/>
      <c r="L4107" s="499"/>
      <c r="M4107" s="73"/>
      <c r="N4107" s="499"/>
      <c r="O4107" s="73"/>
      <c r="P4107" s="73"/>
      <c r="Q4107" s="73"/>
      <c r="R4107" s="176"/>
      <c r="S4107" s="176"/>
      <c r="T4107" s="176"/>
      <c r="U4107" s="400"/>
      <c r="V4107" s="400"/>
      <c r="W4107" s="732"/>
      <c r="X4107" s="167"/>
      <c r="Y4107" s="509"/>
      <c r="Z4107" s="466"/>
      <c r="AA4107" s="466"/>
      <c r="AB4107" s="466"/>
      <c r="AC4107" s="466"/>
      <c r="AD4107" s="466"/>
      <c r="AE4107" s="466"/>
      <c r="AF4107" s="466"/>
      <c r="AG4107" s="466"/>
      <c r="AH4107" s="466"/>
      <c r="AI4107" s="466"/>
      <c r="AJ4107" s="466"/>
      <c r="AK4107" s="466"/>
      <c r="AL4107" s="466"/>
      <c r="AM4107" s="466"/>
      <c r="AN4107" s="466"/>
      <c r="AO4107" s="466"/>
      <c r="AP4107" s="466"/>
      <c r="AQ4107" s="466"/>
      <c r="AR4107" s="466"/>
      <c r="AS4107" s="466"/>
      <c r="AT4107" s="466"/>
      <c r="AU4107" s="466"/>
      <c r="AV4107" s="466"/>
      <c r="AW4107" s="466"/>
      <c r="AX4107" s="466"/>
      <c r="AY4107" s="466"/>
      <c r="AZ4107" s="466"/>
      <c r="BA4107" s="466"/>
      <c r="BB4107" s="466"/>
      <c r="BC4107" s="466"/>
      <c r="BD4107" s="466"/>
      <c r="BE4107" s="467"/>
      <c r="BF4107" s="467"/>
      <c r="BG4107" s="466"/>
      <c r="BH4107" s="466"/>
      <c r="BI4107" s="467"/>
      <c r="BJ4107" s="467"/>
      <c r="BK4107" s="467"/>
      <c r="BL4107" s="467"/>
      <c r="BM4107" s="467"/>
      <c r="BN4107" s="467"/>
      <c r="BO4107" s="467"/>
      <c r="BP4107" s="467"/>
      <c r="BQ4107" s="467"/>
      <c r="BR4107" s="467"/>
      <c r="BS4107" s="467"/>
      <c r="BT4107" s="467"/>
      <c r="BU4107" s="467"/>
      <c r="BV4107" s="467"/>
      <c r="BW4107" s="467"/>
      <c r="BX4107" s="769"/>
      <c r="BY4107" s="769"/>
      <c r="BZ4107" s="769"/>
      <c r="CA4107" s="769"/>
      <c r="CB4107" s="769"/>
      <c r="CC4107" s="769"/>
      <c r="CD4107" s="769"/>
      <c r="CE4107" s="769"/>
      <c r="CF4107" s="769"/>
      <c r="CG4107" s="73"/>
      <c r="CH4107" s="438"/>
      <c r="CI4107" s="416"/>
      <c r="CJ4107" s="73"/>
      <c r="CK4107" s="650"/>
      <c r="CL4107" s="499"/>
      <c r="CM4107" s="650"/>
      <c r="CR4107" s="416"/>
      <c r="CS4107" s="650"/>
      <c r="CU4107" s="73"/>
      <c r="CV4107" s="73"/>
      <c r="CW4107" s="73"/>
      <c r="CX4107" s="73"/>
      <c r="DA4107" s="650"/>
    </row>
    <row r="4108" spans="1:105" s="45" customFormat="1" x14ac:dyDescent="0.2">
      <c r="A4108" s="650"/>
      <c r="B4108" s="438"/>
      <c r="D4108" s="73"/>
      <c r="E4108" s="650"/>
      <c r="F4108" s="650"/>
      <c r="G4108" s="73"/>
      <c r="I4108" s="111"/>
      <c r="J4108" s="81"/>
      <c r="K4108" s="81"/>
      <c r="L4108" s="499"/>
      <c r="M4108" s="73"/>
      <c r="N4108" s="499"/>
      <c r="O4108" s="73"/>
      <c r="P4108" s="73"/>
      <c r="Q4108" s="73"/>
      <c r="R4108" s="176"/>
      <c r="S4108" s="176"/>
      <c r="T4108" s="176"/>
      <c r="U4108" s="400"/>
      <c r="V4108" s="400"/>
      <c r="W4108" s="732"/>
      <c r="X4108" s="167"/>
      <c r="Y4108" s="509"/>
      <c r="Z4108" s="466"/>
      <c r="AA4108" s="466"/>
      <c r="AB4108" s="466"/>
      <c r="AC4108" s="466"/>
      <c r="AD4108" s="466"/>
      <c r="AE4108" s="466"/>
      <c r="AF4108" s="466"/>
      <c r="AG4108" s="466"/>
      <c r="AH4108" s="466"/>
      <c r="AI4108" s="466"/>
      <c r="AJ4108" s="466"/>
      <c r="AK4108" s="466"/>
      <c r="AL4108" s="466"/>
      <c r="AM4108" s="466"/>
      <c r="AN4108" s="466"/>
      <c r="AO4108" s="466"/>
      <c r="AP4108" s="466"/>
      <c r="AQ4108" s="466"/>
      <c r="AR4108" s="466"/>
      <c r="AS4108" s="466"/>
      <c r="AT4108" s="466"/>
      <c r="AU4108" s="466"/>
      <c r="AV4108" s="466"/>
      <c r="AW4108" s="466"/>
      <c r="AX4108" s="466"/>
      <c r="AY4108" s="466"/>
      <c r="AZ4108" s="466"/>
      <c r="BA4108" s="466"/>
      <c r="BB4108" s="466"/>
      <c r="BC4108" s="466"/>
      <c r="BD4108" s="466"/>
      <c r="BE4108" s="467"/>
      <c r="BF4108" s="467"/>
      <c r="BG4108" s="466"/>
      <c r="BH4108" s="466"/>
      <c r="BI4108" s="467"/>
      <c r="BJ4108" s="467"/>
      <c r="BK4108" s="467"/>
      <c r="BL4108" s="467"/>
      <c r="BM4108" s="467"/>
      <c r="BN4108" s="467"/>
      <c r="BO4108" s="467"/>
      <c r="BP4108" s="467"/>
      <c r="BQ4108" s="467"/>
      <c r="BR4108" s="467"/>
      <c r="BS4108" s="467"/>
      <c r="BT4108" s="467"/>
      <c r="BU4108" s="467"/>
      <c r="BV4108" s="467"/>
      <c r="BW4108" s="467"/>
      <c r="BX4108" s="769"/>
      <c r="BY4108" s="769"/>
      <c r="BZ4108" s="769"/>
      <c r="CA4108" s="769"/>
      <c r="CB4108" s="769"/>
      <c r="CC4108" s="769"/>
      <c r="CD4108" s="769"/>
      <c r="CE4108" s="769"/>
      <c r="CF4108" s="769"/>
      <c r="CG4108" s="73"/>
      <c r="CH4108" s="438"/>
      <c r="CI4108" s="416"/>
      <c r="CJ4108" s="73"/>
      <c r="CK4108" s="650"/>
      <c r="CL4108" s="499"/>
      <c r="CM4108" s="650"/>
      <c r="CR4108" s="416"/>
      <c r="CS4108" s="650"/>
      <c r="CU4108" s="73"/>
      <c r="CV4108" s="73"/>
      <c r="CW4108" s="73"/>
      <c r="CX4108" s="73"/>
      <c r="DA4108" s="650"/>
    </row>
    <row r="4109" spans="1:105" s="45" customFormat="1" x14ac:dyDescent="0.2">
      <c r="A4109" s="650"/>
      <c r="B4109" s="438"/>
      <c r="D4109" s="73"/>
      <c r="E4109" s="650"/>
      <c r="F4109" s="650"/>
      <c r="G4109" s="73"/>
      <c r="I4109" s="111"/>
      <c r="J4109" s="81"/>
      <c r="K4109" s="81"/>
      <c r="L4109" s="499"/>
      <c r="M4109" s="73"/>
      <c r="N4109" s="499"/>
      <c r="O4109" s="73"/>
      <c r="P4109" s="73"/>
      <c r="Q4109" s="73"/>
      <c r="R4109" s="176"/>
      <c r="S4109" s="176"/>
      <c r="T4109" s="176"/>
      <c r="U4109" s="400"/>
      <c r="V4109" s="400"/>
      <c r="W4109" s="732"/>
      <c r="X4109" s="167"/>
      <c r="Y4109" s="509"/>
      <c r="Z4109" s="466"/>
      <c r="AA4109" s="466"/>
      <c r="AB4109" s="466"/>
      <c r="AC4109" s="466"/>
      <c r="AD4109" s="466"/>
      <c r="AE4109" s="466"/>
      <c r="AF4109" s="466"/>
      <c r="AG4109" s="466"/>
      <c r="AH4109" s="466"/>
      <c r="AI4109" s="466"/>
      <c r="AJ4109" s="466"/>
      <c r="AK4109" s="466"/>
      <c r="AL4109" s="466"/>
      <c r="AM4109" s="466"/>
      <c r="AN4109" s="466"/>
      <c r="AO4109" s="466"/>
      <c r="AP4109" s="466"/>
      <c r="AQ4109" s="466"/>
      <c r="AR4109" s="466"/>
      <c r="AS4109" s="466"/>
      <c r="AT4109" s="466"/>
      <c r="AU4109" s="466"/>
      <c r="AV4109" s="466"/>
      <c r="AW4109" s="466"/>
      <c r="AX4109" s="466"/>
      <c r="AY4109" s="466"/>
      <c r="AZ4109" s="466"/>
      <c r="BA4109" s="466"/>
      <c r="BB4109" s="466"/>
      <c r="BC4109" s="466"/>
      <c r="BD4109" s="466"/>
      <c r="BE4109" s="467"/>
      <c r="BF4109" s="467"/>
      <c r="BG4109" s="466"/>
      <c r="BH4109" s="466"/>
      <c r="BI4109" s="467"/>
      <c r="BJ4109" s="467"/>
      <c r="BK4109" s="467"/>
      <c r="BL4109" s="467"/>
      <c r="BM4109" s="467"/>
      <c r="BN4109" s="467"/>
      <c r="BO4109" s="467"/>
      <c r="BP4109" s="467"/>
      <c r="BQ4109" s="467"/>
      <c r="BR4109" s="467"/>
      <c r="BS4109" s="467"/>
      <c r="BT4109" s="467"/>
      <c r="BU4109" s="467"/>
      <c r="BV4109" s="467"/>
      <c r="BW4109" s="467"/>
      <c r="BX4109" s="769"/>
      <c r="BY4109" s="769"/>
      <c r="BZ4109" s="769"/>
      <c r="CA4109" s="769"/>
      <c r="CB4109" s="769"/>
      <c r="CC4109" s="769"/>
      <c r="CD4109" s="769"/>
      <c r="CE4109" s="769"/>
      <c r="CF4109" s="769"/>
      <c r="CG4109" s="73"/>
      <c r="CH4109" s="438"/>
      <c r="CI4109" s="416"/>
      <c r="CJ4109" s="73"/>
      <c r="CK4109" s="650"/>
      <c r="CL4109" s="499"/>
      <c r="CM4109" s="650"/>
      <c r="CR4109" s="416"/>
      <c r="CS4109" s="650"/>
      <c r="CU4109" s="73"/>
      <c r="CV4109" s="73"/>
      <c r="CW4109" s="73"/>
      <c r="CX4109" s="73"/>
      <c r="DA4109" s="650"/>
    </row>
    <row r="4110" spans="1:105" s="45" customFormat="1" x14ac:dyDescent="0.2">
      <c r="A4110" s="650"/>
      <c r="B4110" s="438"/>
      <c r="D4110" s="73"/>
      <c r="E4110" s="650"/>
      <c r="F4110" s="650"/>
      <c r="G4110" s="73"/>
      <c r="I4110" s="111"/>
      <c r="J4110" s="81"/>
      <c r="K4110" s="81"/>
      <c r="L4110" s="499"/>
      <c r="M4110" s="73"/>
      <c r="N4110" s="499"/>
      <c r="O4110" s="73"/>
      <c r="P4110" s="73"/>
      <c r="Q4110" s="73"/>
      <c r="R4110" s="176"/>
      <c r="S4110" s="176"/>
      <c r="T4110" s="176"/>
      <c r="U4110" s="400"/>
      <c r="V4110" s="400"/>
      <c r="W4110" s="732"/>
      <c r="X4110" s="167"/>
      <c r="Y4110" s="509"/>
      <c r="Z4110" s="466"/>
      <c r="AA4110" s="466"/>
      <c r="AB4110" s="466"/>
      <c r="AC4110" s="466"/>
      <c r="AD4110" s="466"/>
      <c r="AE4110" s="466"/>
      <c r="AF4110" s="466"/>
      <c r="AG4110" s="466"/>
      <c r="AH4110" s="466"/>
      <c r="AI4110" s="466"/>
      <c r="AJ4110" s="466"/>
      <c r="AK4110" s="466"/>
      <c r="AL4110" s="466"/>
      <c r="AM4110" s="466"/>
      <c r="AN4110" s="466"/>
      <c r="AO4110" s="466"/>
      <c r="AP4110" s="466"/>
      <c r="AQ4110" s="466"/>
      <c r="AR4110" s="466"/>
      <c r="AS4110" s="466"/>
      <c r="AT4110" s="466"/>
      <c r="AU4110" s="466"/>
      <c r="AV4110" s="466"/>
      <c r="AW4110" s="466"/>
      <c r="AX4110" s="466"/>
      <c r="AY4110" s="466"/>
      <c r="AZ4110" s="466"/>
      <c r="BA4110" s="466"/>
      <c r="BB4110" s="466"/>
      <c r="BC4110" s="466"/>
      <c r="BD4110" s="466"/>
      <c r="BE4110" s="467"/>
      <c r="BF4110" s="467"/>
      <c r="BG4110" s="466"/>
      <c r="BH4110" s="466"/>
      <c r="BI4110" s="467"/>
      <c r="BJ4110" s="467"/>
      <c r="BK4110" s="467"/>
      <c r="BL4110" s="467"/>
      <c r="BM4110" s="467"/>
      <c r="BN4110" s="467"/>
      <c r="BO4110" s="467"/>
      <c r="BP4110" s="467"/>
      <c r="BQ4110" s="467"/>
      <c r="BR4110" s="467"/>
      <c r="BS4110" s="467"/>
      <c r="BT4110" s="467"/>
      <c r="BU4110" s="467"/>
      <c r="BV4110" s="467"/>
      <c r="BW4110" s="467"/>
      <c r="BX4110" s="769"/>
      <c r="BY4110" s="769"/>
      <c r="BZ4110" s="769"/>
      <c r="CA4110" s="769"/>
      <c r="CB4110" s="769"/>
      <c r="CC4110" s="769"/>
      <c r="CD4110" s="769"/>
      <c r="CE4110" s="769"/>
      <c r="CF4110" s="769"/>
      <c r="CG4110" s="73"/>
      <c r="CH4110" s="438"/>
      <c r="CI4110" s="416"/>
      <c r="CJ4110" s="73"/>
      <c r="CK4110" s="650"/>
      <c r="CL4110" s="499"/>
      <c r="CM4110" s="650"/>
      <c r="CR4110" s="416"/>
      <c r="CS4110" s="650"/>
      <c r="CU4110" s="73"/>
      <c r="CV4110" s="73"/>
      <c r="CW4110" s="73"/>
      <c r="CX4110" s="73"/>
      <c r="DA4110" s="650"/>
    </row>
    <row r="4111" spans="1:105" s="45" customFormat="1" x14ac:dyDescent="0.2">
      <c r="A4111" s="650"/>
      <c r="B4111" s="438"/>
      <c r="D4111" s="73"/>
      <c r="E4111" s="650"/>
      <c r="F4111" s="650"/>
      <c r="G4111" s="73"/>
      <c r="I4111" s="111"/>
      <c r="J4111" s="81"/>
      <c r="K4111" s="81"/>
      <c r="L4111" s="499"/>
      <c r="M4111" s="73"/>
      <c r="N4111" s="499"/>
      <c r="O4111" s="73"/>
      <c r="P4111" s="73"/>
      <c r="Q4111" s="73"/>
      <c r="R4111" s="176"/>
      <c r="S4111" s="176"/>
      <c r="T4111" s="176"/>
      <c r="U4111" s="400"/>
      <c r="V4111" s="400"/>
      <c r="W4111" s="732"/>
      <c r="X4111" s="167"/>
      <c r="Y4111" s="509"/>
      <c r="Z4111" s="466"/>
      <c r="AA4111" s="466"/>
      <c r="AB4111" s="466"/>
      <c r="AC4111" s="466"/>
      <c r="AD4111" s="466"/>
      <c r="AE4111" s="466"/>
      <c r="AF4111" s="466"/>
      <c r="AG4111" s="466"/>
      <c r="AH4111" s="466"/>
      <c r="AI4111" s="466"/>
      <c r="AJ4111" s="466"/>
      <c r="AK4111" s="466"/>
      <c r="AL4111" s="466"/>
      <c r="AM4111" s="466"/>
      <c r="AN4111" s="466"/>
      <c r="AO4111" s="466"/>
      <c r="AP4111" s="466"/>
      <c r="AQ4111" s="466"/>
      <c r="AR4111" s="466"/>
      <c r="AS4111" s="466"/>
      <c r="AT4111" s="466"/>
      <c r="AU4111" s="466"/>
      <c r="AV4111" s="466"/>
      <c r="AW4111" s="466"/>
      <c r="AX4111" s="466"/>
      <c r="AY4111" s="466"/>
      <c r="AZ4111" s="466"/>
      <c r="BA4111" s="466"/>
      <c r="BB4111" s="466"/>
      <c r="BC4111" s="466"/>
      <c r="BD4111" s="466"/>
      <c r="BE4111" s="467"/>
      <c r="BF4111" s="467"/>
      <c r="BG4111" s="466"/>
      <c r="BH4111" s="466"/>
      <c r="BI4111" s="467"/>
      <c r="BJ4111" s="467"/>
      <c r="BK4111" s="467"/>
      <c r="BL4111" s="467"/>
      <c r="BM4111" s="467"/>
      <c r="BN4111" s="467"/>
      <c r="BO4111" s="467"/>
      <c r="BP4111" s="467"/>
      <c r="BQ4111" s="467"/>
      <c r="BR4111" s="467"/>
      <c r="BS4111" s="467"/>
      <c r="BT4111" s="467"/>
      <c r="BU4111" s="467"/>
      <c r="BV4111" s="467"/>
      <c r="BW4111" s="467"/>
      <c r="BX4111" s="769"/>
      <c r="BY4111" s="769"/>
      <c r="BZ4111" s="769"/>
      <c r="CA4111" s="769"/>
      <c r="CB4111" s="769"/>
      <c r="CC4111" s="769"/>
      <c r="CD4111" s="769"/>
      <c r="CE4111" s="769"/>
      <c r="CF4111" s="769"/>
      <c r="CG4111" s="73"/>
      <c r="CH4111" s="438"/>
      <c r="CI4111" s="416"/>
      <c r="CJ4111" s="73"/>
      <c r="CK4111" s="650"/>
      <c r="CL4111" s="499"/>
      <c r="CM4111" s="650"/>
      <c r="CR4111" s="416"/>
      <c r="CS4111" s="650"/>
      <c r="CU4111" s="73"/>
      <c r="CV4111" s="73"/>
      <c r="CW4111" s="73"/>
      <c r="CX4111" s="73"/>
      <c r="DA4111" s="650"/>
    </row>
    <row r="4112" spans="1:105" s="45" customFormat="1" x14ac:dyDescent="0.2">
      <c r="A4112" s="650"/>
      <c r="B4112" s="438"/>
      <c r="D4112" s="73"/>
      <c r="E4112" s="650"/>
      <c r="F4112" s="650"/>
      <c r="G4112" s="73"/>
      <c r="I4112" s="111"/>
      <c r="J4112" s="81"/>
      <c r="K4112" s="81"/>
      <c r="L4112" s="499"/>
      <c r="M4112" s="73"/>
      <c r="N4112" s="499"/>
      <c r="O4112" s="73"/>
      <c r="P4112" s="73"/>
      <c r="Q4112" s="73"/>
      <c r="R4112" s="176"/>
      <c r="S4112" s="176"/>
      <c r="T4112" s="176"/>
      <c r="U4112" s="400"/>
      <c r="V4112" s="400"/>
      <c r="W4112" s="732"/>
      <c r="X4112" s="167"/>
      <c r="Y4112" s="509"/>
      <c r="Z4112" s="466"/>
      <c r="AA4112" s="466"/>
      <c r="AB4112" s="466"/>
      <c r="AC4112" s="466"/>
      <c r="AD4112" s="466"/>
      <c r="AE4112" s="466"/>
      <c r="AF4112" s="466"/>
      <c r="AG4112" s="466"/>
      <c r="AH4112" s="466"/>
      <c r="AI4112" s="466"/>
      <c r="AJ4112" s="466"/>
      <c r="AK4112" s="466"/>
      <c r="AL4112" s="466"/>
      <c r="AM4112" s="466"/>
      <c r="AN4112" s="466"/>
      <c r="AO4112" s="466"/>
      <c r="AP4112" s="466"/>
      <c r="AQ4112" s="466"/>
      <c r="AR4112" s="466"/>
      <c r="AS4112" s="466"/>
      <c r="AT4112" s="466"/>
      <c r="AU4112" s="466"/>
      <c r="AV4112" s="466"/>
      <c r="AW4112" s="466"/>
      <c r="AX4112" s="466"/>
      <c r="AY4112" s="466"/>
      <c r="AZ4112" s="466"/>
      <c r="BA4112" s="466"/>
      <c r="BB4112" s="466"/>
      <c r="BC4112" s="466"/>
      <c r="BD4112" s="466"/>
      <c r="BE4112" s="467"/>
      <c r="BF4112" s="467"/>
      <c r="BG4112" s="466"/>
      <c r="BH4112" s="466"/>
      <c r="BI4112" s="467"/>
      <c r="BJ4112" s="467"/>
      <c r="BK4112" s="467"/>
      <c r="BL4112" s="467"/>
      <c r="BM4112" s="467"/>
      <c r="BN4112" s="467"/>
      <c r="BO4112" s="467"/>
      <c r="BP4112" s="467"/>
      <c r="BQ4112" s="467"/>
      <c r="BR4112" s="467"/>
      <c r="BS4112" s="467"/>
      <c r="BT4112" s="467"/>
      <c r="BU4112" s="467"/>
      <c r="BV4112" s="467"/>
      <c r="BW4112" s="467"/>
      <c r="BX4112" s="769"/>
      <c r="BY4112" s="769"/>
      <c r="BZ4112" s="769"/>
      <c r="CA4112" s="769"/>
      <c r="CB4112" s="769"/>
      <c r="CC4112" s="769"/>
      <c r="CD4112" s="769"/>
      <c r="CE4112" s="769"/>
      <c r="CF4112" s="769"/>
      <c r="CG4112" s="73"/>
      <c r="CH4112" s="438"/>
      <c r="CI4112" s="416"/>
      <c r="CJ4112" s="73"/>
      <c r="CK4112" s="650"/>
      <c r="CL4112" s="499"/>
      <c r="CM4112" s="650"/>
      <c r="CR4112" s="416"/>
      <c r="CS4112" s="650"/>
      <c r="CU4112" s="73"/>
      <c r="CV4112" s="73"/>
      <c r="CW4112" s="73"/>
      <c r="CX4112" s="73"/>
      <c r="DA4112" s="650"/>
    </row>
    <row r="4113" spans="1:105" s="45" customFormat="1" x14ac:dyDescent="0.2">
      <c r="A4113" s="650"/>
      <c r="B4113" s="438"/>
      <c r="D4113" s="73"/>
      <c r="E4113" s="650"/>
      <c r="F4113" s="650"/>
      <c r="G4113" s="73"/>
      <c r="I4113" s="111"/>
      <c r="J4113" s="81"/>
      <c r="K4113" s="81"/>
      <c r="L4113" s="499"/>
      <c r="M4113" s="73"/>
      <c r="N4113" s="499"/>
      <c r="O4113" s="73"/>
      <c r="P4113" s="73"/>
      <c r="Q4113" s="73"/>
      <c r="R4113" s="176"/>
      <c r="S4113" s="176"/>
      <c r="T4113" s="176"/>
      <c r="U4113" s="400"/>
      <c r="V4113" s="400"/>
      <c r="W4113" s="732"/>
      <c r="X4113" s="167"/>
      <c r="Y4113" s="509"/>
      <c r="Z4113" s="466"/>
      <c r="AA4113" s="466"/>
      <c r="AB4113" s="466"/>
      <c r="AC4113" s="466"/>
      <c r="AD4113" s="466"/>
      <c r="AE4113" s="466"/>
      <c r="AF4113" s="466"/>
      <c r="AG4113" s="466"/>
      <c r="AH4113" s="466"/>
      <c r="AI4113" s="466"/>
      <c r="AJ4113" s="466"/>
      <c r="AK4113" s="466"/>
      <c r="AL4113" s="466"/>
      <c r="AM4113" s="466"/>
      <c r="AN4113" s="466"/>
      <c r="AO4113" s="466"/>
      <c r="AP4113" s="466"/>
      <c r="AQ4113" s="466"/>
      <c r="AR4113" s="466"/>
      <c r="AS4113" s="466"/>
      <c r="AT4113" s="466"/>
      <c r="AU4113" s="466"/>
      <c r="AV4113" s="466"/>
      <c r="AW4113" s="466"/>
      <c r="AX4113" s="466"/>
      <c r="AY4113" s="466"/>
      <c r="AZ4113" s="466"/>
      <c r="BA4113" s="466"/>
      <c r="BB4113" s="466"/>
      <c r="BC4113" s="466"/>
      <c r="BD4113" s="466"/>
      <c r="BE4113" s="467"/>
      <c r="BF4113" s="467"/>
      <c r="BG4113" s="466"/>
      <c r="BH4113" s="466"/>
      <c r="BI4113" s="467"/>
      <c r="BJ4113" s="467"/>
      <c r="BK4113" s="467"/>
      <c r="BL4113" s="467"/>
      <c r="BM4113" s="467"/>
      <c r="BN4113" s="467"/>
      <c r="BO4113" s="467"/>
      <c r="BP4113" s="467"/>
      <c r="BQ4113" s="467"/>
      <c r="BR4113" s="467"/>
      <c r="BS4113" s="467"/>
      <c r="BT4113" s="467"/>
      <c r="BU4113" s="467"/>
      <c r="BV4113" s="467"/>
      <c r="BW4113" s="467"/>
      <c r="BX4113" s="769"/>
      <c r="BY4113" s="769"/>
      <c r="BZ4113" s="769"/>
      <c r="CA4113" s="769"/>
      <c r="CB4113" s="769"/>
      <c r="CC4113" s="769"/>
      <c r="CD4113" s="769"/>
      <c r="CE4113" s="769"/>
      <c r="CF4113" s="769"/>
      <c r="CG4113" s="73"/>
      <c r="CH4113" s="438"/>
      <c r="CI4113" s="416"/>
      <c r="CJ4113" s="73"/>
      <c r="CK4113" s="650"/>
      <c r="CL4113" s="499"/>
      <c r="CM4113" s="650"/>
      <c r="CR4113" s="416"/>
      <c r="CS4113" s="650"/>
      <c r="CU4113" s="73"/>
      <c r="CV4113" s="73"/>
      <c r="CW4113" s="73"/>
      <c r="CX4113" s="73"/>
      <c r="DA4113" s="650"/>
    </row>
    <row r="4114" spans="1:105" s="45" customFormat="1" x14ac:dyDescent="0.2">
      <c r="A4114" s="650"/>
      <c r="B4114" s="438"/>
      <c r="D4114" s="73"/>
      <c r="E4114" s="650"/>
      <c r="F4114" s="650"/>
      <c r="G4114" s="73"/>
      <c r="I4114" s="111"/>
      <c r="J4114" s="81"/>
      <c r="K4114" s="81"/>
      <c r="L4114" s="499"/>
      <c r="M4114" s="73"/>
      <c r="N4114" s="499"/>
      <c r="O4114" s="73"/>
      <c r="P4114" s="73"/>
      <c r="Q4114" s="73"/>
      <c r="R4114" s="176"/>
      <c r="S4114" s="176"/>
      <c r="T4114" s="176"/>
      <c r="U4114" s="400"/>
      <c r="V4114" s="400"/>
      <c r="W4114" s="732"/>
      <c r="X4114" s="167"/>
      <c r="Y4114" s="509"/>
      <c r="Z4114" s="466"/>
      <c r="AA4114" s="466"/>
      <c r="AB4114" s="466"/>
      <c r="AC4114" s="466"/>
      <c r="AD4114" s="466"/>
      <c r="AE4114" s="466"/>
      <c r="AF4114" s="466"/>
      <c r="AG4114" s="466"/>
      <c r="AH4114" s="466"/>
      <c r="AI4114" s="466"/>
      <c r="AJ4114" s="466"/>
      <c r="AK4114" s="466"/>
      <c r="AL4114" s="466"/>
      <c r="AM4114" s="466"/>
      <c r="AN4114" s="466"/>
      <c r="AO4114" s="466"/>
      <c r="AP4114" s="466"/>
      <c r="AQ4114" s="466"/>
      <c r="AR4114" s="466"/>
      <c r="AS4114" s="466"/>
      <c r="AT4114" s="466"/>
      <c r="AU4114" s="466"/>
      <c r="AV4114" s="466"/>
      <c r="AW4114" s="466"/>
      <c r="AX4114" s="466"/>
      <c r="AY4114" s="466"/>
      <c r="AZ4114" s="466"/>
      <c r="BA4114" s="466"/>
      <c r="BB4114" s="466"/>
      <c r="BC4114" s="466"/>
      <c r="BD4114" s="466"/>
      <c r="BE4114" s="467"/>
      <c r="BF4114" s="467"/>
      <c r="BG4114" s="466"/>
      <c r="BH4114" s="466"/>
      <c r="BI4114" s="467"/>
      <c r="BJ4114" s="467"/>
      <c r="BK4114" s="467"/>
      <c r="BL4114" s="467"/>
      <c r="BM4114" s="467"/>
      <c r="BN4114" s="467"/>
      <c r="BO4114" s="467"/>
      <c r="BP4114" s="467"/>
      <c r="BQ4114" s="467"/>
      <c r="BR4114" s="467"/>
      <c r="BS4114" s="467"/>
      <c r="BT4114" s="467"/>
      <c r="BU4114" s="467"/>
      <c r="BV4114" s="467"/>
      <c r="BW4114" s="467"/>
      <c r="BX4114" s="769"/>
      <c r="BY4114" s="769"/>
      <c r="BZ4114" s="769"/>
      <c r="CA4114" s="769"/>
      <c r="CB4114" s="769"/>
      <c r="CC4114" s="769"/>
      <c r="CD4114" s="769"/>
      <c r="CE4114" s="769"/>
      <c r="CF4114" s="769"/>
      <c r="CG4114" s="73"/>
      <c r="CH4114" s="438"/>
      <c r="CI4114" s="416"/>
      <c r="CJ4114" s="73"/>
      <c r="CK4114" s="650"/>
      <c r="CL4114" s="499"/>
      <c r="CM4114" s="650"/>
      <c r="CR4114" s="416"/>
      <c r="CS4114" s="650"/>
      <c r="CU4114" s="73"/>
      <c r="CV4114" s="73"/>
      <c r="CW4114" s="73"/>
      <c r="CX4114" s="73"/>
      <c r="DA4114" s="650"/>
    </row>
    <row r="4115" spans="1:105" s="45" customFormat="1" x14ac:dyDescent="0.2">
      <c r="A4115" s="650"/>
      <c r="B4115" s="438"/>
      <c r="D4115" s="73"/>
      <c r="E4115" s="650"/>
      <c r="F4115" s="650"/>
      <c r="G4115" s="73"/>
      <c r="I4115" s="111"/>
      <c r="J4115" s="81"/>
      <c r="K4115" s="81"/>
      <c r="L4115" s="499"/>
      <c r="M4115" s="73"/>
      <c r="N4115" s="499"/>
      <c r="O4115" s="73"/>
      <c r="P4115" s="73"/>
      <c r="Q4115" s="73"/>
      <c r="R4115" s="176"/>
      <c r="S4115" s="176"/>
      <c r="T4115" s="176"/>
      <c r="U4115" s="400"/>
      <c r="V4115" s="400"/>
      <c r="W4115" s="732"/>
      <c r="X4115" s="167"/>
      <c r="Y4115" s="509"/>
      <c r="Z4115" s="466"/>
      <c r="AA4115" s="466"/>
      <c r="AB4115" s="466"/>
      <c r="AC4115" s="466"/>
      <c r="AD4115" s="466"/>
      <c r="AE4115" s="466"/>
      <c r="AF4115" s="466"/>
      <c r="AG4115" s="466"/>
      <c r="AH4115" s="466"/>
      <c r="AI4115" s="466"/>
      <c r="AJ4115" s="466"/>
      <c r="AK4115" s="466"/>
      <c r="AL4115" s="466"/>
      <c r="AM4115" s="466"/>
      <c r="AN4115" s="466"/>
      <c r="AO4115" s="466"/>
      <c r="AP4115" s="466"/>
      <c r="AQ4115" s="466"/>
      <c r="AR4115" s="466"/>
      <c r="AS4115" s="466"/>
      <c r="AT4115" s="466"/>
      <c r="AU4115" s="466"/>
      <c r="AV4115" s="466"/>
      <c r="AW4115" s="466"/>
      <c r="AX4115" s="466"/>
      <c r="AY4115" s="466"/>
      <c r="AZ4115" s="466"/>
      <c r="BA4115" s="466"/>
      <c r="BB4115" s="466"/>
      <c r="BC4115" s="466"/>
      <c r="BD4115" s="466"/>
      <c r="BE4115" s="467"/>
      <c r="BF4115" s="467"/>
      <c r="BG4115" s="466"/>
      <c r="BH4115" s="466"/>
      <c r="BI4115" s="467"/>
      <c r="BJ4115" s="467"/>
      <c r="BK4115" s="467"/>
      <c r="BL4115" s="467"/>
      <c r="BM4115" s="467"/>
      <c r="BN4115" s="467"/>
      <c r="BO4115" s="467"/>
      <c r="BP4115" s="467"/>
      <c r="BQ4115" s="467"/>
      <c r="BR4115" s="467"/>
      <c r="BS4115" s="467"/>
      <c r="BT4115" s="467"/>
      <c r="BU4115" s="467"/>
      <c r="BV4115" s="467"/>
      <c r="BW4115" s="467"/>
      <c r="BX4115" s="769"/>
      <c r="BY4115" s="769"/>
      <c r="BZ4115" s="769"/>
      <c r="CA4115" s="769"/>
      <c r="CB4115" s="769"/>
      <c r="CC4115" s="769"/>
      <c r="CD4115" s="769"/>
      <c r="CE4115" s="769"/>
      <c r="CF4115" s="769"/>
      <c r="CG4115" s="73"/>
      <c r="CH4115" s="438"/>
      <c r="CI4115" s="416"/>
      <c r="CJ4115" s="73"/>
      <c r="CK4115" s="650"/>
      <c r="CL4115" s="499"/>
      <c r="CM4115" s="650"/>
      <c r="CR4115" s="416"/>
      <c r="CS4115" s="650"/>
      <c r="CU4115" s="73"/>
      <c r="CV4115" s="73"/>
      <c r="CW4115" s="73"/>
      <c r="CX4115" s="73"/>
      <c r="DA4115" s="650"/>
    </row>
    <row r="4116" spans="1:105" s="45" customFormat="1" x14ac:dyDescent="0.2">
      <c r="A4116" s="650"/>
      <c r="B4116" s="438"/>
      <c r="D4116" s="73"/>
      <c r="E4116" s="650"/>
      <c r="F4116" s="650"/>
      <c r="G4116" s="73"/>
      <c r="I4116" s="111"/>
      <c r="J4116" s="81"/>
      <c r="K4116" s="81"/>
      <c r="L4116" s="499"/>
      <c r="M4116" s="73"/>
      <c r="N4116" s="499"/>
      <c r="O4116" s="73"/>
      <c r="P4116" s="73"/>
      <c r="Q4116" s="73"/>
      <c r="R4116" s="176"/>
      <c r="S4116" s="176"/>
      <c r="T4116" s="176"/>
      <c r="U4116" s="400"/>
      <c r="V4116" s="400"/>
      <c r="W4116" s="732"/>
      <c r="X4116" s="167"/>
      <c r="Y4116" s="509"/>
      <c r="Z4116" s="466"/>
      <c r="AA4116" s="466"/>
      <c r="AB4116" s="466"/>
      <c r="AC4116" s="466"/>
      <c r="AD4116" s="466"/>
      <c r="AE4116" s="466"/>
      <c r="AF4116" s="466"/>
      <c r="AG4116" s="466"/>
      <c r="AH4116" s="466"/>
      <c r="AI4116" s="466"/>
      <c r="AJ4116" s="466"/>
      <c r="AK4116" s="466"/>
      <c r="AL4116" s="466"/>
      <c r="AM4116" s="466"/>
      <c r="AN4116" s="466"/>
      <c r="AO4116" s="466"/>
      <c r="AP4116" s="466"/>
      <c r="AQ4116" s="466"/>
      <c r="AR4116" s="466"/>
      <c r="AS4116" s="466"/>
      <c r="AT4116" s="466"/>
      <c r="AU4116" s="466"/>
      <c r="AV4116" s="466"/>
      <c r="AW4116" s="466"/>
      <c r="AX4116" s="466"/>
      <c r="AY4116" s="466"/>
      <c r="AZ4116" s="466"/>
      <c r="BA4116" s="466"/>
      <c r="BB4116" s="466"/>
      <c r="BC4116" s="466"/>
      <c r="BD4116" s="466"/>
      <c r="BE4116" s="467"/>
      <c r="BF4116" s="467"/>
      <c r="BG4116" s="466"/>
      <c r="BH4116" s="466"/>
      <c r="BI4116" s="467"/>
      <c r="BJ4116" s="467"/>
      <c r="BK4116" s="467"/>
      <c r="BL4116" s="467"/>
      <c r="BM4116" s="467"/>
      <c r="BN4116" s="467"/>
      <c r="BO4116" s="467"/>
      <c r="BP4116" s="467"/>
      <c r="BQ4116" s="467"/>
      <c r="BR4116" s="467"/>
      <c r="BS4116" s="467"/>
      <c r="BT4116" s="467"/>
      <c r="BU4116" s="467"/>
      <c r="BV4116" s="467"/>
      <c r="BW4116" s="467"/>
      <c r="BX4116" s="769"/>
      <c r="BY4116" s="769"/>
      <c r="BZ4116" s="769"/>
      <c r="CA4116" s="769"/>
      <c r="CB4116" s="769"/>
      <c r="CC4116" s="769"/>
      <c r="CD4116" s="769"/>
      <c r="CE4116" s="769"/>
      <c r="CF4116" s="769"/>
      <c r="CG4116" s="73"/>
      <c r="CH4116" s="438"/>
      <c r="CI4116" s="416"/>
      <c r="CJ4116" s="73"/>
      <c r="CK4116" s="650"/>
      <c r="CL4116" s="499"/>
      <c r="CM4116" s="650"/>
      <c r="CR4116" s="416"/>
      <c r="CS4116" s="650"/>
      <c r="CU4116" s="73"/>
      <c r="CV4116" s="73"/>
      <c r="CW4116" s="73"/>
      <c r="CX4116" s="73"/>
      <c r="DA4116" s="650"/>
    </row>
    <row r="4117" spans="1:105" s="45" customFormat="1" x14ac:dyDescent="0.2">
      <c r="A4117" s="650"/>
      <c r="B4117" s="438"/>
      <c r="D4117" s="73"/>
      <c r="E4117" s="650"/>
      <c r="F4117" s="650"/>
      <c r="G4117" s="73"/>
      <c r="I4117" s="111"/>
      <c r="J4117" s="81"/>
      <c r="K4117" s="81"/>
      <c r="L4117" s="499"/>
      <c r="M4117" s="73"/>
      <c r="N4117" s="499"/>
      <c r="O4117" s="73"/>
      <c r="P4117" s="73"/>
      <c r="Q4117" s="73"/>
      <c r="R4117" s="176"/>
      <c r="S4117" s="176"/>
      <c r="T4117" s="176"/>
      <c r="U4117" s="400"/>
      <c r="V4117" s="400"/>
      <c r="W4117" s="732"/>
      <c r="X4117" s="167"/>
      <c r="Y4117" s="509"/>
      <c r="Z4117" s="466"/>
      <c r="AA4117" s="466"/>
      <c r="AB4117" s="466"/>
      <c r="AC4117" s="466"/>
      <c r="AD4117" s="466"/>
      <c r="AE4117" s="466"/>
      <c r="AF4117" s="466"/>
      <c r="AG4117" s="466"/>
      <c r="AH4117" s="466"/>
      <c r="AI4117" s="466"/>
      <c r="AJ4117" s="466"/>
      <c r="AK4117" s="466"/>
      <c r="AL4117" s="466"/>
      <c r="AM4117" s="466"/>
      <c r="AN4117" s="466"/>
      <c r="AO4117" s="466"/>
      <c r="AP4117" s="466"/>
      <c r="AQ4117" s="466"/>
      <c r="AR4117" s="466"/>
      <c r="AS4117" s="466"/>
      <c r="AT4117" s="466"/>
      <c r="AU4117" s="466"/>
      <c r="AV4117" s="466"/>
      <c r="AW4117" s="466"/>
      <c r="AX4117" s="466"/>
      <c r="AY4117" s="466"/>
      <c r="AZ4117" s="466"/>
      <c r="BA4117" s="466"/>
      <c r="BB4117" s="466"/>
      <c r="BC4117" s="466"/>
      <c r="BD4117" s="466"/>
      <c r="BE4117" s="467"/>
      <c r="BF4117" s="467"/>
      <c r="BG4117" s="466"/>
      <c r="BH4117" s="466"/>
      <c r="BI4117" s="467"/>
      <c r="BJ4117" s="467"/>
      <c r="BK4117" s="467"/>
      <c r="BL4117" s="467"/>
      <c r="BM4117" s="467"/>
      <c r="BN4117" s="467"/>
      <c r="BO4117" s="467"/>
      <c r="BP4117" s="467"/>
      <c r="BQ4117" s="467"/>
      <c r="BR4117" s="467"/>
      <c r="BS4117" s="467"/>
      <c r="BT4117" s="467"/>
      <c r="BU4117" s="467"/>
      <c r="BV4117" s="467"/>
      <c r="BW4117" s="467"/>
      <c r="BX4117" s="769"/>
      <c r="BY4117" s="769"/>
      <c r="BZ4117" s="769"/>
      <c r="CA4117" s="769"/>
      <c r="CB4117" s="769"/>
      <c r="CC4117" s="769"/>
      <c r="CD4117" s="769"/>
      <c r="CE4117" s="769"/>
      <c r="CF4117" s="769"/>
      <c r="CG4117" s="73"/>
      <c r="CH4117" s="438"/>
      <c r="CI4117" s="416"/>
      <c r="CJ4117" s="73"/>
      <c r="CK4117" s="650"/>
      <c r="CL4117" s="499"/>
      <c r="CM4117" s="650"/>
      <c r="CR4117" s="416"/>
      <c r="CS4117" s="650"/>
      <c r="CU4117" s="73"/>
      <c r="CV4117" s="73"/>
      <c r="CW4117" s="73"/>
      <c r="CX4117" s="73"/>
      <c r="DA4117" s="650"/>
    </row>
    <row r="4118" spans="1:105" s="45" customFormat="1" x14ac:dyDescent="0.2">
      <c r="A4118" s="650"/>
      <c r="B4118" s="438"/>
      <c r="D4118" s="73"/>
      <c r="E4118" s="650"/>
      <c r="F4118" s="650"/>
      <c r="G4118" s="73"/>
      <c r="I4118" s="111"/>
      <c r="J4118" s="81"/>
      <c r="K4118" s="81"/>
      <c r="L4118" s="499"/>
      <c r="M4118" s="73"/>
      <c r="N4118" s="499"/>
      <c r="O4118" s="73"/>
      <c r="P4118" s="73"/>
      <c r="Q4118" s="73"/>
      <c r="R4118" s="176"/>
      <c r="S4118" s="176"/>
      <c r="T4118" s="176"/>
      <c r="U4118" s="400"/>
      <c r="V4118" s="400"/>
      <c r="W4118" s="732"/>
      <c r="X4118" s="167"/>
      <c r="Y4118" s="509"/>
      <c r="Z4118" s="466"/>
      <c r="AA4118" s="466"/>
      <c r="AB4118" s="466"/>
      <c r="AC4118" s="466"/>
      <c r="AD4118" s="466"/>
      <c r="AE4118" s="466"/>
      <c r="AF4118" s="466"/>
      <c r="AG4118" s="466"/>
      <c r="AH4118" s="466"/>
      <c r="AI4118" s="466"/>
      <c r="AJ4118" s="466"/>
      <c r="AK4118" s="466"/>
      <c r="AL4118" s="466"/>
      <c r="AM4118" s="466"/>
      <c r="AN4118" s="466"/>
      <c r="AO4118" s="466"/>
      <c r="AP4118" s="466"/>
      <c r="AQ4118" s="466"/>
      <c r="AR4118" s="466"/>
      <c r="AS4118" s="466"/>
      <c r="AT4118" s="466"/>
      <c r="AU4118" s="466"/>
      <c r="AV4118" s="466"/>
      <c r="AW4118" s="466"/>
      <c r="AX4118" s="466"/>
      <c r="AY4118" s="466"/>
      <c r="AZ4118" s="466"/>
      <c r="BA4118" s="466"/>
      <c r="BB4118" s="466"/>
      <c r="BC4118" s="466"/>
      <c r="BD4118" s="466"/>
      <c r="BE4118" s="467"/>
      <c r="BF4118" s="467"/>
      <c r="BG4118" s="466"/>
      <c r="BH4118" s="466"/>
      <c r="BI4118" s="467"/>
      <c r="BJ4118" s="467"/>
      <c r="BK4118" s="467"/>
      <c r="BL4118" s="467"/>
      <c r="BM4118" s="467"/>
      <c r="BN4118" s="467"/>
      <c r="BO4118" s="467"/>
      <c r="BP4118" s="467"/>
      <c r="BQ4118" s="467"/>
      <c r="BR4118" s="467"/>
      <c r="BS4118" s="467"/>
      <c r="BT4118" s="467"/>
      <c r="BU4118" s="467"/>
      <c r="BV4118" s="467"/>
      <c r="BW4118" s="467"/>
      <c r="BX4118" s="769"/>
      <c r="BY4118" s="769"/>
      <c r="BZ4118" s="769"/>
      <c r="CA4118" s="769"/>
      <c r="CB4118" s="769"/>
      <c r="CC4118" s="769"/>
      <c r="CD4118" s="769"/>
      <c r="CE4118" s="769"/>
      <c r="CF4118" s="769"/>
      <c r="CG4118" s="73"/>
      <c r="CH4118" s="438"/>
      <c r="CI4118" s="416"/>
      <c r="CJ4118" s="73"/>
      <c r="CK4118" s="650"/>
      <c r="CL4118" s="499"/>
      <c r="CM4118" s="650"/>
      <c r="CR4118" s="416"/>
      <c r="CS4118" s="650"/>
      <c r="CU4118" s="73"/>
      <c r="CV4118" s="73"/>
      <c r="CW4118" s="73"/>
      <c r="CX4118" s="73"/>
      <c r="DA4118" s="650"/>
    </row>
    <row r="4119" spans="1:105" s="45" customFormat="1" x14ac:dyDescent="0.2">
      <c r="A4119" s="650"/>
      <c r="B4119" s="438"/>
      <c r="D4119" s="73"/>
      <c r="E4119" s="650"/>
      <c r="F4119" s="650"/>
      <c r="G4119" s="73"/>
      <c r="I4119" s="111"/>
      <c r="J4119" s="81"/>
      <c r="K4119" s="81"/>
      <c r="L4119" s="499"/>
      <c r="M4119" s="73"/>
      <c r="N4119" s="499"/>
      <c r="O4119" s="73"/>
      <c r="P4119" s="73"/>
      <c r="Q4119" s="73"/>
      <c r="R4119" s="176"/>
      <c r="S4119" s="176"/>
      <c r="T4119" s="176"/>
      <c r="U4119" s="400"/>
      <c r="V4119" s="400"/>
      <c r="W4119" s="732"/>
      <c r="X4119" s="167"/>
      <c r="Y4119" s="509"/>
      <c r="Z4119" s="466"/>
      <c r="AA4119" s="466"/>
      <c r="AB4119" s="466"/>
      <c r="AC4119" s="466"/>
      <c r="AD4119" s="466"/>
      <c r="AE4119" s="466"/>
      <c r="AF4119" s="466"/>
      <c r="AG4119" s="466"/>
      <c r="AH4119" s="466"/>
      <c r="AI4119" s="466"/>
      <c r="AJ4119" s="466"/>
      <c r="AK4119" s="466"/>
      <c r="AL4119" s="466"/>
      <c r="AM4119" s="466"/>
      <c r="AN4119" s="466"/>
      <c r="AO4119" s="466"/>
      <c r="AP4119" s="466"/>
      <c r="AQ4119" s="466"/>
      <c r="AR4119" s="466"/>
      <c r="AS4119" s="466"/>
      <c r="AT4119" s="466"/>
      <c r="AU4119" s="466"/>
      <c r="AV4119" s="466"/>
      <c r="AW4119" s="466"/>
      <c r="AX4119" s="466"/>
      <c r="AY4119" s="466"/>
      <c r="AZ4119" s="466"/>
      <c r="BA4119" s="466"/>
      <c r="BB4119" s="466"/>
      <c r="BC4119" s="466"/>
      <c r="BD4119" s="466"/>
      <c r="BE4119" s="467"/>
      <c r="BF4119" s="467"/>
      <c r="BG4119" s="466"/>
      <c r="BH4119" s="466"/>
      <c r="BI4119" s="467"/>
      <c r="BJ4119" s="467"/>
      <c r="BK4119" s="467"/>
      <c r="BL4119" s="467"/>
      <c r="BM4119" s="467"/>
      <c r="BN4119" s="467"/>
      <c r="BO4119" s="467"/>
      <c r="BP4119" s="467"/>
      <c r="BQ4119" s="467"/>
      <c r="BR4119" s="467"/>
      <c r="BS4119" s="467"/>
      <c r="BT4119" s="467"/>
      <c r="BU4119" s="467"/>
      <c r="BV4119" s="467"/>
      <c r="BW4119" s="467"/>
      <c r="BX4119" s="769"/>
      <c r="BY4119" s="769"/>
      <c r="BZ4119" s="769"/>
      <c r="CA4119" s="769"/>
      <c r="CB4119" s="769"/>
      <c r="CC4119" s="769"/>
      <c r="CD4119" s="769"/>
      <c r="CE4119" s="769"/>
      <c r="CF4119" s="769"/>
      <c r="CG4119" s="73"/>
      <c r="CH4119" s="438"/>
      <c r="CI4119" s="416"/>
      <c r="CJ4119" s="73"/>
      <c r="CK4119" s="650"/>
      <c r="CL4119" s="499"/>
      <c r="CM4119" s="650"/>
      <c r="CR4119" s="416"/>
      <c r="CS4119" s="650"/>
      <c r="CU4119" s="73"/>
      <c r="CV4119" s="73"/>
      <c r="CW4119" s="73"/>
      <c r="CX4119" s="73"/>
      <c r="DA4119" s="650"/>
    </row>
    <row r="4120" spans="1:105" s="45" customFormat="1" x14ac:dyDescent="0.2">
      <c r="A4120" s="650"/>
      <c r="B4120" s="438"/>
      <c r="D4120" s="73"/>
      <c r="E4120" s="650"/>
      <c r="F4120" s="650"/>
      <c r="G4120" s="73"/>
      <c r="I4120" s="111"/>
      <c r="J4120" s="81"/>
      <c r="K4120" s="81"/>
      <c r="L4120" s="499"/>
      <c r="M4120" s="73"/>
      <c r="N4120" s="499"/>
      <c r="O4120" s="73"/>
      <c r="P4120" s="73"/>
      <c r="Q4120" s="73"/>
      <c r="R4120" s="176"/>
      <c r="S4120" s="176"/>
      <c r="T4120" s="176"/>
      <c r="U4120" s="400"/>
      <c r="V4120" s="400"/>
      <c r="W4120" s="732"/>
      <c r="X4120" s="167"/>
      <c r="Y4120" s="509"/>
      <c r="Z4120" s="466"/>
      <c r="AA4120" s="466"/>
      <c r="AB4120" s="466"/>
      <c r="AC4120" s="466"/>
      <c r="AD4120" s="466"/>
      <c r="AE4120" s="466"/>
      <c r="AF4120" s="466"/>
      <c r="AG4120" s="466"/>
      <c r="AH4120" s="466"/>
      <c r="AI4120" s="466"/>
      <c r="AJ4120" s="466"/>
      <c r="AK4120" s="466"/>
      <c r="AL4120" s="466"/>
      <c r="AM4120" s="466"/>
      <c r="AN4120" s="466"/>
      <c r="AO4120" s="466"/>
      <c r="AP4120" s="466"/>
      <c r="AQ4120" s="466"/>
      <c r="AR4120" s="466"/>
      <c r="AS4120" s="466"/>
      <c r="AT4120" s="466"/>
      <c r="AU4120" s="466"/>
      <c r="AV4120" s="466"/>
      <c r="AW4120" s="466"/>
      <c r="AX4120" s="466"/>
      <c r="AY4120" s="466"/>
      <c r="AZ4120" s="466"/>
      <c r="BA4120" s="466"/>
      <c r="BB4120" s="466"/>
      <c r="BC4120" s="466"/>
      <c r="BD4120" s="466"/>
      <c r="BE4120" s="467"/>
      <c r="BF4120" s="467"/>
      <c r="BG4120" s="466"/>
      <c r="BH4120" s="466"/>
      <c r="BI4120" s="467"/>
      <c r="BJ4120" s="467"/>
      <c r="BK4120" s="467"/>
      <c r="BL4120" s="467"/>
      <c r="BM4120" s="467"/>
      <c r="BN4120" s="467"/>
      <c r="BO4120" s="467"/>
      <c r="BP4120" s="467"/>
      <c r="BQ4120" s="467"/>
      <c r="BR4120" s="467"/>
      <c r="BS4120" s="467"/>
      <c r="BT4120" s="467"/>
      <c r="BU4120" s="467"/>
      <c r="BV4120" s="467"/>
      <c r="BW4120" s="467"/>
      <c r="BX4120" s="769"/>
      <c r="BY4120" s="769"/>
      <c r="BZ4120" s="769"/>
      <c r="CA4120" s="769"/>
      <c r="CB4120" s="769"/>
      <c r="CC4120" s="769"/>
      <c r="CD4120" s="769"/>
      <c r="CE4120" s="769"/>
      <c r="CF4120" s="769"/>
      <c r="CG4120" s="73"/>
      <c r="CH4120" s="438"/>
      <c r="CI4120" s="416"/>
      <c r="CJ4120" s="73"/>
      <c r="CK4120" s="650"/>
      <c r="CL4120" s="499"/>
      <c r="CM4120" s="650"/>
      <c r="CR4120" s="416"/>
      <c r="CS4120" s="650"/>
      <c r="CU4120" s="73"/>
      <c r="CV4120" s="73"/>
      <c r="CW4120" s="73"/>
      <c r="CX4120" s="73"/>
      <c r="DA4120" s="650"/>
    </row>
    <row r="4121" spans="1:105" s="45" customFormat="1" x14ac:dyDescent="0.2">
      <c r="A4121" s="650"/>
      <c r="B4121" s="438"/>
      <c r="D4121" s="73"/>
      <c r="E4121" s="650"/>
      <c r="F4121" s="650"/>
      <c r="G4121" s="73"/>
      <c r="I4121" s="111"/>
      <c r="J4121" s="81"/>
      <c r="K4121" s="81"/>
      <c r="L4121" s="499"/>
      <c r="M4121" s="73"/>
      <c r="N4121" s="499"/>
      <c r="O4121" s="73"/>
      <c r="P4121" s="73"/>
      <c r="Q4121" s="73"/>
      <c r="R4121" s="176"/>
      <c r="S4121" s="176"/>
      <c r="T4121" s="176"/>
      <c r="U4121" s="400"/>
      <c r="V4121" s="400"/>
      <c r="W4121" s="732"/>
      <c r="X4121" s="167"/>
      <c r="Y4121" s="509"/>
      <c r="Z4121" s="466"/>
      <c r="AA4121" s="466"/>
      <c r="AB4121" s="466"/>
      <c r="AC4121" s="466"/>
      <c r="AD4121" s="466"/>
      <c r="AE4121" s="466"/>
      <c r="AF4121" s="466"/>
      <c r="AG4121" s="466"/>
      <c r="AH4121" s="466"/>
      <c r="AI4121" s="466"/>
      <c r="AJ4121" s="466"/>
      <c r="AK4121" s="466"/>
      <c r="AL4121" s="466"/>
      <c r="AM4121" s="466"/>
      <c r="AN4121" s="466"/>
      <c r="AO4121" s="466"/>
      <c r="AP4121" s="466"/>
      <c r="AQ4121" s="466"/>
      <c r="AR4121" s="466"/>
      <c r="AS4121" s="466"/>
      <c r="AT4121" s="466"/>
      <c r="AU4121" s="466"/>
      <c r="AV4121" s="466"/>
      <c r="AW4121" s="466"/>
      <c r="AX4121" s="466"/>
      <c r="AY4121" s="466"/>
      <c r="AZ4121" s="466"/>
      <c r="BA4121" s="466"/>
      <c r="BB4121" s="466"/>
      <c r="BC4121" s="466"/>
      <c r="BD4121" s="466"/>
      <c r="BE4121" s="467"/>
      <c r="BF4121" s="467"/>
      <c r="BG4121" s="466"/>
      <c r="BH4121" s="466"/>
      <c r="BI4121" s="467"/>
      <c r="BJ4121" s="467"/>
      <c r="BK4121" s="467"/>
      <c r="BL4121" s="467"/>
      <c r="BM4121" s="467"/>
      <c r="BN4121" s="467"/>
      <c r="BO4121" s="467"/>
      <c r="BP4121" s="467"/>
      <c r="BQ4121" s="467"/>
      <c r="BR4121" s="467"/>
      <c r="BS4121" s="467"/>
      <c r="BT4121" s="467"/>
      <c r="BU4121" s="467"/>
      <c r="BV4121" s="467"/>
      <c r="BW4121" s="467"/>
      <c r="BX4121" s="769"/>
      <c r="BY4121" s="769"/>
      <c r="BZ4121" s="769"/>
      <c r="CA4121" s="769"/>
      <c r="CB4121" s="769"/>
      <c r="CC4121" s="769"/>
      <c r="CD4121" s="769"/>
      <c r="CE4121" s="769"/>
      <c r="CF4121" s="769"/>
      <c r="CG4121" s="73"/>
      <c r="CH4121" s="438"/>
      <c r="CI4121" s="416"/>
      <c r="CJ4121" s="73"/>
      <c r="CK4121" s="650"/>
      <c r="CL4121" s="499"/>
      <c r="CM4121" s="650"/>
      <c r="CR4121" s="416"/>
      <c r="CS4121" s="650"/>
      <c r="CU4121" s="73"/>
      <c r="CV4121" s="73"/>
      <c r="CW4121" s="73"/>
      <c r="CX4121" s="73"/>
      <c r="DA4121" s="650"/>
    </row>
    <row r="4122" spans="1:105" s="45" customFormat="1" x14ac:dyDescent="0.2">
      <c r="A4122" s="650"/>
      <c r="B4122" s="438"/>
      <c r="D4122" s="73"/>
      <c r="E4122" s="650"/>
      <c r="F4122" s="650"/>
      <c r="G4122" s="73"/>
      <c r="I4122" s="111"/>
      <c r="J4122" s="81"/>
      <c r="K4122" s="81"/>
      <c r="L4122" s="499"/>
      <c r="M4122" s="73"/>
      <c r="N4122" s="499"/>
      <c r="O4122" s="73"/>
      <c r="P4122" s="73"/>
      <c r="Q4122" s="73"/>
      <c r="R4122" s="176"/>
      <c r="S4122" s="176"/>
      <c r="T4122" s="176"/>
      <c r="U4122" s="400"/>
      <c r="V4122" s="400"/>
      <c r="W4122" s="732"/>
      <c r="X4122" s="167"/>
      <c r="Y4122" s="509"/>
      <c r="Z4122" s="466"/>
      <c r="AA4122" s="466"/>
      <c r="AB4122" s="466"/>
      <c r="AC4122" s="466"/>
      <c r="AD4122" s="466"/>
      <c r="AE4122" s="466"/>
      <c r="AF4122" s="466"/>
      <c r="AG4122" s="466"/>
      <c r="AH4122" s="466"/>
      <c r="AI4122" s="466"/>
      <c r="AJ4122" s="466"/>
      <c r="AK4122" s="466"/>
      <c r="AL4122" s="466"/>
      <c r="AM4122" s="466"/>
      <c r="AN4122" s="466"/>
      <c r="AO4122" s="466"/>
      <c r="AP4122" s="466"/>
      <c r="AQ4122" s="466"/>
      <c r="AR4122" s="466"/>
      <c r="AS4122" s="466"/>
      <c r="AT4122" s="466"/>
      <c r="AU4122" s="466"/>
      <c r="AV4122" s="466"/>
      <c r="AW4122" s="466"/>
      <c r="AX4122" s="466"/>
      <c r="AY4122" s="466"/>
      <c r="AZ4122" s="466"/>
      <c r="BA4122" s="466"/>
      <c r="BB4122" s="466"/>
      <c r="BC4122" s="466"/>
      <c r="BD4122" s="466"/>
      <c r="BE4122" s="467"/>
      <c r="BF4122" s="467"/>
      <c r="BG4122" s="466"/>
      <c r="BH4122" s="466"/>
      <c r="BI4122" s="467"/>
      <c r="BJ4122" s="467"/>
      <c r="BK4122" s="467"/>
      <c r="BL4122" s="467"/>
      <c r="BM4122" s="467"/>
      <c r="BN4122" s="467"/>
      <c r="BO4122" s="467"/>
      <c r="BP4122" s="467"/>
      <c r="BQ4122" s="467"/>
      <c r="BR4122" s="467"/>
      <c r="BS4122" s="467"/>
      <c r="BT4122" s="467"/>
      <c r="BU4122" s="467"/>
      <c r="BV4122" s="467"/>
      <c r="BW4122" s="467"/>
      <c r="BX4122" s="769"/>
      <c r="BY4122" s="769"/>
      <c r="BZ4122" s="769"/>
      <c r="CA4122" s="769"/>
      <c r="CB4122" s="769"/>
      <c r="CC4122" s="769"/>
      <c r="CD4122" s="769"/>
      <c r="CE4122" s="769"/>
      <c r="CF4122" s="769"/>
      <c r="CG4122" s="73"/>
      <c r="CH4122" s="438"/>
      <c r="CI4122" s="416"/>
      <c r="CJ4122" s="73"/>
      <c r="CK4122" s="650"/>
      <c r="CL4122" s="499"/>
      <c r="CM4122" s="650"/>
      <c r="CR4122" s="416"/>
      <c r="CS4122" s="650"/>
      <c r="CU4122" s="73"/>
      <c r="CV4122" s="73"/>
      <c r="CW4122" s="73"/>
      <c r="CX4122" s="73"/>
      <c r="DA4122" s="650"/>
    </row>
    <row r="4123" spans="1:105" s="45" customFormat="1" x14ac:dyDescent="0.2">
      <c r="A4123" s="650"/>
      <c r="B4123" s="438"/>
      <c r="D4123" s="73"/>
      <c r="E4123" s="650"/>
      <c r="F4123" s="650"/>
      <c r="G4123" s="73"/>
      <c r="I4123" s="111"/>
      <c r="J4123" s="81"/>
      <c r="K4123" s="81"/>
      <c r="L4123" s="499"/>
      <c r="M4123" s="73"/>
      <c r="N4123" s="499"/>
      <c r="O4123" s="73"/>
      <c r="P4123" s="73"/>
      <c r="Q4123" s="73"/>
      <c r="R4123" s="176"/>
      <c r="S4123" s="176"/>
      <c r="T4123" s="176"/>
      <c r="U4123" s="400"/>
      <c r="V4123" s="400"/>
      <c r="W4123" s="732"/>
      <c r="X4123" s="167"/>
      <c r="Y4123" s="509"/>
      <c r="Z4123" s="466"/>
      <c r="AA4123" s="466"/>
      <c r="AB4123" s="466"/>
      <c r="AC4123" s="466"/>
      <c r="AD4123" s="466"/>
      <c r="AE4123" s="466"/>
      <c r="AF4123" s="466"/>
      <c r="AG4123" s="466"/>
      <c r="AH4123" s="466"/>
      <c r="AI4123" s="466"/>
      <c r="AJ4123" s="466"/>
      <c r="AK4123" s="466"/>
      <c r="AL4123" s="466"/>
      <c r="AM4123" s="466"/>
      <c r="AN4123" s="466"/>
      <c r="AO4123" s="466"/>
      <c r="AP4123" s="466"/>
      <c r="AQ4123" s="466"/>
      <c r="AR4123" s="466"/>
      <c r="AS4123" s="466"/>
      <c r="AT4123" s="466"/>
      <c r="AU4123" s="466"/>
      <c r="AV4123" s="466"/>
      <c r="AW4123" s="466"/>
      <c r="AX4123" s="466"/>
      <c r="AY4123" s="466"/>
      <c r="AZ4123" s="466"/>
      <c r="BA4123" s="466"/>
      <c r="BB4123" s="466"/>
      <c r="BC4123" s="466"/>
      <c r="BD4123" s="466"/>
      <c r="BE4123" s="467"/>
      <c r="BF4123" s="467"/>
      <c r="BG4123" s="466"/>
      <c r="BH4123" s="466"/>
      <c r="BI4123" s="467"/>
      <c r="BJ4123" s="467"/>
      <c r="BK4123" s="467"/>
      <c r="BL4123" s="467"/>
      <c r="BM4123" s="467"/>
      <c r="BN4123" s="467"/>
      <c r="BO4123" s="467"/>
      <c r="BP4123" s="467"/>
      <c r="BQ4123" s="467"/>
      <c r="BR4123" s="467"/>
      <c r="BS4123" s="467"/>
      <c r="BT4123" s="467"/>
      <c r="BU4123" s="467"/>
      <c r="BV4123" s="467"/>
      <c r="BW4123" s="467"/>
      <c r="BX4123" s="769"/>
      <c r="BY4123" s="769"/>
      <c r="BZ4123" s="769"/>
      <c r="CA4123" s="769"/>
      <c r="CB4123" s="769"/>
      <c r="CC4123" s="769"/>
      <c r="CD4123" s="769"/>
      <c r="CE4123" s="769"/>
      <c r="CF4123" s="769"/>
      <c r="CG4123" s="73"/>
      <c r="CH4123" s="438"/>
      <c r="CI4123" s="416"/>
      <c r="CJ4123" s="73"/>
      <c r="CK4123" s="650"/>
      <c r="CL4123" s="499"/>
      <c r="CM4123" s="650"/>
      <c r="CR4123" s="416"/>
      <c r="CS4123" s="650"/>
      <c r="CU4123" s="73"/>
      <c r="CV4123" s="73"/>
      <c r="CW4123" s="73"/>
      <c r="CX4123" s="73"/>
      <c r="DA4123" s="650"/>
    </row>
    <row r="4124" spans="1:105" s="45" customFormat="1" x14ac:dyDescent="0.2">
      <c r="A4124" s="650"/>
      <c r="B4124" s="438"/>
      <c r="D4124" s="73"/>
      <c r="E4124" s="650"/>
      <c r="F4124" s="650"/>
      <c r="G4124" s="73"/>
      <c r="I4124" s="111"/>
      <c r="J4124" s="81"/>
      <c r="K4124" s="81"/>
      <c r="L4124" s="499"/>
      <c r="M4124" s="73"/>
      <c r="N4124" s="499"/>
      <c r="O4124" s="73"/>
      <c r="P4124" s="73"/>
      <c r="Q4124" s="73"/>
      <c r="R4124" s="176"/>
      <c r="S4124" s="176"/>
      <c r="T4124" s="176"/>
      <c r="U4124" s="400"/>
      <c r="V4124" s="400"/>
      <c r="W4124" s="732"/>
      <c r="X4124" s="167"/>
      <c r="Y4124" s="509"/>
      <c r="Z4124" s="466"/>
      <c r="AA4124" s="466"/>
      <c r="AB4124" s="466"/>
      <c r="AC4124" s="466"/>
      <c r="AD4124" s="466"/>
      <c r="AE4124" s="466"/>
      <c r="AF4124" s="466"/>
      <c r="AG4124" s="466"/>
      <c r="AH4124" s="466"/>
      <c r="AI4124" s="466"/>
      <c r="AJ4124" s="466"/>
      <c r="AK4124" s="466"/>
      <c r="AL4124" s="466"/>
      <c r="AM4124" s="466"/>
      <c r="AN4124" s="466"/>
      <c r="AO4124" s="466"/>
      <c r="AP4124" s="466"/>
      <c r="AQ4124" s="466"/>
      <c r="AR4124" s="466"/>
      <c r="AS4124" s="466"/>
      <c r="AT4124" s="466"/>
      <c r="AU4124" s="466"/>
      <c r="AV4124" s="466"/>
      <c r="AW4124" s="466"/>
      <c r="AX4124" s="466"/>
      <c r="AY4124" s="466"/>
      <c r="AZ4124" s="466"/>
      <c r="BA4124" s="466"/>
      <c r="BB4124" s="466"/>
      <c r="BC4124" s="466"/>
      <c r="BD4124" s="466"/>
      <c r="BE4124" s="467"/>
      <c r="BF4124" s="467"/>
      <c r="BG4124" s="466"/>
      <c r="BH4124" s="466"/>
      <c r="BI4124" s="467"/>
      <c r="BJ4124" s="467"/>
      <c r="BK4124" s="467"/>
      <c r="BL4124" s="467"/>
      <c r="BM4124" s="467"/>
      <c r="BN4124" s="467"/>
      <c r="BO4124" s="467"/>
      <c r="BP4124" s="467"/>
      <c r="BQ4124" s="467"/>
      <c r="BR4124" s="467"/>
      <c r="BS4124" s="467"/>
      <c r="BT4124" s="467"/>
      <c r="BU4124" s="467"/>
      <c r="BV4124" s="467"/>
      <c r="BW4124" s="467"/>
      <c r="BX4124" s="769"/>
      <c r="BY4124" s="769"/>
      <c r="BZ4124" s="769"/>
      <c r="CA4124" s="769"/>
      <c r="CB4124" s="769"/>
      <c r="CC4124" s="769"/>
      <c r="CD4124" s="769"/>
      <c r="CE4124" s="769"/>
      <c r="CF4124" s="769"/>
      <c r="CG4124" s="73"/>
      <c r="CH4124" s="438"/>
      <c r="CI4124" s="416"/>
      <c r="CJ4124" s="73"/>
      <c r="CK4124" s="650"/>
      <c r="CL4124" s="499"/>
      <c r="CM4124" s="650"/>
      <c r="CR4124" s="416"/>
      <c r="CS4124" s="650"/>
      <c r="CU4124" s="73"/>
      <c r="CV4124" s="73"/>
      <c r="CW4124" s="73"/>
      <c r="CX4124" s="73"/>
      <c r="DA4124" s="650"/>
    </row>
    <row r="4125" spans="1:105" s="45" customFormat="1" x14ac:dyDescent="0.2">
      <c r="A4125" s="650"/>
      <c r="B4125" s="438"/>
      <c r="D4125" s="73"/>
      <c r="E4125" s="650"/>
      <c r="F4125" s="650"/>
      <c r="G4125" s="73"/>
      <c r="I4125" s="111"/>
      <c r="J4125" s="81"/>
      <c r="K4125" s="81"/>
      <c r="L4125" s="499"/>
      <c r="M4125" s="73"/>
      <c r="N4125" s="499"/>
      <c r="O4125" s="73"/>
      <c r="P4125" s="73"/>
      <c r="Q4125" s="73"/>
      <c r="R4125" s="176"/>
      <c r="S4125" s="176"/>
      <c r="T4125" s="176"/>
      <c r="U4125" s="400"/>
      <c r="V4125" s="400"/>
      <c r="W4125" s="732"/>
      <c r="X4125" s="167"/>
      <c r="Y4125" s="509"/>
      <c r="Z4125" s="466"/>
      <c r="AA4125" s="466"/>
      <c r="AB4125" s="466"/>
      <c r="AC4125" s="466"/>
      <c r="AD4125" s="466"/>
      <c r="AE4125" s="466"/>
      <c r="AF4125" s="466"/>
      <c r="AG4125" s="466"/>
      <c r="AH4125" s="466"/>
      <c r="AI4125" s="466"/>
      <c r="AJ4125" s="466"/>
      <c r="AK4125" s="466"/>
      <c r="AL4125" s="466"/>
      <c r="AM4125" s="466"/>
      <c r="AN4125" s="466"/>
      <c r="AO4125" s="466"/>
      <c r="AP4125" s="466"/>
      <c r="AQ4125" s="466"/>
      <c r="AR4125" s="466"/>
      <c r="AS4125" s="466"/>
      <c r="AT4125" s="466"/>
      <c r="AU4125" s="466"/>
      <c r="AV4125" s="466"/>
      <c r="AW4125" s="466"/>
      <c r="AX4125" s="466"/>
      <c r="AY4125" s="466"/>
      <c r="AZ4125" s="466"/>
      <c r="BA4125" s="466"/>
      <c r="BB4125" s="466"/>
      <c r="BC4125" s="466"/>
      <c r="BD4125" s="466"/>
      <c r="BE4125" s="467"/>
      <c r="BF4125" s="467"/>
      <c r="BG4125" s="466"/>
      <c r="BH4125" s="466"/>
      <c r="BI4125" s="467"/>
      <c r="BJ4125" s="467"/>
      <c r="BK4125" s="467"/>
      <c r="BL4125" s="467"/>
      <c r="BM4125" s="467"/>
      <c r="BN4125" s="467"/>
      <c r="BO4125" s="467"/>
      <c r="BP4125" s="467"/>
      <c r="BQ4125" s="467"/>
      <c r="BR4125" s="467"/>
      <c r="BS4125" s="467"/>
      <c r="BT4125" s="467"/>
      <c r="BU4125" s="467"/>
      <c r="BV4125" s="467"/>
      <c r="BW4125" s="467"/>
      <c r="BX4125" s="769"/>
      <c r="BY4125" s="769"/>
      <c r="BZ4125" s="769"/>
      <c r="CA4125" s="769"/>
      <c r="CB4125" s="769"/>
      <c r="CC4125" s="769"/>
      <c r="CD4125" s="769"/>
      <c r="CE4125" s="769"/>
      <c r="CF4125" s="769"/>
      <c r="CG4125" s="73"/>
      <c r="CH4125" s="438"/>
      <c r="CI4125" s="416"/>
      <c r="CJ4125" s="73"/>
      <c r="CK4125" s="650"/>
      <c r="CL4125" s="499"/>
      <c r="CM4125" s="650"/>
      <c r="CR4125" s="416"/>
      <c r="CS4125" s="650"/>
      <c r="CU4125" s="73"/>
      <c r="CV4125" s="73"/>
      <c r="CW4125" s="73"/>
      <c r="CX4125" s="73"/>
      <c r="DA4125" s="650"/>
    </row>
    <row r="4126" spans="1:105" s="45" customFormat="1" x14ac:dyDescent="0.2">
      <c r="A4126" s="650"/>
      <c r="B4126" s="438"/>
      <c r="D4126" s="73"/>
      <c r="E4126" s="650"/>
      <c r="F4126" s="650"/>
      <c r="G4126" s="73"/>
      <c r="I4126" s="111"/>
      <c r="J4126" s="81"/>
      <c r="K4126" s="81"/>
      <c r="L4126" s="499"/>
      <c r="M4126" s="73"/>
      <c r="N4126" s="499"/>
      <c r="O4126" s="73"/>
      <c r="P4126" s="73"/>
      <c r="Q4126" s="73"/>
      <c r="R4126" s="176"/>
      <c r="S4126" s="176"/>
      <c r="T4126" s="176"/>
      <c r="U4126" s="400"/>
      <c r="V4126" s="400"/>
      <c r="W4126" s="732"/>
      <c r="X4126" s="167"/>
      <c r="Y4126" s="509"/>
      <c r="Z4126" s="466"/>
      <c r="AA4126" s="466"/>
      <c r="AB4126" s="466"/>
      <c r="AC4126" s="466"/>
      <c r="AD4126" s="466"/>
      <c r="AE4126" s="466"/>
      <c r="AF4126" s="466"/>
      <c r="AG4126" s="466"/>
      <c r="AH4126" s="466"/>
      <c r="AI4126" s="466"/>
      <c r="AJ4126" s="466"/>
      <c r="AK4126" s="466"/>
      <c r="AL4126" s="466"/>
      <c r="AM4126" s="466"/>
      <c r="AN4126" s="466"/>
      <c r="AO4126" s="466"/>
      <c r="AP4126" s="466"/>
      <c r="AQ4126" s="466"/>
      <c r="AR4126" s="466"/>
      <c r="AS4126" s="466"/>
      <c r="AT4126" s="466"/>
      <c r="AU4126" s="466"/>
      <c r="AV4126" s="466"/>
      <c r="AW4126" s="466"/>
      <c r="AX4126" s="466"/>
      <c r="AY4126" s="466"/>
      <c r="AZ4126" s="466"/>
      <c r="BA4126" s="466"/>
      <c r="BB4126" s="466"/>
      <c r="BC4126" s="466"/>
      <c r="BD4126" s="466"/>
      <c r="BE4126" s="467"/>
      <c r="BF4126" s="467"/>
      <c r="BG4126" s="466"/>
      <c r="BH4126" s="466"/>
      <c r="BI4126" s="467"/>
      <c r="BJ4126" s="467"/>
      <c r="BK4126" s="467"/>
      <c r="BL4126" s="467"/>
      <c r="BM4126" s="467"/>
      <c r="BN4126" s="467"/>
      <c r="BO4126" s="467"/>
      <c r="BP4126" s="467"/>
      <c r="BQ4126" s="467"/>
      <c r="BR4126" s="467"/>
      <c r="BS4126" s="467"/>
      <c r="BT4126" s="467"/>
      <c r="BU4126" s="467"/>
      <c r="BV4126" s="467"/>
      <c r="BW4126" s="467"/>
      <c r="BX4126" s="769"/>
      <c r="BY4126" s="769"/>
      <c r="BZ4126" s="769"/>
      <c r="CA4126" s="769"/>
      <c r="CB4126" s="769"/>
      <c r="CC4126" s="769"/>
      <c r="CD4126" s="769"/>
      <c r="CE4126" s="769"/>
      <c r="CF4126" s="769"/>
      <c r="CG4126" s="73"/>
      <c r="CH4126" s="438"/>
      <c r="CI4126" s="416"/>
      <c r="CJ4126" s="73"/>
      <c r="CK4126" s="650"/>
      <c r="CL4126" s="499"/>
      <c r="CM4126" s="650"/>
      <c r="CR4126" s="416"/>
      <c r="CS4126" s="650"/>
      <c r="CU4126" s="73"/>
      <c r="CV4126" s="73"/>
      <c r="CW4126" s="73"/>
      <c r="CX4126" s="73"/>
      <c r="DA4126" s="650"/>
    </row>
    <row r="4127" spans="1:105" s="45" customFormat="1" x14ac:dyDescent="0.2">
      <c r="A4127" s="650"/>
      <c r="B4127" s="438"/>
      <c r="D4127" s="73"/>
      <c r="E4127" s="650"/>
      <c r="F4127" s="650"/>
      <c r="G4127" s="73"/>
      <c r="I4127" s="111"/>
      <c r="J4127" s="81"/>
      <c r="K4127" s="81"/>
      <c r="L4127" s="499"/>
      <c r="M4127" s="73"/>
      <c r="N4127" s="499"/>
      <c r="O4127" s="73"/>
      <c r="P4127" s="73"/>
      <c r="Q4127" s="73"/>
      <c r="R4127" s="176"/>
      <c r="S4127" s="176"/>
      <c r="T4127" s="176"/>
      <c r="U4127" s="400"/>
      <c r="V4127" s="400"/>
      <c r="W4127" s="732"/>
      <c r="X4127" s="167"/>
      <c r="Y4127" s="509"/>
      <c r="Z4127" s="466"/>
      <c r="AA4127" s="466"/>
      <c r="AB4127" s="466"/>
      <c r="AC4127" s="466"/>
      <c r="AD4127" s="466"/>
      <c r="AE4127" s="466"/>
      <c r="AF4127" s="466"/>
      <c r="AG4127" s="466"/>
      <c r="AH4127" s="466"/>
      <c r="AI4127" s="466"/>
      <c r="AJ4127" s="466"/>
      <c r="AK4127" s="466"/>
      <c r="AL4127" s="466"/>
      <c r="AM4127" s="466"/>
      <c r="AN4127" s="466"/>
      <c r="AO4127" s="466"/>
      <c r="AP4127" s="466"/>
      <c r="AQ4127" s="466"/>
      <c r="AR4127" s="466"/>
      <c r="AS4127" s="466"/>
      <c r="AT4127" s="466"/>
      <c r="AU4127" s="466"/>
      <c r="AV4127" s="466"/>
      <c r="AW4127" s="466"/>
      <c r="AX4127" s="466"/>
      <c r="AY4127" s="466"/>
      <c r="AZ4127" s="466"/>
      <c r="BA4127" s="466"/>
      <c r="BB4127" s="466"/>
      <c r="BC4127" s="466"/>
      <c r="BD4127" s="466"/>
      <c r="BE4127" s="467"/>
      <c r="BF4127" s="467"/>
      <c r="BG4127" s="466"/>
      <c r="BH4127" s="466"/>
      <c r="BI4127" s="467"/>
      <c r="BJ4127" s="467"/>
      <c r="BK4127" s="467"/>
      <c r="BL4127" s="467"/>
      <c r="BM4127" s="467"/>
      <c r="BN4127" s="467"/>
      <c r="BO4127" s="467"/>
      <c r="BP4127" s="467"/>
      <c r="BQ4127" s="467"/>
      <c r="BR4127" s="467"/>
      <c r="BS4127" s="467"/>
      <c r="BT4127" s="467"/>
      <c r="BU4127" s="467"/>
      <c r="BV4127" s="467"/>
      <c r="BW4127" s="467"/>
      <c r="BX4127" s="769"/>
      <c r="BY4127" s="769"/>
      <c r="BZ4127" s="769"/>
      <c r="CA4127" s="769"/>
      <c r="CB4127" s="769"/>
      <c r="CC4127" s="769"/>
      <c r="CD4127" s="769"/>
      <c r="CE4127" s="769"/>
      <c r="CF4127" s="769"/>
      <c r="CG4127" s="73"/>
      <c r="CH4127" s="438"/>
      <c r="CI4127" s="416"/>
      <c r="CJ4127" s="73"/>
      <c r="CK4127" s="650"/>
      <c r="CL4127" s="499"/>
      <c r="CM4127" s="650"/>
      <c r="CR4127" s="416"/>
      <c r="CS4127" s="650"/>
      <c r="CU4127" s="73"/>
      <c r="CV4127" s="73"/>
      <c r="CW4127" s="73"/>
      <c r="CX4127" s="73"/>
      <c r="DA4127" s="650"/>
    </row>
    <row r="4128" spans="1:105" s="45" customFormat="1" x14ac:dyDescent="0.2">
      <c r="A4128" s="650"/>
      <c r="B4128" s="438"/>
      <c r="D4128" s="73"/>
      <c r="E4128" s="650"/>
      <c r="F4128" s="650"/>
      <c r="G4128" s="73"/>
      <c r="I4128" s="111"/>
      <c r="J4128" s="81"/>
      <c r="K4128" s="81"/>
      <c r="L4128" s="499"/>
      <c r="M4128" s="73"/>
      <c r="N4128" s="499"/>
      <c r="O4128" s="73"/>
      <c r="P4128" s="73"/>
      <c r="Q4128" s="73"/>
      <c r="R4128" s="176"/>
      <c r="S4128" s="176"/>
      <c r="T4128" s="176"/>
      <c r="U4128" s="400"/>
      <c r="V4128" s="400"/>
      <c r="W4128" s="732"/>
      <c r="X4128" s="167"/>
      <c r="Y4128" s="509"/>
      <c r="Z4128" s="466"/>
      <c r="AA4128" s="466"/>
      <c r="AB4128" s="466"/>
      <c r="AC4128" s="466"/>
      <c r="AD4128" s="466"/>
      <c r="AE4128" s="466"/>
      <c r="AF4128" s="466"/>
      <c r="AG4128" s="466"/>
      <c r="AH4128" s="466"/>
      <c r="AI4128" s="466"/>
      <c r="AJ4128" s="466"/>
      <c r="AK4128" s="466"/>
      <c r="AL4128" s="466"/>
      <c r="AM4128" s="466"/>
      <c r="AN4128" s="466"/>
      <c r="AO4128" s="466"/>
      <c r="AP4128" s="466"/>
      <c r="AQ4128" s="466"/>
      <c r="AR4128" s="466"/>
      <c r="AS4128" s="466"/>
      <c r="AT4128" s="466"/>
      <c r="AU4128" s="466"/>
      <c r="AV4128" s="466"/>
      <c r="AW4128" s="466"/>
      <c r="AX4128" s="466"/>
      <c r="AY4128" s="466"/>
      <c r="AZ4128" s="466"/>
      <c r="BA4128" s="466"/>
      <c r="BB4128" s="466"/>
      <c r="BC4128" s="466"/>
      <c r="BD4128" s="466"/>
      <c r="BE4128" s="467"/>
      <c r="BF4128" s="467"/>
      <c r="BG4128" s="466"/>
      <c r="BH4128" s="466"/>
      <c r="BI4128" s="467"/>
      <c r="BJ4128" s="467"/>
      <c r="BK4128" s="467"/>
      <c r="BL4128" s="467"/>
      <c r="BM4128" s="467"/>
      <c r="BN4128" s="467"/>
      <c r="BO4128" s="467"/>
      <c r="BP4128" s="467"/>
      <c r="BQ4128" s="467"/>
      <c r="BR4128" s="467"/>
      <c r="BS4128" s="467"/>
      <c r="BT4128" s="467"/>
      <c r="BU4128" s="467"/>
      <c r="BV4128" s="467"/>
      <c r="BW4128" s="467"/>
      <c r="BX4128" s="769"/>
      <c r="BY4128" s="769"/>
      <c r="BZ4128" s="769"/>
      <c r="CA4128" s="769"/>
      <c r="CB4128" s="769"/>
      <c r="CC4128" s="769"/>
      <c r="CD4128" s="769"/>
      <c r="CE4128" s="769"/>
      <c r="CF4128" s="769"/>
      <c r="CG4128" s="73"/>
      <c r="CH4128" s="438"/>
      <c r="CI4128" s="416"/>
      <c r="CJ4128" s="73"/>
      <c r="CK4128" s="650"/>
      <c r="CL4128" s="499"/>
      <c r="CM4128" s="650"/>
      <c r="CR4128" s="416"/>
      <c r="CS4128" s="650"/>
      <c r="CU4128" s="73"/>
      <c r="CV4128" s="73"/>
      <c r="CW4128" s="73"/>
      <c r="CX4128" s="73"/>
      <c r="DA4128" s="650"/>
    </row>
    <row r="4129" spans="1:105" s="45" customFormat="1" x14ac:dyDescent="0.2">
      <c r="A4129" s="650"/>
      <c r="B4129" s="438"/>
      <c r="D4129" s="73"/>
      <c r="E4129" s="650"/>
      <c r="F4129" s="650"/>
      <c r="G4129" s="73"/>
      <c r="I4129" s="111"/>
      <c r="J4129" s="81"/>
      <c r="K4129" s="81"/>
      <c r="L4129" s="499"/>
      <c r="M4129" s="73"/>
      <c r="N4129" s="499"/>
      <c r="O4129" s="73"/>
      <c r="P4129" s="73"/>
      <c r="Q4129" s="73"/>
      <c r="R4129" s="176"/>
      <c r="S4129" s="176"/>
      <c r="T4129" s="176"/>
      <c r="U4129" s="400"/>
      <c r="V4129" s="400"/>
      <c r="W4129" s="732"/>
      <c r="X4129" s="167"/>
      <c r="Y4129" s="509"/>
      <c r="Z4129" s="466"/>
      <c r="AA4129" s="466"/>
      <c r="AB4129" s="466"/>
      <c r="AC4129" s="466"/>
      <c r="AD4129" s="466"/>
      <c r="AE4129" s="466"/>
      <c r="AF4129" s="466"/>
      <c r="AG4129" s="466"/>
      <c r="AH4129" s="466"/>
      <c r="AI4129" s="466"/>
      <c r="AJ4129" s="466"/>
      <c r="AK4129" s="466"/>
      <c r="AL4129" s="466"/>
      <c r="AM4129" s="466"/>
      <c r="AN4129" s="466"/>
      <c r="AO4129" s="466"/>
      <c r="AP4129" s="466"/>
      <c r="AQ4129" s="466"/>
      <c r="AR4129" s="466"/>
      <c r="AS4129" s="466"/>
      <c r="AT4129" s="466"/>
      <c r="AU4129" s="466"/>
      <c r="AV4129" s="466"/>
      <c r="AW4129" s="466"/>
      <c r="AX4129" s="466"/>
      <c r="AY4129" s="466"/>
      <c r="AZ4129" s="466"/>
      <c r="BA4129" s="466"/>
      <c r="BB4129" s="466"/>
      <c r="BC4129" s="466"/>
      <c r="BD4129" s="466"/>
      <c r="BE4129" s="467"/>
      <c r="BF4129" s="467"/>
      <c r="BG4129" s="466"/>
      <c r="BH4129" s="466"/>
      <c r="BI4129" s="467"/>
      <c r="BJ4129" s="467"/>
      <c r="BK4129" s="467"/>
      <c r="BL4129" s="467"/>
      <c r="BM4129" s="467"/>
      <c r="BN4129" s="467"/>
      <c r="BO4129" s="467"/>
      <c r="BP4129" s="467"/>
      <c r="BQ4129" s="467"/>
      <c r="BR4129" s="467"/>
      <c r="BS4129" s="467"/>
      <c r="BT4129" s="467"/>
      <c r="BU4129" s="467"/>
      <c r="BV4129" s="467"/>
      <c r="BW4129" s="467"/>
      <c r="BX4129" s="769"/>
      <c r="BY4129" s="769"/>
      <c r="BZ4129" s="769"/>
      <c r="CA4129" s="769"/>
      <c r="CB4129" s="769"/>
      <c r="CC4129" s="769"/>
      <c r="CD4129" s="769"/>
      <c r="CE4129" s="769"/>
      <c r="CF4129" s="769"/>
      <c r="CG4129" s="73"/>
      <c r="CH4129" s="438"/>
      <c r="CI4129" s="416"/>
      <c r="CJ4129" s="73"/>
      <c r="CK4129" s="650"/>
      <c r="CL4129" s="499"/>
      <c r="CM4129" s="650"/>
      <c r="CR4129" s="416"/>
      <c r="CS4129" s="650"/>
      <c r="CU4129" s="73"/>
      <c r="CV4129" s="73"/>
      <c r="CW4129" s="73"/>
      <c r="CX4129" s="73"/>
      <c r="DA4129" s="650"/>
    </row>
    <row r="4130" spans="1:105" s="45" customFormat="1" x14ac:dyDescent="0.2">
      <c r="A4130" s="650"/>
      <c r="B4130" s="438"/>
      <c r="D4130" s="73"/>
      <c r="E4130" s="650"/>
      <c r="F4130" s="650"/>
      <c r="G4130" s="73"/>
      <c r="I4130" s="111"/>
      <c r="J4130" s="81"/>
      <c r="K4130" s="81"/>
      <c r="L4130" s="499"/>
      <c r="M4130" s="73"/>
      <c r="N4130" s="499"/>
      <c r="O4130" s="73"/>
      <c r="P4130" s="73"/>
      <c r="Q4130" s="73"/>
      <c r="R4130" s="176"/>
      <c r="S4130" s="176"/>
      <c r="T4130" s="176"/>
      <c r="U4130" s="400"/>
      <c r="V4130" s="400"/>
      <c r="W4130" s="732"/>
      <c r="X4130" s="167"/>
      <c r="Y4130" s="509"/>
      <c r="Z4130" s="466"/>
      <c r="AA4130" s="466"/>
      <c r="AB4130" s="466"/>
      <c r="AC4130" s="466"/>
      <c r="AD4130" s="466"/>
      <c r="AE4130" s="466"/>
      <c r="AF4130" s="466"/>
      <c r="AG4130" s="466"/>
      <c r="AH4130" s="466"/>
      <c r="AI4130" s="466"/>
      <c r="AJ4130" s="466"/>
      <c r="AK4130" s="466"/>
      <c r="AL4130" s="466"/>
      <c r="AM4130" s="466"/>
      <c r="AN4130" s="466"/>
      <c r="AO4130" s="466"/>
      <c r="AP4130" s="466"/>
      <c r="AQ4130" s="466"/>
      <c r="AR4130" s="466"/>
      <c r="AS4130" s="466"/>
      <c r="AT4130" s="466"/>
      <c r="AU4130" s="466"/>
      <c r="AV4130" s="466"/>
      <c r="AW4130" s="466"/>
      <c r="AX4130" s="466"/>
      <c r="AY4130" s="466"/>
      <c r="AZ4130" s="466"/>
      <c r="BA4130" s="466"/>
      <c r="BB4130" s="466"/>
      <c r="BC4130" s="466"/>
      <c r="BD4130" s="466"/>
      <c r="BE4130" s="467"/>
      <c r="BF4130" s="467"/>
      <c r="BG4130" s="466"/>
      <c r="BH4130" s="466"/>
      <c r="BI4130" s="467"/>
      <c r="BJ4130" s="467"/>
      <c r="BK4130" s="467"/>
      <c r="BL4130" s="467"/>
      <c r="BM4130" s="467"/>
      <c r="BN4130" s="467"/>
      <c r="BO4130" s="467"/>
      <c r="BP4130" s="467"/>
      <c r="BQ4130" s="467"/>
      <c r="BR4130" s="467"/>
      <c r="BS4130" s="467"/>
      <c r="BT4130" s="467"/>
      <c r="BU4130" s="467"/>
      <c r="BV4130" s="467"/>
      <c r="BW4130" s="467"/>
      <c r="BX4130" s="769"/>
      <c r="BY4130" s="769"/>
      <c r="BZ4130" s="769"/>
      <c r="CA4130" s="769"/>
      <c r="CB4130" s="769"/>
      <c r="CC4130" s="769"/>
      <c r="CD4130" s="769"/>
      <c r="CE4130" s="769"/>
      <c r="CF4130" s="769"/>
      <c r="CG4130" s="73"/>
      <c r="CH4130" s="438"/>
      <c r="CI4130" s="416"/>
      <c r="CJ4130" s="73"/>
      <c r="CK4130" s="650"/>
      <c r="CL4130" s="499"/>
      <c r="CM4130" s="650"/>
      <c r="CR4130" s="416"/>
      <c r="CS4130" s="650"/>
      <c r="CU4130" s="73"/>
      <c r="CV4130" s="73"/>
      <c r="CW4130" s="73"/>
      <c r="CX4130" s="73"/>
      <c r="DA4130" s="650"/>
    </row>
    <row r="4131" spans="1:105" s="45" customFormat="1" x14ac:dyDescent="0.2">
      <c r="A4131" s="650"/>
      <c r="B4131" s="438"/>
      <c r="D4131" s="73"/>
      <c r="E4131" s="650"/>
      <c r="F4131" s="650"/>
      <c r="G4131" s="73"/>
      <c r="I4131" s="111"/>
      <c r="J4131" s="81"/>
      <c r="K4131" s="81"/>
      <c r="L4131" s="499"/>
      <c r="M4131" s="73"/>
      <c r="N4131" s="499"/>
      <c r="O4131" s="73"/>
      <c r="P4131" s="73"/>
      <c r="Q4131" s="73"/>
      <c r="R4131" s="176"/>
      <c r="S4131" s="176"/>
      <c r="T4131" s="176"/>
      <c r="U4131" s="400"/>
      <c r="V4131" s="400"/>
      <c r="W4131" s="732"/>
      <c r="X4131" s="167"/>
      <c r="Y4131" s="509"/>
      <c r="Z4131" s="466"/>
      <c r="AA4131" s="466"/>
      <c r="AB4131" s="466"/>
      <c r="AC4131" s="466"/>
      <c r="AD4131" s="466"/>
      <c r="AE4131" s="466"/>
      <c r="AF4131" s="466"/>
      <c r="AG4131" s="466"/>
      <c r="AH4131" s="466"/>
      <c r="AI4131" s="466"/>
      <c r="AJ4131" s="466"/>
      <c r="AK4131" s="466"/>
      <c r="AL4131" s="466"/>
      <c r="AM4131" s="466"/>
      <c r="AN4131" s="466"/>
      <c r="AO4131" s="466"/>
      <c r="AP4131" s="466"/>
      <c r="AQ4131" s="466"/>
      <c r="AR4131" s="466"/>
      <c r="AS4131" s="466"/>
      <c r="AT4131" s="466"/>
      <c r="AU4131" s="466"/>
      <c r="AV4131" s="466"/>
      <c r="AW4131" s="466"/>
      <c r="AX4131" s="466"/>
      <c r="AY4131" s="466"/>
      <c r="AZ4131" s="466"/>
      <c r="BA4131" s="466"/>
      <c r="BB4131" s="466"/>
      <c r="BC4131" s="466"/>
      <c r="BD4131" s="466"/>
      <c r="BE4131" s="467"/>
      <c r="BF4131" s="467"/>
      <c r="BG4131" s="466"/>
      <c r="BH4131" s="466"/>
      <c r="BI4131" s="467"/>
      <c r="BJ4131" s="467"/>
      <c r="BK4131" s="467"/>
      <c r="BL4131" s="467"/>
      <c r="BM4131" s="467"/>
      <c r="BN4131" s="467"/>
      <c r="BO4131" s="467"/>
      <c r="BP4131" s="467"/>
      <c r="BQ4131" s="467"/>
      <c r="BR4131" s="467"/>
      <c r="BS4131" s="467"/>
      <c r="BT4131" s="467"/>
      <c r="BU4131" s="467"/>
      <c r="BV4131" s="467"/>
      <c r="BW4131" s="467"/>
      <c r="BX4131" s="769"/>
      <c r="BY4131" s="769"/>
      <c r="BZ4131" s="769"/>
      <c r="CA4131" s="769"/>
      <c r="CB4131" s="769"/>
      <c r="CC4131" s="769"/>
      <c r="CD4131" s="769"/>
      <c r="CE4131" s="769"/>
      <c r="CF4131" s="769"/>
      <c r="CG4131" s="73"/>
      <c r="CH4131" s="438"/>
      <c r="CI4131" s="416"/>
      <c r="CJ4131" s="73"/>
      <c r="CK4131" s="650"/>
      <c r="CL4131" s="499"/>
      <c r="CM4131" s="650"/>
      <c r="CR4131" s="416"/>
      <c r="CS4131" s="650"/>
      <c r="CU4131" s="73"/>
      <c r="CV4131" s="73"/>
      <c r="CW4131" s="73"/>
      <c r="CX4131" s="73"/>
      <c r="DA4131" s="650"/>
    </row>
    <row r="4132" spans="1:105" s="45" customFormat="1" x14ac:dyDescent="0.2">
      <c r="A4132" s="650"/>
      <c r="B4132" s="438"/>
      <c r="D4132" s="73"/>
      <c r="E4132" s="650"/>
      <c r="F4132" s="650"/>
      <c r="G4132" s="73"/>
      <c r="I4132" s="111"/>
      <c r="J4132" s="81"/>
      <c r="K4132" s="81"/>
      <c r="L4132" s="499"/>
      <c r="M4132" s="73"/>
      <c r="N4132" s="499"/>
      <c r="O4132" s="73"/>
      <c r="P4132" s="73"/>
      <c r="Q4132" s="73"/>
      <c r="R4132" s="176"/>
      <c r="S4132" s="176"/>
      <c r="T4132" s="176"/>
      <c r="U4132" s="400"/>
      <c r="V4132" s="400"/>
      <c r="W4132" s="732"/>
      <c r="X4132" s="167"/>
      <c r="Y4132" s="509"/>
      <c r="Z4132" s="466"/>
      <c r="AA4132" s="466"/>
      <c r="AB4132" s="466"/>
      <c r="AC4132" s="466"/>
      <c r="AD4132" s="466"/>
      <c r="AE4132" s="466"/>
      <c r="AF4132" s="466"/>
      <c r="AG4132" s="466"/>
      <c r="AH4132" s="466"/>
      <c r="AI4132" s="466"/>
      <c r="AJ4132" s="466"/>
      <c r="AK4132" s="466"/>
      <c r="AL4132" s="466"/>
      <c r="AM4132" s="466"/>
      <c r="AN4132" s="466"/>
      <c r="AO4132" s="466"/>
      <c r="AP4132" s="466"/>
      <c r="AQ4132" s="466"/>
      <c r="AR4132" s="466"/>
      <c r="AS4132" s="466"/>
      <c r="AT4132" s="466"/>
      <c r="AU4132" s="466"/>
      <c r="AV4132" s="466"/>
      <c r="AW4132" s="466"/>
      <c r="AX4132" s="466"/>
      <c r="AY4132" s="466"/>
      <c r="AZ4132" s="466"/>
      <c r="BA4132" s="466"/>
      <c r="BB4132" s="466"/>
      <c r="BC4132" s="466"/>
      <c r="BD4132" s="466"/>
      <c r="BE4132" s="467"/>
      <c r="BF4132" s="467"/>
      <c r="BG4132" s="466"/>
      <c r="BH4132" s="466"/>
      <c r="BI4132" s="467"/>
      <c r="BJ4132" s="467"/>
      <c r="BK4132" s="467"/>
      <c r="BL4132" s="467"/>
      <c r="BM4132" s="467"/>
      <c r="BN4132" s="467"/>
      <c r="BO4132" s="467"/>
      <c r="BP4132" s="467"/>
      <c r="BQ4132" s="467"/>
      <c r="BR4132" s="467"/>
      <c r="BS4132" s="467"/>
      <c r="BT4132" s="467"/>
      <c r="BU4132" s="467"/>
      <c r="BV4132" s="467"/>
      <c r="BW4132" s="467"/>
      <c r="BX4132" s="769"/>
      <c r="BY4132" s="769"/>
      <c r="BZ4132" s="769"/>
      <c r="CA4132" s="769"/>
      <c r="CB4132" s="769"/>
      <c r="CC4132" s="769"/>
      <c r="CD4132" s="769"/>
      <c r="CE4132" s="769"/>
      <c r="CF4132" s="769"/>
      <c r="CG4132" s="73"/>
      <c r="CH4132" s="438"/>
      <c r="CI4132" s="416"/>
      <c r="CJ4132" s="73"/>
      <c r="CK4132" s="650"/>
      <c r="CL4132" s="499"/>
      <c r="CM4132" s="650"/>
      <c r="CR4132" s="416"/>
      <c r="CS4132" s="650"/>
      <c r="CU4132" s="73"/>
      <c r="CV4132" s="73"/>
      <c r="CW4132" s="73"/>
      <c r="CX4132" s="73"/>
      <c r="DA4132" s="650"/>
    </row>
    <row r="4133" spans="1:105" s="45" customFormat="1" x14ac:dyDescent="0.2">
      <c r="A4133" s="650"/>
      <c r="B4133" s="438"/>
      <c r="D4133" s="73"/>
      <c r="E4133" s="650"/>
      <c r="F4133" s="650"/>
      <c r="G4133" s="73"/>
      <c r="I4133" s="111"/>
      <c r="J4133" s="81"/>
      <c r="K4133" s="81"/>
      <c r="L4133" s="499"/>
      <c r="M4133" s="73"/>
      <c r="N4133" s="499"/>
      <c r="O4133" s="73"/>
      <c r="P4133" s="73"/>
      <c r="Q4133" s="73"/>
      <c r="R4133" s="176"/>
      <c r="S4133" s="176"/>
      <c r="T4133" s="176"/>
      <c r="U4133" s="400"/>
      <c r="V4133" s="400"/>
      <c r="W4133" s="732"/>
      <c r="X4133" s="167"/>
      <c r="Y4133" s="509"/>
      <c r="Z4133" s="466"/>
      <c r="AA4133" s="466"/>
      <c r="AB4133" s="466"/>
      <c r="AC4133" s="466"/>
      <c r="AD4133" s="466"/>
      <c r="AE4133" s="466"/>
      <c r="AF4133" s="466"/>
      <c r="AG4133" s="466"/>
      <c r="AH4133" s="466"/>
      <c r="AI4133" s="466"/>
      <c r="AJ4133" s="466"/>
      <c r="AK4133" s="466"/>
      <c r="AL4133" s="466"/>
      <c r="AM4133" s="466"/>
      <c r="AN4133" s="466"/>
      <c r="AO4133" s="466"/>
      <c r="AP4133" s="466"/>
      <c r="AQ4133" s="466"/>
      <c r="AR4133" s="466"/>
      <c r="AS4133" s="466"/>
      <c r="AT4133" s="466"/>
      <c r="AU4133" s="466"/>
      <c r="AV4133" s="466"/>
      <c r="AW4133" s="466"/>
      <c r="AX4133" s="466"/>
      <c r="AY4133" s="466"/>
      <c r="AZ4133" s="466"/>
      <c r="BA4133" s="466"/>
      <c r="BB4133" s="466"/>
      <c r="BC4133" s="466"/>
      <c r="BD4133" s="466"/>
      <c r="BE4133" s="467"/>
      <c r="BF4133" s="467"/>
      <c r="BG4133" s="466"/>
      <c r="BH4133" s="466"/>
      <c r="BI4133" s="467"/>
      <c r="BJ4133" s="467"/>
      <c r="BK4133" s="467"/>
      <c r="BL4133" s="467"/>
      <c r="BM4133" s="467"/>
      <c r="BN4133" s="467"/>
      <c r="BO4133" s="467"/>
      <c r="BP4133" s="467"/>
      <c r="BQ4133" s="467"/>
      <c r="BR4133" s="467"/>
      <c r="BS4133" s="467"/>
      <c r="BT4133" s="467"/>
      <c r="BU4133" s="467"/>
      <c r="BV4133" s="467"/>
      <c r="BW4133" s="467"/>
      <c r="BX4133" s="769"/>
      <c r="BY4133" s="769"/>
      <c r="BZ4133" s="769"/>
      <c r="CA4133" s="769"/>
      <c r="CB4133" s="769"/>
      <c r="CC4133" s="769"/>
      <c r="CD4133" s="769"/>
      <c r="CE4133" s="769"/>
      <c r="CF4133" s="769"/>
      <c r="CG4133" s="73"/>
      <c r="CH4133" s="438"/>
      <c r="CI4133" s="416"/>
      <c r="CJ4133" s="73"/>
      <c r="CK4133" s="650"/>
      <c r="CL4133" s="499"/>
      <c r="CM4133" s="650"/>
      <c r="CR4133" s="416"/>
      <c r="CS4133" s="650"/>
      <c r="CU4133" s="73"/>
      <c r="CV4133" s="73"/>
      <c r="CW4133" s="73"/>
      <c r="CX4133" s="73"/>
      <c r="DA4133" s="650"/>
    </row>
    <row r="4134" spans="1:105" s="45" customFormat="1" x14ac:dyDescent="0.2">
      <c r="A4134" s="650"/>
      <c r="B4134" s="438"/>
      <c r="D4134" s="73"/>
      <c r="E4134" s="650"/>
      <c r="F4134" s="650"/>
      <c r="G4134" s="73"/>
      <c r="I4134" s="111"/>
      <c r="J4134" s="81"/>
      <c r="K4134" s="81"/>
      <c r="L4134" s="499"/>
      <c r="M4134" s="73"/>
      <c r="N4134" s="499"/>
      <c r="O4134" s="73"/>
      <c r="P4134" s="73"/>
      <c r="Q4134" s="73"/>
      <c r="R4134" s="176"/>
      <c r="S4134" s="176"/>
      <c r="T4134" s="176"/>
      <c r="U4134" s="400"/>
      <c r="V4134" s="400"/>
      <c r="W4134" s="732"/>
      <c r="X4134" s="167"/>
      <c r="Y4134" s="509"/>
      <c r="Z4134" s="466"/>
      <c r="AA4134" s="466"/>
      <c r="AB4134" s="466"/>
      <c r="AC4134" s="466"/>
      <c r="AD4134" s="466"/>
      <c r="AE4134" s="466"/>
      <c r="AF4134" s="466"/>
      <c r="AG4134" s="466"/>
      <c r="AH4134" s="466"/>
      <c r="AI4134" s="466"/>
      <c r="AJ4134" s="466"/>
      <c r="AK4134" s="466"/>
      <c r="AL4134" s="466"/>
      <c r="AM4134" s="466"/>
      <c r="AN4134" s="466"/>
      <c r="AO4134" s="466"/>
      <c r="AP4134" s="466"/>
      <c r="AQ4134" s="466"/>
      <c r="AR4134" s="466"/>
      <c r="AS4134" s="466"/>
      <c r="AT4134" s="466"/>
      <c r="AU4134" s="466"/>
      <c r="AV4134" s="466"/>
      <c r="AW4134" s="466"/>
      <c r="AX4134" s="466"/>
      <c r="AY4134" s="466"/>
      <c r="AZ4134" s="466"/>
      <c r="BA4134" s="466"/>
      <c r="BB4134" s="466"/>
      <c r="BC4134" s="466"/>
      <c r="BD4134" s="466"/>
      <c r="BE4134" s="467"/>
      <c r="BF4134" s="467"/>
      <c r="BG4134" s="466"/>
      <c r="BH4134" s="466"/>
      <c r="BI4134" s="467"/>
      <c r="BJ4134" s="467"/>
      <c r="BK4134" s="467"/>
      <c r="BL4134" s="467"/>
      <c r="BM4134" s="467"/>
      <c r="BN4134" s="467"/>
      <c r="BO4134" s="467"/>
      <c r="BP4134" s="467"/>
      <c r="BQ4134" s="467"/>
      <c r="BR4134" s="467"/>
      <c r="BS4134" s="467"/>
      <c r="BT4134" s="467"/>
      <c r="BU4134" s="467"/>
      <c r="BV4134" s="467"/>
      <c r="BW4134" s="467"/>
      <c r="BX4134" s="769"/>
      <c r="BY4134" s="769"/>
      <c r="BZ4134" s="769"/>
      <c r="CA4134" s="769"/>
      <c r="CB4134" s="769"/>
      <c r="CC4134" s="769"/>
      <c r="CD4134" s="769"/>
      <c r="CE4134" s="769"/>
      <c r="CF4134" s="769"/>
      <c r="CG4134" s="73"/>
      <c r="CH4134" s="438"/>
      <c r="CI4134" s="416"/>
      <c r="CJ4134" s="73"/>
      <c r="CK4134" s="650"/>
      <c r="CL4134" s="499"/>
      <c r="CM4134" s="650"/>
      <c r="CR4134" s="416"/>
      <c r="CS4134" s="650"/>
      <c r="CU4134" s="73"/>
      <c r="CV4134" s="73"/>
      <c r="CW4134" s="73"/>
      <c r="CX4134" s="73"/>
      <c r="DA4134" s="650"/>
    </row>
    <row r="4135" spans="1:105" s="45" customFormat="1" x14ac:dyDescent="0.2">
      <c r="A4135" s="650"/>
      <c r="B4135" s="438"/>
      <c r="D4135" s="73"/>
      <c r="E4135" s="650"/>
      <c r="F4135" s="650"/>
      <c r="G4135" s="73"/>
      <c r="I4135" s="111"/>
      <c r="J4135" s="81"/>
      <c r="K4135" s="81"/>
      <c r="L4135" s="499"/>
      <c r="M4135" s="73"/>
      <c r="N4135" s="499"/>
      <c r="O4135" s="73"/>
      <c r="P4135" s="73"/>
      <c r="Q4135" s="73"/>
      <c r="R4135" s="176"/>
      <c r="S4135" s="176"/>
      <c r="T4135" s="176"/>
      <c r="U4135" s="400"/>
      <c r="V4135" s="400"/>
      <c r="W4135" s="732"/>
      <c r="X4135" s="167"/>
      <c r="Y4135" s="509"/>
      <c r="Z4135" s="466"/>
      <c r="AA4135" s="466"/>
      <c r="AB4135" s="466"/>
      <c r="AC4135" s="466"/>
      <c r="AD4135" s="466"/>
      <c r="AE4135" s="466"/>
      <c r="AF4135" s="466"/>
      <c r="AG4135" s="466"/>
      <c r="AH4135" s="466"/>
      <c r="AI4135" s="466"/>
      <c r="AJ4135" s="466"/>
      <c r="AK4135" s="466"/>
      <c r="AL4135" s="466"/>
      <c r="AM4135" s="466"/>
      <c r="AN4135" s="466"/>
      <c r="AO4135" s="466"/>
      <c r="AP4135" s="466"/>
      <c r="AQ4135" s="466"/>
      <c r="AR4135" s="466"/>
      <c r="AS4135" s="466"/>
      <c r="AT4135" s="466"/>
      <c r="AU4135" s="466"/>
      <c r="AV4135" s="466"/>
      <c r="AW4135" s="466"/>
      <c r="AX4135" s="466"/>
      <c r="AY4135" s="466"/>
      <c r="AZ4135" s="466"/>
      <c r="BA4135" s="466"/>
      <c r="BB4135" s="466"/>
      <c r="BC4135" s="466"/>
      <c r="BD4135" s="466"/>
      <c r="BE4135" s="467"/>
      <c r="BF4135" s="467"/>
      <c r="BG4135" s="466"/>
      <c r="BH4135" s="466"/>
      <c r="BI4135" s="467"/>
      <c r="BJ4135" s="467"/>
      <c r="BK4135" s="467"/>
      <c r="BL4135" s="467"/>
      <c r="BM4135" s="467"/>
      <c r="BN4135" s="467"/>
      <c r="BO4135" s="467"/>
      <c r="BP4135" s="467"/>
      <c r="BQ4135" s="467"/>
      <c r="BR4135" s="467"/>
      <c r="BS4135" s="467"/>
      <c r="BT4135" s="467"/>
      <c r="BU4135" s="467"/>
      <c r="BV4135" s="467"/>
      <c r="BW4135" s="467"/>
      <c r="BX4135" s="769"/>
      <c r="BY4135" s="769"/>
      <c r="BZ4135" s="769"/>
      <c r="CA4135" s="769"/>
      <c r="CB4135" s="769"/>
      <c r="CC4135" s="769"/>
      <c r="CD4135" s="769"/>
      <c r="CE4135" s="769"/>
      <c r="CF4135" s="769"/>
      <c r="CG4135" s="73"/>
      <c r="CH4135" s="438"/>
      <c r="CI4135" s="416"/>
      <c r="CJ4135" s="73"/>
      <c r="CK4135" s="650"/>
      <c r="CL4135" s="499"/>
      <c r="CM4135" s="650"/>
      <c r="CR4135" s="416"/>
      <c r="CS4135" s="650"/>
      <c r="CU4135" s="73"/>
      <c r="CV4135" s="73"/>
      <c r="CW4135" s="73"/>
      <c r="CX4135" s="73"/>
      <c r="DA4135" s="650"/>
    </row>
    <row r="4136" spans="1:105" s="45" customFormat="1" x14ac:dyDescent="0.2">
      <c r="A4136" s="650"/>
      <c r="B4136" s="438"/>
      <c r="D4136" s="73"/>
      <c r="E4136" s="650"/>
      <c r="F4136" s="650"/>
      <c r="G4136" s="73"/>
      <c r="I4136" s="111"/>
      <c r="J4136" s="81"/>
      <c r="K4136" s="81"/>
      <c r="L4136" s="499"/>
      <c r="M4136" s="73"/>
      <c r="N4136" s="499"/>
      <c r="O4136" s="73"/>
      <c r="P4136" s="73"/>
      <c r="Q4136" s="73"/>
      <c r="R4136" s="176"/>
      <c r="S4136" s="176"/>
      <c r="T4136" s="176"/>
      <c r="U4136" s="400"/>
      <c r="V4136" s="400"/>
      <c r="W4136" s="732"/>
      <c r="X4136" s="167"/>
      <c r="Y4136" s="509"/>
      <c r="Z4136" s="466"/>
      <c r="AA4136" s="466"/>
      <c r="AB4136" s="466"/>
      <c r="AC4136" s="466"/>
      <c r="AD4136" s="466"/>
      <c r="AE4136" s="466"/>
      <c r="AF4136" s="466"/>
      <c r="AG4136" s="466"/>
      <c r="AH4136" s="466"/>
      <c r="AI4136" s="466"/>
      <c r="AJ4136" s="466"/>
      <c r="AK4136" s="466"/>
      <c r="AL4136" s="466"/>
      <c r="AM4136" s="466"/>
      <c r="AN4136" s="466"/>
      <c r="AO4136" s="466"/>
      <c r="AP4136" s="466"/>
      <c r="AQ4136" s="466"/>
      <c r="AR4136" s="466"/>
      <c r="AS4136" s="466"/>
      <c r="AT4136" s="466"/>
      <c r="AU4136" s="466"/>
      <c r="AV4136" s="466"/>
      <c r="AW4136" s="466"/>
      <c r="AX4136" s="466"/>
      <c r="AY4136" s="466"/>
      <c r="AZ4136" s="466"/>
      <c r="BA4136" s="466"/>
      <c r="BB4136" s="466"/>
      <c r="BC4136" s="466"/>
      <c r="BD4136" s="466"/>
      <c r="BE4136" s="467"/>
      <c r="BF4136" s="467"/>
      <c r="BG4136" s="466"/>
      <c r="BH4136" s="466"/>
      <c r="BI4136" s="467"/>
      <c r="BJ4136" s="467"/>
      <c r="BK4136" s="467"/>
      <c r="BL4136" s="467"/>
      <c r="BM4136" s="467"/>
      <c r="BN4136" s="467"/>
      <c r="BO4136" s="467"/>
      <c r="BP4136" s="467"/>
      <c r="BQ4136" s="467"/>
      <c r="BR4136" s="467"/>
      <c r="BS4136" s="467"/>
      <c r="BT4136" s="467"/>
      <c r="BU4136" s="467"/>
      <c r="BV4136" s="467"/>
      <c r="BW4136" s="467"/>
      <c r="BX4136" s="769"/>
      <c r="BY4136" s="769"/>
      <c r="BZ4136" s="769"/>
      <c r="CA4136" s="769"/>
      <c r="CB4136" s="769"/>
      <c r="CC4136" s="769"/>
      <c r="CD4136" s="769"/>
      <c r="CE4136" s="769"/>
      <c r="CF4136" s="769"/>
      <c r="CG4136" s="73"/>
      <c r="CH4136" s="438"/>
      <c r="CI4136" s="416"/>
      <c r="CJ4136" s="73"/>
      <c r="CK4136" s="650"/>
      <c r="CL4136" s="499"/>
      <c r="CM4136" s="650"/>
      <c r="CR4136" s="416"/>
      <c r="CS4136" s="650"/>
      <c r="CU4136" s="73"/>
      <c r="CV4136" s="73"/>
      <c r="CW4136" s="73"/>
      <c r="CX4136" s="73"/>
      <c r="DA4136" s="650"/>
    </row>
    <row r="4137" spans="1:105" s="45" customFormat="1" x14ac:dyDescent="0.2">
      <c r="A4137" s="650"/>
      <c r="B4137" s="438"/>
      <c r="D4137" s="73"/>
      <c r="E4137" s="650"/>
      <c r="F4137" s="650"/>
      <c r="G4137" s="73"/>
      <c r="I4137" s="111"/>
      <c r="J4137" s="81"/>
      <c r="K4137" s="81"/>
      <c r="L4137" s="499"/>
      <c r="M4137" s="73"/>
      <c r="N4137" s="499"/>
      <c r="O4137" s="73"/>
      <c r="P4137" s="73"/>
      <c r="Q4137" s="73"/>
      <c r="R4137" s="176"/>
      <c r="S4137" s="176"/>
      <c r="T4137" s="176"/>
      <c r="U4137" s="400"/>
      <c r="V4137" s="400"/>
      <c r="W4137" s="732"/>
      <c r="X4137" s="167"/>
      <c r="Y4137" s="509"/>
      <c r="Z4137" s="466"/>
      <c r="AA4137" s="466"/>
      <c r="AB4137" s="466"/>
      <c r="AC4137" s="466"/>
      <c r="AD4137" s="466"/>
      <c r="AE4137" s="466"/>
      <c r="AF4137" s="466"/>
      <c r="AG4137" s="466"/>
      <c r="AH4137" s="466"/>
      <c r="AI4137" s="466"/>
      <c r="AJ4137" s="466"/>
      <c r="AK4137" s="466"/>
      <c r="AL4137" s="466"/>
      <c r="AM4137" s="466"/>
      <c r="AN4137" s="466"/>
      <c r="AO4137" s="466"/>
      <c r="AP4137" s="466"/>
      <c r="AQ4137" s="466"/>
      <c r="AR4137" s="466"/>
      <c r="AS4137" s="466"/>
      <c r="AT4137" s="466"/>
      <c r="AU4137" s="466"/>
      <c r="AV4137" s="466"/>
      <c r="AW4137" s="466"/>
      <c r="AX4137" s="466"/>
      <c r="AY4137" s="466"/>
      <c r="AZ4137" s="466"/>
      <c r="BA4137" s="466"/>
      <c r="BB4137" s="466"/>
      <c r="BC4137" s="466"/>
      <c r="BD4137" s="466"/>
      <c r="BE4137" s="467"/>
      <c r="BF4137" s="467"/>
      <c r="BG4137" s="466"/>
      <c r="BH4137" s="466"/>
      <c r="BI4137" s="467"/>
      <c r="BJ4137" s="467"/>
      <c r="BK4137" s="467"/>
      <c r="BL4137" s="467"/>
      <c r="BM4137" s="467"/>
      <c r="BN4137" s="467"/>
      <c r="BO4137" s="467"/>
      <c r="BP4137" s="467"/>
      <c r="BQ4137" s="467"/>
      <c r="BR4137" s="467"/>
      <c r="BS4137" s="467"/>
      <c r="BT4137" s="467"/>
      <c r="BU4137" s="467"/>
      <c r="BV4137" s="467"/>
      <c r="BW4137" s="467"/>
      <c r="BX4137" s="769"/>
      <c r="BY4137" s="769"/>
      <c r="BZ4137" s="769"/>
      <c r="CA4137" s="769"/>
      <c r="CB4137" s="769"/>
      <c r="CC4137" s="769"/>
      <c r="CD4137" s="769"/>
      <c r="CE4137" s="769"/>
      <c r="CF4137" s="769"/>
      <c r="CG4137" s="73"/>
      <c r="CH4137" s="438"/>
      <c r="CI4137" s="416"/>
      <c r="CJ4137" s="73"/>
      <c r="CK4137" s="650"/>
      <c r="CL4137" s="499"/>
      <c r="CM4137" s="650"/>
      <c r="CR4137" s="416"/>
      <c r="CS4137" s="650"/>
      <c r="CU4137" s="73"/>
      <c r="CV4137" s="73"/>
      <c r="CW4137" s="73"/>
      <c r="CX4137" s="73"/>
      <c r="DA4137" s="650"/>
    </row>
    <row r="4138" spans="1:105" s="45" customFormat="1" x14ac:dyDescent="0.2">
      <c r="A4138" s="650"/>
      <c r="B4138" s="438"/>
      <c r="D4138" s="73"/>
      <c r="E4138" s="650"/>
      <c r="F4138" s="650"/>
      <c r="G4138" s="73"/>
      <c r="I4138" s="111"/>
      <c r="J4138" s="81"/>
      <c r="K4138" s="81"/>
      <c r="L4138" s="499"/>
      <c r="M4138" s="73"/>
      <c r="N4138" s="499"/>
      <c r="O4138" s="73"/>
      <c r="P4138" s="73"/>
      <c r="Q4138" s="73"/>
      <c r="R4138" s="176"/>
      <c r="S4138" s="176"/>
      <c r="T4138" s="176"/>
      <c r="U4138" s="400"/>
      <c r="V4138" s="400"/>
      <c r="W4138" s="732"/>
      <c r="X4138" s="167"/>
      <c r="Y4138" s="509"/>
      <c r="Z4138" s="466"/>
      <c r="AA4138" s="466"/>
      <c r="AB4138" s="466"/>
      <c r="AC4138" s="466"/>
      <c r="AD4138" s="466"/>
      <c r="AE4138" s="466"/>
      <c r="AF4138" s="466"/>
      <c r="AG4138" s="466"/>
      <c r="AH4138" s="466"/>
      <c r="AI4138" s="466"/>
      <c r="AJ4138" s="466"/>
      <c r="AK4138" s="466"/>
      <c r="AL4138" s="466"/>
      <c r="AM4138" s="466"/>
      <c r="AN4138" s="466"/>
      <c r="AO4138" s="466"/>
      <c r="AP4138" s="466"/>
      <c r="AQ4138" s="466"/>
      <c r="AR4138" s="466"/>
      <c r="AS4138" s="466"/>
      <c r="AT4138" s="466"/>
      <c r="AU4138" s="466"/>
      <c r="AV4138" s="466"/>
      <c r="AW4138" s="466"/>
      <c r="AX4138" s="466"/>
      <c r="AY4138" s="466"/>
      <c r="AZ4138" s="466"/>
      <c r="BA4138" s="466"/>
      <c r="BB4138" s="466"/>
      <c r="BC4138" s="466"/>
      <c r="BD4138" s="466"/>
      <c r="BE4138" s="467"/>
      <c r="BF4138" s="467"/>
      <c r="BG4138" s="466"/>
      <c r="BH4138" s="466"/>
      <c r="BI4138" s="467"/>
      <c r="BJ4138" s="467"/>
      <c r="BK4138" s="467"/>
      <c r="BL4138" s="467"/>
      <c r="BM4138" s="467"/>
      <c r="BN4138" s="467"/>
      <c r="BO4138" s="467"/>
      <c r="BP4138" s="467"/>
      <c r="BQ4138" s="467"/>
      <c r="BR4138" s="467"/>
      <c r="BS4138" s="467"/>
      <c r="BT4138" s="467"/>
      <c r="BU4138" s="467"/>
      <c r="BV4138" s="467"/>
      <c r="BW4138" s="467"/>
      <c r="BX4138" s="769"/>
      <c r="BY4138" s="769"/>
      <c r="BZ4138" s="769"/>
      <c r="CA4138" s="769"/>
      <c r="CB4138" s="769"/>
      <c r="CC4138" s="769"/>
      <c r="CD4138" s="769"/>
      <c r="CE4138" s="769"/>
      <c r="CF4138" s="769"/>
      <c r="CG4138" s="73"/>
      <c r="CH4138" s="438"/>
      <c r="CI4138" s="416"/>
      <c r="CJ4138" s="73"/>
      <c r="CK4138" s="650"/>
      <c r="CL4138" s="499"/>
      <c r="CM4138" s="650"/>
      <c r="CR4138" s="416"/>
      <c r="CS4138" s="650"/>
      <c r="CU4138" s="73"/>
      <c r="CV4138" s="73"/>
      <c r="CW4138" s="73"/>
      <c r="CX4138" s="73"/>
      <c r="DA4138" s="650"/>
    </row>
    <row r="4139" spans="1:105" s="45" customFormat="1" x14ac:dyDescent="0.2">
      <c r="A4139" s="650"/>
      <c r="B4139" s="438"/>
      <c r="D4139" s="73"/>
      <c r="E4139" s="650"/>
      <c r="F4139" s="650"/>
      <c r="G4139" s="73"/>
      <c r="I4139" s="111"/>
      <c r="J4139" s="81"/>
      <c r="K4139" s="81"/>
      <c r="L4139" s="499"/>
      <c r="M4139" s="73"/>
      <c r="N4139" s="499"/>
      <c r="O4139" s="73"/>
      <c r="P4139" s="73"/>
      <c r="Q4139" s="73"/>
      <c r="R4139" s="176"/>
      <c r="S4139" s="176"/>
      <c r="T4139" s="176"/>
      <c r="U4139" s="400"/>
      <c r="V4139" s="400"/>
      <c r="W4139" s="732"/>
      <c r="X4139" s="167"/>
      <c r="Y4139" s="509"/>
      <c r="Z4139" s="466"/>
      <c r="AA4139" s="466"/>
      <c r="AB4139" s="466"/>
      <c r="AC4139" s="466"/>
      <c r="AD4139" s="466"/>
      <c r="AE4139" s="466"/>
      <c r="AF4139" s="466"/>
      <c r="AG4139" s="466"/>
      <c r="AH4139" s="466"/>
      <c r="AI4139" s="466"/>
      <c r="AJ4139" s="466"/>
      <c r="AK4139" s="466"/>
      <c r="AL4139" s="466"/>
      <c r="AM4139" s="466"/>
      <c r="AN4139" s="466"/>
      <c r="AO4139" s="466"/>
      <c r="AP4139" s="466"/>
      <c r="AQ4139" s="466"/>
      <c r="AR4139" s="466"/>
      <c r="AS4139" s="466"/>
      <c r="AT4139" s="466"/>
      <c r="AU4139" s="466"/>
      <c r="AV4139" s="466"/>
      <c r="AW4139" s="466"/>
      <c r="AX4139" s="466"/>
      <c r="AY4139" s="466"/>
      <c r="AZ4139" s="466"/>
      <c r="BA4139" s="466"/>
      <c r="BB4139" s="466"/>
      <c r="BC4139" s="466"/>
      <c r="BD4139" s="466"/>
      <c r="BE4139" s="467"/>
      <c r="BF4139" s="467"/>
      <c r="BG4139" s="466"/>
      <c r="BH4139" s="466"/>
      <c r="BI4139" s="467"/>
      <c r="BJ4139" s="467"/>
      <c r="BK4139" s="467"/>
      <c r="BL4139" s="467"/>
      <c r="BM4139" s="467"/>
      <c r="BN4139" s="467"/>
      <c r="BO4139" s="467"/>
      <c r="BP4139" s="467"/>
      <c r="BQ4139" s="467"/>
      <c r="BR4139" s="467"/>
      <c r="BS4139" s="467"/>
      <c r="BT4139" s="467"/>
      <c r="BU4139" s="467"/>
      <c r="BV4139" s="467"/>
      <c r="BW4139" s="467"/>
      <c r="BX4139" s="769"/>
      <c r="BY4139" s="769"/>
      <c r="BZ4139" s="769"/>
      <c r="CA4139" s="769"/>
      <c r="CB4139" s="769"/>
      <c r="CC4139" s="769"/>
      <c r="CD4139" s="769"/>
      <c r="CE4139" s="769"/>
      <c r="CF4139" s="769"/>
      <c r="CG4139" s="73"/>
      <c r="CH4139" s="438"/>
      <c r="CI4139" s="416"/>
      <c r="CJ4139" s="73"/>
      <c r="CK4139" s="650"/>
      <c r="CL4139" s="499"/>
      <c r="CM4139" s="650"/>
      <c r="CR4139" s="416"/>
      <c r="CS4139" s="650"/>
      <c r="CU4139" s="73"/>
      <c r="CV4139" s="73"/>
      <c r="CW4139" s="73"/>
      <c r="CX4139" s="73"/>
      <c r="DA4139" s="650"/>
    </row>
    <row r="4140" spans="1:105" s="45" customFormat="1" x14ac:dyDescent="0.2">
      <c r="A4140" s="650"/>
      <c r="B4140" s="438"/>
      <c r="D4140" s="73"/>
      <c r="E4140" s="650"/>
      <c r="F4140" s="650"/>
      <c r="G4140" s="73"/>
      <c r="I4140" s="111"/>
      <c r="J4140" s="81"/>
      <c r="K4140" s="81"/>
      <c r="L4140" s="499"/>
      <c r="M4140" s="73"/>
      <c r="N4140" s="499"/>
      <c r="O4140" s="73"/>
      <c r="P4140" s="73"/>
      <c r="Q4140" s="73"/>
      <c r="R4140" s="176"/>
      <c r="S4140" s="176"/>
      <c r="T4140" s="176"/>
      <c r="U4140" s="400"/>
      <c r="V4140" s="400"/>
      <c r="W4140" s="732"/>
      <c r="X4140" s="167"/>
      <c r="Y4140" s="509"/>
      <c r="Z4140" s="466"/>
      <c r="AA4140" s="466"/>
      <c r="AB4140" s="466"/>
      <c r="AC4140" s="466"/>
      <c r="AD4140" s="466"/>
      <c r="AE4140" s="466"/>
      <c r="AF4140" s="466"/>
      <c r="AG4140" s="466"/>
      <c r="AH4140" s="466"/>
      <c r="AI4140" s="466"/>
      <c r="AJ4140" s="466"/>
      <c r="AK4140" s="466"/>
      <c r="AL4140" s="466"/>
      <c r="AM4140" s="466"/>
      <c r="AN4140" s="466"/>
      <c r="AO4140" s="466"/>
      <c r="AP4140" s="466"/>
      <c r="AQ4140" s="466"/>
      <c r="AR4140" s="466"/>
      <c r="AS4140" s="466"/>
      <c r="AT4140" s="466"/>
      <c r="AU4140" s="466"/>
      <c r="AV4140" s="466"/>
      <c r="AW4140" s="466"/>
      <c r="AX4140" s="466"/>
      <c r="AY4140" s="466"/>
      <c r="AZ4140" s="466"/>
      <c r="BA4140" s="466"/>
      <c r="BB4140" s="466"/>
      <c r="BC4140" s="466"/>
      <c r="BD4140" s="466"/>
      <c r="BE4140" s="467"/>
      <c r="BF4140" s="467"/>
      <c r="BG4140" s="466"/>
      <c r="BH4140" s="466"/>
      <c r="BI4140" s="467"/>
      <c r="BJ4140" s="467"/>
      <c r="BK4140" s="467"/>
      <c r="BL4140" s="467"/>
      <c r="BM4140" s="467"/>
      <c r="BN4140" s="467"/>
      <c r="BO4140" s="467"/>
      <c r="BP4140" s="467"/>
      <c r="BQ4140" s="467"/>
      <c r="BR4140" s="467"/>
      <c r="BS4140" s="467"/>
      <c r="BT4140" s="467"/>
      <c r="BU4140" s="467"/>
      <c r="BV4140" s="467"/>
      <c r="BW4140" s="467"/>
      <c r="BX4140" s="769"/>
      <c r="BY4140" s="769"/>
      <c r="BZ4140" s="769"/>
      <c r="CA4140" s="769"/>
      <c r="CB4140" s="769"/>
      <c r="CC4140" s="769"/>
      <c r="CD4140" s="769"/>
      <c r="CE4140" s="769"/>
      <c r="CF4140" s="769"/>
      <c r="CG4140" s="73"/>
      <c r="CH4140" s="438"/>
      <c r="CI4140" s="416"/>
      <c r="CJ4140" s="73"/>
      <c r="CK4140" s="650"/>
      <c r="CL4140" s="499"/>
      <c r="CM4140" s="650"/>
      <c r="CR4140" s="416"/>
      <c r="CS4140" s="650"/>
      <c r="CU4140" s="73"/>
      <c r="CV4140" s="73"/>
      <c r="CW4140" s="73"/>
      <c r="CX4140" s="73"/>
      <c r="DA4140" s="650"/>
    </row>
    <row r="4141" spans="1:105" s="45" customFormat="1" x14ac:dyDescent="0.2">
      <c r="A4141" s="650"/>
      <c r="B4141" s="438"/>
      <c r="D4141" s="73"/>
      <c r="E4141" s="650"/>
      <c r="F4141" s="650"/>
      <c r="G4141" s="73"/>
      <c r="I4141" s="111"/>
      <c r="J4141" s="81"/>
      <c r="K4141" s="81"/>
      <c r="L4141" s="499"/>
      <c r="M4141" s="73"/>
      <c r="N4141" s="499"/>
      <c r="O4141" s="73"/>
      <c r="P4141" s="73"/>
      <c r="Q4141" s="73"/>
      <c r="R4141" s="176"/>
      <c r="S4141" s="176"/>
      <c r="T4141" s="176"/>
      <c r="U4141" s="400"/>
      <c r="V4141" s="400"/>
      <c r="W4141" s="732"/>
      <c r="X4141" s="167"/>
      <c r="Y4141" s="509"/>
      <c r="Z4141" s="466"/>
      <c r="AA4141" s="466"/>
      <c r="AB4141" s="466"/>
      <c r="AC4141" s="466"/>
      <c r="AD4141" s="466"/>
      <c r="AE4141" s="466"/>
      <c r="AF4141" s="466"/>
      <c r="AG4141" s="466"/>
      <c r="AH4141" s="466"/>
      <c r="AI4141" s="466"/>
      <c r="AJ4141" s="466"/>
      <c r="AK4141" s="466"/>
      <c r="AL4141" s="466"/>
      <c r="AM4141" s="466"/>
      <c r="AN4141" s="466"/>
      <c r="AO4141" s="466"/>
      <c r="AP4141" s="466"/>
      <c r="AQ4141" s="466"/>
      <c r="AR4141" s="466"/>
      <c r="AS4141" s="466"/>
      <c r="AT4141" s="466"/>
      <c r="AU4141" s="466"/>
      <c r="AV4141" s="466"/>
      <c r="AW4141" s="466"/>
      <c r="AX4141" s="466"/>
      <c r="AY4141" s="466"/>
      <c r="AZ4141" s="466"/>
      <c r="BA4141" s="466"/>
      <c r="BB4141" s="466"/>
      <c r="BC4141" s="466"/>
      <c r="BD4141" s="466"/>
      <c r="BE4141" s="467"/>
      <c r="BF4141" s="467"/>
      <c r="BG4141" s="466"/>
      <c r="BH4141" s="466"/>
      <c r="BI4141" s="467"/>
      <c r="BJ4141" s="467"/>
      <c r="BK4141" s="467"/>
      <c r="BL4141" s="467"/>
      <c r="BM4141" s="467"/>
      <c r="BN4141" s="467"/>
      <c r="BO4141" s="467"/>
      <c r="BP4141" s="467"/>
      <c r="BQ4141" s="467"/>
      <c r="BR4141" s="467"/>
      <c r="BS4141" s="467"/>
      <c r="BT4141" s="467"/>
      <c r="BU4141" s="467"/>
      <c r="BV4141" s="467"/>
      <c r="BW4141" s="467"/>
      <c r="BX4141" s="769"/>
      <c r="BY4141" s="769"/>
      <c r="BZ4141" s="769"/>
      <c r="CA4141" s="769"/>
      <c r="CB4141" s="769"/>
      <c r="CC4141" s="769"/>
      <c r="CD4141" s="769"/>
      <c r="CE4141" s="769"/>
      <c r="CF4141" s="769"/>
      <c r="CG4141" s="73"/>
      <c r="CH4141" s="438"/>
      <c r="CI4141" s="416"/>
      <c r="CJ4141" s="73"/>
      <c r="CK4141" s="650"/>
      <c r="CL4141" s="499"/>
      <c r="CM4141" s="650"/>
      <c r="CR4141" s="416"/>
      <c r="CS4141" s="650"/>
      <c r="CU4141" s="73"/>
      <c r="CV4141" s="73"/>
      <c r="CW4141" s="73"/>
      <c r="CX4141" s="73"/>
      <c r="DA4141" s="650"/>
    </row>
    <row r="4142" spans="1:105" s="45" customFormat="1" x14ac:dyDescent="0.2">
      <c r="A4142" s="650"/>
      <c r="B4142" s="438"/>
      <c r="D4142" s="73"/>
      <c r="E4142" s="650"/>
      <c r="F4142" s="650"/>
      <c r="G4142" s="73"/>
      <c r="I4142" s="111"/>
      <c r="J4142" s="81"/>
      <c r="K4142" s="81"/>
      <c r="L4142" s="499"/>
      <c r="M4142" s="73"/>
      <c r="N4142" s="499"/>
      <c r="O4142" s="73"/>
      <c r="P4142" s="73"/>
      <c r="Q4142" s="73"/>
      <c r="R4142" s="176"/>
      <c r="S4142" s="176"/>
      <c r="T4142" s="176"/>
      <c r="U4142" s="400"/>
      <c r="V4142" s="400"/>
      <c r="W4142" s="732"/>
      <c r="X4142" s="167"/>
      <c r="Y4142" s="509"/>
      <c r="Z4142" s="466"/>
      <c r="AA4142" s="466"/>
      <c r="AB4142" s="466"/>
      <c r="AC4142" s="466"/>
      <c r="AD4142" s="466"/>
      <c r="AE4142" s="466"/>
      <c r="AF4142" s="466"/>
      <c r="AG4142" s="466"/>
      <c r="AH4142" s="466"/>
      <c r="AI4142" s="466"/>
      <c r="AJ4142" s="466"/>
      <c r="AK4142" s="466"/>
      <c r="AL4142" s="466"/>
      <c r="AM4142" s="466"/>
      <c r="AN4142" s="466"/>
      <c r="AO4142" s="466"/>
      <c r="AP4142" s="466"/>
      <c r="AQ4142" s="466"/>
      <c r="AR4142" s="466"/>
      <c r="AS4142" s="466"/>
      <c r="AT4142" s="466"/>
      <c r="AU4142" s="466"/>
      <c r="AV4142" s="466"/>
      <c r="AW4142" s="466"/>
      <c r="AX4142" s="466"/>
      <c r="AY4142" s="466"/>
      <c r="AZ4142" s="466"/>
      <c r="BA4142" s="466"/>
      <c r="BB4142" s="466"/>
      <c r="BC4142" s="466"/>
      <c r="BD4142" s="466"/>
      <c r="BE4142" s="467"/>
      <c r="BF4142" s="467"/>
      <c r="BG4142" s="466"/>
      <c r="BH4142" s="466"/>
      <c r="BI4142" s="467"/>
      <c r="BJ4142" s="467"/>
      <c r="BK4142" s="467"/>
      <c r="BL4142" s="467"/>
      <c r="BM4142" s="467"/>
      <c r="BN4142" s="467"/>
      <c r="BO4142" s="467"/>
      <c r="BP4142" s="467"/>
      <c r="BQ4142" s="467"/>
      <c r="BR4142" s="467"/>
      <c r="BS4142" s="467"/>
      <c r="BT4142" s="467"/>
      <c r="BU4142" s="467"/>
      <c r="BV4142" s="467"/>
      <c r="BW4142" s="467"/>
      <c r="BX4142" s="769"/>
      <c r="BY4142" s="769"/>
      <c r="BZ4142" s="769"/>
      <c r="CA4142" s="769"/>
      <c r="CB4142" s="769"/>
      <c r="CC4142" s="769"/>
      <c r="CD4142" s="769"/>
      <c r="CE4142" s="769"/>
      <c r="CF4142" s="769"/>
      <c r="CG4142" s="73"/>
      <c r="CH4142" s="438"/>
      <c r="CI4142" s="416"/>
      <c r="CJ4142" s="73"/>
      <c r="CK4142" s="650"/>
      <c r="CL4142" s="499"/>
      <c r="CM4142" s="650"/>
      <c r="CR4142" s="416"/>
      <c r="CS4142" s="650"/>
      <c r="CU4142" s="73"/>
      <c r="CV4142" s="73"/>
      <c r="CW4142" s="73"/>
      <c r="CX4142" s="73"/>
      <c r="DA4142" s="650"/>
    </row>
    <row r="4143" spans="1:105" s="45" customFormat="1" x14ac:dyDescent="0.2">
      <c r="A4143" s="650"/>
      <c r="B4143" s="438"/>
      <c r="D4143" s="73"/>
      <c r="E4143" s="650"/>
      <c r="F4143" s="650"/>
      <c r="G4143" s="73"/>
      <c r="I4143" s="111"/>
      <c r="J4143" s="81"/>
      <c r="K4143" s="81"/>
      <c r="L4143" s="499"/>
      <c r="M4143" s="73"/>
      <c r="N4143" s="499"/>
      <c r="O4143" s="73"/>
      <c r="P4143" s="73"/>
      <c r="Q4143" s="73"/>
      <c r="R4143" s="176"/>
      <c r="S4143" s="176"/>
      <c r="T4143" s="176"/>
      <c r="U4143" s="400"/>
      <c r="V4143" s="400"/>
      <c r="W4143" s="732"/>
      <c r="X4143" s="167"/>
      <c r="Y4143" s="509"/>
      <c r="Z4143" s="466"/>
      <c r="AA4143" s="466"/>
      <c r="AB4143" s="466"/>
      <c r="AC4143" s="466"/>
      <c r="AD4143" s="466"/>
      <c r="AE4143" s="466"/>
      <c r="AF4143" s="466"/>
      <c r="AG4143" s="466"/>
      <c r="AH4143" s="466"/>
      <c r="AI4143" s="466"/>
      <c r="AJ4143" s="466"/>
      <c r="AK4143" s="466"/>
      <c r="AL4143" s="466"/>
      <c r="AM4143" s="466"/>
      <c r="AN4143" s="466"/>
      <c r="AO4143" s="466"/>
      <c r="AP4143" s="466"/>
      <c r="AQ4143" s="466"/>
      <c r="AR4143" s="466"/>
      <c r="AS4143" s="466"/>
      <c r="AT4143" s="466"/>
      <c r="AU4143" s="466"/>
      <c r="AV4143" s="466"/>
      <c r="AW4143" s="466"/>
      <c r="AX4143" s="466"/>
      <c r="AY4143" s="466"/>
      <c r="AZ4143" s="466"/>
      <c r="BA4143" s="466"/>
      <c r="BB4143" s="466"/>
      <c r="BC4143" s="466"/>
      <c r="BD4143" s="466"/>
      <c r="BE4143" s="467"/>
      <c r="BF4143" s="467"/>
      <c r="BG4143" s="466"/>
      <c r="BH4143" s="466"/>
      <c r="BI4143" s="467"/>
      <c r="BJ4143" s="467"/>
      <c r="BK4143" s="467"/>
      <c r="BL4143" s="467"/>
      <c r="BM4143" s="467"/>
      <c r="BN4143" s="467"/>
      <c r="BO4143" s="467"/>
      <c r="BP4143" s="467"/>
      <c r="BQ4143" s="467"/>
      <c r="BR4143" s="467"/>
      <c r="BS4143" s="467"/>
      <c r="BT4143" s="467"/>
      <c r="BU4143" s="467"/>
      <c r="BV4143" s="467"/>
      <c r="BW4143" s="467"/>
      <c r="BX4143" s="769"/>
      <c r="BY4143" s="769"/>
      <c r="BZ4143" s="769"/>
      <c r="CA4143" s="769"/>
      <c r="CB4143" s="769"/>
      <c r="CC4143" s="769"/>
      <c r="CD4143" s="769"/>
      <c r="CE4143" s="769"/>
      <c r="CF4143" s="769"/>
      <c r="CG4143" s="73"/>
      <c r="CH4143" s="438"/>
      <c r="CI4143" s="416"/>
      <c r="CJ4143" s="73"/>
      <c r="CK4143" s="650"/>
      <c r="CL4143" s="499"/>
      <c r="CM4143" s="650"/>
      <c r="CR4143" s="416"/>
      <c r="CS4143" s="650"/>
      <c r="CU4143" s="73"/>
      <c r="CV4143" s="73"/>
      <c r="CW4143" s="73"/>
      <c r="CX4143" s="73"/>
      <c r="DA4143" s="650"/>
    </row>
    <row r="4144" spans="1:105" s="45" customFormat="1" x14ac:dyDescent="0.2">
      <c r="A4144" s="650"/>
      <c r="B4144" s="438"/>
      <c r="D4144" s="73"/>
      <c r="E4144" s="650"/>
      <c r="F4144" s="650"/>
      <c r="G4144" s="73"/>
      <c r="I4144" s="111"/>
      <c r="J4144" s="81"/>
      <c r="K4144" s="81"/>
      <c r="L4144" s="499"/>
      <c r="M4144" s="73"/>
      <c r="N4144" s="499"/>
      <c r="O4144" s="73"/>
      <c r="P4144" s="73"/>
      <c r="Q4144" s="73"/>
      <c r="R4144" s="176"/>
      <c r="S4144" s="176"/>
      <c r="T4144" s="176"/>
      <c r="U4144" s="400"/>
      <c r="V4144" s="400"/>
      <c r="W4144" s="732"/>
      <c r="X4144" s="167"/>
      <c r="Y4144" s="509"/>
      <c r="Z4144" s="466"/>
      <c r="AA4144" s="466"/>
      <c r="AB4144" s="466"/>
      <c r="AC4144" s="466"/>
      <c r="AD4144" s="466"/>
      <c r="AE4144" s="466"/>
      <c r="AF4144" s="466"/>
      <c r="AG4144" s="466"/>
      <c r="AH4144" s="466"/>
      <c r="AI4144" s="466"/>
      <c r="AJ4144" s="466"/>
      <c r="AK4144" s="466"/>
      <c r="AL4144" s="466"/>
      <c r="AM4144" s="466"/>
      <c r="AN4144" s="466"/>
      <c r="AO4144" s="466"/>
      <c r="AP4144" s="466"/>
      <c r="AQ4144" s="466"/>
      <c r="AR4144" s="466"/>
      <c r="AS4144" s="466"/>
      <c r="AT4144" s="466"/>
      <c r="AU4144" s="466"/>
      <c r="AV4144" s="466"/>
      <c r="AW4144" s="466"/>
      <c r="AX4144" s="466"/>
      <c r="AY4144" s="466"/>
      <c r="AZ4144" s="466"/>
      <c r="BA4144" s="466"/>
      <c r="BB4144" s="466"/>
      <c r="BC4144" s="466"/>
      <c r="BD4144" s="466"/>
      <c r="BE4144" s="467"/>
      <c r="BF4144" s="467"/>
      <c r="BG4144" s="466"/>
      <c r="BH4144" s="466"/>
      <c r="BI4144" s="467"/>
      <c r="BJ4144" s="467"/>
      <c r="BK4144" s="467"/>
      <c r="BL4144" s="467"/>
      <c r="BM4144" s="467"/>
      <c r="BN4144" s="467"/>
      <c r="BO4144" s="467"/>
      <c r="BP4144" s="467"/>
      <c r="BQ4144" s="467"/>
      <c r="BR4144" s="467"/>
      <c r="BS4144" s="467"/>
      <c r="BT4144" s="467"/>
      <c r="BU4144" s="467"/>
      <c r="BV4144" s="467"/>
      <c r="BW4144" s="467"/>
      <c r="BX4144" s="769"/>
      <c r="BY4144" s="769"/>
      <c r="BZ4144" s="769"/>
      <c r="CA4144" s="769"/>
      <c r="CB4144" s="769"/>
      <c r="CC4144" s="769"/>
      <c r="CD4144" s="769"/>
      <c r="CE4144" s="769"/>
      <c r="CF4144" s="769"/>
      <c r="CG4144" s="73"/>
      <c r="CH4144" s="438"/>
      <c r="CI4144" s="416"/>
      <c r="CJ4144" s="73"/>
      <c r="CK4144" s="650"/>
      <c r="CL4144" s="499"/>
      <c r="CM4144" s="650"/>
      <c r="CR4144" s="416"/>
      <c r="CS4144" s="650"/>
      <c r="CU4144" s="73"/>
      <c r="CV4144" s="73"/>
      <c r="CW4144" s="73"/>
      <c r="CX4144" s="73"/>
      <c r="DA4144" s="650"/>
    </row>
    <row r="4145" spans="1:105" s="45" customFormat="1" x14ac:dyDescent="0.2">
      <c r="A4145" s="650"/>
      <c r="B4145" s="438"/>
      <c r="D4145" s="73"/>
      <c r="E4145" s="650"/>
      <c r="F4145" s="650"/>
      <c r="G4145" s="73"/>
      <c r="I4145" s="111"/>
      <c r="J4145" s="81"/>
      <c r="K4145" s="81"/>
      <c r="L4145" s="499"/>
      <c r="M4145" s="73"/>
      <c r="N4145" s="499"/>
      <c r="O4145" s="73"/>
      <c r="P4145" s="73"/>
      <c r="Q4145" s="73"/>
      <c r="R4145" s="176"/>
      <c r="S4145" s="176"/>
      <c r="T4145" s="176"/>
      <c r="U4145" s="400"/>
      <c r="V4145" s="400"/>
      <c r="W4145" s="732"/>
      <c r="X4145" s="167"/>
      <c r="Y4145" s="509"/>
      <c r="Z4145" s="466"/>
      <c r="AA4145" s="466"/>
      <c r="AB4145" s="466"/>
      <c r="AC4145" s="466"/>
      <c r="AD4145" s="466"/>
      <c r="AE4145" s="466"/>
      <c r="AF4145" s="466"/>
      <c r="AG4145" s="466"/>
      <c r="AH4145" s="466"/>
      <c r="AI4145" s="466"/>
      <c r="AJ4145" s="466"/>
      <c r="AK4145" s="466"/>
      <c r="AL4145" s="466"/>
      <c r="AM4145" s="466"/>
      <c r="AN4145" s="466"/>
      <c r="AO4145" s="466"/>
      <c r="AP4145" s="466"/>
      <c r="AQ4145" s="466"/>
      <c r="AR4145" s="466"/>
      <c r="AS4145" s="466"/>
      <c r="AT4145" s="466"/>
      <c r="AU4145" s="466"/>
      <c r="AV4145" s="466"/>
      <c r="AW4145" s="466"/>
      <c r="AX4145" s="466"/>
      <c r="AY4145" s="466"/>
      <c r="AZ4145" s="466"/>
      <c r="BA4145" s="466"/>
      <c r="BB4145" s="466"/>
      <c r="BC4145" s="466"/>
      <c r="BD4145" s="466"/>
      <c r="BE4145" s="467"/>
      <c r="BF4145" s="467"/>
      <c r="BG4145" s="466"/>
      <c r="BH4145" s="466"/>
      <c r="BI4145" s="467"/>
      <c r="BJ4145" s="467"/>
      <c r="BK4145" s="467"/>
      <c r="BL4145" s="467"/>
      <c r="BM4145" s="467"/>
      <c r="BN4145" s="467"/>
      <c r="BO4145" s="467"/>
      <c r="BP4145" s="467"/>
      <c r="BQ4145" s="467"/>
      <c r="BR4145" s="467"/>
      <c r="BS4145" s="467"/>
      <c r="BT4145" s="467"/>
      <c r="BU4145" s="467"/>
      <c r="BV4145" s="467"/>
      <c r="BW4145" s="467"/>
      <c r="BX4145" s="769"/>
      <c r="BY4145" s="769"/>
      <c r="BZ4145" s="769"/>
      <c r="CA4145" s="769"/>
      <c r="CB4145" s="769"/>
      <c r="CC4145" s="769"/>
      <c r="CD4145" s="769"/>
      <c r="CE4145" s="769"/>
      <c r="CF4145" s="769"/>
      <c r="CG4145" s="73"/>
      <c r="CH4145" s="438"/>
      <c r="CI4145" s="416"/>
      <c r="CJ4145" s="73"/>
      <c r="CK4145" s="650"/>
      <c r="CL4145" s="499"/>
      <c r="CM4145" s="650"/>
      <c r="CR4145" s="416"/>
      <c r="CS4145" s="650"/>
      <c r="CU4145" s="73"/>
      <c r="CV4145" s="73"/>
      <c r="CW4145" s="73"/>
      <c r="CX4145" s="73"/>
      <c r="DA4145" s="650"/>
    </row>
    <row r="4146" spans="1:105" s="45" customFormat="1" x14ac:dyDescent="0.2">
      <c r="A4146" s="650"/>
      <c r="B4146" s="438"/>
      <c r="D4146" s="73"/>
      <c r="E4146" s="650"/>
      <c r="F4146" s="650"/>
      <c r="G4146" s="73"/>
      <c r="I4146" s="111"/>
      <c r="J4146" s="81"/>
      <c r="K4146" s="81"/>
      <c r="L4146" s="499"/>
      <c r="M4146" s="73"/>
      <c r="N4146" s="499"/>
      <c r="O4146" s="73"/>
      <c r="P4146" s="73"/>
      <c r="Q4146" s="73"/>
      <c r="R4146" s="176"/>
      <c r="S4146" s="176"/>
      <c r="T4146" s="176"/>
      <c r="U4146" s="400"/>
      <c r="V4146" s="400"/>
      <c r="W4146" s="732"/>
      <c r="X4146" s="167"/>
      <c r="Y4146" s="509"/>
      <c r="Z4146" s="466"/>
      <c r="AA4146" s="466"/>
      <c r="AB4146" s="466"/>
      <c r="AC4146" s="466"/>
      <c r="AD4146" s="466"/>
      <c r="AE4146" s="466"/>
      <c r="AF4146" s="466"/>
      <c r="AG4146" s="466"/>
      <c r="AH4146" s="466"/>
      <c r="AI4146" s="466"/>
      <c r="AJ4146" s="466"/>
      <c r="AK4146" s="466"/>
      <c r="AL4146" s="466"/>
      <c r="AM4146" s="466"/>
      <c r="AN4146" s="466"/>
      <c r="AO4146" s="466"/>
      <c r="AP4146" s="466"/>
      <c r="AQ4146" s="466"/>
      <c r="AR4146" s="466"/>
      <c r="AS4146" s="466"/>
      <c r="AT4146" s="466"/>
      <c r="AU4146" s="466"/>
      <c r="AV4146" s="466"/>
      <c r="AW4146" s="466"/>
      <c r="AX4146" s="466"/>
      <c r="AY4146" s="466"/>
      <c r="AZ4146" s="466"/>
      <c r="BA4146" s="466"/>
      <c r="BB4146" s="466"/>
      <c r="BC4146" s="466"/>
      <c r="BD4146" s="466"/>
      <c r="BE4146" s="467"/>
      <c r="BF4146" s="467"/>
      <c r="BG4146" s="466"/>
      <c r="BH4146" s="466"/>
      <c r="BI4146" s="467"/>
      <c r="BJ4146" s="467"/>
      <c r="BK4146" s="467"/>
      <c r="BL4146" s="467"/>
      <c r="BM4146" s="467"/>
      <c r="BN4146" s="467"/>
      <c r="BO4146" s="467"/>
      <c r="BP4146" s="467"/>
      <c r="BQ4146" s="467"/>
      <c r="BR4146" s="467"/>
      <c r="BS4146" s="467"/>
      <c r="BT4146" s="467"/>
      <c r="BU4146" s="467"/>
      <c r="BV4146" s="467"/>
      <c r="BW4146" s="467"/>
      <c r="BX4146" s="769"/>
      <c r="BY4146" s="769"/>
      <c r="BZ4146" s="769"/>
      <c r="CA4146" s="769"/>
      <c r="CB4146" s="769"/>
      <c r="CC4146" s="769"/>
      <c r="CD4146" s="769"/>
      <c r="CE4146" s="769"/>
      <c r="CF4146" s="769"/>
      <c r="CG4146" s="73"/>
      <c r="CH4146" s="438"/>
      <c r="CI4146" s="416"/>
      <c r="CJ4146" s="73"/>
      <c r="CK4146" s="650"/>
      <c r="CL4146" s="499"/>
      <c r="CM4146" s="650"/>
      <c r="CR4146" s="416"/>
      <c r="CS4146" s="650"/>
      <c r="CU4146" s="73"/>
      <c r="CV4146" s="73"/>
      <c r="CW4146" s="73"/>
      <c r="CX4146" s="73"/>
      <c r="DA4146" s="650"/>
    </row>
    <row r="4147" spans="1:105" s="45" customFormat="1" x14ac:dyDescent="0.2">
      <c r="A4147" s="650"/>
      <c r="B4147" s="438"/>
      <c r="D4147" s="73"/>
      <c r="E4147" s="650"/>
      <c r="F4147" s="650"/>
      <c r="G4147" s="73"/>
      <c r="I4147" s="111"/>
      <c r="J4147" s="81"/>
      <c r="K4147" s="81"/>
      <c r="L4147" s="499"/>
      <c r="M4147" s="73"/>
      <c r="N4147" s="499"/>
      <c r="O4147" s="73"/>
      <c r="P4147" s="73"/>
      <c r="Q4147" s="73"/>
      <c r="R4147" s="176"/>
      <c r="S4147" s="176"/>
      <c r="T4147" s="176"/>
      <c r="U4147" s="400"/>
      <c r="V4147" s="400"/>
      <c r="W4147" s="732"/>
      <c r="X4147" s="167"/>
      <c r="Y4147" s="509"/>
      <c r="Z4147" s="466"/>
      <c r="AA4147" s="466"/>
      <c r="AB4147" s="466"/>
      <c r="AC4147" s="466"/>
      <c r="AD4147" s="466"/>
      <c r="AE4147" s="466"/>
      <c r="AF4147" s="466"/>
      <c r="AG4147" s="466"/>
      <c r="AH4147" s="466"/>
      <c r="AI4147" s="466"/>
      <c r="AJ4147" s="466"/>
      <c r="AK4147" s="466"/>
      <c r="AL4147" s="466"/>
      <c r="AM4147" s="466"/>
      <c r="AN4147" s="466"/>
      <c r="AO4147" s="466"/>
      <c r="AP4147" s="466"/>
      <c r="AQ4147" s="466"/>
      <c r="AR4147" s="466"/>
      <c r="AS4147" s="466"/>
      <c r="AT4147" s="466"/>
      <c r="AU4147" s="466"/>
      <c r="AV4147" s="466"/>
      <c r="AW4147" s="466"/>
      <c r="AX4147" s="466"/>
      <c r="AY4147" s="466"/>
      <c r="AZ4147" s="466"/>
      <c r="BA4147" s="466"/>
      <c r="BB4147" s="466"/>
      <c r="BC4147" s="466"/>
      <c r="BD4147" s="466"/>
      <c r="BE4147" s="467"/>
      <c r="BF4147" s="467"/>
      <c r="BG4147" s="466"/>
      <c r="BH4147" s="466"/>
      <c r="BI4147" s="467"/>
      <c r="BJ4147" s="467"/>
      <c r="BK4147" s="467"/>
      <c r="BL4147" s="467"/>
      <c r="BM4147" s="467"/>
      <c r="BN4147" s="467"/>
      <c r="BO4147" s="467"/>
      <c r="BP4147" s="467"/>
      <c r="BQ4147" s="467"/>
      <c r="BR4147" s="467"/>
      <c r="BS4147" s="467"/>
      <c r="BT4147" s="467"/>
      <c r="BU4147" s="467"/>
      <c r="BV4147" s="467"/>
      <c r="BW4147" s="467"/>
      <c r="BX4147" s="769"/>
      <c r="BY4147" s="769"/>
      <c r="BZ4147" s="769"/>
      <c r="CA4147" s="769"/>
      <c r="CB4147" s="769"/>
      <c r="CC4147" s="769"/>
      <c r="CD4147" s="769"/>
      <c r="CE4147" s="769"/>
      <c r="CF4147" s="769"/>
      <c r="CG4147" s="73"/>
      <c r="CH4147" s="438"/>
      <c r="CI4147" s="416"/>
      <c r="CJ4147" s="73"/>
      <c r="CK4147" s="650"/>
      <c r="CL4147" s="499"/>
      <c r="CM4147" s="650"/>
      <c r="CR4147" s="416"/>
      <c r="CS4147" s="650"/>
      <c r="CU4147" s="73"/>
      <c r="CV4147" s="73"/>
      <c r="CW4147" s="73"/>
      <c r="CX4147" s="73"/>
      <c r="DA4147" s="650"/>
    </row>
    <row r="4148" spans="1:105" s="45" customFormat="1" x14ac:dyDescent="0.2">
      <c r="A4148" s="650"/>
      <c r="B4148" s="438"/>
      <c r="D4148" s="73"/>
      <c r="E4148" s="650"/>
      <c r="F4148" s="650"/>
      <c r="G4148" s="73"/>
      <c r="I4148" s="111"/>
      <c r="J4148" s="81"/>
      <c r="K4148" s="81"/>
      <c r="L4148" s="499"/>
      <c r="M4148" s="73"/>
      <c r="N4148" s="499"/>
      <c r="O4148" s="73"/>
      <c r="P4148" s="73"/>
      <c r="Q4148" s="73"/>
      <c r="R4148" s="176"/>
      <c r="S4148" s="176"/>
      <c r="T4148" s="176"/>
      <c r="U4148" s="400"/>
      <c r="V4148" s="400"/>
      <c r="W4148" s="732"/>
      <c r="X4148" s="167"/>
      <c r="Y4148" s="509"/>
      <c r="Z4148" s="466"/>
      <c r="AA4148" s="466"/>
      <c r="AB4148" s="466"/>
      <c r="AC4148" s="466"/>
      <c r="AD4148" s="466"/>
      <c r="AE4148" s="466"/>
      <c r="AF4148" s="466"/>
      <c r="AG4148" s="466"/>
      <c r="AH4148" s="466"/>
      <c r="AI4148" s="466"/>
      <c r="AJ4148" s="466"/>
      <c r="AK4148" s="466"/>
      <c r="AL4148" s="466"/>
      <c r="AM4148" s="466"/>
      <c r="AN4148" s="466"/>
      <c r="AO4148" s="466"/>
      <c r="AP4148" s="466"/>
      <c r="AQ4148" s="466"/>
      <c r="AR4148" s="466"/>
      <c r="AS4148" s="466"/>
      <c r="AT4148" s="466"/>
      <c r="AU4148" s="466"/>
      <c r="AV4148" s="466"/>
      <c r="AW4148" s="466"/>
      <c r="AX4148" s="466"/>
      <c r="AY4148" s="466"/>
      <c r="AZ4148" s="466"/>
      <c r="BA4148" s="466"/>
      <c r="BB4148" s="466"/>
      <c r="BC4148" s="466"/>
      <c r="BD4148" s="466"/>
      <c r="BE4148" s="467"/>
      <c r="BF4148" s="467"/>
      <c r="BG4148" s="466"/>
      <c r="BH4148" s="466"/>
      <c r="BI4148" s="467"/>
      <c r="BJ4148" s="467"/>
      <c r="BK4148" s="467"/>
      <c r="BL4148" s="467"/>
      <c r="BM4148" s="467"/>
      <c r="BN4148" s="467"/>
      <c r="BO4148" s="467"/>
      <c r="BP4148" s="467"/>
      <c r="BQ4148" s="467"/>
      <c r="BR4148" s="467"/>
      <c r="BS4148" s="467"/>
      <c r="BT4148" s="467"/>
      <c r="BU4148" s="467"/>
      <c r="BV4148" s="467"/>
      <c r="BW4148" s="467"/>
      <c r="BX4148" s="769"/>
      <c r="BY4148" s="769"/>
      <c r="BZ4148" s="769"/>
      <c r="CA4148" s="769"/>
      <c r="CB4148" s="769"/>
      <c r="CC4148" s="769"/>
      <c r="CD4148" s="769"/>
      <c r="CE4148" s="769"/>
      <c r="CF4148" s="769"/>
      <c r="CG4148" s="73"/>
      <c r="CH4148" s="438"/>
      <c r="CI4148" s="416"/>
      <c r="CJ4148" s="73"/>
      <c r="CK4148" s="650"/>
      <c r="CL4148" s="499"/>
      <c r="CM4148" s="650"/>
      <c r="CR4148" s="416"/>
      <c r="CS4148" s="650"/>
      <c r="CU4148" s="73"/>
      <c r="CV4148" s="73"/>
      <c r="CW4148" s="73"/>
      <c r="CX4148" s="73"/>
      <c r="DA4148" s="650"/>
    </row>
    <row r="4149" spans="1:105" s="45" customFormat="1" x14ac:dyDescent="0.2">
      <c r="A4149" s="650"/>
      <c r="B4149" s="438"/>
      <c r="D4149" s="73"/>
      <c r="E4149" s="650"/>
      <c r="F4149" s="650"/>
      <c r="G4149" s="73"/>
      <c r="I4149" s="111"/>
      <c r="J4149" s="81"/>
      <c r="K4149" s="81"/>
      <c r="L4149" s="499"/>
      <c r="M4149" s="73"/>
      <c r="N4149" s="499"/>
      <c r="O4149" s="73"/>
      <c r="P4149" s="73"/>
      <c r="Q4149" s="73"/>
      <c r="R4149" s="176"/>
      <c r="S4149" s="176"/>
      <c r="T4149" s="176"/>
      <c r="U4149" s="400"/>
      <c r="V4149" s="400"/>
      <c r="W4149" s="732"/>
      <c r="X4149" s="167"/>
      <c r="Y4149" s="509"/>
      <c r="Z4149" s="466"/>
      <c r="AA4149" s="466"/>
      <c r="AB4149" s="466"/>
      <c r="AC4149" s="466"/>
      <c r="AD4149" s="466"/>
      <c r="AE4149" s="466"/>
      <c r="AF4149" s="466"/>
      <c r="AG4149" s="466"/>
      <c r="AH4149" s="466"/>
      <c r="AI4149" s="466"/>
      <c r="AJ4149" s="466"/>
      <c r="AK4149" s="466"/>
      <c r="AL4149" s="466"/>
      <c r="AM4149" s="466"/>
      <c r="AN4149" s="466"/>
      <c r="AO4149" s="466"/>
      <c r="AP4149" s="466"/>
      <c r="AQ4149" s="466"/>
      <c r="AR4149" s="466"/>
      <c r="AS4149" s="466"/>
      <c r="AT4149" s="466"/>
      <c r="AU4149" s="466"/>
      <c r="AV4149" s="466"/>
      <c r="AW4149" s="466"/>
      <c r="AX4149" s="466"/>
      <c r="AY4149" s="466"/>
      <c r="AZ4149" s="466"/>
      <c r="BA4149" s="466"/>
      <c r="BB4149" s="466"/>
      <c r="BC4149" s="466"/>
      <c r="BD4149" s="466"/>
      <c r="BE4149" s="467"/>
      <c r="BF4149" s="467"/>
      <c r="BG4149" s="466"/>
      <c r="BH4149" s="466"/>
      <c r="BI4149" s="467"/>
      <c r="BJ4149" s="467"/>
      <c r="BK4149" s="467"/>
      <c r="BL4149" s="467"/>
      <c r="BM4149" s="467"/>
      <c r="BN4149" s="467"/>
      <c r="BO4149" s="467"/>
      <c r="BP4149" s="467"/>
      <c r="BQ4149" s="467"/>
      <c r="BR4149" s="467"/>
      <c r="BS4149" s="467"/>
      <c r="BT4149" s="467"/>
      <c r="BU4149" s="467"/>
      <c r="BV4149" s="467"/>
      <c r="BW4149" s="467"/>
      <c r="BX4149" s="769"/>
      <c r="BY4149" s="769"/>
      <c r="BZ4149" s="769"/>
      <c r="CA4149" s="769"/>
      <c r="CB4149" s="769"/>
      <c r="CC4149" s="769"/>
      <c r="CD4149" s="769"/>
      <c r="CE4149" s="769"/>
      <c r="CF4149" s="769"/>
      <c r="CG4149" s="73"/>
      <c r="CH4149" s="438"/>
      <c r="CI4149" s="416"/>
      <c r="CJ4149" s="73"/>
      <c r="CK4149" s="650"/>
      <c r="CL4149" s="499"/>
      <c r="CM4149" s="650"/>
      <c r="CR4149" s="416"/>
      <c r="CS4149" s="650"/>
      <c r="CU4149" s="73"/>
      <c r="CV4149" s="73"/>
      <c r="CW4149" s="73"/>
      <c r="CX4149" s="73"/>
      <c r="DA4149" s="650"/>
    </row>
    <row r="4150" spans="1:105" s="45" customFormat="1" x14ac:dyDescent="0.2">
      <c r="A4150" s="650"/>
      <c r="B4150" s="438"/>
      <c r="D4150" s="73"/>
      <c r="E4150" s="650"/>
      <c r="F4150" s="650"/>
      <c r="G4150" s="73"/>
      <c r="I4150" s="111"/>
      <c r="J4150" s="81"/>
      <c r="K4150" s="81"/>
      <c r="L4150" s="499"/>
      <c r="M4150" s="73"/>
      <c r="N4150" s="499"/>
      <c r="O4150" s="73"/>
      <c r="P4150" s="73"/>
      <c r="Q4150" s="73"/>
      <c r="R4150" s="176"/>
      <c r="S4150" s="176"/>
      <c r="T4150" s="176"/>
      <c r="U4150" s="400"/>
      <c r="V4150" s="400"/>
      <c r="W4150" s="732"/>
      <c r="X4150" s="167"/>
      <c r="Y4150" s="509"/>
      <c r="Z4150" s="466"/>
      <c r="AA4150" s="466"/>
      <c r="AB4150" s="466"/>
      <c r="AC4150" s="466"/>
      <c r="AD4150" s="466"/>
      <c r="AE4150" s="466"/>
      <c r="AF4150" s="466"/>
      <c r="AG4150" s="466"/>
      <c r="AH4150" s="466"/>
      <c r="AI4150" s="466"/>
      <c r="AJ4150" s="466"/>
      <c r="AK4150" s="466"/>
      <c r="AL4150" s="466"/>
      <c r="AM4150" s="466"/>
      <c r="AN4150" s="466"/>
      <c r="AO4150" s="466"/>
      <c r="AP4150" s="466"/>
      <c r="AQ4150" s="466"/>
      <c r="AR4150" s="466"/>
      <c r="AS4150" s="466"/>
      <c r="AT4150" s="466"/>
      <c r="AU4150" s="466"/>
      <c r="AV4150" s="466"/>
      <c r="AW4150" s="466"/>
      <c r="AX4150" s="466"/>
      <c r="AY4150" s="466"/>
      <c r="AZ4150" s="466"/>
      <c r="BA4150" s="466"/>
      <c r="BB4150" s="466"/>
      <c r="BC4150" s="466"/>
      <c r="BD4150" s="466"/>
      <c r="BE4150" s="467"/>
      <c r="BF4150" s="467"/>
      <c r="BG4150" s="466"/>
      <c r="BH4150" s="466"/>
      <c r="BI4150" s="467"/>
      <c r="BJ4150" s="467"/>
      <c r="BK4150" s="467"/>
      <c r="BL4150" s="467"/>
      <c r="BM4150" s="467"/>
      <c r="BN4150" s="467"/>
      <c r="BO4150" s="467"/>
      <c r="BP4150" s="467"/>
      <c r="BQ4150" s="467"/>
      <c r="BR4150" s="467"/>
      <c r="BS4150" s="467"/>
      <c r="BT4150" s="467"/>
      <c r="BU4150" s="467"/>
      <c r="BV4150" s="467"/>
      <c r="BW4150" s="467"/>
      <c r="BX4150" s="769"/>
      <c r="BY4150" s="769"/>
      <c r="BZ4150" s="769"/>
      <c r="CA4150" s="769"/>
      <c r="CB4150" s="769"/>
      <c r="CC4150" s="769"/>
      <c r="CD4150" s="769"/>
      <c r="CE4150" s="769"/>
      <c r="CF4150" s="769"/>
      <c r="CG4150" s="73"/>
      <c r="CH4150" s="438"/>
      <c r="CI4150" s="416"/>
      <c r="CJ4150" s="73"/>
      <c r="CK4150" s="650"/>
      <c r="CL4150" s="499"/>
      <c r="CM4150" s="650"/>
      <c r="CR4150" s="416"/>
      <c r="CS4150" s="650"/>
      <c r="CU4150" s="73"/>
      <c r="CV4150" s="73"/>
      <c r="CW4150" s="73"/>
      <c r="CX4150" s="73"/>
      <c r="DA4150" s="650"/>
    </row>
    <row r="4151" spans="1:105" s="45" customFormat="1" x14ac:dyDescent="0.2">
      <c r="A4151" s="650"/>
      <c r="B4151" s="438"/>
      <c r="D4151" s="73"/>
      <c r="E4151" s="650"/>
      <c r="F4151" s="650"/>
      <c r="G4151" s="73"/>
      <c r="I4151" s="111"/>
      <c r="J4151" s="81"/>
      <c r="K4151" s="81"/>
      <c r="L4151" s="499"/>
      <c r="M4151" s="73"/>
      <c r="N4151" s="499"/>
      <c r="O4151" s="73"/>
      <c r="P4151" s="73"/>
      <c r="Q4151" s="73"/>
      <c r="R4151" s="176"/>
      <c r="S4151" s="176"/>
      <c r="T4151" s="176"/>
      <c r="U4151" s="400"/>
      <c r="V4151" s="400"/>
      <c r="W4151" s="732"/>
      <c r="X4151" s="167"/>
      <c r="Y4151" s="509"/>
      <c r="Z4151" s="466"/>
      <c r="AA4151" s="466"/>
      <c r="AB4151" s="466"/>
      <c r="AC4151" s="466"/>
      <c r="AD4151" s="466"/>
      <c r="AE4151" s="466"/>
      <c r="AF4151" s="466"/>
      <c r="AG4151" s="466"/>
      <c r="AH4151" s="466"/>
      <c r="AI4151" s="466"/>
      <c r="AJ4151" s="466"/>
      <c r="AK4151" s="466"/>
      <c r="AL4151" s="466"/>
      <c r="AM4151" s="466"/>
      <c r="AN4151" s="466"/>
      <c r="AO4151" s="466"/>
      <c r="AP4151" s="466"/>
      <c r="AQ4151" s="466"/>
      <c r="AR4151" s="466"/>
      <c r="AS4151" s="466"/>
      <c r="AT4151" s="466"/>
      <c r="AU4151" s="466"/>
      <c r="AV4151" s="466"/>
      <c r="AW4151" s="466"/>
      <c r="AX4151" s="466"/>
      <c r="AY4151" s="466"/>
      <c r="AZ4151" s="466"/>
      <c r="BA4151" s="466"/>
      <c r="BB4151" s="466"/>
      <c r="BC4151" s="466"/>
      <c r="BD4151" s="466"/>
      <c r="BE4151" s="467"/>
      <c r="BF4151" s="467"/>
      <c r="BG4151" s="466"/>
      <c r="BH4151" s="466"/>
      <c r="BI4151" s="467"/>
      <c r="BJ4151" s="467"/>
      <c r="BK4151" s="467"/>
      <c r="BL4151" s="467"/>
      <c r="BM4151" s="467"/>
      <c r="BN4151" s="467"/>
      <c r="BO4151" s="467"/>
      <c r="BP4151" s="467"/>
      <c r="BQ4151" s="467"/>
      <c r="BR4151" s="467"/>
      <c r="BS4151" s="467"/>
      <c r="BT4151" s="467"/>
      <c r="BU4151" s="467"/>
      <c r="BV4151" s="467"/>
      <c r="BW4151" s="467"/>
      <c r="BX4151" s="769"/>
      <c r="BY4151" s="769"/>
      <c r="BZ4151" s="769"/>
      <c r="CA4151" s="769"/>
      <c r="CB4151" s="769"/>
      <c r="CC4151" s="769"/>
      <c r="CD4151" s="769"/>
      <c r="CE4151" s="769"/>
      <c r="CF4151" s="769"/>
      <c r="CG4151" s="73"/>
      <c r="CH4151" s="438"/>
      <c r="CI4151" s="416"/>
      <c r="CJ4151" s="73"/>
      <c r="CK4151" s="650"/>
      <c r="CL4151" s="499"/>
      <c r="CM4151" s="650"/>
      <c r="CR4151" s="416"/>
      <c r="CS4151" s="650"/>
      <c r="CU4151" s="73"/>
      <c r="CV4151" s="73"/>
      <c r="CW4151" s="73"/>
      <c r="CX4151" s="73"/>
      <c r="DA4151" s="650"/>
    </row>
    <row r="4152" spans="1:105" s="45" customFormat="1" x14ac:dyDescent="0.2">
      <c r="A4152" s="650"/>
      <c r="B4152" s="438"/>
      <c r="D4152" s="73"/>
      <c r="E4152" s="650"/>
      <c r="F4152" s="650"/>
      <c r="G4152" s="73"/>
      <c r="I4152" s="111"/>
      <c r="J4152" s="81"/>
      <c r="K4152" s="81"/>
      <c r="L4152" s="499"/>
      <c r="M4152" s="73"/>
      <c r="N4152" s="499"/>
      <c r="O4152" s="73"/>
      <c r="P4152" s="73"/>
      <c r="Q4152" s="73"/>
      <c r="R4152" s="176"/>
      <c r="S4152" s="176"/>
      <c r="T4152" s="176"/>
      <c r="U4152" s="400"/>
      <c r="V4152" s="400"/>
      <c r="W4152" s="732"/>
      <c r="X4152" s="167"/>
      <c r="Y4152" s="509"/>
      <c r="Z4152" s="466"/>
      <c r="AA4152" s="466"/>
      <c r="AB4152" s="466"/>
      <c r="AC4152" s="466"/>
      <c r="AD4152" s="466"/>
      <c r="AE4152" s="466"/>
      <c r="AF4152" s="466"/>
      <c r="AG4152" s="466"/>
      <c r="AH4152" s="466"/>
      <c r="AI4152" s="466"/>
      <c r="AJ4152" s="466"/>
      <c r="AK4152" s="466"/>
      <c r="AL4152" s="466"/>
      <c r="AM4152" s="466"/>
      <c r="AN4152" s="466"/>
      <c r="AO4152" s="466"/>
      <c r="AP4152" s="466"/>
      <c r="AQ4152" s="466"/>
      <c r="AR4152" s="466"/>
      <c r="AS4152" s="466"/>
      <c r="AT4152" s="466"/>
      <c r="AU4152" s="466"/>
      <c r="AV4152" s="466"/>
      <c r="AW4152" s="466"/>
      <c r="AX4152" s="466"/>
      <c r="AY4152" s="466"/>
      <c r="AZ4152" s="466"/>
      <c r="BA4152" s="466"/>
      <c r="BB4152" s="466"/>
      <c r="BC4152" s="466"/>
      <c r="BD4152" s="466"/>
      <c r="BE4152" s="467"/>
      <c r="BF4152" s="467"/>
      <c r="BG4152" s="466"/>
      <c r="BH4152" s="466"/>
      <c r="BI4152" s="467"/>
      <c r="BJ4152" s="467"/>
      <c r="BK4152" s="467"/>
      <c r="BL4152" s="467"/>
      <c r="BM4152" s="467"/>
      <c r="BN4152" s="467"/>
      <c r="BO4152" s="467"/>
      <c r="BP4152" s="467"/>
      <c r="BQ4152" s="467"/>
      <c r="BR4152" s="467"/>
      <c r="BS4152" s="467"/>
      <c r="BT4152" s="467"/>
      <c r="BU4152" s="467"/>
      <c r="BV4152" s="467"/>
      <c r="BW4152" s="467"/>
      <c r="BX4152" s="769"/>
      <c r="BY4152" s="769"/>
      <c r="BZ4152" s="769"/>
      <c r="CA4152" s="769"/>
      <c r="CB4152" s="769"/>
      <c r="CC4152" s="769"/>
      <c r="CD4152" s="769"/>
      <c r="CE4152" s="769"/>
      <c r="CF4152" s="769"/>
      <c r="CG4152" s="73"/>
      <c r="CH4152" s="438"/>
      <c r="CI4152" s="416"/>
      <c r="CJ4152" s="73"/>
      <c r="CK4152" s="650"/>
      <c r="CL4152" s="499"/>
      <c r="CM4152" s="650"/>
      <c r="CR4152" s="416"/>
      <c r="CS4152" s="650"/>
      <c r="CU4152" s="73"/>
      <c r="CV4152" s="73"/>
      <c r="CW4152" s="73"/>
      <c r="CX4152" s="73"/>
      <c r="DA4152" s="650"/>
    </row>
    <row r="4153" spans="1:105" s="45" customFormat="1" x14ac:dyDescent="0.2">
      <c r="A4153" s="650"/>
      <c r="B4153" s="438"/>
      <c r="D4153" s="73"/>
      <c r="E4153" s="650"/>
      <c r="F4153" s="650"/>
      <c r="G4153" s="73"/>
      <c r="I4153" s="111"/>
      <c r="J4153" s="81"/>
      <c r="K4153" s="81"/>
      <c r="L4153" s="499"/>
      <c r="M4153" s="73"/>
      <c r="N4153" s="499"/>
      <c r="O4153" s="73"/>
      <c r="P4153" s="73"/>
      <c r="Q4153" s="73"/>
      <c r="R4153" s="176"/>
      <c r="S4153" s="176"/>
      <c r="T4153" s="176"/>
      <c r="U4153" s="400"/>
      <c r="V4153" s="400"/>
      <c r="W4153" s="732"/>
      <c r="X4153" s="167"/>
      <c r="Y4153" s="509"/>
      <c r="Z4153" s="466"/>
      <c r="AA4153" s="466"/>
      <c r="AB4153" s="466"/>
      <c r="AC4153" s="466"/>
      <c r="AD4153" s="466"/>
      <c r="AE4153" s="466"/>
      <c r="AF4153" s="466"/>
      <c r="AG4153" s="466"/>
      <c r="AH4153" s="466"/>
      <c r="AI4153" s="466"/>
      <c r="AJ4153" s="466"/>
      <c r="AK4153" s="466"/>
      <c r="AL4153" s="466"/>
      <c r="AM4153" s="466"/>
      <c r="AN4153" s="466"/>
      <c r="AO4153" s="466"/>
      <c r="AP4153" s="466"/>
      <c r="AQ4153" s="466"/>
      <c r="AR4153" s="466"/>
      <c r="AS4153" s="466"/>
      <c r="AT4153" s="466"/>
      <c r="AU4153" s="466"/>
      <c r="AV4153" s="466"/>
      <c r="AW4153" s="466"/>
      <c r="AX4153" s="466"/>
      <c r="AY4153" s="466"/>
      <c r="AZ4153" s="466"/>
      <c r="BA4153" s="466"/>
      <c r="BB4153" s="466"/>
      <c r="BC4153" s="466"/>
      <c r="BD4153" s="466"/>
      <c r="BE4153" s="467"/>
      <c r="BF4153" s="467"/>
      <c r="BG4153" s="466"/>
      <c r="BH4153" s="466"/>
      <c r="BI4153" s="467"/>
      <c r="BJ4153" s="467"/>
      <c r="BK4153" s="467"/>
      <c r="BL4153" s="467"/>
      <c r="BM4153" s="467"/>
      <c r="BN4153" s="467"/>
      <c r="BO4153" s="467"/>
      <c r="BP4153" s="467"/>
      <c r="BQ4153" s="467"/>
      <c r="BR4153" s="467"/>
      <c r="BS4153" s="467"/>
      <c r="BT4153" s="467"/>
      <c r="BU4153" s="467"/>
      <c r="BV4153" s="467"/>
      <c r="BW4153" s="467"/>
      <c r="BX4153" s="769"/>
      <c r="BY4153" s="769"/>
      <c r="BZ4153" s="769"/>
      <c r="CA4153" s="769"/>
      <c r="CB4153" s="769"/>
      <c r="CC4153" s="769"/>
      <c r="CD4153" s="769"/>
      <c r="CE4153" s="769"/>
      <c r="CF4153" s="769"/>
      <c r="CG4153" s="73"/>
      <c r="CH4153" s="438"/>
      <c r="CI4153" s="416"/>
      <c r="CJ4153" s="73"/>
      <c r="CK4153" s="650"/>
      <c r="CL4153" s="499"/>
      <c r="CM4153" s="650"/>
      <c r="CR4153" s="416"/>
      <c r="CS4153" s="650"/>
      <c r="CU4153" s="73"/>
      <c r="CV4153" s="73"/>
      <c r="CW4153" s="73"/>
      <c r="CX4153" s="73"/>
      <c r="DA4153" s="650"/>
    </row>
    <row r="4154" spans="1:105" s="45" customFormat="1" x14ac:dyDescent="0.2">
      <c r="A4154" s="650"/>
      <c r="B4154" s="438"/>
      <c r="D4154" s="73"/>
      <c r="E4154" s="650"/>
      <c r="F4154" s="650"/>
      <c r="G4154" s="73"/>
      <c r="I4154" s="111"/>
      <c r="J4154" s="81"/>
      <c r="K4154" s="81"/>
      <c r="L4154" s="499"/>
      <c r="M4154" s="73"/>
      <c r="N4154" s="499"/>
      <c r="O4154" s="73"/>
      <c r="P4154" s="73"/>
      <c r="Q4154" s="73"/>
      <c r="R4154" s="176"/>
      <c r="S4154" s="176"/>
      <c r="T4154" s="176"/>
      <c r="U4154" s="400"/>
      <c r="V4154" s="400"/>
      <c r="W4154" s="732"/>
      <c r="X4154" s="167"/>
      <c r="Y4154" s="509"/>
      <c r="Z4154" s="466"/>
      <c r="AA4154" s="466"/>
      <c r="AB4154" s="466"/>
      <c r="AC4154" s="466"/>
      <c r="AD4154" s="466"/>
      <c r="AE4154" s="466"/>
      <c r="AF4154" s="466"/>
      <c r="AG4154" s="466"/>
      <c r="AH4154" s="466"/>
      <c r="AI4154" s="466"/>
      <c r="AJ4154" s="466"/>
      <c r="AK4154" s="466"/>
      <c r="AL4154" s="466"/>
      <c r="AM4154" s="466"/>
      <c r="AN4154" s="466"/>
      <c r="AO4154" s="466"/>
      <c r="AP4154" s="466"/>
      <c r="AQ4154" s="466"/>
      <c r="AR4154" s="466"/>
      <c r="AS4154" s="466"/>
      <c r="AT4154" s="466"/>
      <c r="AU4154" s="466"/>
      <c r="AV4154" s="466"/>
      <c r="AW4154" s="466"/>
      <c r="AX4154" s="466"/>
      <c r="AY4154" s="466"/>
      <c r="AZ4154" s="466"/>
      <c r="BA4154" s="466"/>
      <c r="BB4154" s="466"/>
      <c r="BC4154" s="466"/>
      <c r="BD4154" s="466"/>
      <c r="BE4154" s="467"/>
      <c r="BF4154" s="467"/>
      <c r="BG4154" s="466"/>
      <c r="BH4154" s="466"/>
      <c r="BI4154" s="467"/>
      <c r="BJ4154" s="467"/>
      <c r="BK4154" s="467"/>
      <c r="BL4154" s="467"/>
      <c r="BM4154" s="467"/>
      <c r="BN4154" s="467"/>
      <c r="BO4154" s="467"/>
      <c r="BP4154" s="467"/>
      <c r="BQ4154" s="467"/>
      <c r="BR4154" s="467"/>
      <c r="BS4154" s="467"/>
      <c r="BT4154" s="467"/>
      <c r="BU4154" s="467"/>
      <c r="BV4154" s="467"/>
      <c r="BW4154" s="467"/>
      <c r="BX4154" s="769"/>
      <c r="BY4154" s="769"/>
      <c r="BZ4154" s="769"/>
      <c r="CA4154" s="769"/>
      <c r="CB4154" s="769"/>
      <c r="CC4154" s="769"/>
      <c r="CD4154" s="769"/>
      <c r="CE4154" s="769"/>
      <c r="CF4154" s="769"/>
      <c r="CG4154" s="73"/>
      <c r="CH4154" s="438"/>
      <c r="CI4154" s="416"/>
      <c r="CJ4154" s="73"/>
      <c r="CK4154" s="650"/>
      <c r="CL4154" s="499"/>
      <c r="CM4154" s="650"/>
      <c r="CR4154" s="416"/>
      <c r="CS4154" s="650"/>
      <c r="CU4154" s="73"/>
      <c r="CV4154" s="73"/>
      <c r="CW4154" s="73"/>
      <c r="CX4154" s="73"/>
      <c r="DA4154" s="650"/>
    </row>
    <row r="4155" spans="1:105" s="45" customFormat="1" x14ac:dyDescent="0.2">
      <c r="A4155" s="650"/>
      <c r="B4155" s="438"/>
      <c r="D4155" s="73"/>
      <c r="E4155" s="650"/>
      <c r="F4155" s="650"/>
      <c r="G4155" s="73"/>
      <c r="I4155" s="111"/>
      <c r="J4155" s="81"/>
      <c r="K4155" s="81"/>
      <c r="L4155" s="499"/>
      <c r="M4155" s="73"/>
      <c r="N4155" s="499"/>
      <c r="O4155" s="73"/>
      <c r="P4155" s="73"/>
      <c r="Q4155" s="73"/>
      <c r="R4155" s="176"/>
      <c r="S4155" s="176"/>
      <c r="T4155" s="176"/>
      <c r="U4155" s="400"/>
      <c r="V4155" s="400"/>
      <c r="W4155" s="732"/>
      <c r="X4155" s="167"/>
      <c r="Y4155" s="509"/>
      <c r="Z4155" s="466"/>
      <c r="AA4155" s="466"/>
      <c r="AB4155" s="466"/>
      <c r="AC4155" s="466"/>
      <c r="AD4155" s="466"/>
      <c r="AE4155" s="466"/>
      <c r="AF4155" s="466"/>
      <c r="AG4155" s="466"/>
      <c r="AH4155" s="466"/>
      <c r="AI4155" s="466"/>
      <c r="AJ4155" s="466"/>
      <c r="AK4155" s="466"/>
      <c r="AL4155" s="466"/>
      <c r="AM4155" s="466"/>
      <c r="AN4155" s="466"/>
      <c r="AO4155" s="466"/>
      <c r="AP4155" s="466"/>
      <c r="AQ4155" s="466"/>
      <c r="AR4155" s="466"/>
      <c r="AS4155" s="466"/>
      <c r="AT4155" s="466"/>
      <c r="AU4155" s="466"/>
      <c r="AV4155" s="466"/>
      <c r="AW4155" s="466"/>
      <c r="AX4155" s="466"/>
      <c r="AY4155" s="466"/>
      <c r="AZ4155" s="466"/>
      <c r="BA4155" s="466"/>
      <c r="BB4155" s="466"/>
      <c r="BC4155" s="466"/>
      <c r="BD4155" s="466"/>
      <c r="BE4155" s="467"/>
      <c r="BF4155" s="467"/>
      <c r="BG4155" s="466"/>
      <c r="BH4155" s="466"/>
      <c r="BI4155" s="467"/>
      <c r="BJ4155" s="467"/>
      <c r="BK4155" s="467"/>
      <c r="BL4155" s="467"/>
      <c r="BM4155" s="467"/>
      <c r="BN4155" s="467"/>
      <c r="BO4155" s="467"/>
      <c r="BP4155" s="467"/>
      <c r="BQ4155" s="467"/>
      <c r="BR4155" s="467"/>
      <c r="BS4155" s="467"/>
      <c r="BT4155" s="467"/>
      <c r="BU4155" s="467"/>
      <c r="BV4155" s="467"/>
      <c r="BW4155" s="467"/>
      <c r="BX4155" s="769"/>
      <c r="BY4155" s="769"/>
      <c r="BZ4155" s="769"/>
      <c r="CA4155" s="769"/>
      <c r="CB4155" s="769"/>
      <c r="CC4155" s="769"/>
      <c r="CD4155" s="769"/>
      <c r="CE4155" s="769"/>
      <c r="CF4155" s="769"/>
      <c r="CG4155" s="73"/>
      <c r="CH4155" s="438"/>
      <c r="CI4155" s="416"/>
      <c r="CJ4155" s="73"/>
      <c r="CK4155" s="650"/>
      <c r="CL4155" s="499"/>
      <c r="CM4155" s="650"/>
      <c r="CR4155" s="416"/>
      <c r="CS4155" s="650"/>
      <c r="CU4155" s="73"/>
      <c r="CV4155" s="73"/>
      <c r="CW4155" s="73"/>
      <c r="CX4155" s="73"/>
      <c r="DA4155" s="650"/>
    </row>
    <row r="4156" spans="1:105" s="45" customFormat="1" x14ac:dyDescent="0.2">
      <c r="A4156" s="650"/>
      <c r="B4156" s="438"/>
      <c r="D4156" s="73"/>
      <c r="E4156" s="650"/>
      <c r="F4156" s="650"/>
      <c r="G4156" s="73"/>
      <c r="I4156" s="111"/>
      <c r="J4156" s="81"/>
      <c r="K4156" s="81"/>
      <c r="L4156" s="499"/>
      <c r="M4156" s="73"/>
      <c r="N4156" s="499"/>
      <c r="O4156" s="73"/>
      <c r="P4156" s="73"/>
      <c r="Q4156" s="73"/>
      <c r="R4156" s="176"/>
      <c r="S4156" s="176"/>
      <c r="T4156" s="176"/>
      <c r="U4156" s="400"/>
      <c r="V4156" s="400"/>
      <c r="W4156" s="732"/>
      <c r="X4156" s="167"/>
      <c r="Y4156" s="509"/>
      <c r="Z4156" s="466"/>
      <c r="AA4156" s="466"/>
      <c r="AB4156" s="466"/>
      <c r="AC4156" s="466"/>
      <c r="AD4156" s="466"/>
      <c r="AE4156" s="466"/>
      <c r="AF4156" s="466"/>
      <c r="AG4156" s="466"/>
      <c r="AH4156" s="466"/>
      <c r="AI4156" s="466"/>
      <c r="AJ4156" s="466"/>
      <c r="AK4156" s="466"/>
      <c r="AL4156" s="466"/>
      <c r="AM4156" s="466"/>
      <c r="AN4156" s="466"/>
      <c r="AO4156" s="466"/>
      <c r="AP4156" s="466"/>
      <c r="AQ4156" s="466"/>
      <c r="AR4156" s="466"/>
      <c r="AS4156" s="466"/>
      <c r="AT4156" s="466"/>
      <c r="AU4156" s="466"/>
      <c r="AV4156" s="466"/>
      <c r="AW4156" s="466"/>
      <c r="AX4156" s="466"/>
      <c r="AY4156" s="466"/>
      <c r="AZ4156" s="466"/>
      <c r="BA4156" s="466"/>
      <c r="BB4156" s="466"/>
      <c r="BC4156" s="466"/>
      <c r="BD4156" s="466"/>
      <c r="BE4156" s="467"/>
      <c r="BF4156" s="467"/>
      <c r="BG4156" s="466"/>
      <c r="BH4156" s="466"/>
      <c r="BI4156" s="467"/>
      <c r="BJ4156" s="467"/>
      <c r="BK4156" s="467"/>
      <c r="BL4156" s="467"/>
      <c r="BM4156" s="467"/>
      <c r="BN4156" s="467"/>
      <c r="BO4156" s="467"/>
      <c r="BP4156" s="467"/>
      <c r="BQ4156" s="467"/>
      <c r="BR4156" s="467"/>
      <c r="BS4156" s="467"/>
      <c r="BT4156" s="467"/>
      <c r="BU4156" s="467"/>
      <c r="BV4156" s="467"/>
      <c r="BW4156" s="467"/>
      <c r="BX4156" s="769"/>
      <c r="BY4156" s="769"/>
      <c r="BZ4156" s="769"/>
      <c r="CA4156" s="769"/>
      <c r="CB4156" s="769"/>
      <c r="CC4156" s="769"/>
      <c r="CD4156" s="769"/>
      <c r="CE4156" s="769"/>
      <c r="CF4156" s="769"/>
      <c r="CG4156" s="73"/>
      <c r="CH4156" s="438"/>
      <c r="CI4156" s="416"/>
      <c r="CJ4156" s="73"/>
      <c r="CK4156" s="650"/>
      <c r="CL4156" s="499"/>
      <c r="CM4156" s="650"/>
      <c r="CR4156" s="416"/>
      <c r="CS4156" s="650"/>
      <c r="CU4156" s="73"/>
      <c r="CV4156" s="73"/>
      <c r="CW4156" s="73"/>
      <c r="CX4156" s="73"/>
      <c r="DA4156" s="650"/>
    </row>
    <row r="4157" spans="1:105" s="45" customFormat="1" x14ac:dyDescent="0.2">
      <c r="A4157" s="650"/>
      <c r="B4157" s="438"/>
      <c r="D4157" s="73"/>
      <c r="E4157" s="650"/>
      <c r="F4157" s="650"/>
      <c r="G4157" s="73"/>
      <c r="I4157" s="111"/>
      <c r="J4157" s="81"/>
      <c r="K4157" s="81"/>
      <c r="L4157" s="499"/>
      <c r="M4157" s="73"/>
      <c r="N4157" s="499"/>
      <c r="O4157" s="73"/>
      <c r="P4157" s="73"/>
      <c r="Q4157" s="73"/>
      <c r="R4157" s="176"/>
      <c r="S4157" s="176"/>
      <c r="T4157" s="176"/>
      <c r="U4157" s="400"/>
      <c r="V4157" s="400"/>
      <c r="W4157" s="732"/>
      <c r="X4157" s="167"/>
      <c r="Y4157" s="509"/>
      <c r="Z4157" s="466"/>
      <c r="AA4157" s="466"/>
      <c r="AB4157" s="466"/>
      <c r="AC4157" s="466"/>
      <c r="AD4157" s="466"/>
      <c r="AE4157" s="466"/>
      <c r="AF4157" s="466"/>
      <c r="AG4157" s="466"/>
      <c r="AH4157" s="466"/>
      <c r="AI4157" s="466"/>
      <c r="AJ4157" s="466"/>
      <c r="AK4157" s="466"/>
      <c r="AL4157" s="466"/>
      <c r="AM4157" s="466"/>
      <c r="AN4157" s="466"/>
      <c r="AO4157" s="466"/>
      <c r="AP4157" s="466"/>
      <c r="AQ4157" s="466"/>
      <c r="AR4157" s="466"/>
      <c r="AS4157" s="466"/>
      <c r="AT4157" s="466"/>
      <c r="AU4157" s="466"/>
      <c r="AV4157" s="466"/>
      <c r="AW4157" s="466"/>
      <c r="AX4157" s="466"/>
      <c r="AY4157" s="466"/>
      <c r="AZ4157" s="466"/>
      <c r="BA4157" s="466"/>
      <c r="BB4157" s="466"/>
      <c r="BC4157" s="466"/>
      <c r="BD4157" s="466"/>
      <c r="BE4157" s="467"/>
      <c r="BF4157" s="467"/>
      <c r="BG4157" s="466"/>
      <c r="BH4157" s="466"/>
      <c r="BI4157" s="467"/>
      <c r="BJ4157" s="467"/>
      <c r="BK4157" s="467"/>
      <c r="BL4157" s="467"/>
      <c r="BM4157" s="467"/>
      <c r="BN4157" s="467"/>
      <c r="BO4157" s="467"/>
      <c r="BP4157" s="467"/>
      <c r="BQ4157" s="467"/>
      <c r="BR4157" s="467"/>
      <c r="BS4157" s="467"/>
      <c r="BT4157" s="467"/>
      <c r="BU4157" s="467"/>
      <c r="BV4157" s="467"/>
      <c r="BW4157" s="467"/>
      <c r="BX4157" s="769"/>
      <c r="BY4157" s="769"/>
      <c r="BZ4157" s="769"/>
      <c r="CA4157" s="769"/>
      <c r="CB4157" s="769"/>
      <c r="CC4157" s="769"/>
      <c r="CD4157" s="769"/>
      <c r="CE4157" s="769"/>
      <c r="CF4157" s="769"/>
      <c r="CG4157" s="73"/>
      <c r="CH4157" s="438"/>
      <c r="CI4157" s="416"/>
      <c r="CJ4157" s="73"/>
      <c r="CK4157" s="650"/>
      <c r="CL4157" s="499"/>
      <c r="CM4157" s="650"/>
      <c r="CR4157" s="416"/>
      <c r="CS4157" s="650"/>
      <c r="CU4157" s="73"/>
      <c r="CV4157" s="73"/>
      <c r="CW4157" s="73"/>
      <c r="CX4157" s="73"/>
      <c r="DA4157" s="650"/>
    </row>
    <row r="4158" spans="1:105" s="45" customFormat="1" x14ac:dyDescent="0.2">
      <c r="A4158" s="650"/>
      <c r="B4158" s="438"/>
      <c r="D4158" s="73"/>
      <c r="E4158" s="650"/>
      <c r="F4158" s="650"/>
      <c r="G4158" s="73"/>
      <c r="I4158" s="111"/>
      <c r="J4158" s="81"/>
      <c r="K4158" s="81"/>
      <c r="L4158" s="499"/>
      <c r="M4158" s="73"/>
      <c r="N4158" s="499"/>
      <c r="O4158" s="73"/>
      <c r="P4158" s="73"/>
      <c r="Q4158" s="73"/>
      <c r="R4158" s="176"/>
      <c r="S4158" s="176"/>
      <c r="T4158" s="176"/>
      <c r="U4158" s="400"/>
      <c r="V4158" s="400"/>
      <c r="W4158" s="732"/>
      <c r="X4158" s="167"/>
      <c r="Y4158" s="509"/>
      <c r="Z4158" s="466"/>
      <c r="AA4158" s="466"/>
      <c r="AB4158" s="466"/>
      <c r="AC4158" s="466"/>
      <c r="AD4158" s="466"/>
      <c r="AE4158" s="466"/>
      <c r="AF4158" s="466"/>
      <c r="AG4158" s="466"/>
      <c r="AH4158" s="466"/>
      <c r="AI4158" s="466"/>
      <c r="AJ4158" s="466"/>
      <c r="AK4158" s="466"/>
      <c r="AL4158" s="466"/>
      <c r="AM4158" s="466"/>
      <c r="AN4158" s="466"/>
      <c r="AO4158" s="466"/>
      <c r="AP4158" s="466"/>
      <c r="AQ4158" s="466"/>
      <c r="AR4158" s="466"/>
      <c r="AS4158" s="466"/>
      <c r="AT4158" s="466"/>
      <c r="AU4158" s="466"/>
      <c r="AV4158" s="466"/>
      <c r="AW4158" s="466"/>
      <c r="AX4158" s="466"/>
      <c r="AY4158" s="466"/>
      <c r="AZ4158" s="466"/>
      <c r="BA4158" s="466"/>
      <c r="BB4158" s="466"/>
      <c r="BC4158" s="466"/>
      <c r="BD4158" s="466"/>
      <c r="BE4158" s="467"/>
      <c r="BF4158" s="467"/>
      <c r="BG4158" s="466"/>
      <c r="BH4158" s="466"/>
      <c r="BI4158" s="467"/>
      <c r="BJ4158" s="467"/>
      <c r="BK4158" s="467"/>
      <c r="BL4158" s="467"/>
      <c r="BM4158" s="467"/>
      <c r="BN4158" s="467"/>
      <c r="BO4158" s="467"/>
      <c r="BP4158" s="467"/>
      <c r="BQ4158" s="467"/>
      <c r="BR4158" s="467"/>
      <c r="BS4158" s="467"/>
      <c r="BT4158" s="467"/>
      <c r="BU4158" s="467"/>
      <c r="BV4158" s="467"/>
      <c r="BW4158" s="467"/>
      <c r="BX4158" s="769"/>
      <c r="BY4158" s="769"/>
      <c r="BZ4158" s="769"/>
      <c r="CA4158" s="769"/>
      <c r="CB4158" s="769"/>
      <c r="CC4158" s="769"/>
      <c r="CD4158" s="769"/>
      <c r="CE4158" s="769"/>
      <c r="CF4158" s="769"/>
      <c r="CG4158" s="73"/>
      <c r="CH4158" s="438"/>
      <c r="CI4158" s="416"/>
      <c r="CJ4158" s="73"/>
      <c r="CK4158" s="650"/>
      <c r="CL4158" s="499"/>
      <c r="CM4158" s="650"/>
      <c r="CR4158" s="416"/>
      <c r="CS4158" s="650"/>
      <c r="CU4158" s="73"/>
      <c r="CV4158" s="73"/>
      <c r="CW4158" s="73"/>
      <c r="CX4158" s="73"/>
      <c r="DA4158" s="650"/>
    </row>
    <row r="4159" spans="1:105" s="45" customFormat="1" x14ac:dyDescent="0.2">
      <c r="A4159" s="650"/>
      <c r="B4159" s="438"/>
      <c r="D4159" s="73"/>
      <c r="E4159" s="650"/>
      <c r="F4159" s="650"/>
      <c r="G4159" s="73"/>
      <c r="I4159" s="111"/>
      <c r="J4159" s="81"/>
      <c r="K4159" s="81"/>
      <c r="L4159" s="499"/>
      <c r="M4159" s="73"/>
      <c r="N4159" s="499"/>
      <c r="O4159" s="73"/>
      <c r="P4159" s="73"/>
      <c r="Q4159" s="73"/>
      <c r="R4159" s="176"/>
      <c r="S4159" s="176"/>
      <c r="T4159" s="176"/>
      <c r="U4159" s="400"/>
      <c r="V4159" s="400"/>
      <c r="W4159" s="732"/>
      <c r="X4159" s="167"/>
      <c r="Y4159" s="509"/>
      <c r="Z4159" s="466"/>
      <c r="AA4159" s="466"/>
      <c r="AB4159" s="466"/>
      <c r="AC4159" s="466"/>
      <c r="AD4159" s="466"/>
      <c r="AE4159" s="466"/>
      <c r="AF4159" s="466"/>
      <c r="AG4159" s="466"/>
      <c r="AH4159" s="466"/>
      <c r="AI4159" s="466"/>
      <c r="AJ4159" s="466"/>
      <c r="AK4159" s="466"/>
      <c r="AL4159" s="466"/>
      <c r="AM4159" s="466"/>
      <c r="AN4159" s="466"/>
      <c r="AO4159" s="466"/>
      <c r="AP4159" s="466"/>
      <c r="AQ4159" s="466"/>
      <c r="AR4159" s="466"/>
      <c r="AS4159" s="466"/>
      <c r="AT4159" s="466"/>
      <c r="AU4159" s="466"/>
      <c r="AV4159" s="466"/>
      <c r="AW4159" s="466"/>
      <c r="AX4159" s="466"/>
      <c r="AY4159" s="466"/>
      <c r="AZ4159" s="466"/>
      <c r="BA4159" s="466"/>
      <c r="BB4159" s="466"/>
      <c r="BC4159" s="466"/>
      <c r="BD4159" s="466"/>
      <c r="BE4159" s="467"/>
      <c r="BF4159" s="467"/>
      <c r="BG4159" s="466"/>
      <c r="BH4159" s="466"/>
      <c r="BI4159" s="467"/>
      <c r="BJ4159" s="467"/>
      <c r="BK4159" s="467"/>
      <c r="BL4159" s="467"/>
      <c r="BM4159" s="467"/>
      <c r="BN4159" s="467"/>
      <c r="BO4159" s="467"/>
      <c r="BP4159" s="467"/>
      <c r="BQ4159" s="467"/>
      <c r="BR4159" s="467"/>
      <c r="BS4159" s="467"/>
      <c r="BT4159" s="467"/>
      <c r="BU4159" s="467"/>
      <c r="BV4159" s="467"/>
      <c r="BW4159" s="467"/>
      <c r="BX4159" s="769"/>
      <c r="BY4159" s="769"/>
      <c r="BZ4159" s="769"/>
      <c r="CA4159" s="769"/>
      <c r="CB4159" s="769"/>
      <c r="CC4159" s="769"/>
      <c r="CD4159" s="769"/>
      <c r="CE4159" s="769"/>
      <c r="CF4159" s="769"/>
      <c r="CG4159" s="73"/>
      <c r="CH4159" s="438"/>
      <c r="CI4159" s="416"/>
      <c r="CJ4159" s="73"/>
      <c r="CK4159" s="650"/>
      <c r="CL4159" s="499"/>
      <c r="CM4159" s="650"/>
      <c r="CR4159" s="416"/>
      <c r="CS4159" s="650"/>
      <c r="CU4159" s="73"/>
      <c r="CV4159" s="73"/>
      <c r="CW4159" s="73"/>
      <c r="CX4159" s="73"/>
      <c r="DA4159" s="650"/>
    </row>
    <row r="4160" spans="1:105" s="45" customFormat="1" x14ac:dyDescent="0.2">
      <c r="A4160" s="650"/>
      <c r="B4160" s="438"/>
      <c r="D4160" s="73"/>
      <c r="E4160" s="650"/>
      <c r="F4160" s="650"/>
      <c r="G4160" s="73"/>
      <c r="I4160" s="111"/>
      <c r="J4160" s="81"/>
      <c r="K4160" s="81"/>
      <c r="L4160" s="499"/>
      <c r="M4160" s="73"/>
      <c r="N4160" s="499"/>
      <c r="O4160" s="73"/>
      <c r="P4160" s="73"/>
      <c r="Q4160" s="73"/>
      <c r="R4160" s="176"/>
      <c r="S4160" s="176"/>
      <c r="T4160" s="176"/>
      <c r="U4160" s="400"/>
      <c r="V4160" s="400"/>
      <c r="W4160" s="732"/>
      <c r="X4160" s="167"/>
      <c r="Y4160" s="509"/>
      <c r="Z4160" s="466"/>
      <c r="AA4160" s="466"/>
      <c r="AB4160" s="466"/>
      <c r="AC4160" s="466"/>
      <c r="AD4160" s="466"/>
      <c r="AE4160" s="466"/>
      <c r="AF4160" s="466"/>
      <c r="AG4160" s="466"/>
      <c r="AH4160" s="466"/>
      <c r="AI4160" s="466"/>
      <c r="AJ4160" s="466"/>
      <c r="AK4160" s="466"/>
      <c r="AL4160" s="466"/>
      <c r="AM4160" s="466"/>
      <c r="AN4160" s="466"/>
      <c r="AO4160" s="466"/>
      <c r="AP4160" s="466"/>
      <c r="AQ4160" s="466"/>
      <c r="AR4160" s="466"/>
      <c r="AS4160" s="466"/>
      <c r="AT4160" s="466"/>
      <c r="AU4160" s="466"/>
      <c r="AV4160" s="466"/>
      <c r="AW4160" s="466"/>
      <c r="AX4160" s="466"/>
      <c r="AY4160" s="466"/>
      <c r="AZ4160" s="466"/>
      <c r="BA4160" s="466"/>
      <c r="BB4160" s="466"/>
      <c r="BC4160" s="466"/>
      <c r="BD4160" s="466"/>
      <c r="BE4160" s="467"/>
      <c r="BF4160" s="467"/>
      <c r="BG4160" s="466"/>
      <c r="BH4160" s="466"/>
      <c r="BI4160" s="467"/>
      <c r="BJ4160" s="467"/>
      <c r="BK4160" s="467"/>
      <c r="BL4160" s="467"/>
      <c r="BM4160" s="467"/>
      <c r="BN4160" s="467"/>
      <c r="BO4160" s="467"/>
      <c r="BP4160" s="467"/>
      <c r="BQ4160" s="467"/>
      <c r="BR4160" s="467"/>
      <c r="BS4160" s="467"/>
      <c r="BT4160" s="467"/>
      <c r="BU4160" s="467"/>
      <c r="BV4160" s="467"/>
      <c r="BW4160" s="467"/>
      <c r="BX4160" s="769"/>
      <c r="BY4160" s="769"/>
      <c r="BZ4160" s="769"/>
      <c r="CA4160" s="769"/>
      <c r="CB4160" s="769"/>
      <c r="CC4160" s="769"/>
      <c r="CD4160" s="769"/>
      <c r="CE4160" s="769"/>
      <c r="CF4160" s="769"/>
      <c r="CG4160" s="73"/>
      <c r="CH4160" s="438"/>
      <c r="CI4160" s="416"/>
      <c r="CJ4160" s="73"/>
      <c r="CK4160" s="650"/>
      <c r="CL4160" s="499"/>
      <c r="CM4160" s="650"/>
      <c r="CR4160" s="416"/>
      <c r="CS4160" s="650"/>
      <c r="CU4160" s="73"/>
      <c r="CV4160" s="73"/>
      <c r="CW4160" s="73"/>
      <c r="CX4160" s="73"/>
      <c r="DA4160" s="650"/>
    </row>
    <row r="4161" spans="1:105" s="45" customFormat="1" x14ac:dyDescent="0.2">
      <c r="A4161" s="650"/>
      <c r="B4161" s="438"/>
      <c r="D4161" s="73"/>
      <c r="E4161" s="650"/>
      <c r="F4161" s="650"/>
      <c r="G4161" s="73"/>
      <c r="I4161" s="111"/>
      <c r="J4161" s="81"/>
      <c r="K4161" s="81"/>
      <c r="L4161" s="499"/>
      <c r="M4161" s="73"/>
      <c r="N4161" s="499"/>
      <c r="O4161" s="73"/>
      <c r="P4161" s="73"/>
      <c r="Q4161" s="73"/>
      <c r="R4161" s="176"/>
      <c r="S4161" s="176"/>
      <c r="T4161" s="176"/>
      <c r="U4161" s="400"/>
      <c r="V4161" s="400"/>
      <c r="W4161" s="732"/>
      <c r="X4161" s="167"/>
      <c r="Y4161" s="509"/>
      <c r="Z4161" s="466"/>
      <c r="AA4161" s="466"/>
      <c r="AB4161" s="466"/>
      <c r="AC4161" s="466"/>
      <c r="AD4161" s="466"/>
      <c r="AE4161" s="466"/>
      <c r="AF4161" s="466"/>
      <c r="AG4161" s="466"/>
      <c r="AH4161" s="466"/>
      <c r="AI4161" s="466"/>
      <c r="AJ4161" s="466"/>
      <c r="AK4161" s="466"/>
      <c r="AL4161" s="466"/>
      <c r="AM4161" s="466"/>
      <c r="AN4161" s="466"/>
      <c r="AO4161" s="466"/>
      <c r="AP4161" s="466"/>
      <c r="AQ4161" s="466"/>
      <c r="AR4161" s="466"/>
      <c r="AS4161" s="466"/>
      <c r="AT4161" s="466"/>
      <c r="AU4161" s="466"/>
      <c r="AV4161" s="466"/>
      <c r="AW4161" s="466"/>
      <c r="AX4161" s="466"/>
      <c r="AY4161" s="466"/>
      <c r="AZ4161" s="466"/>
      <c r="BA4161" s="466"/>
      <c r="BB4161" s="466"/>
      <c r="BC4161" s="466"/>
      <c r="BD4161" s="466"/>
      <c r="BE4161" s="467"/>
      <c r="BF4161" s="467"/>
      <c r="BG4161" s="466"/>
      <c r="BH4161" s="466"/>
      <c r="BI4161" s="467"/>
      <c r="BJ4161" s="467"/>
      <c r="BK4161" s="467"/>
      <c r="BL4161" s="467"/>
      <c r="BM4161" s="467"/>
      <c r="BN4161" s="467"/>
      <c r="BO4161" s="467"/>
      <c r="BP4161" s="467"/>
      <c r="BQ4161" s="467"/>
      <c r="BR4161" s="467"/>
      <c r="BS4161" s="467"/>
      <c r="BT4161" s="467"/>
      <c r="BU4161" s="467"/>
      <c r="BV4161" s="467"/>
      <c r="BW4161" s="467"/>
      <c r="BX4161" s="769"/>
      <c r="BY4161" s="769"/>
      <c r="BZ4161" s="769"/>
      <c r="CA4161" s="769"/>
      <c r="CB4161" s="769"/>
      <c r="CC4161" s="769"/>
      <c r="CD4161" s="769"/>
      <c r="CE4161" s="769"/>
      <c r="CF4161" s="769"/>
      <c r="CG4161" s="73"/>
      <c r="CH4161" s="438"/>
      <c r="CI4161" s="416"/>
      <c r="CJ4161" s="73"/>
      <c r="CK4161" s="650"/>
      <c r="CL4161" s="499"/>
      <c r="CM4161" s="650"/>
      <c r="CR4161" s="416"/>
      <c r="CS4161" s="650"/>
      <c r="CU4161" s="73"/>
      <c r="CV4161" s="73"/>
      <c r="CW4161" s="73"/>
      <c r="CX4161" s="73"/>
      <c r="DA4161" s="650"/>
    </row>
    <row r="4162" spans="1:105" s="45" customFormat="1" x14ac:dyDescent="0.2">
      <c r="A4162" s="650"/>
      <c r="B4162" s="438"/>
      <c r="D4162" s="73"/>
      <c r="E4162" s="650"/>
      <c r="F4162" s="650"/>
      <c r="G4162" s="73"/>
      <c r="I4162" s="111"/>
      <c r="J4162" s="81"/>
      <c r="K4162" s="81"/>
      <c r="L4162" s="499"/>
      <c r="M4162" s="73"/>
      <c r="N4162" s="499"/>
      <c r="O4162" s="73"/>
      <c r="P4162" s="73"/>
      <c r="Q4162" s="73"/>
      <c r="R4162" s="176"/>
      <c r="S4162" s="176"/>
      <c r="T4162" s="176"/>
      <c r="U4162" s="400"/>
      <c r="V4162" s="400"/>
      <c r="W4162" s="732"/>
      <c r="X4162" s="167"/>
      <c r="Y4162" s="509"/>
      <c r="Z4162" s="466"/>
      <c r="AA4162" s="466"/>
      <c r="AB4162" s="466"/>
      <c r="AC4162" s="466"/>
      <c r="AD4162" s="466"/>
      <c r="AE4162" s="466"/>
      <c r="AF4162" s="466"/>
      <c r="AG4162" s="466"/>
      <c r="AH4162" s="466"/>
      <c r="AI4162" s="466"/>
      <c r="AJ4162" s="466"/>
      <c r="AK4162" s="466"/>
      <c r="AL4162" s="466"/>
      <c r="AM4162" s="466"/>
      <c r="AN4162" s="466"/>
      <c r="AO4162" s="466"/>
      <c r="AP4162" s="466"/>
      <c r="AQ4162" s="466"/>
      <c r="AR4162" s="466"/>
      <c r="AS4162" s="466"/>
      <c r="AT4162" s="466"/>
      <c r="AU4162" s="466"/>
      <c r="AV4162" s="466"/>
      <c r="AW4162" s="466"/>
      <c r="AX4162" s="466"/>
      <c r="AY4162" s="466"/>
      <c r="AZ4162" s="466"/>
      <c r="BA4162" s="466"/>
      <c r="BB4162" s="466"/>
      <c r="BC4162" s="466"/>
      <c r="BD4162" s="466"/>
      <c r="BE4162" s="467"/>
      <c r="BF4162" s="467"/>
      <c r="BG4162" s="466"/>
      <c r="BH4162" s="466"/>
      <c r="BI4162" s="467"/>
      <c r="BJ4162" s="467"/>
      <c r="BK4162" s="467"/>
      <c r="BL4162" s="467"/>
      <c r="BM4162" s="467"/>
      <c r="BN4162" s="467"/>
      <c r="BO4162" s="467"/>
      <c r="BP4162" s="467"/>
      <c r="BQ4162" s="467"/>
      <c r="BR4162" s="467"/>
      <c r="BS4162" s="467"/>
      <c r="BT4162" s="467"/>
      <c r="BU4162" s="467"/>
      <c r="BV4162" s="467"/>
      <c r="BW4162" s="467"/>
      <c r="BX4162" s="769"/>
      <c r="BY4162" s="769"/>
      <c r="BZ4162" s="769"/>
      <c r="CA4162" s="769"/>
      <c r="CB4162" s="769"/>
      <c r="CC4162" s="769"/>
      <c r="CD4162" s="769"/>
      <c r="CE4162" s="769"/>
      <c r="CF4162" s="769"/>
      <c r="CG4162" s="73"/>
      <c r="CH4162" s="438"/>
      <c r="CI4162" s="416"/>
      <c r="CJ4162" s="73"/>
      <c r="CK4162" s="650"/>
      <c r="CL4162" s="499"/>
      <c r="CM4162" s="650"/>
      <c r="CR4162" s="416"/>
      <c r="CS4162" s="650"/>
      <c r="CU4162" s="73"/>
      <c r="CV4162" s="73"/>
      <c r="CW4162" s="73"/>
      <c r="CX4162" s="73"/>
      <c r="DA4162" s="650"/>
    </row>
    <row r="4163" spans="1:105" s="45" customFormat="1" x14ac:dyDescent="0.2">
      <c r="A4163" s="650"/>
      <c r="B4163" s="438"/>
      <c r="D4163" s="73"/>
      <c r="E4163" s="650"/>
      <c r="F4163" s="650"/>
      <c r="G4163" s="73"/>
      <c r="I4163" s="111"/>
      <c r="J4163" s="81"/>
      <c r="K4163" s="81"/>
      <c r="L4163" s="499"/>
      <c r="M4163" s="73"/>
      <c r="N4163" s="499"/>
      <c r="O4163" s="73"/>
      <c r="P4163" s="73"/>
      <c r="Q4163" s="73"/>
      <c r="R4163" s="176"/>
      <c r="S4163" s="176"/>
      <c r="T4163" s="176"/>
      <c r="U4163" s="400"/>
      <c r="V4163" s="400"/>
      <c r="W4163" s="732"/>
      <c r="X4163" s="167"/>
      <c r="Y4163" s="509"/>
      <c r="Z4163" s="466"/>
      <c r="AA4163" s="466"/>
      <c r="AB4163" s="466"/>
      <c r="AC4163" s="466"/>
      <c r="AD4163" s="466"/>
      <c r="AE4163" s="466"/>
      <c r="AF4163" s="466"/>
      <c r="AG4163" s="466"/>
      <c r="AH4163" s="466"/>
      <c r="AI4163" s="466"/>
      <c r="AJ4163" s="466"/>
      <c r="AK4163" s="466"/>
      <c r="AL4163" s="466"/>
      <c r="AM4163" s="466"/>
      <c r="AN4163" s="466"/>
      <c r="AO4163" s="466"/>
      <c r="AP4163" s="466"/>
      <c r="AQ4163" s="466"/>
      <c r="AR4163" s="466"/>
      <c r="AS4163" s="466"/>
      <c r="AT4163" s="466"/>
      <c r="AU4163" s="466"/>
      <c r="AV4163" s="466"/>
      <c r="AW4163" s="466"/>
      <c r="AX4163" s="466"/>
      <c r="AY4163" s="466"/>
      <c r="AZ4163" s="466"/>
      <c r="BA4163" s="466"/>
      <c r="BB4163" s="466"/>
      <c r="BC4163" s="466"/>
      <c r="BD4163" s="466"/>
      <c r="BE4163" s="467"/>
      <c r="BF4163" s="467"/>
      <c r="BG4163" s="466"/>
      <c r="BH4163" s="466"/>
      <c r="BI4163" s="467"/>
      <c r="BJ4163" s="467"/>
      <c r="BK4163" s="467"/>
      <c r="BL4163" s="467"/>
      <c r="BM4163" s="467"/>
      <c r="BN4163" s="467"/>
      <c r="BO4163" s="467"/>
      <c r="BP4163" s="467"/>
      <c r="BQ4163" s="467"/>
      <c r="BR4163" s="467"/>
      <c r="BS4163" s="467"/>
      <c r="BT4163" s="467"/>
      <c r="BU4163" s="467"/>
      <c r="BV4163" s="467"/>
      <c r="BW4163" s="467"/>
      <c r="BX4163" s="769"/>
      <c r="BY4163" s="769"/>
      <c r="BZ4163" s="769"/>
      <c r="CA4163" s="769"/>
      <c r="CB4163" s="769"/>
      <c r="CC4163" s="769"/>
      <c r="CD4163" s="769"/>
      <c r="CE4163" s="769"/>
      <c r="CF4163" s="769"/>
      <c r="CG4163" s="73"/>
      <c r="CH4163" s="438"/>
      <c r="CI4163" s="416"/>
      <c r="CJ4163" s="73"/>
      <c r="CK4163" s="650"/>
      <c r="CL4163" s="499"/>
      <c r="CM4163" s="650"/>
      <c r="CR4163" s="416"/>
      <c r="CS4163" s="650"/>
      <c r="CU4163" s="73"/>
      <c r="CV4163" s="73"/>
      <c r="CW4163" s="73"/>
      <c r="CX4163" s="73"/>
      <c r="DA4163" s="650"/>
    </row>
    <row r="4164" spans="1:105" s="45" customFormat="1" x14ac:dyDescent="0.2">
      <c r="A4164" s="650"/>
      <c r="B4164" s="438"/>
      <c r="D4164" s="73"/>
      <c r="E4164" s="650"/>
      <c r="F4164" s="650"/>
      <c r="G4164" s="73"/>
      <c r="I4164" s="111"/>
      <c r="J4164" s="81"/>
      <c r="K4164" s="81"/>
      <c r="L4164" s="499"/>
      <c r="M4164" s="73"/>
      <c r="N4164" s="499"/>
      <c r="O4164" s="73"/>
      <c r="P4164" s="73"/>
      <c r="Q4164" s="73"/>
      <c r="R4164" s="176"/>
      <c r="S4164" s="176"/>
      <c r="T4164" s="176"/>
      <c r="U4164" s="400"/>
      <c r="V4164" s="400"/>
      <c r="W4164" s="732"/>
      <c r="X4164" s="167"/>
      <c r="Y4164" s="509"/>
      <c r="Z4164" s="466"/>
      <c r="AA4164" s="466"/>
      <c r="AB4164" s="466"/>
      <c r="AC4164" s="466"/>
      <c r="AD4164" s="466"/>
      <c r="AE4164" s="466"/>
      <c r="AF4164" s="466"/>
      <c r="AG4164" s="466"/>
      <c r="AH4164" s="466"/>
      <c r="AI4164" s="466"/>
      <c r="AJ4164" s="466"/>
      <c r="AK4164" s="466"/>
      <c r="AL4164" s="466"/>
      <c r="AM4164" s="466"/>
      <c r="AN4164" s="466"/>
      <c r="AO4164" s="466"/>
      <c r="AP4164" s="466"/>
      <c r="AQ4164" s="466"/>
      <c r="AR4164" s="466"/>
      <c r="AS4164" s="466"/>
      <c r="AT4164" s="466"/>
      <c r="AU4164" s="466"/>
      <c r="AV4164" s="466"/>
      <c r="AW4164" s="466"/>
      <c r="AX4164" s="466"/>
      <c r="AY4164" s="466"/>
      <c r="AZ4164" s="466"/>
      <c r="BA4164" s="466"/>
      <c r="BB4164" s="466"/>
      <c r="BC4164" s="466"/>
      <c r="BD4164" s="466"/>
      <c r="BE4164" s="467"/>
      <c r="BF4164" s="467"/>
      <c r="BG4164" s="466"/>
      <c r="BH4164" s="466"/>
      <c r="BI4164" s="467"/>
      <c r="BJ4164" s="467"/>
      <c r="BK4164" s="467"/>
      <c r="BL4164" s="467"/>
      <c r="BM4164" s="467"/>
      <c r="BN4164" s="467"/>
      <c r="BO4164" s="467"/>
      <c r="BP4164" s="467"/>
      <c r="BQ4164" s="467"/>
      <c r="BR4164" s="467"/>
      <c r="BS4164" s="467"/>
      <c r="BT4164" s="467"/>
      <c r="BU4164" s="467"/>
      <c r="BV4164" s="467"/>
      <c r="BW4164" s="467"/>
      <c r="BX4164" s="769"/>
      <c r="BY4164" s="769"/>
      <c r="BZ4164" s="769"/>
      <c r="CA4164" s="769"/>
      <c r="CB4164" s="769"/>
      <c r="CC4164" s="769"/>
      <c r="CD4164" s="769"/>
      <c r="CE4164" s="769"/>
      <c r="CF4164" s="769"/>
      <c r="CG4164" s="73"/>
      <c r="CH4164" s="438"/>
      <c r="CI4164" s="416"/>
      <c r="CJ4164" s="73"/>
      <c r="CK4164" s="650"/>
      <c r="CL4164" s="499"/>
      <c r="CM4164" s="650"/>
      <c r="CR4164" s="416"/>
      <c r="CS4164" s="650"/>
      <c r="CU4164" s="73"/>
      <c r="CV4164" s="73"/>
      <c r="CW4164" s="73"/>
      <c r="CX4164" s="73"/>
      <c r="DA4164" s="650"/>
    </row>
    <row r="4165" spans="1:105" s="45" customFormat="1" x14ac:dyDescent="0.2">
      <c r="A4165" s="650"/>
      <c r="B4165" s="438"/>
      <c r="D4165" s="73"/>
      <c r="E4165" s="650"/>
      <c r="F4165" s="650"/>
      <c r="G4165" s="73"/>
      <c r="I4165" s="111"/>
      <c r="J4165" s="81"/>
      <c r="K4165" s="81"/>
      <c r="L4165" s="499"/>
      <c r="M4165" s="73"/>
      <c r="N4165" s="499"/>
      <c r="O4165" s="73"/>
      <c r="P4165" s="73"/>
      <c r="Q4165" s="73"/>
      <c r="R4165" s="176"/>
      <c r="S4165" s="176"/>
      <c r="T4165" s="176"/>
      <c r="U4165" s="400"/>
      <c r="V4165" s="400"/>
      <c r="W4165" s="732"/>
      <c r="X4165" s="167"/>
      <c r="Y4165" s="509"/>
      <c r="Z4165" s="466"/>
      <c r="AA4165" s="466"/>
      <c r="AB4165" s="466"/>
      <c r="AC4165" s="466"/>
      <c r="AD4165" s="466"/>
      <c r="AE4165" s="466"/>
      <c r="AF4165" s="466"/>
      <c r="AG4165" s="466"/>
      <c r="AH4165" s="466"/>
      <c r="AI4165" s="466"/>
      <c r="AJ4165" s="466"/>
      <c r="AK4165" s="466"/>
      <c r="AL4165" s="466"/>
      <c r="AM4165" s="466"/>
      <c r="AN4165" s="466"/>
      <c r="AO4165" s="466"/>
      <c r="AP4165" s="466"/>
      <c r="AQ4165" s="466"/>
      <c r="AR4165" s="466"/>
      <c r="AS4165" s="466"/>
      <c r="AT4165" s="466"/>
      <c r="AU4165" s="466"/>
      <c r="AV4165" s="466"/>
      <c r="AW4165" s="466"/>
      <c r="AX4165" s="466"/>
      <c r="AY4165" s="466"/>
      <c r="AZ4165" s="466"/>
      <c r="BA4165" s="466"/>
      <c r="BB4165" s="466"/>
      <c r="BC4165" s="466"/>
      <c r="BD4165" s="466"/>
      <c r="BE4165" s="467"/>
      <c r="BF4165" s="467"/>
      <c r="BG4165" s="466"/>
      <c r="BH4165" s="466"/>
      <c r="BI4165" s="467"/>
      <c r="BJ4165" s="467"/>
      <c r="BK4165" s="467"/>
      <c r="BL4165" s="467"/>
      <c r="BM4165" s="467"/>
      <c r="BN4165" s="467"/>
      <c r="BO4165" s="467"/>
      <c r="BP4165" s="467"/>
      <c r="BQ4165" s="467"/>
      <c r="BR4165" s="467"/>
      <c r="BS4165" s="467"/>
      <c r="BT4165" s="467"/>
      <c r="BU4165" s="467"/>
      <c r="BV4165" s="467"/>
      <c r="BW4165" s="467"/>
      <c r="BX4165" s="769"/>
      <c r="BY4165" s="769"/>
      <c r="BZ4165" s="769"/>
      <c r="CA4165" s="769"/>
      <c r="CB4165" s="769"/>
      <c r="CC4165" s="769"/>
      <c r="CD4165" s="769"/>
      <c r="CE4165" s="769"/>
      <c r="CF4165" s="769"/>
      <c r="CG4165" s="73"/>
      <c r="CH4165" s="438"/>
      <c r="CI4165" s="416"/>
      <c r="CJ4165" s="73"/>
      <c r="CK4165" s="650"/>
      <c r="CL4165" s="499"/>
      <c r="CM4165" s="650"/>
      <c r="CR4165" s="416"/>
      <c r="CS4165" s="650"/>
      <c r="CU4165" s="73"/>
      <c r="CV4165" s="73"/>
      <c r="CW4165" s="73"/>
      <c r="CX4165" s="73"/>
      <c r="DA4165" s="650"/>
    </row>
    <row r="4166" spans="1:105" s="45" customFormat="1" x14ac:dyDescent="0.2">
      <c r="A4166" s="650"/>
      <c r="B4166" s="438"/>
      <c r="D4166" s="73"/>
      <c r="E4166" s="650"/>
      <c r="F4166" s="650"/>
      <c r="G4166" s="73"/>
      <c r="I4166" s="111"/>
      <c r="J4166" s="81"/>
      <c r="K4166" s="81"/>
      <c r="L4166" s="499"/>
      <c r="M4166" s="73"/>
      <c r="N4166" s="499"/>
      <c r="O4166" s="73"/>
      <c r="P4166" s="73"/>
      <c r="Q4166" s="73"/>
      <c r="R4166" s="176"/>
      <c r="S4166" s="176"/>
      <c r="T4166" s="176"/>
      <c r="U4166" s="400"/>
      <c r="V4166" s="400"/>
      <c r="W4166" s="732"/>
      <c r="X4166" s="167"/>
      <c r="Y4166" s="509"/>
      <c r="Z4166" s="466"/>
      <c r="AA4166" s="466"/>
      <c r="AB4166" s="466"/>
      <c r="AC4166" s="466"/>
      <c r="AD4166" s="466"/>
      <c r="AE4166" s="466"/>
      <c r="AF4166" s="466"/>
      <c r="AG4166" s="466"/>
      <c r="AH4166" s="466"/>
      <c r="AI4166" s="466"/>
      <c r="AJ4166" s="466"/>
      <c r="AK4166" s="466"/>
      <c r="AL4166" s="466"/>
      <c r="AM4166" s="466"/>
      <c r="AN4166" s="466"/>
      <c r="AO4166" s="466"/>
      <c r="AP4166" s="466"/>
      <c r="AQ4166" s="466"/>
      <c r="AR4166" s="466"/>
      <c r="AS4166" s="466"/>
      <c r="AT4166" s="466"/>
      <c r="AU4166" s="466"/>
      <c r="AV4166" s="466"/>
      <c r="AW4166" s="466"/>
      <c r="AX4166" s="466"/>
      <c r="AY4166" s="466"/>
      <c r="AZ4166" s="466"/>
      <c r="BA4166" s="466"/>
      <c r="BB4166" s="466"/>
      <c r="BC4166" s="466"/>
      <c r="BD4166" s="466"/>
      <c r="BE4166" s="467"/>
      <c r="BF4166" s="467"/>
      <c r="BG4166" s="466"/>
      <c r="BH4166" s="466"/>
      <c r="BI4166" s="467"/>
      <c r="BJ4166" s="467"/>
      <c r="BK4166" s="467"/>
      <c r="BL4166" s="467"/>
      <c r="BM4166" s="467"/>
      <c r="BN4166" s="467"/>
      <c r="BO4166" s="467"/>
      <c r="BP4166" s="467"/>
      <c r="BQ4166" s="467"/>
      <c r="BR4166" s="467"/>
      <c r="BS4166" s="467"/>
      <c r="BT4166" s="467"/>
      <c r="BU4166" s="467"/>
      <c r="BV4166" s="467"/>
      <c r="BW4166" s="467"/>
      <c r="BX4166" s="769"/>
      <c r="BY4166" s="769"/>
      <c r="BZ4166" s="769"/>
      <c r="CA4166" s="769"/>
      <c r="CB4166" s="769"/>
      <c r="CC4166" s="769"/>
      <c r="CD4166" s="769"/>
      <c r="CE4166" s="769"/>
      <c r="CF4166" s="769"/>
      <c r="CG4166" s="73"/>
      <c r="CH4166" s="438"/>
      <c r="CI4166" s="416"/>
      <c r="CJ4166" s="73"/>
      <c r="CK4166" s="650"/>
      <c r="CL4166" s="499"/>
      <c r="CM4166" s="650"/>
      <c r="CR4166" s="416"/>
      <c r="CS4166" s="650"/>
      <c r="CU4166" s="73"/>
      <c r="CV4166" s="73"/>
      <c r="CW4166" s="73"/>
      <c r="CX4166" s="73"/>
      <c r="DA4166" s="650"/>
    </row>
    <row r="4167" spans="1:105" s="45" customFormat="1" x14ac:dyDescent="0.2">
      <c r="A4167" s="650"/>
      <c r="B4167" s="438"/>
      <c r="D4167" s="73"/>
      <c r="E4167" s="650"/>
      <c r="F4167" s="650"/>
      <c r="G4167" s="73"/>
      <c r="I4167" s="111"/>
      <c r="J4167" s="81"/>
      <c r="K4167" s="81"/>
      <c r="L4167" s="499"/>
      <c r="M4167" s="73"/>
      <c r="N4167" s="499"/>
      <c r="O4167" s="73"/>
      <c r="P4167" s="73"/>
      <c r="Q4167" s="73"/>
      <c r="R4167" s="176"/>
      <c r="S4167" s="176"/>
      <c r="T4167" s="176"/>
      <c r="U4167" s="400"/>
      <c r="V4167" s="400"/>
      <c r="W4167" s="732"/>
      <c r="X4167" s="167"/>
      <c r="Y4167" s="509"/>
      <c r="Z4167" s="466"/>
      <c r="AA4167" s="466"/>
      <c r="AB4167" s="466"/>
      <c r="AC4167" s="466"/>
      <c r="AD4167" s="466"/>
      <c r="AE4167" s="466"/>
      <c r="AF4167" s="466"/>
      <c r="AG4167" s="466"/>
      <c r="AH4167" s="466"/>
      <c r="AI4167" s="466"/>
      <c r="AJ4167" s="466"/>
      <c r="AK4167" s="466"/>
      <c r="AL4167" s="466"/>
      <c r="AM4167" s="466"/>
      <c r="AN4167" s="466"/>
      <c r="AO4167" s="466"/>
      <c r="AP4167" s="466"/>
      <c r="AQ4167" s="466"/>
      <c r="AR4167" s="466"/>
      <c r="AS4167" s="466"/>
      <c r="AT4167" s="466"/>
      <c r="AU4167" s="466"/>
      <c r="AV4167" s="466"/>
      <c r="AW4167" s="466"/>
      <c r="AX4167" s="466"/>
      <c r="AY4167" s="466"/>
      <c r="AZ4167" s="466"/>
      <c r="BA4167" s="466"/>
      <c r="BB4167" s="466"/>
      <c r="BC4167" s="466"/>
      <c r="BD4167" s="466"/>
      <c r="BE4167" s="467"/>
      <c r="BF4167" s="467"/>
      <c r="BG4167" s="466"/>
      <c r="BH4167" s="466"/>
      <c r="BI4167" s="467"/>
      <c r="BJ4167" s="467"/>
      <c r="BK4167" s="467"/>
      <c r="BL4167" s="467"/>
      <c r="BM4167" s="467"/>
      <c r="BN4167" s="467"/>
      <c r="BO4167" s="467"/>
      <c r="BP4167" s="467"/>
      <c r="BQ4167" s="467"/>
      <c r="BR4167" s="467"/>
      <c r="BS4167" s="467"/>
      <c r="BT4167" s="467"/>
      <c r="BU4167" s="467"/>
      <c r="BV4167" s="467"/>
      <c r="BW4167" s="467"/>
      <c r="BX4167" s="769"/>
      <c r="BY4167" s="769"/>
      <c r="BZ4167" s="769"/>
      <c r="CA4167" s="769"/>
      <c r="CB4167" s="769"/>
      <c r="CC4167" s="769"/>
      <c r="CD4167" s="769"/>
      <c r="CE4167" s="769"/>
      <c r="CF4167" s="769"/>
      <c r="CG4167" s="73"/>
      <c r="CH4167" s="438"/>
      <c r="CI4167" s="416"/>
      <c r="CJ4167" s="73"/>
      <c r="CK4167" s="650"/>
      <c r="CL4167" s="499"/>
      <c r="CM4167" s="650"/>
      <c r="CR4167" s="416"/>
      <c r="CS4167" s="650"/>
      <c r="CU4167" s="73"/>
      <c r="CV4167" s="73"/>
      <c r="CW4167" s="73"/>
      <c r="CX4167" s="73"/>
      <c r="DA4167" s="650"/>
    </row>
    <row r="4168" spans="1:105" s="45" customFormat="1" x14ac:dyDescent="0.2">
      <c r="A4168" s="650"/>
      <c r="B4168" s="438"/>
      <c r="D4168" s="73"/>
      <c r="E4168" s="650"/>
      <c r="F4168" s="650"/>
      <c r="G4168" s="73"/>
      <c r="I4168" s="111"/>
      <c r="J4168" s="81"/>
      <c r="K4168" s="81"/>
      <c r="L4168" s="499"/>
      <c r="M4168" s="73"/>
      <c r="N4168" s="499"/>
      <c r="O4168" s="73"/>
      <c r="P4168" s="73"/>
      <c r="Q4168" s="73"/>
      <c r="R4168" s="176"/>
      <c r="S4168" s="176"/>
      <c r="T4168" s="176"/>
      <c r="U4168" s="400"/>
      <c r="V4168" s="400"/>
      <c r="W4168" s="732"/>
      <c r="X4168" s="167"/>
      <c r="Y4168" s="509"/>
      <c r="Z4168" s="466"/>
      <c r="AA4168" s="466"/>
      <c r="AB4168" s="466"/>
      <c r="AC4168" s="466"/>
      <c r="AD4168" s="466"/>
      <c r="AE4168" s="466"/>
      <c r="AF4168" s="466"/>
      <c r="AG4168" s="466"/>
      <c r="AH4168" s="466"/>
      <c r="AI4168" s="466"/>
      <c r="AJ4168" s="466"/>
      <c r="AK4168" s="466"/>
      <c r="AL4168" s="466"/>
      <c r="AM4168" s="466"/>
      <c r="AN4168" s="466"/>
      <c r="AO4168" s="466"/>
      <c r="AP4168" s="466"/>
      <c r="AQ4168" s="466"/>
      <c r="AR4168" s="466"/>
      <c r="AS4168" s="466"/>
      <c r="AT4168" s="466"/>
      <c r="AU4168" s="466"/>
      <c r="AV4168" s="466"/>
      <c r="AW4168" s="466"/>
      <c r="AX4168" s="466"/>
      <c r="AY4168" s="466"/>
      <c r="AZ4168" s="466"/>
      <c r="BA4168" s="466"/>
      <c r="BB4168" s="466"/>
      <c r="BC4168" s="466"/>
      <c r="BD4168" s="466"/>
      <c r="BE4168" s="467"/>
      <c r="BF4168" s="467"/>
      <c r="BG4168" s="466"/>
      <c r="BH4168" s="466"/>
      <c r="BI4168" s="467"/>
      <c r="BJ4168" s="467"/>
      <c r="BK4168" s="467"/>
      <c r="BL4168" s="467"/>
      <c r="BM4168" s="467"/>
      <c r="BN4168" s="467"/>
      <c r="BO4168" s="467"/>
      <c r="BP4168" s="467"/>
      <c r="BQ4168" s="467"/>
      <c r="BR4168" s="467"/>
      <c r="BS4168" s="467"/>
      <c r="BT4168" s="467"/>
      <c r="BU4168" s="467"/>
      <c r="BV4168" s="467"/>
      <c r="BW4168" s="467"/>
      <c r="BX4168" s="769"/>
      <c r="BY4168" s="769"/>
      <c r="BZ4168" s="769"/>
      <c r="CA4168" s="769"/>
      <c r="CB4168" s="769"/>
      <c r="CC4168" s="769"/>
      <c r="CD4168" s="769"/>
      <c r="CE4168" s="769"/>
      <c r="CF4168" s="769"/>
      <c r="CG4168" s="73"/>
      <c r="CH4168" s="438"/>
      <c r="CI4168" s="416"/>
      <c r="CJ4168" s="73"/>
      <c r="CK4168" s="650"/>
      <c r="CL4168" s="499"/>
      <c r="CM4168" s="650"/>
      <c r="CR4168" s="416"/>
      <c r="CS4168" s="650"/>
      <c r="CU4168" s="73"/>
      <c r="CV4168" s="73"/>
      <c r="CW4168" s="73"/>
      <c r="CX4168" s="73"/>
      <c r="DA4168" s="650"/>
    </row>
    <row r="4169" spans="1:105" s="45" customFormat="1" x14ac:dyDescent="0.2">
      <c r="A4169" s="650"/>
      <c r="B4169" s="438"/>
      <c r="D4169" s="73"/>
      <c r="E4169" s="650"/>
      <c r="F4169" s="650"/>
      <c r="G4169" s="73"/>
      <c r="I4169" s="111"/>
      <c r="J4169" s="81"/>
      <c r="K4169" s="81"/>
      <c r="L4169" s="499"/>
      <c r="M4169" s="73"/>
      <c r="N4169" s="499"/>
      <c r="O4169" s="73"/>
      <c r="P4169" s="73"/>
      <c r="Q4169" s="73"/>
      <c r="R4169" s="176"/>
      <c r="S4169" s="176"/>
      <c r="T4169" s="176"/>
      <c r="U4169" s="400"/>
      <c r="V4169" s="400"/>
      <c r="W4169" s="732"/>
      <c r="X4169" s="167"/>
      <c r="Y4169" s="509"/>
      <c r="Z4169" s="466"/>
      <c r="AA4169" s="466"/>
      <c r="AB4169" s="466"/>
      <c r="AC4169" s="466"/>
      <c r="AD4169" s="466"/>
      <c r="AE4169" s="466"/>
      <c r="AF4169" s="466"/>
      <c r="AG4169" s="466"/>
      <c r="AH4169" s="466"/>
      <c r="AI4169" s="466"/>
      <c r="AJ4169" s="466"/>
      <c r="AK4169" s="466"/>
      <c r="AL4169" s="466"/>
      <c r="AM4169" s="466"/>
      <c r="AN4169" s="466"/>
      <c r="AO4169" s="466"/>
      <c r="AP4169" s="466"/>
      <c r="AQ4169" s="466"/>
      <c r="AR4169" s="466"/>
      <c r="AS4169" s="466"/>
      <c r="AT4169" s="466"/>
      <c r="AU4169" s="466"/>
      <c r="AV4169" s="466"/>
      <c r="AW4169" s="466"/>
      <c r="AX4169" s="466"/>
      <c r="AY4169" s="466"/>
      <c r="AZ4169" s="466"/>
      <c r="BA4169" s="466"/>
      <c r="BB4169" s="466"/>
      <c r="BC4169" s="466"/>
      <c r="BD4169" s="466"/>
      <c r="BE4169" s="467"/>
      <c r="BF4169" s="467"/>
      <c r="BG4169" s="466"/>
      <c r="BH4169" s="466"/>
      <c r="BI4169" s="467"/>
      <c r="BJ4169" s="467"/>
      <c r="BK4169" s="467"/>
      <c r="BL4169" s="467"/>
      <c r="BM4169" s="467"/>
      <c r="BN4169" s="467"/>
      <c r="BO4169" s="467"/>
      <c r="BP4169" s="467"/>
      <c r="BQ4169" s="467"/>
      <c r="BR4169" s="467"/>
      <c r="BS4169" s="467"/>
      <c r="BT4169" s="467"/>
      <c r="BU4169" s="467"/>
      <c r="BV4169" s="467"/>
      <c r="BW4169" s="467"/>
      <c r="BX4169" s="769"/>
      <c r="BY4169" s="769"/>
      <c r="BZ4169" s="769"/>
      <c r="CA4169" s="769"/>
      <c r="CB4169" s="769"/>
      <c r="CC4169" s="769"/>
      <c r="CD4169" s="769"/>
      <c r="CE4169" s="769"/>
      <c r="CF4169" s="769"/>
      <c r="CG4169" s="73"/>
      <c r="CH4169" s="438"/>
      <c r="CI4169" s="416"/>
      <c r="CJ4169" s="73"/>
      <c r="CK4169" s="650"/>
      <c r="CL4169" s="499"/>
      <c r="CM4169" s="650"/>
      <c r="CR4169" s="416"/>
      <c r="CS4169" s="650"/>
      <c r="CU4169" s="73"/>
      <c r="CV4169" s="73"/>
      <c r="CW4169" s="73"/>
      <c r="CX4169" s="73"/>
      <c r="DA4169" s="650"/>
    </row>
    <row r="4170" spans="1:105" s="45" customFormat="1" x14ac:dyDescent="0.2">
      <c r="A4170" s="650"/>
      <c r="B4170" s="438"/>
      <c r="D4170" s="73"/>
      <c r="E4170" s="650"/>
      <c r="F4170" s="650"/>
      <c r="G4170" s="73"/>
      <c r="I4170" s="111"/>
      <c r="J4170" s="81"/>
      <c r="K4170" s="81"/>
      <c r="L4170" s="499"/>
      <c r="M4170" s="73"/>
      <c r="N4170" s="499"/>
      <c r="O4170" s="73"/>
      <c r="P4170" s="73"/>
      <c r="Q4170" s="73"/>
      <c r="R4170" s="176"/>
      <c r="S4170" s="176"/>
      <c r="T4170" s="176"/>
      <c r="U4170" s="400"/>
      <c r="V4170" s="400"/>
      <c r="W4170" s="732"/>
      <c r="X4170" s="167"/>
      <c r="Y4170" s="509"/>
      <c r="Z4170" s="466"/>
      <c r="AA4170" s="466"/>
      <c r="AB4170" s="466"/>
      <c r="AC4170" s="466"/>
      <c r="AD4170" s="466"/>
      <c r="AE4170" s="466"/>
      <c r="AF4170" s="466"/>
      <c r="AG4170" s="466"/>
      <c r="AH4170" s="466"/>
      <c r="AI4170" s="466"/>
      <c r="AJ4170" s="466"/>
      <c r="AK4170" s="466"/>
      <c r="AL4170" s="466"/>
      <c r="AM4170" s="466"/>
      <c r="AN4170" s="466"/>
      <c r="AO4170" s="466"/>
      <c r="AP4170" s="466"/>
      <c r="AQ4170" s="466"/>
      <c r="AR4170" s="466"/>
      <c r="AS4170" s="466"/>
      <c r="AT4170" s="466"/>
      <c r="AU4170" s="466"/>
      <c r="AV4170" s="466"/>
      <c r="AW4170" s="466"/>
      <c r="AX4170" s="466"/>
      <c r="AY4170" s="466"/>
      <c r="AZ4170" s="466"/>
      <c r="BA4170" s="466"/>
      <c r="BB4170" s="466"/>
      <c r="BC4170" s="466"/>
      <c r="BD4170" s="466"/>
      <c r="BE4170" s="467"/>
      <c r="BF4170" s="467"/>
      <c r="BG4170" s="466"/>
      <c r="BH4170" s="466"/>
      <c r="BI4170" s="467"/>
      <c r="BJ4170" s="467"/>
      <c r="BK4170" s="467"/>
      <c r="BL4170" s="467"/>
      <c r="BM4170" s="467"/>
      <c r="BN4170" s="467"/>
      <c r="BO4170" s="467"/>
      <c r="BP4170" s="467"/>
      <c r="BQ4170" s="467"/>
      <c r="BR4170" s="467"/>
      <c r="BS4170" s="467"/>
      <c r="BT4170" s="467"/>
      <c r="BU4170" s="467"/>
      <c r="BV4170" s="467"/>
      <c r="BW4170" s="467"/>
      <c r="BX4170" s="769"/>
      <c r="BY4170" s="769"/>
      <c r="BZ4170" s="769"/>
      <c r="CA4170" s="769"/>
      <c r="CB4170" s="769"/>
      <c r="CC4170" s="769"/>
      <c r="CD4170" s="769"/>
      <c r="CE4170" s="769"/>
      <c r="CF4170" s="769"/>
      <c r="CG4170" s="73"/>
      <c r="CH4170" s="438"/>
      <c r="CI4170" s="416"/>
      <c r="CJ4170" s="73"/>
      <c r="CK4170" s="650"/>
      <c r="CL4170" s="499"/>
      <c r="CM4170" s="650"/>
      <c r="CR4170" s="416"/>
      <c r="CS4170" s="650"/>
      <c r="CU4170" s="73"/>
      <c r="CV4170" s="73"/>
      <c r="CW4170" s="73"/>
      <c r="CX4170" s="73"/>
      <c r="DA4170" s="650"/>
    </row>
    <row r="4171" spans="1:105" s="45" customFormat="1" x14ac:dyDescent="0.2">
      <c r="A4171" s="650"/>
      <c r="B4171" s="438"/>
      <c r="D4171" s="73"/>
      <c r="E4171" s="650"/>
      <c r="F4171" s="650"/>
      <c r="G4171" s="73"/>
      <c r="I4171" s="111"/>
      <c r="J4171" s="81"/>
      <c r="K4171" s="81"/>
      <c r="L4171" s="499"/>
      <c r="M4171" s="73"/>
      <c r="N4171" s="499"/>
      <c r="O4171" s="73"/>
      <c r="P4171" s="73"/>
      <c r="Q4171" s="73"/>
      <c r="R4171" s="176"/>
      <c r="S4171" s="176"/>
      <c r="T4171" s="176"/>
      <c r="U4171" s="400"/>
      <c r="V4171" s="400"/>
      <c r="W4171" s="732"/>
      <c r="X4171" s="167"/>
      <c r="Y4171" s="509"/>
      <c r="Z4171" s="466"/>
      <c r="AA4171" s="466"/>
      <c r="AB4171" s="466"/>
      <c r="AC4171" s="466"/>
      <c r="AD4171" s="466"/>
      <c r="AE4171" s="466"/>
      <c r="AF4171" s="466"/>
      <c r="AG4171" s="466"/>
      <c r="AH4171" s="466"/>
      <c r="AI4171" s="466"/>
      <c r="AJ4171" s="466"/>
      <c r="AK4171" s="466"/>
      <c r="AL4171" s="466"/>
      <c r="AM4171" s="466"/>
      <c r="AN4171" s="466"/>
      <c r="AO4171" s="466"/>
      <c r="AP4171" s="466"/>
      <c r="AQ4171" s="466"/>
      <c r="AR4171" s="466"/>
      <c r="AS4171" s="466"/>
      <c r="AT4171" s="466"/>
      <c r="AU4171" s="466"/>
      <c r="AV4171" s="466"/>
      <c r="AW4171" s="466"/>
      <c r="AX4171" s="466"/>
      <c r="AY4171" s="466"/>
      <c r="AZ4171" s="466"/>
      <c r="BA4171" s="466"/>
      <c r="BB4171" s="466"/>
      <c r="BC4171" s="466"/>
      <c r="BD4171" s="466"/>
      <c r="BE4171" s="467"/>
      <c r="BF4171" s="467"/>
      <c r="BG4171" s="466"/>
      <c r="BH4171" s="466"/>
      <c r="BI4171" s="467"/>
      <c r="BJ4171" s="467"/>
      <c r="BK4171" s="467"/>
      <c r="BL4171" s="467"/>
      <c r="BM4171" s="467"/>
      <c r="BN4171" s="467"/>
      <c r="BO4171" s="467"/>
      <c r="BP4171" s="467"/>
      <c r="BQ4171" s="467"/>
      <c r="BR4171" s="467"/>
      <c r="BS4171" s="467"/>
      <c r="BT4171" s="467"/>
      <c r="BU4171" s="467"/>
      <c r="BV4171" s="467"/>
      <c r="BW4171" s="467"/>
      <c r="BX4171" s="769"/>
      <c r="BY4171" s="769"/>
      <c r="BZ4171" s="769"/>
      <c r="CA4171" s="769"/>
      <c r="CB4171" s="769"/>
      <c r="CC4171" s="769"/>
      <c r="CD4171" s="769"/>
      <c r="CE4171" s="769"/>
      <c r="CF4171" s="769"/>
      <c r="CG4171" s="73"/>
      <c r="CH4171" s="438"/>
      <c r="CI4171" s="416"/>
      <c r="CJ4171" s="73"/>
      <c r="CK4171" s="650"/>
      <c r="CL4171" s="499"/>
      <c r="CM4171" s="650"/>
      <c r="CR4171" s="416"/>
      <c r="CS4171" s="650"/>
      <c r="CU4171" s="73"/>
      <c r="CV4171" s="73"/>
      <c r="CW4171" s="73"/>
      <c r="CX4171" s="73"/>
      <c r="DA4171" s="650"/>
    </row>
    <row r="4172" spans="1:105" s="45" customFormat="1" x14ac:dyDescent="0.2">
      <c r="A4172" s="650"/>
      <c r="B4172" s="438"/>
      <c r="D4172" s="73"/>
      <c r="E4172" s="650"/>
      <c r="F4172" s="650"/>
      <c r="G4172" s="73"/>
      <c r="I4172" s="111"/>
      <c r="J4172" s="81"/>
      <c r="K4172" s="81"/>
      <c r="L4172" s="499"/>
      <c r="M4172" s="73"/>
      <c r="N4172" s="499"/>
      <c r="O4172" s="73"/>
      <c r="P4172" s="73"/>
      <c r="Q4172" s="73"/>
      <c r="R4172" s="176"/>
      <c r="S4172" s="176"/>
      <c r="T4172" s="176"/>
      <c r="U4172" s="400"/>
      <c r="V4172" s="400"/>
      <c r="W4172" s="732"/>
      <c r="X4172" s="167"/>
      <c r="Y4172" s="509"/>
      <c r="Z4172" s="466"/>
      <c r="AA4172" s="466"/>
      <c r="AB4172" s="466"/>
      <c r="AC4172" s="466"/>
      <c r="AD4172" s="466"/>
      <c r="AE4172" s="466"/>
      <c r="AF4172" s="466"/>
      <c r="AG4172" s="466"/>
      <c r="AH4172" s="466"/>
      <c r="AI4172" s="466"/>
      <c r="AJ4172" s="466"/>
      <c r="AK4172" s="466"/>
      <c r="AL4172" s="466"/>
      <c r="AM4172" s="466"/>
      <c r="AN4172" s="466"/>
      <c r="AO4172" s="466"/>
      <c r="AP4172" s="466"/>
      <c r="AQ4172" s="466"/>
      <c r="AR4172" s="466"/>
      <c r="AS4172" s="466"/>
      <c r="AT4172" s="466"/>
      <c r="AU4172" s="466"/>
      <c r="AV4172" s="466"/>
      <c r="AW4172" s="466"/>
      <c r="AX4172" s="466"/>
      <c r="AY4172" s="466"/>
      <c r="AZ4172" s="466"/>
      <c r="BA4172" s="466"/>
      <c r="BB4172" s="466"/>
      <c r="BC4172" s="466"/>
      <c r="BD4172" s="466"/>
      <c r="BE4172" s="467"/>
      <c r="BF4172" s="467"/>
      <c r="BG4172" s="466"/>
      <c r="BH4172" s="466"/>
      <c r="BI4172" s="467"/>
      <c r="BJ4172" s="467"/>
      <c r="BK4172" s="467"/>
      <c r="BL4172" s="467"/>
      <c r="BM4172" s="467"/>
      <c r="BN4172" s="467"/>
      <c r="BO4172" s="467"/>
      <c r="BP4172" s="467"/>
      <c r="BQ4172" s="467"/>
      <c r="BR4172" s="467"/>
      <c r="BS4172" s="467"/>
      <c r="BT4172" s="467"/>
      <c r="BU4172" s="467"/>
      <c r="BV4172" s="467"/>
      <c r="BW4172" s="467"/>
      <c r="BX4172" s="769"/>
      <c r="BY4172" s="769"/>
      <c r="BZ4172" s="769"/>
      <c r="CA4172" s="769"/>
      <c r="CB4172" s="769"/>
      <c r="CC4172" s="769"/>
      <c r="CD4172" s="769"/>
      <c r="CE4172" s="769"/>
      <c r="CF4172" s="769"/>
      <c r="CG4172" s="73"/>
      <c r="CH4172" s="438"/>
      <c r="CI4172" s="416"/>
      <c r="CJ4172" s="73"/>
      <c r="CK4172" s="650"/>
      <c r="CL4172" s="499"/>
      <c r="CM4172" s="650"/>
      <c r="CR4172" s="416"/>
      <c r="CS4172" s="650"/>
      <c r="CU4172" s="73"/>
      <c r="CV4172" s="73"/>
      <c r="CW4172" s="73"/>
      <c r="CX4172" s="73"/>
      <c r="DA4172" s="650"/>
    </row>
    <row r="4173" spans="1:105" s="45" customFormat="1" x14ac:dyDescent="0.2">
      <c r="A4173" s="650"/>
      <c r="B4173" s="438"/>
      <c r="D4173" s="73"/>
      <c r="E4173" s="650"/>
      <c r="F4173" s="650"/>
      <c r="G4173" s="73"/>
      <c r="I4173" s="111"/>
      <c r="J4173" s="81"/>
      <c r="K4173" s="81"/>
      <c r="L4173" s="499"/>
      <c r="M4173" s="73"/>
      <c r="N4173" s="499"/>
      <c r="O4173" s="73"/>
      <c r="P4173" s="73"/>
      <c r="Q4173" s="73"/>
      <c r="R4173" s="176"/>
      <c r="S4173" s="176"/>
      <c r="T4173" s="176"/>
      <c r="U4173" s="400"/>
      <c r="V4173" s="400"/>
      <c r="W4173" s="732"/>
      <c r="X4173" s="167"/>
      <c r="Y4173" s="509"/>
      <c r="Z4173" s="466"/>
      <c r="AA4173" s="466"/>
      <c r="AB4173" s="466"/>
      <c r="AC4173" s="466"/>
      <c r="AD4173" s="466"/>
      <c r="AE4173" s="466"/>
      <c r="AF4173" s="466"/>
      <c r="AG4173" s="466"/>
      <c r="AH4173" s="466"/>
      <c r="AI4173" s="466"/>
      <c r="AJ4173" s="466"/>
      <c r="AK4173" s="466"/>
      <c r="AL4173" s="466"/>
      <c r="AM4173" s="466"/>
      <c r="AN4173" s="466"/>
      <c r="AO4173" s="466"/>
      <c r="AP4173" s="466"/>
      <c r="AQ4173" s="466"/>
      <c r="AR4173" s="466"/>
      <c r="AS4173" s="466"/>
      <c r="AT4173" s="466"/>
      <c r="AU4173" s="466"/>
      <c r="AV4173" s="466"/>
      <c r="AW4173" s="466"/>
      <c r="AX4173" s="466"/>
      <c r="AY4173" s="466"/>
      <c r="AZ4173" s="466"/>
      <c r="BA4173" s="466"/>
      <c r="BB4173" s="466"/>
      <c r="BC4173" s="466"/>
      <c r="BD4173" s="466"/>
      <c r="BE4173" s="467"/>
      <c r="BF4173" s="467"/>
      <c r="BG4173" s="466"/>
      <c r="BH4173" s="466"/>
      <c r="BI4173" s="467"/>
      <c r="BJ4173" s="467"/>
      <c r="BK4173" s="467"/>
      <c r="BL4173" s="467"/>
      <c r="BM4173" s="467"/>
      <c r="BN4173" s="467"/>
      <c r="BO4173" s="467"/>
      <c r="BP4173" s="467"/>
      <c r="BQ4173" s="467"/>
      <c r="BR4173" s="467"/>
      <c r="BS4173" s="467"/>
      <c r="BT4173" s="467"/>
      <c r="BU4173" s="467"/>
      <c r="BV4173" s="467"/>
      <c r="BW4173" s="467"/>
      <c r="BX4173" s="769"/>
      <c r="BY4173" s="769"/>
      <c r="BZ4173" s="769"/>
      <c r="CA4173" s="769"/>
      <c r="CB4173" s="769"/>
      <c r="CC4173" s="769"/>
      <c r="CD4173" s="769"/>
      <c r="CE4173" s="769"/>
      <c r="CF4173" s="769"/>
      <c r="CG4173" s="73"/>
      <c r="CH4173" s="438"/>
      <c r="CI4173" s="416"/>
      <c r="CJ4173" s="73"/>
      <c r="CK4173" s="650"/>
      <c r="CL4173" s="499"/>
      <c r="CM4173" s="650"/>
      <c r="CR4173" s="416"/>
      <c r="CS4173" s="650"/>
      <c r="CU4173" s="73"/>
      <c r="CV4173" s="73"/>
      <c r="CW4173" s="73"/>
      <c r="CX4173" s="73"/>
      <c r="DA4173" s="650"/>
    </row>
    <row r="4174" spans="1:105" s="45" customFormat="1" x14ac:dyDescent="0.2">
      <c r="A4174" s="650"/>
      <c r="B4174" s="438"/>
      <c r="D4174" s="73"/>
      <c r="E4174" s="650"/>
      <c r="F4174" s="650"/>
      <c r="G4174" s="73"/>
      <c r="I4174" s="111"/>
      <c r="J4174" s="81"/>
      <c r="K4174" s="81"/>
      <c r="L4174" s="499"/>
      <c r="M4174" s="73"/>
      <c r="N4174" s="499"/>
      <c r="O4174" s="73"/>
      <c r="P4174" s="73"/>
      <c r="Q4174" s="73"/>
      <c r="R4174" s="176"/>
      <c r="S4174" s="176"/>
      <c r="T4174" s="176"/>
      <c r="U4174" s="400"/>
      <c r="V4174" s="400"/>
      <c r="W4174" s="732"/>
      <c r="X4174" s="167"/>
      <c r="Y4174" s="509"/>
      <c r="Z4174" s="466"/>
      <c r="AA4174" s="466"/>
      <c r="AB4174" s="466"/>
      <c r="AC4174" s="466"/>
      <c r="AD4174" s="466"/>
      <c r="AE4174" s="466"/>
      <c r="AF4174" s="466"/>
      <c r="AG4174" s="466"/>
      <c r="AH4174" s="466"/>
      <c r="AI4174" s="466"/>
      <c r="AJ4174" s="466"/>
      <c r="AK4174" s="466"/>
      <c r="AL4174" s="466"/>
      <c r="AM4174" s="466"/>
      <c r="AN4174" s="466"/>
      <c r="AO4174" s="466"/>
      <c r="AP4174" s="466"/>
      <c r="AQ4174" s="466"/>
      <c r="AR4174" s="466"/>
      <c r="AS4174" s="466"/>
      <c r="AT4174" s="466"/>
      <c r="AU4174" s="466"/>
      <c r="AV4174" s="466"/>
      <c r="AW4174" s="466"/>
      <c r="AX4174" s="466"/>
      <c r="AY4174" s="466"/>
      <c r="AZ4174" s="466"/>
      <c r="BA4174" s="466"/>
      <c r="BB4174" s="466"/>
      <c r="BC4174" s="466"/>
      <c r="BD4174" s="466"/>
      <c r="BE4174" s="467"/>
      <c r="BF4174" s="467"/>
      <c r="BG4174" s="466"/>
      <c r="BH4174" s="466"/>
      <c r="BI4174" s="467"/>
      <c r="BJ4174" s="467"/>
      <c r="BK4174" s="467"/>
      <c r="BL4174" s="467"/>
      <c r="BM4174" s="467"/>
      <c r="BN4174" s="467"/>
      <c r="BO4174" s="467"/>
      <c r="BP4174" s="467"/>
      <c r="BQ4174" s="467"/>
      <c r="BR4174" s="467"/>
      <c r="BS4174" s="467"/>
      <c r="BT4174" s="467"/>
      <c r="BU4174" s="467"/>
      <c r="BV4174" s="467"/>
      <c r="BW4174" s="467"/>
      <c r="BX4174" s="769"/>
      <c r="BY4174" s="769"/>
      <c r="BZ4174" s="769"/>
      <c r="CA4174" s="769"/>
      <c r="CB4174" s="769"/>
      <c r="CC4174" s="769"/>
      <c r="CD4174" s="769"/>
      <c r="CE4174" s="769"/>
      <c r="CF4174" s="769"/>
      <c r="CG4174" s="73"/>
      <c r="CH4174" s="438"/>
      <c r="CI4174" s="416"/>
      <c r="CJ4174" s="73"/>
      <c r="CK4174" s="650"/>
      <c r="CL4174" s="499"/>
      <c r="CM4174" s="650"/>
      <c r="CR4174" s="416"/>
      <c r="CS4174" s="650"/>
      <c r="CU4174" s="73"/>
      <c r="CV4174" s="73"/>
      <c r="CW4174" s="73"/>
      <c r="CX4174" s="73"/>
      <c r="DA4174" s="650"/>
    </row>
    <row r="4175" spans="1:105" s="45" customFormat="1" x14ac:dyDescent="0.2">
      <c r="A4175" s="650"/>
      <c r="B4175" s="438"/>
      <c r="D4175" s="73"/>
      <c r="E4175" s="650"/>
      <c r="F4175" s="650"/>
      <c r="G4175" s="73"/>
      <c r="I4175" s="111"/>
      <c r="J4175" s="81"/>
      <c r="K4175" s="81"/>
      <c r="L4175" s="499"/>
      <c r="M4175" s="73"/>
      <c r="N4175" s="499"/>
      <c r="O4175" s="73"/>
      <c r="P4175" s="73"/>
      <c r="Q4175" s="73"/>
      <c r="R4175" s="176"/>
      <c r="S4175" s="176"/>
      <c r="T4175" s="176"/>
      <c r="U4175" s="400"/>
      <c r="V4175" s="400"/>
      <c r="W4175" s="732"/>
      <c r="X4175" s="167"/>
      <c r="Y4175" s="509"/>
      <c r="Z4175" s="466"/>
      <c r="AA4175" s="466"/>
      <c r="AB4175" s="466"/>
      <c r="AC4175" s="466"/>
      <c r="AD4175" s="466"/>
      <c r="AE4175" s="466"/>
      <c r="AF4175" s="466"/>
      <c r="AG4175" s="466"/>
      <c r="AH4175" s="466"/>
      <c r="AI4175" s="466"/>
      <c r="AJ4175" s="466"/>
      <c r="AK4175" s="466"/>
      <c r="AL4175" s="466"/>
      <c r="AM4175" s="466"/>
      <c r="AN4175" s="466"/>
      <c r="AO4175" s="466"/>
      <c r="AP4175" s="466"/>
      <c r="AQ4175" s="466"/>
      <c r="AR4175" s="466"/>
      <c r="AS4175" s="466"/>
      <c r="AT4175" s="466"/>
      <c r="AU4175" s="466"/>
      <c r="AV4175" s="466"/>
      <c r="AW4175" s="466"/>
      <c r="AX4175" s="466"/>
      <c r="AY4175" s="466"/>
      <c r="AZ4175" s="466"/>
      <c r="BA4175" s="466"/>
      <c r="BB4175" s="466"/>
      <c r="BC4175" s="466"/>
      <c r="BD4175" s="466"/>
      <c r="BE4175" s="467"/>
      <c r="BF4175" s="467"/>
      <c r="BG4175" s="466"/>
      <c r="BH4175" s="466"/>
      <c r="BI4175" s="467"/>
      <c r="BJ4175" s="467"/>
      <c r="BK4175" s="467"/>
      <c r="BL4175" s="467"/>
      <c r="BM4175" s="467"/>
      <c r="BN4175" s="467"/>
      <c r="BO4175" s="467"/>
      <c r="BP4175" s="467"/>
      <c r="BQ4175" s="467"/>
      <c r="BR4175" s="467"/>
      <c r="BS4175" s="467"/>
      <c r="BT4175" s="467"/>
      <c r="BU4175" s="467"/>
      <c r="BV4175" s="467"/>
      <c r="BW4175" s="467"/>
      <c r="BX4175" s="769"/>
      <c r="BY4175" s="769"/>
      <c r="BZ4175" s="769"/>
      <c r="CA4175" s="769"/>
      <c r="CB4175" s="769"/>
      <c r="CC4175" s="769"/>
      <c r="CD4175" s="769"/>
      <c r="CE4175" s="769"/>
      <c r="CF4175" s="769"/>
      <c r="CG4175" s="73"/>
      <c r="CH4175" s="438"/>
      <c r="CI4175" s="416"/>
      <c r="CJ4175" s="73"/>
      <c r="CK4175" s="650"/>
      <c r="CL4175" s="499"/>
      <c r="CM4175" s="650"/>
      <c r="CR4175" s="416"/>
      <c r="CS4175" s="650"/>
      <c r="CU4175" s="73"/>
      <c r="CV4175" s="73"/>
      <c r="CW4175" s="73"/>
      <c r="CX4175" s="73"/>
      <c r="DA4175" s="650"/>
    </row>
    <row r="4176" spans="1:105" s="45" customFormat="1" x14ac:dyDescent="0.2">
      <c r="A4176" s="650"/>
      <c r="B4176" s="438"/>
      <c r="D4176" s="73"/>
      <c r="E4176" s="650"/>
      <c r="F4176" s="650"/>
      <c r="G4176" s="73"/>
      <c r="I4176" s="111"/>
      <c r="J4176" s="81"/>
      <c r="K4176" s="81"/>
      <c r="L4176" s="499"/>
      <c r="M4176" s="73"/>
      <c r="N4176" s="499"/>
      <c r="O4176" s="73"/>
      <c r="P4176" s="73"/>
      <c r="Q4176" s="73"/>
      <c r="R4176" s="176"/>
      <c r="S4176" s="176"/>
      <c r="T4176" s="176"/>
      <c r="U4176" s="400"/>
      <c r="V4176" s="400"/>
      <c r="W4176" s="732"/>
      <c r="X4176" s="167"/>
      <c r="Y4176" s="509"/>
      <c r="Z4176" s="466"/>
      <c r="AA4176" s="466"/>
      <c r="AB4176" s="466"/>
      <c r="AC4176" s="466"/>
      <c r="AD4176" s="466"/>
      <c r="AE4176" s="466"/>
      <c r="AF4176" s="466"/>
      <c r="AG4176" s="466"/>
      <c r="AH4176" s="466"/>
      <c r="AI4176" s="466"/>
      <c r="AJ4176" s="466"/>
      <c r="AK4176" s="466"/>
      <c r="AL4176" s="466"/>
      <c r="AM4176" s="466"/>
      <c r="AN4176" s="466"/>
      <c r="AO4176" s="466"/>
      <c r="AP4176" s="466"/>
      <c r="AQ4176" s="466"/>
      <c r="AR4176" s="466"/>
      <c r="AS4176" s="466"/>
      <c r="AT4176" s="466"/>
      <c r="AU4176" s="466"/>
      <c r="AV4176" s="466"/>
      <c r="AW4176" s="466"/>
      <c r="AX4176" s="466"/>
      <c r="AY4176" s="466"/>
      <c r="AZ4176" s="466"/>
      <c r="BA4176" s="466"/>
      <c r="BB4176" s="466"/>
      <c r="BC4176" s="466"/>
      <c r="BD4176" s="466"/>
      <c r="BE4176" s="467"/>
      <c r="BF4176" s="467"/>
      <c r="BG4176" s="466"/>
      <c r="BH4176" s="466"/>
      <c r="BI4176" s="467"/>
      <c r="BJ4176" s="467"/>
      <c r="BK4176" s="467"/>
      <c r="BL4176" s="467"/>
      <c r="BM4176" s="467"/>
      <c r="BN4176" s="467"/>
      <c r="BO4176" s="467"/>
      <c r="BP4176" s="467"/>
      <c r="BQ4176" s="467"/>
      <c r="BR4176" s="467"/>
      <c r="BS4176" s="467"/>
      <c r="BT4176" s="467"/>
      <c r="BU4176" s="467"/>
      <c r="BV4176" s="467"/>
      <c r="BW4176" s="467"/>
      <c r="BX4176" s="769"/>
      <c r="BY4176" s="769"/>
      <c r="BZ4176" s="769"/>
      <c r="CA4176" s="769"/>
      <c r="CB4176" s="769"/>
      <c r="CC4176" s="769"/>
      <c r="CD4176" s="769"/>
      <c r="CE4176" s="769"/>
      <c r="CF4176" s="769"/>
      <c r="CG4176" s="73"/>
      <c r="CH4176" s="438"/>
      <c r="CI4176" s="416"/>
      <c r="CJ4176" s="73"/>
      <c r="CK4176" s="650"/>
      <c r="CL4176" s="499"/>
      <c r="CM4176" s="650"/>
      <c r="CR4176" s="416"/>
      <c r="CS4176" s="650"/>
      <c r="CU4176" s="73"/>
      <c r="CV4176" s="73"/>
      <c r="CW4176" s="73"/>
      <c r="CX4176" s="73"/>
      <c r="DA4176" s="650"/>
    </row>
    <row r="4177" spans="1:105" s="45" customFormat="1" x14ac:dyDescent="0.2">
      <c r="A4177" s="650"/>
      <c r="B4177" s="438"/>
      <c r="D4177" s="73"/>
      <c r="E4177" s="650"/>
      <c r="F4177" s="650"/>
      <c r="G4177" s="73"/>
      <c r="I4177" s="111"/>
      <c r="J4177" s="81"/>
      <c r="K4177" s="81"/>
      <c r="L4177" s="499"/>
      <c r="M4177" s="73"/>
      <c r="N4177" s="499"/>
      <c r="O4177" s="73"/>
      <c r="P4177" s="73"/>
      <c r="Q4177" s="73"/>
      <c r="R4177" s="176"/>
      <c r="S4177" s="176"/>
      <c r="T4177" s="176"/>
      <c r="U4177" s="400"/>
      <c r="V4177" s="400"/>
      <c r="W4177" s="732"/>
      <c r="X4177" s="167"/>
      <c r="Y4177" s="509"/>
      <c r="Z4177" s="466"/>
      <c r="AA4177" s="466"/>
      <c r="AB4177" s="466"/>
      <c r="AC4177" s="466"/>
      <c r="AD4177" s="466"/>
      <c r="AE4177" s="466"/>
      <c r="AF4177" s="466"/>
      <c r="AG4177" s="466"/>
      <c r="AH4177" s="466"/>
      <c r="AI4177" s="466"/>
      <c r="AJ4177" s="466"/>
      <c r="AK4177" s="466"/>
      <c r="AL4177" s="466"/>
      <c r="AM4177" s="466"/>
      <c r="AN4177" s="466"/>
      <c r="AO4177" s="466"/>
      <c r="AP4177" s="466"/>
      <c r="AQ4177" s="466"/>
      <c r="AR4177" s="466"/>
      <c r="AS4177" s="466"/>
      <c r="AT4177" s="466"/>
      <c r="AU4177" s="466"/>
      <c r="AV4177" s="466"/>
      <c r="AW4177" s="466"/>
      <c r="AX4177" s="466"/>
      <c r="AY4177" s="466"/>
      <c r="AZ4177" s="466"/>
      <c r="BA4177" s="466"/>
      <c r="BB4177" s="466"/>
      <c r="BC4177" s="466"/>
      <c r="BD4177" s="466"/>
      <c r="BE4177" s="467"/>
      <c r="BF4177" s="467"/>
      <c r="BG4177" s="466"/>
      <c r="BH4177" s="466"/>
      <c r="BI4177" s="467"/>
      <c r="BJ4177" s="467"/>
      <c r="BK4177" s="467"/>
      <c r="BL4177" s="467"/>
      <c r="BM4177" s="467"/>
      <c r="BN4177" s="467"/>
      <c r="BO4177" s="467"/>
      <c r="BP4177" s="467"/>
      <c r="BQ4177" s="467"/>
      <c r="BR4177" s="467"/>
      <c r="BS4177" s="467"/>
      <c r="BT4177" s="467"/>
      <c r="BU4177" s="467"/>
      <c r="BV4177" s="467"/>
      <c r="BW4177" s="467"/>
      <c r="BX4177" s="769"/>
      <c r="BY4177" s="769"/>
      <c r="BZ4177" s="769"/>
      <c r="CA4177" s="769"/>
      <c r="CB4177" s="769"/>
      <c r="CC4177" s="769"/>
      <c r="CD4177" s="769"/>
      <c r="CE4177" s="769"/>
      <c r="CF4177" s="769"/>
      <c r="CG4177" s="73"/>
      <c r="CH4177" s="438"/>
      <c r="CI4177" s="416"/>
      <c r="CJ4177" s="73"/>
      <c r="CK4177" s="650"/>
      <c r="CL4177" s="499"/>
      <c r="CM4177" s="650"/>
      <c r="CR4177" s="416"/>
      <c r="CS4177" s="650"/>
      <c r="CU4177" s="73"/>
      <c r="CV4177" s="73"/>
      <c r="CW4177" s="73"/>
      <c r="CX4177" s="73"/>
      <c r="DA4177" s="650"/>
    </row>
    <row r="4178" spans="1:105" s="45" customFormat="1" x14ac:dyDescent="0.2">
      <c r="A4178" s="650"/>
      <c r="B4178" s="438"/>
      <c r="D4178" s="73"/>
      <c r="E4178" s="650"/>
      <c r="F4178" s="650"/>
      <c r="G4178" s="73"/>
      <c r="I4178" s="111"/>
      <c r="J4178" s="81"/>
      <c r="K4178" s="81"/>
      <c r="L4178" s="499"/>
      <c r="M4178" s="73"/>
      <c r="N4178" s="499"/>
      <c r="O4178" s="73"/>
      <c r="P4178" s="73"/>
      <c r="Q4178" s="73"/>
      <c r="R4178" s="176"/>
      <c r="S4178" s="176"/>
      <c r="T4178" s="176"/>
      <c r="U4178" s="400"/>
      <c r="V4178" s="400"/>
      <c r="W4178" s="732"/>
      <c r="X4178" s="167"/>
      <c r="Y4178" s="509"/>
      <c r="Z4178" s="466"/>
      <c r="AA4178" s="466"/>
      <c r="AB4178" s="466"/>
      <c r="AC4178" s="466"/>
      <c r="AD4178" s="466"/>
      <c r="AE4178" s="466"/>
      <c r="AF4178" s="466"/>
      <c r="AG4178" s="466"/>
      <c r="AH4178" s="466"/>
      <c r="AI4178" s="466"/>
      <c r="AJ4178" s="466"/>
      <c r="AK4178" s="466"/>
      <c r="AL4178" s="466"/>
      <c r="AM4178" s="466"/>
      <c r="AN4178" s="466"/>
      <c r="AO4178" s="466"/>
      <c r="AP4178" s="466"/>
      <c r="AQ4178" s="466"/>
      <c r="AR4178" s="466"/>
      <c r="AS4178" s="466"/>
      <c r="AT4178" s="466"/>
      <c r="AU4178" s="466"/>
      <c r="AV4178" s="466"/>
      <c r="AW4178" s="466"/>
      <c r="AX4178" s="466"/>
      <c r="AY4178" s="466"/>
      <c r="AZ4178" s="466"/>
      <c r="BA4178" s="466"/>
      <c r="BB4178" s="466"/>
      <c r="BC4178" s="466"/>
      <c r="BD4178" s="466"/>
      <c r="BE4178" s="467"/>
      <c r="BF4178" s="467"/>
      <c r="BG4178" s="466"/>
      <c r="BH4178" s="466"/>
      <c r="BI4178" s="467"/>
      <c r="BJ4178" s="467"/>
      <c r="BK4178" s="467"/>
      <c r="BL4178" s="467"/>
      <c r="BM4178" s="467"/>
      <c r="BN4178" s="467"/>
      <c r="BO4178" s="467"/>
      <c r="BP4178" s="467"/>
      <c r="BQ4178" s="467"/>
      <c r="BR4178" s="467"/>
      <c r="BS4178" s="467"/>
      <c r="BT4178" s="467"/>
      <c r="BU4178" s="467"/>
      <c r="BV4178" s="467"/>
      <c r="BW4178" s="467"/>
      <c r="BX4178" s="769"/>
      <c r="BY4178" s="769"/>
      <c r="BZ4178" s="769"/>
      <c r="CA4178" s="769"/>
      <c r="CB4178" s="769"/>
      <c r="CC4178" s="769"/>
      <c r="CD4178" s="769"/>
      <c r="CE4178" s="769"/>
      <c r="CF4178" s="769"/>
      <c r="CG4178" s="73"/>
      <c r="CH4178" s="438"/>
      <c r="CI4178" s="416"/>
      <c r="CJ4178" s="73"/>
      <c r="CK4178" s="650"/>
      <c r="CL4178" s="499"/>
      <c r="CM4178" s="650"/>
      <c r="CR4178" s="416"/>
      <c r="CS4178" s="650"/>
      <c r="CU4178" s="73"/>
      <c r="CV4178" s="73"/>
      <c r="CW4178" s="73"/>
      <c r="CX4178" s="73"/>
      <c r="DA4178" s="650"/>
    </row>
    <row r="4179" spans="1:105" s="45" customFormat="1" x14ac:dyDescent="0.2">
      <c r="A4179" s="650"/>
      <c r="B4179" s="438"/>
      <c r="D4179" s="73"/>
      <c r="E4179" s="650"/>
      <c r="F4179" s="650"/>
      <c r="G4179" s="73"/>
      <c r="I4179" s="111"/>
      <c r="J4179" s="81"/>
      <c r="K4179" s="81"/>
      <c r="L4179" s="499"/>
      <c r="M4179" s="73"/>
      <c r="N4179" s="499"/>
      <c r="O4179" s="73"/>
      <c r="P4179" s="73"/>
      <c r="Q4179" s="73"/>
      <c r="R4179" s="176"/>
      <c r="S4179" s="176"/>
      <c r="T4179" s="176"/>
      <c r="U4179" s="400"/>
      <c r="V4179" s="400"/>
      <c r="W4179" s="732"/>
      <c r="X4179" s="167"/>
      <c r="Y4179" s="509"/>
      <c r="Z4179" s="466"/>
      <c r="AA4179" s="466"/>
      <c r="AB4179" s="466"/>
      <c r="AC4179" s="466"/>
      <c r="AD4179" s="466"/>
      <c r="AE4179" s="466"/>
      <c r="AF4179" s="466"/>
      <c r="AG4179" s="466"/>
      <c r="AH4179" s="466"/>
      <c r="AI4179" s="466"/>
      <c r="AJ4179" s="466"/>
      <c r="AK4179" s="466"/>
      <c r="AL4179" s="466"/>
      <c r="AM4179" s="466"/>
      <c r="AN4179" s="466"/>
      <c r="AO4179" s="466"/>
      <c r="AP4179" s="466"/>
      <c r="AQ4179" s="466"/>
      <c r="AR4179" s="466"/>
      <c r="AS4179" s="466"/>
      <c r="AT4179" s="466"/>
      <c r="AU4179" s="466"/>
      <c r="AV4179" s="466"/>
      <c r="AW4179" s="466"/>
      <c r="AX4179" s="466"/>
      <c r="AY4179" s="466"/>
      <c r="AZ4179" s="466"/>
      <c r="BA4179" s="466"/>
      <c r="BB4179" s="466"/>
      <c r="BC4179" s="466"/>
      <c r="BD4179" s="466"/>
      <c r="BE4179" s="467"/>
      <c r="BF4179" s="467"/>
      <c r="BG4179" s="466"/>
      <c r="BH4179" s="466"/>
      <c r="BI4179" s="467"/>
      <c r="BJ4179" s="467"/>
      <c r="BK4179" s="467"/>
      <c r="BL4179" s="467"/>
      <c r="BM4179" s="467"/>
      <c r="BN4179" s="467"/>
      <c r="BO4179" s="467"/>
      <c r="BP4179" s="467"/>
      <c r="BQ4179" s="467"/>
      <c r="BR4179" s="467"/>
      <c r="BS4179" s="467"/>
      <c r="BT4179" s="467"/>
      <c r="BU4179" s="467"/>
      <c r="BV4179" s="467"/>
      <c r="BW4179" s="467"/>
      <c r="BX4179" s="769"/>
      <c r="BY4179" s="769"/>
      <c r="BZ4179" s="769"/>
      <c r="CA4179" s="769"/>
      <c r="CB4179" s="769"/>
      <c r="CC4179" s="769"/>
      <c r="CD4179" s="769"/>
      <c r="CE4179" s="769"/>
      <c r="CF4179" s="769"/>
      <c r="CG4179" s="73"/>
      <c r="CH4179" s="438"/>
      <c r="CI4179" s="416"/>
      <c r="CJ4179" s="73"/>
      <c r="CK4179" s="650"/>
      <c r="CL4179" s="499"/>
      <c r="CM4179" s="650"/>
      <c r="CR4179" s="416"/>
      <c r="CS4179" s="650"/>
      <c r="CU4179" s="73"/>
      <c r="CV4179" s="73"/>
      <c r="CW4179" s="73"/>
      <c r="CX4179" s="73"/>
      <c r="DA4179" s="650"/>
    </row>
    <row r="4180" spans="1:105" s="45" customFormat="1" x14ac:dyDescent="0.2">
      <c r="A4180" s="650"/>
      <c r="B4180" s="438"/>
      <c r="D4180" s="73"/>
      <c r="E4180" s="650"/>
      <c r="F4180" s="650"/>
      <c r="G4180" s="73"/>
      <c r="I4180" s="111"/>
      <c r="J4180" s="81"/>
      <c r="K4180" s="81"/>
      <c r="L4180" s="499"/>
      <c r="M4180" s="73"/>
      <c r="N4180" s="499"/>
      <c r="O4180" s="73"/>
      <c r="P4180" s="73"/>
      <c r="Q4180" s="73"/>
      <c r="R4180" s="176"/>
      <c r="S4180" s="176"/>
      <c r="T4180" s="176"/>
      <c r="U4180" s="400"/>
      <c r="V4180" s="400"/>
      <c r="W4180" s="732"/>
      <c r="X4180" s="167"/>
      <c r="Y4180" s="509"/>
      <c r="Z4180" s="466"/>
      <c r="AA4180" s="466"/>
      <c r="AB4180" s="466"/>
      <c r="AC4180" s="466"/>
      <c r="AD4180" s="466"/>
      <c r="AE4180" s="466"/>
      <c r="AF4180" s="466"/>
      <c r="AG4180" s="466"/>
      <c r="AH4180" s="466"/>
      <c r="AI4180" s="466"/>
      <c r="AJ4180" s="466"/>
      <c r="AK4180" s="466"/>
      <c r="AL4180" s="466"/>
      <c r="AM4180" s="466"/>
      <c r="AN4180" s="466"/>
      <c r="AO4180" s="466"/>
      <c r="AP4180" s="466"/>
      <c r="AQ4180" s="466"/>
      <c r="AR4180" s="466"/>
      <c r="AS4180" s="466"/>
      <c r="AT4180" s="466"/>
      <c r="AU4180" s="466"/>
      <c r="AV4180" s="466"/>
      <c r="AW4180" s="466"/>
      <c r="AX4180" s="466"/>
      <c r="AY4180" s="466"/>
      <c r="AZ4180" s="466"/>
      <c r="BA4180" s="466"/>
      <c r="BB4180" s="466"/>
      <c r="BC4180" s="466"/>
      <c r="BD4180" s="466"/>
      <c r="BE4180" s="467"/>
      <c r="BF4180" s="467"/>
      <c r="BG4180" s="466"/>
      <c r="BH4180" s="466"/>
      <c r="BI4180" s="467"/>
      <c r="BJ4180" s="467"/>
      <c r="BK4180" s="467"/>
      <c r="BL4180" s="467"/>
      <c r="BM4180" s="467"/>
      <c r="BN4180" s="467"/>
      <c r="BO4180" s="467"/>
      <c r="BP4180" s="467"/>
      <c r="BQ4180" s="467"/>
      <c r="BR4180" s="467"/>
      <c r="BS4180" s="467"/>
      <c r="BT4180" s="467"/>
      <c r="BU4180" s="467"/>
      <c r="BV4180" s="467"/>
      <c r="BW4180" s="467"/>
      <c r="BX4180" s="769"/>
      <c r="BY4180" s="769"/>
      <c r="BZ4180" s="769"/>
      <c r="CA4180" s="769"/>
      <c r="CB4180" s="769"/>
      <c r="CC4180" s="769"/>
      <c r="CD4180" s="769"/>
      <c r="CE4180" s="769"/>
      <c r="CF4180" s="769"/>
      <c r="CG4180" s="73"/>
      <c r="CH4180" s="438"/>
      <c r="CI4180" s="416"/>
      <c r="CJ4180" s="73"/>
      <c r="CK4180" s="650"/>
      <c r="CL4180" s="499"/>
      <c r="CM4180" s="650"/>
      <c r="CR4180" s="416"/>
      <c r="CS4180" s="650"/>
      <c r="CU4180" s="73"/>
      <c r="CV4180" s="73"/>
      <c r="CW4180" s="73"/>
      <c r="CX4180" s="73"/>
      <c r="DA4180" s="650"/>
    </row>
    <row r="4181" spans="1:105" s="45" customFormat="1" x14ac:dyDescent="0.2">
      <c r="A4181" s="650"/>
      <c r="B4181" s="438"/>
      <c r="D4181" s="73"/>
      <c r="E4181" s="650"/>
      <c r="F4181" s="650"/>
      <c r="G4181" s="73"/>
      <c r="I4181" s="111"/>
      <c r="J4181" s="81"/>
      <c r="K4181" s="81"/>
      <c r="L4181" s="499"/>
      <c r="M4181" s="73"/>
      <c r="N4181" s="499"/>
      <c r="O4181" s="73"/>
      <c r="P4181" s="73"/>
      <c r="Q4181" s="73"/>
      <c r="R4181" s="176"/>
      <c r="S4181" s="176"/>
      <c r="T4181" s="176"/>
      <c r="U4181" s="400"/>
      <c r="V4181" s="400"/>
      <c r="W4181" s="732"/>
      <c r="X4181" s="167"/>
      <c r="Y4181" s="509"/>
      <c r="Z4181" s="466"/>
      <c r="AA4181" s="466"/>
      <c r="AB4181" s="466"/>
      <c r="AC4181" s="466"/>
      <c r="AD4181" s="466"/>
      <c r="AE4181" s="466"/>
      <c r="AF4181" s="466"/>
      <c r="AG4181" s="466"/>
      <c r="AH4181" s="466"/>
      <c r="AI4181" s="466"/>
      <c r="AJ4181" s="466"/>
      <c r="AK4181" s="466"/>
      <c r="AL4181" s="466"/>
      <c r="AM4181" s="466"/>
      <c r="AN4181" s="466"/>
      <c r="AO4181" s="466"/>
      <c r="AP4181" s="466"/>
      <c r="AQ4181" s="466"/>
      <c r="AR4181" s="466"/>
      <c r="AS4181" s="466"/>
      <c r="AT4181" s="466"/>
      <c r="AU4181" s="466"/>
      <c r="AV4181" s="466"/>
      <c r="AW4181" s="466"/>
      <c r="AX4181" s="466"/>
      <c r="AY4181" s="466"/>
      <c r="AZ4181" s="466"/>
      <c r="BA4181" s="466"/>
      <c r="BB4181" s="466"/>
      <c r="BC4181" s="466"/>
      <c r="BD4181" s="466"/>
      <c r="BE4181" s="467"/>
      <c r="BF4181" s="467"/>
      <c r="BG4181" s="466"/>
      <c r="BH4181" s="466"/>
      <c r="BI4181" s="467"/>
      <c r="BJ4181" s="467"/>
      <c r="BK4181" s="467"/>
      <c r="BL4181" s="467"/>
      <c r="BM4181" s="467"/>
      <c r="BN4181" s="467"/>
      <c r="BO4181" s="467"/>
      <c r="BP4181" s="467"/>
      <c r="BQ4181" s="467"/>
      <c r="BR4181" s="467"/>
      <c r="BS4181" s="467"/>
      <c r="BT4181" s="467"/>
      <c r="BU4181" s="467"/>
      <c r="BV4181" s="467"/>
      <c r="BW4181" s="467"/>
      <c r="BX4181" s="769"/>
      <c r="BY4181" s="769"/>
      <c r="BZ4181" s="769"/>
      <c r="CA4181" s="769"/>
      <c r="CB4181" s="769"/>
      <c r="CC4181" s="769"/>
      <c r="CD4181" s="769"/>
      <c r="CE4181" s="769"/>
      <c r="CF4181" s="769"/>
      <c r="CG4181" s="73"/>
      <c r="CH4181" s="438"/>
      <c r="CI4181" s="416"/>
      <c r="CJ4181" s="73"/>
      <c r="CK4181" s="650"/>
      <c r="CL4181" s="499"/>
      <c r="CM4181" s="650"/>
      <c r="CR4181" s="416"/>
      <c r="CS4181" s="650"/>
      <c r="CU4181" s="73"/>
      <c r="CV4181" s="73"/>
      <c r="CW4181" s="73"/>
      <c r="CX4181" s="73"/>
      <c r="DA4181" s="650"/>
    </row>
    <row r="4182" spans="1:105" s="45" customFormat="1" x14ac:dyDescent="0.2">
      <c r="A4182" s="650"/>
      <c r="B4182" s="438"/>
      <c r="D4182" s="73"/>
      <c r="E4182" s="650"/>
      <c r="F4182" s="650"/>
      <c r="G4182" s="73"/>
      <c r="I4182" s="111"/>
      <c r="J4182" s="81"/>
      <c r="K4182" s="81"/>
      <c r="L4182" s="499"/>
      <c r="M4182" s="73"/>
      <c r="N4182" s="499"/>
      <c r="O4182" s="73"/>
      <c r="P4182" s="73"/>
      <c r="Q4182" s="73"/>
      <c r="R4182" s="176"/>
      <c r="S4182" s="176"/>
      <c r="T4182" s="176"/>
      <c r="U4182" s="400"/>
      <c r="V4182" s="400"/>
      <c r="W4182" s="732"/>
      <c r="X4182" s="167"/>
      <c r="Y4182" s="509"/>
      <c r="Z4182" s="466"/>
      <c r="AA4182" s="466"/>
      <c r="AB4182" s="466"/>
      <c r="AC4182" s="466"/>
      <c r="AD4182" s="466"/>
      <c r="AE4182" s="466"/>
      <c r="AF4182" s="466"/>
      <c r="AG4182" s="466"/>
      <c r="AH4182" s="466"/>
      <c r="AI4182" s="466"/>
      <c r="AJ4182" s="466"/>
      <c r="AK4182" s="466"/>
      <c r="AL4182" s="466"/>
      <c r="AM4182" s="466"/>
      <c r="AN4182" s="466"/>
      <c r="AO4182" s="466"/>
      <c r="AP4182" s="466"/>
      <c r="AQ4182" s="466"/>
      <c r="AR4182" s="466"/>
      <c r="AS4182" s="466"/>
      <c r="AT4182" s="466"/>
      <c r="AU4182" s="466"/>
      <c r="AV4182" s="466"/>
      <c r="AW4182" s="466"/>
      <c r="AX4182" s="466"/>
      <c r="AY4182" s="466"/>
      <c r="AZ4182" s="466"/>
      <c r="BA4182" s="466"/>
      <c r="BB4182" s="466"/>
      <c r="BC4182" s="466"/>
      <c r="BD4182" s="466"/>
      <c r="BE4182" s="467"/>
      <c r="BF4182" s="467"/>
      <c r="BG4182" s="466"/>
      <c r="BH4182" s="466"/>
      <c r="BI4182" s="467"/>
      <c r="BJ4182" s="467"/>
      <c r="BK4182" s="467"/>
      <c r="BL4182" s="467"/>
      <c r="BM4182" s="467"/>
      <c r="BN4182" s="467"/>
      <c r="BO4182" s="467"/>
      <c r="BP4182" s="467"/>
      <c r="BQ4182" s="467"/>
      <c r="BR4182" s="467"/>
      <c r="BS4182" s="467"/>
      <c r="BT4182" s="467"/>
      <c r="BU4182" s="467"/>
      <c r="BV4182" s="467"/>
      <c r="BW4182" s="467"/>
      <c r="BX4182" s="769"/>
      <c r="BY4182" s="769"/>
      <c r="BZ4182" s="769"/>
      <c r="CA4182" s="769"/>
      <c r="CB4182" s="769"/>
      <c r="CC4182" s="769"/>
      <c r="CD4182" s="769"/>
      <c r="CE4182" s="769"/>
      <c r="CF4182" s="769"/>
      <c r="CG4182" s="73"/>
      <c r="CH4182" s="438"/>
      <c r="CI4182" s="416"/>
      <c r="CJ4182" s="73"/>
      <c r="CK4182" s="650"/>
      <c r="CL4182" s="499"/>
      <c r="CM4182" s="650"/>
      <c r="CR4182" s="416"/>
      <c r="CS4182" s="650"/>
      <c r="CU4182" s="73"/>
      <c r="CV4182" s="73"/>
      <c r="CW4182" s="73"/>
      <c r="CX4182" s="73"/>
      <c r="DA4182" s="650"/>
    </row>
    <row r="4183" spans="1:105" s="45" customFormat="1" x14ac:dyDescent="0.2">
      <c r="A4183" s="650"/>
      <c r="B4183" s="438"/>
      <c r="D4183" s="73"/>
      <c r="E4183" s="650"/>
      <c r="F4183" s="650"/>
      <c r="G4183" s="73"/>
      <c r="I4183" s="111"/>
      <c r="J4183" s="81"/>
      <c r="K4183" s="81"/>
      <c r="L4183" s="499"/>
      <c r="M4183" s="73"/>
      <c r="N4183" s="499"/>
      <c r="O4183" s="73"/>
      <c r="P4183" s="73"/>
      <c r="Q4183" s="73"/>
      <c r="R4183" s="176"/>
      <c r="S4183" s="176"/>
      <c r="T4183" s="176"/>
      <c r="U4183" s="400"/>
      <c r="V4183" s="400"/>
      <c r="W4183" s="732"/>
      <c r="X4183" s="167"/>
      <c r="Y4183" s="509"/>
      <c r="Z4183" s="466"/>
      <c r="AA4183" s="466"/>
      <c r="AB4183" s="466"/>
      <c r="AC4183" s="466"/>
      <c r="AD4183" s="466"/>
      <c r="AE4183" s="466"/>
      <c r="AF4183" s="466"/>
      <c r="AG4183" s="466"/>
      <c r="AH4183" s="466"/>
      <c r="AI4183" s="466"/>
      <c r="AJ4183" s="466"/>
      <c r="AK4183" s="466"/>
      <c r="AL4183" s="466"/>
      <c r="AM4183" s="466"/>
      <c r="AN4183" s="466"/>
      <c r="AO4183" s="466"/>
      <c r="AP4183" s="466"/>
      <c r="AQ4183" s="466"/>
      <c r="AR4183" s="466"/>
      <c r="AS4183" s="466"/>
      <c r="AT4183" s="466"/>
      <c r="AU4183" s="466"/>
      <c r="AV4183" s="466"/>
      <c r="AW4183" s="466"/>
      <c r="AX4183" s="466"/>
      <c r="AY4183" s="466"/>
      <c r="AZ4183" s="466"/>
      <c r="BA4183" s="466"/>
      <c r="BB4183" s="466"/>
      <c r="BC4183" s="466"/>
      <c r="BD4183" s="466"/>
      <c r="BE4183" s="467"/>
      <c r="BF4183" s="467"/>
      <c r="BG4183" s="466"/>
      <c r="BH4183" s="466"/>
      <c r="BI4183" s="467"/>
      <c r="BJ4183" s="467"/>
      <c r="BK4183" s="467"/>
      <c r="BL4183" s="467"/>
      <c r="BM4183" s="467"/>
      <c r="BN4183" s="467"/>
      <c r="BO4183" s="467"/>
      <c r="BP4183" s="467"/>
      <c r="BQ4183" s="467"/>
      <c r="BR4183" s="467"/>
      <c r="BS4183" s="467"/>
      <c r="BT4183" s="467"/>
      <c r="BU4183" s="467"/>
      <c r="BV4183" s="467"/>
      <c r="BW4183" s="467"/>
      <c r="BX4183" s="769"/>
      <c r="BY4183" s="769"/>
      <c r="BZ4183" s="769"/>
      <c r="CA4183" s="769"/>
      <c r="CB4183" s="769"/>
      <c r="CC4183" s="769"/>
      <c r="CD4183" s="769"/>
      <c r="CE4183" s="769"/>
      <c r="CF4183" s="769"/>
      <c r="CG4183" s="73"/>
      <c r="CH4183" s="438"/>
      <c r="CI4183" s="416"/>
      <c r="CJ4183" s="73"/>
      <c r="CK4183" s="650"/>
      <c r="CL4183" s="499"/>
      <c r="CM4183" s="650"/>
      <c r="CR4183" s="416"/>
      <c r="CS4183" s="650"/>
      <c r="CU4183" s="73"/>
      <c r="CV4183" s="73"/>
      <c r="CW4183" s="73"/>
      <c r="CX4183" s="73"/>
      <c r="DA4183" s="650"/>
    </row>
    <row r="4184" spans="1:105" s="45" customFormat="1" x14ac:dyDescent="0.2">
      <c r="A4184" s="650"/>
      <c r="B4184" s="438"/>
      <c r="D4184" s="73"/>
      <c r="E4184" s="650"/>
      <c r="F4184" s="650"/>
      <c r="G4184" s="73"/>
      <c r="I4184" s="111"/>
      <c r="J4184" s="81"/>
      <c r="K4184" s="81"/>
      <c r="L4184" s="499"/>
      <c r="M4184" s="73"/>
      <c r="N4184" s="499"/>
      <c r="O4184" s="73"/>
      <c r="P4184" s="73"/>
      <c r="Q4184" s="73"/>
      <c r="R4184" s="176"/>
      <c r="S4184" s="176"/>
      <c r="T4184" s="176"/>
      <c r="U4184" s="400"/>
      <c r="V4184" s="400"/>
      <c r="W4184" s="732"/>
      <c r="X4184" s="167"/>
      <c r="Y4184" s="509"/>
      <c r="Z4184" s="466"/>
      <c r="AA4184" s="466"/>
      <c r="AB4184" s="466"/>
      <c r="AC4184" s="466"/>
      <c r="AD4184" s="466"/>
      <c r="AE4184" s="466"/>
      <c r="AF4184" s="466"/>
      <c r="AG4184" s="466"/>
      <c r="AH4184" s="466"/>
      <c r="AI4184" s="466"/>
      <c r="AJ4184" s="466"/>
      <c r="AK4184" s="466"/>
      <c r="AL4184" s="466"/>
      <c r="AM4184" s="466"/>
      <c r="AN4184" s="466"/>
      <c r="AO4184" s="466"/>
      <c r="AP4184" s="466"/>
      <c r="AQ4184" s="466"/>
      <c r="AR4184" s="466"/>
      <c r="AS4184" s="466"/>
      <c r="AT4184" s="466"/>
      <c r="AU4184" s="466"/>
      <c r="AV4184" s="466"/>
      <c r="AW4184" s="466"/>
      <c r="AX4184" s="466"/>
      <c r="AY4184" s="466"/>
      <c r="AZ4184" s="466"/>
      <c r="BA4184" s="466"/>
      <c r="BB4184" s="466"/>
      <c r="BC4184" s="466"/>
      <c r="BD4184" s="466"/>
      <c r="BE4184" s="467"/>
      <c r="BF4184" s="467"/>
      <c r="BG4184" s="466"/>
      <c r="BH4184" s="466"/>
      <c r="BI4184" s="467"/>
      <c r="BJ4184" s="467"/>
      <c r="BK4184" s="467"/>
      <c r="BL4184" s="467"/>
      <c r="BM4184" s="467"/>
      <c r="BN4184" s="467"/>
      <c r="BO4184" s="467"/>
      <c r="BP4184" s="467"/>
      <c r="BQ4184" s="467"/>
      <c r="BR4184" s="467"/>
      <c r="BS4184" s="467"/>
      <c r="BT4184" s="467"/>
      <c r="BU4184" s="467"/>
      <c r="BV4184" s="467"/>
      <c r="BW4184" s="467"/>
      <c r="BX4184" s="769"/>
      <c r="BY4184" s="769"/>
      <c r="BZ4184" s="769"/>
      <c r="CA4184" s="769"/>
      <c r="CB4184" s="769"/>
      <c r="CC4184" s="769"/>
      <c r="CD4184" s="769"/>
      <c r="CE4184" s="769"/>
      <c r="CF4184" s="769"/>
      <c r="CG4184" s="73"/>
      <c r="CH4184" s="438"/>
      <c r="CI4184" s="416"/>
      <c r="CJ4184" s="73"/>
      <c r="CK4184" s="650"/>
      <c r="CL4184" s="499"/>
      <c r="CM4184" s="650"/>
      <c r="CR4184" s="416"/>
      <c r="CS4184" s="650"/>
      <c r="CU4184" s="73"/>
      <c r="CV4184" s="73"/>
      <c r="CW4184" s="73"/>
      <c r="CX4184" s="73"/>
      <c r="DA4184" s="650"/>
    </row>
    <row r="4185" spans="1:105" s="45" customFormat="1" x14ac:dyDescent="0.2">
      <c r="A4185" s="650"/>
      <c r="B4185" s="438"/>
      <c r="D4185" s="73"/>
      <c r="E4185" s="650"/>
      <c r="F4185" s="650"/>
      <c r="G4185" s="73"/>
      <c r="I4185" s="111"/>
      <c r="J4185" s="81"/>
      <c r="K4185" s="81"/>
      <c r="L4185" s="499"/>
      <c r="M4185" s="73"/>
      <c r="N4185" s="499"/>
      <c r="O4185" s="73"/>
      <c r="P4185" s="73"/>
      <c r="Q4185" s="73"/>
      <c r="R4185" s="176"/>
      <c r="S4185" s="176"/>
      <c r="T4185" s="176"/>
      <c r="U4185" s="400"/>
      <c r="V4185" s="400"/>
      <c r="W4185" s="732"/>
      <c r="X4185" s="167"/>
      <c r="Y4185" s="509"/>
      <c r="Z4185" s="466"/>
      <c r="AA4185" s="466"/>
      <c r="AB4185" s="466"/>
      <c r="AC4185" s="466"/>
      <c r="AD4185" s="466"/>
      <c r="AE4185" s="466"/>
      <c r="AF4185" s="466"/>
      <c r="AG4185" s="466"/>
      <c r="AH4185" s="466"/>
      <c r="AI4185" s="466"/>
      <c r="AJ4185" s="466"/>
      <c r="AK4185" s="466"/>
      <c r="AL4185" s="466"/>
      <c r="AM4185" s="466"/>
      <c r="AN4185" s="466"/>
      <c r="AO4185" s="466"/>
      <c r="AP4185" s="466"/>
      <c r="AQ4185" s="466"/>
      <c r="AR4185" s="466"/>
      <c r="AS4185" s="466"/>
      <c r="AT4185" s="466"/>
      <c r="AU4185" s="466"/>
      <c r="AV4185" s="466"/>
      <c r="AW4185" s="466"/>
      <c r="AX4185" s="466"/>
      <c r="AY4185" s="466"/>
      <c r="AZ4185" s="466"/>
      <c r="BA4185" s="466"/>
      <c r="BB4185" s="466"/>
      <c r="BC4185" s="466"/>
      <c r="BD4185" s="466"/>
      <c r="BE4185" s="467"/>
      <c r="BF4185" s="467"/>
      <c r="BG4185" s="466"/>
      <c r="BH4185" s="466"/>
      <c r="BI4185" s="467"/>
      <c r="BJ4185" s="467"/>
      <c r="BK4185" s="467"/>
      <c r="BL4185" s="467"/>
      <c r="BM4185" s="467"/>
      <c r="BN4185" s="467"/>
      <c r="BO4185" s="467"/>
      <c r="BP4185" s="467"/>
      <c r="BQ4185" s="467"/>
      <c r="BR4185" s="467"/>
      <c r="BS4185" s="467"/>
      <c r="BT4185" s="467"/>
      <c r="BU4185" s="467"/>
      <c r="BV4185" s="467"/>
      <c r="BW4185" s="467"/>
      <c r="BX4185" s="769"/>
      <c r="BY4185" s="769"/>
      <c r="BZ4185" s="769"/>
      <c r="CA4185" s="769"/>
      <c r="CB4185" s="769"/>
      <c r="CC4185" s="769"/>
      <c r="CD4185" s="769"/>
      <c r="CE4185" s="769"/>
      <c r="CF4185" s="769"/>
      <c r="CG4185" s="73"/>
      <c r="CH4185" s="438"/>
      <c r="CI4185" s="416"/>
      <c r="CJ4185" s="73"/>
      <c r="CK4185" s="650"/>
      <c r="CL4185" s="499"/>
      <c r="CM4185" s="650"/>
      <c r="CR4185" s="416"/>
      <c r="CS4185" s="650"/>
      <c r="CU4185" s="73"/>
      <c r="CV4185" s="73"/>
      <c r="CW4185" s="73"/>
      <c r="CX4185" s="73"/>
      <c r="DA4185" s="650"/>
    </row>
    <row r="4186" spans="1:105" s="45" customFormat="1" x14ac:dyDescent="0.2">
      <c r="A4186" s="650"/>
      <c r="B4186" s="438"/>
      <c r="D4186" s="73"/>
      <c r="E4186" s="650"/>
      <c r="F4186" s="650"/>
      <c r="G4186" s="73"/>
      <c r="I4186" s="111"/>
      <c r="J4186" s="81"/>
      <c r="K4186" s="81"/>
      <c r="L4186" s="499"/>
      <c r="M4186" s="73"/>
      <c r="N4186" s="499"/>
      <c r="O4186" s="73"/>
      <c r="P4186" s="73"/>
      <c r="Q4186" s="73"/>
      <c r="R4186" s="176"/>
      <c r="S4186" s="176"/>
      <c r="T4186" s="176"/>
      <c r="U4186" s="400"/>
      <c r="V4186" s="400"/>
      <c r="W4186" s="732"/>
      <c r="X4186" s="167"/>
      <c r="Y4186" s="509"/>
      <c r="Z4186" s="466"/>
      <c r="AA4186" s="466"/>
      <c r="AB4186" s="466"/>
      <c r="AC4186" s="466"/>
      <c r="AD4186" s="466"/>
      <c r="AE4186" s="466"/>
      <c r="AF4186" s="466"/>
      <c r="AG4186" s="466"/>
      <c r="AH4186" s="466"/>
      <c r="AI4186" s="466"/>
      <c r="AJ4186" s="466"/>
      <c r="AK4186" s="466"/>
      <c r="AL4186" s="466"/>
      <c r="AM4186" s="466"/>
      <c r="AN4186" s="466"/>
      <c r="AO4186" s="466"/>
      <c r="AP4186" s="466"/>
      <c r="AQ4186" s="466"/>
      <c r="AR4186" s="466"/>
      <c r="AS4186" s="466"/>
      <c r="AT4186" s="466"/>
      <c r="AU4186" s="466"/>
      <c r="AV4186" s="466"/>
      <c r="AW4186" s="466"/>
      <c r="AX4186" s="466"/>
      <c r="AY4186" s="466"/>
      <c r="AZ4186" s="466"/>
      <c r="BA4186" s="466"/>
      <c r="BB4186" s="466"/>
      <c r="BC4186" s="466"/>
      <c r="BD4186" s="466"/>
      <c r="BE4186" s="467"/>
      <c r="BF4186" s="467"/>
      <c r="BG4186" s="466"/>
      <c r="BH4186" s="466"/>
      <c r="BI4186" s="467"/>
      <c r="BJ4186" s="467"/>
      <c r="BK4186" s="467"/>
      <c r="BL4186" s="467"/>
      <c r="BM4186" s="467"/>
      <c r="BN4186" s="467"/>
      <c r="BO4186" s="467"/>
      <c r="BP4186" s="467"/>
      <c r="BQ4186" s="467"/>
      <c r="BR4186" s="467"/>
      <c r="BS4186" s="467"/>
      <c r="BT4186" s="467"/>
      <c r="BU4186" s="467"/>
      <c r="BV4186" s="467"/>
      <c r="BW4186" s="467"/>
      <c r="BX4186" s="769"/>
      <c r="BY4186" s="769"/>
      <c r="BZ4186" s="769"/>
      <c r="CA4186" s="769"/>
      <c r="CB4186" s="769"/>
      <c r="CC4186" s="769"/>
      <c r="CD4186" s="769"/>
      <c r="CE4186" s="769"/>
      <c r="CF4186" s="769"/>
      <c r="CG4186" s="73"/>
      <c r="CH4186" s="438"/>
      <c r="CI4186" s="416"/>
      <c r="CJ4186" s="73"/>
      <c r="CK4186" s="650"/>
      <c r="CL4186" s="499"/>
      <c r="CM4186" s="650"/>
      <c r="CR4186" s="416"/>
      <c r="CS4186" s="650"/>
      <c r="CU4186" s="73"/>
      <c r="CV4186" s="73"/>
      <c r="CW4186" s="73"/>
      <c r="CX4186" s="73"/>
      <c r="DA4186" s="650"/>
    </row>
    <row r="4187" spans="1:105" s="45" customFormat="1" x14ac:dyDescent="0.2">
      <c r="A4187" s="650"/>
      <c r="B4187" s="438"/>
      <c r="D4187" s="73"/>
      <c r="E4187" s="650"/>
      <c r="F4187" s="650"/>
      <c r="G4187" s="73"/>
      <c r="I4187" s="111"/>
      <c r="J4187" s="81"/>
      <c r="K4187" s="81"/>
      <c r="L4187" s="499"/>
      <c r="M4187" s="73"/>
      <c r="N4187" s="499"/>
      <c r="O4187" s="73"/>
      <c r="P4187" s="73"/>
      <c r="Q4187" s="73"/>
      <c r="R4187" s="176"/>
      <c r="S4187" s="176"/>
      <c r="T4187" s="176"/>
      <c r="U4187" s="400"/>
      <c r="V4187" s="400"/>
      <c r="W4187" s="732"/>
      <c r="X4187" s="167"/>
      <c r="Y4187" s="509"/>
      <c r="Z4187" s="466"/>
      <c r="AA4187" s="466"/>
      <c r="AB4187" s="466"/>
      <c r="AC4187" s="466"/>
      <c r="AD4187" s="466"/>
      <c r="AE4187" s="466"/>
      <c r="AF4187" s="466"/>
      <c r="AG4187" s="466"/>
      <c r="AH4187" s="466"/>
      <c r="AI4187" s="466"/>
      <c r="AJ4187" s="466"/>
      <c r="AK4187" s="466"/>
      <c r="AL4187" s="466"/>
      <c r="AM4187" s="466"/>
      <c r="AN4187" s="466"/>
      <c r="AO4187" s="466"/>
      <c r="AP4187" s="466"/>
      <c r="AQ4187" s="466"/>
      <c r="AR4187" s="466"/>
      <c r="AS4187" s="466"/>
      <c r="AT4187" s="466"/>
      <c r="AU4187" s="466"/>
      <c r="AV4187" s="466"/>
      <c r="AW4187" s="466"/>
      <c r="AX4187" s="466"/>
      <c r="AY4187" s="466"/>
      <c r="AZ4187" s="466"/>
      <c r="BA4187" s="466"/>
      <c r="BB4187" s="466"/>
      <c r="BC4187" s="466"/>
      <c r="BD4187" s="466"/>
      <c r="BE4187" s="467"/>
      <c r="BF4187" s="467"/>
      <c r="BG4187" s="466"/>
      <c r="BH4187" s="466"/>
      <c r="BI4187" s="467"/>
      <c r="BJ4187" s="467"/>
      <c r="BK4187" s="467"/>
      <c r="BL4187" s="467"/>
      <c r="BM4187" s="467"/>
      <c r="BN4187" s="467"/>
      <c r="BO4187" s="467"/>
      <c r="BP4187" s="467"/>
      <c r="BQ4187" s="467"/>
      <c r="BR4187" s="467"/>
      <c r="BS4187" s="467"/>
      <c r="BT4187" s="467"/>
      <c r="BU4187" s="467"/>
      <c r="BV4187" s="467"/>
      <c r="BW4187" s="467"/>
      <c r="BX4187" s="769"/>
      <c r="BY4187" s="769"/>
      <c r="BZ4187" s="769"/>
      <c r="CA4187" s="769"/>
      <c r="CB4187" s="769"/>
      <c r="CC4187" s="769"/>
      <c r="CD4187" s="769"/>
      <c r="CE4187" s="769"/>
      <c r="CF4187" s="769"/>
      <c r="CG4187" s="73"/>
      <c r="CH4187" s="438"/>
      <c r="CI4187" s="416"/>
      <c r="CJ4187" s="73"/>
      <c r="CK4187" s="650"/>
      <c r="CL4187" s="499"/>
      <c r="CM4187" s="650"/>
      <c r="CR4187" s="416"/>
      <c r="CS4187" s="650"/>
      <c r="CU4187" s="73"/>
      <c r="CV4187" s="73"/>
      <c r="CW4187" s="73"/>
      <c r="CX4187" s="73"/>
      <c r="DA4187" s="650"/>
    </row>
    <row r="4188" spans="1:105" s="45" customFormat="1" x14ac:dyDescent="0.2">
      <c r="A4188" s="650"/>
      <c r="B4188" s="438"/>
      <c r="D4188" s="73"/>
      <c r="E4188" s="650"/>
      <c r="F4188" s="650"/>
      <c r="G4188" s="73"/>
      <c r="I4188" s="111"/>
      <c r="J4188" s="81"/>
      <c r="K4188" s="81"/>
      <c r="L4188" s="499"/>
      <c r="M4188" s="73"/>
      <c r="N4188" s="499"/>
      <c r="O4188" s="73"/>
      <c r="P4188" s="73"/>
      <c r="Q4188" s="73"/>
      <c r="R4188" s="176"/>
      <c r="S4188" s="176"/>
      <c r="T4188" s="176"/>
      <c r="U4188" s="400"/>
      <c r="V4188" s="400"/>
      <c r="W4188" s="732"/>
      <c r="X4188" s="167"/>
      <c r="Y4188" s="509"/>
      <c r="Z4188" s="466"/>
      <c r="AA4188" s="466"/>
      <c r="AB4188" s="466"/>
      <c r="AC4188" s="466"/>
      <c r="AD4188" s="466"/>
      <c r="AE4188" s="466"/>
      <c r="AF4188" s="466"/>
      <c r="AG4188" s="466"/>
      <c r="AH4188" s="466"/>
      <c r="AI4188" s="466"/>
      <c r="AJ4188" s="466"/>
      <c r="AK4188" s="466"/>
      <c r="AL4188" s="466"/>
      <c r="AM4188" s="466"/>
      <c r="AN4188" s="466"/>
      <c r="AO4188" s="466"/>
      <c r="AP4188" s="466"/>
      <c r="AQ4188" s="466"/>
      <c r="AR4188" s="466"/>
      <c r="AS4188" s="466"/>
      <c r="AT4188" s="466"/>
      <c r="AU4188" s="466"/>
      <c r="AV4188" s="466"/>
      <c r="AW4188" s="466"/>
      <c r="AX4188" s="466"/>
      <c r="AY4188" s="466"/>
      <c r="AZ4188" s="466"/>
      <c r="BA4188" s="466"/>
      <c r="BB4188" s="466"/>
      <c r="BC4188" s="466"/>
      <c r="BD4188" s="466"/>
      <c r="BE4188" s="467"/>
      <c r="BF4188" s="467"/>
      <c r="BG4188" s="466"/>
      <c r="BH4188" s="466"/>
      <c r="BI4188" s="467"/>
      <c r="BJ4188" s="467"/>
      <c r="BK4188" s="467"/>
      <c r="BL4188" s="467"/>
      <c r="BM4188" s="467"/>
      <c r="BN4188" s="467"/>
      <c r="BO4188" s="467"/>
      <c r="BP4188" s="467"/>
      <c r="BQ4188" s="467"/>
      <c r="BR4188" s="467"/>
      <c r="BS4188" s="467"/>
      <c r="BT4188" s="467"/>
      <c r="BU4188" s="467"/>
      <c r="BV4188" s="467"/>
      <c r="BW4188" s="467"/>
      <c r="BX4188" s="769"/>
      <c r="BY4188" s="769"/>
      <c r="BZ4188" s="769"/>
      <c r="CA4188" s="769"/>
      <c r="CB4188" s="769"/>
      <c r="CC4188" s="769"/>
      <c r="CD4188" s="769"/>
      <c r="CE4188" s="769"/>
      <c r="CF4188" s="769"/>
      <c r="CG4188" s="73"/>
      <c r="CH4188" s="438"/>
      <c r="CI4188" s="416"/>
      <c r="CJ4188" s="73"/>
      <c r="CK4188" s="650"/>
      <c r="CL4188" s="499"/>
      <c r="CM4188" s="650"/>
      <c r="CR4188" s="416"/>
      <c r="CS4188" s="650"/>
      <c r="CU4188" s="73"/>
      <c r="CV4188" s="73"/>
      <c r="CW4188" s="73"/>
      <c r="CX4188" s="73"/>
      <c r="DA4188" s="650"/>
    </row>
    <row r="4189" spans="1:105" s="45" customFormat="1" x14ac:dyDescent="0.2">
      <c r="A4189" s="650"/>
      <c r="B4189" s="438"/>
      <c r="D4189" s="73"/>
      <c r="E4189" s="650"/>
      <c r="F4189" s="650"/>
      <c r="G4189" s="73"/>
      <c r="I4189" s="111"/>
      <c r="J4189" s="81"/>
      <c r="K4189" s="81"/>
      <c r="L4189" s="499"/>
      <c r="M4189" s="73"/>
      <c r="N4189" s="499"/>
      <c r="O4189" s="73"/>
      <c r="P4189" s="73"/>
      <c r="Q4189" s="73"/>
      <c r="R4189" s="176"/>
      <c r="S4189" s="176"/>
      <c r="T4189" s="176"/>
      <c r="U4189" s="400"/>
      <c r="V4189" s="400"/>
      <c r="W4189" s="732"/>
      <c r="X4189" s="167"/>
      <c r="Y4189" s="509"/>
      <c r="Z4189" s="466"/>
      <c r="AA4189" s="466"/>
      <c r="AB4189" s="466"/>
      <c r="AC4189" s="466"/>
      <c r="AD4189" s="466"/>
      <c r="AE4189" s="466"/>
      <c r="AF4189" s="466"/>
      <c r="AG4189" s="466"/>
      <c r="AH4189" s="466"/>
      <c r="AI4189" s="466"/>
      <c r="AJ4189" s="466"/>
      <c r="AK4189" s="466"/>
      <c r="AL4189" s="466"/>
      <c r="AM4189" s="466"/>
      <c r="AN4189" s="466"/>
      <c r="AO4189" s="466"/>
      <c r="AP4189" s="466"/>
      <c r="AQ4189" s="466"/>
      <c r="AR4189" s="466"/>
      <c r="AS4189" s="466"/>
      <c r="AT4189" s="466"/>
      <c r="AU4189" s="466"/>
      <c r="AV4189" s="466"/>
      <c r="AW4189" s="466"/>
      <c r="AX4189" s="466"/>
      <c r="AY4189" s="466"/>
      <c r="AZ4189" s="466"/>
      <c r="BA4189" s="466"/>
      <c r="BB4189" s="466"/>
      <c r="BC4189" s="466"/>
      <c r="BD4189" s="466"/>
      <c r="BE4189" s="467"/>
      <c r="BF4189" s="467"/>
      <c r="BG4189" s="466"/>
      <c r="BH4189" s="466"/>
      <c r="BI4189" s="467"/>
      <c r="BJ4189" s="467"/>
      <c r="BK4189" s="467"/>
      <c r="BL4189" s="467"/>
      <c r="BM4189" s="467"/>
      <c r="BN4189" s="467"/>
      <c r="BO4189" s="467"/>
      <c r="BP4189" s="467"/>
      <c r="BQ4189" s="467"/>
      <c r="BR4189" s="467"/>
      <c r="BS4189" s="467"/>
      <c r="BT4189" s="467"/>
      <c r="BU4189" s="467"/>
      <c r="BV4189" s="467"/>
      <c r="BW4189" s="467"/>
      <c r="BX4189" s="769"/>
      <c r="BY4189" s="769"/>
      <c r="BZ4189" s="769"/>
      <c r="CA4189" s="769"/>
      <c r="CB4189" s="769"/>
      <c r="CC4189" s="769"/>
      <c r="CD4189" s="769"/>
      <c r="CE4189" s="769"/>
      <c r="CF4189" s="769"/>
      <c r="CG4189" s="73"/>
      <c r="CH4189" s="438"/>
      <c r="CI4189" s="416"/>
      <c r="CJ4189" s="73"/>
      <c r="CK4189" s="650"/>
      <c r="CL4189" s="499"/>
      <c r="CM4189" s="650"/>
      <c r="CR4189" s="416"/>
      <c r="CS4189" s="650"/>
      <c r="CU4189" s="73"/>
      <c r="CV4189" s="73"/>
      <c r="CW4189" s="73"/>
      <c r="CX4189" s="73"/>
      <c r="DA4189" s="650"/>
    </row>
    <row r="4190" spans="1:105" s="45" customFormat="1" x14ac:dyDescent="0.2">
      <c r="A4190" s="650"/>
      <c r="B4190" s="438"/>
      <c r="D4190" s="73"/>
      <c r="E4190" s="650"/>
      <c r="F4190" s="650"/>
      <c r="G4190" s="73"/>
      <c r="I4190" s="111"/>
      <c r="J4190" s="81"/>
      <c r="K4190" s="81"/>
      <c r="L4190" s="499"/>
      <c r="M4190" s="73"/>
      <c r="N4190" s="499"/>
      <c r="O4190" s="73"/>
      <c r="P4190" s="73"/>
      <c r="Q4190" s="73"/>
      <c r="R4190" s="176"/>
      <c r="S4190" s="176"/>
      <c r="T4190" s="176"/>
      <c r="U4190" s="400"/>
      <c r="V4190" s="400"/>
      <c r="W4190" s="732"/>
      <c r="X4190" s="167"/>
      <c r="Y4190" s="509"/>
      <c r="Z4190" s="466"/>
      <c r="AA4190" s="466"/>
      <c r="AB4190" s="466"/>
      <c r="AC4190" s="466"/>
      <c r="AD4190" s="466"/>
      <c r="AE4190" s="466"/>
      <c r="AF4190" s="466"/>
      <c r="AG4190" s="466"/>
      <c r="AH4190" s="466"/>
      <c r="AI4190" s="466"/>
      <c r="AJ4190" s="466"/>
      <c r="AK4190" s="466"/>
      <c r="AL4190" s="466"/>
      <c r="AM4190" s="466"/>
      <c r="AN4190" s="466"/>
      <c r="AO4190" s="466"/>
      <c r="AP4190" s="466"/>
      <c r="AQ4190" s="466"/>
      <c r="AR4190" s="466"/>
      <c r="AS4190" s="466"/>
      <c r="AT4190" s="466"/>
      <c r="AU4190" s="466"/>
      <c r="AV4190" s="466"/>
      <c r="AW4190" s="466"/>
      <c r="AX4190" s="466"/>
      <c r="AY4190" s="466"/>
      <c r="AZ4190" s="466"/>
      <c r="BA4190" s="466"/>
      <c r="BB4190" s="466"/>
      <c r="BC4190" s="466"/>
      <c r="BD4190" s="466"/>
      <c r="BE4190" s="467"/>
      <c r="BF4190" s="467"/>
      <c r="BG4190" s="466"/>
      <c r="BH4190" s="466"/>
      <c r="BI4190" s="467"/>
      <c r="BJ4190" s="467"/>
      <c r="BK4190" s="467"/>
      <c r="BL4190" s="467"/>
      <c r="BM4190" s="467"/>
      <c r="BN4190" s="467"/>
      <c r="BO4190" s="467"/>
      <c r="BP4190" s="467"/>
      <c r="BQ4190" s="467"/>
      <c r="BR4190" s="467"/>
      <c r="BS4190" s="467"/>
      <c r="BT4190" s="467"/>
      <c r="BU4190" s="467"/>
      <c r="BV4190" s="467"/>
      <c r="BW4190" s="467"/>
      <c r="BX4190" s="769"/>
      <c r="BY4190" s="769"/>
      <c r="BZ4190" s="769"/>
      <c r="CA4190" s="769"/>
      <c r="CB4190" s="769"/>
      <c r="CC4190" s="769"/>
      <c r="CD4190" s="769"/>
      <c r="CE4190" s="769"/>
      <c r="CF4190" s="769"/>
      <c r="CG4190" s="73"/>
      <c r="CH4190" s="438"/>
      <c r="CI4190" s="416"/>
      <c r="CJ4190" s="73"/>
      <c r="CK4190" s="650"/>
      <c r="CL4190" s="499"/>
      <c r="CM4190" s="650"/>
      <c r="CR4190" s="416"/>
      <c r="CS4190" s="650"/>
      <c r="CU4190" s="73"/>
      <c r="CV4190" s="73"/>
      <c r="CW4190" s="73"/>
      <c r="CX4190" s="73"/>
      <c r="DA4190" s="650"/>
    </row>
    <row r="4191" spans="1:105" s="45" customFormat="1" x14ac:dyDescent="0.2">
      <c r="A4191" s="650"/>
      <c r="B4191" s="438"/>
      <c r="D4191" s="73"/>
      <c r="E4191" s="650"/>
      <c r="F4191" s="650"/>
      <c r="G4191" s="73"/>
      <c r="I4191" s="111"/>
      <c r="J4191" s="81"/>
      <c r="K4191" s="81"/>
      <c r="L4191" s="499"/>
      <c r="M4191" s="73"/>
      <c r="N4191" s="499"/>
      <c r="O4191" s="73"/>
      <c r="P4191" s="73"/>
      <c r="Q4191" s="73"/>
      <c r="R4191" s="176"/>
      <c r="S4191" s="176"/>
      <c r="T4191" s="176"/>
      <c r="U4191" s="400"/>
      <c r="V4191" s="400"/>
      <c r="W4191" s="732"/>
      <c r="X4191" s="167"/>
      <c r="Y4191" s="509"/>
      <c r="Z4191" s="466"/>
      <c r="AA4191" s="466"/>
      <c r="AB4191" s="466"/>
      <c r="AC4191" s="466"/>
      <c r="AD4191" s="466"/>
      <c r="AE4191" s="466"/>
      <c r="AF4191" s="466"/>
      <c r="AG4191" s="466"/>
      <c r="AH4191" s="466"/>
      <c r="AI4191" s="466"/>
      <c r="AJ4191" s="466"/>
      <c r="AK4191" s="466"/>
      <c r="AL4191" s="466"/>
      <c r="AM4191" s="466"/>
      <c r="AN4191" s="466"/>
      <c r="AO4191" s="466"/>
      <c r="AP4191" s="466"/>
      <c r="AQ4191" s="466"/>
      <c r="AR4191" s="466"/>
      <c r="AS4191" s="466"/>
      <c r="AT4191" s="466"/>
      <c r="AU4191" s="466"/>
      <c r="AV4191" s="466"/>
      <c r="AW4191" s="466"/>
      <c r="AX4191" s="466"/>
      <c r="AY4191" s="466"/>
      <c r="AZ4191" s="466"/>
      <c r="BA4191" s="466"/>
      <c r="BB4191" s="466"/>
      <c r="BC4191" s="466"/>
      <c r="BD4191" s="466"/>
      <c r="BE4191" s="467"/>
      <c r="BF4191" s="467"/>
      <c r="BG4191" s="466"/>
      <c r="BH4191" s="466"/>
      <c r="BI4191" s="467"/>
      <c r="BJ4191" s="467"/>
      <c r="BK4191" s="467"/>
      <c r="BL4191" s="467"/>
      <c r="BM4191" s="467"/>
      <c r="BN4191" s="467"/>
      <c r="BO4191" s="467"/>
      <c r="BP4191" s="467"/>
      <c r="BQ4191" s="467"/>
      <c r="BR4191" s="467"/>
      <c r="BS4191" s="467"/>
      <c r="BT4191" s="467"/>
      <c r="BU4191" s="467"/>
      <c r="BV4191" s="467"/>
      <c r="BW4191" s="467"/>
      <c r="BX4191" s="769"/>
      <c r="BY4191" s="769"/>
      <c r="BZ4191" s="769"/>
      <c r="CA4191" s="769"/>
      <c r="CB4191" s="769"/>
      <c r="CC4191" s="769"/>
      <c r="CD4191" s="769"/>
      <c r="CE4191" s="769"/>
      <c r="CF4191" s="769"/>
      <c r="CG4191" s="73"/>
      <c r="CH4191" s="438"/>
      <c r="CI4191" s="416"/>
      <c r="CJ4191" s="73"/>
      <c r="CK4191" s="650"/>
      <c r="CL4191" s="499"/>
      <c r="CM4191" s="650"/>
      <c r="CR4191" s="416"/>
      <c r="CS4191" s="650"/>
      <c r="CU4191" s="73"/>
      <c r="CV4191" s="73"/>
      <c r="CW4191" s="73"/>
      <c r="CX4191" s="73"/>
      <c r="DA4191" s="650"/>
    </row>
    <row r="4192" spans="1:105" s="45" customFormat="1" x14ac:dyDescent="0.2">
      <c r="A4192" s="650"/>
      <c r="B4192" s="438"/>
      <c r="D4192" s="73"/>
      <c r="E4192" s="650"/>
      <c r="F4192" s="650"/>
      <c r="G4192" s="73"/>
      <c r="I4192" s="111"/>
      <c r="J4192" s="81"/>
      <c r="K4192" s="81"/>
      <c r="L4192" s="499"/>
      <c r="M4192" s="73"/>
      <c r="N4192" s="499"/>
      <c r="O4192" s="73"/>
      <c r="P4192" s="73"/>
      <c r="Q4192" s="73"/>
      <c r="R4192" s="176"/>
      <c r="S4192" s="176"/>
      <c r="T4192" s="176"/>
      <c r="U4192" s="400"/>
      <c r="V4192" s="400"/>
      <c r="W4192" s="732"/>
      <c r="X4192" s="167"/>
      <c r="Y4192" s="509"/>
      <c r="Z4192" s="466"/>
      <c r="AA4192" s="466"/>
      <c r="AB4192" s="466"/>
      <c r="AC4192" s="466"/>
      <c r="AD4192" s="466"/>
      <c r="AE4192" s="466"/>
      <c r="AF4192" s="466"/>
      <c r="AG4192" s="466"/>
      <c r="AH4192" s="466"/>
      <c r="AI4192" s="466"/>
      <c r="AJ4192" s="466"/>
      <c r="AK4192" s="466"/>
      <c r="AL4192" s="466"/>
      <c r="AM4192" s="466"/>
      <c r="AN4192" s="466"/>
      <c r="AO4192" s="466"/>
      <c r="AP4192" s="466"/>
      <c r="AQ4192" s="466"/>
      <c r="AR4192" s="466"/>
      <c r="AS4192" s="466"/>
      <c r="AT4192" s="466"/>
      <c r="AU4192" s="466"/>
      <c r="AV4192" s="466"/>
      <c r="AW4192" s="466"/>
      <c r="AX4192" s="466"/>
      <c r="AY4192" s="466"/>
      <c r="AZ4192" s="466"/>
      <c r="BA4192" s="466"/>
      <c r="BB4192" s="466"/>
      <c r="BC4192" s="466"/>
      <c r="BD4192" s="466"/>
      <c r="BE4192" s="467"/>
      <c r="BF4192" s="467"/>
      <c r="BG4192" s="466"/>
      <c r="BH4192" s="466"/>
      <c r="BI4192" s="467"/>
      <c r="BJ4192" s="467"/>
      <c r="BK4192" s="467"/>
      <c r="BL4192" s="467"/>
      <c r="BM4192" s="467"/>
      <c r="BN4192" s="467"/>
      <c r="BO4192" s="467"/>
      <c r="BP4192" s="467"/>
      <c r="BQ4192" s="467"/>
      <c r="BR4192" s="467"/>
      <c r="BS4192" s="467"/>
      <c r="BT4192" s="467"/>
      <c r="BU4192" s="467"/>
      <c r="BV4192" s="467"/>
      <c r="BW4192" s="467"/>
      <c r="BX4192" s="769"/>
      <c r="BY4192" s="769"/>
      <c r="BZ4192" s="769"/>
      <c r="CA4192" s="769"/>
      <c r="CB4192" s="769"/>
      <c r="CC4192" s="769"/>
      <c r="CD4192" s="769"/>
      <c r="CE4192" s="769"/>
      <c r="CF4192" s="769"/>
      <c r="CG4192" s="73"/>
      <c r="CH4192" s="438"/>
      <c r="CI4192" s="416"/>
      <c r="CJ4192" s="73"/>
      <c r="CK4192" s="650"/>
      <c r="CL4192" s="499"/>
      <c r="CM4192" s="650"/>
      <c r="CR4192" s="416"/>
      <c r="CS4192" s="650"/>
      <c r="CU4192" s="73"/>
      <c r="CV4192" s="73"/>
      <c r="CW4192" s="73"/>
      <c r="CX4192" s="73"/>
      <c r="DA4192" s="650"/>
    </row>
    <row r="4193" spans="1:105" s="45" customFormat="1" x14ac:dyDescent="0.2">
      <c r="A4193" s="650"/>
      <c r="B4193" s="438"/>
      <c r="D4193" s="73"/>
      <c r="E4193" s="650"/>
      <c r="F4193" s="650"/>
      <c r="G4193" s="73"/>
      <c r="I4193" s="111"/>
      <c r="J4193" s="81"/>
      <c r="K4193" s="81"/>
      <c r="L4193" s="499"/>
      <c r="M4193" s="73"/>
      <c r="N4193" s="499"/>
      <c r="O4193" s="73"/>
      <c r="P4193" s="73"/>
      <c r="Q4193" s="73"/>
      <c r="R4193" s="176"/>
      <c r="S4193" s="176"/>
      <c r="T4193" s="176"/>
      <c r="U4193" s="400"/>
      <c r="V4193" s="400"/>
      <c r="W4193" s="732"/>
      <c r="X4193" s="167"/>
      <c r="Y4193" s="509"/>
      <c r="Z4193" s="466"/>
      <c r="AA4193" s="466"/>
      <c r="AB4193" s="466"/>
      <c r="AC4193" s="466"/>
      <c r="AD4193" s="466"/>
      <c r="AE4193" s="466"/>
      <c r="AF4193" s="466"/>
      <c r="AG4193" s="466"/>
      <c r="AH4193" s="466"/>
      <c r="AI4193" s="466"/>
      <c r="AJ4193" s="466"/>
      <c r="AK4193" s="466"/>
      <c r="AL4193" s="466"/>
      <c r="AM4193" s="466"/>
      <c r="AN4193" s="466"/>
      <c r="AO4193" s="466"/>
      <c r="AP4193" s="466"/>
      <c r="AQ4193" s="466"/>
      <c r="AR4193" s="466"/>
      <c r="AS4193" s="466"/>
      <c r="AT4193" s="466"/>
      <c r="AU4193" s="466"/>
      <c r="AV4193" s="466"/>
      <c r="AW4193" s="466"/>
      <c r="AX4193" s="466"/>
      <c r="AY4193" s="466"/>
      <c r="AZ4193" s="466"/>
      <c r="BA4193" s="466"/>
      <c r="BB4193" s="466"/>
      <c r="BC4193" s="466"/>
      <c r="BD4193" s="466"/>
      <c r="BE4193" s="467"/>
      <c r="BF4193" s="467"/>
      <c r="BG4193" s="466"/>
      <c r="BH4193" s="466"/>
      <c r="BI4193" s="467"/>
      <c r="BJ4193" s="467"/>
      <c r="BK4193" s="467"/>
      <c r="BL4193" s="467"/>
      <c r="BM4193" s="467"/>
      <c r="BN4193" s="467"/>
      <c r="BO4193" s="467"/>
      <c r="BP4193" s="467"/>
      <c r="BQ4193" s="467"/>
      <c r="BR4193" s="467"/>
      <c r="BS4193" s="467"/>
      <c r="BT4193" s="467"/>
      <c r="BU4193" s="467"/>
      <c r="BV4193" s="467"/>
      <c r="BW4193" s="467"/>
      <c r="BX4193" s="769"/>
      <c r="BY4193" s="769"/>
      <c r="BZ4193" s="769"/>
      <c r="CA4193" s="769"/>
      <c r="CB4193" s="769"/>
      <c r="CC4193" s="769"/>
      <c r="CD4193" s="769"/>
      <c r="CE4193" s="769"/>
      <c r="CF4193" s="769"/>
      <c r="CG4193" s="73"/>
      <c r="CH4193" s="438"/>
      <c r="CI4193" s="416"/>
      <c r="CJ4193" s="73"/>
      <c r="CK4193" s="650"/>
      <c r="CL4193" s="499"/>
      <c r="CM4193" s="650"/>
      <c r="CR4193" s="416"/>
      <c r="CS4193" s="650"/>
      <c r="CU4193" s="73"/>
      <c r="CV4193" s="73"/>
      <c r="CW4193" s="73"/>
      <c r="CX4193" s="73"/>
      <c r="DA4193" s="650"/>
    </row>
    <row r="4194" spans="1:105" s="45" customFormat="1" x14ac:dyDescent="0.2">
      <c r="A4194" s="650"/>
      <c r="B4194" s="438"/>
      <c r="D4194" s="73"/>
      <c r="E4194" s="650"/>
      <c r="F4194" s="650"/>
      <c r="G4194" s="73"/>
      <c r="I4194" s="111"/>
      <c r="J4194" s="81"/>
      <c r="K4194" s="81"/>
      <c r="L4194" s="499"/>
      <c r="M4194" s="73"/>
      <c r="N4194" s="499"/>
      <c r="O4194" s="73"/>
      <c r="P4194" s="73"/>
      <c r="Q4194" s="73"/>
      <c r="R4194" s="176"/>
      <c r="S4194" s="176"/>
      <c r="T4194" s="176"/>
      <c r="U4194" s="400"/>
      <c r="V4194" s="400"/>
      <c r="W4194" s="732"/>
      <c r="X4194" s="167"/>
      <c r="Y4194" s="509"/>
      <c r="Z4194" s="466"/>
      <c r="AA4194" s="466"/>
      <c r="AB4194" s="466"/>
      <c r="AC4194" s="466"/>
      <c r="AD4194" s="466"/>
      <c r="AE4194" s="466"/>
      <c r="AF4194" s="466"/>
      <c r="AG4194" s="466"/>
      <c r="AH4194" s="466"/>
      <c r="AI4194" s="466"/>
      <c r="AJ4194" s="466"/>
      <c r="AK4194" s="466"/>
      <c r="AL4194" s="466"/>
      <c r="AM4194" s="466"/>
      <c r="AN4194" s="466"/>
      <c r="AO4194" s="466"/>
      <c r="AP4194" s="466"/>
      <c r="AQ4194" s="466"/>
      <c r="AR4194" s="466"/>
      <c r="AS4194" s="466"/>
      <c r="AT4194" s="466"/>
      <c r="AU4194" s="466"/>
      <c r="AV4194" s="466"/>
      <c r="AW4194" s="466"/>
      <c r="AX4194" s="466"/>
      <c r="AY4194" s="466"/>
      <c r="AZ4194" s="466"/>
      <c r="BA4194" s="466"/>
      <c r="BB4194" s="466"/>
      <c r="BC4194" s="466"/>
      <c r="BD4194" s="466"/>
      <c r="BE4194" s="467"/>
      <c r="BF4194" s="467"/>
      <c r="BG4194" s="466"/>
      <c r="BH4194" s="466"/>
      <c r="BI4194" s="467"/>
      <c r="BJ4194" s="467"/>
      <c r="BK4194" s="467"/>
      <c r="BL4194" s="467"/>
      <c r="BM4194" s="467"/>
      <c r="BN4194" s="467"/>
      <c r="BO4194" s="467"/>
      <c r="BP4194" s="467"/>
      <c r="BQ4194" s="467"/>
      <c r="BR4194" s="467"/>
      <c r="BS4194" s="467"/>
      <c r="BT4194" s="467"/>
      <c r="BU4194" s="467"/>
      <c r="BV4194" s="467"/>
      <c r="BW4194" s="467"/>
      <c r="BX4194" s="769"/>
      <c r="BY4194" s="769"/>
      <c r="BZ4194" s="769"/>
      <c r="CA4194" s="769"/>
      <c r="CB4194" s="769"/>
      <c r="CC4194" s="769"/>
      <c r="CD4194" s="769"/>
      <c r="CE4194" s="769"/>
      <c r="CF4194" s="769"/>
      <c r="CG4194" s="73"/>
      <c r="CH4194" s="438"/>
      <c r="CI4194" s="416"/>
      <c r="CJ4194" s="73"/>
      <c r="CK4194" s="650"/>
      <c r="CL4194" s="499"/>
      <c r="CM4194" s="650"/>
      <c r="CR4194" s="416"/>
      <c r="CS4194" s="650"/>
      <c r="CU4194" s="73"/>
      <c r="CV4194" s="73"/>
      <c r="CW4194" s="73"/>
      <c r="CX4194" s="73"/>
      <c r="DA4194" s="650"/>
    </row>
    <row r="4195" spans="1:105" s="45" customFormat="1" x14ac:dyDescent="0.2">
      <c r="A4195" s="650"/>
      <c r="B4195" s="438"/>
      <c r="D4195" s="73"/>
      <c r="E4195" s="650"/>
      <c r="F4195" s="650"/>
      <c r="G4195" s="73"/>
      <c r="I4195" s="111"/>
      <c r="J4195" s="81"/>
      <c r="K4195" s="81"/>
      <c r="L4195" s="499"/>
      <c r="M4195" s="73"/>
      <c r="N4195" s="499"/>
      <c r="O4195" s="73"/>
      <c r="P4195" s="73"/>
      <c r="Q4195" s="73"/>
      <c r="R4195" s="176"/>
      <c r="S4195" s="176"/>
      <c r="T4195" s="176"/>
      <c r="U4195" s="400"/>
      <c r="V4195" s="400"/>
      <c r="W4195" s="732"/>
      <c r="X4195" s="167"/>
      <c r="Y4195" s="509"/>
      <c r="Z4195" s="466"/>
      <c r="AA4195" s="466"/>
      <c r="AB4195" s="466"/>
      <c r="AC4195" s="466"/>
      <c r="AD4195" s="466"/>
      <c r="AE4195" s="466"/>
      <c r="AF4195" s="466"/>
      <c r="AG4195" s="466"/>
      <c r="AH4195" s="466"/>
      <c r="AI4195" s="466"/>
      <c r="AJ4195" s="466"/>
      <c r="AK4195" s="466"/>
      <c r="AL4195" s="466"/>
      <c r="AM4195" s="466"/>
      <c r="AN4195" s="466"/>
      <c r="AO4195" s="466"/>
      <c r="AP4195" s="466"/>
      <c r="AQ4195" s="466"/>
      <c r="AR4195" s="466"/>
      <c r="AS4195" s="466"/>
      <c r="AT4195" s="466"/>
      <c r="AU4195" s="466"/>
      <c r="AV4195" s="466"/>
      <c r="AW4195" s="466"/>
      <c r="AX4195" s="466"/>
      <c r="AY4195" s="466"/>
      <c r="AZ4195" s="466"/>
      <c r="BA4195" s="466"/>
      <c r="BB4195" s="466"/>
      <c r="BC4195" s="466"/>
      <c r="BD4195" s="466"/>
      <c r="BE4195" s="467"/>
      <c r="BF4195" s="467"/>
      <c r="BG4195" s="466"/>
      <c r="BH4195" s="466"/>
      <c r="BI4195" s="467"/>
      <c r="BJ4195" s="467"/>
      <c r="BK4195" s="467"/>
      <c r="BL4195" s="467"/>
      <c r="BM4195" s="467"/>
      <c r="BN4195" s="467"/>
      <c r="BO4195" s="467"/>
      <c r="BP4195" s="467"/>
      <c r="BQ4195" s="467"/>
      <c r="BR4195" s="467"/>
      <c r="BS4195" s="467"/>
      <c r="BT4195" s="467"/>
      <c r="BU4195" s="467"/>
      <c r="BV4195" s="467"/>
      <c r="BW4195" s="467"/>
      <c r="BX4195" s="769"/>
      <c r="BY4195" s="769"/>
      <c r="BZ4195" s="769"/>
      <c r="CA4195" s="769"/>
      <c r="CB4195" s="769"/>
      <c r="CC4195" s="769"/>
      <c r="CD4195" s="769"/>
      <c r="CE4195" s="769"/>
      <c r="CF4195" s="769"/>
      <c r="CG4195" s="73"/>
      <c r="CH4195" s="438"/>
      <c r="CI4195" s="416"/>
      <c r="CJ4195" s="73"/>
      <c r="CK4195" s="650"/>
      <c r="CL4195" s="499"/>
      <c r="CM4195" s="650"/>
      <c r="CR4195" s="416"/>
      <c r="CS4195" s="650"/>
      <c r="CU4195" s="73"/>
      <c r="CV4195" s="73"/>
      <c r="CW4195" s="73"/>
      <c r="CX4195" s="73"/>
      <c r="DA4195" s="650"/>
    </row>
    <row r="4196" spans="1:105" s="45" customFormat="1" x14ac:dyDescent="0.2">
      <c r="A4196" s="650"/>
      <c r="B4196" s="438"/>
      <c r="D4196" s="73"/>
      <c r="E4196" s="650"/>
      <c r="F4196" s="650"/>
      <c r="G4196" s="73"/>
      <c r="I4196" s="111"/>
      <c r="J4196" s="81"/>
      <c r="K4196" s="81"/>
      <c r="L4196" s="499"/>
      <c r="M4196" s="73"/>
      <c r="N4196" s="499"/>
      <c r="O4196" s="73"/>
      <c r="P4196" s="73"/>
      <c r="Q4196" s="73"/>
      <c r="R4196" s="176"/>
      <c r="S4196" s="176"/>
      <c r="T4196" s="176"/>
      <c r="U4196" s="400"/>
      <c r="V4196" s="400"/>
      <c r="W4196" s="732"/>
      <c r="X4196" s="167"/>
      <c r="Y4196" s="509"/>
      <c r="Z4196" s="466"/>
      <c r="AA4196" s="466"/>
      <c r="AB4196" s="466"/>
      <c r="AC4196" s="466"/>
      <c r="AD4196" s="466"/>
      <c r="AE4196" s="466"/>
      <c r="AF4196" s="466"/>
      <c r="AG4196" s="466"/>
      <c r="AH4196" s="466"/>
      <c r="AI4196" s="466"/>
      <c r="AJ4196" s="466"/>
      <c r="AK4196" s="466"/>
      <c r="AL4196" s="466"/>
      <c r="AM4196" s="466"/>
      <c r="AN4196" s="466"/>
      <c r="AO4196" s="466"/>
      <c r="AP4196" s="466"/>
      <c r="AQ4196" s="466"/>
      <c r="AR4196" s="466"/>
      <c r="AS4196" s="466"/>
      <c r="AT4196" s="466"/>
      <c r="AU4196" s="466"/>
      <c r="AV4196" s="466"/>
      <c r="AW4196" s="466"/>
      <c r="AX4196" s="466"/>
      <c r="AY4196" s="466"/>
      <c r="AZ4196" s="466"/>
      <c r="BA4196" s="466"/>
      <c r="BB4196" s="466"/>
      <c r="BC4196" s="466"/>
      <c r="BD4196" s="466"/>
      <c r="BE4196" s="467"/>
      <c r="BF4196" s="467"/>
      <c r="BG4196" s="466"/>
      <c r="BH4196" s="466"/>
      <c r="BI4196" s="467"/>
      <c r="BJ4196" s="467"/>
      <c r="BK4196" s="467"/>
      <c r="BL4196" s="467"/>
      <c r="BM4196" s="467"/>
      <c r="BN4196" s="467"/>
      <c r="BO4196" s="467"/>
      <c r="BP4196" s="467"/>
      <c r="BQ4196" s="467"/>
      <c r="BR4196" s="467"/>
      <c r="BS4196" s="467"/>
      <c r="BT4196" s="467"/>
      <c r="BU4196" s="467"/>
      <c r="BV4196" s="467"/>
      <c r="BW4196" s="467"/>
      <c r="BX4196" s="769"/>
      <c r="BY4196" s="769"/>
      <c r="BZ4196" s="769"/>
      <c r="CA4196" s="769"/>
      <c r="CB4196" s="769"/>
      <c r="CC4196" s="769"/>
      <c r="CD4196" s="769"/>
      <c r="CE4196" s="769"/>
      <c r="CF4196" s="769"/>
      <c r="CG4196" s="73"/>
      <c r="CH4196" s="438"/>
      <c r="CI4196" s="416"/>
      <c r="CJ4196" s="73"/>
      <c r="CK4196" s="650"/>
      <c r="CL4196" s="499"/>
      <c r="CM4196" s="650"/>
      <c r="CR4196" s="416"/>
      <c r="CS4196" s="650"/>
      <c r="CU4196" s="73"/>
      <c r="CV4196" s="73"/>
      <c r="CW4196" s="73"/>
      <c r="CX4196" s="73"/>
      <c r="DA4196" s="650"/>
    </row>
    <row r="4197" spans="1:105" s="45" customFormat="1" x14ac:dyDescent="0.2">
      <c r="A4197" s="650"/>
      <c r="B4197" s="438"/>
      <c r="D4197" s="73"/>
      <c r="E4197" s="650"/>
      <c r="F4197" s="650"/>
      <c r="G4197" s="73"/>
      <c r="I4197" s="111"/>
      <c r="J4197" s="81"/>
      <c r="K4197" s="81"/>
      <c r="L4197" s="499"/>
      <c r="M4197" s="73"/>
      <c r="N4197" s="499"/>
      <c r="O4197" s="73"/>
      <c r="P4197" s="73"/>
      <c r="Q4197" s="73"/>
      <c r="R4197" s="176"/>
      <c r="S4197" s="176"/>
      <c r="T4197" s="176"/>
      <c r="U4197" s="400"/>
      <c r="V4197" s="400"/>
      <c r="W4197" s="732"/>
      <c r="X4197" s="167"/>
      <c r="Y4197" s="509"/>
      <c r="Z4197" s="466"/>
      <c r="AA4197" s="466"/>
      <c r="AB4197" s="466"/>
      <c r="AC4197" s="466"/>
      <c r="AD4197" s="466"/>
      <c r="AE4197" s="466"/>
      <c r="AF4197" s="466"/>
      <c r="AG4197" s="466"/>
      <c r="AH4197" s="466"/>
      <c r="AI4197" s="466"/>
      <c r="AJ4197" s="466"/>
      <c r="AK4197" s="466"/>
      <c r="AL4197" s="466"/>
      <c r="AM4197" s="466"/>
      <c r="AN4197" s="466"/>
      <c r="AO4197" s="466"/>
      <c r="AP4197" s="466"/>
      <c r="AQ4197" s="466"/>
      <c r="AR4197" s="466"/>
      <c r="AS4197" s="466"/>
      <c r="AT4197" s="466"/>
      <c r="AU4197" s="466"/>
      <c r="AV4197" s="466"/>
      <c r="AW4197" s="466"/>
      <c r="AX4197" s="466"/>
      <c r="AY4197" s="466"/>
      <c r="AZ4197" s="466"/>
      <c r="BA4197" s="466"/>
      <c r="BB4197" s="466"/>
      <c r="BC4197" s="466"/>
      <c r="BD4197" s="466"/>
      <c r="BE4197" s="467"/>
      <c r="BF4197" s="467"/>
      <c r="BG4197" s="466"/>
      <c r="BH4197" s="466"/>
      <c r="BI4197" s="467"/>
      <c r="BJ4197" s="467"/>
      <c r="BK4197" s="467"/>
      <c r="BL4197" s="467"/>
      <c r="BM4197" s="467"/>
      <c r="BN4197" s="467"/>
      <c r="BO4197" s="467"/>
      <c r="BP4197" s="467"/>
      <c r="BQ4197" s="467"/>
      <c r="BR4197" s="467"/>
      <c r="BS4197" s="467"/>
      <c r="BT4197" s="467"/>
      <c r="BU4197" s="467"/>
      <c r="BV4197" s="467"/>
      <c r="BW4197" s="467"/>
      <c r="BX4197" s="769"/>
      <c r="BY4197" s="769"/>
      <c r="BZ4197" s="769"/>
      <c r="CA4197" s="769"/>
      <c r="CB4197" s="769"/>
      <c r="CC4197" s="769"/>
      <c r="CD4197" s="769"/>
      <c r="CE4197" s="769"/>
      <c r="CF4197" s="769"/>
      <c r="CG4197" s="73"/>
      <c r="CH4197" s="438"/>
      <c r="CI4197" s="416"/>
      <c r="CJ4197" s="73"/>
      <c r="CK4197" s="650"/>
      <c r="CL4197" s="499"/>
      <c r="CM4197" s="650"/>
      <c r="CR4197" s="416"/>
      <c r="CS4197" s="650"/>
      <c r="CU4197" s="73"/>
      <c r="CV4197" s="73"/>
      <c r="CW4197" s="73"/>
      <c r="CX4197" s="73"/>
      <c r="DA4197" s="650"/>
    </row>
    <row r="4198" spans="1:105" s="45" customFormat="1" x14ac:dyDescent="0.2">
      <c r="A4198" s="650"/>
      <c r="B4198" s="438"/>
      <c r="D4198" s="73"/>
      <c r="E4198" s="650"/>
      <c r="F4198" s="650"/>
      <c r="G4198" s="73"/>
      <c r="I4198" s="111"/>
      <c r="J4198" s="81"/>
      <c r="K4198" s="81"/>
      <c r="L4198" s="499"/>
      <c r="M4198" s="73"/>
      <c r="N4198" s="499"/>
      <c r="O4198" s="73"/>
      <c r="P4198" s="73"/>
      <c r="Q4198" s="73"/>
      <c r="R4198" s="176"/>
      <c r="S4198" s="176"/>
      <c r="T4198" s="176"/>
      <c r="U4198" s="400"/>
      <c r="V4198" s="400"/>
      <c r="W4198" s="732"/>
      <c r="X4198" s="167"/>
      <c r="Y4198" s="509"/>
      <c r="Z4198" s="466"/>
      <c r="AA4198" s="466"/>
      <c r="AB4198" s="466"/>
      <c r="AC4198" s="466"/>
      <c r="AD4198" s="466"/>
      <c r="AE4198" s="466"/>
      <c r="AF4198" s="466"/>
      <c r="AG4198" s="466"/>
      <c r="AH4198" s="466"/>
      <c r="AI4198" s="466"/>
      <c r="AJ4198" s="466"/>
      <c r="AK4198" s="466"/>
      <c r="AL4198" s="466"/>
      <c r="AM4198" s="466"/>
      <c r="AN4198" s="466"/>
      <c r="AO4198" s="466"/>
      <c r="AP4198" s="466"/>
      <c r="AQ4198" s="466"/>
      <c r="AR4198" s="466"/>
      <c r="AS4198" s="466"/>
      <c r="AT4198" s="466"/>
      <c r="AU4198" s="466"/>
      <c r="AV4198" s="466"/>
      <c r="AW4198" s="466"/>
      <c r="AX4198" s="466"/>
      <c r="AY4198" s="466"/>
      <c r="AZ4198" s="466"/>
      <c r="BA4198" s="466"/>
      <c r="BB4198" s="466"/>
      <c r="BC4198" s="466"/>
      <c r="BD4198" s="466"/>
      <c r="BE4198" s="467"/>
      <c r="BF4198" s="467"/>
      <c r="BG4198" s="466"/>
      <c r="BH4198" s="466"/>
      <c r="BI4198" s="467"/>
      <c r="BJ4198" s="467"/>
      <c r="BK4198" s="467"/>
      <c r="BL4198" s="467"/>
      <c r="BM4198" s="467"/>
      <c r="BN4198" s="467"/>
      <c r="BO4198" s="467"/>
      <c r="BP4198" s="467"/>
      <c r="BQ4198" s="467"/>
      <c r="BR4198" s="467"/>
      <c r="BS4198" s="467"/>
      <c r="BT4198" s="467"/>
      <c r="BU4198" s="467"/>
      <c r="BV4198" s="467"/>
      <c r="BW4198" s="467"/>
      <c r="BX4198" s="769"/>
      <c r="BY4198" s="769"/>
      <c r="BZ4198" s="769"/>
      <c r="CA4198" s="769"/>
      <c r="CB4198" s="769"/>
      <c r="CC4198" s="769"/>
      <c r="CD4198" s="769"/>
      <c r="CE4198" s="769"/>
      <c r="CF4198" s="769"/>
      <c r="CG4198" s="73"/>
      <c r="CH4198" s="438"/>
      <c r="CI4198" s="416"/>
      <c r="CJ4198" s="73"/>
      <c r="CK4198" s="650"/>
      <c r="CL4198" s="499"/>
      <c r="CM4198" s="650"/>
      <c r="CR4198" s="416"/>
      <c r="CS4198" s="650"/>
      <c r="CU4198" s="73"/>
      <c r="CV4198" s="73"/>
      <c r="CW4198" s="73"/>
      <c r="CX4198" s="73"/>
      <c r="DA4198" s="650"/>
    </row>
    <row r="4199" spans="1:105" s="45" customFormat="1" x14ac:dyDescent="0.2">
      <c r="A4199" s="650"/>
      <c r="B4199" s="438"/>
      <c r="D4199" s="73"/>
      <c r="E4199" s="650"/>
      <c r="F4199" s="650"/>
      <c r="G4199" s="73"/>
      <c r="I4199" s="111"/>
      <c r="J4199" s="81"/>
      <c r="K4199" s="81"/>
      <c r="L4199" s="499"/>
      <c r="M4199" s="73"/>
      <c r="N4199" s="499"/>
      <c r="O4199" s="73"/>
      <c r="P4199" s="73"/>
      <c r="Q4199" s="73"/>
      <c r="R4199" s="176"/>
      <c r="S4199" s="176"/>
      <c r="T4199" s="176"/>
      <c r="U4199" s="400"/>
      <c r="V4199" s="400"/>
      <c r="W4199" s="732"/>
      <c r="X4199" s="167"/>
      <c r="Y4199" s="509"/>
      <c r="Z4199" s="466"/>
      <c r="AA4199" s="466"/>
      <c r="AB4199" s="466"/>
      <c r="AC4199" s="466"/>
      <c r="AD4199" s="466"/>
      <c r="AE4199" s="466"/>
      <c r="AF4199" s="466"/>
      <c r="AG4199" s="466"/>
      <c r="AH4199" s="466"/>
      <c r="AI4199" s="466"/>
      <c r="AJ4199" s="466"/>
      <c r="AK4199" s="466"/>
      <c r="AL4199" s="466"/>
      <c r="AM4199" s="466"/>
      <c r="AN4199" s="466"/>
      <c r="AO4199" s="466"/>
      <c r="AP4199" s="466"/>
      <c r="AQ4199" s="466"/>
      <c r="AR4199" s="466"/>
      <c r="AS4199" s="466"/>
      <c r="AT4199" s="466"/>
      <c r="AU4199" s="466"/>
      <c r="AV4199" s="466"/>
      <c r="AW4199" s="466"/>
      <c r="AX4199" s="466"/>
      <c r="AY4199" s="466"/>
      <c r="AZ4199" s="466"/>
      <c r="BA4199" s="466"/>
      <c r="BB4199" s="466"/>
      <c r="BC4199" s="466"/>
      <c r="BD4199" s="466"/>
      <c r="BE4199" s="467"/>
      <c r="BF4199" s="467"/>
      <c r="BG4199" s="466"/>
      <c r="BH4199" s="466"/>
      <c r="BI4199" s="467"/>
      <c r="BJ4199" s="467"/>
      <c r="BK4199" s="467"/>
      <c r="BL4199" s="467"/>
      <c r="BM4199" s="467"/>
      <c r="BN4199" s="467"/>
      <c r="BO4199" s="467"/>
      <c r="BP4199" s="467"/>
      <c r="BQ4199" s="467"/>
      <c r="BR4199" s="467"/>
      <c r="BS4199" s="467"/>
      <c r="BT4199" s="467"/>
      <c r="BU4199" s="467"/>
      <c r="BV4199" s="467"/>
      <c r="BW4199" s="467"/>
      <c r="BX4199" s="769"/>
      <c r="BY4199" s="769"/>
      <c r="BZ4199" s="769"/>
      <c r="CA4199" s="769"/>
      <c r="CB4199" s="769"/>
      <c r="CC4199" s="769"/>
      <c r="CD4199" s="769"/>
      <c r="CE4199" s="769"/>
      <c r="CF4199" s="769"/>
      <c r="CG4199" s="73"/>
      <c r="CH4199" s="438"/>
      <c r="CI4199" s="416"/>
      <c r="CJ4199" s="73"/>
      <c r="CK4199" s="650"/>
      <c r="CL4199" s="499"/>
      <c r="CM4199" s="650"/>
      <c r="CR4199" s="416"/>
      <c r="CS4199" s="650"/>
      <c r="CU4199" s="73"/>
      <c r="CV4199" s="73"/>
      <c r="CW4199" s="73"/>
      <c r="CX4199" s="73"/>
      <c r="DA4199" s="650"/>
    </row>
    <row r="4200" spans="1:105" s="45" customFormat="1" x14ac:dyDescent="0.2">
      <c r="A4200" s="650"/>
      <c r="B4200" s="438"/>
      <c r="D4200" s="73"/>
      <c r="E4200" s="650"/>
      <c r="F4200" s="650"/>
      <c r="G4200" s="73"/>
      <c r="I4200" s="111"/>
      <c r="J4200" s="81"/>
      <c r="K4200" s="81"/>
      <c r="L4200" s="499"/>
      <c r="M4200" s="73"/>
      <c r="N4200" s="499"/>
      <c r="O4200" s="73"/>
      <c r="P4200" s="73"/>
      <c r="Q4200" s="73"/>
      <c r="R4200" s="176"/>
      <c r="S4200" s="176"/>
      <c r="T4200" s="176"/>
      <c r="U4200" s="400"/>
      <c r="V4200" s="400"/>
      <c r="W4200" s="732"/>
      <c r="X4200" s="167"/>
      <c r="Y4200" s="509"/>
      <c r="Z4200" s="466"/>
      <c r="AA4200" s="466"/>
      <c r="AB4200" s="466"/>
      <c r="AC4200" s="466"/>
      <c r="AD4200" s="466"/>
      <c r="AE4200" s="466"/>
      <c r="AF4200" s="466"/>
      <c r="AG4200" s="466"/>
      <c r="AH4200" s="466"/>
      <c r="AI4200" s="466"/>
      <c r="AJ4200" s="466"/>
      <c r="AK4200" s="466"/>
      <c r="AL4200" s="466"/>
      <c r="AM4200" s="466"/>
      <c r="AN4200" s="466"/>
      <c r="AO4200" s="466"/>
      <c r="AP4200" s="466"/>
      <c r="AQ4200" s="466"/>
      <c r="AR4200" s="466"/>
      <c r="AS4200" s="466"/>
      <c r="AT4200" s="466"/>
      <c r="AU4200" s="466"/>
      <c r="AV4200" s="466"/>
      <c r="AW4200" s="466"/>
      <c r="AX4200" s="466"/>
      <c r="AY4200" s="466"/>
      <c r="AZ4200" s="466"/>
      <c r="BA4200" s="466"/>
      <c r="BB4200" s="466"/>
      <c r="BC4200" s="466"/>
      <c r="BD4200" s="466"/>
      <c r="BE4200" s="467"/>
      <c r="BF4200" s="467"/>
      <c r="BG4200" s="466"/>
      <c r="BH4200" s="466"/>
      <c r="BI4200" s="467"/>
      <c r="BJ4200" s="467"/>
      <c r="BK4200" s="467"/>
      <c r="BL4200" s="467"/>
      <c r="BM4200" s="467"/>
      <c r="BN4200" s="467"/>
      <c r="BO4200" s="467"/>
      <c r="BP4200" s="467"/>
      <c r="BQ4200" s="467"/>
      <c r="BR4200" s="467"/>
      <c r="BS4200" s="467"/>
      <c r="BT4200" s="467"/>
      <c r="BU4200" s="467"/>
      <c r="BV4200" s="467"/>
      <c r="BW4200" s="467"/>
      <c r="BX4200" s="769"/>
      <c r="BY4200" s="769"/>
      <c r="BZ4200" s="769"/>
      <c r="CA4200" s="769"/>
      <c r="CB4200" s="769"/>
      <c r="CC4200" s="769"/>
      <c r="CD4200" s="769"/>
      <c r="CE4200" s="769"/>
      <c r="CF4200" s="769"/>
      <c r="CG4200" s="73"/>
      <c r="CH4200" s="438"/>
      <c r="CI4200" s="416"/>
      <c r="CJ4200" s="73"/>
      <c r="CK4200" s="650"/>
      <c r="CL4200" s="499"/>
      <c r="CM4200" s="650"/>
      <c r="CR4200" s="416"/>
      <c r="CS4200" s="650"/>
      <c r="CU4200" s="73"/>
      <c r="CV4200" s="73"/>
      <c r="CW4200" s="73"/>
      <c r="CX4200" s="73"/>
      <c r="DA4200" s="650"/>
    </row>
    <row r="4201" spans="1:105" s="45" customFormat="1" x14ac:dyDescent="0.2">
      <c r="A4201" s="650"/>
      <c r="B4201" s="438"/>
      <c r="D4201" s="73"/>
      <c r="E4201" s="650"/>
      <c r="F4201" s="650"/>
      <c r="G4201" s="73"/>
      <c r="I4201" s="111"/>
      <c r="J4201" s="81"/>
      <c r="K4201" s="81"/>
      <c r="L4201" s="499"/>
      <c r="M4201" s="73"/>
      <c r="N4201" s="499"/>
      <c r="O4201" s="73"/>
      <c r="P4201" s="73"/>
      <c r="Q4201" s="73"/>
      <c r="R4201" s="176"/>
      <c r="S4201" s="176"/>
      <c r="T4201" s="176"/>
      <c r="U4201" s="400"/>
      <c r="V4201" s="400"/>
      <c r="W4201" s="732"/>
      <c r="X4201" s="167"/>
      <c r="Y4201" s="509"/>
      <c r="Z4201" s="466"/>
      <c r="AA4201" s="466"/>
      <c r="AB4201" s="466"/>
      <c r="AC4201" s="466"/>
      <c r="AD4201" s="466"/>
      <c r="AE4201" s="466"/>
      <c r="AF4201" s="466"/>
      <c r="AG4201" s="466"/>
      <c r="AH4201" s="466"/>
      <c r="AI4201" s="466"/>
      <c r="AJ4201" s="466"/>
      <c r="AK4201" s="466"/>
      <c r="AL4201" s="466"/>
      <c r="AM4201" s="466"/>
      <c r="AN4201" s="466"/>
      <c r="AO4201" s="466"/>
      <c r="AP4201" s="466"/>
      <c r="AQ4201" s="466"/>
      <c r="AR4201" s="466"/>
      <c r="AS4201" s="466"/>
      <c r="AT4201" s="466"/>
      <c r="AU4201" s="466"/>
      <c r="AV4201" s="466"/>
      <c r="AW4201" s="466"/>
      <c r="AX4201" s="466"/>
      <c r="AY4201" s="466"/>
      <c r="AZ4201" s="466"/>
      <c r="BA4201" s="466"/>
      <c r="BB4201" s="466"/>
      <c r="BC4201" s="466"/>
      <c r="BD4201" s="466"/>
      <c r="BE4201" s="467"/>
      <c r="BF4201" s="467"/>
      <c r="BG4201" s="466"/>
      <c r="BH4201" s="466"/>
      <c r="BI4201" s="467"/>
      <c r="BJ4201" s="467"/>
      <c r="BK4201" s="467"/>
      <c r="BL4201" s="467"/>
      <c r="BM4201" s="467"/>
      <c r="BN4201" s="467"/>
      <c r="BO4201" s="467"/>
      <c r="BP4201" s="467"/>
      <c r="BQ4201" s="467"/>
      <c r="BR4201" s="467"/>
      <c r="BS4201" s="467"/>
      <c r="BT4201" s="467"/>
      <c r="BU4201" s="467"/>
      <c r="BV4201" s="467"/>
      <c r="BW4201" s="467"/>
      <c r="BX4201" s="769"/>
      <c r="BY4201" s="769"/>
      <c r="BZ4201" s="769"/>
      <c r="CA4201" s="769"/>
      <c r="CB4201" s="769"/>
      <c r="CC4201" s="769"/>
      <c r="CD4201" s="769"/>
      <c r="CE4201" s="769"/>
      <c r="CF4201" s="769"/>
      <c r="CG4201" s="73"/>
      <c r="CH4201" s="438"/>
      <c r="CI4201" s="416"/>
      <c r="CJ4201" s="73"/>
      <c r="CK4201" s="650"/>
      <c r="CL4201" s="499"/>
      <c r="CM4201" s="650"/>
      <c r="CR4201" s="416"/>
      <c r="CS4201" s="650"/>
      <c r="CU4201" s="73"/>
      <c r="CV4201" s="73"/>
      <c r="CW4201" s="73"/>
      <c r="CX4201" s="73"/>
      <c r="DA4201" s="650"/>
    </row>
    <row r="4202" spans="1:105" s="45" customFormat="1" x14ac:dyDescent="0.2">
      <c r="A4202" s="650"/>
      <c r="B4202" s="438"/>
      <c r="D4202" s="73"/>
      <c r="E4202" s="650"/>
      <c r="F4202" s="650"/>
      <c r="G4202" s="73"/>
      <c r="I4202" s="111"/>
      <c r="J4202" s="81"/>
      <c r="K4202" s="81"/>
      <c r="L4202" s="499"/>
      <c r="M4202" s="73"/>
      <c r="N4202" s="499"/>
      <c r="O4202" s="73"/>
      <c r="P4202" s="73"/>
      <c r="Q4202" s="73"/>
      <c r="R4202" s="176"/>
      <c r="S4202" s="176"/>
      <c r="T4202" s="176"/>
      <c r="U4202" s="400"/>
      <c r="V4202" s="400"/>
      <c r="W4202" s="732"/>
      <c r="X4202" s="167"/>
      <c r="Y4202" s="509"/>
      <c r="Z4202" s="466"/>
      <c r="AA4202" s="466"/>
      <c r="AB4202" s="466"/>
      <c r="AC4202" s="466"/>
      <c r="AD4202" s="466"/>
      <c r="AE4202" s="466"/>
      <c r="AF4202" s="466"/>
      <c r="AG4202" s="466"/>
      <c r="AH4202" s="466"/>
      <c r="AI4202" s="466"/>
      <c r="AJ4202" s="466"/>
      <c r="AK4202" s="466"/>
      <c r="AL4202" s="466"/>
      <c r="AM4202" s="466"/>
      <c r="AN4202" s="466"/>
      <c r="AO4202" s="466"/>
      <c r="AP4202" s="466"/>
      <c r="AQ4202" s="466"/>
      <c r="AR4202" s="466"/>
      <c r="AS4202" s="466"/>
      <c r="AT4202" s="466"/>
      <c r="AU4202" s="466"/>
      <c r="AV4202" s="466"/>
      <c r="AW4202" s="466"/>
      <c r="AX4202" s="466"/>
      <c r="AY4202" s="466"/>
      <c r="AZ4202" s="466"/>
      <c r="BA4202" s="466"/>
      <c r="BB4202" s="466"/>
      <c r="BC4202" s="466"/>
      <c r="BD4202" s="466"/>
      <c r="BE4202" s="467"/>
      <c r="BF4202" s="467"/>
      <c r="BG4202" s="466"/>
      <c r="BH4202" s="466"/>
      <c r="BI4202" s="467"/>
      <c r="BJ4202" s="467"/>
      <c r="BK4202" s="467"/>
      <c r="BL4202" s="467"/>
      <c r="BM4202" s="467"/>
      <c r="BN4202" s="467"/>
      <c r="BO4202" s="467"/>
      <c r="BP4202" s="467"/>
      <c r="BQ4202" s="467"/>
      <c r="BR4202" s="467"/>
      <c r="BS4202" s="467"/>
      <c r="BT4202" s="467"/>
      <c r="BU4202" s="467"/>
      <c r="BV4202" s="467"/>
      <c r="BW4202" s="467"/>
      <c r="BX4202" s="769"/>
      <c r="BY4202" s="769"/>
      <c r="BZ4202" s="769"/>
      <c r="CA4202" s="769"/>
      <c r="CB4202" s="769"/>
      <c r="CC4202" s="769"/>
      <c r="CD4202" s="769"/>
      <c r="CE4202" s="769"/>
      <c r="CF4202" s="769"/>
      <c r="CG4202" s="73"/>
      <c r="CH4202" s="438"/>
      <c r="CI4202" s="416"/>
      <c r="CJ4202" s="73"/>
      <c r="CK4202" s="650"/>
      <c r="CL4202" s="499"/>
      <c r="CM4202" s="650"/>
      <c r="CR4202" s="416"/>
      <c r="CS4202" s="650"/>
      <c r="CU4202" s="73"/>
      <c r="CV4202" s="73"/>
      <c r="CW4202" s="73"/>
      <c r="CX4202" s="73"/>
      <c r="DA4202" s="650"/>
    </row>
    <row r="4203" spans="1:105" s="45" customFormat="1" x14ac:dyDescent="0.2">
      <c r="A4203" s="650"/>
      <c r="B4203" s="438"/>
      <c r="D4203" s="73"/>
      <c r="E4203" s="650"/>
      <c r="F4203" s="650"/>
      <c r="G4203" s="73"/>
      <c r="I4203" s="111"/>
      <c r="J4203" s="81"/>
      <c r="K4203" s="81"/>
      <c r="L4203" s="499"/>
      <c r="M4203" s="73"/>
      <c r="N4203" s="499"/>
      <c r="O4203" s="73"/>
      <c r="P4203" s="73"/>
      <c r="Q4203" s="73"/>
      <c r="R4203" s="176"/>
      <c r="S4203" s="176"/>
      <c r="T4203" s="176"/>
      <c r="U4203" s="400"/>
      <c r="V4203" s="400"/>
      <c r="W4203" s="732"/>
      <c r="X4203" s="167"/>
      <c r="Y4203" s="509"/>
      <c r="Z4203" s="466"/>
      <c r="AA4203" s="466"/>
      <c r="AB4203" s="466"/>
      <c r="AC4203" s="466"/>
      <c r="AD4203" s="466"/>
      <c r="AE4203" s="466"/>
      <c r="AF4203" s="466"/>
      <c r="AG4203" s="466"/>
      <c r="AH4203" s="466"/>
      <c r="AI4203" s="466"/>
      <c r="AJ4203" s="466"/>
      <c r="AK4203" s="466"/>
      <c r="AL4203" s="466"/>
      <c r="AM4203" s="466"/>
      <c r="AN4203" s="466"/>
      <c r="AO4203" s="466"/>
      <c r="AP4203" s="466"/>
      <c r="AQ4203" s="466"/>
      <c r="AR4203" s="466"/>
      <c r="AS4203" s="466"/>
      <c r="AT4203" s="466"/>
      <c r="AU4203" s="466"/>
      <c r="AV4203" s="466"/>
      <c r="AW4203" s="466"/>
      <c r="AX4203" s="466"/>
      <c r="AY4203" s="466"/>
      <c r="AZ4203" s="466"/>
      <c r="BA4203" s="466"/>
      <c r="BB4203" s="466"/>
      <c r="BC4203" s="466"/>
      <c r="BD4203" s="466"/>
      <c r="BE4203" s="467"/>
      <c r="BF4203" s="467"/>
      <c r="BG4203" s="466"/>
      <c r="BH4203" s="466"/>
      <c r="BI4203" s="467"/>
      <c r="BJ4203" s="467"/>
      <c r="BK4203" s="467"/>
      <c r="BL4203" s="467"/>
      <c r="BM4203" s="467"/>
      <c r="BN4203" s="467"/>
      <c r="BO4203" s="467"/>
      <c r="BP4203" s="467"/>
      <c r="BQ4203" s="467"/>
      <c r="BR4203" s="467"/>
      <c r="BS4203" s="467"/>
      <c r="BT4203" s="467"/>
      <c r="BU4203" s="467"/>
      <c r="BV4203" s="467"/>
      <c r="BW4203" s="467"/>
      <c r="BX4203" s="769"/>
      <c r="BY4203" s="769"/>
      <c r="BZ4203" s="769"/>
      <c r="CA4203" s="769"/>
      <c r="CB4203" s="769"/>
      <c r="CC4203" s="769"/>
      <c r="CD4203" s="769"/>
      <c r="CE4203" s="769"/>
      <c r="CF4203" s="769"/>
      <c r="CG4203" s="73"/>
      <c r="CH4203" s="438"/>
      <c r="CI4203" s="416"/>
      <c r="CJ4203" s="73"/>
      <c r="CK4203" s="650"/>
      <c r="CL4203" s="499"/>
      <c r="CM4203" s="650"/>
      <c r="CR4203" s="416"/>
      <c r="CS4203" s="650"/>
      <c r="CU4203" s="73"/>
      <c r="CV4203" s="73"/>
      <c r="CW4203" s="73"/>
      <c r="CX4203" s="73"/>
      <c r="DA4203" s="650"/>
    </row>
    <row r="4204" spans="1:105" s="45" customFormat="1" x14ac:dyDescent="0.2">
      <c r="A4204" s="650"/>
      <c r="B4204" s="438"/>
      <c r="D4204" s="73"/>
      <c r="E4204" s="650"/>
      <c r="F4204" s="650"/>
      <c r="G4204" s="73"/>
      <c r="I4204" s="111"/>
      <c r="J4204" s="81"/>
      <c r="K4204" s="81"/>
      <c r="L4204" s="499"/>
      <c r="M4204" s="73"/>
      <c r="N4204" s="499"/>
      <c r="O4204" s="73"/>
      <c r="P4204" s="73"/>
      <c r="Q4204" s="73"/>
      <c r="R4204" s="176"/>
      <c r="S4204" s="176"/>
      <c r="T4204" s="176"/>
      <c r="U4204" s="400"/>
      <c r="V4204" s="400"/>
      <c r="W4204" s="732"/>
      <c r="X4204" s="167"/>
      <c r="Y4204" s="509"/>
      <c r="Z4204" s="466"/>
      <c r="AA4204" s="466"/>
      <c r="AB4204" s="466"/>
      <c r="AC4204" s="466"/>
      <c r="AD4204" s="466"/>
      <c r="AE4204" s="466"/>
      <c r="AF4204" s="466"/>
      <c r="AG4204" s="466"/>
      <c r="AH4204" s="466"/>
      <c r="AI4204" s="466"/>
      <c r="AJ4204" s="466"/>
      <c r="AK4204" s="466"/>
      <c r="AL4204" s="466"/>
      <c r="AM4204" s="466"/>
      <c r="AN4204" s="466"/>
      <c r="AO4204" s="466"/>
      <c r="AP4204" s="466"/>
      <c r="AQ4204" s="466"/>
      <c r="AR4204" s="466"/>
      <c r="AS4204" s="466"/>
      <c r="AT4204" s="466"/>
      <c r="AU4204" s="466"/>
      <c r="AV4204" s="466"/>
      <c r="AW4204" s="466"/>
      <c r="AX4204" s="466"/>
      <c r="AY4204" s="466"/>
      <c r="AZ4204" s="466"/>
      <c r="BA4204" s="466"/>
      <c r="BB4204" s="466"/>
      <c r="BC4204" s="466"/>
      <c r="BD4204" s="466"/>
      <c r="BE4204" s="467"/>
      <c r="BF4204" s="467"/>
      <c r="BG4204" s="466"/>
      <c r="BH4204" s="466"/>
      <c r="BI4204" s="467"/>
      <c r="BJ4204" s="467"/>
      <c r="BK4204" s="467"/>
      <c r="BL4204" s="467"/>
      <c r="BM4204" s="467"/>
      <c r="BN4204" s="467"/>
      <c r="BO4204" s="467"/>
      <c r="BP4204" s="467"/>
      <c r="BQ4204" s="467"/>
      <c r="BR4204" s="467"/>
      <c r="BS4204" s="467"/>
      <c r="BT4204" s="467"/>
      <c r="BU4204" s="467"/>
      <c r="BV4204" s="467"/>
      <c r="BW4204" s="467"/>
      <c r="BX4204" s="769"/>
      <c r="BY4204" s="769"/>
      <c r="BZ4204" s="769"/>
      <c r="CA4204" s="769"/>
      <c r="CB4204" s="769"/>
      <c r="CC4204" s="769"/>
      <c r="CD4204" s="769"/>
      <c r="CE4204" s="769"/>
      <c r="CF4204" s="769"/>
      <c r="CG4204" s="73"/>
      <c r="CH4204" s="438"/>
      <c r="CI4204" s="416"/>
      <c r="CJ4204" s="73"/>
      <c r="CK4204" s="650"/>
      <c r="CL4204" s="499"/>
      <c r="CM4204" s="650"/>
      <c r="CR4204" s="416"/>
      <c r="CS4204" s="650"/>
      <c r="CU4204" s="73"/>
      <c r="CV4204" s="73"/>
      <c r="CW4204" s="73"/>
      <c r="CX4204" s="73"/>
      <c r="DA4204" s="650"/>
    </row>
    <row r="4205" spans="1:105" s="45" customFormat="1" x14ac:dyDescent="0.2">
      <c r="A4205" s="650"/>
      <c r="B4205" s="438"/>
      <c r="D4205" s="73"/>
      <c r="E4205" s="650"/>
      <c r="F4205" s="650"/>
      <c r="G4205" s="73"/>
      <c r="I4205" s="111"/>
      <c r="J4205" s="81"/>
      <c r="K4205" s="81"/>
      <c r="L4205" s="499"/>
      <c r="M4205" s="73"/>
      <c r="N4205" s="499"/>
      <c r="O4205" s="73"/>
      <c r="P4205" s="73"/>
      <c r="Q4205" s="73"/>
      <c r="R4205" s="176"/>
      <c r="S4205" s="176"/>
      <c r="T4205" s="176"/>
      <c r="U4205" s="400"/>
      <c r="V4205" s="400"/>
      <c r="W4205" s="732"/>
      <c r="X4205" s="167"/>
      <c r="Y4205" s="509"/>
      <c r="Z4205" s="466"/>
      <c r="AA4205" s="466"/>
      <c r="AB4205" s="466"/>
      <c r="AC4205" s="466"/>
      <c r="AD4205" s="466"/>
      <c r="AE4205" s="466"/>
      <c r="AF4205" s="466"/>
      <c r="AG4205" s="466"/>
      <c r="AH4205" s="466"/>
      <c r="AI4205" s="466"/>
      <c r="AJ4205" s="466"/>
      <c r="AK4205" s="466"/>
      <c r="AL4205" s="466"/>
      <c r="AM4205" s="466"/>
      <c r="AN4205" s="466"/>
      <c r="AO4205" s="466"/>
      <c r="AP4205" s="466"/>
      <c r="AQ4205" s="466"/>
      <c r="AR4205" s="466"/>
      <c r="AS4205" s="466"/>
      <c r="AT4205" s="466"/>
      <c r="AU4205" s="466"/>
      <c r="AV4205" s="466"/>
      <c r="AW4205" s="466"/>
      <c r="AX4205" s="466"/>
      <c r="AY4205" s="466"/>
      <c r="AZ4205" s="466"/>
      <c r="BA4205" s="466"/>
      <c r="BB4205" s="466"/>
      <c r="BC4205" s="466"/>
      <c r="BD4205" s="466"/>
      <c r="BE4205" s="467"/>
      <c r="BF4205" s="467"/>
      <c r="BG4205" s="466"/>
      <c r="BH4205" s="466"/>
      <c r="BI4205" s="467"/>
      <c r="BJ4205" s="467"/>
      <c r="BK4205" s="467"/>
      <c r="BL4205" s="467"/>
      <c r="BM4205" s="467"/>
      <c r="BN4205" s="467"/>
      <c r="BO4205" s="467"/>
      <c r="BP4205" s="467"/>
      <c r="BQ4205" s="467"/>
      <c r="BR4205" s="467"/>
      <c r="BS4205" s="467"/>
      <c r="BT4205" s="467"/>
      <c r="BU4205" s="467"/>
      <c r="BV4205" s="467"/>
      <c r="BW4205" s="467"/>
      <c r="BX4205" s="769"/>
      <c r="BY4205" s="769"/>
      <c r="BZ4205" s="769"/>
      <c r="CA4205" s="769"/>
      <c r="CB4205" s="769"/>
      <c r="CC4205" s="769"/>
      <c r="CD4205" s="769"/>
      <c r="CE4205" s="769"/>
      <c r="CF4205" s="769"/>
      <c r="CG4205" s="73"/>
      <c r="CH4205" s="438"/>
      <c r="CI4205" s="416"/>
      <c r="CJ4205" s="73"/>
      <c r="CK4205" s="650"/>
      <c r="CL4205" s="499"/>
      <c r="CM4205" s="650"/>
      <c r="CR4205" s="416"/>
      <c r="CS4205" s="650"/>
      <c r="CU4205" s="73"/>
      <c r="CV4205" s="73"/>
      <c r="CW4205" s="73"/>
      <c r="CX4205" s="73"/>
      <c r="DA4205" s="650"/>
    </row>
    <row r="4206" spans="1:105" s="45" customFormat="1" x14ac:dyDescent="0.2">
      <c r="A4206" s="650"/>
      <c r="B4206" s="438"/>
      <c r="D4206" s="73"/>
      <c r="E4206" s="650"/>
      <c r="F4206" s="650"/>
      <c r="G4206" s="73"/>
      <c r="I4206" s="111"/>
      <c r="J4206" s="81"/>
      <c r="K4206" s="81"/>
      <c r="L4206" s="499"/>
      <c r="M4206" s="73"/>
      <c r="N4206" s="499"/>
      <c r="O4206" s="73"/>
      <c r="P4206" s="73"/>
      <c r="Q4206" s="73"/>
      <c r="R4206" s="176"/>
      <c r="S4206" s="176"/>
      <c r="T4206" s="176"/>
      <c r="U4206" s="400"/>
      <c r="V4206" s="400"/>
      <c r="W4206" s="732"/>
      <c r="X4206" s="167"/>
      <c r="Y4206" s="509"/>
      <c r="Z4206" s="466"/>
      <c r="AA4206" s="466"/>
      <c r="AB4206" s="466"/>
      <c r="AC4206" s="466"/>
      <c r="AD4206" s="466"/>
      <c r="AE4206" s="466"/>
      <c r="AF4206" s="466"/>
      <c r="AG4206" s="466"/>
      <c r="AH4206" s="466"/>
      <c r="AI4206" s="466"/>
      <c r="AJ4206" s="466"/>
      <c r="AK4206" s="466"/>
      <c r="AL4206" s="466"/>
      <c r="AM4206" s="466"/>
      <c r="AN4206" s="466"/>
      <c r="AO4206" s="466"/>
      <c r="AP4206" s="466"/>
      <c r="AQ4206" s="466"/>
      <c r="AR4206" s="466"/>
      <c r="AS4206" s="466"/>
      <c r="AT4206" s="466"/>
      <c r="AU4206" s="466"/>
      <c r="AV4206" s="466"/>
      <c r="AW4206" s="466"/>
      <c r="AX4206" s="466"/>
      <c r="AY4206" s="466"/>
      <c r="AZ4206" s="466"/>
      <c r="BA4206" s="466"/>
      <c r="BB4206" s="466"/>
      <c r="BC4206" s="466"/>
      <c r="BD4206" s="466"/>
      <c r="BE4206" s="467"/>
      <c r="BF4206" s="467"/>
      <c r="BG4206" s="466"/>
      <c r="BH4206" s="466"/>
      <c r="BI4206" s="467"/>
      <c r="BJ4206" s="467"/>
      <c r="BK4206" s="467"/>
      <c r="BL4206" s="467"/>
      <c r="BM4206" s="467"/>
      <c r="BN4206" s="467"/>
      <c r="BO4206" s="467"/>
      <c r="BP4206" s="467"/>
      <c r="BQ4206" s="467"/>
      <c r="BR4206" s="467"/>
      <c r="BS4206" s="467"/>
      <c r="BT4206" s="467"/>
      <c r="BU4206" s="467"/>
      <c r="BV4206" s="467"/>
      <c r="BW4206" s="467"/>
      <c r="BX4206" s="769"/>
      <c r="BY4206" s="769"/>
      <c r="BZ4206" s="769"/>
      <c r="CA4206" s="769"/>
      <c r="CB4206" s="769"/>
      <c r="CC4206" s="769"/>
      <c r="CD4206" s="769"/>
      <c r="CE4206" s="769"/>
      <c r="CF4206" s="769"/>
      <c r="CG4206" s="73"/>
      <c r="CH4206" s="438"/>
      <c r="CI4206" s="416"/>
      <c r="CJ4206" s="73"/>
      <c r="CK4206" s="650"/>
      <c r="CL4206" s="499"/>
      <c r="CM4206" s="650"/>
      <c r="CR4206" s="416"/>
      <c r="CS4206" s="650"/>
      <c r="CU4206" s="73"/>
      <c r="CV4206" s="73"/>
      <c r="CW4206" s="73"/>
      <c r="CX4206" s="73"/>
      <c r="DA4206" s="650"/>
    </row>
    <row r="4207" spans="1:105" s="45" customFormat="1" x14ac:dyDescent="0.2">
      <c r="A4207" s="650"/>
      <c r="B4207" s="438"/>
      <c r="D4207" s="73"/>
      <c r="E4207" s="650"/>
      <c r="F4207" s="650"/>
      <c r="G4207" s="73"/>
      <c r="I4207" s="111"/>
      <c r="J4207" s="81"/>
      <c r="K4207" s="81"/>
      <c r="L4207" s="499"/>
      <c r="M4207" s="73"/>
      <c r="N4207" s="499"/>
      <c r="O4207" s="73"/>
      <c r="P4207" s="73"/>
      <c r="Q4207" s="73"/>
      <c r="R4207" s="176"/>
      <c r="S4207" s="176"/>
      <c r="T4207" s="176"/>
      <c r="U4207" s="400"/>
      <c r="V4207" s="400"/>
      <c r="W4207" s="732"/>
      <c r="X4207" s="167"/>
      <c r="Y4207" s="509"/>
      <c r="Z4207" s="466"/>
      <c r="AA4207" s="466"/>
      <c r="AB4207" s="466"/>
      <c r="AC4207" s="466"/>
      <c r="AD4207" s="466"/>
      <c r="AE4207" s="466"/>
      <c r="AF4207" s="466"/>
      <c r="AG4207" s="466"/>
      <c r="AH4207" s="466"/>
      <c r="AI4207" s="466"/>
      <c r="AJ4207" s="466"/>
      <c r="AK4207" s="466"/>
      <c r="AL4207" s="466"/>
      <c r="AM4207" s="466"/>
      <c r="AN4207" s="466"/>
      <c r="AO4207" s="466"/>
      <c r="AP4207" s="466"/>
      <c r="AQ4207" s="466"/>
      <c r="AR4207" s="466"/>
      <c r="AS4207" s="466"/>
      <c r="AT4207" s="466"/>
      <c r="AU4207" s="466"/>
      <c r="AV4207" s="466"/>
      <c r="AW4207" s="466"/>
      <c r="AX4207" s="466"/>
      <c r="AY4207" s="466"/>
      <c r="AZ4207" s="466"/>
      <c r="BA4207" s="466"/>
      <c r="BB4207" s="466"/>
      <c r="BC4207" s="466"/>
      <c r="BD4207" s="466"/>
      <c r="BE4207" s="467"/>
      <c r="BF4207" s="467"/>
      <c r="BG4207" s="466"/>
      <c r="BH4207" s="466"/>
      <c r="BI4207" s="467"/>
      <c r="BJ4207" s="467"/>
      <c r="BK4207" s="467"/>
      <c r="BL4207" s="467"/>
      <c r="BM4207" s="467"/>
      <c r="BN4207" s="467"/>
      <c r="BO4207" s="467"/>
      <c r="BP4207" s="467"/>
      <c r="BQ4207" s="467"/>
      <c r="BR4207" s="467"/>
      <c r="BS4207" s="467"/>
      <c r="BT4207" s="467"/>
      <c r="BU4207" s="467"/>
      <c r="BV4207" s="467"/>
      <c r="BW4207" s="467"/>
      <c r="BX4207" s="769"/>
      <c r="BY4207" s="769"/>
      <c r="BZ4207" s="769"/>
      <c r="CA4207" s="769"/>
      <c r="CB4207" s="769"/>
      <c r="CC4207" s="769"/>
      <c r="CD4207" s="769"/>
      <c r="CE4207" s="769"/>
      <c r="CF4207" s="769"/>
      <c r="CG4207" s="73"/>
      <c r="CH4207" s="438"/>
      <c r="CI4207" s="416"/>
      <c r="CJ4207" s="73"/>
      <c r="CK4207" s="650"/>
      <c r="CL4207" s="499"/>
      <c r="CM4207" s="650"/>
      <c r="CR4207" s="416"/>
      <c r="CS4207" s="650"/>
      <c r="CU4207" s="73"/>
      <c r="CV4207" s="73"/>
      <c r="CW4207" s="73"/>
      <c r="CX4207" s="73"/>
      <c r="DA4207" s="650"/>
    </row>
    <row r="4208" spans="1:105" s="45" customFormat="1" x14ac:dyDescent="0.2">
      <c r="A4208" s="650"/>
      <c r="B4208" s="438"/>
      <c r="D4208" s="73"/>
      <c r="E4208" s="650"/>
      <c r="F4208" s="650"/>
      <c r="G4208" s="73"/>
      <c r="I4208" s="111"/>
      <c r="J4208" s="81"/>
      <c r="K4208" s="81"/>
      <c r="L4208" s="499"/>
      <c r="M4208" s="73"/>
      <c r="N4208" s="499"/>
      <c r="O4208" s="73"/>
      <c r="P4208" s="73"/>
      <c r="Q4208" s="73"/>
      <c r="R4208" s="176"/>
      <c r="S4208" s="176"/>
      <c r="T4208" s="176"/>
      <c r="U4208" s="400"/>
      <c r="V4208" s="400"/>
      <c r="W4208" s="732"/>
      <c r="X4208" s="167"/>
      <c r="Y4208" s="509"/>
      <c r="Z4208" s="466"/>
      <c r="AA4208" s="466"/>
      <c r="AB4208" s="466"/>
      <c r="AC4208" s="466"/>
      <c r="AD4208" s="466"/>
      <c r="AE4208" s="466"/>
      <c r="AF4208" s="466"/>
      <c r="AG4208" s="466"/>
      <c r="AH4208" s="466"/>
      <c r="AI4208" s="466"/>
      <c r="AJ4208" s="466"/>
      <c r="AK4208" s="466"/>
      <c r="AL4208" s="466"/>
      <c r="AM4208" s="466"/>
      <c r="AN4208" s="466"/>
      <c r="AO4208" s="466"/>
      <c r="AP4208" s="466"/>
      <c r="AQ4208" s="466"/>
      <c r="AR4208" s="466"/>
      <c r="AS4208" s="466"/>
      <c r="AT4208" s="466"/>
      <c r="AU4208" s="466"/>
      <c r="AV4208" s="466"/>
      <c r="AW4208" s="466"/>
      <c r="AX4208" s="466"/>
      <c r="AY4208" s="466"/>
      <c r="AZ4208" s="466"/>
      <c r="BA4208" s="466"/>
      <c r="BB4208" s="466"/>
      <c r="BC4208" s="466"/>
      <c r="BD4208" s="466"/>
      <c r="BE4208" s="467"/>
      <c r="BF4208" s="467"/>
      <c r="BG4208" s="466"/>
      <c r="BH4208" s="466"/>
      <c r="BI4208" s="467"/>
      <c r="BJ4208" s="467"/>
      <c r="BK4208" s="467"/>
      <c r="BL4208" s="467"/>
      <c r="BM4208" s="467"/>
      <c r="BN4208" s="467"/>
      <c r="BO4208" s="467"/>
      <c r="BP4208" s="467"/>
      <c r="BQ4208" s="467"/>
      <c r="BR4208" s="467"/>
      <c r="BS4208" s="467"/>
      <c r="BT4208" s="467"/>
      <c r="BU4208" s="467"/>
      <c r="BV4208" s="467"/>
      <c r="BW4208" s="467"/>
      <c r="BX4208" s="769"/>
      <c r="BY4208" s="769"/>
      <c r="BZ4208" s="769"/>
      <c r="CA4208" s="769"/>
      <c r="CB4208" s="769"/>
      <c r="CC4208" s="769"/>
      <c r="CD4208" s="769"/>
      <c r="CE4208" s="769"/>
      <c r="CF4208" s="769"/>
      <c r="CG4208" s="73"/>
      <c r="CH4208" s="438"/>
      <c r="CI4208" s="416"/>
      <c r="CJ4208" s="73"/>
      <c r="CK4208" s="650"/>
      <c r="CL4208" s="499"/>
      <c r="CM4208" s="650"/>
      <c r="CR4208" s="416"/>
      <c r="CS4208" s="650"/>
      <c r="CU4208" s="73"/>
      <c r="CV4208" s="73"/>
      <c r="CW4208" s="73"/>
      <c r="CX4208" s="73"/>
      <c r="DA4208" s="650"/>
    </row>
    <row r="4209" spans="1:105" s="45" customFormat="1" x14ac:dyDescent="0.2">
      <c r="A4209" s="650"/>
      <c r="B4209" s="438"/>
      <c r="D4209" s="73"/>
      <c r="E4209" s="650"/>
      <c r="F4209" s="650"/>
      <c r="G4209" s="73"/>
      <c r="I4209" s="111"/>
      <c r="J4209" s="81"/>
      <c r="K4209" s="81"/>
      <c r="L4209" s="499"/>
      <c r="M4209" s="73"/>
      <c r="N4209" s="499"/>
      <c r="O4209" s="73"/>
      <c r="P4209" s="73"/>
      <c r="Q4209" s="73"/>
      <c r="R4209" s="176"/>
      <c r="S4209" s="176"/>
      <c r="T4209" s="176"/>
      <c r="U4209" s="400"/>
      <c r="V4209" s="400"/>
      <c r="W4209" s="732"/>
      <c r="X4209" s="167"/>
      <c r="Y4209" s="509"/>
      <c r="Z4209" s="466"/>
      <c r="AA4209" s="466"/>
      <c r="AB4209" s="466"/>
      <c r="AC4209" s="466"/>
      <c r="AD4209" s="466"/>
      <c r="AE4209" s="466"/>
      <c r="AF4209" s="466"/>
      <c r="AG4209" s="466"/>
      <c r="AH4209" s="466"/>
      <c r="AI4209" s="466"/>
      <c r="AJ4209" s="466"/>
      <c r="AK4209" s="466"/>
      <c r="AL4209" s="466"/>
      <c r="AM4209" s="466"/>
      <c r="AN4209" s="466"/>
      <c r="AO4209" s="466"/>
      <c r="AP4209" s="466"/>
      <c r="AQ4209" s="466"/>
      <c r="AR4209" s="466"/>
      <c r="AS4209" s="466"/>
      <c r="AT4209" s="466"/>
      <c r="AU4209" s="466"/>
      <c r="AV4209" s="466"/>
      <c r="AW4209" s="466"/>
      <c r="AX4209" s="466"/>
      <c r="AY4209" s="466"/>
      <c r="AZ4209" s="466"/>
      <c r="BA4209" s="466"/>
      <c r="BB4209" s="466"/>
      <c r="BC4209" s="466"/>
      <c r="BD4209" s="466"/>
      <c r="BE4209" s="467"/>
      <c r="BF4209" s="467"/>
      <c r="BG4209" s="466"/>
      <c r="BH4209" s="466"/>
      <c r="BI4209" s="467"/>
      <c r="BJ4209" s="467"/>
      <c r="BK4209" s="467"/>
      <c r="BL4209" s="467"/>
      <c r="BM4209" s="467"/>
      <c r="BN4209" s="467"/>
      <c r="BO4209" s="467"/>
      <c r="BP4209" s="467"/>
      <c r="BQ4209" s="467"/>
      <c r="BR4209" s="467"/>
      <c r="BS4209" s="467"/>
      <c r="BT4209" s="467"/>
      <c r="BU4209" s="467"/>
      <c r="BV4209" s="467"/>
      <c r="BW4209" s="467"/>
      <c r="BX4209" s="769"/>
      <c r="BY4209" s="769"/>
      <c r="BZ4209" s="769"/>
      <c r="CA4209" s="769"/>
      <c r="CB4209" s="769"/>
      <c r="CC4209" s="769"/>
      <c r="CD4209" s="769"/>
      <c r="CE4209" s="769"/>
      <c r="CF4209" s="769"/>
      <c r="CG4209" s="73"/>
      <c r="CH4209" s="438"/>
      <c r="CI4209" s="416"/>
      <c r="CJ4209" s="73"/>
      <c r="CK4209" s="650"/>
      <c r="CL4209" s="499"/>
      <c r="CM4209" s="650"/>
      <c r="CR4209" s="416"/>
      <c r="CS4209" s="650"/>
      <c r="CU4209" s="73"/>
      <c r="CV4209" s="73"/>
      <c r="CW4209" s="73"/>
      <c r="CX4209" s="73"/>
      <c r="DA4209" s="650"/>
    </row>
    <row r="4210" spans="1:105" s="45" customFormat="1" x14ac:dyDescent="0.2">
      <c r="A4210" s="650"/>
      <c r="B4210" s="438"/>
      <c r="D4210" s="73"/>
      <c r="E4210" s="650"/>
      <c r="F4210" s="650"/>
      <c r="G4210" s="73"/>
      <c r="I4210" s="111"/>
      <c r="J4210" s="81"/>
      <c r="K4210" s="81"/>
      <c r="L4210" s="499"/>
      <c r="M4210" s="73"/>
      <c r="N4210" s="499"/>
      <c r="O4210" s="73"/>
      <c r="P4210" s="73"/>
      <c r="Q4210" s="73"/>
      <c r="R4210" s="176"/>
      <c r="S4210" s="176"/>
      <c r="T4210" s="176"/>
      <c r="U4210" s="400"/>
      <c r="V4210" s="400"/>
      <c r="W4210" s="732"/>
      <c r="X4210" s="167"/>
      <c r="Y4210" s="509"/>
      <c r="Z4210" s="466"/>
      <c r="AA4210" s="466"/>
      <c r="AB4210" s="466"/>
      <c r="AC4210" s="466"/>
      <c r="AD4210" s="466"/>
      <c r="AE4210" s="466"/>
      <c r="AF4210" s="466"/>
      <c r="AG4210" s="466"/>
      <c r="AH4210" s="466"/>
      <c r="AI4210" s="466"/>
      <c r="AJ4210" s="466"/>
      <c r="AK4210" s="466"/>
      <c r="AL4210" s="466"/>
      <c r="AM4210" s="466"/>
      <c r="AN4210" s="466"/>
      <c r="AO4210" s="466"/>
      <c r="AP4210" s="466"/>
      <c r="AQ4210" s="466"/>
      <c r="AR4210" s="466"/>
      <c r="AS4210" s="466"/>
      <c r="AT4210" s="466"/>
      <c r="AU4210" s="466"/>
      <c r="AV4210" s="466"/>
      <c r="AW4210" s="466"/>
      <c r="AX4210" s="466"/>
      <c r="AY4210" s="466"/>
      <c r="AZ4210" s="466"/>
      <c r="BA4210" s="466"/>
      <c r="BB4210" s="466"/>
      <c r="BC4210" s="466"/>
      <c r="BD4210" s="466"/>
      <c r="BE4210" s="467"/>
      <c r="BF4210" s="467"/>
      <c r="BG4210" s="466"/>
      <c r="BH4210" s="466"/>
      <c r="BI4210" s="467"/>
      <c r="BJ4210" s="467"/>
      <c r="BK4210" s="467"/>
      <c r="BL4210" s="467"/>
      <c r="BM4210" s="467"/>
      <c r="BN4210" s="467"/>
      <c r="BO4210" s="467"/>
      <c r="BP4210" s="467"/>
      <c r="BQ4210" s="467"/>
      <c r="BR4210" s="467"/>
      <c r="BS4210" s="467"/>
      <c r="BT4210" s="467"/>
      <c r="BU4210" s="467"/>
      <c r="BV4210" s="467"/>
      <c r="BW4210" s="467"/>
      <c r="BX4210" s="769"/>
      <c r="BY4210" s="769"/>
      <c r="BZ4210" s="769"/>
      <c r="CA4210" s="769"/>
      <c r="CB4210" s="769"/>
      <c r="CC4210" s="769"/>
      <c r="CD4210" s="769"/>
      <c r="CE4210" s="769"/>
      <c r="CF4210" s="769"/>
      <c r="CG4210" s="73"/>
      <c r="CH4210" s="438"/>
      <c r="CI4210" s="416"/>
      <c r="CJ4210" s="73"/>
      <c r="CK4210" s="650"/>
      <c r="CL4210" s="499"/>
      <c r="CM4210" s="650"/>
      <c r="CR4210" s="416"/>
      <c r="CS4210" s="650"/>
      <c r="CU4210" s="73"/>
      <c r="CV4210" s="73"/>
      <c r="CW4210" s="73"/>
      <c r="CX4210" s="73"/>
      <c r="DA4210" s="650"/>
    </row>
    <row r="4211" spans="1:105" s="45" customFormat="1" x14ac:dyDescent="0.2">
      <c r="A4211" s="650"/>
      <c r="B4211" s="438"/>
      <c r="D4211" s="73"/>
      <c r="E4211" s="650"/>
      <c r="F4211" s="650"/>
      <c r="G4211" s="73"/>
      <c r="I4211" s="111"/>
      <c r="J4211" s="81"/>
      <c r="K4211" s="81"/>
      <c r="L4211" s="499"/>
      <c r="M4211" s="73"/>
      <c r="N4211" s="499"/>
      <c r="O4211" s="73"/>
      <c r="P4211" s="73"/>
      <c r="Q4211" s="73"/>
      <c r="R4211" s="176"/>
      <c r="S4211" s="176"/>
      <c r="T4211" s="176"/>
      <c r="U4211" s="400"/>
      <c r="V4211" s="400"/>
      <c r="W4211" s="732"/>
      <c r="X4211" s="167"/>
      <c r="Y4211" s="509"/>
      <c r="Z4211" s="466"/>
      <c r="AA4211" s="466"/>
      <c r="AB4211" s="466"/>
      <c r="AC4211" s="466"/>
      <c r="AD4211" s="466"/>
      <c r="AE4211" s="466"/>
      <c r="AF4211" s="466"/>
      <c r="AG4211" s="466"/>
      <c r="AH4211" s="466"/>
      <c r="AI4211" s="466"/>
      <c r="AJ4211" s="466"/>
      <c r="AK4211" s="466"/>
      <c r="AL4211" s="466"/>
      <c r="AM4211" s="466"/>
      <c r="AN4211" s="466"/>
      <c r="AO4211" s="466"/>
      <c r="AP4211" s="466"/>
      <c r="AQ4211" s="466"/>
      <c r="AR4211" s="466"/>
      <c r="AS4211" s="466"/>
      <c r="AT4211" s="466"/>
      <c r="AU4211" s="466"/>
      <c r="AV4211" s="466"/>
      <c r="AW4211" s="466"/>
      <c r="AX4211" s="466"/>
      <c r="AY4211" s="466"/>
      <c r="AZ4211" s="466"/>
      <c r="BA4211" s="466"/>
      <c r="BB4211" s="466"/>
      <c r="BC4211" s="466"/>
      <c r="BD4211" s="466"/>
      <c r="BE4211" s="467"/>
      <c r="BF4211" s="467"/>
      <c r="BG4211" s="466"/>
      <c r="BH4211" s="466"/>
      <c r="BI4211" s="467"/>
      <c r="BJ4211" s="467"/>
      <c r="BK4211" s="467"/>
      <c r="BL4211" s="467"/>
      <c r="BM4211" s="467"/>
      <c r="BN4211" s="467"/>
      <c r="BO4211" s="467"/>
      <c r="BP4211" s="467"/>
      <c r="BQ4211" s="467"/>
      <c r="BR4211" s="467"/>
      <c r="BS4211" s="467"/>
      <c r="BT4211" s="467"/>
      <c r="BU4211" s="467"/>
      <c r="BV4211" s="467"/>
      <c r="BW4211" s="467"/>
      <c r="BX4211" s="769"/>
      <c r="BY4211" s="769"/>
      <c r="BZ4211" s="769"/>
      <c r="CA4211" s="769"/>
      <c r="CB4211" s="769"/>
      <c r="CC4211" s="769"/>
      <c r="CD4211" s="769"/>
      <c r="CE4211" s="769"/>
      <c r="CF4211" s="769"/>
      <c r="CG4211" s="73"/>
      <c r="CH4211" s="438"/>
      <c r="CI4211" s="416"/>
      <c r="CJ4211" s="73"/>
      <c r="CK4211" s="650"/>
      <c r="CL4211" s="499"/>
      <c r="CM4211" s="650"/>
      <c r="CR4211" s="416"/>
      <c r="CS4211" s="650"/>
      <c r="CU4211" s="73"/>
      <c r="CV4211" s="73"/>
      <c r="CW4211" s="73"/>
      <c r="CX4211" s="73"/>
      <c r="DA4211" s="650"/>
    </row>
    <row r="4212" spans="1:105" s="45" customFormat="1" x14ac:dyDescent="0.2">
      <c r="A4212" s="650"/>
      <c r="B4212" s="438"/>
      <c r="D4212" s="73"/>
      <c r="E4212" s="650"/>
      <c r="F4212" s="650"/>
      <c r="G4212" s="73"/>
      <c r="I4212" s="111"/>
      <c r="J4212" s="81"/>
      <c r="K4212" s="81"/>
      <c r="L4212" s="499"/>
      <c r="M4212" s="73"/>
      <c r="N4212" s="499"/>
      <c r="O4212" s="73"/>
      <c r="P4212" s="73"/>
      <c r="Q4212" s="73"/>
      <c r="R4212" s="176"/>
      <c r="S4212" s="176"/>
      <c r="T4212" s="176"/>
      <c r="U4212" s="400"/>
      <c r="V4212" s="400"/>
      <c r="W4212" s="732"/>
      <c r="X4212" s="167"/>
      <c r="Y4212" s="509"/>
      <c r="Z4212" s="466"/>
      <c r="AA4212" s="466"/>
      <c r="AB4212" s="466"/>
      <c r="AC4212" s="466"/>
      <c r="AD4212" s="466"/>
      <c r="AE4212" s="466"/>
      <c r="AF4212" s="466"/>
      <c r="AG4212" s="466"/>
      <c r="AH4212" s="466"/>
      <c r="AI4212" s="466"/>
      <c r="AJ4212" s="466"/>
      <c r="AK4212" s="466"/>
      <c r="AL4212" s="466"/>
      <c r="AM4212" s="466"/>
      <c r="AN4212" s="466"/>
      <c r="AO4212" s="466"/>
      <c r="AP4212" s="466"/>
      <c r="AQ4212" s="466"/>
      <c r="AR4212" s="466"/>
      <c r="AS4212" s="466"/>
      <c r="AT4212" s="466"/>
      <c r="AU4212" s="466"/>
      <c r="AV4212" s="466"/>
      <c r="AW4212" s="466"/>
      <c r="AX4212" s="466"/>
      <c r="AY4212" s="466"/>
      <c r="AZ4212" s="466"/>
      <c r="BA4212" s="466"/>
      <c r="BB4212" s="466"/>
      <c r="BC4212" s="466"/>
      <c r="BD4212" s="466"/>
      <c r="BE4212" s="467"/>
      <c r="BF4212" s="467"/>
      <c r="BG4212" s="466"/>
      <c r="BH4212" s="466"/>
      <c r="BI4212" s="467"/>
      <c r="BJ4212" s="467"/>
      <c r="BK4212" s="467"/>
      <c r="BL4212" s="467"/>
      <c r="BM4212" s="467"/>
      <c r="BN4212" s="467"/>
      <c r="BO4212" s="467"/>
      <c r="BP4212" s="467"/>
      <c r="BQ4212" s="467"/>
      <c r="BR4212" s="467"/>
      <c r="BS4212" s="467"/>
      <c r="BT4212" s="467"/>
      <c r="BU4212" s="467"/>
      <c r="BV4212" s="467"/>
      <c r="BW4212" s="467"/>
      <c r="BX4212" s="769"/>
      <c r="BY4212" s="769"/>
      <c r="BZ4212" s="769"/>
      <c r="CA4212" s="769"/>
      <c r="CB4212" s="769"/>
      <c r="CC4212" s="769"/>
      <c r="CD4212" s="769"/>
      <c r="CE4212" s="769"/>
      <c r="CF4212" s="769"/>
      <c r="CG4212" s="73"/>
      <c r="CH4212" s="438"/>
      <c r="CI4212" s="416"/>
      <c r="CJ4212" s="73"/>
      <c r="CK4212" s="650"/>
      <c r="CL4212" s="499"/>
      <c r="CM4212" s="650"/>
      <c r="CR4212" s="416"/>
      <c r="CS4212" s="650"/>
      <c r="CU4212" s="73"/>
      <c r="CV4212" s="73"/>
      <c r="CW4212" s="73"/>
      <c r="CX4212" s="73"/>
      <c r="DA4212" s="650"/>
    </row>
    <row r="4213" spans="1:105" s="45" customFormat="1" x14ac:dyDescent="0.2">
      <c r="A4213" s="650"/>
      <c r="B4213" s="438"/>
      <c r="D4213" s="73"/>
      <c r="E4213" s="650"/>
      <c r="F4213" s="650"/>
      <c r="G4213" s="73"/>
      <c r="I4213" s="111"/>
      <c r="J4213" s="81"/>
      <c r="K4213" s="81"/>
      <c r="L4213" s="499"/>
      <c r="M4213" s="73"/>
      <c r="N4213" s="499"/>
      <c r="O4213" s="73"/>
      <c r="P4213" s="73"/>
      <c r="Q4213" s="73"/>
      <c r="R4213" s="176"/>
      <c r="S4213" s="176"/>
      <c r="T4213" s="176"/>
      <c r="U4213" s="400"/>
      <c r="V4213" s="400"/>
      <c r="W4213" s="732"/>
      <c r="X4213" s="167"/>
      <c r="Y4213" s="509"/>
      <c r="Z4213" s="466"/>
      <c r="AA4213" s="466"/>
      <c r="AB4213" s="466"/>
      <c r="AC4213" s="466"/>
      <c r="AD4213" s="466"/>
      <c r="AE4213" s="466"/>
      <c r="AF4213" s="466"/>
      <c r="AG4213" s="466"/>
      <c r="AH4213" s="466"/>
      <c r="AI4213" s="466"/>
      <c r="AJ4213" s="466"/>
      <c r="AK4213" s="466"/>
      <c r="AL4213" s="466"/>
      <c r="AM4213" s="466"/>
      <c r="AN4213" s="466"/>
      <c r="AO4213" s="466"/>
      <c r="AP4213" s="466"/>
      <c r="AQ4213" s="466"/>
      <c r="AR4213" s="466"/>
      <c r="AS4213" s="466"/>
      <c r="AT4213" s="466"/>
      <c r="AU4213" s="466"/>
      <c r="AV4213" s="466"/>
      <c r="AW4213" s="466"/>
      <c r="AX4213" s="466"/>
      <c r="AY4213" s="466"/>
      <c r="AZ4213" s="466"/>
      <c r="BA4213" s="466"/>
      <c r="BB4213" s="466"/>
      <c r="BC4213" s="466"/>
      <c r="BD4213" s="466"/>
      <c r="BE4213" s="467"/>
      <c r="BF4213" s="467"/>
      <c r="BG4213" s="466"/>
      <c r="BH4213" s="466"/>
      <c r="BI4213" s="467"/>
      <c r="BJ4213" s="467"/>
      <c r="BK4213" s="467"/>
      <c r="BL4213" s="467"/>
      <c r="BM4213" s="467"/>
      <c r="BN4213" s="467"/>
      <c r="BO4213" s="467"/>
      <c r="BP4213" s="467"/>
      <c r="BQ4213" s="467"/>
      <c r="BR4213" s="467"/>
      <c r="BS4213" s="467"/>
      <c r="BT4213" s="467"/>
      <c r="BU4213" s="467"/>
      <c r="BV4213" s="467"/>
      <c r="BW4213" s="467"/>
      <c r="BX4213" s="769"/>
      <c r="BY4213" s="769"/>
      <c r="BZ4213" s="769"/>
      <c r="CA4213" s="769"/>
      <c r="CB4213" s="769"/>
      <c r="CC4213" s="769"/>
      <c r="CD4213" s="769"/>
      <c r="CE4213" s="769"/>
      <c r="CF4213" s="769"/>
      <c r="CG4213" s="73"/>
      <c r="CH4213" s="438"/>
      <c r="CI4213" s="416"/>
      <c r="CJ4213" s="73"/>
      <c r="CK4213" s="650"/>
      <c r="CL4213" s="499"/>
      <c r="CM4213" s="650"/>
      <c r="CR4213" s="416"/>
      <c r="CS4213" s="650"/>
      <c r="CU4213" s="73"/>
      <c r="CV4213" s="73"/>
      <c r="CW4213" s="73"/>
      <c r="CX4213" s="73"/>
      <c r="DA4213" s="650"/>
    </row>
    <row r="4214" spans="1:105" s="45" customFormat="1" x14ac:dyDescent="0.2">
      <c r="A4214" s="650"/>
      <c r="B4214" s="438"/>
      <c r="D4214" s="73"/>
      <c r="E4214" s="650"/>
      <c r="F4214" s="650"/>
      <c r="G4214" s="73"/>
      <c r="I4214" s="111"/>
      <c r="J4214" s="81"/>
      <c r="K4214" s="81"/>
      <c r="L4214" s="499"/>
      <c r="M4214" s="73"/>
      <c r="N4214" s="499"/>
      <c r="O4214" s="73"/>
      <c r="P4214" s="73"/>
      <c r="Q4214" s="73"/>
      <c r="R4214" s="176"/>
      <c r="S4214" s="176"/>
      <c r="T4214" s="176"/>
      <c r="U4214" s="400"/>
      <c r="V4214" s="400"/>
      <c r="W4214" s="732"/>
      <c r="X4214" s="167"/>
      <c r="Y4214" s="509"/>
      <c r="Z4214" s="466"/>
      <c r="AA4214" s="466"/>
      <c r="AB4214" s="466"/>
      <c r="AC4214" s="466"/>
      <c r="AD4214" s="466"/>
      <c r="AE4214" s="466"/>
      <c r="AF4214" s="466"/>
      <c r="AG4214" s="466"/>
      <c r="AH4214" s="466"/>
      <c r="AI4214" s="466"/>
      <c r="AJ4214" s="466"/>
      <c r="AK4214" s="466"/>
      <c r="AL4214" s="466"/>
      <c r="AM4214" s="466"/>
      <c r="AN4214" s="466"/>
      <c r="AO4214" s="466"/>
      <c r="AP4214" s="466"/>
      <c r="AQ4214" s="466"/>
      <c r="AR4214" s="466"/>
      <c r="AS4214" s="466"/>
      <c r="AT4214" s="466"/>
      <c r="AU4214" s="466"/>
      <c r="AV4214" s="466"/>
      <c r="AW4214" s="466"/>
      <c r="AX4214" s="466"/>
      <c r="AY4214" s="466"/>
      <c r="AZ4214" s="466"/>
      <c r="BA4214" s="466"/>
      <c r="BB4214" s="466"/>
      <c r="BC4214" s="466"/>
      <c r="BD4214" s="466"/>
      <c r="BE4214" s="467"/>
      <c r="BF4214" s="467"/>
      <c r="BG4214" s="466"/>
      <c r="BH4214" s="466"/>
      <c r="BI4214" s="467"/>
      <c r="BJ4214" s="467"/>
      <c r="BK4214" s="467"/>
      <c r="BL4214" s="467"/>
      <c r="BM4214" s="467"/>
      <c r="BN4214" s="467"/>
      <c r="BO4214" s="467"/>
      <c r="BP4214" s="467"/>
      <c r="BQ4214" s="467"/>
      <c r="BR4214" s="467"/>
      <c r="BS4214" s="467"/>
      <c r="BT4214" s="467"/>
      <c r="BU4214" s="467"/>
      <c r="BV4214" s="467"/>
      <c r="BW4214" s="467"/>
      <c r="BX4214" s="769"/>
      <c r="BY4214" s="769"/>
      <c r="BZ4214" s="769"/>
      <c r="CA4214" s="769"/>
      <c r="CB4214" s="769"/>
      <c r="CC4214" s="769"/>
      <c r="CD4214" s="769"/>
      <c r="CE4214" s="769"/>
      <c r="CF4214" s="769"/>
      <c r="CG4214" s="73"/>
      <c r="CH4214" s="438"/>
      <c r="CI4214" s="416"/>
      <c r="CJ4214" s="73"/>
      <c r="CK4214" s="650"/>
      <c r="CL4214" s="499"/>
      <c r="CM4214" s="650"/>
      <c r="CR4214" s="416"/>
      <c r="CS4214" s="650"/>
      <c r="CU4214" s="73"/>
      <c r="CV4214" s="73"/>
      <c r="CW4214" s="73"/>
      <c r="CX4214" s="73"/>
      <c r="DA4214" s="650"/>
    </row>
    <row r="4215" spans="1:105" s="45" customFormat="1" x14ac:dyDescent="0.2">
      <c r="A4215" s="650"/>
      <c r="B4215" s="438"/>
      <c r="D4215" s="73"/>
      <c r="E4215" s="650"/>
      <c r="F4215" s="650"/>
      <c r="G4215" s="73"/>
      <c r="I4215" s="111"/>
      <c r="J4215" s="81"/>
      <c r="K4215" s="81"/>
      <c r="L4215" s="499"/>
      <c r="M4215" s="73"/>
      <c r="N4215" s="499"/>
      <c r="O4215" s="73"/>
      <c r="P4215" s="73"/>
      <c r="Q4215" s="73"/>
      <c r="R4215" s="176"/>
      <c r="S4215" s="176"/>
      <c r="T4215" s="176"/>
      <c r="U4215" s="400"/>
      <c r="V4215" s="400"/>
      <c r="W4215" s="732"/>
      <c r="X4215" s="167"/>
      <c r="Y4215" s="509"/>
      <c r="Z4215" s="466"/>
      <c r="AA4215" s="466"/>
      <c r="AB4215" s="466"/>
      <c r="AC4215" s="466"/>
      <c r="AD4215" s="466"/>
      <c r="AE4215" s="466"/>
      <c r="AF4215" s="466"/>
      <c r="AG4215" s="466"/>
      <c r="AH4215" s="466"/>
      <c r="AI4215" s="466"/>
      <c r="AJ4215" s="466"/>
      <c r="AK4215" s="466"/>
      <c r="AL4215" s="466"/>
      <c r="AM4215" s="466"/>
      <c r="AN4215" s="466"/>
      <c r="AO4215" s="466"/>
      <c r="AP4215" s="466"/>
      <c r="AQ4215" s="466"/>
      <c r="AR4215" s="466"/>
      <c r="AS4215" s="466"/>
      <c r="AT4215" s="466"/>
      <c r="AU4215" s="466"/>
      <c r="AV4215" s="466"/>
      <c r="AW4215" s="466"/>
      <c r="AX4215" s="466"/>
      <c r="AY4215" s="466"/>
      <c r="AZ4215" s="466"/>
      <c r="BA4215" s="466"/>
      <c r="BB4215" s="466"/>
      <c r="BC4215" s="466"/>
      <c r="BD4215" s="466"/>
      <c r="BE4215" s="467"/>
      <c r="BF4215" s="467"/>
      <c r="BG4215" s="466"/>
      <c r="BH4215" s="466"/>
      <c r="BI4215" s="467"/>
      <c r="BJ4215" s="467"/>
      <c r="BK4215" s="467"/>
      <c r="BL4215" s="467"/>
      <c r="BM4215" s="467"/>
      <c r="BN4215" s="467"/>
      <c r="BO4215" s="467"/>
      <c r="BP4215" s="467"/>
      <c r="BQ4215" s="467"/>
      <c r="BR4215" s="467"/>
      <c r="BS4215" s="467"/>
      <c r="BT4215" s="467"/>
      <c r="BU4215" s="467"/>
      <c r="BV4215" s="467"/>
      <c r="BW4215" s="467"/>
      <c r="BX4215" s="769"/>
      <c r="BY4215" s="769"/>
      <c r="BZ4215" s="769"/>
      <c r="CA4215" s="769"/>
      <c r="CB4215" s="769"/>
      <c r="CC4215" s="769"/>
      <c r="CD4215" s="769"/>
      <c r="CE4215" s="769"/>
      <c r="CF4215" s="769"/>
      <c r="CG4215" s="73"/>
      <c r="CH4215" s="438"/>
      <c r="CI4215" s="416"/>
      <c r="CJ4215" s="73"/>
      <c r="CK4215" s="650"/>
      <c r="CL4215" s="499"/>
      <c r="CM4215" s="650"/>
      <c r="CR4215" s="416"/>
      <c r="CS4215" s="650"/>
      <c r="CU4215" s="73"/>
      <c r="CV4215" s="73"/>
      <c r="CW4215" s="73"/>
      <c r="CX4215" s="73"/>
      <c r="DA4215" s="650"/>
    </row>
    <row r="4216" spans="1:105" s="45" customFormat="1" x14ac:dyDescent="0.2">
      <c r="A4216" s="650"/>
      <c r="B4216" s="438"/>
      <c r="D4216" s="73"/>
      <c r="E4216" s="650"/>
      <c r="F4216" s="650"/>
      <c r="G4216" s="73"/>
      <c r="I4216" s="111"/>
      <c r="J4216" s="81"/>
      <c r="K4216" s="81"/>
      <c r="L4216" s="499"/>
      <c r="M4216" s="73"/>
      <c r="N4216" s="499"/>
      <c r="O4216" s="73"/>
      <c r="P4216" s="73"/>
      <c r="Q4216" s="73"/>
      <c r="R4216" s="176"/>
      <c r="S4216" s="176"/>
      <c r="T4216" s="176"/>
      <c r="U4216" s="400"/>
      <c r="V4216" s="400"/>
      <c r="W4216" s="732"/>
      <c r="X4216" s="167"/>
      <c r="Y4216" s="509"/>
      <c r="Z4216" s="466"/>
      <c r="AA4216" s="466"/>
      <c r="AB4216" s="466"/>
      <c r="AC4216" s="466"/>
      <c r="AD4216" s="466"/>
      <c r="AE4216" s="466"/>
      <c r="AF4216" s="466"/>
      <c r="AG4216" s="466"/>
      <c r="AH4216" s="466"/>
      <c r="AI4216" s="466"/>
      <c r="AJ4216" s="466"/>
      <c r="AK4216" s="466"/>
      <c r="AL4216" s="466"/>
      <c r="AM4216" s="466"/>
      <c r="AN4216" s="466"/>
      <c r="AO4216" s="466"/>
      <c r="AP4216" s="466"/>
      <c r="AQ4216" s="466"/>
      <c r="AR4216" s="466"/>
      <c r="AS4216" s="466"/>
      <c r="AT4216" s="466"/>
      <c r="AU4216" s="466"/>
      <c r="AV4216" s="466"/>
      <c r="AW4216" s="466"/>
      <c r="AX4216" s="466"/>
      <c r="AY4216" s="466"/>
      <c r="AZ4216" s="466"/>
      <c r="BA4216" s="466"/>
      <c r="BB4216" s="466"/>
      <c r="BC4216" s="466"/>
      <c r="BD4216" s="466"/>
      <c r="BE4216" s="467"/>
      <c r="BF4216" s="467"/>
      <c r="BG4216" s="466"/>
      <c r="BH4216" s="466"/>
      <c r="BI4216" s="467"/>
      <c r="BJ4216" s="467"/>
      <c r="BK4216" s="467"/>
      <c r="BL4216" s="467"/>
      <c r="BM4216" s="467"/>
      <c r="BN4216" s="467"/>
      <c r="BO4216" s="467"/>
      <c r="BP4216" s="467"/>
      <c r="BQ4216" s="467"/>
      <c r="BR4216" s="467"/>
      <c r="BS4216" s="467"/>
      <c r="BT4216" s="467"/>
      <c r="BU4216" s="467"/>
      <c r="BV4216" s="467"/>
      <c r="BW4216" s="467"/>
      <c r="BX4216" s="769"/>
      <c r="BY4216" s="769"/>
      <c r="BZ4216" s="769"/>
      <c r="CA4216" s="769"/>
      <c r="CB4216" s="769"/>
      <c r="CC4216" s="769"/>
      <c r="CD4216" s="769"/>
      <c r="CE4216" s="769"/>
      <c r="CF4216" s="769"/>
      <c r="CG4216" s="73"/>
      <c r="CH4216" s="438"/>
      <c r="CI4216" s="416"/>
      <c r="CJ4216" s="73"/>
      <c r="CK4216" s="650"/>
      <c r="CL4216" s="499"/>
      <c r="CM4216" s="650"/>
      <c r="CR4216" s="416"/>
      <c r="CS4216" s="650"/>
      <c r="CU4216" s="73"/>
      <c r="CV4216" s="73"/>
      <c r="CW4216" s="73"/>
      <c r="CX4216" s="73"/>
      <c r="DA4216" s="650"/>
    </row>
    <row r="4217" spans="1:105" s="45" customFormat="1" x14ac:dyDescent="0.2">
      <c r="A4217" s="650"/>
      <c r="B4217" s="438"/>
      <c r="D4217" s="73"/>
      <c r="E4217" s="650"/>
      <c r="F4217" s="650"/>
      <c r="G4217" s="73"/>
      <c r="I4217" s="111"/>
      <c r="J4217" s="81"/>
      <c r="K4217" s="81"/>
      <c r="L4217" s="499"/>
      <c r="M4217" s="73"/>
      <c r="N4217" s="499"/>
      <c r="O4217" s="73"/>
      <c r="P4217" s="73"/>
      <c r="Q4217" s="73"/>
      <c r="R4217" s="176"/>
      <c r="S4217" s="176"/>
      <c r="T4217" s="176"/>
      <c r="U4217" s="400"/>
      <c r="V4217" s="400"/>
      <c r="W4217" s="732"/>
      <c r="X4217" s="167"/>
      <c r="Y4217" s="509"/>
      <c r="Z4217" s="466"/>
      <c r="AA4217" s="466"/>
      <c r="AB4217" s="466"/>
      <c r="AC4217" s="466"/>
      <c r="AD4217" s="466"/>
      <c r="AE4217" s="466"/>
      <c r="AF4217" s="466"/>
      <c r="AG4217" s="466"/>
      <c r="AH4217" s="466"/>
      <c r="AI4217" s="466"/>
      <c r="AJ4217" s="466"/>
      <c r="AK4217" s="466"/>
      <c r="AL4217" s="466"/>
      <c r="AM4217" s="466"/>
      <c r="AN4217" s="466"/>
      <c r="AO4217" s="466"/>
      <c r="AP4217" s="466"/>
      <c r="AQ4217" s="466"/>
      <c r="AR4217" s="466"/>
      <c r="AS4217" s="466"/>
      <c r="AT4217" s="466"/>
      <c r="AU4217" s="466"/>
      <c r="AV4217" s="466"/>
      <c r="AW4217" s="466"/>
      <c r="AX4217" s="466"/>
      <c r="AY4217" s="466"/>
      <c r="AZ4217" s="466"/>
      <c r="BA4217" s="466"/>
      <c r="BB4217" s="466"/>
      <c r="BC4217" s="466"/>
      <c r="BD4217" s="466"/>
      <c r="BE4217" s="467"/>
      <c r="BF4217" s="467"/>
      <c r="BG4217" s="466"/>
      <c r="BH4217" s="466"/>
      <c r="BI4217" s="467"/>
      <c r="BJ4217" s="467"/>
      <c r="BK4217" s="467"/>
      <c r="BL4217" s="467"/>
      <c r="BM4217" s="467"/>
      <c r="BN4217" s="467"/>
      <c r="BO4217" s="467"/>
      <c r="BP4217" s="467"/>
      <c r="BQ4217" s="467"/>
      <c r="BR4217" s="467"/>
      <c r="BS4217" s="467"/>
      <c r="BT4217" s="467"/>
      <c r="BU4217" s="467"/>
      <c r="BV4217" s="467"/>
      <c r="BW4217" s="467"/>
      <c r="BX4217" s="769"/>
      <c r="BY4217" s="769"/>
      <c r="BZ4217" s="769"/>
      <c r="CA4217" s="769"/>
      <c r="CB4217" s="769"/>
      <c r="CC4217" s="769"/>
      <c r="CD4217" s="769"/>
      <c r="CE4217" s="769"/>
      <c r="CF4217" s="769"/>
      <c r="CG4217" s="73"/>
      <c r="CH4217" s="438"/>
      <c r="CI4217" s="416"/>
      <c r="CJ4217" s="73"/>
      <c r="CK4217" s="650"/>
      <c r="CL4217" s="499"/>
      <c r="CM4217" s="650"/>
      <c r="CR4217" s="416"/>
      <c r="CS4217" s="650"/>
      <c r="CU4217" s="73"/>
      <c r="CV4217" s="73"/>
      <c r="CW4217" s="73"/>
      <c r="CX4217" s="73"/>
      <c r="DA4217" s="650"/>
    </row>
    <row r="4218" spans="1:105" s="45" customFormat="1" x14ac:dyDescent="0.2">
      <c r="A4218" s="650"/>
      <c r="B4218" s="438"/>
      <c r="D4218" s="73"/>
      <c r="E4218" s="650"/>
      <c r="F4218" s="650"/>
      <c r="G4218" s="73"/>
      <c r="I4218" s="111"/>
      <c r="J4218" s="81"/>
      <c r="K4218" s="81"/>
      <c r="L4218" s="499"/>
      <c r="M4218" s="73"/>
      <c r="N4218" s="499"/>
      <c r="O4218" s="73"/>
      <c r="P4218" s="73"/>
      <c r="Q4218" s="73"/>
      <c r="R4218" s="176"/>
      <c r="S4218" s="176"/>
      <c r="T4218" s="176"/>
      <c r="U4218" s="400"/>
      <c r="V4218" s="400"/>
      <c r="W4218" s="732"/>
      <c r="X4218" s="167"/>
      <c r="Y4218" s="509"/>
      <c r="Z4218" s="466"/>
      <c r="AA4218" s="466"/>
      <c r="AB4218" s="466"/>
      <c r="AC4218" s="466"/>
      <c r="AD4218" s="466"/>
      <c r="AE4218" s="466"/>
      <c r="AF4218" s="466"/>
      <c r="AG4218" s="466"/>
      <c r="AH4218" s="466"/>
      <c r="AI4218" s="466"/>
      <c r="AJ4218" s="466"/>
      <c r="AK4218" s="466"/>
      <c r="AL4218" s="466"/>
      <c r="AM4218" s="466"/>
      <c r="AN4218" s="466"/>
      <c r="AO4218" s="466"/>
      <c r="AP4218" s="466"/>
      <c r="AQ4218" s="466"/>
      <c r="AR4218" s="466"/>
      <c r="AS4218" s="466"/>
      <c r="AT4218" s="466"/>
      <c r="AU4218" s="466"/>
      <c r="AV4218" s="466"/>
      <c r="AW4218" s="466"/>
      <c r="AX4218" s="466"/>
      <c r="AY4218" s="466"/>
      <c r="AZ4218" s="466"/>
      <c r="BA4218" s="466"/>
      <c r="BB4218" s="466"/>
      <c r="BC4218" s="466"/>
      <c r="BD4218" s="466"/>
      <c r="BE4218" s="467"/>
      <c r="BF4218" s="467"/>
      <c r="BG4218" s="466"/>
      <c r="BH4218" s="466"/>
      <c r="BI4218" s="467"/>
      <c r="BJ4218" s="467"/>
      <c r="BK4218" s="467"/>
      <c r="BL4218" s="467"/>
      <c r="BM4218" s="467"/>
      <c r="BN4218" s="467"/>
      <c r="BO4218" s="467"/>
      <c r="BP4218" s="467"/>
      <c r="BQ4218" s="467"/>
      <c r="BR4218" s="467"/>
      <c r="BS4218" s="467"/>
      <c r="BT4218" s="467"/>
      <c r="BU4218" s="467"/>
      <c r="BV4218" s="467"/>
      <c r="BW4218" s="467"/>
      <c r="BX4218" s="769"/>
      <c r="BY4218" s="769"/>
      <c r="BZ4218" s="769"/>
      <c r="CA4218" s="769"/>
      <c r="CB4218" s="769"/>
      <c r="CC4218" s="769"/>
      <c r="CD4218" s="769"/>
      <c r="CE4218" s="769"/>
      <c r="CF4218" s="769"/>
      <c r="CG4218" s="73"/>
      <c r="CH4218" s="438"/>
      <c r="CI4218" s="416"/>
      <c r="CJ4218" s="73"/>
      <c r="CK4218" s="650"/>
      <c r="CL4218" s="499"/>
      <c r="CM4218" s="650"/>
      <c r="CR4218" s="416"/>
      <c r="CS4218" s="650"/>
      <c r="CU4218" s="73"/>
      <c r="CV4218" s="73"/>
      <c r="CW4218" s="73"/>
      <c r="CX4218" s="73"/>
      <c r="DA4218" s="650"/>
    </row>
    <row r="4219" spans="1:105" s="45" customFormat="1" x14ac:dyDescent="0.2">
      <c r="A4219" s="650"/>
      <c r="B4219" s="438"/>
      <c r="D4219" s="73"/>
      <c r="E4219" s="650"/>
      <c r="F4219" s="650"/>
      <c r="G4219" s="73"/>
      <c r="I4219" s="111"/>
      <c r="J4219" s="81"/>
      <c r="K4219" s="81"/>
      <c r="L4219" s="499"/>
      <c r="M4219" s="73"/>
      <c r="N4219" s="499"/>
      <c r="O4219" s="73"/>
      <c r="P4219" s="73"/>
      <c r="Q4219" s="73"/>
      <c r="R4219" s="176"/>
      <c r="S4219" s="176"/>
      <c r="T4219" s="176"/>
      <c r="U4219" s="400"/>
      <c r="V4219" s="400"/>
      <c r="W4219" s="732"/>
      <c r="X4219" s="167"/>
      <c r="Y4219" s="509"/>
      <c r="Z4219" s="466"/>
      <c r="AA4219" s="466"/>
      <c r="AB4219" s="466"/>
      <c r="AC4219" s="466"/>
      <c r="AD4219" s="466"/>
      <c r="AE4219" s="466"/>
      <c r="AF4219" s="466"/>
      <c r="AG4219" s="466"/>
      <c r="AH4219" s="466"/>
      <c r="AI4219" s="466"/>
      <c r="AJ4219" s="466"/>
      <c r="AK4219" s="466"/>
      <c r="AL4219" s="466"/>
      <c r="AM4219" s="466"/>
      <c r="AN4219" s="466"/>
      <c r="AO4219" s="466"/>
      <c r="AP4219" s="466"/>
      <c r="AQ4219" s="466"/>
      <c r="AR4219" s="466"/>
      <c r="AS4219" s="466"/>
      <c r="AT4219" s="466"/>
      <c r="AU4219" s="466"/>
      <c r="AV4219" s="466"/>
      <c r="AW4219" s="466"/>
      <c r="AX4219" s="466"/>
      <c r="AY4219" s="466"/>
      <c r="AZ4219" s="466"/>
      <c r="BA4219" s="466"/>
      <c r="BB4219" s="466"/>
      <c r="BC4219" s="466"/>
      <c r="BD4219" s="466"/>
      <c r="BE4219" s="467"/>
      <c r="BF4219" s="467"/>
      <c r="BG4219" s="466"/>
      <c r="BH4219" s="466"/>
      <c r="BI4219" s="467"/>
      <c r="BJ4219" s="467"/>
      <c r="BK4219" s="467"/>
      <c r="BL4219" s="467"/>
      <c r="BM4219" s="467"/>
      <c r="BN4219" s="467"/>
      <c r="BO4219" s="467"/>
      <c r="BP4219" s="467"/>
      <c r="BQ4219" s="467"/>
      <c r="BR4219" s="467"/>
      <c r="BS4219" s="467"/>
      <c r="BT4219" s="467"/>
      <c r="BU4219" s="467"/>
      <c r="BV4219" s="467"/>
      <c r="BW4219" s="467"/>
      <c r="BX4219" s="769"/>
      <c r="BY4219" s="769"/>
      <c r="BZ4219" s="769"/>
      <c r="CA4219" s="769"/>
      <c r="CB4219" s="769"/>
      <c r="CC4219" s="769"/>
      <c r="CD4219" s="769"/>
      <c r="CE4219" s="769"/>
      <c r="CF4219" s="769"/>
      <c r="CG4219" s="73"/>
      <c r="CH4219" s="438"/>
      <c r="CI4219" s="416"/>
      <c r="CJ4219" s="73"/>
      <c r="CK4219" s="650"/>
      <c r="CL4219" s="499"/>
      <c r="CM4219" s="650"/>
      <c r="CR4219" s="416"/>
      <c r="CS4219" s="650"/>
      <c r="CU4219" s="73"/>
      <c r="CV4219" s="73"/>
      <c r="CW4219" s="73"/>
      <c r="CX4219" s="73"/>
      <c r="DA4219" s="650"/>
    </row>
    <row r="4220" spans="1:105" s="45" customFormat="1" x14ac:dyDescent="0.2">
      <c r="A4220" s="650"/>
      <c r="B4220" s="438"/>
      <c r="D4220" s="73"/>
      <c r="E4220" s="650"/>
      <c r="F4220" s="650"/>
      <c r="G4220" s="73"/>
      <c r="I4220" s="111"/>
      <c r="J4220" s="81"/>
      <c r="K4220" s="81"/>
      <c r="L4220" s="499"/>
      <c r="M4220" s="73"/>
      <c r="N4220" s="499"/>
      <c r="O4220" s="73"/>
      <c r="P4220" s="73"/>
      <c r="Q4220" s="73"/>
      <c r="R4220" s="176"/>
      <c r="S4220" s="176"/>
      <c r="T4220" s="176"/>
      <c r="U4220" s="400"/>
      <c r="V4220" s="400"/>
      <c r="W4220" s="732"/>
      <c r="X4220" s="167"/>
      <c r="Y4220" s="509"/>
      <c r="Z4220" s="466"/>
      <c r="AA4220" s="466"/>
      <c r="AB4220" s="466"/>
      <c r="AC4220" s="466"/>
      <c r="AD4220" s="466"/>
      <c r="AE4220" s="466"/>
      <c r="AF4220" s="466"/>
      <c r="AG4220" s="466"/>
      <c r="AH4220" s="466"/>
      <c r="AI4220" s="466"/>
      <c r="AJ4220" s="466"/>
      <c r="AK4220" s="466"/>
      <c r="AL4220" s="466"/>
      <c r="AM4220" s="466"/>
      <c r="AN4220" s="466"/>
      <c r="AO4220" s="466"/>
      <c r="AP4220" s="466"/>
      <c r="AQ4220" s="466"/>
      <c r="AR4220" s="466"/>
      <c r="AS4220" s="466"/>
      <c r="AT4220" s="466"/>
      <c r="AU4220" s="466"/>
      <c r="AV4220" s="466"/>
      <c r="AW4220" s="466"/>
      <c r="AX4220" s="466"/>
      <c r="AY4220" s="466"/>
      <c r="AZ4220" s="466"/>
      <c r="BA4220" s="466"/>
      <c r="BB4220" s="466"/>
      <c r="BC4220" s="466"/>
      <c r="BD4220" s="466"/>
      <c r="BE4220" s="467"/>
      <c r="BF4220" s="467"/>
      <c r="BG4220" s="466"/>
      <c r="BH4220" s="466"/>
      <c r="BI4220" s="467"/>
      <c r="BJ4220" s="467"/>
      <c r="BK4220" s="467"/>
      <c r="BL4220" s="467"/>
      <c r="BM4220" s="467"/>
      <c r="BN4220" s="467"/>
      <c r="BO4220" s="467"/>
      <c r="BP4220" s="467"/>
      <c r="BQ4220" s="467"/>
      <c r="BR4220" s="467"/>
      <c r="BS4220" s="467"/>
      <c r="BT4220" s="467"/>
      <c r="BU4220" s="467"/>
      <c r="BV4220" s="467"/>
      <c r="BW4220" s="467"/>
      <c r="BX4220" s="769"/>
      <c r="BY4220" s="769"/>
      <c r="BZ4220" s="769"/>
      <c r="CA4220" s="769"/>
      <c r="CB4220" s="769"/>
      <c r="CC4220" s="769"/>
      <c r="CD4220" s="769"/>
      <c r="CE4220" s="769"/>
      <c r="CF4220" s="769"/>
      <c r="CG4220" s="73"/>
      <c r="CH4220" s="438"/>
      <c r="CI4220" s="416"/>
      <c r="CJ4220" s="73"/>
      <c r="CK4220" s="650"/>
      <c r="CL4220" s="499"/>
      <c r="CM4220" s="650"/>
      <c r="CR4220" s="416"/>
      <c r="CS4220" s="650"/>
      <c r="CU4220" s="73"/>
      <c r="CV4220" s="73"/>
      <c r="CW4220" s="73"/>
      <c r="CX4220" s="73"/>
      <c r="DA4220" s="650"/>
    </row>
    <row r="4221" spans="1:105" s="45" customFormat="1" x14ac:dyDescent="0.2">
      <c r="A4221" s="650"/>
      <c r="B4221" s="438"/>
      <c r="D4221" s="73"/>
      <c r="E4221" s="650"/>
      <c r="F4221" s="650"/>
      <c r="G4221" s="73"/>
      <c r="I4221" s="111"/>
      <c r="J4221" s="81"/>
      <c r="K4221" s="81"/>
      <c r="L4221" s="499"/>
      <c r="M4221" s="73"/>
      <c r="N4221" s="499"/>
      <c r="O4221" s="73"/>
      <c r="P4221" s="73"/>
      <c r="Q4221" s="73"/>
      <c r="R4221" s="176"/>
      <c r="S4221" s="176"/>
      <c r="T4221" s="176"/>
      <c r="U4221" s="400"/>
      <c r="V4221" s="400"/>
      <c r="W4221" s="732"/>
      <c r="X4221" s="167"/>
      <c r="Y4221" s="509"/>
      <c r="Z4221" s="466"/>
      <c r="AA4221" s="466"/>
      <c r="AB4221" s="466"/>
      <c r="AC4221" s="466"/>
      <c r="AD4221" s="466"/>
      <c r="AE4221" s="466"/>
      <c r="AF4221" s="466"/>
      <c r="AG4221" s="466"/>
      <c r="AH4221" s="466"/>
      <c r="AI4221" s="466"/>
      <c r="AJ4221" s="466"/>
      <c r="AK4221" s="466"/>
      <c r="AL4221" s="466"/>
      <c r="AM4221" s="466"/>
      <c r="AN4221" s="466"/>
      <c r="AO4221" s="466"/>
      <c r="AP4221" s="466"/>
      <c r="AQ4221" s="466"/>
      <c r="AR4221" s="466"/>
      <c r="AS4221" s="466"/>
      <c r="AT4221" s="466"/>
      <c r="AU4221" s="466"/>
      <c r="AV4221" s="466"/>
      <c r="AW4221" s="466"/>
      <c r="AX4221" s="466"/>
      <c r="AY4221" s="466"/>
      <c r="AZ4221" s="466"/>
      <c r="BA4221" s="466"/>
      <c r="BB4221" s="466"/>
      <c r="BC4221" s="466"/>
      <c r="BD4221" s="466"/>
      <c r="BE4221" s="467"/>
      <c r="BF4221" s="467"/>
      <c r="BG4221" s="466"/>
      <c r="BH4221" s="466"/>
      <c r="BI4221" s="467"/>
      <c r="BJ4221" s="467"/>
      <c r="BK4221" s="467"/>
      <c r="BL4221" s="467"/>
      <c r="BM4221" s="467"/>
      <c r="BN4221" s="467"/>
      <c r="BO4221" s="467"/>
      <c r="BP4221" s="467"/>
      <c r="BQ4221" s="467"/>
      <c r="BR4221" s="467"/>
      <c r="BS4221" s="467"/>
      <c r="BT4221" s="467"/>
      <c r="BU4221" s="467"/>
      <c r="BV4221" s="467"/>
      <c r="BW4221" s="467"/>
      <c r="BX4221" s="769"/>
      <c r="BY4221" s="769"/>
      <c r="BZ4221" s="769"/>
      <c r="CA4221" s="769"/>
      <c r="CB4221" s="769"/>
      <c r="CC4221" s="769"/>
      <c r="CD4221" s="769"/>
      <c r="CE4221" s="769"/>
      <c r="CF4221" s="769"/>
      <c r="CG4221" s="73"/>
      <c r="CH4221" s="438"/>
      <c r="CI4221" s="416"/>
      <c r="CJ4221" s="73"/>
      <c r="CK4221" s="650"/>
      <c r="CL4221" s="499"/>
      <c r="CM4221" s="650"/>
      <c r="CR4221" s="416"/>
      <c r="CS4221" s="650"/>
      <c r="CU4221" s="73"/>
      <c r="CV4221" s="73"/>
      <c r="CW4221" s="73"/>
      <c r="CX4221" s="73"/>
      <c r="DA4221" s="650"/>
    </row>
    <row r="4222" spans="1:105" s="45" customFormat="1" x14ac:dyDescent="0.2">
      <c r="A4222" s="650"/>
      <c r="B4222" s="438"/>
      <c r="D4222" s="73"/>
      <c r="E4222" s="650"/>
      <c r="F4222" s="650"/>
      <c r="G4222" s="73"/>
      <c r="I4222" s="111"/>
      <c r="J4222" s="81"/>
      <c r="K4222" s="81"/>
      <c r="L4222" s="499"/>
      <c r="M4222" s="73"/>
      <c r="N4222" s="499"/>
      <c r="O4222" s="73"/>
      <c r="P4222" s="73"/>
      <c r="Q4222" s="73"/>
      <c r="R4222" s="176"/>
      <c r="S4222" s="176"/>
      <c r="T4222" s="176"/>
      <c r="U4222" s="400"/>
      <c r="V4222" s="400"/>
      <c r="W4222" s="732"/>
      <c r="X4222" s="167"/>
      <c r="Y4222" s="509"/>
      <c r="Z4222" s="466"/>
      <c r="AA4222" s="466"/>
      <c r="AB4222" s="466"/>
      <c r="AC4222" s="466"/>
      <c r="AD4222" s="466"/>
      <c r="AE4222" s="466"/>
      <c r="AF4222" s="466"/>
      <c r="AG4222" s="466"/>
      <c r="AH4222" s="466"/>
      <c r="AI4222" s="466"/>
      <c r="AJ4222" s="466"/>
      <c r="AK4222" s="466"/>
      <c r="AL4222" s="466"/>
      <c r="AM4222" s="466"/>
      <c r="AN4222" s="466"/>
      <c r="AO4222" s="466"/>
      <c r="AP4222" s="466"/>
      <c r="AQ4222" s="466"/>
      <c r="AR4222" s="466"/>
      <c r="AS4222" s="466"/>
      <c r="AT4222" s="466"/>
      <c r="AU4222" s="466"/>
      <c r="AV4222" s="466"/>
      <c r="AW4222" s="466"/>
      <c r="AX4222" s="466"/>
      <c r="AY4222" s="466"/>
      <c r="AZ4222" s="466"/>
      <c r="BA4222" s="466"/>
      <c r="BB4222" s="466"/>
      <c r="BC4222" s="466"/>
      <c r="BD4222" s="466"/>
      <c r="BE4222" s="467"/>
      <c r="BF4222" s="467"/>
      <c r="BG4222" s="466"/>
      <c r="BH4222" s="466"/>
      <c r="BI4222" s="467"/>
      <c r="BJ4222" s="467"/>
      <c r="BK4222" s="467"/>
      <c r="BL4222" s="467"/>
      <c r="BM4222" s="467"/>
      <c r="BN4222" s="467"/>
      <c r="BO4222" s="467"/>
      <c r="BP4222" s="467"/>
      <c r="BQ4222" s="467"/>
      <c r="BR4222" s="467"/>
      <c r="BS4222" s="467"/>
      <c r="BT4222" s="467"/>
      <c r="BU4222" s="467"/>
      <c r="BV4222" s="467"/>
      <c r="BW4222" s="467"/>
      <c r="BX4222" s="769"/>
      <c r="BY4222" s="769"/>
      <c r="BZ4222" s="769"/>
      <c r="CA4222" s="769"/>
      <c r="CB4222" s="769"/>
      <c r="CC4222" s="769"/>
      <c r="CD4222" s="769"/>
      <c r="CE4222" s="769"/>
      <c r="CF4222" s="769"/>
      <c r="CG4222" s="73"/>
      <c r="CH4222" s="438"/>
      <c r="CI4222" s="416"/>
      <c r="CJ4222" s="73"/>
      <c r="CK4222" s="650"/>
      <c r="CL4222" s="499"/>
      <c r="CM4222" s="650"/>
      <c r="CR4222" s="416"/>
      <c r="CS4222" s="650"/>
      <c r="CU4222" s="73"/>
      <c r="CV4222" s="73"/>
      <c r="CW4222" s="73"/>
      <c r="CX4222" s="73"/>
      <c r="DA4222" s="650"/>
    </row>
    <row r="4223" spans="1:105" s="45" customFormat="1" x14ac:dyDescent="0.2">
      <c r="A4223" s="650"/>
      <c r="B4223" s="438"/>
      <c r="D4223" s="73"/>
      <c r="E4223" s="650"/>
      <c r="F4223" s="650"/>
      <c r="G4223" s="73"/>
      <c r="I4223" s="111"/>
      <c r="J4223" s="81"/>
      <c r="K4223" s="81"/>
      <c r="L4223" s="499"/>
      <c r="M4223" s="73"/>
      <c r="N4223" s="499"/>
      <c r="O4223" s="73"/>
      <c r="P4223" s="73"/>
      <c r="Q4223" s="73"/>
      <c r="R4223" s="176"/>
      <c r="S4223" s="176"/>
      <c r="T4223" s="176"/>
      <c r="U4223" s="400"/>
      <c r="V4223" s="400"/>
      <c r="W4223" s="732"/>
      <c r="X4223" s="167"/>
      <c r="Y4223" s="509"/>
      <c r="Z4223" s="466"/>
      <c r="AA4223" s="466"/>
      <c r="AB4223" s="466"/>
      <c r="AC4223" s="466"/>
      <c r="AD4223" s="466"/>
      <c r="AE4223" s="466"/>
      <c r="AF4223" s="466"/>
      <c r="AG4223" s="466"/>
      <c r="AH4223" s="466"/>
      <c r="AI4223" s="466"/>
      <c r="AJ4223" s="466"/>
      <c r="AK4223" s="466"/>
      <c r="AL4223" s="466"/>
      <c r="AM4223" s="466"/>
      <c r="AN4223" s="466"/>
      <c r="AO4223" s="466"/>
      <c r="AP4223" s="466"/>
      <c r="AQ4223" s="466"/>
      <c r="AR4223" s="466"/>
      <c r="AS4223" s="466"/>
      <c r="AT4223" s="466"/>
      <c r="AU4223" s="466"/>
      <c r="AV4223" s="466"/>
      <c r="AW4223" s="466"/>
      <c r="AX4223" s="466"/>
      <c r="AY4223" s="466"/>
      <c r="AZ4223" s="466"/>
      <c r="BA4223" s="466"/>
      <c r="BB4223" s="466"/>
      <c r="BC4223" s="466"/>
      <c r="BD4223" s="466"/>
      <c r="BE4223" s="467"/>
      <c r="BF4223" s="467"/>
      <c r="BG4223" s="466"/>
      <c r="BH4223" s="466"/>
      <c r="BI4223" s="467"/>
      <c r="BJ4223" s="467"/>
      <c r="BK4223" s="467"/>
      <c r="BL4223" s="467"/>
      <c r="BM4223" s="467"/>
      <c r="BN4223" s="467"/>
      <c r="BO4223" s="467"/>
      <c r="BP4223" s="467"/>
      <c r="BQ4223" s="467"/>
      <c r="BR4223" s="467"/>
      <c r="BS4223" s="467"/>
      <c r="BT4223" s="467"/>
      <c r="BU4223" s="467"/>
      <c r="BV4223" s="467"/>
      <c r="BW4223" s="467"/>
      <c r="BX4223" s="769"/>
      <c r="BY4223" s="769"/>
      <c r="BZ4223" s="769"/>
      <c r="CA4223" s="769"/>
      <c r="CB4223" s="769"/>
      <c r="CC4223" s="769"/>
      <c r="CD4223" s="769"/>
      <c r="CE4223" s="769"/>
      <c r="CF4223" s="769"/>
      <c r="CG4223" s="73"/>
      <c r="CH4223" s="438"/>
      <c r="CI4223" s="416"/>
      <c r="CJ4223" s="73"/>
      <c r="CK4223" s="650"/>
      <c r="CL4223" s="499"/>
      <c r="CM4223" s="650"/>
      <c r="CR4223" s="416"/>
      <c r="CS4223" s="650"/>
      <c r="CU4223" s="73"/>
      <c r="CV4223" s="73"/>
      <c r="CW4223" s="73"/>
      <c r="CX4223" s="73"/>
      <c r="DA4223" s="650"/>
    </row>
    <row r="4224" spans="1:105" s="45" customFormat="1" x14ac:dyDescent="0.2">
      <c r="A4224" s="650"/>
      <c r="B4224" s="438"/>
      <c r="D4224" s="73"/>
      <c r="E4224" s="650"/>
      <c r="F4224" s="650"/>
      <c r="G4224" s="73"/>
      <c r="I4224" s="111"/>
      <c r="J4224" s="81"/>
      <c r="K4224" s="81"/>
      <c r="L4224" s="499"/>
      <c r="M4224" s="73"/>
      <c r="N4224" s="499"/>
      <c r="O4224" s="73"/>
      <c r="P4224" s="73"/>
      <c r="Q4224" s="73"/>
      <c r="R4224" s="176"/>
      <c r="S4224" s="176"/>
      <c r="T4224" s="176"/>
      <c r="U4224" s="400"/>
      <c r="V4224" s="400"/>
      <c r="W4224" s="732"/>
      <c r="X4224" s="167"/>
      <c r="Y4224" s="509"/>
      <c r="Z4224" s="466"/>
      <c r="AA4224" s="466"/>
      <c r="AB4224" s="466"/>
      <c r="AC4224" s="466"/>
      <c r="AD4224" s="466"/>
      <c r="AE4224" s="466"/>
      <c r="AF4224" s="466"/>
      <c r="AG4224" s="466"/>
      <c r="AH4224" s="466"/>
      <c r="AI4224" s="466"/>
      <c r="AJ4224" s="466"/>
      <c r="AK4224" s="466"/>
      <c r="AL4224" s="466"/>
      <c r="AM4224" s="466"/>
      <c r="AN4224" s="466"/>
      <c r="AO4224" s="466"/>
      <c r="AP4224" s="466"/>
      <c r="AQ4224" s="466"/>
      <c r="AR4224" s="466"/>
      <c r="AS4224" s="466"/>
      <c r="AT4224" s="466"/>
      <c r="AU4224" s="466"/>
      <c r="AV4224" s="466"/>
      <c r="AW4224" s="466"/>
      <c r="AX4224" s="466"/>
      <c r="AY4224" s="466"/>
      <c r="AZ4224" s="466"/>
      <c r="BA4224" s="466"/>
      <c r="BB4224" s="466"/>
      <c r="BC4224" s="466"/>
      <c r="BD4224" s="466"/>
      <c r="BE4224" s="467"/>
      <c r="BF4224" s="467"/>
      <c r="BG4224" s="466"/>
      <c r="BH4224" s="466"/>
      <c r="BI4224" s="467"/>
      <c r="BJ4224" s="467"/>
      <c r="BK4224" s="467"/>
      <c r="BL4224" s="467"/>
      <c r="BM4224" s="467"/>
      <c r="BN4224" s="467"/>
      <c r="BO4224" s="467"/>
      <c r="BP4224" s="467"/>
      <c r="BQ4224" s="467"/>
      <c r="BR4224" s="467"/>
      <c r="BS4224" s="467"/>
      <c r="BT4224" s="467"/>
      <c r="BU4224" s="467"/>
      <c r="BV4224" s="467"/>
      <c r="BW4224" s="467"/>
      <c r="BX4224" s="769"/>
      <c r="BY4224" s="769"/>
      <c r="BZ4224" s="769"/>
      <c r="CA4224" s="769"/>
      <c r="CB4224" s="769"/>
      <c r="CC4224" s="769"/>
      <c r="CD4224" s="769"/>
      <c r="CE4224" s="769"/>
      <c r="CF4224" s="769"/>
      <c r="CG4224" s="73"/>
      <c r="CH4224" s="438"/>
      <c r="CI4224" s="416"/>
      <c r="CJ4224" s="73"/>
      <c r="CK4224" s="650"/>
      <c r="CL4224" s="499"/>
      <c r="CM4224" s="650"/>
      <c r="CR4224" s="416"/>
      <c r="CS4224" s="650"/>
      <c r="CU4224" s="73"/>
      <c r="CV4224" s="73"/>
      <c r="CW4224" s="73"/>
      <c r="CX4224" s="73"/>
      <c r="DA4224" s="650"/>
    </row>
    <row r="4225" spans="1:105" s="45" customFormat="1" x14ac:dyDescent="0.2">
      <c r="A4225" s="650"/>
      <c r="B4225" s="438"/>
      <c r="D4225" s="73"/>
      <c r="E4225" s="650"/>
      <c r="F4225" s="650"/>
      <c r="G4225" s="73"/>
      <c r="I4225" s="111"/>
      <c r="J4225" s="81"/>
      <c r="K4225" s="81"/>
      <c r="L4225" s="499"/>
      <c r="M4225" s="73"/>
      <c r="N4225" s="499"/>
      <c r="O4225" s="73"/>
      <c r="P4225" s="73"/>
      <c r="Q4225" s="73"/>
      <c r="R4225" s="176"/>
      <c r="S4225" s="176"/>
      <c r="T4225" s="176"/>
      <c r="U4225" s="400"/>
      <c r="V4225" s="400"/>
      <c r="W4225" s="732"/>
      <c r="X4225" s="167"/>
      <c r="Y4225" s="509"/>
      <c r="Z4225" s="466"/>
      <c r="AA4225" s="466"/>
      <c r="AB4225" s="466"/>
      <c r="AC4225" s="466"/>
      <c r="AD4225" s="466"/>
      <c r="AE4225" s="466"/>
      <c r="AF4225" s="466"/>
      <c r="AG4225" s="466"/>
      <c r="AH4225" s="466"/>
      <c r="AI4225" s="466"/>
      <c r="AJ4225" s="466"/>
      <c r="AK4225" s="466"/>
      <c r="AL4225" s="466"/>
      <c r="AM4225" s="466"/>
      <c r="AN4225" s="466"/>
      <c r="AO4225" s="466"/>
      <c r="AP4225" s="466"/>
      <c r="AQ4225" s="466"/>
      <c r="AR4225" s="466"/>
      <c r="AS4225" s="466"/>
      <c r="AT4225" s="466"/>
      <c r="AU4225" s="466"/>
      <c r="AV4225" s="466"/>
      <c r="AW4225" s="466"/>
      <c r="AX4225" s="466"/>
      <c r="AY4225" s="466"/>
      <c r="AZ4225" s="466"/>
      <c r="BA4225" s="466"/>
      <c r="BB4225" s="466"/>
      <c r="BC4225" s="466"/>
      <c r="BD4225" s="466"/>
      <c r="BE4225" s="467"/>
      <c r="BF4225" s="467"/>
      <c r="BG4225" s="466"/>
      <c r="BH4225" s="466"/>
      <c r="BI4225" s="467"/>
      <c r="BJ4225" s="467"/>
      <c r="BK4225" s="467"/>
      <c r="BL4225" s="467"/>
      <c r="BM4225" s="467"/>
      <c r="BN4225" s="467"/>
      <c r="BO4225" s="467"/>
      <c r="BP4225" s="467"/>
      <c r="BQ4225" s="467"/>
      <c r="BR4225" s="467"/>
      <c r="BS4225" s="467"/>
      <c r="BT4225" s="467"/>
      <c r="BU4225" s="467"/>
      <c r="BV4225" s="467"/>
      <c r="BW4225" s="467"/>
      <c r="BX4225" s="769"/>
      <c r="BY4225" s="769"/>
      <c r="BZ4225" s="769"/>
      <c r="CA4225" s="769"/>
      <c r="CB4225" s="769"/>
      <c r="CC4225" s="769"/>
      <c r="CD4225" s="769"/>
      <c r="CE4225" s="769"/>
      <c r="CF4225" s="769"/>
      <c r="CG4225" s="73"/>
      <c r="CH4225" s="438"/>
      <c r="CI4225" s="416"/>
      <c r="CJ4225" s="73"/>
      <c r="CK4225" s="650"/>
      <c r="CL4225" s="499"/>
      <c r="CM4225" s="650"/>
      <c r="CR4225" s="416"/>
      <c r="CS4225" s="650"/>
      <c r="CU4225" s="73"/>
      <c r="CV4225" s="73"/>
      <c r="CW4225" s="73"/>
      <c r="CX4225" s="73"/>
      <c r="DA4225" s="650"/>
    </row>
    <row r="4226" spans="1:105" s="45" customFormat="1" x14ac:dyDescent="0.2">
      <c r="A4226" s="650"/>
      <c r="B4226" s="438"/>
      <c r="D4226" s="73"/>
      <c r="E4226" s="650"/>
      <c r="F4226" s="650"/>
      <c r="G4226" s="73"/>
      <c r="I4226" s="111"/>
      <c r="J4226" s="81"/>
      <c r="K4226" s="81"/>
      <c r="L4226" s="499"/>
      <c r="M4226" s="73"/>
      <c r="N4226" s="499"/>
      <c r="O4226" s="73"/>
      <c r="P4226" s="73"/>
      <c r="Q4226" s="73"/>
      <c r="R4226" s="176"/>
      <c r="S4226" s="176"/>
      <c r="T4226" s="176"/>
      <c r="U4226" s="400"/>
      <c r="V4226" s="400"/>
      <c r="W4226" s="732"/>
      <c r="X4226" s="167"/>
      <c r="Y4226" s="509"/>
      <c r="Z4226" s="466"/>
      <c r="AA4226" s="466"/>
      <c r="AB4226" s="466"/>
      <c r="AC4226" s="466"/>
      <c r="AD4226" s="466"/>
      <c r="AE4226" s="466"/>
      <c r="AF4226" s="466"/>
      <c r="AG4226" s="466"/>
      <c r="AH4226" s="466"/>
      <c r="AI4226" s="466"/>
      <c r="AJ4226" s="466"/>
      <c r="AK4226" s="466"/>
      <c r="AL4226" s="466"/>
      <c r="AM4226" s="466"/>
      <c r="AN4226" s="466"/>
      <c r="AO4226" s="466"/>
      <c r="AP4226" s="466"/>
      <c r="AQ4226" s="466"/>
      <c r="AR4226" s="466"/>
      <c r="AS4226" s="466"/>
      <c r="AT4226" s="466"/>
      <c r="AU4226" s="466"/>
      <c r="AV4226" s="466"/>
      <c r="AW4226" s="466"/>
      <c r="AX4226" s="466"/>
      <c r="AY4226" s="466"/>
      <c r="AZ4226" s="466"/>
      <c r="BA4226" s="466"/>
      <c r="BB4226" s="466"/>
      <c r="BC4226" s="466"/>
      <c r="BD4226" s="466"/>
      <c r="BE4226" s="467"/>
      <c r="BF4226" s="467"/>
      <c r="BG4226" s="466"/>
      <c r="BH4226" s="466"/>
      <c r="BI4226" s="467"/>
      <c r="BJ4226" s="467"/>
      <c r="BK4226" s="467"/>
      <c r="BL4226" s="467"/>
      <c r="BM4226" s="467"/>
      <c r="BN4226" s="467"/>
      <c r="BO4226" s="467"/>
      <c r="BP4226" s="467"/>
      <c r="BQ4226" s="467"/>
      <c r="BR4226" s="467"/>
      <c r="BS4226" s="467"/>
      <c r="BT4226" s="467"/>
      <c r="BU4226" s="467"/>
      <c r="BV4226" s="467"/>
      <c r="BW4226" s="467"/>
      <c r="BX4226" s="769"/>
      <c r="BY4226" s="769"/>
      <c r="BZ4226" s="769"/>
      <c r="CA4226" s="769"/>
      <c r="CB4226" s="769"/>
      <c r="CC4226" s="769"/>
      <c r="CD4226" s="769"/>
      <c r="CE4226" s="769"/>
      <c r="CF4226" s="769"/>
      <c r="CG4226" s="73"/>
      <c r="CH4226" s="438"/>
      <c r="CI4226" s="416"/>
      <c r="CJ4226" s="73"/>
      <c r="CK4226" s="650"/>
      <c r="CL4226" s="499"/>
      <c r="CM4226" s="650"/>
      <c r="CR4226" s="416"/>
      <c r="CS4226" s="650"/>
      <c r="CU4226" s="73"/>
      <c r="CV4226" s="73"/>
      <c r="CW4226" s="73"/>
      <c r="CX4226" s="73"/>
      <c r="DA4226" s="650"/>
    </row>
    <row r="4227" spans="1:105" s="45" customFormat="1" x14ac:dyDescent="0.2">
      <c r="A4227" s="650"/>
      <c r="B4227" s="438"/>
      <c r="D4227" s="73"/>
      <c r="E4227" s="650"/>
      <c r="F4227" s="650"/>
      <c r="G4227" s="73"/>
      <c r="I4227" s="111"/>
      <c r="J4227" s="81"/>
      <c r="K4227" s="81"/>
      <c r="L4227" s="499"/>
      <c r="M4227" s="73"/>
      <c r="N4227" s="499"/>
      <c r="O4227" s="73"/>
      <c r="P4227" s="73"/>
      <c r="Q4227" s="73"/>
      <c r="R4227" s="176"/>
      <c r="S4227" s="176"/>
      <c r="T4227" s="176"/>
      <c r="U4227" s="400"/>
      <c r="V4227" s="400"/>
      <c r="W4227" s="732"/>
      <c r="X4227" s="167"/>
      <c r="Y4227" s="509"/>
      <c r="Z4227" s="466"/>
      <c r="AA4227" s="466"/>
      <c r="AB4227" s="466"/>
      <c r="AC4227" s="466"/>
      <c r="AD4227" s="466"/>
      <c r="AE4227" s="466"/>
      <c r="AF4227" s="466"/>
      <c r="AG4227" s="466"/>
      <c r="AH4227" s="466"/>
      <c r="AI4227" s="466"/>
      <c r="AJ4227" s="466"/>
      <c r="AK4227" s="466"/>
      <c r="AL4227" s="466"/>
      <c r="AM4227" s="466"/>
      <c r="AN4227" s="466"/>
      <c r="AO4227" s="466"/>
      <c r="AP4227" s="466"/>
      <c r="AQ4227" s="466"/>
      <c r="AR4227" s="466"/>
      <c r="AS4227" s="466"/>
      <c r="AT4227" s="466"/>
      <c r="AU4227" s="466"/>
      <c r="AV4227" s="466"/>
      <c r="AW4227" s="466"/>
      <c r="AX4227" s="466"/>
      <c r="AY4227" s="466"/>
      <c r="AZ4227" s="466"/>
      <c r="BA4227" s="466"/>
      <c r="BB4227" s="466"/>
      <c r="BC4227" s="466"/>
      <c r="BD4227" s="466"/>
      <c r="BE4227" s="467"/>
      <c r="BF4227" s="467"/>
      <c r="BG4227" s="466"/>
      <c r="BH4227" s="466"/>
      <c r="BI4227" s="467"/>
      <c r="BJ4227" s="467"/>
      <c r="BK4227" s="467"/>
      <c r="BL4227" s="467"/>
      <c r="BM4227" s="467"/>
      <c r="BN4227" s="467"/>
      <c r="BO4227" s="467"/>
      <c r="BP4227" s="467"/>
      <c r="BQ4227" s="467"/>
      <c r="BR4227" s="467"/>
      <c r="BS4227" s="467"/>
      <c r="BT4227" s="467"/>
      <c r="BU4227" s="467"/>
      <c r="BV4227" s="467"/>
      <c r="BW4227" s="467"/>
      <c r="BX4227" s="769"/>
      <c r="BY4227" s="769"/>
      <c r="BZ4227" s="769"/>
      <c r="CA4227" s="769"/>
      <c r="CB4227" s="769"/>
      <c r="CC4227" s="769"/>
      <c r="CD4227" s="769"/>
      <c r="CE4227" s="769"/>
      <c r="CF4227" s="769"/>
      <c r="CG4227" s="73"/>
      <c r="CH4227" s="438"/>
      <c r="CI4227" s="416"/>
      <c r="CJ4227" s="73"/>
      <c r="CK4227" s="650"/>
      <c r="CL4227" s="499"/>
      <c r="CM4227" s="650"/>
      <c r="CR4227" s="416"/>
      <c r="CS4227" s="650"/>
      <c r="CU4227" s="73"/>
      <c r="CV4227" s="73"/>
      <c r="CW4227" s="73"/>
      <c r="CX4227" s="73"/>
      <c r="DA4227" s="650"/>
    </row>
    <row r="4228" spans="1:105" s="45" customFormat="1" x14ac:dyDescent="0.2">
      <c r="A4228" s="650"/>
      <c r="B4228" s="438"/>
      <c r="D4228" s="73"/>
      <c r="E4228" s="650"/>
      <c r="F4228" s="650"/>
      <c r="G4228" s="73"/>
      <c r="I4228" s="111"/>
      <c r="J4228" s="81"/>
      <c r="K4228" s="81"/>
      <c r="L4228" s="499"/>
      <c r="M4228" s="73"/>
      <c r="N4228" s="499"/>
      <c r="O4228" s="73"/>
      <c r="P4228" s="73"/>
      <c r="Q4228" s="73"/>
      <c r="R4228" s="176"/>
      <c r="S4228" s="176"/>
      <c r="T4228" s="176"/>
      <c r="U4228" s="400"/>
      <c r="V4228" s="400"/>
      <c r="W4228" s="732"/>
      <c r="X4228" s="167"/>
      <c r="Y4228" s="509"/>
      <c r="Z4228" s="466"/>
      <c r="AA4228" s="466"/>
      <c r="AB4228" s="466"/>
      <c r="AC4228" s="466"/>
      <c r="AD4228" s="466"/>
      <c r="AE4228" s="466"/>
      <c r="AF4228" s="466"/>
      <c r="AG4228" s="466"/>
      <c r="AH4228" s="466"/>
      <c r="AI4228" s="466"/>
      <c r="AJ4228" s="466"/>
      <c r="AK4228" s="466"/>
      <c r="AL4228" s="466"/>
      <c r="AM4228" s="466"/>
      <c r="AN4228" s="466"/>
      <c r="AO4228" s="466"/>
      <c r="AP4228" s="466"/>
      <c r="AQ4228" s="466"/>
      <c r="AR4228" s="466"/>
      <c r="AS4228" s="466"/>
      <c r="AT4228" s="466"/>
      <c r="AU4228" s="466"/>
      <c r="AV4228" s="466"/>
      <c r="AW4228" s="466"/>
      <c r="AX4228" s="466"/>
      <c r="AY4228" s="466"/>
      <c r="AZ4228" s="466"/>
      <c r="BA4228" s="466"/>
      <c r="BB4228" s="466"/>
      <c r="BC4228" s="466"/>
      <c r="BD4228" s="466"/>
      <c r="BE4228" s="467"/>
      <c r="BF4228" s="467"/>
      <c r="BG4228" s="466"/>
      <c r="BH4228" s="466"/>
      <c r="BI4228" s="467"/>
      <c r="BJ4228" s="467"/>
      <c r="BK4228" s="467"/>
      <c r="BL4228" s="467"/>
      <c r="BM4228" s="467"/>
      <c r="BN4228" s="467"/>
      <c r="BO4228" s="467"/>
      <c r="BP4228" s="467"/>
      <c r="BQ4228" s="467"/>
      <c r="BR4228" s="467"/>
      <c r="BS4228" s="467"/>
      <c r="BT4228" s="467"/>
      <c r="BU4228" s="467"/>
      <c r="BV4228" s="467"/>
      <c r="BW4228" s="467"/>
      <c r="BX4228" s="769"/>
      <c r="BY4228" s="769"/>
      <c r="BZ4228" s="769"/>
      <c r="CA4228" s="769"/>
      <c r="CB4228" s="769"/>
      <c r="CC4228" s="769"/>
      <c r="CD4228" s="769"/>
      <c r="CE4228" s="769"/>
      <c r="CF4228" s="769"/>
      <c r="CG4228" s="73"/>
      <c r="CH4228" s="438"/>
      <c r="CI4228" s="416"/>
      <c r="CJ4228" s="73"/>
      <c r="CK4228" s="650"/>
      <c r="CL4228" s="499"/>
      <c r="CM4228" s="650"/>
      <c r="CR4228" s="416"/>
      <c r="CS4228" s="650"/>
      <c r="CU4228" s="73"/>
      <c r="CV4228" s="73"/>
      <c r="CW4228" s="73"/>
      <c r="CX4228" s="73"/>
      <c r="DA4228" s="650"/>
    </row>
    <row r="4229" spans="1:105" s="45" customFormat="1" x14ac:dyDescent="0.2">
      <c r="A4229" s="650"/>
      <c r="B4229" s="438"/>
      <c r="D4229" s="73"/>
      <c r="E4229" s="650"/>
      <c r="F4229" s="650"/>
      <c r="G4229" s="73"/>
      <c r="I4229" s="111"/>
      <c r="J4229" s="81"/>
      <c r="K4229" s="81"/>
      <c r="L4229" s="499"/>
      <c r="M4229" s="73"/>
      <c r="N4229" s="499"/>
      <c r="O4229" s="73"/>
      <c r="P4229" s="73"/>
      <c r="Q4229" s="73"/>
      <c r="R4229" s="176"/>
      <c r="S4229" s="176"/>
      <c r="T4229" s="176"/>
      <c r="U4229" s="400"/>
      <c r="V4229" s="400"/>
      <c r="W4229" s="732"/>
      <c r="X4229" s="167"/>
      <c r="Y4229" s="509"/>
      <c r="Z4229" s="466"/>
      <c r="AA4229" s="466"/>
      <c r="AB4229" s="466"/>
      <c r="AC4229" s="466"/>
      <c r="AD4229" s="466"/>
      <c r="AE4229" s="466"/>
      <c r="AF4229" s="466"/>
      <c r="AG4229" s="466"/>
      <c r="AH4229" s="466"/>
      <c r="AI4229" s="466"/>
      <c r="AJ4229" s="466"/>
      <c r="AK4229" s="466"/>
      <c r="AL4229" s="466"/>
      <c r="AM4229" s="466"/>
      <c r="AN4229" s="466"/>
      <c r="AO4229" s="466"/>
      <c r="AP4229" s="466"/>
      <c r="AQ4229" s="466"/>
      <c r="AR4229" s="466"/>
      <c r="AS4229" s="466"/>
      <c r="AT4229" s="466"/>
      <c r="AU4229" s="466"/>
      <c r="AV4229" s="466"/>
      <c r="AW4229" s="466"/>
      <c r="AX4229" s="466"/>
      <c r="AY4229" s="466"/>
      <c r="AZ4229" s="466"/>
      <c r="BA4229" s="466"/>
      <c r="BB4229" s="466"/>
      <c r="BC4229" s="466"/>
      <c r="BD4229" s="466"/>
      <c r="BE4229" s="467"/>
      <c r="BF4229" s="467"/>
      <c r="BG4229" s="466"/>
      <c r="BH4229" s="466"/>
      <c r="BI4229" s="467"/>
      <c r="BJ4229" s="467"/>
      <c r="BK4229" s="467"/>
      <c r="BL4229" s="467"/>
      <c r="BM4229" s="467"/>
      <c r="BN4229" s="467"/>
      <c r="BO4229" s="467"/>
      <c r="BP4229" s="467"/>
      <c r="BQ4229" s="467"/>
      <c r="BR4229" s="467"/>
      <c r="BS4229" s="467"/>
      <c r="BT4229" s="467"/>
      <c r="BU4229" s="467"/>
      <c r="BV4229" s="467"/>
      <c r="BW4229" s="467"/>
      <c r="BX4229" s="769"/>
      <c r="BY4229" s="769"/>
      <c r="BZ4229" s="769"/>
      <c r="CA4229" s="769"/>
      <c r="CB4229" s="769"/>
      <c r="CC4229" s="769"/>
      <c r="CD4229" s="769"/>
      <c r="CE4229" s="769"/>
      <c r="CF4229" s="769"/>
      <c r="CG4229" s="73"/>
      <c r="CH4229" s="438"/>
      <c r="CI4229" s="416"/>
      <c r="CJ4229" s="73"/>
      <c r="CK4229" s="650"/>
      <c r="CL4229" s="499"/>
      <c r="CM4229" s="650"/>
      <c r="CR4229" s="416"/>
      <c r="CS4229" s="650"/>
      <c r="CU4229" s="73"/>
      <c r="CV4229" s="73"/>
      <c r="CW4229" s="73"/>
      <c r="CX4229" s="73"/>
      <c r="DA4229" s="650"/>
    </row>
    <row r="4230" spans="1:105" s="45" customFormat="1" x14ac:dyDescent="0.2">
      <c r="A4230" s="650"/>
      <c r="B4230" s="438"/>
      <c r="D4230" s="73"/>
      <c r="E4230" s="650"/>
      <c r="F4230" s="650"/>
      <c r="G4230" s="73"/>
      <c r="I4230" s="111"/>
      <c r="J4230" s="81"/>
      <c r="K4230" s="81"/>
      <c r="L4230" s="499"/>
      <c r="M4230" s="73"/>
      <c r="N4230" s="499"/>
      <c r="O4230" s="73"/>
      <c r="P4230" s="73"/>
      <c r="Q4230" s="73"/>
      <c r="R4230" s="176"/>
      <c r="S4230" s="176"/>
      <c r="T4230" s="176"/>
      <c r="U4230" s="400"/>
      <c r="V4230" s="400"/>
      <c r="W4230" s="732"/>
      <c r="X4230" s="167"/>
      <c r="Y4230" s="509"/>
      <c r="Z4230" s="466"/>
      <c r="AA4230" s="466"/>
      <c r="AB4230" s="466"/>
      <c r="AC4230" s="466"/>
      <c r="AD4230" s="466"/>
      <c r="AE4230" s="466"/>
      <c r="AF4230" s="466"/>
      <c r="AG4230" s="466"/>
      <c r="AH4230" s="466"/>
      <c r="AI4230" s="466"/>
      <c r="AJ4230" s="466"/>
      <c r="AK4230" s="466"/>
      <c r="AL4230" s="466"/>
      <c r="AM4230" s="466"/>
      <c r="AN4230" s="466"/>
      <c r="AO4230" s="466"/>
      <c r="AP4230" s="466"/>
      <c r="AQ4230" s="466"/>
      <c r="AR4230" s="466"/>
      <c r="AS4230" s="466"/>
      <c r="AT4230" s="466"/>
      <c r="AU4230" s="466"/>
      <c r="AV4230" s="466"/>
      <c r="AW4230" s="466"/>
      <c r="AX4230" s="466"/>
      <c r="AY4230" s="466"/>
      <c r="AZ4230" s="466"/>
      <c r="BA4230" s="466"/>
      <c r="BB4230" s="466"/>
      <c r="BC4230" s="466"/>
      <c r="BD4230" s="466"/>
      <c r="BE4230" s="467"/>
      <c r="BF4230" s="467"/>
      <c r="BG4230" s="466"/>
      <c r="BH4230" s="466"/>
      <c r="BI4230" s="467"/>
      <c r="BJ4230" s="467"/>
      <c r="BK4230" s="467"/>
      <c r="BL4230" s="467"/>
      <c r="BM4230" s="467"/>
      <c r="BN4230" s="467"/>
      <c r="BO4230" s="467"/>
      <c r="BP4230" s="467"/>
      <c r="BQ4230" s="467"/>
      <c r="BR4230" s="467"/>
      <c r="BS4230" s="467"/>
      <c r="BT4230" s="467"/>
      <c r="BU4230" s="467"/>
      <c r="BV4230" s="467"/>
      <c r="BW4230" s="467"/>
      <c r="BX4230" s="769"/>
      <c r="BY4230" s="769"/>
      <c r="BZ4230" s="769"/>
      <c r="CA4230" s="769"/>
      <c r="CB4230" s="769"/>
      <c r="CC4230" s="769"/>
      <c r="CD4230" s="769"/>
      <c r="CE4230" s="769"/>
      <c r="CF4230" s="769"/>
      <c r="CG4230" s="73"/>
      <c r="CH4230" s="438"/>
      <c r="CI4230" s="416"/>
      <c r="CJ4230" s="73"/>
      <c r="CK4230" s="650"/>
      <c r="CL4230" s="499"/>
      <c r="CM4230" s="650"/>
      <c r="CR4230" s="416"/>
      <c r="CS4230" s="650"/>
      <c r="CU4230" s="73"/>
      <c r="CV4230" s="73"/>
      <c r="CW4230" s="73"/>
      <c r="CX4230" s="73"/>
      <c r="DA4230" s="650"/>
    </row>
    <row r="4231" spans="1:105" s="45" customFormat="1" x14ac:dyDescent="0.2">
      <c r="A4231" s="650"/>
      <c r="B4231" s="438"/>
      <c r="D4231" s="73"/>
      <c r="E4231" s="650"/>
      <c r="F4231" s="650"/>
      <c r="G4231" s="73"/>
      <c r="I4231" s="111"/>
      <c r="J4231" s="81"/>
      <c r="K4231" s="81"/>
      <c r="L4231" s="499"/>
      <c r="M4231" s="73"/>
      <c r="N4231" s="499"/>
      <c r="O4231" s="73"/>
      <c r="P4231" s="73"/>
      <c r="Q4231" s="73"/>
      <c r="R4231" s="176"/>
      <c r="S4231" s="176"/>
      <c r="T4231" s="176"/>
      <c r="U4231" s="400"/>
      <c r="V4231" s="400"/>
      <c r="W4231" s="732"/>
      <c r="X4231" s="167"/>
      <c r="Y4231" s="509"/>
      <c r="Z4231" s="466"/>
      <c r="AA4231" s="466"/>
      <c r="AB4231" s="466"/>
      <c r="AC4231" s="466"/>
      <c r="AD4231" s="466"/>
      <c r="AE4231" s="466"/>
      <c r="AF4231" s="466"/>
      <c r="AG4231" s="466"/>
      <c r="AH4231" s="466"/>
      <c r="AI4231" s="466"/>
      <c r="AJ4231" s="466"/>
      <c r="AK4231" s="466"/>
      <c r="AL4231" s="466"/>
      <c r="AM4231" s="466"/>
      <c r="AN4231" s="466"/>
      <c r="AO4231" s="466"/>
      <c r="AP4231" s="466"/>
      <c r="AQ4231" s="466"/>
      <c r="AR4231" s="466"/>
      <c r="AS4231" s="466"/>
      <c r="AT4231" s="466"/>
      <c r="AU4231" s="466"/>
      <c r="AV4231" s="466"/>
      <c r="AW4231" s="466"/>
      <c r="AX4231" s="466"/>
      <c r="AY4231" s="466"/>
      <c r="AZ4231" s="466"/>
      <c r="BA4231" s="466"/>
      <c r="BB4231" s="466"/>
      <c r="BC4231" s="466"/>
      <c r="BD4231" s="466"/>
      <c r="BE4231" s="467"/>
      <c r="BF4231" s="467"/>
      <c r="BG4231" s="466"/>
      <c r="BH4231" s="466"/>
      <c r="BI4231" s="467"/>
      <c r="BJ4231" s="467"/>
      <c r="BK4231" s="467"/>
      <c r="BL4231" s="467"/>
      <c r="BM4231" s="467"/>
      <c r="BN4231" s="467"/>
      <c r="BO4231" s="467"/>
      <c r="BP4231" s="467"/>
      <c r="BQ4231" s="467"/>
      <c r="BR4231" s="467"/>
      <c r="BS4231" s="467"/>
      <c r="BT4231" s="467"/>
      <c r="BU4231" s="467"/>
      <c r="BV4231" s="467"/>
      <c r="BW4231" s="467"/>
      <c r="BX4231" s="769"/>
      <c r="BY4231" s="769"/>
      <c r="BZ4231" s="769"/>
      <c r="CA4231" s="769"/>
      <c r="CB4231" s="769"/>
      <c r="CC4231" s="769"/>
      <c r="CD4231" s="769"/>
      <c r="CE4231" s="769"/>
      <c r="CF4231" s="769"/>
      <c r="CG4231" s="73"/>
      <c r="CH4231" s="438"/>
      <c r="CI4231" s="416"/>
      <c r="CJ4231" s="73"/>
      <c r="CK4231" s="650"/>
      <c r="CL4231" s="499"/>
      <c r="CM4231" s="650"/>
      <c r="CR4231" s="416"/>
      <c r="CS4231" s="650"/>
      <c r="CU4231" s="73"/>
      <c r="CV4231" s="73"/>
      <c r="CW4231" s="73"/>
      <c r="CX4231" s="73"/>
      <c r="DA4231" s="650"/>
    </row>
    <row r="4232" spans="1:105" s="45" customFormat="1" x14ac:dyDescent="0.2">
      <c r="A4232" s="650"/>
      <c r="B4232" s="438"/>
      <c r="D4232" s="73"/>
      <c r="E4232" s="650"/>
      <c r="F4232" s="650"/>
      <c r="G4232" s="73"/>
      <c r="I4232" s="111"/>
      <c r="J4232" s="81"/>
      <c r="K4232" s="81"/>
      <c r="L4232" s="499"/>
      <c r="M4232" s="73"/>
      <c r="N4232" s="499"/>
      <c r="O4232" s="73"/>
      <c r="P4232" s="73"/>
      <c r="Q4232" s="73"/>
      <c r="R4232" s="176"/>
      <c r="S4232" s="176"/>
      <c r="T4232" s="176"/>
      <c r="U4232" s="400"/>
      <c r="V4232" s="400"/>
      <c r="W4232" s="732"/>
      <c r="X4232" s="167"/>
      <c r="Y4232" s="509"/>
      <c r="Z4232" s="466"/>
      <c r="AA4232" s="466"/>
      <c r="AB4232" s="466"/>
      <c r="AC4232" s="466"/>
      <c r="AD4232" s="466"/>
      <c r="AE4232" s="466"/>
      <c r="AF4232" s="466"/>
      <c r="AG4232" s="466"/>
      <c r="AH4232" s="466"/>
      <c r="AI4232" s="466"/>
      <c r="AJ4232" s="466"/>
      <c r="AK4232" s="466"/>
      <c r="AL4232" s="466"/>
      <c r="AM4232" s="466"/>
      <c r="AN4232" s="466"/>
      <c r="AO4232" s="466"/>
      <c r="AP4232" s="466"/>
      <c r="AQ4232" s="466"/>
      <c r="AR4232" s="466"/>
      <c r="AS4232" s="466"/>
      <c r="AT4232" s="466"/>
      <c r="AU4232" s="466"/>
      <c r="AV4232" s="466"/>
      <c r="AW4232" s="466"/>
      <c r="AX4232" s="466"/>
      <c r="AY4232" s="466"/>
      <c r="AZ4232" s="466"/>
      <c r="BA4232" s="466"/>
      <c r="BB4232" s="466"/>
      <c r="BC4232" s="466"/>
      <c r="BD4232" s="466"/>
      <c r="BE4232" s="467"/>
      <c r="BF4232" s="467"/>
      <c r="BG4232" s="466"/>
      <c r="BH4232" s="466"/>
      <c r="BI4232" s="467"/>
      <c r="BJ4232" s="467"/>
      <c r="BK4232" s="467"/>
      <c r="BL4232" s="467"/>
      <c r="BM4232" s="467"/>
      <c r="BN4232" s="467"/>
      <c r="BO4232" s="467"/>
      <c r="BP4232" s="467"/>
      <c r="BQ4232" s="467"/>
      <c r="BR4232" s="467"/>
      <c r="BS4232" s="467"/>
      <c r="BT4232" s="467"/>
      <c r="BU4232" s="467"/>
      <c r="BV4232" s="467"/>
      <c r="BW4232" s="467"/>
      <c r="BX4232" s="769"/>
      <c r="BY4232" s="769"/>
      <c r="BZ4232" s="769"/>
      <c r="CA4232" s="769"/>
      <c r="CB4232" s="769"/>
      <c r="CC4232" s="769"/>
      <c r="CD4232" s="769"/>
      <c r="CE4232" s="769"/>
      <c r="CF4232" s="769"/>
      <c r="CG4232" s="73"/>
      <c r="CH4232" s="438"/>
      <c r="CI4232" s="416"/>
      <c r="CJ4232" s="73"/>
      <c r="CK4232" s="650"/>
      <c r="CL4232" s="499"/>
      <c r="CM4232" s="650"/>
      <c r="CR4232" s="416"/>
      <c r="CS4232" s="650"/>
      <c r="CU4232" s="73"/>
      <c r="CV4232" s="73"/>
      <c r="CW4232" s="73"/>
      <c r="CX4232" s="73"/>
      <c r="DA4232" s="650"/>
    </row>
    <row r="4233" spans="1:105" s="45" customFormat="1" x14ac:dyDescent="0.2">
      <c r="A4233" s="650"/>
      <c r="B4233" s="438"/>
      <c r="D4233" s="73"/>
      <c r="E4233" s="650"/>
      <c r="F4233" s="650"/>
      <c r="G4233" s="73"/>
      <c r="I4233" s="111"/>
      <c r="J4233" s="81"/>
      <c r="K4233" s="81"/>
      <c r="L4233" s="499"/>
      <c r="M4233" s="73"/>
      <c r="N4233" s="499"/>
      <c r="O4233" s="73"/>
      <c r="P4233" s="73"/>
      <c r="Q4233" s="73"/>
      <c r="R4233" s="176"/>
      <c r="S4233" s="176"/>
      <c r="T4233" s="176"/>
      <c r="U4233" s="400"/>
      <c r="V4233" s="400"/>
      <c r="W4233" s="732"/>
      <c r="X4233" s="167"/>
      <c r="Y4233" s="509"/>
      <c r="Z4233" s="466"/>
      <c r="AA4233" s="466"/>
      <c r="AB4233" s="466"/>
      <c r="AC4233" s="466"/>
      <c r="AD4233" s="466"/>
      <c r="AE4233" s="466"/>
      <c r="AF4233" s="466"/>
      <c r="AG4233" s="466"/>
      <c r="AH4233" s="466"/>
      <c r="AI4233" s="466"/>
      <c r="AJ4233" s="466"/>
      <c r="AK4233" s="466"/>
      <c r="AL4233" s="466"/>
      <c r="AM4233" s="466"/>
      <c r="AN4233" s="466"/>
      <c r="AO4233" s="466"/>
      <c r="AP4233" s="466"/>
      <c r="AQ4233" s="466"/>
      <c r="AR4233" s="466"/>
      <c r="AS4233" s="466"/>
      <c r="AT4233" s="466"/>
      <c r="AU4233" s="466"/>
      <c r="AV4233" s="466"/>
      <c r="AW4233" s="466"/>
      <c r="AX4233" s="466"/>
      <c r="AY4233" s="466"/>
      <c r="AZ4233" s="466"/>
      <c r="BA4233" s="466"/>
      <c r="BB4233" s="466"/>
      <c r="BC4233" s="466"/>
      <c r="BD4233" s="466"/>
      <c r="BE4233" s="467"/>
      <c r="BF4233" s="467"/>
      <c r="BG4233" s="466"/>
      <c r="BH4233" s="466"/>
      <c r="BI4233" s="467"/>
      <c r="BJ4233" s="467"/>
      <c r="BK4233" s="467"/>
      <c r="BL4233" s="467"/>
      <c r="BM4233" s="467"/>
      <c r="BN4233" s="467"/>
      <c r="BO4233" s="467"/>
      <c r="BP4233" s="467"/>
      <c r="BQ4233" s="467"/>
      <c r="BR4233" s="467"/>
      <c r="BS4233" s="467"/>
      <c r="BT4233" s="467"/>
      <c r="BU4233" s="467"/>
      <c r="BV4233" s="467"/>
      <c r="BW4233" s="467"/>
      <c r="BX4233" s="769"/>
      <c r="BY4233" s="769"/>
      <c r="BZ4233" s="769"/>
      <c r="CA4233" s="769"/>
      <c r="CB4233" s="769"/>
      <c r="CC4233" s="769"/>
      <c r="CD4233" s="769"/>
      <c r="CE4233" s="769"/>
      <c r="CF4233" s="769"/>
      <c r="CG4233" s="73"/>
      <c r="CH4233" s="438"/>
      <c r="CI4233" s="416"/>
      <c r="CJ4233" s="73"/>
      <c r="CK4233" s="650"/>
      <c r="CL4233" s="499"/>
      <c r="CM4233" s="650"/>
      <c r="CR4233" s="416"/>
      <c r="CS4233" s="650"/>
      <c r="CU4233" s="73"/>
      <c r="CV4233" s="73"/>
      <c r="CW4233" s="73"/>
      <c r="CX4233" s="73"/>
      <c r="DA4233" s="650"/>
    </row>
    <row r="4234" spans="1:105" s="45" customFormat="1" x14ac:dyDescent="0.2">
      <c r="A4234" s="650"/>
      <c r="B4234" s="438"/>
      <c r="D4234" s="73"/>
      <c r="E4234" s="650"/>
      <c r="F4234" s="650"/>
      <c r="G4234" s="73"/>
      <c r="I4234" s="111"/>
      <c r="J4234" s="81"/>
      <c r="K4234" s="81"/>
      <c r="L4234" s="499"/>
      <c r="M4234" s="73"/>
      <c r="N4234" s="499"/>
      <c r="O4234" s="73"/>
      <c r="P4234" s="73"/>
      <c r="Q4234" s="73"/>
      <c r="R4234" s="176"/>
      <c r="S4234" s="176"/>
      <c r="T4234" s="176"/>
      <c r="U4234" s="400"/>
      <c r="V4234" s="400"/>
      <c r="W4234" s="732"/>
      <c r="X4234" s="167"/>
      <c r="Y4234" s="509"/>
      <c r="Z4234" s="466"/>
      <c r="AA4234" s="466"/>
      <c r="AB4234" s="466"/>
      <c r="AC4234" s="466"/>
      <c r="AD4234" s="466"/>
      <c r="AE4234" s="466"/>
      <c r="AF4234" s="466"/>
      <c r="AG4234" s="466"/>
      <c r="AH4234" s="466"/>
      <c r="AI4234" s="466"/>
      <c r="AJ4234" s="466"/>
      <c r="AK4234" s="466"/>
      <c r="AL4234" s="466"/>
      <c r="AM4234" s="466"/>
      <c r="AN4234" s="466"/>
      <c r="AO4234" s="466"/>
      <c r="AP4234" s="466"/>
      <c r="AQ4234" s="466"/>
      <c r="AR4234" s="466"/>
      <c r="AS4234" s="466"/>
      <c r="AT4234" s="466"/>
      <c r="AU4234" s="466"/>
      <c r="AV4234" s="466"/>
      <c r="AW4234" s="466"/>
      <c r="AX4234" s="466"/>
      <c r="AY4234" s="466"/>
      <c r="AZ4234" s="466"/>
      <c r="BA4234" s="466"/>
      <c r="BB4234" s="466"/>
      <c r="BC4234" s="466"/>
      <c r="BD4234" s="466"/>
      <c r="BE4234" s="467"/>
      <c r="BF4234" s="467"/>
      <c r="BG4234" s="466"/>
      <c r="BH4234" s="466"/>
      <c r="BI4234" s="467"/>
      <c r="BJ4234" s="467"/>
      <c r="BK4234" s="467"/>
      <c r="BL4234" s="467"/>
      <c r="BM4234" s="467"/>
      <c r="BN4234" s="467"/>
      <c r="BO4234" s="467"/>
      <c r="BP4234" s="467"/>
      <c r="BQ4234" s="467"/>
      <c r="BR4234" s="467"/>
      <c r="BS4234" s="467"/>
      <c r="BT4234" s="467"/>
      <c r="BU4234" s="467"/>
      <c r="BV4234" s="467"/>
      <c r="BW4234" s="467"/>
      <c r="BX4234" s="769"/>
      <c r="BY4234" s="769"/>
      <c r="BZ4234" s="769"/>
      <c r="CA4234" s="769"/>
      <c r="CB4234" s="769"/>
      <c r="CC4234" s="769"/>
      <c r="CD4234" s="769"/>
      <c r="CE4234" s="769"/>
      <c r="CF4234" s="769"/>
      <c r="CG4234" s="73"/>
      <c r="CH4234" s="438"/>
      <c r="CI4234" s="416"/>
      <c r="CJ4234" s="73"/>
      <c r="CK4234" s="650"/>
      <c r="CL4234" s="499"/>
      <c r="CM4234" s="650"/>
      <c r="CR4234" s="416"/>
      <c r="CS4234" s="650"/>
      <c r="CU4234" s="73"/>
      <c r="CV4234" s="73"/>
      <c r="CW4234" s="73"/>
      <c r="CX4234" s="73"/>
      <c r="DA4234" s="650"/>
    </row>
    <row r="4235" spans="1:105" s="45" customFormat="1" x14ac:dyDescent="0.2">
      <c r="A4235" s="650"/>
      <c r="B4235" s="438"/>
      <c r="D4235" s="73"/>
      <c r="E4235" s="650"/>
      <c r="F4235" s="650"/>
      <c r="G4235" s="73"/>
      <c r="I4235" s="111"/>
      <c r="J4235" s="81"/>
      <c r="K4235" s="81"/>
      <c r="L4235" s="499"/>
      <c r="M4235" s="73"/>
      <c r="N4235" s="499"/>
      <c r="O4235" s="73"/>
      <c r="P4235" s="73"/>
      <c r="Q4235" s="73"/>
      <c r="R4235" s="176"/>
      <c r="S4235" s="176"/>
      <c r="T4235" s="176"/>
      <c r="U4235" s="400"/>
      <c r="V4235" s="400"/>
      <c r="W4235" s="732"/>
      <c r="X4235" s="167"/>
      <c r="Y4235" s="509"/>
      <c r="Z4235" s="466"/>
      <c r="AA4235" s="466"/>
      <c r="AB4235" s="466"/>
      <c r="AC4235" s="466"/>
      <c r="AD4235" s="466"/>
      <c r="AE4235" s="466"/>
      <c r="AF4235" s="466"/>
      <c r="AG4235" s="466"/>
      <c r="AH4235" s="466"/>
      <c r="AI4235" s="466"/>
      <c r="AJ4235" s="466"/>
      <c r="AK4235" s="466"/>
      <c r="AL4235" s="466"/>
      <c r="AM4235" s="466"/>
      <c r="AN4235" s="466"/>
      <c r="AO4235" s="466"/>
      <c r="AP4235" s="466"/>
      <c r="AQ4235" s="466"/>
      <c r="AR4235" s="466"/>
      <c r="AS4235" s="466"/>
      <c r="AT4235" s="466"/>
      <c r="AU4235" s="466"/>
      <c r="AV4235" s="466"/>
      <c r="AW4235" s="466"/>
      <c r="AX4235" s="466"/>
      <c r="AY4235" s="466"/>
      <c r="AZ4235" s="466"/>
      <c r="BA4235" s="466"/>
      <c r="BB4235" s="466"/>
      <c r="BC4235" s="466"/>
      <c r="BD4235" s="466"/>
      <c r="BE4235" s="467"/>
      <c r="BF4235" s="467"/>
      <c r="BG4235" s="466"/>
      <c r="BH4235" s="466"/>
      <c r="BI4235" s="467"/>
      <c r="BJ4235" s="467"/>
      <c r="BK4235" s="467"/>
      <c r="BL4235" s="467"/>
      <c r="BM4235" s="467"/>
      <c r="BN4235" s="467"/>
      <c r="BO4235" s="467"/>
      <c r="BP4235" s="467"/>
      <c r="BQ4235" s="467"/>
      <c r="BR4235" s="467"/>
      <c r="BS4235" s="467"/>
      <c r="BT4235" s="467"/>
      <c r="BU4235" s="467"/>
      <c r="BV4235" s="467"/>
      <c r="BW4235" s="467"/>
      <c r="BX4235" s="769"/>
      <c r="BY4235" s="769"/>
      <c r="BZ4235" s="769"/>
      <c r="CA4235" s="769"/>
      <c r="CB4235" s="769"/>
      <c r="CC4235" s="769"/>
      <c r="CD4235" s="769"/>
      <c r="CE4235" s="769"/>
      <c r="CF4235" s="769"/>
      <c r="CG4235" s="73"/>
      <c r="CH4235" s="438"/>
      <c r="CI4235" s="416"/>
      <c r="CJ4235" s="73"/>
      <c r="CK4235" s="650"/>
      <c r="CL4235" s="499"/>
      <c r="CM4235" s="650"/>
      <c r="CR4235" s="416"/>
      <c r="CS4235" s="650"/>
      <c r="CU4235" s="73"/>
      <c r="CV4235" s="73"/>
      <c r="CW4235" s="73"/>
      <c r="CX4235" s="73"/>
      <c r="DA4235" s="650"/>
    </row>
    <row r="4236" spans="1:105" s="45" customFormat="1" x14ac:dyDescent="0.2">
      <c r="A4236" s="650"/>
      <c r="B4236" s="438"/>
      <c r="D4236" s="73"/>
      <c r="E4236" s="650"/>
      <c r="F4236" s="650"/>
      <c r="G4236" s="73"/>
      <c r="I4236" s="111"/>
      <c r="J4236" s="81"/>
      <c r="K4236" s="81"/>
      <c r="L4236" s="499"/>
      <c r="M4236" s="73"/>
      <c r="N4236" s="499"/>
      <c r="O4236" s="73"/>
      <c r="P4236" s="73"/>
      <c r="Q4236" s="73"/>
      <c r="R4236" s="176"/>
      <c r="S4236" s="176"/>
      <c r="T4236" s="176"/>
      <c r="U4236" s="400"/>
      <c r="V4236" s="400"/>
      <c r="W4236" s="732"/>
      <c r="X4236" s="167"/>
      <c r="Y4236" s="509"/>
      <c r="Z4236" s="466"/>
      <c r="AA4236" s="466"/>
      <c r="AB4236" s="466"/>
      <c r="AC4236" s="466"/>
      <c r="AD4236" s="466"/>
      <c r="AE4236" s="466"/>
      <c r="AF4236" s="466"/>
      <c r="AG4236" s="466"/>
      <c r="AH4236" s="466"/>
      <c r="AI4236" s="466"/>
      <c r="AJ4236" s="466"/>
      <c r="AK4236" s="466"/>
      <c r="AL4236" s="466"/>
      <c r="AM4236" s="466"/>
      <c r="AN4236" s="466"/>
      <c r="AO4236" s="466"/>
      <c r="AP4236" s="466"/>
      <c r="AQ4236" s="466"/>
      <c r="AR4236" s="466"/>
      <c r="AS4236" s="466"/>
      <c r="AT4236" s="466"/>
      <c r="AU4236" s="466"/>
      <c r="AV4236" s="466"/>
      <c r="AW4236" s="466"/>
      <c r="AX4236" s="466"/>
      <c r="AY4236" s="466"/>
      <c r="AZ4236" s="466"/>
      <c r="BA4236" s="466"/>
      <c r="BB4236" s="466"/>
      <c r="BC4236" s="466"/>
      <c r="BD4236" s="466"/>
      <c r="BE4236" s="467"/>
      <c r="BF4236" s="467"/>
      <c r="BG4236" s="466"/>
      <c r="BH4236" s="466"/>
      <c r="BI4236" s="467"/>
      <c r="BJ4236" s="467"/>
      <c r="BK4236" s="467"/>
      <c r="BL4236" s="467"/>
      <c r="BM4236" s="467"/>
      <c r="BN4236" s="467"/>
      <c r="BO4236" s="467"/>
      <c r="BP4236" s="467"/>
      <c r="BQ4236" s="467"/>
      <c r="BR4236" s="467"/>
      <c r="BS4236" s="467"/>
      <c r="BT4236" s="467"/>
      <c r="BU4236" s="467"/>
      <c r="BV4236" s="467"/>
      <c r="BW4236" s="467"/>
      <c r="BX4236" s="769"/>
      <c r="BY4236" s="769"/>
      <c r="BZ4236" s="769"/>
      <c r="CA4236" s="769"/>
      <c r="CB4236" s="769"/>
      <c r="CC4236" s="769"/>
      <c r="CD4236" s="769"/>
      <c r="CE4236" s="769"/>
      <c r="CF4236" s="769"/>
      <c r="CG4236" s="73"/>
      <c r="CH4236" s="438"/>
      <c r="CI4236" s="416"/>
      <c r="CJ4236" s="73"/>
      <c r="CK4236" s="650"/>
      <c r="CL4236" s="499"/>
      <c r="CM4236" s="650"/>
      <c r="CR4236" s="416"/>
      <c r="CS4236" s="650"/>
      <c r="CU4236" s="73"/>
      <c r="CV4236" s="73"/>
      <c r="CW4236" s="73"/>
      <c r="CX4236" s="73"/>
      <c r="DA4236" s="650"/>
    </row>
    <row r="4237" spans="1:105" s="45" customFormat="1" x14ac:dyDescent="0.2">
      <c r="A4237" s="650"/>
      <c r="B4237" s="438"/>
      <c r="D4237" s="73"/>
      <c r="E4237" s="650"/>
      <c r="F4237" s="650"/>
      <c r="G4237" s="73"/>
      <c r="I4237" s="111"/>
      <c r="J4237" s="81"/>
      <c r="K4237" s="81"/>
      <c r="L4237" s="499"/>
      <c r="M4237" s="73"/>
      <c r="N4237" s="499"/>
      <c r="O4237" s="73"/>
      <c r="P4237" s="73"/>
      <c r="Q4237" s="73"/>
      <c r="R4237" s="176"/>
      <c r="S4237" s="176"/>
      <c r="T4237" s="176"/>
      <c r="U4237" s="400"/>
      <c r="V4237" s="400"/>
      <c r="W4237" s="732"/>
      <c r="X4237" s="167"/>
      <c r="Y4237" s="509"/>
      <c r="Z4237" s="466"/>
      <c r="AA4237" s="466"/>
      <c r="AB4237" s="466"/>
      <c r="AC4237" s="466"/>
      <c r="AD4237" s="466"/>
      <c r="AE4237" s="466"/>
      <c r="AF4237" s="466"/>
      <c r="AG4237" s="466"/>
      <c r="AH4237" s="466"/>
      <c r="AI4237" s="466"/>
      <c r="AJ4237" s="466"/>
      <c r="AK4237" s="466"/>
      <c r="AL4237" s="466"/>
      <c r="AM4237" s="466"/>
      <c r="AN4237" s="466"/>
      <c r="AO4237" s="466"/>
      <c r="AP4237" s="466"/>
      <c r="AQ4237" s="466"/>
      <c r="AR4237" s="466"/>
      <c r="AS4237" s="466"/>
      <c r="AT4237" s="466"/>
      <c r="AU4237" s="466"/>
      <c r="AV4237" s="466"/>
      <c r="AW4237" s="466"/>
      <c r="AX4237" s="466"/>
      <c r="AY4237" s="466"/>
      <c r="AZ4237" s="466"/>
      <c r="BA4237" s="466"/>
      <c r="BB4237" s="466"/>
      <c r="BC4237" s="466"/>
      <c r="BD4237" s="466"/>
      <c r="BE4237" s="467"/>
      <c r="BF4237" s="467"/>
      <c r="BG4237" s="466"/>
      <c r="BH4237" s="466"/>
      <c r="BI4237" s="467"/>
      <c r="BJ4237" s="467"/>
      <c r="BK4237" s="467"/>
      <c r="BL4237" s="467"/>
      <c r="BM4237" s="467"/>
      <c r="BN4237" s="467"/>
      <c r="BO4237" s="467"/>
      <c r="BP4237" s="467"/>
      <c r="BQ4237" s="467"/>
      <c r="BR4237" s="467"/>
      <c r="BS4237" s="467"/>
      <c r="BT4237" s="467"/>
      <c r="BU4237" s="467"/>
      <c r="BV4237" s="467"/>
      <c r="BW4237" s="467"/>
      <c r="BX4237" s="769"/>
      <c r="BY4237" s="769"/>
      <c r="BZ4237" s="769"/>
      <c r="CA4237" s="769"/>
      <c r="CB4237" s="769"/>
      <c r="CC4237" s="769"/>
      <c r="CD4237" s="769"/>
      <c r="CE4237" s="769"/>
      <c r="CF4237" s="769"/>
      <c r="CG4237" s="73"/>
      <c r="CH4237" s="438"/>
      <c r="CI4237" s="416"/>
      <c r="CJ4237" s="73"/>
      <c r="CK4237" s="650"/>
      <c r="CL4237" s="499"/>
      <c r="CM4237" s="650"/>
      <c r="CR4237" s="416"/>
      <c r="CS4237" s="650"/>
      <c r="CU4237" s="73"/>
      <c r="CV4237" s="73"/>
      <c r="CW4237" s="73"/>
      <c r="CX4237" s="73"/>
      <c r="DA4237" s="650"/>
    </row>
    <row r="4238" spans="1:105" s="45" customFormat="1" x14ac:dyDescent="0.2">
      <c r="A4238" s="650"/>
      <c r="B4238" s="438"/>
      <c r="D4238" s="73"/>
      <c r="E4238" s="650"/>
      <c r="F4238" s="650"/>
      <c r="G4238" s="73"/>
      <c r="I4238" s="111"/>
      <c r="J4238" s="81"/>
      <c r="K4238" s="81"/>
      <c r="L4238" s="499"/>
      <c r="M4238" s="73"/>
      <c r="N4238" s="499"/>
      <c r="O4238" s="73"/>
      <c r="P4238" s="73"/>
      <c r="Q4238" s="73"/>
      <c r="R4238" s="176"/>
      <c r="S4238" s="176"/>
      <c r="T4238" s="176"/>
      <c r="U4238" s="400"/>
      <c r="V4238" s="400"/>
      <c r="W4238" s="732"/>
      <c r="X4238" s="167"/>
      <c r="Y4238" s="509"/>
      <c r="Z4238" s="466"/>
      <c r="AA4238" s="466"/>
      <c r="AB4238" s="466"/>
      <c r="AC4238" s="466"/>
      <c r="AD4238" s="466"/>
      <c r="AE4238" s="466"/>
      <c r="AF4238" s="466"/>
      <c r="AG4238" s="466"/>
      <c r="AH4238" s="466"/>
      <c r="AI4238" s="466"/>
      <c r="AJ4238" s="466"/>
      <c r="AK4238" s="466"/>
      <c r="AL4238" s="466"/>
      <c r="AM4238" s="466"/>
      <c r="AN4238" s="466"/>
      <c r="AO4238" s="466"/>
      <c r="AP4238" s="466"/>
      <c r="AQ4238" s="466"/>
      <c r="AR4238" s="466"/>
      <c r="AS4238" s="466"/>
      <c r="AT4238" s="466"/>
      <c r="AU4238" s="466"/>
      <c r="AV4238" s="466"/>
      <c r="AW4238" s="466"/>
      <c r="AX4238" s="466"/>
      <c r="AY4238" s="466"/>
      <c r="AZ4238" s="466"/>
      <c r="BA4238" s="466"/>
      <c r="BB4238" s="466"/>
      <c r="BC4238" s="466"/>
      <c r="BD4238" s="466"/>
      <c r="BE4238" s="467"/>
      <c r="BF4238" s="467"/>
      <c r="BG4238" s="466"/>
      <c r="BH4238" s="466"/>
      <c r="BI4238" s="467"/>
      <c r="BJ4238" s="467"/>
      <c r="BK4238" s="467"/>
      <c r="BL4238" s="467"/>
      <c r="BM4238" s="467"/>
      <c r="BN4238" s="467"/>
      <c r="BO4238" s="467"/>
      <c r="BP4238" s="467"/>
      <c r="BQ4238" s="467"/>
      <c r="BR4238" s="467"/>
      <c r="BS4238" s="467"/>
      <c r="BT4238" s="467"/>
      <c r="BU4238" s="467"/>
      <c r="BV4238" s="467"/>
      <c r="BW4238" s="467"/>
      <c r="BX4238" s="769"/>
      <c r="BY4238" s="769"/>
      <c r="BZ4238" s="769"/>
      <c r="CA4238" s="769"/>
      <c r="CB4238" s="769"/>
      <c r="CC4238" s="769"/>
      <c r="CD4238" s="769"/>
      <c r="CE4238" s="769"/>
      <c r="CF4238" s="769"/>
      <c r="CG4238" s="73"/>
      <c r="CH4238" s="438"/>
      <c r="CI4238" s="416"/>
      <c r="CJ4238" s="73"/>
      <c r="CK4238" s="650"/>
      <c r="CL4238" s="499"/>
      <c r="CM4238" s="650"/>
      <c r="CR4238" s="416"/>
      <c r="CS4238" s="650"/>
      <c r="CU4238" s="73"/>
      <c r="CV4238" s="73"/>
      <c r="CW4238" s="73"/>
      <c r="CX4238" s="73"/>
      <c r="DA4238" s="650"/>
    </row>
    <row r="4239" spans="1:105" s="45" customFormat="1" x14ac:dyDescent="0.2">
      <c r="A4239" s="650"/>
      <c r="B4239" s="438"/>
      <c r="D4239" s="73"/>
      <c r="E4239" s="650"/>
      <c r="F4239" s="650"/>
      <c r="G4239" s="73"/>
      <c r="I4239" s="111"/>
      <c r="J4239" s="81"/>
      <c r="K4239" s="81"/>
      <c r="L4239" s="499"/>
      <c r="M4239" s="73"/>
      <c r="N4239" s="499"/>
      <c r="O4239" s="73"/>
      <c r="P4239" s="73"/>
      <c r="Q4239" s="73"/>
      <c r="R4239" s="176"/>
      <c r="S4239" s="176"/>
      <c r="T4239" s="176"/>
      <c r="U4239" s="400"/>
      <c r="V4239" s="400"/>
      <c r="W4239" s="732"/>
      <c r="X4239" s="167"/>
      <c r="Y4239" s="509"/>
      <c r="Z4239" s="466"/>
      <c r="AA4239" s="466"/>
      <c r="AB4239" s="466"/>
      <c r="AC4239" s="466"/>
      <c r="AD4239" s="466"/>
      <c r="AE4239" s="466"/>
      <c r="AF4239" s="466"/>
      <c r="AG4239" s="466"/>
      <c r="AH4239" s="466"/>
      <c r="AI4239" s="466"/>
      <c r="AJ4239" s="466"/>
      <c r="AK4239" s="466"/>
      <c r="AL4239" s="466"/>
      <c r="AM4239" s="466"/>
      <c r="AN4239" s="466"/>
      <c r="AO4239" s="466"/>
      <c r="AP4239" s="466"/>
      <c r="AQ4239" s="466"/>
      <c r="AR4239" s="466"/>
      <c r="AS4239" s="466"/>
      <c r="AT4239" s="466"/>
      <c r="AU4239" s="466"/>
      <c r="AV4239" s="466"/>
      <c r="AW4239" s="466"/>
      <c r="AX4239" s="466"/>
      <c r="AY4239" s="466"/>
      <c r="AZ4239" s="466"/>
      <c r="BA4239" s="466"/>
      <c r="BB4239" s="466"/>
      <c r="BC4239" s="466"/>
      <c r="BD4239" s="466"/>
      <c r="BE4239" s="467"/>
      <c r="BF4239" s="467"/>
      <c r="BG4239" s="466"/>
      <c r="BH4239" s="466"/>
      <c r="BI4239" s="467"/>
      <c r="BJ4239" s="467"/>
      <c r="BK4239" s="467"/>
      <c r="BL4239" s="467"/>
      <c r="BM4239" s="467"/>
      <c r="BN4239" s="467"/>
      <c r="BO4239" s="467"/>
      <c r="BP4239" s="467"/>
      <c r="BQ4239" s="467"/>
      <c r="BR4239" s="467"/>
      <c r="BS4239" s="467"/>
      <c r="BT4239" s="467"/>
      <c r="BU4239" s="467"/>
      <c r="BV4239" s="467"/>
      <c r="BW4239" s="467"/>
      <c r="BX4239" s="769"/>
      <c r="BY4239" s="769"/>
      <c r="BZ4239" s="769"/>
      <c r="CA4239" s="769"/>
      <c r="CB4239" s="769"/>
      <c r="CC4239" s="769"/>
      <c r="CD4239" s="769"/>
      <c r="CE4239" s="769"/>
      <c r="CF4239" s="769"/>
      <c r="CG4239" s="73"/>
      <c r="CH4239" s="438"/>
      <c r="CI4239" s="416"/>
      <c r="CJ4239" s="73"/>
      <c r="CK4239" s="650"/>
      <c r="CL4239" s="499"/>
      <c r="CM4239" s="650"/>
      <c r="CR4239" s="416"/>
      <c r="CS4239" s="650"/>
      <c r="CU4239" s="73"/>
      <c r="CV4239" s="73"/>
      <c r="CW4239" s="73"/>
      <c r="CX4239" s="73"/>
      <c r="DA4239" s="650"/>
    </row>
    <row r="4240" spans="1:105" s="45" customFormat="1" x14ac:dyDescent="0.2">
      <c r="A4240" s="650"/>
      <c r="B4240" s="438"/>
      <c r="D4240" s="73"/>
      <c r="E4240" s="650"/>
      <c r="F4240" s="650"/>
      <c r="G4240" s="73"/>
      <c r="I4240" s="111"/>
      <c r="J4240" s="81"/>
      <c r="K4240" s="81"/>
      <c r="L4240" s="499"/>
      <c r="M4240" s="73"/>
      <c r="N4240" s="499"/>
      <c r="O4240" s="73"/>
      <c r="P4240" s="73"/>
      <c r="Q4240" s="73"/>
      <c r="R4240" s="176"/>
      <c r="S4240" s="176"/>
      <c r="T4240" s="176"/>
      <c r="U4240" s="400"/>
      <c r="V4240" s="400"/>
      <c r="W4240" s="732"/>
      <c r="X4240" s="167"/>
      <c r="Y4240" s="509"/>
      <c r="Z4240" s="466"/>
      <c r="AA4240" s="466"/>
      <c r="AB4240" s="466"/>
      <c r="AC4240" s="466"/>
      <c r="AD4240" s="466"/>
      <c r="AE4240" s="466"/>
      <c r="AF4240" s="466"/>
      <c r="AG4240" s="466"/>
      <c r="AH4240" s="466"/>
      <c r="AI4240" s="466"/>
      <c r="AJ4240" s="466"/>
      <c r="AK4240" s="466"/>
      <c r="AL4240" s="466"/>
      <c r="AM4240" s="466"/>
      <c r="AN4240" s="466"/>
      <c r="AO4240" s="466"/>
      <c r="AP4240" s="466"/>
      <c r="AQ4240" s="466"/>
      <c r="AR4240" s="466"/>
      <c r="AS4240" s="466"/>
      <c r="AT4240" s="466"/>
      <c r="AU4240" s="466"/>
      <c r="AV4240" s="466"/>
      <c r="AW4240" s="466"/>
      <c r="AX4240" s="466"/>
      <c r="AY4240" s="466"/>
      <c r="AZ4240" s="466"/>
      <c r="BA4240" s="466"/>
      <c r="BB4240" s="466"/>
      <c r="BC4240" s="466"/>
      <c r="BD4240" s="466"/>
      <c r="BE4240" s="467"/>
      <c r="BF4240" s="467"/>
      <c r="BG4240" s="466"/>
      <c r="BH4240" s="466"/>
      <c r="BI4240" s="467"/>
      <c r="BJ4240" s="467"/>
      <c r="BK4240" s="467"/>
      <c r="BL4240" s="467"/>
      <c r="BM4240" s="467"/>
      <c r="BN4240" s="467"/>
      <c r="BO4240" s="467"/>
      <c r="BP4240" s="467"/>
      <c r="BQ4240" s="467"/>
      <c r="BR4240" s="467"/>
      <c r="BS4240" s="467"/>
      <c r="BT4240" s="467"/>
      <c r="BU4240" s="467"/>
      <c r="BV4240" s="467"/>
      <c r="BW4240" s="467"/>
      <c r="BX4240" s="769"/>
      <c r="BY4240" s="769"/>
      <c r="BZ4240" s="769"/>
      <c r="CA4240" s="769"/>
      <c r="CB4240" s="769"/>
      <c r="CC4240" s="769"/>
      <c r="CD4240" s="769"/>
      <c r="CE4240" s="769"/>
      <c r="CF4240" s="769"/>
      <c r="CG4240" s="73"/>
      <c r="CH4240" s="438"/>
      <c r="CI4240" s="416"/>
      <c r="CJ4240" s="73"/>
      <c r="CK4240" s="650"/>
      <c r="CL4240" s="499"/>
      <c r="CM4240" s="650"/>
      <c r="CR4240" s="416"/>
      <c r="CS4240" s="650"/>
      <c r="CU4240" s="73"/>
      <c r="CV4240" s="73"/>
      <c r="CW4240" s="73"/>
      <c r="CX4240" s="73"/>
      <c r="DA4240" s="650"/>
    </row>
    <row r="4241" spans="1:105" s="45" customFormat="1" x14ac:dyDescent="0.2">
      <c r="A4241" s="650"/>
      <c r="B4241" s="438"/>
      <c r="D4241" s="73"/>
      <c r="E4241" s="650"/>
      <c r="F4241" s="650"/>
      <c r="G4241" s="73"/>
      <c r="I4241" s="111"/>
      <c r="J4241" s="81"/>
      <c r="K4241" s="81"/>
      <c r="L4241" s="499"/>
      <c r="M4241" s="73"/>
      <c r="N4241" s="499"/>
      <c r="O4241" s="73"/>
      <c r="P4241" s="73"/>
      <c r="Q4241" s="73"/>
      <c r="R4241" s="176"/>
      <c r="S4241" s="176"/>
      <c r="T4241" s="176"/>
      <c r="U4241" s="400"/>
      <c r="V4241" s="400"/>
      <c r="W4241" s="732"/>
      <c r="X4241" s="167"/>
      <c r="Y4241" s="509"/>
      <c r="Z4241" s="466"/>
      <c r="AA4241" s="466"/>
      <c r="AB4241" s="466"/>
      <c r="AC4241" s="466"/>
      <c r="AD4241" s="466"/>
      <c r="AE4241" s="466"/>
      <c r="AF4241" s="466"/>
      <c r="AG4241" s="466"/>
      <c r="AH4241" s="466"/>
      <c r="AI4241" s="466"/>
      <c r="AJ4241" s="466"/>
      <c r="AK4241" s="466"/>
      <c r="AL4241" s="466"/>
      <c r="AM4241" s="466"/>
      <c r="AN4241" s="466"/>
      <c r="AO4241" s="466"/>
      <c r="AP4241" s="466"/>
      <c r="AQ4241" s="466"/>
      <c r="AR4241" s="466"/>
      <c r="AS4241" s="466"/>
      <c r="AT4241" s="466"/>
      <c r="AU4241" s="466"/>
      <c r="AV4241" s="466"/>
      <c r="AW4241" s="466"/>
      <c r="AX4241" s="466"/>
      <c r="AY4241" s="466"/>
      <c r="AZ4241" s="466"/>
      <c r="BA4241" s="466"/>
      <c r="BB4241" s="466"/>
      <c r="BC4241" s="466"/>
      <c r="BD4241" s="466"/>
      <c r="BE4241" s="467"/>
      <c r="BF4241" s="467"/>
      <c r="BG4241" s="466"/>
      <c r="BH4241" s="466"/>
      <c r="BI4241" s="467"/>
      <c r="BJ4241" s="467"/>
      <c r="BK4241" s="467"/>
      <c r="BL4241" s="467"/>
      <c r="BM4241" s="467"/>
      <c r="BN4241" s="467"/>
      <c r="BO4241" s="467"/>
      <c r="BP4241" s="467"/>
      <c r="BQ4241" s="467"/>
      <c r="BR4241" s="467"/>
      <c r="BS4241" s="467"/>
      <c r="BT4241" s="467"/>
      <c r="BU4241" s="467"/>
      <c r="BV4241" s="467"/>
      <c r="BW4241" s="467"/>
      <c r="BX4241" s="769"/>
      <c r="BY4241" s="769"/>
      <c r="BZ4241" s="769"/>
      <c r="CA4241" s="769"/>
      <c r="CB4241" s="769"/>
      <c r="CC4241" s="769"/>
      <c r="CD4241" s="769"/>
      <c r="CE4241" s="769"/>
      <c r="CF4241" s="769"/>
      <c r="CG4241" s="73"/>
      <c r="CH4241" s="438"/>
      <c r="CI4241" s="416"/>
      <c r="CJ4241" s="73"/>
      <c r="CK4241" s="650"/>
      <c r="CL4241" s="499"/>
      <c r="CM4241" s="650"/>
      <c r="CR4241" s="416"/>
      <c r="CS4241" s="650"/>
      <c r="CU4241" s="73"/>
      <c r="CV4241" s="73"/>
      <c r="CW4241" s="73"/>
      <c r="CX4241" s="73"/>
      <c r="DA4241" s="650"/>
    </row>
    <row r="4242" spans="1:105" s="45" customFormat="1" x14ac:dyDescent="0.2">
      <c r="A4242" s="650"/>
      <c r="B4242" s="438"/>
      <c r="D4242" s="73"/>
      <c r="E4242" s="650"/>
      <c r="F4242" s="650"/>
      <c r="G4242" s="73"/>
      <c r="I4242" s="111"/>
      <c r="J4242" s="81"/>
      <c r="K4242" s="81"/>
      <c r="L4242" s="499"/>
      <c r="M4242" s="73"/>
      <c r="N4242" s="499"/>
      <c r="O4242" s="73"/>
      <c r="P4242" s="73"/>
      <c r="Q4242" s="73"/>
      <c r="R4242" s="176"/>
      <c r="S4242" s="176"/>
      <c r="T4242" s="176"/>
      <c r="U4242" s="400"/>
      <c r="V4242" s="400"/>
      <c r="W4242" s="732"/>
      <c r="X4242" s="167"/>
      <c r="Y4242" s="509"/>
      <c r="Z4242" s="466"/>
      <c r="AA4242" s="466"/>
      <c r="AB4242" s="466"/>
      <c r="AC4242" s="466"/>
      <c r="AD4242" s="466"/>
      <c r="AE4242" s="466"/>
      <c r="AF4242" s="466"/>
      <c r="AG4242" s="466"/>
      <c r="AH4242" s="466"/>
      <c r="AI4242" s="466"/>
      <c r="AJ4242" s="466"/>
      <c r="AK4242" s="466"/>
      <c r="AL4242" s="466"/>
      <c r="AM4242" s="466"/>
      <c r="AN4242" s="466"/>
      <c r="AO4242" s="466"/>
      <c r="AP4242" s="466"/>
      <c r="AQ4242" s="466"/>
      <c r="AR4242" s="466"/>
      <c r="AS4242" s="466"/>
      <c r="AT4242" s="466"/>
      <c r="AU4242" s="466"/>
      <c r="AV4242" s="466"/>
      <c r="AW4242" s="466"/>
      <c r="AX4242" s="466"/>
      <c r="AY4242" s="466"/>
      <c r="AZ4242" s="466"/>
      <c r="BA4242" s="466"/>
      <c r="BB4242" s="466"/>
      <c r="BC4242" s="466"/>
      <c r="BD4242" s="466"/>
      <c r="BE4242" s="467"/>
      <c r="BF4242" s="467"/>
      <c r="BG4242" s="466"/>
      <c r="BH4242" s="466"/>
      <c r="BI4242" s="467"/>
      <c r="BJ4242" s="467"/>
      <c r="BK4242" s="467"/>
      <c r="BL4242" s="467"/>
      <c r="BM4242" s="467"/>
      <c r="BN4242" s="467"/>
      <c r="BO4242" s="467"/>
      <c r="BP4242" s="467"/>
      <c r="BQ4242" s="467"/>
      <c r="BR4242" s="467"/>
      <c r="BS4242" s="467"/>
      <c r="BT4242" s="467"/>
      <c r="BU4242" s="467"/>
      <c r="BV4242" s="467"/>
      <c r="BW4242" s="467"/>
      <c r="BX4242" s="769"/>
      <c r="BY4242" s="769"/>
      <c r="BZ4242" s="769"/>
      <c r="CA4242" s="769"/>
      <c r="CB4242" s="769"/>
      <c r="CC4242" s="769"/>
      <c r="CD4242" s="769"/>
      <c r="CE4242" s="769"/>
      <c r="CF4242" s="769"/>
      <c r="CG4242" s="73"/>
      <c r="CH4242" s="438"/>
      <c r="CI4242" s="416"/>
      <c r="CJ4242" s="73"/>
      <c r="CK4242" s="650"/>
      <c r="CL4242" s="499"/>
      <c r="CM4242" s="650"/>
      <c r="CR4242" s="416"/>
      <c r="CS4242" s="650"/>
      <c r="CU4242" s="73"/>
      <c r="CV4242" s="73"/>
      <c r="CW4242" s="73"/>
      <c r="CX4242" s="73"/>
      <c r="DA4242" s="650"/>
    </row>
    <row r="4243" spans="1:105" s="45" customFormat="1" x14ac:dyDescent="0.2">
      <c r="A4243" s="650"/>
      <c r="B4243" s="438"/>
      <c r="D4243" s="73"/>
      <c r="E4243" s="650"/>
      <c r="F4243" s="650"/>
      <c r="G4243" s="73"/>
      <c r="I4243" s="111"/>
      <c r="J4243" s="81"/>
      <c r="K4243" s="81"/>
      <c r="L4243" s="499"/>
      <c r="M4243" s="73"/>
      <c r="N4243" s="499"/>
      <c r="O4243" s="73"/>
      <c r="P4243" s="73"/>
      <c r="Q4243" s="73"/>
      <c r="R4243" s="176"/>
      <c r="S4243" s="176"/>
      <c r="T4243" s="176"/>
      <c r="U4243" s="400"/>
      <c r="V4243" s="400"/>
      <c r="W4243" s="732"/>
      <c r="X4243" s="167"/>
      <c r="Y4243" s="509"/>
      <c r="Z4243" s="466"/>
      <c r="AA4243" s="466"/>
      <c r="AB4243" s="466"/>
      <c r="AC4243" s="466"/>
      <c r="AD4243" s="466"/>
      <c r="AE4243" s="466"/>
      <c r="AF4243" s="466"/>
      <c r="AG4243" s="466"/>
      <c r="AH4243" s="466"/>
      <c r="AI4243" s="466"/>
      <c r="AJ4243" s="466"/>
      <c r="AK4243" s="466"/>
      <c r="AL4243" s="466"/>
      <c r="AM4243" s="466"/>
      <c r="AN4243" s="466"/>
      <c r="AO4243" s="466"/>
      <c r="AP4243" s="466"/>
      <c r="AQ4243" s="466"/>
      <c r="AR4243" s="466"/>
      <c r="AS4243" s="466"/>
      <c r="AT4243" s="466"/>
      <c r="AU4243" s="466"/>
      <c r="AV4243" s="466"/>
      <c r="AW4243" s="466"/>
      <c r="AX4243" s="466"/>
      <c r="AY4243" s="466"/>
      <c r="AZ4243" s="466"/>
      <c r="BA4243" s="466"/>
      <c r="BB4243" s="466"/>
      <c r="BC4243" s="466"/>
      <c r="BD4243" s="466"/>
      <c r="BE4243" s="467"/>
      <c r="BF4243" s="467"/>
      <c r="BG4243" s="466"/>
      <c r="BH4243" s="466"/>
      <c r="BI4243" s="467"/>
      <c r="BJ4243" s="467"/>
      <c r="BK4243" s="467"/>
      <c r="BL4243" s="467"/>
      <c r="BM4243" s="467"/>
      <c r="BN4243" s="467"/>
      <c r="BO4243" s="467"/>
      <c r="BP4243" s="467"/>
      <c r="BQ4243" s="467"/>
      <c r="BR4243" s="467"/>
      <c r="BS4243" s="467"/>
      <c r="BT4243" s="467"/>
      <c r="BU4243" s="467"/>
      <c r="BV4243" s="467"/>
      <c r="BW4243" s="467"/>
      <c r="BX4243" s="769"/>
      <c r="BY4243" s="769"/>
      <c r="BZ4243" s="769"/>
      <c r="CA4243" s="769"/>
      <c r="CB4243" s="769"/>
      <c r="CC4243" s="769"/>
      <c r="CD4243" s="769"/>
      <c r="CE4243" s="769"/>
      <c r="CF4243" s="769"/>
      <c r="CG4243" s="73"/>
      <c r="CH4243" s="438"/>
      <c r="CI4243" s="416"/>
      <c r="CJ4243" s="73"/>
      <c r="CK4243" s="650"/>
      <c r="CL4243" s="499"/>
      <c r="CM4243" s="650"/>
      <c r="CR4243" s="416"/>
      <c r="CS4243" s="650"/>
      <c r="CU4243" s="73"/>
      <c r="CV4243" s="73"/>
      <c r="CW4243" s="73"/>
      <c r="CX4243" s="73"/>
      <c r="DA4243" s="650"/>
    </row>
    <row r="4244" spans="1:105" s="45" customFormat="1" x14ac:dyDescent="0.2">
      <c r="A4244" s="650"/>
      <c r="B4244" s="438"/>
      <c r="D4244" s="73"/>
      <c r="E4244" s="650"/>
      <c r="F4244" s="650"/>
      <c r="G4244" s="73"/>
      <c r="I4244" s="111"/>
      <c r="J4244" s="81"/>
      <c r="K4244" s="81"/>
      <c r="L4244" s="499"/>
      <c r="M4244" s="73"/>
      <c r="N4244" s="499"/>
      <c r="O4244" s="73"/>
      <c r="P4244" s="73"/>
      <c r="Q4244" s="73"/>
      <c r="R4244" s="176"/>
      <c r="S4244" s="176"/>
      <c r="T4244" s="176"/>
      <c r="U4244" s="400"/>
      <c r="V4244" s="400"/>
      <c r="W4244" s="732"/>
      <c r="X4244" s="167"/>
      <c r="Y4244" s="509"/>
      <c r="Z4244" s="466"/>
      <c r="AA4244" s="466"/>
      <c r="AB4244" s="466"/>
      <c r="AC4244" s="466"/>
      <c r="AD4244" s="466"/>
      <c r="AE4244" s="466"/>
      <c r="AF4244" s="466"/>
      <c r="AG4244" s="466"/>
      <c r="AH4244" s="466"/>
      <c r="AI4244" s="466"/>
      <c r="AJ4244" s="466"/>
      <c r="AK4244" s="466"/>
      <c r="AL4244" s="466"/>
      <c r="AM4244" s="466"/>
      <c r="AN4244" s="466"/>
      <c r="AO4244" s="466"/>
      <c r="AP4244" s="466"/>
      <c r="AQ4244" s="466"/>
      <c r="AR4244" s="466"/>
      <c r="AS4244" s="466"/>
      <c r="AT4244" s="466"/>
      <c r="AU4244" s="466"/>
      <c r="AV4244" s="466"/>
      <c r="AW4244" s="466"/>
      <c r="AX4244" s="466"/>
      <c r="AY4244" s="466"/>
      <c r="AZ4244" s="466"/>
      <c r="BA4244" s="466"/>
      <c r="BB4244" s="466"/>
      <c r="BC4244" s="466"/>
      <c r="BD4244" s="466"/>
      <c r="BE4244" s="467"/>
      <c r="BF4244" s="467"/>
      <c r="BG4244" s="466"/>
      <c r="BH4244" s="466"/>
      <c r="BI4244" s="467"/>
      <c r="BJ4244" s="467"/>
      <c r="BK4244" s="467"/>
      <c r="BL4244" s="467"/>
      <c r="BM4244" s="467"/>
      <c r="BN4244" s="467"/>
      <c r="BO4244" s="467"/>
      <c r="BP4244" s="467"/>
      <c r="BQ4244" s="467"/>
      <c r="BR4244" s="467"/>
      <c r="BS4244" s="467"/>
      <c r="BT4244" s="467"/>
      <c r="BU4244" s="467"/>
      <c r="BV4244" s="467"/>
      <c r="BW4244" s="467"/>
      <c r="BX4244" s="769"/>
      <c r="BY4244" s="769"/>
      <c r="BZ4244" s="769"/>
      <c r="CA4244" s="769"/>
      <c r="CB4244" s="769"/>
      <c r="CC4244" s="769"/>
      <c r="CD4244" s="769"/>
      <c r="CE4244" s="769"/>
      <c r="CF4244" s="769"/>
      <c r="CG4244" s="73"/>
      <c r="CH4244" s="438"/>
      <c r="CI4244" s="416"/>
      <c r="CJ4244" s="73"/>
      <c r="CK4244" s="650"/>
      <c r="CL4244" s="499"/>
      <c r="CM4244" s="650"/>
      <c r="CR4244" s="416"/>
      <c r="CS4244" s="650"/>
      <c r="CU4244" s="73"/>
      <c r="CV4244" s="73"/>
      <c r="CW4244" s="73"/>
      <c r="CX4244" s="73"/>
      <c r="DA4244" s="650"/>
    </row>
    <row r="4245" spans="1:105" s="45" customFormat="1" x14ac:dyDescent="0.2">
      <c r="A4245" s="650"/>
      <c r="B4245" s="438"/>
      <c r="D4245" s="73"/>
      <c r="E4245" s="650"/>
      <c r="F4245" s="650"/>
      <c r="G4245" s="73"/>
      <c r="I4245" s="111"/>
      <c r="J4245" s="81"/>
      <c r="K4245" s="81"/>
      <c r="L4245" s="499"/>
      <c r="M4245" s="73"/>
      <c r="N4245" s="499"/>
      <c r="O4245" s="73"/>
      <c r="P4245" s="73"/>
      <c r="Q4245" s="73"/>
      <c r="R4245" s="176"/>
      <c r="S4245" s="176"/>
      <c r="T4245" s="176"/>
      <c r="U4245" s="400"/>
      <c r="V4245" s="400"/>
      <c r="W4245" s="732"/>
      <c r="X4245" s="167"/>
      <c r="Y4245" s="509"/>
      <c r="Z4245" s="466"/>
      <c r="AA4245" s="466"/>
      <c r="AB4245" s="466"/>
      <c r="AC4245" s="466"/>
      <c r="AD4245" s="466"/>
      <c r="AE4245" s="466"/>
      <c r="AF4245" s="466"/>
      <c r="AG4245" s="466"/>
      <c r="AH4245" s="466"/>
      <c r="AI4245" s="466"/>
      <c r="AJ4245" s="466"/>
      <c r="AK4245" s="466"/>
      <c r="AL4245" s="466"/>
      <c r="AM4245" s="466"/>
      <c r="AN4245" s="466"/>
      <c r="AO4245" s="466"/>
      <c r="AP4245" s="466"/>
      <c r="AQ4245" s="466"/>
      <c r="AR4245" s="466"/>
      <c r="AS4245" s="466"/>
      <c r="AT4245" s="466"/>
      <c r="AU4245" s="466"/>
      <c r="AV4245" s="466"/>
      <c r="AW4245" s="466"/>
      <c r="AX4245" s="466"/>
      <c r="AY4245" s="466"/>
      <c r="AZ4245" s="466"/>
      <c r="BA4245" s="466"/>
      <c r="BB4245" s="466"/>
      <c r="BC4245" s="466"/>
      <c r="BD4245" s="466"/>
      <c r="BE4245" s="467"/>
      <c r="BF4245" s="467"/>
      <c r="BG4245" s="466"/>
      <c r="BH4245" s="466"/>
      <c r="BI4245" s="467"/>
      <c r="BJ4245" s="467"/>
      <c r="BK4245" s="467"/>
      <c r="BL4245" s="467"/>
      <c r="BM4245" s="467"/>
      <c r="BN4245" s="467"/>
      <c r="BO4245" s="467"/>
      <c r="BP4245" s="467"/>
      <c r="BQ4245" s="467"/>
      <c r="BR4245" s="467"/>
      <c r="BS4245" s="467"/>
      <c r="BT4245" s="467"/>
      <c r="BU4245" s="467"/>
      <c r="BV4245" s="467"/>
      <c r="BW4245" s="467"/>
      <c r="BX4245" s="769"/>
      <c r="BY4245" s="769"/>
      <c r="BZ4245" s="769"/>
      <c r="CA4245" s="769"/>
      <c r="CB4245" s="769"/>
      <c r="CC4245" s="769"/>
      <c r="CD4245" s="769"/>
      <c r="CE4245" s="769"/>
      <c r="CF4245" s="769"/>
      <c r="CG4245" s="73"/>
      <c r="CH4245" s="438"/>
      <c r="CI4245" s="416"/>
      <c r="CJ4245" s="73"/>
      <c r="CK4245" s="650"/>
      <c r="CL4245" s="499"/>
      <c r="CM4245" s="650"/>
      <c r="CR4245" s="416"/>
      <c r="CS4245" s="650"/>
      <c r="CU4245" s="73"/>
      <c r="CV4245" s="73"/>
      <c r="CW4245" s="73"/>
      <c r="CX4245" s="73"/>
      <c r="DA4245" s="650"/>
    </row>
    <row r="4246" spans="1:105" s="45" customFormat="1" x14ac:dyDescent="0.2">
      <c r="A4246" s="650"/>
      <c r="B4246" s="438"/>
      <c r="D4246" s="73"/>
      <c r="E4246" s="650"/>
      <c r="F4246" s="650"/>
      <c r="G4246" s="73"/>
      <c r="I4246" s="111"/>
      <c r="J4246" s="81"/>
      <c r="K4246" s="81"/>
      <c r="L4246" s="499"/>
      <c r="M4246" s="73"/>
      <c r="N4246" s="499"/>
      <c r="O4246" s="73"/>
      <c r="P4246" s="73"/>
      <c r="Q4246" s="73"/>
      <c r="R4246" s="176"/>
      <c r="S4246" s="176"/>
      <c r="T4246" s="176"/>
      <c r="U4246" s="400"/>
      <c r="V4246" s="400"/>
      <c r="W4246" s="732"/>
      <c r="X4246" s="167"/>
      <c r="Y4246" s="509"/>
      <c r="Z4246" s="466"/>
      <c r="AA4246" s="466"/>
      <c r="AB4246" s="466"/>
      <c r="AC4246" s="466"/>
      <c r="AD4246" s="466"/>
      <c r="AE4246" s="466"/>
      <c r="AF4246" s="466"/>
      <c r="AG4246" s="466"/>
      <c r="AH4246" s="466"/>
      <c r="AI4246" s="466"/>
      <c r="AJ4246" s="466"/>
      <c r="AK4246" s="466"/>
      <c r="AL4246" s="466"/>
      <c r="AM4246" s="466"/>
      <c r="AN4246" s="466"/>
      <c r="AO4246" s="466"/>
      <c r="AP4246" s="466"/>
      <c r="AQ4246" s="466"/>
      <c r="AR4246" s="466"/>
      <c r="AS4246" s="466"/>
      <c r="AT4246" s="466"/>
      <c r="AU4246" s="466"/>
      <c r="AV4246" s="466"/>
      <c r="AW4246" s="466"/>
      <c r="AX4246" s="466"/>
      <c r="AY4246" s="466"/>
      <c r="AZ4246" s="466"/>
      <c r="BA4246" s="466"/>
      <c r="BB4246" s="466"/>
      <c r="BC4246" s="466"/>
      <c r="BD4246" s="466"/>
      <c r="BE4246" s="467"/>
      <c r="BF4246" s="467"/>
      <c r="BG4246" s="466"/>
      <c r="BH4246" s="466"/>
      <c r="BI4246" s="467"/>
      <c r="BJ4246" s="467"/>
      <c r="BK4246" s="467"/>
      <c r="BL4246" s="467"/>
      <c r="BM4246" s="467"/>
      <c r="BN4246" s="467"/>
      <c r="BO4246" s="467"/>
      <c r="BP4246" s="467"/>
      <c r="BQ4246" s="467"/>
      <c r="BR4246" s="467"/>
      <c r="BS4246" s="467"/>
      <c r="BT4246" s="467"/>
      <c r="BU4246" s="467"/>
      <c r="BV4246" s="467"/>
      <c r="BW4246" s="467"/>
      <c r="BX4246" s="769"/>
      <c r="BY4246" s="769"/>
      <c r="BZ4246" s="769"/>
      <c r="CA4246" s="769"/>
      <c r="CB4246" s="769"/>
      <c r="CC4246" s="769"/>
      <c r="CD4246" s="769"/>
      <c r="CE4246" s="769"/>
      <c r="CF4246" s="769"/>
      <c r="CG4246" s="73"/>
      <c r="CH4246" s="438"/>
      <c r="CI4246" s="416"/>
      <c r="CJ4246" s="73"/>
      <c r="CK4246" s="650"/>
      <c r="CL4246" s="499"/>
      <c r="CM4246" s="650"/>
      <c r="CR4246" s="416"/>
      <c r="CS4246" s="650"/>
      <c r="CU4246" s="73"/>
      <c r="CV4246" s="73"/>
      <c r="CW4246" s="73"/>
      <c r="CX4246" s="73"/>
      <c r="DA4246" s="650"/>
    </row>
    <row r="4247" spans="1:105" s="45" customFormat="1" x14ac:dyDescent="0.2">
      <c r="A4247" s="650"/>
      <c r="B4247" s="438"/>
      <c r="D4247" s="73"/>
      <c r="E4247" s="650"/>
      <c r="F4247" s="650"/>
      <c r="G4247" s="73"/>
      <c r="I4247" s="111"/>
      <c r="J4247" s="81"/>
      <c r="K4247" s="81"/>
      <c r="L4247" s="499"/>
      <c r="M4247" s="73"/>
      <c r="N4247" s="499"/>
      <c r="O4247" s="73"/>
      <c r="P4247" s="73"/>
      <c r="Q4247" s="73"/>
      <c r="R4247" s="176"/>
      <c r="S4247" s="176"/>
      <c r="T4247" s="176"/>
      <c r="U4247" s="400"/>
      <c r="V4247" s="400"/>
      <c r="W4247" s="732"/>
      <c r="X4247" s="167"/>
      <c r="Y4247" s="509"/>
      <c r="Z4247" s="466"/>
      <c r="AA4247" s="466"/>
      <c r="AB4247" s="466"/>
      <c r="AC4247" s="466"/>
      <c r="AD4247" s="466"/>
      <c r="AE4247" s="466"/>
      <c r="AF4247" s="466"/>
      <c r="AG4247" s="466"/>
      <c r="AH4247" s="466"/>
      <c r="AI4247" s="466"/>
      <c r="AJ4247" s="466"/>
      <c r="AK4247" s="466"/>
      <c r="AL4247" s="466"/>
      <c r="AM4247" s="466"/>
      <c r="AN4247" s="466"/>
      <c r="AO4247" s="466"/>
      <c r="AP4247" s="466"/>
      <c r="AQ4247" s="466"/>
      <c r="AR4247" s="466"/>
      <c r="AS4247" s="466"/>
      <c r="AT4247" s="466"/>
      <c r="AU4247" s="466"/>
      <c r="AV4247" s="466"/>
      <c r="AW4247" s="466"/>
      <c r="AX4247" s="466"/>
      <c r="AY4247" s="466"/>
      <c r="AZ4247" s="466"/>
      <c r="BA4247" s="466"/>
      <c r="BB4247" s="466"/>
      <c r="BC4247" s="466"/>
      <c r="BD4247" s="466"/>
      <c r="BE4247" s="467"/>
      <c r="BF4247" s="467"/>
      <c r="BG4247" s="466"/>
      <c r="BH4247" s="466"/>
      <c r="BI4247" s="467"/>
      <c r="BJ4247" s="467"/>
      <c r="BK4247" s="467"/>
      <c r="BL4247" s="467"/>
      <c r="BM4247" s="467"/>
      <c r="BN4247" s="467"/>
      <c r="BO4247" s="467"/>
      <c r="BP4247" s="467"/>
      <c r="BQ4247" s="467"/>
      <c r="BR4247" s="467"/>
      <c r="BS4247" s="467"/>
      <c r="BT4247" s="467"/>
      <c r="BU4247" s="467"/>
      <c r="BV4247" s="467"/>
      <c r="BW4247" s="467"/>
      <c r="BX4247" s="769"/>
      <c r="BY4247" s="769"/>
      <c r="BZ4247" s="769"/>
      <c r="CA4247" s="769"/>
      <c r="CB4247" s="769"/>
      <c r="CC4247" s="769"/>
      <c r="CD4247" s="769"/>
      <c r="CE4247" s="769"/>
      <c r="CF4247" s="769"/>
      <c r="CG4247" s="73"/>
      <c r="CH4247" s="438"/>
      <c r="CI4247" s="416"/>
      <c r="CJ4247" s="73"/>
      <c r="CK4247" s="650"/>
      <c r="CL4247" s="499"/>
      <c r="CM4247" s="650"/>
      <c r="CR4247" s="416"/>
      <c r="CS4247" s="650"/>
      <c r="CU4247" s="73"/>
      <c r="CV4247" s="73"/>
      <c r="CW4247" s="73"/>
      <c r="CX4247" s="73"/>
      <c r="DA4247" s="650"/>
    </row>
    <row r="4248" spans="1:105" s="45" customFormat="1" x14ac:dyDescent="0.2">
      <c r="A4248" s="650"/>
      <c r="B4248" s="438"/>
      <c r="D4248" s="73"/>
      <c r="E4248" s="650"/>
      <c r="F4248" s="650"/>
      <c r="G4248" s="73"/>
      <c r="I4248" s="111"/>
      <c r="J4248" s="81"/>
      <c r="K4248" s="81"/>
      <c r="L4248" s="499"/>
      <c r="M4248" s="73"/>
      <c r="N4248" s="499"/>
      <c r="O4248" s="73"/>
      <c r="P4248" s="73"/>
      <c r="Q4248" s="73"/>
      <c r="R4248" s="176"/>
      <c r="S4248" s="176"/>
      <c r="T4248" s="176"/>
      <c r="U4248" s="400"/>
      <c r="V4248" s="400"/>
      <c r="W4248" s="732"/>
      <c r="X4248" s="167"/>
      <c r="Y4248" s="509"/>
      <c r="Z4248" s="466"/>
      <c r="AA4248" s="466"/>
      <c r="AB4248" s="466"/>
      <c r="AC4248" s="466"/>
      <c r="AD4248" s="466"/>
      <c r="AE4248" s="466"/>
      <c r="AF4248" s="466"/>
      <c r="AG4248" s="466"/>
      <c r="AH4248" s="466"/>
      <c r="AI4248" s="466"/>
      <c r="AJ4248" s="466"/>
      <c r="AK4248" s="466"/>
      <c r="AL4248" s="466"/>
      <c r="AM4248" s="466"/>
      <c r="AN4248" s="466"/>
      <c r="AO4248" s="466"/>
      <c r="AP4248" s="466"/>
      <c r="AQ4248" s="466"/>
      <c r="AR4248" s="466"/>
      <c r="AS4248" s="466"/>
      <c r="AT4248" s="466"/>
      <c r="AU4248" s="466"/>
      <c r="AV4248" s="466"/>
      <c r="AW4248" s="466"/>
      <c r="AX4248" s="466"/>
      <c r="AY4248" s="466"/>
      <c r="AZ4248" s="466"/>
      <c r="BA4248" s="466"/>
      <c r="BB4248" s="466"/>
      <c r="BC4248" s="466"/>
      <c r="BD4248" s="466"/>
      <c r="BE4248" s="467"/>
      <c r="BF4248" s="467"/>
      <c r="BG4248" s="466"/>
      <c r="BH4248" s="466"/>
      <c r="BI4248" s="467"/>
      <c r="BJ4248" s="467"/>
      <c r="BK4248" s="467"/>
      <c r="BL4248" s="467"/>
      <c r="BM4248" s="467"/>
      <c r="BN4248" s="467"/>
      <c r="BO4248" s="467"/>
      <c r="BP4248" s="467"/>
      <c r="BQ4248" s="467"/>
      <c r="BR4248" s="467"/>
      <c r="BS4248" s="467"/>
      <c r="BT4248" s="467"/>
      <c r="BU4248" s="467"/>
      <c r="BV4248" s="467"/>
      <c r="BW4248" s="467"/>
      <c r="BX4248" s="769"/>
      <c r="BY4248" s="769"/>
      <c r="BZ4248" s="769"/>
      <c r="CA4248" s="769"/>
      <c r="CB4248" s="769"/>
      <c r="CC4248" s="769"/>
      <c r="CD4248" s="769"/>
      <c r="CE4248" s="769"/>
      <c r="CF4248" s="769"/>
      <c r="CG4248" s="73"/>
      <c r="CH4248" s="438"/>
      <c r="CI4248" s="416"/>
      <c r="CJ4248" s="73"/>
      <c r="CK4248" s="650"/>
      <c r="CL4248" s="499"/>
      <c r="CM4248" s="650"/>
      <c r="CR4248" s="416"/>
      <c r="CS4248" s="650"/>
      <c r="CU4248" s="73"/>
      <c r="CV4248" s="73"/>
      <c r="CW4248" s="73"/>
      <c r="CX4248" s="73"/>
      <c r="DA4248" s="650"/>
    </row>
    <row r="4249" spans="1:105" s="45" customFormat="1" x14ac:dyDescent="0.2">
      <c r="A4249" s="650"/>
      <c r="B4249" s="438"/>
      <c r="D4249" s="73"/>
      <c r="E4249" s="650"/>
      <c r="F4249" s="650"/>
      <c r="G4249" s="73"/>
      <c r="I4249" s="111"/>
      <c r="J4249" s="81"/>
      <c r="K4249" s="81"/>
      <c r="L4249" s="499"/>
      <c r="M4249" s="73"/>
      <c r="N4249" s="499"/>
      <c r="O4249" s="73"/>
      <c r="P4249" s="73"/>
      <c r="Q4249" s="73"/>
      <c r="R4249" s="176"/>
      <c r="S4249" s="176"/>
      <c r="T4249" s="176"/>
      <c r="U4249" s="400"/>
      <c r="V4249" s="400"/>
      <c r="W4249" s="732"/>
      <c r="X4249" s="167"/>
      <c r="Y4249" s="509"/>
      <c r="Z4249" s="466"/>
      <c r="AA4249" s="466"/>
      <c r="AB4249" s="466"/>
      <c r="AC4249" s="466"/>
      <c r="AD4249" s="466"/>
      <c r="AE4249" s="466"/>
      <c r="AF4249" s="466"/>
      <c r="AG4249" s="466"/>
      <c r="AH4249" s="466"/>
      <c r="AI4249" s="466"/>
      <c r="AJ4249" s="466"/>
      <c r="AK4249" s="466"/>
      <c r="AL4249" s="466"/>
      <c r="AM4249" s="466"/>
      <c r="AN4249" s="466"/>
      <c r="AO4249" s="466"/>
      <c r="AP4249" s="466"/>
      <c r="AQ4249" s="466"/>
      <c r="AR4249" s="466"/>
      <c r="AS4249" s="466"/>
      <c r="AT4249" s="466"/>
      <c r="AU4249" s="466"/>
      <c r="AV4249" s="466"/>
      <c r="AW4249" s="466"/>
      <c r="AX4249" s="466"/>
      <c r="AY4249" s="466"/>
      <c r="AZ4249" s="466"/>
      <c r="BA4249" s="466"/>
      <c r="BB4249" s="466"/>
      <c r="BC4249" s="466"/>
      <c r="BD4249" s="466"/>
      <c r="BE4249" s="467"/>
      <c r="BF4249" s="467"/>
      <c r="BG4249" s="466"/>
      <c r="BH4249" s="466"/>
      <c r="BI4249" s="467"/>
      <c r="BJ4249" s="467"/>
      <c r="BK4249" s="467"/>
      <c r="BL4249" s="467"/>
      <c r="BM4249" s="467"/>
      <c r="BN4249" s="467"/>
      <c r="BO4249" s="467"/>
      <c r="BP4249" s="467"/>
      <c r="BQ4249" s="467"/>
      <c r="BR4249" s="467"/>
      <c r="BS4249" s="467"/>
      <c r="BT4249" s="467"/>
      <c r="BU4249" s="467"/>
      <c r="BV4249" s="467"/>
      <c r="BW4249" s="467"/>
      <c r="BX4249" s="769"/>
      <c r="BY4249" s="769"/>
      <c r="BZ4249" s="769"/>
      <c r="CA4249" s="769"/>
      <c r="CB4249" s="769"/>
      <c r="CC4249" s="769"/>
      <c r="CD4249" s="769"/>
      <c r="CE4249" s="769"/>
      <c r="CF4249" s="769"/>
      <c r="CG4249" s="73"/>
      <c r="CH4249" s="438"/>
      <c r="CI4249" s="416"/>
      <c r="CJ4249" s="73"/>
      <c r="CK4249" s="650"/>
      <c r="CL4249" s="499"/>
      <c r="CM4249" s="650"/>
      <c r="CR4249" s="416"/>
      <c r="CS4249" s="650"/>
      <c r="CU4249" s="73"/>
      <c r="CV4249" s="73"/>
      <c r="CW4249" s="73"/>
      <c r="CX4249" s="73"/>
      <c r="DA4249" s="650"/>
    </row>
    <row r="4250" spans="1:105" s="45" customFormat="1" x14ac:dyDescent="0.2">
      <c r="A4250" s="650"/>
      <c r="B4250" s="438"/>
      <c r="D4250" s="73"/>
      <c r="E4250" s="650"/>
      <c r="F4250" s="650"/>
      <c r="G4250" s="73"/>
      <c r="I4250" s="111"/>
      <c r="J4250" s="81"/>
      <c r="K4250" s="81"/>
      <c r="L4250" s="499"/>
      <c r="M4250" s="73"/>
      <c r="N4250" s="499"/>
      <c r="O4250" s="73"/>
      <c r="P4250" s="73"/>
      <c r="Q4250" s="73"/>
      <c r="R4250" s="176"/>
      <c r="S4250" s="176"/>
      <c r="T4250" s="176"/>
      <c r="U4250" s="400"/>
      <c r="V4250" s="400"/>
      <c r="W4250" s="732"/>
      <c r="X4250" s="167"/>
      <c r="Y4250" s="509"/>
      <c r="Z4250" s="466"/>
      <c r="AA4250" s="466"/>
      <c r="AB4250" s="466"/>
      <c r="AC4250" s="466"/>
      <c r="AD4250" s="466"/>
      <c r="AE4250" s="466"/>
      <c r="AF4250" s="466"/>
      <c r="AG4250" s="466"/>
      <c r="AH4250" s="466"/>
      <c r="AI4250" s="466"/>
      <c r="AJ4250" s="466"/>
      <c r="AK4250" s="466"/>
      <c r="AL4250" s="466"/>
      <c r="AM4250" s="466"/>
      <c r="AN4250" s="466"/>
      <c r="AO4250" s="466"/>
      <c r="AP4250" s="466"/>
      <c r="AQ4250" s="466"/>
      <c r="AR4250" s="466"/>
      <c r="AS4250" s="466"/>
      <c r="AT4250" s="466"/>
      <c r="AU4250" s="466"/>
      <c r="AV4250" s="466"/>
      <c r="AW4250" s="466"/>
      <c r="AX4250" s="466"/>
      <c r="AY4250" s="466"/>
      <c r="AZ4250" s="466"/>
      <c r="BA4250" s="466"/>
      <c r="BB4250" s="466"/>
      <c r="BC4250" s="466"/>
      <c r="BD4250" s="466"/>
      <c r="BE4250" s="467"/>
      <c r="BF4250" s="467"/>
      <c r="BG4250" s="466"/>
      <c r="BH4250" s="466"/>
      <c r="BI4250" s="467"/>
      <c r="BJ4250" s="467"/>
      <c r="BK4250" s="467"/>
      <c r="BL4250" s="467"/>
      <c r="BM4250" s="467"/>
      <c r="BN4250" s="467"/>
      <c r="BO4250" s="467"/>
      <c r="BP4250" s="467"/>
      <c r="BQ4250" s="467"/>
      <c r="BR4250" s="467"/>
      <c r="BS4250" s="467"/>
      <c r="BT4250" s="467"/>
      <c r="BU4250" s="467"/>
      <c r="BV4250" s="467"/>
      <c r="BW4250" s="467"/>
      <c r="BX4250" s="769"/>
      <c r="BY4250" s="769"/>
      <c r="BZ4250" s="769"/>
      <c r="CA4250" s="769"/>
      <c r="CB4250" s="769"/>
      <c r="CC4250" s="769"/>
      <c r="CD4250" s="769"/>
      <c r="CE4250" s="769"/>
      <c r="CF4250" s="769"/>
      <c r="CG4250" s="73"/>
      <c r="CH4250" s="438"/>
      <c r="CI4250" s="416"/>
      <c r="CJ4250" s="73"/>
      <c r="CK4250" s="650"/>
      <c r="CL4250" s="499"/>
      <c r="CM4250" s="650"/>
      <c r="CR4250" s="416"/>
      <c r="CS4250" s="650"/>
      <c r="CU4250" s="73"/>
      <c r="CV4250" s="73"/>
      <c r="CW4250" s="73"/>
      <c r="CX4250" s="73"/>
      <c r="DA4250" s="650"/>
    </row>
    <row r="4251" spans="1:105" s="45" customFormat="1" x14ac:dyDescent="0.2">
      <c r="A4251" s="650"/>
      <c r="B4251" s="438"/>
      <c r="D4251" s="73"/>
      <c r="E4251" s="650"/>
      <c r="F4251" s="650"/>
      <c r="G4251" s="73"/>
      <c r="I4251" s="111"/>
      <c r="J4251" s="81"/>
      <c r="K4251" s="81"/>
      <c r="L4251" s="499"/>
      <c r="M4251" s="73"/>
      <c r="N4251" s="499"/>
      <c r="O4251" s="73"/>
      <c r="P4251" s="73"/>
      <c r="Q4251" s="73"/>
      <c r="R4251" s="176"/>
      <c r="S4251" s="176"/>
      <c r="T4251" s="176"/>
      <c r="U4251" s="400"/>
      <c r="V4251" s="400"/>
      <c r="W4251" s="732"/>
      <c r="X4251" s="167"/>
      <c r="Y4251" s="509"/>
      <c r="Z4251" s="466"/>
      <c r="AA4251" s="466"/>
      <c r="AB4251" s="466"/>
      <c r="AC4251" s="466"/>
      <c r="AD4251" s="466"/>
      <c r="AE4251" s="466"/>
      <c r="AF4251" s="466"/>
      <c r="AG4251" s="466"/>
      <c r="AH4251" s="466"/>
      <c r="AI4251" s="466"/>
      <c r="AJ4251" s="466"/>
      <c r="AK4251" s="466"/>
      <c r="AL4251" s="466"/>
      <c r="AM4251" s="466"/>
      <c r="AN4251" s="466"/>
      <c r="AO4251" s="466"/>
      <c r="AP4251" s="466"/>
      <c r="AQ4251" s="466"/>
      <c r="AR4251" s="466"/>
      <c r="AS4251" s="466"/>
      <c r="AT4251" s="466"/>
      <c r="AU4251" s="466"/>
      <c r="AV4251" s="466"/>
      <c r="AW4251" s="466"/>
      <c r="AX4251" s="466"/>
      <c r="AY4251" s="466"/>
      <c r="AZ4251" s="466"/>
      <c r="BA4251" s="466"/>
      <c r="BB4251" s="466"/>
      <c r="BC4251" s="466"/>
      <c r="BD4251" s="466"/>
      <c r="BE4251" s="467"/>
      <c r="BF4251" s="467"/>
      <c r="BG4251" s="466"/>
      <c r="BH4251" s="466"/>
      <c r="BI4251" s="467"/>
      <c r="BJ4251" s="467"/>
      <c r="BK4251" s="467"/>
      <c r="BL4251" s="467"/>
      <c r="BM4251" s="467"/>
      <c r="BN4251" s="467"/>
      <c r="BO4251" s="467"/>
      <c r="BP4251" s="467"/>
      <c r="BQ4251" s="467"/>
      <c r="BR4251" s="467"/>
      <c r="BS4251" s="467"/>
      <c r="BT4251" s="467"/>
      <c r="BU4251" s="467"/>
      <c r="BV4251" s="467"/>
      <c r="BW4251" s="467"/>
      <c r="BX4251" s="769"/>
      <c r="BY4251" s="769"/>
      <c r="BZ4251" s="769"/>
      <c r="CA4251" s="769"/>
      <c r="CB4251" s="769"/>
      <c r="CC4251" s="769"/>
      <c r="CD4251" s="769"/>
      <c r="CE4251" s="769"/>
      <c r="CF4251" s="769"/>
      <c r="CG4251" s="73"/>
      <c r="CH4251" s="438"/>
      <c r="CI4251" s="416"/>
      <c r="CJ4251" s="73"/>
      <c r="CK4251" s="650"/>
      <c r="CL4251" s="499"/>
      <c r="CM4251" s="650"/>
      <c r="CR4251" s="416"/>
      <c r="CS4251" s="650"/>
      <c r="CU4251" s="73"/>
      <c r="CV4251" s="73"/>
      <c r="CW4251" s="73"/>
      <c r="CX4251" s="73"/>
      <c r="DA4251" s="650"/>
    </row>
    <row r="4252" spans="1:105" s="45" customFormat="1" x14ac:dyDescent="0.2">
      <c r="A4252" s="650"/>
      <c r="B4252" s="438"/>
      <c r="D4252" s="73"/>
      <c r="E4252" s="650"/>
      <c r="F4252" s="650"/>
      <c r="G4252" s="73"/>
      <c r="I4252" s="111"/>
      <c r="J4252" s="81"/>
      <c r="K4252" s="81"/>
      <c r="L4252" s="499"/>
      <c r="M4252" s="73"/>
      <c r="N4252" s="499"/>
      <c r="O4252" s="73"/>
      <c r="P4252" s="73"/>
      <c r="Q4252" s="73"/>
      <c r="R4252" s="176"/>
      <c r="S4252" s="176"/>
      <c r="T4252" s="176"/>
      <c r="U4252" s="400"/>
      <c r="V4252" s="400"/>
      <c r="W4252" s="732"/>
      <c r="X4252" s="167"/>
      <c r="Y4252" s="509"/>
      <c r="Z4252" s="466"/>
      <c r="AA4252" s="466"/>
      <c r="AB4252" s="466"/>
      <c r="AC4252" s="466"/>
      <c r="AD4252" s="466"/>
      <c r="AE4252" s="466"/>
      <c r="AF4252" s="466"/>
      <c r="AG4252" s="466"/>
      <c r="AH4252" s="466"/>
      <c r="AI4252" s="466"/>
      <c r="AJ4252" s="466"/>
      <c r="AK4252" s="466"/>
      <c r="AL4252" s="466"/>
      <c r="AM4252" s="466"/>
      <c r="AN4252" s="466"/>
      <c r="AO4252" s="466"/>
      <c r="AP4252" s="466"/>
      <c r="AQ4252" s="466"/>
      <c r="AR4252" s="466"/>
      <c r="AS4252" s="466"/>
      <c r="AT4252" s="466"/>
      <c r="AU4252" s="466"/>
      <c r="AV4252" s="466"/>
      <c r="AW4252" s="466"/>
      <c r="AX4252" s="466"/>
      <c r="AY4252" s="466"/>
      <c r="AZ4252" s="466"/>
      <c r="BA4252" s="466"/>
      <c r="BB4252" s="466"/>
      <c r="BC4252" s="466"/>
      <c r="BD4252" s="466"/>
      <c r="BE4252" s="467"/>
      <c r="BF4252" s="467"/>
      <c r="BG4252" s="466"/>
      <c r="BH4252" s="466"/>
      <c r="BI4252" s="467"/>
      <c r="BJ4252" s="467"/>
      <c r="BK4252" s="467"/>
      <c r="BL4252" s="467"/>
      <c r="BM4252" s="467"/>
      <c r="BN4252" s="467"/>
      <c r="BO4252" s="467"/>
      <c r="BP4252" s="467"/>
      <c r="BQ4252" s="467"/>
      <c r="BR4252" s="467"/>
      <c r="BS4252" s="467"/>
      <c r="BT4252" s="467"/>
      <c r="BU4252" s="467"/>
      <c r="BV4252" s="467"/>
      <c r="BW4252" s="467"/>
      <c r="BX4252" s="769"/>
      <c r="BY4252" s="769"/>
      <c r="BZ4252" s="769"/>
      <c r="CA4252" s="769"/>
      <c r="CB4252" s="769"/>
      <c r="CC4252" s="769"/>
      <c r="CD4252" s="769"/>
      <c r="CE4252" s="769"/>
      <c r="CF4252" s="769"/>
      <c r="CG4252" s="73"/>
      <c r="CH4252" s="438"/>
      <c r="CI4252" s="416"/>
      <c r="CJ4252" s="73"/>
      <c r="CK4252" s="650"/>
      <c r="CL4252" s="499"/>
      <c r="CM4252" s="650"/>
      <c r="CR4252" s="416"/>
      <c r="CS4252" s="650"/>
      <c r="CU4252" s="73"/>
      <c r="CV4252" s="73"/>
      <c r="CW4252" s="73"/>
      <c r="CX4252" s="73"/>
      <c r="DA4252" s="650"/>
    </row>
    <row r="4253" spans="1:105" s="45" customFormat="1" x14ac:dyDescent="0.2">
      <c r="A4253" s="650"/>
      <c r="B4253" s="438"/>
      <c r="D4253" s="73"/>
      <c r="E4253" s="650"/>
      <c r="F4253" s="650"/>
      <c r="G4253" s="73"/>
      <c r="I4253" s="111"/>
      <c r="J4253" s="81"/>
      <c r="K4253" s="81"/>
      <c r="L4253" s="499"/>
      <c r="M4253" s="73"/>
      <c r="N4253" s="499"/>
      <c r="O4253" s="73"/>
      <c r="P4253" s="73"/>
      <c r="Q4253" s="73"/>
      <c r="R4253" s="176"/>
      <c r="S4253" s="176"/>
      <c r="T4253" s="176"/>
      <c r="U4253" s="400"/>
      <c r="V4253" s="400"/>
      <c r="W4253" s="732"/>
      <c r="X4253" s="167"/>
      <c r="Y4253" s="509"/>
      <c r="Z4253" s="466"/>
      <c r="AA4253" s="466"/>
      <c r="AB4253" s="466"/>
      <c r="AC4253" s="466"/>
      <c r="AD4253" s="466"/>
      <c r="AE4253" s="466"/>
      <c r="AF4253" s="466"/>
      <c r="AG4253" s="466"/>
      <c r="AH4253" s="466"/>
      <c r="AI4253" s="466"/>
      <c r="AJ4253" s="466"/>
      <c r="AK4253" s="466"/>
      <c r="AL4253" s="466"/>
      <c r="AM4253" s="466"/>
      <c r="AN4253" s="466"/>
      <c r="AO4253" s="466"/>
      <c r="AP4253" s="466"/>
      <c r="AQ4253" s="466"/>
      <c r="AR4253" s="466"/>
      <c r="AS4253" s="466"/>
      <c r="AT4253" s="466"/>
      <c r="AU4253" s="466"/>
      <c r="AV4253" s="466"/>
      <c r="AW4253" s="466"/>
      <c r="AX4253" s="466"/>
      <c r="AY4253" s="466"/>
      <c r="AZ4253" s="466"/>
      <c r="BA4253" s="466"/>
      <c r="BB4253" s="466"/>
      <c r="BC4253" s="466"/>
      <c r="BD4253" s="466"/>
      <c r="BE4253" s="467"/>
      <c r="BF4253" s="467"/>
      <c r="BG4253" s="466"/>
      <c r="BH4253" s="466"/>
      <c r="BI4253" s="467"/>
      <c r="BJ4253" s="467"/>
      <c r="BK4253" s="467"/>
      <c r="BL4253" s="467"/>
      <c r="BM4253" s="467"/>
      <c r="BN4253" s="467"/>
      <c r="BO4253" s="467"/>
      <c r="BP4253" s="467"/>
      <c r="BQ4253" s="467"/>
      <c r="BR4253" s="467"/>
      <c r="BS4253" s="467"/>
      <c r="BT4253" s="467"/>
      <c r="BU4253" s="467"/>
      <c r="BV4253" s="467"/>
      <c r="BW4253" s="467"/>
      <c r="BX4253" s="769"/>
      <c r="BY4253" s="769"/>
      <c r="BZ4253" s="769"/>
      <c r="CA4253" s="769"/>
      <c r="CB4253" s="769"/>
      <c r="CC4253" s="769"/>
      <c r="CD4253" s="769"/>
      <c r="CE4253" s="769"/>
      <c r="CF4253" s="769"/>
      <c r="CG4253" s="73"/>
      <c r="CH4253" s="438"/>
      <c r="CI4253" s="416"/>
      <c r="CJ4253" s="73"/>
      <c r="CK4253" s="650"/>
      <c r="CL4253" s="499"/>
      <c r="CM4253" s="650"/>
      <c r="CR4253" s="416"/>
      <c r="CS4253" s="650"/>
      <c r="CU4253" s="73"/>
      <c r="CV4253" s="73"/>
      <c r="CW4253" s="73"/>
      <c r="CX4253" s="73"/>
      <c r="DA4253" s="650"/>
    </row>
    <row r="4254" spans="1:105" s="45" customFormat="1" x14ac:dyDescent="0.2">
      <c r="A4254" s="650"/>
      <c r="B4254" s="438"/>
      <c r="D4254" s="73"/>
      <c r="E4254" s="650"/>
      <c r="F4254" s="650"/>
      <c r="G4254" s="73"/>
      <c r="I4254" s="111"/>
      <c r="J4254" s="81"/>
      <c r="K4254" s="81"/>
      <c r="L4254" s="499"/>
      <c r="M4254" s="73"/>
      <c r="N4254" s="499"/>
      <c r="O4254" s="73"/>
      <c r="P4254" s="73"/>
      <c r="Q4254" s="73"/>
      <c r="R4254" s="176"/>
      <c r="S4254" s="176"/>
      <c r="T4254" s="176"/>
      <c r="U4254" s="400"/>
      <c r="V4254" s="400"/>
      <c r="W4254" s="732"/>
      <c r="X4254" s="167"/>
      <c r="Y4254" s="509"/>
      <c r="Z4254" s="466"/>
      <c r="AA4254" s="466"/>
      <c r="AB4254" s="466"/>
      <c r="AC4254" s="466"/>
      <c r="AD4254" s="466"/>
      <c r="AE4254" s="466"/>
      <c r="AF4254" s="466"/>
      <c r="AG4254" s="466"/>
      <c r="AH4254" s="466"/>
      <c r="AI4254" s="466"/>
      <c r="AJ4254" s="466"/>
      <c r="AK4254" s="466"/>
      <c r="AL4254" s="466"/>
      <c r="AM4254" s="466"/>
      <c r="AN4254" s="466"/>
      <c r="AO4254" s="466"/>
      <c r="AP4254" s="466"/>
      <c r="AQ4254" s="466"/>
      <c r="AR4254" s="466"/>
      <c r="AS4254" s="466"/>
      <c r="AT4254" s="466"/>
      <c r="AU4254" s="466"/>
      <c r="AV4254" s="466"/>
      <c r="AW4254" s="466"/>
      <c r="AX4254" s="466"/>
      <c r="AY4254" s="466"/>
      <c r="AZ4254" s="466"/>
      <c r="BA4254" s="466"/>
      <c r="BB4254" s="466"/>
      <c r="BC4254" s="466"/>
      <c r="BD4254" s="466"/>
      <c r="BE4254" s="467"/>
      <c r="BF4254" s="467"/>
      <c r="BG4254" s="466"/>
      <c r="BH4254" s="466"/>
      <c r="BI4254" s="467"/>
      <c r="BJ4254" s="467"/>
      <c r="BK4254" s="467"/>
      <c r="BL4254" s="467"/>
      <c r="BM4254" s="467"/>
      <c r="BN4254" s="467"/>
      <c r="BO4254" s="467"/>
      <c r="BP4254" s="467"/>
      <c r="BQ4254" s="467"/>
      <c r="BR4254" s="467"/>
      <c r="BS4254" s="467"/>
      <c r="BT4254" s="467"/>
      <c r="BU4254" s="467"/>
      <c r="BV4254" s="467"/>
      <c r="BW4254" s="467"/>
      <c r="BX4254" s="769"/>
      <c r="BY4254" s="769"/>
      <c r="BZ4254" s="769"/>
      <c r="CA4254" s="769"/>
      <c r="CB4254" s="769"/>
      <c r="CC4254" s="769"/>
      <c r="CD4254" s="769"/>
      <c r="CE4254" s="769"/>
      <c r="CF4254" s="769"/>
      <c r="CG4254" s="73"/>
      <c r="CH4254" s="438"/>
      <c r="CI4254" s="416"/>
      <c r="CJ4254" s="73"/>
      <c r="CK4254" s="650"/>
      <c r="CL4254" s="499"/>
      <c r="CM4254" s="650"/>
      <c r="CR4254" s="416"/>
      <c r="CS4254" s="650"/>
      <c r="CU4254" s="73"/>
      <c r="CV4254" s="73"/>
      <c r="CW4254" s="73"/>
      <c r="CX4254" s="73"/>
      <c r="DA4254" s="650"/>
    </row>
    <row r="4255" spans="1:105" s="45" customFormat="1" x14ac:dyDescent="0.2">
      <c r="A4255" s="650"/>
      <c r="B4255" s="438"/>
      <c r="D4255" s="73"/>
      <c r="E4255" s="650"/>
      <c r="F4255" s="650"/>
      <c r="G4255" s="73"/>
      <c r="I4255" s="111"/>
      <c r="J4255" s="81"/>
      <c r="K4255" s="81"/>
      <c r="L4255" s="499"/>
      <c r="M4255" s="73"/>
      <c r="N4255" s="499"/>
      <c r="O4255" s="73"/>
      <c r="P4255" s="73"/>
      <c r="Q4255" s="73"/>
      <c r="R4255" s="176"/>
      <c r="S4255" s="176"/>
      <c r="T4255" s="176"/>
      <c r="U4255" s="400"/>
      <c r="V4255" s="400"/>
      <c r="W4255" s="732"/>
      <c r="X4255" s="167"/>
      <c r="Y4255" s="509"/>
      <c r="Z4255" s="466"/>
      <c r="AA4255" s="466"/>
      <c r="AB4255" s="466"/>
      <c r="AC4255" s="466"/>
      <c r="AD4255" s="466"/>
      <c r="AE4255" s="466"/>
      <c r="AF4255" s="466"/>
      <c r="AG4255" s="466"/>
      <c r="AH4255" s="466"/>
      <c r="AI4255" s="466"/>
      <c r="AJ4255" s="466"/>
      <c r="AK4255" s="466"/>
      <c r="AL4255" s="466"/>
      <c r="AM4255" s="466"/>
      <c r="AN4255" s="466"/>
      <c r="AO4255" s="466"/>
      <c r="AP4255" s="466"/>
      <c r="AQ4255" s="466"/>
      <c r="AR4255" s="466"/>
      <c r="AS4255" s="466"/>
      <c r="AT4255" s="466"/>
      <c r="AU4255" s="466"/>
      <c r="AV4255" s="466"/>
      <c r="AW4255" s="466"/>
      <c r="AX4255" s="466"/>
      <c r="AY4255" s="466"/>
      <c r="AZ4255" s="466"/>
      <c r="BA4255" s="466"/>
      <c r="BB4255" s="466"/>
      <c r="BC4255" s="466"/>
      <c r="BD4255" s="466"/>
      <c r="BE4255" s="467"/>
      <c r="BF4255" s="467"/>
      <c r="BG4255" s="466"/>
      <c r="BH4255" s="466"/>
      <c r="BI4255" s="467"/>
      <c r="BJ4255" s="467"/>
      <c r="BK4255" s="467"/>
      <c r="BL4255" s="467"/>
      <c r="BM4255" s="467"/>
      <c r="BN4255" s="467"/>
      <c r="BO4255" s="467"/>
      <c r="BP4255" s="467"/>
      <c r="BQ4255" s="467"/>
      <c r="BR4255" s="467"/>
      <c r="BS4255" s="467"/>
      <c r="BT4255" s="467"/>
      <c r="BU4255" s="467"/>
      <c r="BV4255" s="467"/>
      <c r="BW4255" s="467"/>
      <c r="BX4255" s="769"/>
      <c r="BY4255" s="769"/>
      <c r="BZ4255" s="769"/>
      <c r="CA4255" s="769"/>
      <c r="CB4255" s="769"/>
      <c r="CC4255" s="769"/>
      <c r="CD4255" s="769"/>
      <c r="CE4255" s="769"/>
      <c r="CF4255" s="769"/>
      <c r="CG4255" s="73"/>
      <c r="CH4255" s="438"/>
      <c r="CI4255" s="416"/>
      <c r="CJ4255" s="73"/>
      <c r="CK4255" s="650"/>
      <c r="CL4255" s="499"/>
      <c r="CM4255" s="650"/>
      <c r="CR4255" s="416"/>
      <c r="CS4255" s="650"/>
      <c r="CU4255" s="73"/>
      <c r="CV4255" s="73"/>
      <c r="CW4255" s="73"/>
      <c r="CX4255" s="73"/>
      <c r="DA4255" s="650"/>
    </row>
    <row r="4256" spans="1:105" s="45" customFormat="1" x14ac:dyDescent="0.2">
      <c r="A4256" s="650"/>
      <c r="B4256" s="438"/>
      <c r="D4256" s="73"/>
      <c r="E4256" s="650"/>
      <c r="F4256" s="650"/>
      <c r="G4256" s="73"/>
      <c r="I4256" s="111"/>
      <c r="J4256" s="81"/>
      <c r="K4256" s="81"/>
      <c r="L4256" s="499"/>
      <c r="M4256" s="73"/>
      <c r="N4256" s="499"/>
      <c r="O4256" s="73"/>
      <c r="P4256" s="73"/>
      <c r="Q4256" s="73"/>
      <c r="R4256" s="176"/>
      <c r="S4256" s="176"/>
      <c r="T4256" s="176"/>
      <c r="U4256" s="400"/>
      <c r="V4256" s="400"/>
      <c r="W4256" s="732"/>
      <c r="X4256" s="167"/>
      <c r="Y4256" s="509"/>
      <c r="Z4256" s="466"/>
      <c r="AA4256" s="466"/>
      <c r="AB4256" s="466"/>
      <c r="AC4256" s="466"/>
      <c r="AD4256" s="466"/>
      <c r="AE4256" s="466"/>
      <c r="AF4256" s="466"/>
      <c r="AG4256" s="466"/>
      <c r="AH4256" s="466"/>
      <c r="AI4256" s="466"/>
      <c r="AJ4256" s="466"/>
      <c r="AK4256" s="466"/>
      <c r="AL4256" s="466"/>
      <c r="AM4256" s="466"/>
      <c r="AN4256" s="466"/>
      <c r="AO4256" s="466"/>
      <c r="AP4256" s="466"/>
      <c r="AQ4256" s="466"/>
      <c r="AR4256" s="466"/>
      <c r="AS4256" s="466"/>
      <c r="AT4256" s="466"/>
      <c r="AU4256" s="466"/>
      <c r="AV4256" s="466"/>
      <c r="AW4256" s="466"/>
      <c r="AX4256" s="466"/>
      <c r="AY4256" s="466"/>
      <c r="AZ4256" s="466"/>
      <c r="BA4256" s="466"/>
      <c r="BB4256" s="466"/>
      <c r="BC4256" s="466"/>
      <c r="BD4256" s="466"/>
      <c r="BE4256" s="467"/>
      <c r="BF4256" s="467"/>
      <c r="BG4256" s="466"/>
      <c r="BH4256" s="466"/>
      <c r="BI4256" s="467"/>
      <c r="BJ4256" s="467"/>
      <c r="BK4256" s="467"/>
      <c r="BL4256" s="467"/>
      <c r="BM4256" s="467"/>
      <c r="BN4256" s="467"/>
      <c r="BO4256" s="467"/>
      <c r="BP4256" s="467"/>
      <c r="BQ4256" s="467"/>
      <c r="BR4256" s="467"/>
      <c r="BS4256" s="467"/>
      <c r="BT4256" s="467"/>
      <c r="BU4256" s="467"/>
      <c r="BV4256" s="467"/>
      <c r="BW4256" s="467"/>
      <c r="BX4256" s="769"/>
      <c r="BY4256" s="769"/>
      <c r="BZ4256" s="769"/>
      <c r="CA4256" s="769"/>
      <c r="CB4256" s="769"/>
      <c r="CC4256" s="769"/>
      <c r="CD4256" s="769"/>
      <c r="CE4256" s="769"/>
      <c r="CF4256" s="769"/>
      <c r="CG4256" s="73"/>
      <c r="CH4256" s="438"/>
      <c r="CI4256" s="416"/>
      <c r="CJ4256" s="73"/>
      <c r="CK4256" s="650"/>
      <c r="CL4256" s="499"/>
      <c r="CM4256" s="650"/>
      <c r="CR4256" s="416"/>
      <c r="CS4256" s="650"/>
      <c r="CU4256" s="73"/>
      <c r="CV4256" s="73"/>
      <c r="CW4256" s="73"/>
      <c r="CX4256" s="73"/>
      <c r="DA4256" s="650"/>
    </row>
    <row r="4257" spans="1:105" s="45" customFormat="1" x14ac:dyDescent="0.2">
      <c r="A4257" s="650"/>
      <c r="B4257" s="438"/>
      <c r="D4257" s="73"/>
      <c r="E4257" s="650"/>
      <c r="F4257" s="650"/>
      <c r="G4257" s="73"/>
      <c r="I4257" s="111"/>
      <c r="J4257" s="81"/>
      <c r="K4257" s="81"/>
      <c r="L4257" s="499"/>
      <c r="M4257" s="73"/>
      <c r="N4257" s="499"/>
      <c r="O4257" s="73"/>
      <c r="P4257" s="73"/>
      <c r="Q4257" s="73"/>
      <c r="R4257" s="176"/>
      <c r="S4257" s="176"/>
      <c r="T4257" s="176"/>
      <c r="U4257" s="400"/>
      <c r="V4257" s="400"/>
      <c r="W4257" s="732"/>
      <c r="X4257" s="167"/>
      <c r="Y4257" s="509"/>
      <c r="Z4257" s="466"/>
      <c r="AA4257" s="466"/>
      <c r="AB4257" s="466"/>
      <c r="AC4257" s="466"/>
      <c r="AD4257" s="466"/>
      <c r="AE4257" s="466"/>
      <c r="AF4257" s="466"/>
      <c r="AG4257" s="466"/>
      <c r="AH4257" s="466"/>
      <c r="AI4257" s="466"/>
      <c r="AJ4257" s="466"/>
      <c r="AK4257" s="466"/>
      <c r="AL4257" s="466"/>
      <c r="AM4257" s="466"/>
      <c r="AN4257" s="466"/>
      <c r="AO4257" s="466"/>
      <c r="AP4257" s="466"/>
      <c r="AQ4257" s="466"/>
      <c r="AR4257" s="466"/>
      <c r="AS4257" s="466"/>
      <c r="AT4257" s="466"/>
      <c r="AU4257" s="466"/>
      <c r="AV4257" s="466"/>
      <c r="AW4257" s="466"/>
      <c r="AX4257" s="466"/>
      <c r="AY4257" s="466"/>
      <c r="AZ4257" s="466"/>
      <c r="BA4257" s="466"/>
      <c r="BB4257" s="466"/>
      <c r="BC4257" s="466"/>
      <c r="BD4257" s="466"/>
      <c r="BE4257" s="467"/>
      <c r="BF4257" s="467"/>
      <c r="BG4257" s="466"/>
      <c r="BH4257" s="466"/>
      <c r="BI4257" s="467"/>
      <c r="BJ4257" s="467"/>
      <c r="BK4257" s="467"/>
      <c r="BL4257" s="467"/>
      <c r="BM4257" s="467"/>
      <c r="BN4257" s="467"/>
      <c r="BO4257" s="467"/>
      <c r="BP4257" s="467"/>
      <c r="BQ4257" s="467"/>
      <c r="BR4257" s="467"/>
      <c r="BS4257" s="467"/>
      <c r="BT4257" s="467"/>
      <c r="BU4257" s="467"/>
      <c r="BV4257" s="467"/>
      <c r="BW4257" s="467"/>
      <c r="BX4257" s="769"/>
      <c r="BY4257" s="769"/>
      <c r="BZ4257" s="769"/>
      <c r="CA4257" s="769"/>
      <c r="CB4257" s="769"/>
      <c r="CC4257" s="769"/>
      <c r="CD4257" s="769"/>
      <c r="CE4257" s="769"/>
      <c r="CF4257" s="769"/>
      <c r="CG4257" s="73"/>
      <c r="CH4257" s="438"/>
      <c r="CI4257" s="416"/>
      <c r="CJ4257" s="73"/>
      <c r="CK4257" s="650"/>
      <c r="CL4257" s="499"/>
      <c r="CM4257" s="650"/>
      <c r="CR4257" s="416"/>
      <c r="CS4257" s="650"/>
      <c r="CU4257" s="73"/>
      <c r="CV4257" s="73"/>
      <c r="CW4257" s="73"/>
      <c r="CX4257" s="73"/>
      <c r="DA4257" s="650"/>
    </row>
    <row r="4258" spans="1:105" s="45" customFormat="1" x14ac:dyDescent="0.2">
      <c r="A4258" s="650"/>
      <c r="B4258" s="438"/>
      <c r="D4258" s="73"/>
      <c r="E4258" s="650"/>
      <c r="F4258" s="650"/>
      <c r="G4258" s="73"/>
      <c r="I4258" s="111"/>
      <c r="J4258" s="81"/>
      <c r="K4258" s="81"/>
      <c r="L4258" s="499"/>
      <c r="M4258" s="73"/>
      <c r="N4258" s="499"/>
      <c r="O4258" s="73"/>
      <c r="P4258" s="73"/>
      <c r="Q4258" s="73"/>
      <c r="R4258" s="176"/>
      <c r="S4258" s="176"/>
      <c r="T4258" s="176"/>
      <c r="U4258" s="400"/>
      <c r="V4258" s="400"/>
      <c r="W4258" s="732"/>
      <c r="X4258" s="167"/>
      <c r="Y4258" s="509"/>
      <c r="Z4258" s="466"/>
      <c r="AA4258" s="466"/>
      <c r="AB4258" s="466"/>
      <c r="AC4258" s="466"/>
      <c r="AD4258" s="466"/>
      <c r="AE4258" s="466"/>
      <c r="AF4258" s="466"/>
      <c r="AG4258" s="466"/>
      <c r="AH4258" s="466"/>
      <c r="AI4258" s="466"/>
      <c r="AJ4258" s="466"/>
      <c r="AK4258" s="466"/>
      <c r="AL4258" s="466"/>
      <c r="AM4258" s="466"/>
      <c r="AN4258" s="466"/>
      <c r="AO4258" s="466"/>
      <c r="AP4258" s="466"/>
      <c r="AQ4258" s="466"/>
      <c r="AR4258" s="466"/>
      <c r="AS4258" s="466"/>
      <c r="AT4258" s="466"/>
      <c r="AU4258" s="466"/>
      <c r="AV4258" s="466"/>
      <c r="AW4258" s="466"/>
      <c r="AX4258" s="466"/>
      <c r="AY4258" s="466"/>
      <c r="AZ4258" s="466"/>
      <c r="BA4258" s="466"/>
      <c r="BB4258" s="466"/>
      <c r="BC4258" s="466"/>
      <c r="BD4258" s="466"/>
      <c r="BE4258" s="467"/>
      <c r="BF4258" s="467"/>
      <c r="BG4258" s="466"/>
      <c r="BH4258" s="466"/>
      <c r="BI4258" s="467"/>
      <c r="BJ4258" s="467"/>
      <c r="BK4258" s="467"/>
      <c r="BL4258" s="467"/>
      <c r="BM4258" s="467"/>
      <c r="BN4258" s="467"/>
      <c r="BO4258" s="467"/>
      <c r="BP4258" s="467"/>
      <c r="BQ4258" s="467"/>
      <c r="BR4258" s="467"/>
      <c r="BS4258" s="467"/>
      <c r="BT4258" s="467"/>
      <c r="BU4258" s="467"/>
      <c r="BV4258" s="467"/>
      <c r="BW4258" s="467"/>
      <c r="BX4258" s="769"/>
      <c r="BY4258" s="769"/>
      <c r="BZ4258" s="769"/>
      <c r="CA4258" s="769"/>
      <c r="CB4258" s="769"/>
      <c r="CC4258" s="769"/>
      <c r="CD4258" s="769"/>
      <c r="CE4258" s="769"/>
      <c r="CF4258" s="769"/>
      <c r="CG4258" s="73"/>
      <c r="CH4258" s="438"/>
      <c r="CI4258" s="416"/>
      <c r="CJ4258" s="73"/>
      <c r="CK4258" s="650"/>
      <c r="CL4258" s="499"/>
      <c r="CM4258" s="650"/>
      <c r="CR4258" s="416"/>
      <c r="CS4258" s="650"/>
      <c r="CU4258" s="73"/>
      <c r="CV4258" s="73"/>
      <c r="CW4258" s="73"/>
      <c r="CX4258" s="73"/>
      <c r="DA4258" s="650"/>
    </row>
    <row r="4259" spans="1:105" s="45" customFormat="1" x14ac:dyDescent="0.2">
      <c r="A4259" s="650"/>
      <c r="B4259" s="438"/>
      <c r="D4259" s="73"/>
      <c r="E4259" s="650"/>
      <c r="F4259" s="650"/>
      <c r="G4259" s="73"/>
      <c r="I4259" s="111"/>
      <c r="J4259" s="81"/>
      <c r="K4259" s="81"/>
      <c r="L4259" s="499"/>
      <c r="M4259" s="73"/>
      <c r="N4259" s="499"/>
      <c r="O4259" s="73"/>
      <c r="P4259" s="73"/>
      <c r="Q4259" s="73"/>
      <c r="R4259" s="176"/>
      <c r="S4259" s="176"/>
      <c r="T4259" s="176"/>
      <c r="U4259" s="400"/>
      <c r="V4259" s="400"/>
      <c r="W4259" s="732"/>
      <c r="X4259" s="167"/>
      <c r="Y4259" s="509"/>
      <c r="Z4259" s="466"/>
      <c r="AA4259" s="466"/>
      <c r="AB4259" s="466"/>
      <c r="AC4259" s="466"/>
      <c r="AD4259" s="466"/>
      <c r="AE4259" s="466"/>
      <c r="AF4259" s="466"/>
      <c r="AG4259" s="466"/>
      <c r="AH4259" s="466"/>
      <c r="AI4259" s="466"/>
      <c r="AJ4259" s="466"/>
      <c r="AK4259" s="466"/>
      <c r="AL4259" s="466"/>
      <c r="AM4259" s="466"/>
      <c r="AN4259" s="466"/>
      <c r="AO4259" s="466"/>
      <c r="AP4259" s="466"/>
      <c r="AQ4259" s="466"/>
      <c r="AR4259" s="466"/>
      <c r="AS4259" s="466"/>
      <c r="AT4259" s="466"/>
      <c r="AU4259" s="466"/>
      <c r="AV4259" s="466"/>
      <c r="AW4259" s="466"/>
      <c r="AX4259" s="466"/>
      <c r="AY4259" s="466"/>
      <c r="AZ4259" s="466"/>
      <c r="BA4259" s="466"/>
      <c r="BB4259" s="466"/>
      <c r="BC4259" s="466"/>
      <c r="BD4259" s="466"/>
      <c r="BE4259" s="467"/>
      <c r="BF4259" s="467"/>
      <c r="BG4259" s="466"/>
      <c r="BH4259" s="466"/>
      <c r="BI4259" s="467"/>
      <c r="BJ4259" s="467"/>
      <c r="BK4259" s="467"/>
      <c r="BL4259" s="467"/>
      <c r="BM4259" s="467"/>
      <c r="BN4259" s="467"/>
      <c r="BO4259" s="467"/>
      <c r="BP4259" s="467"/>
      <c r="BQ4259" s="467"/>
      <c r="BR4259" s="467"/>
      <c r="BS4259" s="467"/>
      <c r="BT4259" s="467"/>
      <c r="BU4259" s="467"/>
      <c r="BV4259" s="467"/>
      <c r="BW4259" s="467"/>
      <c r="BX4259" s="769"/>
      <c r="BY4259" s="769"/>
      <c r="BZ4259" s="769"/>
      <c r="CA4259" s="769"/>
      <c r="CB4259" s="769"/>
      <c r="CC4259" s="769"/>
      <c r="CD4259" s="769"/>
      <c r="CE4259" s="769"/>
      <c r="CF4259" s="769"/>
      <c r="CG4259" s="73"/>
      <c r="CH4259" s="438"/>
      <c r="CI4259" s="416"/>
      <c r="CJ4259" s="73"/>
      <c r="CK4259" s="650"/>
      <c r="CL4259" s="499"/>
      <c r="CM4259" s="650"/>
      <c r="CR4259" s="416"/>
      <c r="CS4259" s="650"/>
      <c r="CU4259" s="73"/>
      <c r="CV4259" s="73"/>
      <c r="CW4259" s="73"/>
      <c r="CX4259" s="73"/>
      <c r="DA4259" s="650"/>
    </row>
    <row r="4260" spans="1:105" s="45" customFormat="1" x14ac:dyDescent="0.2">
      <c r="A4260" s="650"/>
      <c r="B4260" s="438"/>
      <c r="D4260" s="73"/>
      <c r="E4260" s="650"/>
      <c r="F4260" s="650"/>
      <c r="G4260" s="73"/>
      <c r="I4260" s="111"/>
      <c r="J4260" s="81"/>
      <c r="K4260" s="81"/>
      <c r="L4260" s="499"/>
      <c r="M4260" s="73"/>
      <c r="N4260" s="499"/>
      <c r="O4260" s="73"/>
      <c r="P4260" s="73"/>
      <c r="Q4260" s="73"/>
      <c r="R4260" s="176"/>
      <c r="S4260" s="176"/>
      <c r="T4260" s="176"/>
      <c r="U4260" s="400"/>
      <c r="V4260" s="400"/>
      <c r="W4260" s="732"/>
      <c r="X4260" s="167"/>
      <c r="Y4260" s="509"/>
      <c r="Z4260" s="466"/>
      <c r="AA4260" s="466"/>
      <c r="AB4260" s="466"/>
      <c r="AC4260" s="466"/>
      <c r="AD4260" s="466"/>
      <c r="AE4260" s="466"/>
      <c r="AF4260" s="466"/>
      <c r="AG4260" s="466"/>
      <c r="AH4260" s="466"/>
      <c r="AI4260" s="466"/>
      <c r="AJ4260" s="466"/>
      <c r="AK4260" s="466"/>
      <c r="AL4260" s="466"/>
      <c r="AM4260" s="466"/>
      <c r="AN4260" s="466"/>
      <c r="AO4260" s="466"/>
      <c r="AP4260" s="466"/>
      <c r="AQ4260" s="466"/>
      <c r="AR4260" s="466"/>
      <c r="AS4260" s="466"/>
      <c r="AT4260" s="466"/>
      <c r="AU4260" s="466"/>
      <c r="AV4260" s="466"/>
      <c r="AW4260" s="466"/>
      <c r="AX4260" s="466"/>
      <c r="AY4260" s="466"/>
      <c r="AZ4260" s="466"/>
      <c r="BA4260" s="466"/>
      <c r="BB4260" s="466"/>
      <c r="BC4260" s="466"/>
      <c r="BD4260" s="466"/>
      <c r="BE4260" s="467"/>
      <c r="BF4260" s="467"/>
      <c r="BG4260" s="466"/>
      <c r="BH4260" s="466"/>
      <c r="BI4260" s="467"/>
      <c r="BJ4260" s="467"/>
      <c r="BK4260" s="467"/>
      <c r="BL4260" s="467"/>
      <c r="BM4260" s="467"/>
      <c r="BN4260" s="467"/>
      <c r="BO4260" s="467"/>
      <c r="BP4260" s="467"/>
      <c r="BQ4260" s="467"/>
      <c r="BR4260" s="467"/>
      <c r="BS4260" s="467"/>
      <c r="BT4260" s="467"/>
      <c r="BU4260" s="467"/>
      <c r="BV4260" s="467"/>
      <c r="BW4260" s="467"/>
      <c r="BX4260" s="769"/>
      <c r="BY4260" s="769"/>
      <c r="BZ4260" s="769"/>
      <c r="CA4260" s="769"/>
      <c r="CB4260" s="769"/>
      <c r="CC4260" s="769"/>
      <c r="CD4260" s="769"/>
      <c r="CE4260" s="769"/>
      <c r="CF4260" s="769"/>
      <c r="CG4260" s="73"/>
      <c r="CH4260" s="438"/>
      <c r="CI4260" s="416"/>
      <c r="CJ4260" s="73"/>
      <c r="CK4260" s="650"/>
      <c r="CL4260" s="499"/>
      <c r="CM4260" s="650"/>
      <c r="CR4260" s="416"/>
      <c r="CS4260" s="650"/>
      <c r="CU4260" s="73"/>
      <c r="CV4260" s="73"/>
      <c r="CW4260" s="73"/>
      <c r="CX4260" s="73"/>
      <c r="DA4260" s="650"/>
    </row>
    <row r="4261" spans="1:105" s="45" customFormat="1" x14ac:dyDescent="0.2">
      <c r="A4261" s="650"/>
      <c r="B4261" s="438"/>
      <c r="D4261" s="73"/>
      <c r="E4261" s="650"/>
      <c r="F4261" s="650"/>
      <c r="G4261" s="73"/>
      <c r="I4261" s="111"/>
      <c r="J4261" s="81"/>
      <c r="K4261" s="81"/>
      <c r="L4261" s="499"/>
      <c r="M4261" s="73"/>
      <c r="N4261" s="499"/>
      <c r="O4261" s="73"/>
      <c r="P4261" s="73"/>
      <c r="Q4261" s="73"/>
      <c r="R4261" s="176"/>
      <c r="S4261" s="176"/>
      <c r="T4261" s="176"/>
      <c r="U4261" s="400"/>
      <c r="V4261" s="400"/>
      <c r="W4261" s="732"/>
      <c r="X4261" s="167"/>
      <c r="Y4261" s="509"/>
      <c r="Z4261" s="466"/>
      <c r="AA4261" s="466"/>
      <c r="AB4261" s="466"/>
      <c r="AC4261" s="466"/>
      <c r="AD4261" s="466"/>
      <c r="AE4261" s="466"/>
      <c r="AF4261" s="466"/>
      <c r="AG4261" s="466"/>
      <c r="AH4261" s="466"/>
      <c r="AI4261" s="466"/>
      <c r="AJ4261" s="466"/>
      <c r="AK4261" s="466"/>
      <c r="AL4261" s="466"/>
      <c r="AM4261" s="466"/>
      <c r="AN4261" s="466"/>
      <c r="AO4261" s="466"/>
      <c r="AP4261" s="466"/>
      <c r="AQ4261" s="466"/>
      <c r="AR4261" s="466"/>
      <c r="AS4261" s="466"/>
      <c r="AT4261" s="466"/>
      <c r="AU4261" s="466"/>
      <c r="AV4261" s="466"/>
      <c r="AW4261" s="466"/>
      <c r="AX4261" s="466"/>
      <c r="AY4261" s="466"/>
      <c r="AZ4261" s="466"/>
      <c r="BA4261" s="466"/>
      <c r="BB4261" s="466"/>
      <c r="BC4261" s="466"/>
      <c r="BD4261" s="466"/>
      <c r="BE4261" s="467"/>
      <c r="BF4261" s="467"/>
      <c r="BG4261" s="466"/>
      <c r="BH4261" s="466"/>
      <c r="BI4261" s="467"/>
      <c r="BJ4261" s="467"/>
      <c r="BK4261" s="467"/>
      <c r="BL4261" s="467"/>
      <c r="BM4261" s="467"/>
      <c r="BN4261" s="467"/>
      <c r="BO4261" s="467"/>
      <c r="BP4261" s="467"/>
      <c r="BQ4261" s="467"/>
      <c r="BR4261" s="467"/>
      <c r="BS4261" s="467"/>
      <c r="BT4261" s="467"/>
      <c r="BU4261" s="467"/>
      <c r="BV4261" s="467"/>
      <c r="BW4261" s="467"/>
      <c r="BX4261" s="769"/>
      <c r="BY4261" s="769"/>
      <c r="BZ4261" s="769"/>
      <c r="CA4261" s="769"/>
      <c r="CB4261" s="769"/>
      <c r="CC4261" s="769"/>
      <c r="CD4261" s="769"/>
      <c r="CE4261" s="769"/>
      <c r="CF4261" s="769"/>
      <c r="CG4261" s="73"/>
      <c r="CH4261" s="438"/>
      <c r="CI4261" s="416"/>
      <c r="CJ4261" s="73"/>
      <c r="CK4261" s="650"/>
      <c r="CL4261" s="499"/>
      <c r="CM4261" s="650"/>
      <c r="CR4261" s="416"/>
      <c r="CS4261" s="650"/>
      <c r="CU4261" s="73"/>
      <c r="CV4261" s="73"/>
      <c r="CW4261" s="73"/>
      <c r="CX4261" s="73"/>
      <c r="DA4261" s="650"/>
    </row>
    <row r="4262" spans="1:105" s="45" customFormat="1" x14ac:dyDescent="0.2">
      <c r="A4262" s="650"/>
      <c r="B4262" s="438"/>
      <c r="D4262" s="73"/>
      <c r="E4262" s="650"/>
      <c r="F4262" s="650"/>
      <c r="G4262" s="73"/>
      <c r="I4262" s="111"/>
      <c r="J4262" s="81"/>
      <c r="K4262" s="81"/>
      <c r="L4262" s="499"/>
      <c r="M4262" s="73"/>
      <c r="N4262" s="499"/>
      <c r="O4262" s="73"/>
      <c r="P4262" s="73"/>
      <c r="Q4262" s="73"/>
      <c r="R4262" s="176"/>
      <c r="S4262" s="176"/>
      <c r="T4262" s="176"/>
      <c r="U4262" s="400"/>
      <c r="V4262" s="400"/>
      <c r="W4262" s="732"/>
      <c r="X4262" s="167"/>
      <c r="Y4262" s="509"/>
      <c r="Z4262" s="466"/>
      <c r="AA4262" s="466"/>
      <c r="AB4262" s="466"/>
      <c r="AC4262" s="466"/>
      <c r="AD4262" s="466"/>
      <c r="AE4262" s="466"/>
      <c r="AF4262" s="466"/>
      <c r="AG4262" s="466"/>
      <c r="AH4262" s="466"/>
      <c r="AI4262" s="466"/>
      <c r="AJ4262" s="466"/>
      <c r="AK4262" s="466"/>
      <c r="AL4262" s="466"/>
      <c r="AM4262" s="466"/>
      <c r="AN4262" s="466"/>
      <c r="AO4262" s="466"/>
      <c r="AP4262" s="466"/>
      <c r="AQ4262" s="466"/>
      <c r="AR4262" s="466"/>
      <c r="AS4262" s="466"/>
      <c r="AT4262" s="466"/>
      <c r="AU4262" s="466"/>
      <c r="AV4262" s="466"/>
      <c r="AW4262" s="466"/>
      <c r="AX4262" s="466"/>
      <c r="AY4262" s="466"/>
      <c r="AZ4262" s="466"/>
      <c r="BA4262" s="466"/>
      <c r="BB4262" s="466"/>
      <c r="BC4262" s="466"/>
      <c r="BD4262" s="466"/>
      <c r="BE4262" s="467"/>
      <c r="BF4262" s="467"/>
      <c r="BG4262" s="466"/>
      <c r="BH4262" s="466"/>
      <c r="BI4262" s="467"/>
      <c r="BJ4262" s="467"/>
      <c r="BK4262" s="467"/>
      <c r="BL4262" s="467"/>
      <c r="BM4262" s="467"/>
      <c r="BN4262" s="467"/>
      <c r="BO4262" s="467"/>
      <c r="BP4262" s="467"/>
      <c r="BQ4262" s="467"/>
      <c r="BR4262" s="467"/>
      <c r="BS4262" s="467"/>
      <c r="BT4262" s="467"/>
      <c r="BU4262" s="467"/>
      <c r="BV4262" s="467"/>
      <c r="BW4262" s="467"/>
      <c r="BX4262" s="769"/>
      <c r="BY4262" s="769"/>
      <c r="BZ4262" s="769"/>
      <c r="CA4262" s="769"/>
      <c r="CB4262" s="769"/>
      <c r="CC4262" s="769"/>
      <c r="CD4262" s="769"/>
      <c r="CE4262" s="769"/>
      <c r="CF4262" s="769"/>
      <c r="CG4262" s="73"/>
      <c r="CH4262" s="438"/>
      <c r="CI4262" s="416"/>
      <c r="CJ4262" s="73"/>
      <c r="CK4262" s="650"/>
      <c r="CL4262" s="499"/>
      <c r="CM4262" s="650"/>
      <c r="CR4262" s="416"/>
      <c r="CS4262" s="650"/>
      <c r="CU4262" s="73"/>
      <c r="CV4262" s="73"/>
      <c r="CW4262" s="73"/>
      <c r="CX4262" s="73"/>
      <c r="DA4262" s="650"/>
    </row>
    <row r="4263" spans="1:105" s="45" customFormat="1" x14ac:dyDescent="0.2">
      <c r="A4263" s="650"/>
      <c r="B4263" s="438"/>
      <c r="D4263" s="73"/>
      <c r="E4263" s="650"/>
      <c r="F4263" s="650"/>
      <c r="G4263" s="73"/>
      <c r="I4263" s="111"/>
      <c r="J4263" s="81"/>
      <c r="K4263" s="81"/>
      <c r="L4263" s="499"/>
      <c r="M4263" s="73"/>
      <c r="N4263" s="499"/>
      <c r="O4263" s="73"/>
      <c r="P4263" s="73"/>
      <c r="Q4263" s="73"/>
      <c r="R4263" s="176"/>
      <c r="S4263" s="176"/>
      <c r="T4263" s="176"/>
      <c r="U4263" s="400"/>
      <c r="V4263" s="400"/>
      <c r="W4263" s="732"/>
      <c r="X4263" s="167"/>
      <c r="Y4263" s="509"/>
      <c r="Z4263" s="466"/>
      <c r="AA4263" s="466"/>
      <c r="AB4263" s="466"/>
      <c r="AC4263" s="466"/>
      <c r="AD4263" s="466"/>
      <c r="AE4263" s="466"/>
      <c r="AF4263" s="466"/>
      <c r="AG4263" s="466"/>
      <c r="AH4263" s="466"/>
      <c r="AI4263" s="466"/>
      <c r="AJ4263" s="466"/>
      <c r="AK4263" s="466"/>
      <c r="AL4263" s="466"/>
      <c r="AM4263" s="466"/>
      <c r="AN4263" s="466"/>
      <c r="AO4263" s="466"/>
      <c r="AP4263" s="466"/>
      <c r="AQ4263" s="466"/>
      <c r="AR4263" s="466"/>
      <c r="AS4263" s="466"/>
      <c r="AT4263" s="466"/>
      <c r="AU4263" s="466"/>
      <c r="AV4263" s="466"/>
      <c r="AW4263" s="466"/>
      <c r="AX4263" s="466"/>
      <c r="AY4263" s="466"/>
      <c r="AZ4263" s="466"/>
      <c r="BA4263" s="466"/>
      <c r="BB4263" s="466"/>
      <c r="BC4263" s="466"/>
      <c r="BD4263" s="466"/>
      <c r="BE4263" s="467"/>
      <c r="BF4263" s="467"/>
      <c r="BG4263" s="466"/>
      <c r="BH4263" s="466"/>
      <c r="BI4263" s="467"/>
      <c r="BJ4263" s="467"/>
      <c r="BK4263" s="467"/>
      <c r="BL4263" s="467"/>
      <c r="BM4263" s="467"/>
      <c r="BN4263" s="467"/>
      <c r="BO4263" s="467"/>
      <c r="BP4263" s="467"/>
      <c r="BQ4263" s="467"/>
      <c r="BR4263" s="467"/>
      <c r="BS4263" s="467"/>
      <c r="BT4263" s="467"/>
      <c r="BU4263" s="467"/>
      <c r="BV4263" s="467"/>
      <c r="BW4263" s="467"/>
      <c r="BX4263" s="769"/>
      <c r="BY4263" s="769"/>
      <c r="BZ4263" s="769"/>
      <c r="CA4263" s="769"/>
      <c r="CB4263" s="769"/>
      <c r="CC4263" s="769"/>
      <c r="CD4263" s="769"/>
      <c r="CE4263" s="769"/>
      <c r="CF4263" s="769"/>
      <c r="CG4263" s="73"/>
      <c r="CH4263" s="438"/>
      <c r="CI4263" s="416"/>
      <c r="CJ4263" s="73"/>
      <c r="CK4263" s="650"/>
      <c r="CL4263" s="499"/>
      <c r="CM4263" s="650"/>
      <c r="CR4263" s="416"/>
      <c r="CS4263" s="650"/>
      <c r="CU4263" s="73"/>
      <c r="CV4263" s="73"/>
      <c r="CW4263" s="73"/>
      <c r="CX4263" s="73"/>
      <c r="DA4263" s="650"/>
    </row>
    <row r="4264" spans="1:105" s="45" customFormat="1" x14ac:dyDescent="0.2">
      <c r="A4264" s="650"/>
      <c r="B4264" s="438"/>
      <c r="D4264" s="73"/>
      <c r="E4264" s="650"/>
      <c r="F4264" s="650"/>
      <c r="G4264" s="73"/>
      <c r="I4264" s="111"/>
      <c r="J4264" s="81"/>
      <c r="K4264" s="81"/>
      <c r="L4264" s="499"/>
      <c r="M4264" s="73"/>
      <c r="N4264" s="499"/>
      <c r="O4264" s="73"/>
      <c r="P4264" s="73"/>
      <c r="Q4264" s="73"/>
      <c r="R4264" s="176"/>
      <c r="S4264" s="176"/>
      <c r="T4264" s="176"/>
      <c r="U4264" s="400"/>
      <c r="V4264" s="400"/>
      <c r="W4264" s="732"/>
      <c r="X4264" s="167"/>
      <c r="Y4264" s="509"/>
      <c r="Z4264" s="466"/>
      <c r="AA4264" s="466"/>
      <c r="AB4264" s="466"/>
      <c r="AC4264" s="466"/>
      <c r="AD4264" s="466"/>
      <c r="AE4264" s="466"/>
      <c r="AF4264" s="466"/>
      <c r="AG4264" s="466"/>
      <c r="AH4264" s="466"/>
      <c r="AI4264" s="466"/>
      <c r="AJ4264" s="466"/>
      <c r="AK4264" s="466"/>
      <c r="AL4264" s="466"/>
      <c r="AM4264" s="466"/>
      <c r="AN4264" s="466"/>
      <c r="AO4264" s="466"/>
      <c r="AP4264" s="466"/>
      <c r="AQ4264" s="466"/>
      <c r="AR4264" s="466"/>
      <c r="AS4264" s="466"/>
      <c r="AT4264" s="466"/>
      <c r="AU4264" s="466"/>
      <c r="AV4264" s="466"/>
      <c r="AW4264" s="466"/>
      <c r="AX4264" s="466"/>
      <c r="AY4264" s="466"/>
      <c r="AZ4264" s="466"/>
      <c r="BA4264" s="466"/>
      <c r="BB4264" s="466"/>
      <c r="BC4264" s="466"/>
      <c r="BD4264" s="466"/>
      <c r="BE4264" s="467"/>
      <c r="BF4264" s="467"/>
      <c r="BG4264" s="466"/>
      <c r="BH4264" s="466"/>
      <c r="BI4264" s="467"/>
      <c r="BJ4264" s="467"/>
      <c r="BK4264" s="467"/>
      <c r="BL4264" s="467"/>
      <c r="BM4264" s="467"/>
      <c r="BN4264" s="467"/>
      <c r="BO4264" s="467"/>
      <c r="BP4264" s="467"/>
      <c r="BQ4264" s="467"/>
      <c r="BR4264" s="467"/>
      <c r="BS4264" s="467"/>
      <c r="BT4264" s="467"/>
      <c r="BU4264" s="467"/>
      <c r="BV4264" s="467"/>
      <c r="BW4264" s="467"/>
      <c r="BX4264" s="769"/>
      <c r="BY4264" s="769"/>
      <c r="BZ4264" s="769"/>
      <c r="CA4264" s="769"/>
      <c r="CB4264" s="769"/>
      <c r="CC4264" s="769"/>
      <c r="CD4264" s="769"/>
      <c r="CE4264" s="769"/>
      <c r="CF4264" s="769"/>
      <c r="CG4264" s="73"/>
      <c r="CH4264" s="438"/>
      <c r="CI4264" s="416"/>
      <c r="CJ4264" s="73"/>
      <c r="CK4264" s="650"/>
      <c r="CL4264" s="499"/>
      <c r="CM4264" s="650"/>
      <c r="CR4264" s="416"/>
      <c r="CS4264" s="650"/>
      <c r="CU4264" s="73"/>
      <c r="CV4264" s="73"/>
      <c r="CW4264" s="73"/>
      <c r="CX4264" s="73"/>
      <c r="DA4264" s="650"/>
    </row>
    <row r="4265" spans="1:105" s="45" customFormat="1" x14ac:dyDescent="0.2">
      <c r="A4265" s="650"/>
      <c r="B4265" s="438"/>
      <c r="D4265" s="73"/>
      <c r="E4265" s="650"/>
      <c r="F4265" s="650"/>
      <c r="G4265" s="73"/>
      <c r="I4265" s="111"/>
      <c r="J4265" s="81"/>
      <c r="K4265" s="81"/>
      <c r="L4265" s="499"/>
      <c r="M4265" s="73"/>
      <c r="N4265" s="499"/>
      <c r="O4265" s="73"/>
      <c r="P4265" s="73"/>
      <c r="Q4265" s="73"/>
      <c r="R4265" s="176"/>
      <c r="S4265" s="176"/>
      <c r="T4265" s="176"/>
      <c r="U4265" s="400"/>
      <c r="V4265" s="400"/>
      <c r="W4265" s="732"/>
      <c r="X4265" s="167"/>
      <c r="Y4265" s="509"/>
      <c r="Z4265" s="466"/>
      <c r="AA4265" s="466"/>
      <c r="AB4265" s="466"/>
      <c r="AC4265" s="466"/>
      <c r="AD4265" s="466"/>
      <c r="AE4265" s="466"/>
      <c r="AF4265" s="466"/>
      <c r="AG4265" s="466"/>
      <c r="AH4265" s="466"/>
      <c r="AI4265" s="466"/>
      <c r="AJ4265" s="466"/>
      <c r="AK4265" s="466"/>
      <c r="AL4265" s="466"/>
      <c r="AM4265" s="466"/>
      <c r="AN4265" s="466"/>
      <c r="AO4265" s="466"/>
      <c r="AP4265" s="466"/>
      <c r="AQ4265" s="466"/>
      <c r="AR4265" s="466"/>
      <c r="AS4265" s="466"/>
      <c r="AT4265" s="466"/>
      <c r="AU4265" s="466"/>
      <c r="AV4265" s="466"/>
      <c r="AW4265" s="466"/>
      <c r="AX4265" s="466"/>
      <c r="AY4265" s="466"/>
      <c r="AZ4265" s="466"/>
      <c r="BA4265" s="466"/>
      <c r="BB4265" s="466"/>
      <c r="BC4265" s="466"/>
      <c r="BD4265" s="466"/>
      <c r="BE4265" s="467"/>
      <c r="BF4265" s="467"/>
      <c r="BG4265" s="466"/>
      <c r="BH4265" s="466"/>
      <c r="BI4265" s="467"/>
      <c r="BJ4265" s="467"/>
      <c r="BK4265" s="467"/>
      <c r="BL4265" s="467"/>
      <c r="BM4265" s="467"/>
      <c r="BN4265" s="467"/>
      <c r="BO4265" s="467"/>
      <c r="BP4265" s="467"/>
      <c r="BQ4265" s="467"/>
      <c r="BR4265" s="467"/>
      <c r="BS4265" s="467"/>
      <c r="BT4265" s="467"/>
      <c r="BU4265" s="467"/>
      <c r="BV4265" s="467"/>
      <c r="BW4265" s="467"/>
      <c r="BX4265" s="769"/>
      <c r="BY4265" s="769"/>
      <c r="BZ4265" s="769"/>
      <c r="CA4265" s="769"/>
      <c r="CB4265" s="769"/>
      <c r="CC4265" s="769"/>
      <c r="CD4265" s="769"/>
      <c r="CE4265" s="769"/>
      <c r="CF4265" s="769"/>
      <c r="CG4265" s="73"/>
      <c r="CH4265" s="438"/>
      <c r="CI4265" s="416"/>
      <c r="CJ4265" s="73"/>
      <c r="CK4265" s="650"/>
      <c r="CL4265" s="499"/>
      <c r="CM4265" s="650"/>
      <c r="CR4265" s="416"/>
      <c r="CS4265" s="650"/>
      <c r="CU4265" s="73"/>
      <c r="CV4265" s="73"/>
      <c r="CW4265" s="73"/>
      <c r="CX4265" s="73"/>
      <c r="DA4265" s="650"/>
    </row>
    <row r="4266" spans="1:105" s="45" customFormat="1" x14ac:dyDescent="0.2">
      <c r="A4266" s="650"/>
      <c r="B4266" s="438"/>
      <c r="D4266" s="73"/>
      <c r="E4266" s="650"/>
      <c r="F4266" s="650"/>
      <c r="G4266" s="73"/>
      <c r="I4266" s="111"/>
      <c r="J4266" s="81"/>
      <c r="K4266" s="81"/>
      <c r="L4266" s="499"/>
      <c r="M4266" s="73"/>
      <c r="N4266" s="499"/>
      <c r="O4266" s="73"/>
      <c r="P4266" s="73"/>
      <c r="Q4266" s="73"/>
      <c r="R4266" s="176"/>
      <c r="S4266" s="176"/>
      <c r="T4266" s="176"/>
      <c r="U4266" s="400"/>
      <c r="V4266" s="400"/>
      <c r="W4266" s="732"/>
      <c r="X4266" s="167"/>
      <c r="Y4266" s="509"/>
      <c r="Z4266" s="466"/>
      <c r="AA4266" s="466"/>
      <c r="AB4266" s="466"/>
      <c r="AC4266" s="466"/>
      <c r="AD4266" s="466"/>
      <c r="AE4266" s="466"/>
      <c r="AF4266" s="466"/>
      <c r="AG4266" s="466"/>
      <c r="AH4266" s="466"/>
      <c r="AI4266" s="466"/>
      <c r="AJ4266" s="466"/>
      <c r="AK4266" s="466"/>
      <c r="AL4266" s="466"/>
      <c r="AM4266" s="466"/>
      <c r="AN4266" s="466"/>
      <c r="AO4266" s="466"/>
      <c r="AP4266" s="466"/>
      <c r="AQ4266" s="466"/>
      <c r="AR4266" s="466"/>
      <c r="AS4266" s="466"/>
      <c r="AT4266" s="466"/>
      <c r="AU4266" s="466"/>
      <c r="AV4266" s="466"/>
      <c r="AW4266" s="466"/>
      <c r="AX4266" s="466"/>
      <c r="AY4266" s="466"/>
      <c r="AZ4266" s="466"/>
      <c r="BA4266" s="466"/>
      <c r="BB4266" s="466"/>
      <c r="BC4266" s="466"/>
      <c r="BD4266" s="466"/>
      <c r="BE4266" s="467"/>
      <c r="BF4266" s="467"/>
      <c r="BG4266" s="466"/>
      <c r="BH4266" s="466"/>
      <c r="BI4266" s="467"/>
      <c r="BJ4266" s="467"/>
      <c r="BK4266" s="467"/>
      <c r="BL4266" s="467"/>
      <c r="BM4266" s="467"/>
      <c r="BN4266" s="467"/>
      <c r="BO4266" s="467"/>
      <c r="BP4266" s="467"/>
      <c r="BQ4266" s="467"/>
      <c r="BR4266" s="467"/>
      <c r="BS4266" s="467"/>
      <c r="BT4266" s="467"/>
      <c r="BU4266" s="467"/>
      <c r="BV4266" s="467"/>
      <c r="BW4266" s="467"/>
      <c r="BX4266" s="769"/>
      <c r="BY4266" s="769"/>
      <c r="BZ4266" s="769"/>
      <c r="CA4266" s="769"/>
      <c r="CB4266" s="769"/>
      <c r="CC4266" s="769"/>
      <c r="CD4266" s="769"/>
      <c r="CE4266" s="769"/>
      <c r="CF4266" s="769"/>
      <c r="CG4266" s="73"/>
      <c r="CH4266" s="438"/>
      <c r="CI4266" s="416"/>
      <c r="CJ4266" s="73"/>
      <c r="CK4266" s="650"/>
      <c r="CL4266" s="499"/>
      <c r="CM4266" s="650"/>
      <c r="CR4266" s="416"/>
      <c r="CS4266" s="650"/>
      <c r="CU4266" s="73"/>
      <c r="CV4266" s="73"/>
      <c r="CW4266" s="73"/>
      <c r="CX4266" s="73"/>
      <c r="DA4266" s="650"/>
    </row>
    <row r="4267" spans="1:105" s="45" customFormat="1" x14ac:dyDescent="0.2">
      <c r="A4267" s="650"/>
      <c r="B4267" s="438"/>
      <c r="D4267" s="73"/>
      <c r="E4267" s="650"/>
      <c r="F4267" s="650"/>
      <c r="G4267" s="73"/>
      <c r="I4267" s="111"/>
      <c r="J4267" s="81"/>
      <c r="K4267" s="81"/>
      <c r="L4267" s="499"/>
      <c r="M4267" s="73"/>
      <c r="N4267" s="499"/>
      <c r="O4267" s="73"/>
      <c r="P4267" s="73"/>
      <c r="Q4267" s="73"/>
      <c r="R4267" s="176"/>
      <c r="S4267" s="176"/>
      <c r="T4267" s="176"/>
      <c r="U4267" s="400"/>
      <c r="V4267" s="400"/>
      <c r="W4267" s="732"/>
      <c r="X4267" s="167"/>
      <c r="Y4267" s="509"/>
      <c r="Z4267" s="466"/>
      <c r="AA4267" s="466"/>
      <c r="AB4267" s="466"/>
      <c r="AC4267" s="466"/>
      <c r="AD4267" s="466"/>
      <c r="AE4267" s="466"/>
      <c r="AF4267" s="466"/>
      <c r="AG4267" s="466"/>
      <c r="AH4267" s="466"/>
      <c r="AI4267" s="466"/>
      <c r="AJ4267" s="466"/>
      <c r="AK4267" s="466"/>
      <c r="AL4267" s="466"/>
      <c r="AM4267" s="466"/>
      <c r="AN4267" s="466"/>
      <c r="AO4267" s="466"/>
      <c r="AP4267" s="466"/>
      <c r="AQ4267" s="466"/>
      <c r="AR4267" s="466"/>
      <c r="AS4267" s="466"/>
      <c r="AT4267" s="466"/>
      <c r="AU4267" s="466"/>
      <c r="AV4267" s="466"/>
      <c r="AW4267" s="466"/>
      <c r="AX4267" s="466"/>
      <c r="AY4267" s="466"/>
      <c r="AZ4267" s="466"/>
      <c r="BA4267" s="466"/>
      <c r="BB4267" s="466"/>
      <c r="BC4267" s="466"/>
      <c r="BD4267" s="466"/>
      <c r="BE4267" s="467"/>
      <c r="BF4267" s="467"/>
      <c r="BG4267" s="466"/>
      <c r="BH4267" s="466"/>
      <c r="BI4267" s="467"/>
      <c r="BJ4267" s="467"/>
      <c r="BK4267" s="467"/>
      <c r="BL4267" s="467"/>
      <c r="BM4267" s="467"/>
      <c r="BN4267" s="467"/>
      <c r="BO4267" s="467"/>
      <c r="BP4267" s="467"/>
      <c r="BQ4267" s="467"/>
      <c r="BR4267" s="467"/>
      <c r="BS4267" s="467"/>
      <c r="BT4267" s="467"/>
      <c r="BU4267" s="467"/>
      <c r="BV4267" s="467"/>
      <c r="BW4267" s="467"/>
      <c r="BX4267" s="769"/>
      <c r="BY4267" s="769"/>
      <c r="BZ4267" s="769"/>
      <c r="CA4267" s="769"/>
      <c r="CB4267" s="769"/>
      <c r="CC4267" s="769"/>
      <c r="CD4267" s="769"/>
      <c r="CE4267" s="769"/>
      <c r="CF4267" s="769"/>
      <c r="CG4267" s="73"/>
      <c r="CH4267" s="438"/>
      <c r="CI4267" s="416"/>
      <c r="CJ4267" s="73"/>
      <c r="CK4267" s="650"/>
      <c r="CL4267" s="499"/>
      <c r="CM4267" s="650"/>
      <c r="CR4267" s="416"/>
      <c r="CS4267" s="650"/>
      <c r="CU4267" s="73"/>
      <c r="CV4267" s="73"/>
      <c r="CW4267" s="73"/>
      <c r="CX4267" s="73"/>
      <c r="DA4267" s="650"/>
    </row>
    <row r="4268" spans="1:105" s="45" customFormat="1" x14ac:dyDescent="0.2">
      <c r="A4268" s="650"/>
      <c r="B4268" s="438"/>
      <c r="D4268" s="73"/>
      <c r="E4268" s="650"/>
      <c r="F4268" s="650"/>
      <c r="G4268" s="73"/>
      <c r="I4268" s="111"/>
      <c r="J4268" s="81"/>
      <c r="K4268" s="81"/>
      <c r="L4268" s="499"/>
      <c r="M4268" s="73"/>
      <c r="N4268" s="499"/>
      <c r="O4268" s="73"/>
      <c r="P4268" s="73"/>
      <c r="Q4268" s="73"/>
      <c r="R4268" s="176"/>
      <c r="S4268" s="176"/>
      <c r="T4268" s="176"/>
      <c r="U4268" s="400"/>
      <c r="V4268" s="400"/>
      <c r="W4268" s="732"/>
      <c r="X4268" s="167"/>
      <c r="Y4268" s="509"/>
      <c r="Z4268" s="466"/>
      <c r="AA4268" s="466"/>
      <c r="AB4268" s="466"/>
      <c r="AC4268" s="466"/>
      <c r="AD4268" s="466"/>
      <c r="AE4268" s="466"/>
      <c r="AF4268" s="466"/>
      <c r="AG4268" s="466"/>
      <c r="AH4268" s="466"/>
      <c r="AI4268" s="466"/>
      <c r="AJ4268" s="466"/>
      <c r="AK4268" s="466"/>
      <c r="AL4268" s="466"/>
      <c r="AM4268" s="466"/>
      <c r="AN4268" s="466"/>
      <c r="AO4268" s="466"/>
      <c r="AP4268" s="466"/>
      <c r="AQ4268" s="466"/>
      <c r="AR4268" s="466"/>
      <c r="AS4268" s="466"/>
      <c r="AT4268" s="466"/>
      <c r="AU4268" s="466"/>
      <c r="AV4268" s="466"/>
      <c r="AW4268" s="466"/>
      <c r="AX4268" s="466"/>
      <c r="AY4268" s="466"/>
      <c r="AZ4268" s="466"/>
      <c r="BA4268" s="466"/>
      <c r="BB4268" s="466"/>
      <c r="BC4268" s="466"/>
      <c r="BD4268" s="466"/>
      <c r="BE4268" s="467"/>
      <c r="BF4268" s="467"/>
      <c r="BG4268" s="466"/>
      <c r="BH4268" s="466"/>
      <c r="BI4268" s="467"/>
      <c r="BJ4268" s="467"/>
      <c r="BK4268" s="467"/>
      <c r="BL4268" s="467"/>
      <c r="BM4268" s="467"/>
      <c r="BN4268" s="467"/>
      <c r="BO4268" s="467"/>
      <c r="BP4268" s="467"/>
      <c r="BQ4268" s="467"/>
      <c r="BR4268" s="467"/>
      <c r="BS4268" s="467"/>
      <c r="BT4268" s="467"/>
      <c r="BU4268" s="467"/>
      <c r="BV4268" s="467"/>
      <c r="BW4268" s="467"/>
      <c r="BX4268" s="769"/>
      <c r="BY4268" s="769"/>
      <c r="BZ4268" s="769"/>
      <c r="CA4268" s="769"/>
      <c r="CB4268" s="769"/>
      <c r="CC4268" s="769"/>
      <c r="CD4268" s="769"/>
      <c r="CE4268" s="769"/>
      <c r="CF4268" s="769"/>
      <c r="CG4268" s="73"/>
      <c r="CH4268" s="438"/>
      <c r="CI4268" s="416"/>
      <c r="CJ4268" s="73"/>
      <c r="CK4268" s="650"/>
      <c r="CL4268" s="499"/>
      <c r="CM4268" s="650"/>
      <c r="CR4268" s="416"/>
      <c r="CS4268" s="650"/>
      <c r="CU4268" s="73"/>
      <c r="CV4268" s="73"/>
      <c r="CW4268" s="73"/>
      <c r="CX4268" s="73"/>
      <c r="DA4268" s="650"/>
    </row>
    <row r="4269" spans="1:105" s="45" customFormat="1" x14ac:dyDescent="0.2">
      <c r="A4269" s="650"/>
      <c r="B4269" s="438"/>
      <c r="D4269" s="73"/>
      <c r="E4269" s="650"/>
      <c r="F4269" s="650"/>
      <c r="G4269" s="73"/>
      <c r="I4269" s="111"/>
      <c r="J4269" s="81"/>
      <c r="K4269" s="81"/>
      <c r="L4269" s="499"/>
      <c r="M4269" s="73"/>
      <c r="N4269" s="499"/>
      <c r="O4269" s="73"/>
      <c r="P4269" s="73"/>
      <c r="Q4269" s="73"/>
      <c r="R4269" s="176"/>
      <c r="S4269" s="176"/>
      <c r="T4269" s="176"/>
      <c r="U4269" s="400"/>
      <c r="V4269" s="400"/>
      <c r="W4269" s="732"/>
      <c r="X4269" s="167"/>
      <c r="Y4269" s="509"/>
      <c r="Z4269" s="466"/>
      <c r="AA4269" s="466"/>
      <c r="AB4269" s="466"/>
      <c r="AC4269" s="466"/>
      <c r="AD4269" s="466"/>
      <c r="AE4269" s="466"/>
      <c r="AF4269" s="466"/>
      <c r="AG4269" s="466"/>
      <c r="AH4269" s="466"/>
      <c r="AI4269" s="466"/>
      <c r="AJ4269" s="466"/>
      <c r="AK4269" s="466"/>
      <c r="AL4269" s="466"/>
      <c r="AM4269" s="466"/>
      <c r="AN4269" s="466"/>
      <c r="AO4269" s="466"/>
      <c r="AP4269" s="466"/>
      <c r="AQ4269" s="466"/>
      <c r="AR4269" s="466"/>
      <c r="AS4269" s="466"/>
      <c r="AT4269" s="466"/>
      <c r="AU4269" s="466"/>
      <c r="AV4269" s="466"/>
      <c r="AW4269" s="466"/>
      <c r="AX4269" s="466"/>
      <c r="AY4269" s="466"/>
      <c r="AZ4269" s="466"/>
      <c r="BA4269" s="466"/>
      <c r="BB4269" s="466"/>
      <c r="BC4269" s="466"/>
      <c r="BD4269" s="466"/>
      <c r="BE4269" s="467"/>
      <c r="BF4269" s="467"/>
      <c r="BG4269" s="466"/>
      <c r="BH4269" s="466"/>
      <c r="BI4269" s="467"/>
      <c r="BJ4269" s="467"/>
      <c r="BK4269" s="467"/>
      <c r="BL4269" s="467"/>
      <c r="BM4269" s="467"/>
      <c r="BN4269" s="467"/>
      <c r="BO4269" s="467"/>
      <c r="BP4269" s="467"/>
      <c r="BQ4269" s="467"/>
      <c r="BR4269" s="467"/>
      <c r="BS4269" s="467"/>
      <c r="BT4269" s="467"/>
      <c r="BU4269" s="467"/>
      <c r="BV4269" s="467"/>
      <c r="BW4269" s="467"/>
      <c r="BX4269" s="769"/>
      <c r="BY4269" s="769"/>
      <c r="BZ4269" s="769"/>
      <c r="CA4269" s="769"/>
      <c r="CB4269" s="769"/>
      <c r="CC4269" s="769"/>
      <c r="CD4269" s="769"/>
      <c r="CE4269" s="769"/>
      <c r="CF4269" s="769"/>
      <c r="CG4269" s="73"/>
      <c r="CH4269" s="438"/>
      <c r="CI4269" s="416"/>
      <c r="CJ4269" s="73"/>
      <c r="CK4269" s="650"/>
      <c r="CL4269" s="499"/>
      <c r="CM4269" s="650"/>
      <c r="CR4269" s="416"/>
      <c r="CS4269" s="650"/>
      <c r="CU4269" s="73"/>
      <c r="CV4269" s="73"/>
      <c r="CW4269" s="73"/>
      <c r="CX4269" s="73"/>
      <c r="DA4269" s="650"/>
    </row>
    <row r="4270" spans="1:105" s="45" customFormat="1" x14ac:dyDescent="0.2">
      <c r="A4270" s="650"/>
      <c r="B4270" s="438"/>
      <c r="D4270" s="73"/>
      <c r="E4270" s="650"/>
      <c r="F4270" s="650"/>
      <c r="G4270" s="73"/>
      <c r="I4270" s="111"/>
      <c r="J4270" s="81"/>
      <c r="K4270" s="81"/>
      <c r="L4270" s="499"/>
      <c r="M4270" s="73"/>
      <c r="N4270" s="499"/>
      <c r="O4270" s="73"/>
      <c r="P4270" s="73"/>
      <c r="Q4270" s="73"/>
      <c r="R4270" s="176"/>
      <c r="S4270" s="176"/>
      <c r="T4270" s="176"/>
      <c r="U4270" s="400"/>
      <c r="V4270" s="400"/>
      <c r="W4270" s="732"/>
      <c r="X4270" s="167"/>
      <c r="Y4270" s="509"/>
      <c r="Z4270" s="466"/>
      <c r="AA4270" s="466"/>
      <c r="AB4270" s="466"/>
      <c r="AC4270" s="466"/>
      <c r="AD4270" s="466"/>
      <c r="AE4270" s="466"/>
      <c r="AF4270" s="466"/>
      <c r="AG4270" s="466"/>
      <c r="AH4270" s="466"/>
      <c r="AI4270" s="466"/>
      <c r="AJ4270" s="466"/>
      <c r="AK4270" s="466"/>
      <c r="AL4270" s="466"/>
      <c r="AM4270" s="466"/>
      <c r="AN4270" s="466"/>
      <c r="AO4270" s="466"/>
      <c r="AP4270" s="466"/>
      <c r="AQ4270" s="466"/>
      <c r="AR4270" s="466"/>
      <c r="AS4270" s="466"/>
      <c r="AT4270" s="466"/>
      <c r="AU4270" s="466"/>
      <c r="AV4270" s="466"/>
      <c r="AW4270" s="466"/>
      <c r="AX4270" s="466"/>
      <c r="AY4270" s="466"/>
      <c r="AZ4270" s="466"/>
      <c r="BA4270" s="466"/>
      <c r="BB4270" s="466"/>
      <c r="BC4270" s="466"/>
      <c r="BD4270" s="466"/>
      <c r="BE4270" s="467"/>
      <c r="BF4270" s="467"/>
      <c r="BG4270" s="466"/>
      <c r="BH4270" s="466"/>
      <c r="BI4270" s="467"/>
      <c r="BJ4270" s="467"/>
      <c r="BK4270" s="467"/>
      <c r="BL4270" s="467"/>
      <c r="BM4270" s="467"/>
      <c r="BN4270" s="467"/>
      <c r="BO4270" s="467"/>
      <c r="BP4270" s="467"/>
      <c r="BQ4270" s="467"/>
      <c r="BR4270" s="467"/>
      <c r="BS4270" s="467"/>
      <c r="BT4270" s="467"/>
      <c r="BU4270" s="467"/>
      <c r="BV4270" s="467"/>
      <c r="BW4270" s="467"/>
      <c r="BX4270" s="769"/>
      <c r="BY4270" s="769"/>
      <c r="BZ4270" s="769"/>
      <c r="CA4270" s="769"/>
      <c r="CB4270" s="769"/>
      <c r="CC4270" s="769"/>
      <c r="CD4270" s="769"/>
      <c r="CE4270" s="769"/>
      <c r="CF4270" s="769"/>
      <c r="CG4270" s="73"/>
      <c r="CH4270" s="438"/>
      <c r="CI4270" s="416"/>
      <c r="CJ4270" s="73"/>
      <c r="CK4270" s="650"/>
      <c r="CL4270" s="499"/>
      <c r="CM4270" s="650"/>
      <c r="CR4270" s="416"/>
      <c r="CS4270" s="650"/>
      <c r="CU4270" s="73"/>
      <c r="CV4270" s="73"/>
      <c r="CW4270" s="73"/>
      <c r="CX4270" s="73"/>
      <c r="DA4270" s="650"/>
    </row>
    <row r="4271" spans="1:105" s="45" customFormat="1" x14ac:dyDescent="0.2">
      <c r="A4271" s="650"/>
      <c r="B4271" s="438"/>
      <c r="D4271" s="73"/>
      <c r="E4271" s="650"/>
      <c r="F4271" s="650"/>
      <c r="G4271" s="73"/>
      <c r="I4271" s="111"/>
      <c r="J4271" s="81"/>
      <c r="K4271" s="81"/>
      <c r="L4271" s="499"/>
      <c r="M4271" s="73"/>
      <c r="N4271" s="499"/>
      <c r="O4271" s="73"/>
      <c r="P4271" s="73"/>
      <c r="Q4271" s="73"/>
      <c r="R4271" s="176"/>
      <c r="S4271" s="176"/>
      <c r="T4271" s="176"/>
      <c r="U4271" s="400"/>
      <c r="V4271" s="400"/>
      <c r="W4271" s="732"/>
      <c r="X4271" s="167"/>
      <c r="Y4271" s="509"/>
      <c r="Z4271" s="466"/>
      <c r="AA4271" s="466"/>
      <c r="AB4271" s="466"/>
      <c r="AC4271" s="466"/>
      <c r="AD4271" s="466"/>
      <c r="AE4271" s="466"/>
      <c r="AF4271" s="466"/>
      <c r="AG4271" s="466"/>
      <c r="AH4271" s="466"/>
      <c r="AI4271" s="466"/>
      <c r="AJ4271" s="466"/>
      <c r="AK4271" s="466"/>
      <c r="AL4271" s="466"/>
      <c r="AM4271" s="466"/>
      <c r="AN4271" s="466"/>
      <c r="AO4271" s="466"/>
      <c r="AP4271" s="466"/>
      <c r="AQ4271" s="466"/>
      <c r="AR4271" s="466"/>
      <c r="AS4271" s="466"/>
      <c r="AT4271" s="466"/>
      <c r="AU4271" s="466"/>
      <c r="AV4271" s="466"/>
      <c r="AW4271" s="466"/>
      <c r="AX4271" s="466"/>
      <c r="AY4271" s="466"/>
      <c r="AZ4271" s="466"/>
      <c r="BA4271" s="466"/>
      <c r="BB4271" s="466"/>
      <c r="BC4271" s="466"/>
      <c r="BD4271" s="466"/>
      <c r="BE4271" s="467"/>
      <c r="BF4271" s="467"/>
      <c r="BG4271" s="466"/>
      <c r="BH4271" s="466"/>
      <c r="BI4271" s="467"/>
      <c r="BJ4271" s="467"/>
      <c r="BK4271" s="467"/>
      <c r="BL4271" s="467"/>
      <c r="BM4271" s="467"/>
      <c r="BN4271" s="467"/>
      <c r="BO4271" s="467"/>
      <c r="BP4271" s="467"/>
      <c r="BQ4271" s="467"/>
      <c r="BR4271" s="467"/>
      <c r="BS4271" s="467"/>
      <c r="BT4271" s="467"/>
      <c r="BU4271" s="467"/>
      <c r="BV4271" s="467"/>
      <c r="BW4271" s="467"/>
      <c r="BX4271" s="769"/>
      <c r="BY4271" s="769"/>
      <c r="BZ4271" s="769"/>
      <c r="CA4271" s="769"/>
      <c r="CB4271" s="769"/>
      <c r="CC4271" s="769"/>
      <c r="CD4271" s="769"/>
      <c r="CE4271" s="769"/>
      <c r="CF4271" s="769"/>
      <c r="CG4271" s="73"/>
      <c r="CH4271" s="438"/>
      <c r="CI4271" s="416"/>
      <c r="CJ4271" s="73"/>
      <c r="CK4271" s="650"/>
      <c r="CL4271" s="499"/>
      <c r="CM4271" s="650"/>
      <c r="CR4271" s="416"/>
      <c r="CS4271" s="650"/>
      <c r="CU4271" s="73"/>
      <c r="CV4271" s="73"/>
      <c r="CW4271" s="73"/>
      <c r="CX4271" s="73"/>
      <c r="DA4271" s="650"/>
    </row>
    <row r="4272" spans="1:105" s="45" customFormat="1" x14ac:dyDescent="0.2">
      <c r="A4272" s="650"/>
      <c r="B4272" s="438"/>
      <c r="D4272" s="73"/>
      <c r="E4272" s="650"/>
      <c r="F4272" s="650"/>
      <c r="G4272" s="73"/>
      <c r="I4272" s="111"/>
      <c r="J4272" s="81"/>
      <c r="K4272" s="81"/>
      <c r="L4272" s="499"/>
      <c r="M4272" s="73"/>
      <c r="N4272" s="499"/>
      <c r="O4272" s="73"/>
      <c r="P4272" s="73"/>
      <c r="Q4272" s="73"/>
      <c r="R4272" s="176"/>
      <c r="S4272" s="176"/>
      <c r="T4272" s="176"/>
      <c r="U4272" s="400"/>
      <c r="V4272" s="400"/>
      <c r="W4272" s="732"/>
      <c r="X4272" s="167"/>
      <c r="Y4272" s="509"/>
      <c r="Z4272" s="466"/>
      <c r="AA4272" s="466"/>
      <c r="AB4272" s="466"/>
      <c r="AC4272" s="466"/>
      <c r="AD4272" s="466"/>
      <c r="AE4272" s="466"/>
      <c r="AF4272" s="466"/>
      <c r="AG4272" s="466"/>
      <c r="AH4272" s="466"/>
      <c r="AI4272" s="466"/>
      <c r="AJ4272" s="466"/>
      <c r="AK4272" s="466"/>
      <c r="AL4272" s="466"/>
      <c r="AM4272" s="466"/>
      <c r="AN4272" s="466"/>
      <c r="AO4272" s="466"/>
      <c r="AP4272" s="466"/>
      <c r="AQ4272" s="466"/>
      <c r="AR4272" s="466"/>
      <c r="AS4272" s="466"/>
      <c r="AT4272" s="466"/>
      <c r="AU4272" s="466"/>
      <c r="AV4272" s="466"/>
      <c r="AW4272" s="466"/>
      <c r="AX4272" s="466"/>
      <c r="AY4272" s="466"/>
      <c r="AZ4272" s="466"/>
      <c r="BA4272" s="466"/>
      <c r="BB4272" s="466"/>
      <c r="BC4272" s="466"/>
      <c r="BD4272" s="466"/>
      <c r="BE4272" s="467"/>
      <c r="BF4272" s="467"/>
      <c r="BG4272" s="466"/>
      <c r="BH4272" s="466"/>
      <c r="BI4272" s="467"/>
      <c r="BJ4272" s="467"/>
      <c r="BK4272" s="467"/>
      <c r="BL4272" s="467"/>
      <c r="BM4272" s="467"/>
      <c r="BN4272" s="467"/>
      <c r="BO4272" s="467"/>
      <c r="BP4272" s="467"/>
      <c r="BQ4272" s="467"/>
      <c r="BR4272" s="467"/>
      <c r="BS4272" s="467"/>
      <c r="BT4272" s="467"/>
      <c r="BU4272" s="467"/>
      <c r="BV4272" s="467"/>
      <c r="BW4272" s="467"/>
      <c r="BX4272" s="769"/>
      <c r="BY4272" s="769"/>
      <c r="BZ4272" s="769"/>
      <c r="CA4272" s="769"/>
      <c r="CB4272" s="769"/>
      <c r="CC4272" s="769"/>
      <c r="CD4272" s="769"/>
      <c r="CE4272" s="769"/>
      <c r="CF4272" s="769"/>
      <c r="CG4272" s="73"/>
      <c r="CH4272" s="438"/>
      <c r="CI4272" s="416"/>
      <c r="CJ4272" s="73"/>
      <c r="CK4272" s="650"/>
      <c r="CL4272" s="499"/>
      <c r="CM4272" s="650"/>
      <c r="CR4272" s="416"/>
      <c r="CS4272" s="650"/>
      <c r="CU4272" s="73"/>
      <c r="CV4272" s="73"/>
      <c r="CW4272" s="73"/>
      <c r="CX4272" s="73"/>
      <c r="DA4272" s="650"/>
    </row>
    <row r="4273" spans="1:105" s="45" customFormat="1" x14ac:dyDescent="0.2">
      <c r="A4273" s="650"/>
      <c r="B4273" s="438"/>
      <c r="D4273" s="73"/>
      <c r="E4273" s="650"/>
      <c r="F4273" s="650"/>
      <c r="G4273" s="73"/>
      <c r="I4273" s="111"/>
      <c r="J4273" s="81"/>
      <c r="K4273" s="81"/>
      <c r="L4273" s="499"/>
      <c r="M4273" s="73"/>
      <c r="N4273" s="499"/>
      <c r="O4273" s="73"/>
      <c r="P4273" s="73"/>
      <c r="Q4273" s="73"/>
      <c r="R4273" s="176"/>
      <c r="S4273" s="176"/>
      <c r="T4273" s="176"/>
      <c r="U4273" s="400"/>
      <c r="V4273" s="400"/>
      <c r="W4273" s="732"/>
      <c r="X4273" s="167"/>
      <c r="Y4273" s="509"/>
      <c r="Z4273" s="466"/>
      <c r="AA4273" s="466"/>
      <c r="AB4273" s="466"/>
      <c r="AC4273" s="466"/>
      <c r="AD4273" s="466"/>
      <c r="AE4273" s="466"/>
      <c r="AF4273" s="466"/>
      <c r="AG4273" s="466"/>
      <c r="AH4273" s="466"/>
      <c r="AI4273" s="466"/>
      <c r="AJ4273" s="466"/>
      <c r="AK4273" s="466"/>
      <c r="AL4273" s="466"/>
      <c r="AM4273" s="466"/>
      <c r="AN4273" s="466"/>
      <c r="AO4273" s="466"/>
      <c r="AP4273" s="466"/>
      <c r="AQ4273" s="466"/>
      <c r="AR4273" s="466"/>
      <c r="AS4273" s="466"/>
      <c r="AT4273" s="466"/>
      <c r="AU4273" s="466"/>
      <c r="AV4273" s="466"/>
      <c r="AW4273" s="466"/>
      <c r="AX4273" s="466"/>
      <c r="AY4273" s="466"/>
      <c r="AZ4273" s="466"/>
      <c r="BA4273" s="466"/>
      <c r="BB4273" s="466"/>
      <c r="BC4273" s="466"/>
      <c r="BD4273" s="466"/>
      <c r="BE4273" s="467"/>
      <c r="BF4273" s="467"/>
      <c r="BG4273" s="466"/>
      <c r="BH4273" s="466"/>
      <c r="BI4273" s="467"/>
      <c r="BJ4273" s="467"/>
      <c r="BK4273" s="467"/>
      <c r="BL4273" s="467"/>
      <c r="BM4273" s="467"/>
      <c r="BN4273" s="467"/>
      <c r="BO4273" s="467"/>
      <c r="BP4273" s="467"/>
      <c r="BQ4273" s="467"/>
      <c r="BR4273" s="467"/>
      <c r="BS4273" s="467"/>
      <c r="BT4273" s="467"/>
      <c r="BU4273" s="467"/>
      <c r="BV4273" s="467"/>
      <c r="BW4273" s="467"/>
      <c r="BX4273" s="769"/>
      <c r="BY4273" s="769"/>
      <c r="BZ4273" s="769"/>
      <c r="CA4273" s="769"/>
      <c r="CB4273" s="769"/>
      <c r="CC4273" s="769"/>
      <c r="CD4273" s="769"/>
      <c r="CE4273" s="769"/>
      <c r="CF4273" s="769"/>
      <c r="CG4273" s="73"/>
      <c r="CH4273" s="438"/>
      <c r="CI4273" s="416"/>
      <c r="CJ4273" s="73"/>
      <c r="CK4273" s="650"/>
      <c r="CL4273" s="499"/>
      <c r="CM4273" s="650"/>
      <c r="CR4273" s="416"/>
      <c r="CS4273" s="650"/>
      <c r="CU4273" s="73"/>
      <c r="CV4273" s="73"/>
      <c r="CW4273" s="73"/>
      <c r="CX4273" s="73"/>
      <c r="DA4273" s="650"/>
    </row>
    <row r="4274" spans="1:105" s="45" customFormat="1" x14ac:dyDescent="0.2">
      <c r="A4274" s="650"/>
      <c r="B4274" s="438"/>
      <c r="D4274" s="73"/>
      <c r="E4274" s="650"/>
      <c r="F4274" s="650"/>
      <c r="G4274" s="73"/>
      <c r="I4274" s="111"/>
      <c r="J4274" s="81"/>
      <c r="K4274" s="81"/>
      <c r="L4274" s="499"/>
      <c r="M4274" s="73"/>
      <c r="N4274" s="499"/>
      <c r="O4274" s="73"/>
      <c r="P4274" s="73"/>
      <c r="Q4274" s="73"/>
      <c r="R4274" s="176"/>
      <c r="S4274" s="176"/>
      <c r="T4274" s="176"/>
      <c r="U4274" s="400"/>
      <c r="V4274" s="400"/>
      <c r="W4274" s="732"/>
      <c r="X4274" s="167"/>
      <c r="Y4274" s="509"/>
      <c r="Z4274" s="466"/>
      <c r="AA4274" s="466"/>
      <c r="AB4274" s="466"/>
      <c r="AC4274" s="466"/>
      <c r="AD4274" s="466"/>
      <c r="AE4274" s="466"/>
      <c r="AF4274" s="466"/>
      <c r="AG4274" s="466"/>
      <c r="AH4274" s="466"/>
      <c r="AI4274" s="466"/>
      <c r="AJ4274" s="466"/>
      <c r="AK4274" s="466"/>
      <c r="AL4274" s="466"/>
      <c r="AM4274" s="466"/>
      <c r="AN4274" s="466"/>
      <c r="AO4274" s="466"/>
      <c r="AP4274" s="466"/>
      <c r="AQ4274" s="466"/>
      <c r="AR4274" s="466"/>
      <c r="AS4274" s="466"/>
      <c r="AT4274" s="466"/>
      <c r="AU4274" s="466"/>
      <c r="AV4274" s="466"/>
      <c r="AW4274" s="466"/>
      <c r="AX4274" s="466"/>
      <c r="AY4274" s="466"/>
      <c r="AZ4274" s="466"/>
      <c r="BA4274" s="466"/>
      <c r="BB4274" s="466"/>
      <c r="BC4274" s="466"/>
      <c r="BD4274" s="466"/>
      <c r="BE4274" s="467"/>
      <c r="BF4274" s="467"/>
      <c r="BG4274" s="466"/>
      <c r="BH4274" s="466"/>
      <c r="BI4274" s="467"/>
      <c r="BJ4274" s="467"/>
      <c r="BK4274" s="467"/>
      <c r="BL4274" s="467"/>
      <c r="BM4274" s="467"/>
      <c r="BN4274" s="467"/>
      <c r="BO4274" s="467"/>
      <c r="BP4274" s="467"/>
      <c r="BQ4274" s="467"/>
      <c r="BR4274" s="467"/>
      <c r="BS4274" s="467"/>
      <c r="BT4274" s="467"/>
      <c r="BU4274" s="467"/>
      <c r="BV4274" s="467"/>
      <c r="BW4274" s="467"/>
      <c r="BX4274" s="769"/>
      <c r="BY4274" s="769"/>
      <c r="BZ4274" s="769"/>
      <c r="CA4274" s="769"/>
      <c r="CB4274" s="769"/>
      <c r="CC4274" s="769"/>
      <c r="CD4274" s="769"/>
      <c r="CE4274" s="769"/>
      <c r="CF4274" s="769"/>
      <c r="CG4274" s="73"/>
      <c r="CH4274" s="438"/>
      <c r="CI4274" s="416"/>
      <c r="CJ4274" s="73"/>
      <c r="CK4274" s="650"/>
      <c r="CL4274" s="499"/>
      <c r="CM4274" s="650"/>
      <c r="CR4274" s="416"/>
      <c r="CS4274" s="650"/>
      <c r="CU4274" s="73"/>
      <c r="CV4274" s="73"/>
      <c r="CW4274" s="73"/>
      <c r="CX4274" s="73"/>
      <c r="DA4274" s="650"/>
    </row>
    <row r="4275" spans="1:105" s="45" customFormat="1" x14ac:dyDescent="0.2">
      <c r="A4275" s="650"/>
      <c r="B4275" s="438"/>
      <c r="D4275" s="73"/>
      <c r="E4275" s="650"/>
      <c r="F4275" s="650"/>
      <c r="G4275" s="73"/>
      <c r="I4275" s="111"/>
      <c r="J4275" s="81"/>
      <c r="K4275" s="81"/>
      <c r="L4275" s="499"/>
      <c r="M4275" s="73"/>
      <c r="N4275" s="499"/>
      <c r="O4275" s="73"/>
      <c r="P4275" s="73"/>
      <c r="Q4275" s="73"/>
      <c r="R4275" s="176"/>
      <c r="S4275" s="176"/>
      <c r="T4275" s="176"/>
      <c r="U4275" s="400"/>
      <c r="V4275" s="400"/>
      <c r="W4275" s="732"/>
      <c r="X4275" s="167"/>
      <c r="Y4275" s="509"/>
      <c r="Z4275" s="466"/>
      <c r="AA4275" s="466"/>
      <c r="AB4275" s="466"/>
      <c r="AC4275" s="466"/>
      <c r="AD4275" s="466"/>
      <c r="AE4275" s="466"/>
      <c r="AF4275" s="466"/>
      <c r="AG4275" s="466"/>
      <c r="AH4275" s="466"/>
      <c r="AI4275" s="466"/>
      <c r="AJ4275" s="466"/>
      <c r="AK4275" s="466"/>
      <c r="AL4275" s="466"/>
      <c r="AM4275" s="466"/>
      <c r="AN4275" s="466"/>
      <c r="AO4275" s="466"/>
      <c r="AP4275" s="466"/>
      <c r="AQ4275" s="466"/>
      <c r="AR4275" s="466"/>
      <c r="AS4275" s="466"/>
      <c r="AT4275" s="466"/>
      <c r="AU4275" s="466"/>
      <c r="AV4275" s="466"/>
      <c r="AW4275" s="466"/>
      <c r="AX4275" s="466"/>
      <c r="AY4275" s="466"/>
      <c r="AZ4275" s="466"/>
      <c r="BA4275" s="466"/>
      <c r="BB4275" s="466"/>
      <c r="BC4275" s="466"/>
      <c r="BD4275" s="466"/>
      <c r="BE4275" s="467"/>
      <c r="BF4275" s="467"/>
      <c r="BG4275" s="466"/>
      <c r="BH4275" s="466"/>
      <c r="BI4275" s="467"/>
      <c r="BJ4275" s="467"/>
      <c r="BK4275" s="467"/>
      <c r="BL4275" s="467"/>
      <c r="BM4275" s="467"/>
      <c r="BN4275" s="467"/>
      <c r="BO4275" s="467"/>
      <c r="BP4275" s="467"/>
      <c r="BQ4275" s="467"/>
      <c r="BR4275" s="467"/>
      <c r="BS4275" s="467"/>
      <c r="BT4275" s="467"/>
      <c r="BU4275" s="467"/>
      <c r="BV4275" s="467"/>
      <c r="BW4275" s="467"/>
      <c r="BX4275" s="769"/>
      <c r="BY4275" s="769"/>
      <c r="BZ4275" s="769"/>
      <c r="CA4275" s="769"/>
      <c r="CB4275" s="769"/>
      <c r="CC4275" s="769"/>
      <c r="CD4275" s="769"/>
      <c r="CE4275" s="769"/>
      <c r="CF4275" s="769"/>
      <c r="CG4275" s="73"/>
      <c r="CH4275" s="438"/>
      <c r="CI4275" s="416"/>
      <c r="CJ4275" s="73"/>
      <c r="CK4275" s="650"/>
      <c r="CL4275" s="499"/>
      <c r="CM4275" s="650"/>
      <c r="CR4275" s="416"/>
      <c r="CS4275" s="650"/>
      <c r="CU4275" s="73"/>
      <c r="CV4275" s="73"/>
      <c r="CW4275" s="73"/>
      <c r="CX4275" s="73"/>
      <c r="DA4275" s="650"/>
    </row>
    <row r="4276" spans="1:105" s="45" customFormat="1" x14ac:dyDescent="0.2">
      <c r="A4276" s="650"/>
      <c r="B4276" s="438"/>
      <c r="D4276" s="73"/>
      <c r="E4276" s="650"/>
      <c r="F4276" s="650"/>
      <c r="G4276" s="73"/>
      <c r="I4276" s="111"/>
      <c r="J4276" s="81"/>
      <c r="K4276" s="81"/>
      <c r="L4276" s="499"/>
      <c r="M4276" s="73"/>
      <c r="N4276" s="499"/>
      <c r="O4276" s="73"/>
      <c r="P4276" s="73"/>
      <c r="Q4276" s="73"/>
      <c r="R4276" s="176"/>
      <c r="S4276" s="176"/>
      <c r="T4276" s="176"/>
      <c r="U4276" s="400"/>
      <c r="V4276" s="400"/>
      <c r="W4276" s="732"/>
      <c r="X4276" s="167"/>
      <c r="Y4276" s="509"/>
      <c r="Z4276" s="466"/>
      <c r="AA4276" s="466"/>
      <c r="AB4276" s="466"/>
      <c r="AC4276" s="466"/>
      <c r="AD4276" s="466"/>
      <c r="AE4276" s="466"/>
      <c r="AF4276" s="466"/>
      <c r="AG4276" s="466"/>
      <c r="AH4276" s="466"/>
      <c r="AI4276" s="466"/>
      <c r="AJ4276" s="466"/>
      <c r="AK4276" s="466"/>
      <c r="AL4276" s="466"/>
      <c r="AM4276" s="466"/>
      <c r="AN4276" s="466"/>
      <c r="AO4276" s="466"/>
      <c r="AP4276" s="466"/>
      <c r="AQ4276" s="466"/>
      <c r="AR4276" s="466"/>
      <c r="AS4276" s="466"/>
      <c r="AT4276" s="466"/>
      <c r="AU4276" s="466"/>
      <c r="AV4276" s="466"/>
      <c r="AW4276" s="466"/>
      <c r="AX4276" s="466"/>
      <c r="AY4276" s="466"/>
      <c r="AZ4276" s="466"/>
      <c r="BA4276" s="466"/>
      <c r="BB4276" s="466"/>
      <c r="BC4276" s="466"/>
      <c r="BD4276" s="466"/>
      <c r="BE4276" s="467"/>
      <c r="BF4276" s="467"/>
      <c r="BG4276" s="466"/>
      <c r="BH4276" s="466"/>
      <c r="BI4276" s="467"/>
      <c r="BJ4276" s="467"/>
      <c r="BK4276" s="467"/>
      <c r="BL4276" s="467"/>
      <c r="BM4276" s="467"/>
      <c r="BN4276" s="467"/>
      <c r="BO4276" s="467"/>
      <c r="BP4276" s="467"/>
      <c r="BQ4276" s="467"/>
      <c r="BR4276" s="467"/>
      <c r="BS4276" s="467"/>
      <c r="BT4276" s="467"/>
      <c r="BU4276" s="467"/>
      <c r="BV4276" s="467"/>
      <c r="BW4276" s="467"/>
      <c r="BX4276" s="769"/>
      <c r="BY4276" s="769"/>
      <c r="BZ4276" s="769"/>
      <c r="CA4276" s="769"/>
      <c r="CB4276" s="769"/>
      <c r="CC4276" s="769"/>
      <c r="CD4276" s="769"/>
      <c r="CE4276" s="769"/>
      <c r="CF4276" s="769"/>
      <c r="CG4276" s="73"/>
      <c r="CH4276" s="438"/>
      <c r="CI4276" s="416"/>
      <c r="CJ4276" s="73"/>
      <c r="CK4276" s="650"/>
      <c r="CL4276" s="499"/>
      <c r="CM4276" s="650"/>
      <c r="CR4276" s="416"/>
      <c r="CS4276" s="650"/>
      <c r="CU4276" s="73"/>
      <c r="CV4276" s="73"/>
      <c r="CW4276" s="73"/>
      <c r="CX4276" s="73"/>
      <c r="DA4276" s="650"/>
    </row>
    <row r="4277" spans="1:105" s="45" customFormat="1" x14ac:dyDescent="0.2">
      <c r="A4277" s="650"/>
      <c r="B4277" s="438"/>
      <c r="D4277" s="73"/>
      <c r="E4277" s="650"/>
      <c r="F4277" s="650"/>
      <c r="G4277" s="73"/>
      <c r="I4277" s="111"/>
      <c r="J4277" s="81"/>
      <c r="K4277" s="81"/>
      <c r="L4277" s="499"/>
      <c r="M4277" s="73"/>
      <c r="N4277" s="499"/>
      <c r="O4277" s="73"/>
      <c r="P4277" s="73"/>
      <c r="Q4277" s="73"/>
      <c r="R4277" s="176"/>
      <c r="S4277" s="176"/>
      <c r="T4277" s="176"/>
      <c r="U4277" s="400"/>
      <c r="V4277" s="400"/>
      <c r="W4277" s="732"/>
      <c r="X4277" s="167"/>
      <c r="Y4277" s="509"/>
      <c r="Z4277" s="466"/>
      <c r="AA4277" s="466"/>
      <c r="AB4277" s="466"/>
      <c r="AC4277" s="466"/>
      <c r="AD4277" s="466"/>
      <c r="AE4277" s="466"/>
      <c r="AF4277" s="466"/>
      <c r="AG4277" s="466"/>
      <c r="AH4277" s="466"/>
      <c r="AI4277" s="466"/>
      <c r="AJ4277" s="466"/>
      <c r="AK4277" s="466"/>
      <c r="AL4277" s="466"/>
      <c r="AM4277" s="466"/>
      <c r="AN4277" s="466"/>
      <c r="AO4277" s="466"/>
      <c r="AP4277" s="466"/>
      <c r="AQ4277" s="466"/>
      <c r="AR4277" s="466"/>
      <c r="AS4277" s="466"/>
      <c r="AT4277" s="466"/>
      <c r="AU4277" s="466"/>
      <c r="AV4277" s="466"/>
      <c r="AW4277" s="466"/>
      <c r="AX4277" s="466"/>
      <c r="AY4277" s="466"/>
      <c r="AZ4277" s="466"/>
      <c r="BA4277" s="466"/>
      <c r="BB4277" s="466"/>
      <c r="BC4277" s="466"/>
      <c r="BD4277" s="466"/>
      <c r="BE4277" s="467"/>
      <c r="BF4277" s="467"/>
      <c r="BG4277" s="466"/>
      <c r="BH4277" s="466"/>
      <c r="BI4277" s="467"/>
      <c r="BJ4277" s="467"/>
      <c r="BK4277" s="467"/>
      <c r="BL4277" s="467"/>
      <c r="BM4277" s="467"/>
      <c r="BN4277" s="467"/>
      <c r="BO4277" s="467"/>
      <c r="BP4277" s="467"/>
      <c r="BQ4277" s="467"/>
      <c r="BR4277" s="467"/>
      <c r="BS4277" s="467"/>
      <c r="BT4277" s="467"/>
      <c r="BU4277" s="467"/>
      <c r="BV4277" s="467"/>
      <c r="BW4277" s="467"/>
      <c r="BX4277" s="769"/>
      <c r="BY4277" s="769"/>
      <c r="BZ4277" s="769"/>
      <c r="CA4277" s="769"/>
      <c r="CB4277" s="769"/>
      <c r="CC4277" s="769"/>
      <c r="CD4277" s="769"/>
      <c r="CE4277" s="769"/>
      <c r="CF4277" s="769"/>
      <c r="CG4277" s="73"/>
      <c r="CH4277" s="438"/>
      <c r="CI4277" s="416"/>
      <c r="CJ4277" s="73"/>
      <c r="CK4277" s="650"/>
      <c r="CL4277" s="499"/>
      <c r="CM4277" s="650"/>
      <c r="CR4277" s="416"/>
      <c r="CS4277" s="650"/>
      <c r="CU4277" s="73"/>
      <c r="CV4277" s="73"/>
      <c r="CW4277" s="73"/>
      <c r="CX4277" s="73"/>
      <c r="DA4277" s="650"/>
    </row>
    <row r="4278" spans="1:105" s="45" customFormat="1" x14ac:dyDescent="0.2">
      <c r="A4278" s="650"/>
      <c r="B4278" s="438"/>
      <c r="D4278" s="73"/>
      <c r="E4278" s="650"/>
      <c r="F4278" s="650"/>
      <c r="G4278" s="73"/>
      <c r="I4278" s="111"/>
      <c r="J4278" s="81"/>
      <c r="K4278" s="81"/>
      <c r="L4278" s="499"/>
      <c r="M4278" s="73"/>
      <c r="N4278" s="499"/>
      <c r="O4278" s="73"/>
      <c r="P4278" s="73"/>
      <c r="Q4278" s="73"/>
      <c r="R4278" s="176"/>
      <c r="S4278" s="176"/>
      <c r="T4278" s="176"/>
      <c r="U4278" s="400"/>
      <c r="V4278" s="400"/>
      <c r="W4278" s="732"/>
      <c r="X4278" s="167"/>
      <c r="Y4278" s="509"/>
      <c r="Z4278" s="466"/>
      <c r="AA4278" s="466"/>
      <c r="AB4278" s="466"/>
      <c r="AC4278" s="466"/>
      <c r="AD4278" s="466"/>
      <c r="AE4278" s="466"/>
      <c r="AF4278" s="466"/>
      <c r="AG4278" s="466"/>
      <c r="AH4278" s="466"/>
      <c r="AI4278" s="466"/>
      <c r="AJ4278" s="466"/>
      <c r="AK4278" s="466"/>
      <c r="AL4278" s="466"/>
      <c r="AM4278" s="466"/>
      <c r="AN4278" s="466"/>
      <c r="AO4278" s="466"/>
      <c r="AP4278" s="466"/>
      <c r="AQ4278" s="466"/>
      <c r="AR4278" s="466"/>
      <c r="AS4278" s="466"/>
      <c r="AT4278" s="466"/>
      <c r="AU4278" s="466"/>
      <c r="AV4278" s="466"/>
      <c r="AW4278" s="466"/>
      <c r="AX4278" s="466"/>
      <c r="AY4278" s="466"/>
      <c r="AZ4278" s="466"/>
      <c r="BA4278" s="466"/>
      <c r="BB4278" s="466"/>
      <c r="BC4278" s="466"/>
      <c r="BD4278" s="466"/>
      <c r="BE4278" s="467"/>
      <c r="BF4278" s="467"/>
      <c r="BG4278" s="466"/>
      <c r="BH4278" s="466"/>
      <c r="BI4278" s="467"/>
      <c r="BJ4278" s="467"/>
      <c r="BK4278" s="467"/>
      <c r="BL4278" s="467"/>
      <c r="BM4278" s="467"/>
      <c r="BN4278" s="467"/>
      <c r="BO4278" s="467"/>
      <c r="BP4278" s="467"/>
      <c r="BQ4278" s="467"/>
      <c r="BR4278" s="467"/>
      <c r="BS4278" s="467"/>
      <c r="BT4278" s="467"/>
      <c r="BU4278" s="467"/>
      <c r="BV4278" s="467"/>
      <c r="BW4278" s="467"/>
      <c r="BX4278" s="769"/>
      <c r="BY4278" s="769"/>
      <c r="BZ4278" s="769"/>
      <c r="CA4278" s="769"/>
      <c r="CB4278" s="769"/>
      <c r="CC4278" s="769"/>
      <c r="CD4278" s="769"/>
      <c r="CE4278" s="769"/>
      <c r="CF4278" s="769"/>
      <c r="CG4278" s="73"/>
      <c r="CH4278" s="438"/>
      <c r="CI4278" s="416"/>
      <c r="CJ4278" s="73"/>
      <c r="CK4278" s="650"/>
      <c r="CL4278" s="499"/>
      <c r="CM4278" s="650"/>
      <c r="CR4278" s="416"/>
      <c r="CS4278" s="650"/>
      <c r="CU4278" s="73"/>
      <c r="CV4278" s="73"/>
      <c r="CW4278" s="73"/>
      <c r="CX4278" s="73"/>
      <c r="DA4278" s="650"/>
    </row>
    <row r="4279" spans="1:105" s="45" customFormat="1" x14ac:dyDescent="0.2">
      <c r="A4279" s="650"/>
      <c r="B4279" s="438"/>
      <c r="D4279" s="73"/>
      <c r="E4279" s="650"/>
      <c r="F4279" s="650"/>
      <c r="G4279" s="73"/>
      <c r="I4279" s="111"/>
      <c r="J4279" s="81"/>
      <c r="K4279" s="81"/>
      <c r="L4279" s="499"/>
      <c r="M4279" s="73"/>
      <c r="N4279" s="499"/>
      <c r="O4279" s="73"/>
      <c r="P4279" s="73"/>
      <c r="Q4279" s="73"/>
      <c r="R4279" s="176"/>
      <c r="S4279" s="176"/>
      <c r="T4279" s="176"/>
      <c r="U4279" s="400"/>
      <c r="V4279" s="400"/>
      <c r="W4279" s="732"/>
      <c r="X4279" s="167"/>
      <c r="Y4279" s="509"/>
      <c r="Z4279" s="466"/>
      <c r="AA4279" s="466"/>
      <c r="AB4279" s="466"/>
      <c r="AC4279" s="466"/>
      <c r="AD4279" s="466"/>
      <c r="AE4279" s="466"/>
      <c r="AF4279" s="466"/>
      <c r="AG4279" s="466"/>
      <c r="AH4279" s="466"/>
      <c r="AI4279" s="466"/>
      <c r="AJ4279" s="466"/>
      <c r="AK4279" s="466"/>
      <c r="AL4279" s="466"/>
      <c r="AM4279" s="466"/>
      <c r="AN4279" s="466"/>
      <c r="AO4279" s="466"/>
      <c r="AP4279" s="466"/>
      <c r="AQ4279" s="466"/>
      <c r="AR4279" s="466"/>
      <c r="AS4279" s="466"/>
      <c r="AT4279" s="466"/>
      <c r="AU4279" s="466"/>
      <c r="AV4279" s="466"/>
      <c r="AW4279" s="466"/>
      <c r="AX4279" s="466"/>
      <c r="AY4279" s="466"/>
      <c r="AZ4279" s="466"/>
      <c r="BA4279" s="466"/>
      <c r="BB4279" s="466"/>
      <c r="BC4279" s="466"/>
      <c r="BD4279" s="466"/>
      <c r="BE4279" s="467"/>
      <c r="BF4279" s="467"/>
      <c r="BG4279" s="466"/>
      <c r="BH4279" s="466"/>
      <c r="BI4279" s="467"/>
      <c r="BJ4279" s="467"/>
      <c r="BK4279" s="467"/>
      <c r="BL4279" s="467"/>
      <c r="BM4279" s="467"/>
      <c r="BN4279" s="467"/>
      <c r="BO4279" s="467"/>
      <c r="BP4279" s="467"/>
      <c r="BQ4279" s="467"/>
      <c r="BR4279" s="467"/>
      <c r="BS4279" s="467"/>
      <c r="BT4279" s="467"/>
      <c r="BU4279" s="467"/>
      <c r="BV4279" s="467"/>
      <c r="BW4279" s="467"/>
      <c r="BX4279" s="769"/>
      <c r="BY4279" s="769"/>
      <c r="BZ4279" s="769"/>
      <c r="CA4279" s="769"/>
      <c r="CB4279" s="769"/>
      <c r="CC4279" s="769"/>
      <c r="CD4279" s="769"/>
      <c r="CE4279" s="769"/>
      <c r="CF4279" s="769"/>
      <c r="CG4279" s="73"/>
      <c r="CH4279" s="438"/>
      <c r="CI4279" s="416"/>
      <c r="CJ4279" s="73"/>
      <c r="CK4279" s="650"/>
      <c r="CL4279" s="499"/>
      <c r="CM4279" s="650"/>
      <c r="CR4279" s="416"/>
      <c r="CS4279" s="650"/>
      <c r="CU4279" s="73"/>
      <c r="CV4279" s="73"/>
      <c r="CW4279" s="73"/>
      <c r="CX4279" s="73"/>
      <c r="DA4279" s="650"/>
    </row>
    <row r="4280" spans="1:105" s="45" customFormat="1" x14ac:dyDescent="0.2">
      <c r="A4280" s="650"/>
      <c r="B4280" s="438"/>
      <c r="D4280" s="73"/>
      <c r="E4280" s="650"/>
      <c r="F4280" s="650"/>
      <c r="G4280" s="73"/>
      <c r="I4280" s="111"/>
      <c r="J4280" s="81"/>
      <c r="K4280" s="81"/>
      <c r="L4280" s="499"/>
      <c r="M4280" s="73"/>
      <c r="N4280" s="499"/>
      <c r="O4280" s="73"/>
      <c r="P4280" s="73"/>
      <c r="Q4280" s="73"/>
      <c r="R4280" s="176"/>
      <c r="S4280" s="176"/>
      <c r="T4280" s="176"/>
      <c r="U4280" s="400"/>
      <c r="V4280" s="400"/>
      <c r="W4280" s="732"/>
      <c r="X4280" s="167"/>
      <c r="Y4280" s="509"/>
      <c r="Z4280" s="466"/>
      <c r="AA4280" s="466"/>
      <c r="AB4280" s="466"/>
      <c r="AC4280" s="466"/>
      <c r="AD4280" s="466"/>
      <c r="AE4280" s="466"/>
      <c r="AF4280" s="466"/>
      <c r="AG4280" s="466"/>
      <c r="AH4280" s="466"/>
      <c r="AI4280" s="466"/>
      <c r="AJ4280" s="466"/>
      <c r="AK4280" s="466"/>
      <c r="AL4280" s="466"/>
      <c r="AM4280" s="466"/>
      <c r="AN4280" s="466"/>
      <c r="AO4280" s="466"/>
      <c r="AP4280" s="466"/>
      <c r="AQ4280" s="466"/>
      <c r="AR4280" s="466"/>
      <c r="AS4280" s="466"/>
      <c r="AT4280" s="466"/>
      <c r="AU4280" s="466"/>
      <c r="AV4280" s="466"/>
      <c r="AW4280" s="466"/>
      <c r="AX4280" s="466"/>
      <c r="AY4280" s="466"/>
      <c r="AZ4280" s="466"/>
      <c r="BA4280" s="466"/>
      <c r="BB4280" s="466"/>
      <c r="BC4280" s="466"/>
      <c r="BD4280" s="466"/>
      <c r="BE4280" s="467"/>
      <c r="BF4280" s="467"/>
      <c r="BG4280" s="466"/>
      <c r="BH4280" s="466"/>
      <c r="BI4280" s="467"/>
      <c r="BJ4280" s="467"/>
      <c r="BK4280" s="467"/>
      <c r="BL4280" s="467"/>
      <c r="BM4280" s="467"/>
      <c r="BN4280" s="467"/>
      <c r="BO4280" s="467"/>
      <c r="BP4280" s="467"/>
      <c r="BQ4280" s="467"/>
      <c r="BR4280" s="467"/>
      <c r="BS4280" s="467"/>
      <c r="BT4280" s="467"/>
      <c r="BU4280" s="467"/>
      <c r="BV4280" s="467"/>
      <c r="BW4280" s="467"/>
      <c r="BX4280" s="769"/>
      <c r="BY4280" s="769"/>
      <c r="BZ4280" s="769"/>
      <c r="CA4280" s="769"/>
      <c r="CB4280" s="769"/>
      <c r="CC4280" s="769"/>
      <c r="CD4280" s="769"/>
      <c r="CE4280" s="769"/>
      <c r="CF4280" s="769"/>
      <c r="CG4280" s="73"/>
      <c r="CH4280" s="438"/>
      <c r="CI4280" s="416"/>
      <c r="CJ4280" s="73"/>
      <c r="CK4280" s="650"/>
      <c r="CL4280" s="499"/>
      <c r="CM4280" s="650"/>
      <c r="CR4280" s="416"/>
      <c r="CS4280" s="650"/>
      <c r="CU4280" s="73"/>
      <c r="CV4280" s="73"/>
      <c r="CW4280" s="73"/>
      <c r="CX4280" s="73"/>
      <c r="DA4280" s="650"/>
    </row>
    <row r="4281" spans="1:105" s="45" customFormat="1" x14ac:dyDescent="0.2">
      <c r="A4281" s="650"/>
      <c r="B4281" s="438"/>
      <c r="D4281" s="73"/>
      <c r="E4281" s="650"/>
      <c r="F4281" s="650"/>
      <c r="G4281" s="73"/>
      <c r="I4281" s="111"/>
      <c r="J4281" s="81"/>
      <c r="K4281" s="81"/>
      <c r="L4281" s="499"/>
      <c r="M4281" s="73"/>
      <c r="N4281" s="499"/>
      <c r="O4281" s="73"/>
      <c r="P4281" s="73"/>
      <c r="Q4281" s="73"/>
      <c r="R4281" s="176"/>
      <c r="S4281" s="176"/>
      <c r="T4281" s="176"/>
      <c r="U4281" s="400"/>
      <c r="V4281" s="400"/>
      <c r="W4281" s="732"/>
      <c r="X4281" s="167"/>
      <c r="Y4281" s="509"/>
      <c r="Z4281" s="466"/>
      <c r="AA4281" s="466"/>
      <c r="AB4281" s="466"/>
      <c r="AC4281" s="466"/>
      <c r="AD4281" s="466"/>
      <c r="AE4281" s="466"/>
      <c r="AF4281" s="466"/>
      <c r="AG4281" s="466"/>
      <c r="AH4281" s="466"/>
      <c r="AI4281" s="466"/>
      <c r="AJ4281" s="466"/>
      <c r="AK4281" s="466"/>
      <c r="AL4281" s="466"/>
      <c r="AM4281" s="466"/>
      <c r="AN4281" s="466"/>
      <c r="AO4281" s="466"/>
      <c r="AP4281" s="466"/>
      <c r="AQ4281" s="466"/>
      <c r="AR4281" s="466"/>
      <c r="AS4281" s="466"/>
      <c r="AT4281" s="466"/>
      <c r="AU4281" s="466"/>
      <c r="AV4281" s="466"/>
      <c r="AW4281" s="466"/>
      <c r="AX4281" s="466"/>
      <c r="AY4281" s="466"/>
      <c r="AZ4281" s="466"/>
      <c r="BA4281" s="466"/>
      <c r="BB4281" s="466"/>
      <c r="BC4281" s="466"/>
      <c r="BD4281" s="466"/>
      <c r="BE4281" s="467"/>
      <c r="BF4281" s="467"/>
      <c r="BG4281" s="466"/>
      <c r="BH4281" s="466"/>
      <c r="BI4281" s="467"/>
      <c r="BJ4281" s="467"/>
      <c r="BK4281" s="467"/>
      <c r="BL4281" s="467"/>
      <c r="BM4281" s="467"/>
      <c r="BN4281" s="467"/>
      <c r="BO4281" s="467"/>
      <c r="BP4281" s="467"/>
      <c r="BQ4281" s="467"/>
      <c r="BR4281" s="467"/>
      <c r="BS4281" s="467"/>
      <c r="BT4281" s="467"/>
      <c r="BU4281" s="467"/>
      <c r="BV4281" s="467"/>
      <c r="BW4281" s="467"/>
      <c r="BX4281" s="769"/>
      <c r="BY4281" s="769"/>
      <c r="BZ4281" s="769"/>
      <c r="CA4281" s="769"/>
      <c r="CB4281" s="769"/>
      <c r="CC4281" s="769"/>
      <c r="CD4281" s="769"/>
      <c r="CE4281" s="769"/>
      <c r="CF4281" s="769"/>
      <c r="CG4281" s="73"/>
      <c r="CH4281" s="438"/>
      <c r="CI4281" s="416"/>
      <c r="CJ4281" s="73"/>
      <c r="CK4281" s="650"/>
      <c r="CL4281" s="499"/>
      <c r="CM4281" s="650"/>
      <c r="CR4281" s="416"/>
      <c r="CS4281" s="650"/>
      <c r="CU4281" s="73"/>
      <c r="CV4281" s="73"/>
      <c r="CW4281" s="73"/>
      <c r="CX4281" s="73"/>
      <c r="DA4281" s="650"/>
    </row>
    <row r="4282" spans="1:105" s="45" customFormat="1" x14ac:dyDescent="0.2">
      <c r="A4282" s="650"/>
      <c r="B4282" s="438"/>
      <c r="D4282" s="73"/>
      <c r="E4282" s="650"/>
      <c r="F4282" s="650"/>
      <c r="G4282" s="73"/>
      <c r="I4282" s="111"/>
      <c r="J4282" s="81"/>
      <c r="K4282" s="81"/>
      <c r="L4282" s="499"/>
      <c r="M4282" s="73"/>
      <c r="N4282" s="499"/>
      <c r="O4282" s="73"/>
      <c r="P4282" s="73"/>
      <c r="Q4282" s="73"/>
      <c r="R4282" s="176"/>
      <c r="S4282" s="176"/>
      <c r="T4282" s="176"/>
      <c r="U4282" s="400"/>
      <c r="V4282" s="400"/>
      <c r="W4282" s="732"/>
      <c r="X4282" s="167"/>
      <c r="Y4282" s="509"/>
      <c r="Z4282" s="466"/>
      <c r="AA4282" s="466"/>
      <c r="AB4282" s="466"/>
      <c r="AC4282" s="466"/>
      <c r="AD4282" s="466"/>
      <c r="AE4282" s="466"/>
      <c r="AF4282" s="466"/>
      <c r="AG4282" s="466"/>
      <c r="AH4282" s="466"/>
      <c r="AI4282" s="466"/>
      <c r="AJ4282" s="466"/>
      <c r="AK4282" s="466"/>
      <c r="AL4282" s="466"/>
      <c r="AM4282" s="466"/>
      <c r="AN4282" s="466"/>
      <c r="AO4282" s="466"/>
      <c r="AP4282" s="466"/>
      <c r="AQ4282" s="466"/>
      <c r="AR4282" s="466"/>
      <c r="AS4282" s="466"/>
      <c r="AT4282" s="466"/>
      <c r="AU4282" s="466"/>
      <c r="AV4282" s="466"/>
      <c r="AW4282" s="466"/>
      <c r="AX4282" s="466"/>
      <c r="AY4282" s="466"/>
      <c r="AZ4282" s="466"/>
      <c r="BA4282" s="466"/>
      <c r="BB4282" s="466"/>
      <c r="BC4282" s="466"/>
      <c r="BD4282" s="466"/>
      <c r="BE4282" s="467"/>
      <c r="BF4282" s="467"/>
      <c r="BG4282" s="466"/>
      <c r="BH4282" s="466"/>
      <c r="BI4282" s="467"/>
      <c r="BJ4282" s="467"/>
      <c r="BK4282" s="467"/>
      <c r="BL4282" s="467"/>
      <c r="BM4282" s="467"/>
      <c r="BN4282" s="467"/>
      <c r="BO4282" s="467"/>
      <c r="BP4282" s="467"/>
      <c r="BQ4282" s="467"/>
      <c r="BR4282" s="467"/>
      <c r="BS4282" s="467"/>
      <c r="BT4282" s="467"/>
      <c r="BU4282" s="467"/>
      <c r="BV4282" s="467"/>
      <c r="BW4282" s="467"/>
      <c r="BX4282" s="769"/>
      <c r="BY4282" s="769"/>
      <c r="BZ4282" s="769"/>
      <c r="CA4282" s="769"/>
      <c r="CB4282" s="769"/>
      <c r="CC4282" s="769"/>
      <c r="CD4282" s="769"/>
      <c r="CE4282" s="769"/>
      <c r="CF4282" s="769"/>
      <c r="CG4282" s="73"/>
      <c r="CH4282" s="438"/>
      <c r="CI4282" s="416"/>
      <c r="CJ4282" s="73"/>
      <c r="CK4282" s="650"/>
      <c r="CL4282" s="499"/>
      <c r="CM4282" s="650"/>
      <c r="CR4282" s="416"/>
      <c r="CS4282" s="650"/>
      <c r="CU4282" s="73"/>
      <c r="CV4282" s="73"/>
      <c r="CW4282" s="73"/>
      <c r="CX4282" s="73"/>
      <c r="DA4282" s="650"/>
    </row>
    <row r="4283" spans="1:105" s="45" customFormat="1" x14ac:dyDescent="0.2">
      <c r="A4283" s="650"/>
      <c r="B4283" s="438"/>
      <c r="D4283" s="73"/>
      <c r="E4283" s="650"/>
      <c r="F4283" s="650"/>
      <c r="G4283" s="73"/>
      <c r="I4283" s="111"/>
      <c r="J4283" s="81"/>
      <c r="K4283" s="81"/>
      <c r="L4283" s="499"/>
      <c r="M4283" s="73"/>
      <c r="N4283" s="499"/>
      <c r="O4283" s="73"/>
      <c r="P4283" s="73"/>
      <c r="Q4283" s="73"/>
      <c r="R4283" s="176"/>
      <c r="S4283" s="176"/>
      <c r="T4283" s="176"/>
      <c r="U4283" s="400"/>
      <c r="V4283" s="400"/>
      <c r="W4283" s="732"/>
      <c r="X4283" s="167"/>
      <c r="Y4283" s="509"/>
      <c r="Z4283" s="466"/>
      <c r="AA4283" s="466"/>
      <c r="AB4283" s="466"/>
      <c r="AC4283" s="466"/>
      <c r="AD4283" s="466"/>
      <c r="AE4283" s="466"/>
      <c r="AF4283" s="466"/>
      <c r="AG4283" s="466"/>
      <c r="AH4283" s="466"/>
      <c r="AI4283" s="466"/>
      <c r="AJ4283" s="466"/>
      <c r="AK4283" s="466"/>
      <c r="AL4283" s="466"/>
      <c r="AM4283" s="466"/>
      <c r="AN4283" s="466"/>
      <c r="AO4283" s="466"/>
      <c r="AP4283" s="466"/>
      <c r="AQ4283" s="466"/>
      <c r="AR4283" s="466"/>
      <c r="AS4283" s="466"/>
      <c r="AT4283" s="466"/>
      <c r="AU4283" s="466"/>
      <c r="AV4283" s="466"/>
      <c r="AW4283" s="466"/>
      <c r="AX4283" s="466"/>
      <c r="AY4283" s="466"/>
      <c r="AZ4283" s="466"/>
      <c r="BA4283" s="466"/>
      <c r="BB4283" s="466"/>
      <c r="BC4283" s="466"/>
      <c r="BD4283" s="466"/>
      <c r="BE4283" s="467"/>
      <c r="BF4283" s="467"/>
      <c r="BG4283" s="466"/>
      <c r="BH4283" s="466"/>
      <c r="BI4283" s="467"/>
      <c r="BJ4283" s="467"/>
      <c r="BK4283" s="467"/>
      <c r="BL4283" s="467"/>
      <c r="BM4283" s="467"/>
      <c r="BN4283" s="467"/>
      <c r="BO4283" s="467"/>
      <c r="BP4283" s="467"/>
      <c r="BQ4283" s="467"/>
      <c r="BR4283" s="467"/>
      <c r="BS4283" s="467"/>
      <c r="BT4283" s="467"/>
      <c r="BU4283" s="467"/>
      <c r="BV4283" s="467"/>
      <c r="BW4283" s="467"/>
      <c r="BX4283" s="769"/>
      <c r="BY4283" s="769"/>
      <c r="BZ4283" s="769"/>
      <c r="CA4283" s="769"/>
      <c r="CB4283" s="769"/>
      <c r="CC4283" s="769"/>
      <c r="CD4283" s="769"/>
      <c r="CE4283" s="769"/>
      <c r="CF4283" s="769"/>
      <c r="CG4283" s="73"/>
      <c r="CH4283" s="438"/>
      <c r="CI4283" s="416"/>
      <c r="CJ4283" s="73"/>
      <c r="CK4283" s="650"/>
      <c r="CL4283" s="499"/>
      <c r="CM4283" s="650"/>
      <c r="CR4283" s="416"/>
      <c r="CS4283" s="650"/>
      <c r="CU4283" s="73"/>
      <c r="CV4283" s="73"/>
      <c r="CW4283" s="73"/>
      <c r="CX4283" s="73"/>
      <c r="DA4283" s="650"/>
    </row>
    <row r="4284" spans="1:105" s="45" customFormat="1" x14ac:dyDescent="0.2">
      <c r="A4284" s="650"/>
      <c r="B4284" s="438"/>
      <c r="D4284" s="73"/>
      <c r="E4284" s="650"/>
      <c r="F4284" s="650"/>
      <c r="G4284" s="73"/>
      <c r="I4284" s="111"/>
      <c r="J4284" s="81"/>
      <c r="K4284" s="81"/>
      <c r="L4284" s="499"/>
      <c r="M4284" s="73"/>
      <c r="N4284" s="499"/>
      <c r="O4284" s="73"/>
      <c r="P4284" s="73"/>
      <c r="Q4284" s="73"/>
      <c r="R4284" s="176"/>
      <c r="S4284" s="176"/>
      <c r="T4284" s="176"/>
      <c r="U4284" s="400"/>
      <c r="V4284" s="400"/>
      <c r="W4284" s="732"/>
      <c r="X4284" s="167"/>
      <c r="Y4284" s="509"/>
      <c r="Z4284" s="466"/>
      <c r="AA4284" s="466"/>
      <c r="AB4284" s="466"/>
      <c r="AC4284" s="466"/>
      <c r="AD4284" s="466"/>
      <c r="AE4284" s="466"/>
      <c r="AF4284" s="466"/>
      <c r="AG4284" s="466"/>
      <c r="AH4284" s="466"/>
      <c r="AI4284" s="466"/>
      <c r="AJ4284" s="466"/>
      <c r="AK4284" s="466"/>
      <c r="AL4284" s="466"/>
      <c r="AM4284" s="466"/>
      <c r="AN4284" s="466"/>
      <c r="AO4284" s="466"/>
      <c r="AP4284" s="466"/>
      <c r="AQ4284" s="466"/>
      <c r="AR4284" s="466"/>
      <c r="AS4284" s="466"/>
      <c r="AT4284" s="466"/>
      <c r="AU4284" s="466"/>
      <c r="AV4284" s="466"/>
      <c r="AW4284" s="466"/>
      <c r="AX4284" s="466"/>
      <c r="AY4284" s="466"/>
      <c r="AZ4284" s="466"/>
      <c r="BA4284" s="466"/>
      <c r="BB4284" s="466"/>
      <c r="BC4284" s="466"/>
      <c r="BD4284" s="466"/>
      <c r="BE4284" s="467"/>
      <c r="BF4284" s="467"/>
      <c r="BG4284" s="466"/>
      <c r="BH4284" s="466"/>
      <c r="BI4284" s="467"/>
      <c r="BJ4284" s="467"/>
      <c r="BK4284" s="467"/>
      <c r="BL4284" s="467"/>
      <c r="BM4284" s="467"/>
      <c r="BN4284" s="467"/>
      <c r="BO4284" s="467"/>
      <c r="BP4284" s="467"/>
      <c r="BQ4284" s="467"/>
      <c r="BR4284" s="467"/>
      <c r="BS4284" s="467"/>
      <c r="BT4284" s="467"/>
      <c r="BU4284" s="467"/>
      <c r="BV4284" s="467"/>
      <c r="BW4284" s="467"/>
      <c r="BX4284" s="769"/>
      <c r="BY4284" s="769"/>
      <c r="BZ4284" s="769"/>
      <c r="CA4284" s="769"/>
      <c r="CB4284" s="769"/>
      <c r="CC4284" s="769"/>
      <c r="CD4284" s="769"/>
      <c r="CE4284" s="769"/>
      <c r="CF4284" s="769"/>
      <c r="CG4284" s="73"/>
      <c r="CH4284" s="438"/>
      <c r="CI4284" s="416"/>
      <c r="CJ4284" s="73"/>
      <c r="CK4284" s="650"/>
      <c r="CL4284" s="499"/>
      <c r="CM4284" s="650"/>
      <c r="CR4284" s="416"/>
      <c r="CS4284" s="650"/>
      <c r="CU4284" s="73"/>
      <c r="CV4284" s="73"/>
      <c r="CW4284" s="73"/>
      <c r="CX4284" s="73"/>
      <c r="DA4284" s="650"/>
    </row>
    <row r="4285" spans="1:105" s="45" customFormat="1" x14ac:dyDescent="0.2">
      <c r="A4285" s="650"/>
      <c r="B4285" s="438"/>
      <c r="D4285" s="73"/>
      <c r="E4285" s="650"/>
      <c r="F4285" s="650"/>
      <c r="G4285" s="73"/>
      <c r="I4285" s="111"/>
      <c r="J4285" s="81"/>
      <c r="K4285" s="81"/>
      <c r="L4285" s="499"/>
      <c r="M4285" s="73"/>
      <c r="N4285" s="499"/>
      <c r="O4285" s="73"/>
      <c r="P4285" s="73"/>
      <c r="Q4285" s="73"/>
      <c r="R4285" s="176"/>
      <c r="S4285" s="176"/>
      <c r="T4285" s="176"/>
      <c r="U4285" s="400"/>
      <c r="V4285" s="400"/>
      <c r="W4285" s="732"/>
      <c r="X4285" s="167"/>
      <c r="Y4285" s="509"/>
      <c r="Z4285" s="466"/>
      <c r="AA4285" s="466"/>
      <c r="AB4285" s="466"/>
      <c r="AC4285" s="466"/>
      <c r="AD4285" s="466"/>
      <c r="AE4285" s="466"/>
      <c r="AF4285" s="466"/>
      <c r="AG4285" s="466"/>
      <c r="AH4285" s="466"/>
      <c r="AI4285" s="466"/>
      <c r="AJ4285" s="466"/>
      <c r="AK4285" s="466"/>
      <c r="AL4285" s="466"/>
      <c r="AM4285" s="466"/>
      <c r="AN4285" s="466"/>
      <c r="AO4285" s="466"/>
      <c r="AP4285" s="466"/>
      <c r="AQ4285" s="466"/>
      <c r="AR4285" s="466"/>
      <c r="AS4285" s="466"/>
      <c r="AT4285" s="466"/>
      <c r="AU4285" s="466"/>
      <c r="AV4285" s="466"/>
      <c r="AW4285" s="466"/>
      <c r="AX4285" s="466"/>
      <c r="AY4285" s="466"/>
      <c r="AZ4285" s="466"/>
      <c r="BA4285" s="466"/>
      <c r="BB4285" s="466"/>
      <c r="BC4285" s="466"/>
      <c r="BD4285" s="466"/>
      <c r="BE4285" s="467"/>
      <c r="BF4285" s="467"/>
      <c r="BG4285" s="466"/>
      <c r="BH4285" s="466"/>
      <c r="BI4285" s="467"/>
      <c r="BJ4285" s="467"/>
      <c r="BK4285" s="467"/>
      <c r="BL4285" s="467"/>
      <c r="BM4285" s="467"/>
      <c r="BN4285" s="467"/>
      <c r="BO4285" s="467"/>
      <c r="BP4285" s="467"/>
      <c r="BQ4285" s="467"/>
      <c r="BR4285" s="467"/>
      <c r="BS4285" s="467"/>
      <c r="BT4285" s="467"/>
      <c r="BU4285" s="467"/>
      <c r="BV4285" s="467"/>
      <c r="BW4285" s="467"/>
      <c r="BX4285" s="769"/>
      <c r="BY4285" s="769"/>
      <c r="BZ4285" s="769"/>
      <c r="CA4285" s="769"/>
      <c r="CB4285" s="769"/>
      <c r="CC4285" s="769"/>
      <c r="CD4285" s="769"/>
      <c r="CE4285" s="769"/>
      <c r="CF4285" s="769"/>
      <c r="CG4285" s="73"/>
      <c r="CH4285" s="438"/>
      <c r="CI4285" s="416"/>
      <c r="CJ4285" s="73"/>
      <c r="CK4285" s="650"/>
      <c r="CL4285" s="499"/>
      <c r="CM4285" s="650"/>
      <c r="CR4285" s="416"/>
      <c r="CS4285" s="650"/>
      <c r="CU4285" s="73"/>
      <c r="CV4285" s="73"/>
      <c r="CW4285" s="73"/>
      <c r="CX4285" s="73"/>
      <c r="DA4285" s="650"/>
    </row>
    <row r="4286" spans="1:105" s="45" customFormat="1" x14ac:dyDescent="0.2">
      <c r="A4286" s="650"/>
      <c r="B4286" s="438"/>
      <c r="D4286" s="73"/>
      <c r="E4286" s="650"/>
      <c r="F4286" s="650"/>
      <c r="G4286" s="73"/>
      <c r="I4286" s="111"/>
      <c r="J4286" s="81"/>
      <c r="K4286" s="81"/>
      <c r="L4286" s="499"/>
      <c r="M4286" s="73"/>
      <c r="N4286" s="499"/>
      <c r="O4286" s="73"/>
      <c r="P4286" s="73"/>
      <c r="Q4286" s="73"/>
      <c r="R4286" s="176"/>
      <c r="S4286" s="176"/>
      <c r="T4286" s="176"/>
      <c r="U4286" s="400"/>
      <c r="V4286" s="400"/>
      <c r="W4286" s="732"/>
      <c r="X4286" s="167"/>
      <c r="Y4286" s="509"/>
      <c r="Z4286" s="466"/>
      <c r="AA4286" s="466"/>
      <c r="AB4286" s="466"/>
      <c r="AC4286" s="466"/>
      <c r="AD4286" s="466"/>
      <c r="AE4286" s="466"/>
      <c r="AF4286" s="466"/>
      <c r="AG4286" s="466"/>
      <c r="AH4286" s="466"/>
      <c r="AI4286" s="466"/>
      <c r="AJ4286" s="466"/>
      <c r="AK4286" s="466"/>
      <c r="AL4286" s="466"/>
      <c r="AM4286" s="466"/>
      <c r="AN4286" s="466"/>
      <c r="AO4286" s="466"/>
      <c r="AP4286" s="466"/>
      <c r="AQ4286" s="466"/>
      <c r="AR4286" s="466"/>
      <c r="AS4286" s="466"/>
      <c r="AT4286" s="466"/>
      <c r="AU4286" s="466"/>
      <c r="AV4286" s="466"/>
      <c r="AW4286" s="466"/>
      <c r="AX4286" s="466"/>
      <c r="AY4286" s="466"/>
      <c r="AZ4286" s="466"/>
      <c r="BA4286" s="466"/>
      <c r="BB4286" s="466"/>
      <c r="BC4286" s="466"/>
      <c r="BD4286" s="466"/>
      <c r="BE4286" s="467"/>
      <c r="BF4286" s="467"/>
      <c r="BG4286" s="466"/>
      <c r="BH4286" s="466"/>
      <c r="BI4286" s="467"/>
      <c r="BJ4286" s="467"/>
      <c r="BK4286" s="467"/>
      <c r="BL4286" s="467"/>
      <c r="BM4286" s="467"/>
      <c r="BN4286" s="467"/>
      <c r="BO4286" s="467"/>
      <c r="BP4286" s="467"/>
      <c r="BQ4286" s="467"/>
      <c r="BR4286" s="467"/>
      <c r="BS4286" s="467"/>
      <c r="BT4286" s="467"/>
      <c r="BU4286" s="467"/>
      <c r="BV4286" s="467"/>
      <c r="BW4286" s="467"/>
      <c r="BX4286" s="769"/>
      <c r="BY4286" s="769"/>
      <c r="BZ4286" s="769"/>
      <c r="CA4286" s="769"/>
      <c r="CB4286" s="769"/>
      <c r="CC4286" s="769"/>
      <c r="CD4286" s="769"/>
      <c r="CE4286" s="769"/>
      <c r="CF4286" s="769"/>
      <c r="CG4286" s="73"/>
      <c r="CH4286" s="438"/>
      <c r="CI4286" s="416"/>
      <c r="CJ4286" s="73"/>
      <c r="CK4286" s="650"/>
      <c r="CL4286" s="499"/>
      <c r="CM4286" s="650"/>
      <c r="CR4286" s="416"/>
      <c r="CS4286" s="650"/>
      <c r="CU4286" s="73"/>
      <c r="CV4286" s="73"/>
      <c r="CW4286" s="73"/>
      <c r="CX4286" s="73"/>
      <c r="DA4286" s="650"/>
    </row>
    <row r="4287" spans="1:105" s="45" customFormat="1" x14ac:dyDescent="0.2">
      <c r="A4287" s="650"/>
      <c r="B4287" s="438"/>
      <c r="D4287" s="73"/>
      <c r="E4287" s="650"/>
      <c r="F4287" s="650"/>
      <c r="G4287" s="73"/>
      <c r="I4287" s="111"/>
      <c r="J4287" s="81"/>
      <c r="K4287" s="81"/>
      <c r="L4287" s="499"/>
      <c r="M4287" s="73"/>
      <c r="N4287" s="499"/>
      <c r="O4287" s="73"/>
      <c r="P4287" s="73"/>
      <c r="Q4287" s="73"/>
      <c r="R4287" s="176"/>
      <c r="S4287" s="176"/>
      <c r="T4287" s="176"/>
      <c r="U4287" s="400"/>
      <c r="V4287" s="400"/>
      <c r="W4287" s="732"/>
      <c r="X4287" s="167"/>
      <c r="Y4287" s="509"/>
      <c r="Z4287" s="466"/>
      <c r="AA4287" s="466"/>
      <c r="AB4287" s="466"/>
      <c r="AC4287" s="466"/>
      <c r="AD4287" s="466"/>
      <c r="AE4287" s="466"/>
      <c r="AF4287" s="466"/>
      <c r="AG4287" s="466"/>
      <c r="AH4287" s="466"/>
      <c r="AI4287" s="466"/>
      <c r="AJ4287" s="466"/>
      <c r="AK4287" s="466"/>
      <c r="AL4287" s="466"/>
      <c r="AM4287" s="466"/>
      <c r="AN4287" s="466"/>
      <c r="AO4287" s="466"/>
      <c r="AP4287" s="466"/>
      <c r="AQ4287" s="466"/>
      <c r="AR4287" s="466"/>
      <c r="AS4287" s="466"/>
      <c r="AT4287" s="466"/>
      <c r="AU4287" s="466"/>
      <c r="AV4287" s="466"/>
      <c r="AW4287" s="466"/>
      <c r="AX4287" s="466"/>
      <c r="AY4287" s="466"/>
      <c r="AZ4287" s="466"/>
      <c r="BA4287" s="466"/>
      <c r="BB4287" s="466"/>
      <c r="BC4287" s="466"/>
      <c r="BD4287" s="466"/>
      <c r="BE4287" s="467"/>
      <c r="BF4287" s="467"/>
      <c r="BG4287" s="466"/>
      <c r="BH4287" s="466"/>
      <c r="BI4287" s="467"/>
      <c r="BJ4287" s="467"/>
      <c r="BK4287" s="467"/>
      <c r="BL4287" s="467"/>
      <c r="BM4287" s="467"/>
      <c r="BN4287" s="467"/>
      <c r="BO4287" s="467"/>
      <c r="BP4287" s="467"/>
      <c r="BQ4287" s="467"/>
      <c r="BR4287" s="467"/>
      <c r="BS4287" s="467"/>
      <c r="BT4287" s="467"/>
      <c r="BU4287" s="467"/>
      <c r="BV4287" s="467"/>
      <c r="BW4287" s="467"/>
      <c r="BX4287" s="769"/>
      <c r="BY4287" s="769"/>
      <c r="BZ4287" s="769"/>
      <c r="CA4287" s="769"/>
      <c r="CB4287" s="769"/>
      <c r="CC4287" s="769"/>
      <c r="CD4287" s="769"/>
      <c r="CE4287" s="769"/>
      <c r="CF4287" s="769"/>
      <c r="CG4287" s="73"/>
      <c r="CH4287" s="438"/>
      <c r="CI4287" s="416"/>
      <c r="CJ4287" s="73"/>
      <c r="CK4287" s="650"/>
      <c r="CL4287" s="499"/>
      <c r="CM4287" s="650"/>
      <c r="CR4287" s="416"/>
      <c r="CS4287" s="650"/>
      <c r="CU4287" s="73"/>
      <c r="CV4287" s="73"/>
      <c r="CW4287" s="73"/>
      <c r="CX4287" s="73"/>
      <c r="DA4287" s="650"/>
    </row>
    <row r="4288" spans="1:105" s="45" customFormat="1" x14ac:dyDescent="0.2">
      <c r="A4288" s="650"/>
      <c r="B4288" s="438"/>
      <c r="D4288" s="73"/>
      <c r="E4288" s="650"/>
      <c r="F4288" s="650"/>
      <c r="G4288" s="73"/>
      <c r="I4288" s="111"/>
      <c r="J4288" s="81"/>
      <c r="K4288" s="81"/>
      <c r="L4288" s="499"/>
      <c r="M4288" s="73"/>
      <c r="N4288" s="499"/>
      <c r="O4288" s="73"/>
      <c r="P4288" s="73"/>
      <c r="Q4288" s="73"/>
      <c r="R4288" s="176"/>
      <c r="S4288" s="176"/>
      <c r="T4288" s="176"/>
      <c r="U4288" s="400"/>
      <c r="V4288" s="400"/>
      <c r="W4288" s="732"/>
      <c r="X4288" s="167"/>
      <c r="Y4288" s="509"/>
      <c r="Z4288" s="466"/>
      <c r="AA4288" s="466"/>
      <c r="AB4288" s="466"/>
      <c r="AC4288" s="466"/>
      <c r="AD4288" s="466"/>
      <c r="AE4288" s="466"/>
      <c r="AF4288" s="466"/>
      <c r="AG4288" s="466"/>
      <c r="AH4288" s="466"/>
      <c r="AI4288" s="466"/>
      <c r="AJ4288" s="466"/>
      <c r="AK4288" s="466"/>
      <c r="AL4288" s="466"/>
      <c r="AM4288" s="466"/>
      <c r="AN4288" s="466"/>
      <c r="AO4288" s="466"/>
      <c r="AP4288" s="466"/>
      <c r="AQ4288" s="466"/>
      <c r="AR4288" s="466"/>
      <c r="AS4288" s="466"/>
      <c r="AT4288" s="466"/>
      <c r="AU4288" s="466"/>
      <c r="AV4288" s="466"/>
      <c r="AW4288" s="466"/>
      <c r="AX4288" s="466"/>
      <c r="AY4288" s="466"/>
      <c r="AZ4288" s="466"/>
      <c r="BA4288" s="466"/>
      <c r="BB4288" s="466"/>
      <c r="BC4288" s="466"/>
      <c r="BD4288" s="466"/>
      <c r="BE4288" s="467"/>
      <c r="BF4288" s="467"/>
      <c r="BG4288" s="466"/>
      <c r="BH4288" s="466"/>
      <c r="BI4288" s="467"/>
      <c r="BJ4288" s="467"/>
      <c r="BK4288" s="467"/>
      <c r="BL4288" s="467"/>
      <c r="BM4288" s="467"/>
      <c r="BN4288" s="467"/>
      <c r="BO4288" s="467"/>
      <c r="BP4288" s="467"/>
      <c r="BQ4288" s="467"/>
      <c r="BR4288" s="467"/>
      <c r="BS4288" s="467"/>
      <c r="BT4288" s="467"/>
      <c r="BU4288" s="467"/>
      <c r="BV4288" s="467"/>
      <c r="BW4288" s="467"/>
      <c r="BX4288" s="769"/>
      <c r="BY4288" s="769"/>
      <c r="BZ4288" s="769"/>
      <c r="CA4288" s="769"/>
      <c r="CB4288" s="769"/>
      <c r="CC4288" s="769"/>
      <c r="CD4288" s="769"/>
      <c r="CE4288" s="769"/>
      <c r="CF4288" s="769"/>
      <c r="CG4288" s="73"/>
      <c r="CH4288" s="438"/>
      <c r="CI4288" s="416"/>
      <c r="CJ4288" s="73"/>
      <c r="CK4288" s="650"/>
      <c r="CL4288" s="499"/>
      <c r="CM4288" s="650"/>
      <c r="CR4288" s="416"/>
      <c r="CS4288" s="650"/>
      <c r="CU4288" s="73"/>
      <c r="CV4288" s="73"/>
      <c r="CW4288" s="73"/>
      <c r="CX4288" s="73"/>
      <c r="DA4288" s="650"/>
    </row>
    <row r="4289" spans="1:105" s="45" customFormat="1" x14ac:dyDescent="0.2">
      <c r="A4289" s="650"/>
      <c r="B4289" s="438"/>
      <c r="D4289" s="73"/>
      <c r="E4289" s="650"/>
      <c r="F4289" s="650"/>
      <c r="G4289" s="73"/>
      <c r="I4289" s="111"/>
      <c r="J4289" s="81"/>
      <c r="K4289" s="81"/>
      <c r="L4289" s="499"/>
      <c r="M4289" s="73"/>
      <c r="N4289" s="499"/>
      <c r="O4289" s="73"/>
      <c r="P4289" s="73"/>
      <c r="Q4289" s="73"/>
      <c r="R4289" s="176"/>
      <c r="S4289" s="176"/>
      <c r="T4289" s="176"/>
      <c r="U4289" s="400"/>
      <c r="V4289" s="400"/>
      <c r="W4289" s="732"/>
      <c r="X4289" s="167"/>
      <c r="Y4289" s="509"/>
      <c r="Z4289" s="466"/>
      <c r="AA4289" s="466"/>
      <c r="AB4289" s="466"/>
      <c r="AC4289" s="466"/>
      <c r="AD4289" s="466"/>
      <c r="AE4289" s="466"/>
      <c r="AF4289" s="466"/>
      <c r="AG4289" s="466"/>
      <c r="AH4289" s="466"/>
      <c r="AI4289" s="466"/>
      <c r="AJ4289" s="466"/>
      <c r="AK4289" s="466"/>
      <c r="AL4289" s="466"/>
      <c r="AM4289" s="466"/>
      <c r="AN4289" s="466"/>
      <c r="AO4289" s="466"/>
      <c r="AP4289" s="466"/>
      <c r="AQ4289" s="466"/>
      <c r="AR4289" s="466"/>
      <c r="AS4289" s="466"/>
      <c r="AT4289" s="466"/>
      <c r="AU4289" s="466"/>
      <c r="AV4289" s="466"/>
      <c r="AW4289" s="466"/>
      <c r="AX4289" s="466"/>
      <c r="AY4289" s="466"/>
      <c r="AZ4289" s="466"/>
      <c r="BA4289" s="466"/>
      <c r="BB4289" s="466"/>
      <c r="BC4289" s="466"/>
      <c r="BD4289" s="466"/>
      <c r="BE4289" s="467"/>
      <c r="BF4289" s="467"/>
      <c r="BG4289" s="466"/>
      <c r="BH4289" s="466"/>
      <c r="BI4289" s="467"/>
      <c r="BJ4289" s="467"/>
      <c r="BK4289" s="467"/>
      <c r="BL4289" s="467"/>
      <c r="BM4289" s="467"/>
      <c r="BN4289" s="467"/>
      <c r="BO4289" s="467"/>
      <c r="BP4289" s="467"/>
      <c r="BQ4289" s="467"/>
      <c r="BR4289" s="467"/>
      <c r="BS4289" s="467"/>
      <c r="BT4289" s="467"/>
      <c r="BU4289" s="467"/>
      <c r="BV4289" s="467"/>
      <c r="BW4289" s="467"/>
      <c r="BX4289" s="769"/>
      <c r="BY4289" s="769"/>
      <c r="BZ4289" s="769"/>
      <c r="CA4289" s="769"/>
      <c r="CB4289" s="769"/>
      <c r="CC4289" s="769"/>
      <c r="CD4289" s="769"/>
      <c r="CE4289" s="769"/>
      <c r="CF4289" s="769"/>
      <c r="CG4289" s="73"/>
      <c r="CH4289" s="438"/>
      <c r="CI4289" s="416"/>
      <c r="CJ4289" s="73"/>
      <c r="CK4289" s="650"/>
      <c r="CL4289" s="499"/>
      <c r="CM4289" s="650"/>
      <c r="CR4289" s="416"/>
      <c r="CS4289" s="650"/>
      <c r="CU4289" s="73"/>
      <c r="CV4289" s="73"/>
      <c r="CW4289" s="73"/>
      <c r="CX4289" s="73"/>
      <c r="DA4289" s="650"/>
    </row>
    <row r="4290" spans="1:105" s="45" customFormat="1" x14ac:dyDescent="0.2">
      <c r="A4290" s="650"/>
      <c r="B4290" s="438"/>
      <c r="D4290" s="73"/>
      <c r="E4290" s="650"/>
      <c r="F4290" s="650"/>
      <c r="G4290" s="73"/>
      <c r="I4290" s="111"/>
      <c r="J4290" s="81"/>
      <c r="K4290" s="81"/>
      <c r="L4290" s="499"/>
      <c r="M4290" s="73"/>
      <c r="N4290" s="499"/>
      <c r="O4290" s="73"/>
      <c r="P4290" s="73"/>
      <c r="Q4290" s="73"/>
      <c r="R4290" s="176"/>
      <c r="S4290" s="176"/>
      <c r="T4290" s="176"/>
      <c r="U4290" s="400"/>
      <c r="V4290" s="400"/>
      <c r="W4290" s="732"/>
      <c r="X4290" s="167"/>
      <c r="Y4290" s="509"/>
      <c r="Z4290" s="466"/>
      <c r="AA4290" s="466"/>
      <c r="AB4290" s="466"/>
      <c r="AC4290" s="466"/>
      <c r="AD4290" s="466"/>
      <c r="AE4290" s="466"/>
      <c r="AF4290" s="466"/>
      <c r="AG4290" s="466"/>
      <c r="AH4290" s="466"/>
      <c r="AI4290" s="466"/>
      <c r="AJ4290" s="466"/>
      <c r="AK4290" s="466"/>
      <c r="AL4290" s="466"/>
      <c r="AM4290" s="466"/>
      <c r="AN4290" s="466"/>
      <c r="AO4290" s="466"/>
      <c r="AP4290" s="466"/>
      <c r="AQ4290" s="466"/>
      <c r="AR4290" s="466"/>
      <c r="AS4290" s="466"/>
      <c r="AT4290" s="466"/>
      <c r="AU4290" s="466"/>
      <c r="AV4290" s="466"/>
      <c r="AW4290" s="466"/>
      <c r="AX4290" s="466"/>
      <c r="AY4290" s="466"/>
      <c r="AZ4290" s="466"/>
      <c r="BA4290" s="466"/>
      <c r="BB4290" s="466"/>
      <c r="BC4290" s="466"/>
      <c r="BD4290" s="466"/>
      <c r="BE4290" s="467"/>
      <c r="BF4290" s="467"/>
      <c r="BG4290" s="466"/>
      <c r="BH4290" s="466"/>
      <c r="BI4290" s="467"/>
      <c r="BJ4290" s="467"/>
      <c r="BK4290" s="467"/>
      <c r="BL4290" s="467"/>
      <c r="BM4290" s="467"/>
      <c r="BN4290" s="467"/>
      <c r="BO4290" s="467"/>
      <c r="BP4290" s="467"/>
      <c r="BQ4290" s="467"/>
      <c r="BR4290" s="467"/>
      <c r="BS4290" s="467"/>
      <c r="BT4290" s="467"/>
      <c r="BU4290" s="467"/>
      <c r="BV4290" s="467"/>
      <c r="BW4290" s="467"/>
      <c r="BX4290" s="769"/>
      <c r="BY4290" s="769"/>
      <c r="BZ4290" s="769"/>
      <c r="CA4290" s="769"/>
      <c r="CB4290" s="769"/>
      <c r="CC4290" s="769"/>
      <c r="CD4290" s="769"/>
      <c r="CE4290" s="769"/>
      <c r="CF4290" s="769"/>
      <c r="CG4290" s="73"/>
      <c r="CH4290" s="438"/>
      <c r="CI4290" s="416"/>
      <c r="CJ4290" s="73"/>
      <c r="CK4290" s="650"/>
      <c r="CL4290" s="499"/>
      <c r="CM4290" s="650"/>
      <c r="CR4290" s="416"/>
      <c r="CS4290" s="650"/>
      <c r="CU4290" s="73"/>
      <c r="CV4290" s="73"/>
      <c r="CW4290" s="73"/>
      <c r="CX4290" s="73"/>
      <c r="DA4290" s="650"/>
    </row>
    <row r="4291" spans="1:105" s="45" customFormat="1" x14ac:dyDescent="0.2">
      <c r="A4291" s="650"/>
      <c r="B4291" s="438"/>
      <c r="D4291" s="73"/>
      <c r="E4291" s="650"/>
      <c r="F4291" s="650"/>
      <c r="G4291" s="73"/>
      <c r="I4291" s="111"/>
      <c r="J4291" s="81"/>
      <c r="K4291" s="81"/>
      <c r="L4291" s="499"/>
      <c r="M4291" s="73"/>
      <c r="N4291" s="499"/>
      <c r="O4291" s="73"/>
      <c r="P4291" s="73"/>
      <c r="Q4291" s="73"/>
      <c r="R4291" s="176"/>
      <c r="S4291" s="176"/>
      <c r="T4291" s="176"/>
      <c r="U4291" s="400"/>
      <c r="V4291" s="400"/>
      <c r="W4291" s="732"/>
      <c r="X4291" s="167"/>
      <c r="Y4291" s="509"/>
      <c r="Z4291" s="466"/>
      <c r="AA4291" s="466"/>
      <c r="AB4291" s="466"/>
      <c r="AC4291" s="466"/>
      <c r="AD4291" s="466"/>
      <c r="AE4291" s="466"/>
      <c r="AF4291" s="466"/>
      <c r="AG4291" s="466"/>
      <c r="AH4291" s="466"/>
      <c r="AI4291" s="466"/>
      <c r="AJ4291" s="466"/>
      <c r="AK4291" s="466"/>
      <c r="AL4291" s="466"/>
      <c r="AM4291" s="466"/>
      <c r="AN4291" s="466"/>
      <c r="AO4291" s="466"/>
      <c r="AP4291" s="466"/>
      <c r="AQ4291" s="466"/>
      <c r="AR4291" s="466"/>
      <c r="AS4291" s="466"/>
      <c r="AT4291" s="466"/>
      <c r="AU4291" s="466"/>
      <c r="AV4291" s="466"/>
      <c r="AW4291" s="466"/>
      <c r="AX4291" s="466"/>
      <c r="AY4291" s="466"/>
      <c r="AZ4291" s="466"/>
      <c r="BA4291" s="466"/>
      <c r="BB4291" s="466"/>
      <c r="BC4291" s="466"/>
      <c r="BD4291" s="466"/>
      <c r="BE4291" s="467"/>
      <c r="BF4291" s="467"/>
      <c r="BG4291" s="466"/>
      <c r="BH4291" s="466"/>
      <c r="BI4291" s="467"/>
      <c r="BJ4291" s="467"/>
      <c r="BK4291" s="467"/>
      <c r="BL4291" s="467"/>
      <c r="BM4291" s="467"/>
      <c r="BN4291" s="467"/>
      <c r="BO4291" s="467"/>
      <c r="BP4291" s="467"/>
      <c r="BQ4291" s="467"/>
      <c r="BR4291" s="467"/>
      <c r="BS4291" s="467"/>
      <c r="BT4291" s="467"/>
      <c r="BU4291" s="467"/>
      <c r="BV4291" s="467"/>
      <c r="BW4291" s="467"/>
      <c r="BX4291" s="769"/>
      <c r="BY4291" s="769"/>
      <c r="BZ4291" s="769"/>
      <c r="CA4291" s="769"/>
      <c r="CB4291" s="769"/>
      <c r="CC4291" s="769"/>
      <c r="CD4291" s="769"/>
      <c r="CE4291" s="769"/>
      <c r="CF4291" s="769"/>
      <c r="CG4291" s="73"/>
      <c r="CH4291" s="438"/>
      <c r="CI4291" s="416"/>
      <c r="CJ4291" s="73"/>
      <c r="CK4291" s="650"/>
      <c r="CL4291" s="499"/>
      <c r="CM4291" s="650"/>
      <c r="CR4291" s="416"/>
      <c r="CS4291" s="650"/>
      <c r="CU4291" s="73"/>
      <c r="CV4291" s="73"/>
      <c r="CW4291" s="73"/>
      <c r="CX4291" s="73"/>
      <c r="DA4291" s="650"/>
    </row>
    <row r="4292" spans="1:105" s="45" customFormat="1" x14ac:dyDescent="0.2">
      <c r="A4292" s="650"/>
      <c r="B4292" s="438"/>
      <c r="D4292" s="73"/>
      <c r="E4292" s="650"/>
      <c r="F4292" s="650"/>
      <c r="G4292" s="73"/>
      <c r="I4292" s="111"/>
      <c r="J4292" s="81"/>
      <c r="K4292" s="81"/>
      <c r="L4292" s="499"/>
      <c r="M4292" s="73"/>
      <c r="N4292" s="499"/>
      <c r="O4292" s="73"/>
      <c r="P4292" s="73"/>
      <c r="Q4292" s="73"/>
      <c r="R4292" s="176"/>
      <c r="S4292" s="176"/>
      <c r="T4292" s="176"/>
      <c r="U4292" s="400"/>
      <c r="V4292" s="400"/>
      <c r="W4292" s="732"/>
      <c r="X4292" s="167"/>
      <c r="Y4292" s="509"/>
      <c r="Z4292" s="466"/>
      <c r="AA4292" s="466"/>
      <c r="AB4292" s="466"/>
      <c r="AC4292" s="466"/>
      <c r="AD4292" s="466"/>
      <c r="AE4292" s="466"/>
      <c r="AF4292" s="466"/>
      <c r="AG4292" s="466"/>
      <c r="AH4292" s="466"/>
      <c r="AI4292" s="466"/>
      <c r="AJ4292" s="466"/>
      <c r="AK4292" s="466"/>
      <c r="AL4292" s="466"/>
      <c r="AM4292" s="466"/>
      <c r="AN4292" s="466"/>
      <c r="AO4292" s="466"/>
      <c r="AP4292" s="466"/>
      <c r="AQ4292" s="466"/>
      <c r="AR4292" s="466"/>
      <c r="AS4292" s="466"/>
      <c r="AT4292" s="466"/>
      <c r="AU4292" s="466"/>
      <c r="AV4292" s="466"/>
      <c r="AW4292" s="466"/>
      <c r="AX4292" s="466"/>
      <c r="AY4292" s="466"/>
      <c r="AZ4292" s="466"/>
      <c r="BA4292" s="466"/>
      <c r="BB4292" s="466"/>
      <c r="BC4292" s="466"/>
      <c r="BD4292" s="466"/>
      <c r="BE4292" s="467"/>
      <c r="BF4292" s="467"/>
      <c r="BG4292" s="466"/>
      <c r="BH4292" s="466"/>
      <c r="BI4292" s="467"/>
      <c r="BJ4292" s="467"/>
      <c r="BK4292" s="467"/>
      <c r="BL4292" s="467"/>
      <c r="BM4292" s="467"/>
      <c r="BN4292" s="467"/>
      <c r="BO4292" s="467"/>
      <c r="BP4292" s="467"/>
      <c r="BQ4292" s="467"/>
      <c r="BR4292" s="467"/>
      <c r="BS4292" s="467"/>
      <c r="BT4292" s="467"/>
      <c r="BU4292" s="467"/>
      <c r="BV4292" s="467"/>
      <c r="BW4292" s="467"/>
      <c r="BX4292" s="769"/>
      <c r="BY4292" s="769"/>
      <c r="BZ4292" s="769"/>
      <c r="CA4292" s="769"/>
      <c r="CB4292" s="769"/>
      <c r="CC4292" s="769"/>
      <c r="CD4292" s="769"/>
      <c r="CE4292" s="769"/>
      <c r="CF4292" s="769"/>
      <c r="CG4292" s="73"/>
      <c r="CH4292" s="438"/>
      <c r="CI4292" s="416"/>
      <c r="CJ4292" s="73"/>
      <c r="CK4292" s="650"/>
      <c r="CL4292" s="499"/>
      <c r="CM4292" s="650"/>
      <c r="CR4292" s="416"/>
      <c r="CS4292" s="650"/>
      <c r="CU4292" s="73"/>
      <c r="CV4292" s="73"/>
      <c r="CW4292" s="73"/>
      <c r="CX4292" s="73"/>
      <c r="DA4292" s="650"/>
    </row>
    <row r="4293" spans="1:105" s="45" customFormat="1" x14ac:dyDescent="0.2">
      <c r="A4293" s="650"/>
      <c r="B4293" s="438"/>
      <c r="D4293" s="73"/>
      <c r="E4293" s="650"/>
      <c r="F4293" s="650"/>
      <c r="G4293" s="73"/>
      <c r="I4293" s="111"/>
      <c r="J4293" s="81"/>
      <c r="K4293" s="81"/>
      <c r="L4293" s="499"/>
      <c r="M4293" s="73"/>
      <c r="N4293" s="499"/>
      <c r="O4293" s="73"/>
      <c r="P4293" s="73"/>
      <c r="Q4293" s="73"/>
      <c r="R4293" s="176"/>
      <c r="S4293" s="176"/>
      <c r="T4293" s="176"/>
      <c r="U4293" s="400"/>
      <c r="V4293" s="400"/>
      <c r="W4293" s="732"/>
      <c r="X4293" s="167"/>
      <c r="Y4293" s="509"/>
      <c r="Z4293" s="466"/>
      <c r="AA4293" s="466"/>
      <c r="AB4293" s="466"/>
      <c r="AC4293" s="466"/>
      <c r="AD4293" s="466"/>
      <c r="AE4293" s="466"/>
      <c r="AF4293" s="466"/>
      <c r="AG4293" s="466"/>
      <c r="AH4293" s="466"/>
      <c r="AI4293" s="466"/>
      <c r="AJ4293" s="466"/>
      <c r="AK4293" s="466"/>
      <c r="AL4293" s="466"/>
      <c r="AM4293" s="466"/>
      <c r="AN4293" s="466"/>
      <c r="AO4293" s="466"/>
      <c r="AP4293" s="466"/>
      <c r="AQ4293" s="466"/>
      <c r="AR4293" s="466"/>
      <c r="AS4293" s="466"/>
      <c r="AT4293" s="466"/>
      <c r="AU4293" s="466"/>
      <c r="AV4293" s="466"/>
      <c r="AW4293" s="466"/>
      <c r="AX4293" s="466"/>
      <c r="AY4293" s="466"/>
      <c r="AZ4293" s="466"/>
      <c r="BA4293" s="466"/>
      <c r="BB4293" s="466"/>
      <c r="BC4293" s="466"/>
      <c r="BD4293" s="466"/>
      <c r="BE4293" s="467"/>
      <c r="BF4293" s="467"/>
      <c r="BG4293" s="466"/>
      <c r="BH4293" s="466"/>
      <c r="BI4293" s="467"/>
      <c r="BJ4293" s="467"/>
      <c r="BK4293" s="467"/>
      <c r="BL4293" s="467"/>
      <c r="BM4293" s="467"/>
      <c r="BN4293" s="467"/>
      <c r="BO4293" s="467"/>
      <c r="BP4293" s="467"/>
      <c r="BQ4293" s="467"/>
      <c r="BR4293" s="467"/>
      <c r="BS4293" s="467"/>
      <c r="BT4293" s="467"/>
      <c r="BU4293" s="467"/>
      <c r="BV4293" s="467"/>
      <c r="BW4293" s="467"/>
      <c r="BX4293" s="769"/>
      <c r="BY4293" s="769"/>
      <c r="BZ4293" s="769"/>
      <c r="CA4293" s="769"/>
      <c r="CB4293" s="769"/>
      <c r="CC4293" s="769"/>
      <c r="CD4293" s="769"/>
      <c r="CE4293" s="769"/>
      <c r="CF4293" s="769"/>
      <c r="CG4293" s="73"/>
      <c r="CH4293" s="438"/>
      <c r="CI4293" s="416"/>
      <c r="CJ4293" s="73"/>
      <c r="CK4293" s="650"/>
      <c r="CL4293" s="499"/>
      <c r="CM4293" s="650"/>
      <c r="CR4293" s="416"/>
      <c r="CS4293" s="650"/>
      <c r="CU4293" s="73"/>
      <c r="CV4293" s="73"/>
      <c r="CW4293" s="73"/>
      <c r="CX4293" s="73"/>
      <c r="DA4293" s="650"/>
    </row>
    <row r="4294" spans="1:105" s="45" customFormat="1" x14ac:dyDescent="0.2">
      <c r="A4294" s="650"/>
      <c r="B4294" s="438"/>
      <c r="D4294" s="73"/>
      <c r="E4294" s="650"/>
      <c r="F4294" s="650"/>
      <c r="G4294" s="73"/>
      <c r="I4294" s="111"/>
      <c r="J4294" s="81"/>
      <c r="K4294" s="81"/>
      <c r="L4294" s="499"/>
      <c r="M4294" s="73"/>
      <c r="N4294" s="499"/>
      <c r="O4294" s="73"/>
      <c r="P4294" s="73"/>
      <c r="Q4294" s="73"/>
      <c r="R4294" s="176"/>
      <c r="S4294" s="176"/>
      <c r="T4294" s="176"/>
      <c r="U4294" s="400"/>
      <c r="V4294" s="400"/>
      <c r="W4294" s="732"/>
      <c r="X4294" s="167"/>
      <c r="Y4294" s="509"/>
      <c r="Z4294" s="466"/>
      <c r="AA4294" s="466"/>
      <c r="AB4294" s="466"/>
      <c r="AC4294" s="466"/>
      <c r="AD4294" s="466"/>
      <c r="AE4294" s="466"/>
      <c r="AF4294" s="466"/>
      <c r="AG4294" s="466"/>
      <c r="AH4294" s="466"/>
      <c r="AI4294" s="466"/>
      <c r="AJ4294" s="466"/>
      <c r="AK4294" s="466"/>
      <c r="AL4294" s="466"/>
      <c r="AM4294" s="466"/>
      <c r="AN4294" s="466"/>
      <c r="AO4294" s="466"/>
      <c r="AP4294" s="466"/>
      <c r="AQ4294" s="466"/>
      <c r="AR4294" s="466"/>
      <c r="AS4294" s="466"/>
      <c r="AT4294" s="466"/>
      <c r="AU4294" s="466"/>
      <c r="AV4294" s="466"/>
      <c r="AW4294" s="466"/>
      <c r="AX4294" s="466"/>
      <c r="AY4294" s="466"/>
      <c r="AZ4294" s="466"/>
      <c r="BA4294" s="466"/>
      <c r="BB4294" s="466"/>
      <c r="BC4294" s="466"/>
      <c r="BD4294" s="466"/>
      <c r="BE4294" s="467"/>
      <c r="BF4294" s="467"/>
      <c r="BG4294" s="466"/>
      <c r="BH4294" s="466"/>
      <c r="BI4294" s="467"/>
      <c r="BJ4294" s="467"/>
      <c r="BK4294" s="467"/>
      <c r="BL4294" s="467"/>
      <c r="BM4294" s="467"/>
      <c r="BN4294" s="467"/>
      <c r="BO4294" s="467"/>
      <c r="BP4294" s="467"/>
      <c r="BQ4294" s="467"/>
      <c r="BR4294" s="467"/>
      <c r="BS4294" s="467"/>
      <c r="BT4294" s="467"/>
      <c r="BU4294" s="467"/>
      <c r="BV4294" s="467"/>
      <c r="BW4294" s="467"/>
      <c r="BX4294" s="769"/>
      <c r="BY4294" s="769"/>
      <c r="BZ4294" s="769"/>
      <c r="CA4294" s="769"/>
      <c r="CB4294" s="769"/>
      <c r="CC4294" s="769"/>
      <c r="CD4294" s="769"/>
      <c r="CE4294" s="769"/>
      <c r="CF4294" s="769"/>
      <c r="CG4294" s="73"/>
      <c r="CH4294" s="438"/>
      <c r="CI4294" s="416"/>
      <c r="CJ4294" s="73"/>
      <c r="CK4294" s="650"/>
      <c r="CL4294" s="499"/>
      <c r="CM4294" s="650"/>
      <c r="CR4294" s="416"/>
      <c r="CS4294" s="650"/>
      <c r="CU4294" s="73"/>
      <c r="CV4294" s="73"/>
      <c r="CW4294" s="73"/>
      <c r="CX4294" s="73"/>
      <c r="DA4294" s="650"/>
    </row>
    <row r="4295" spans="1:105" s="45" customFormat="1" x14ac:dyDescent="0.2">
      <c r="A4295" s="650"/>
      <c r="B4295" s="438"/>
      <c r="D4295" s="73"/>
      <c r="E4295" s="650"/>
      <c r="F4295" s="650"/>
      <c r="G4295" s="73"/>
      <c r="I4295" s="111"/>
      <c r="J4295" s="81"/>
      <c r="K4295" s="81"/>
      <c r="L4295" s="499"/>
      <c r="M4295" s="73"/>
      <c r="N4295" s="499"/>
      <c r="O4295" s="73"/>
      <c r="P4295" s="73"/>
      <c r="Q4295" s="73"/>
      <c r="R4295" s="176"/>
      <c r="S4295" s="176"/>
      <c r="T4295" s="176"/>
      <c r="U4295" s="400"/>
      <c r="V4295" s="400"/>
      <c r="W4295" s="732"/>
      <c r="X4295" s="167"/>
      <c r="Y4295" s="509"/>
      <c r="Z4295" s="466"/>
      <c r="AA4295" s="466"/>
      <c r="AB4295" s="466"/>
      <c r="AC4295" s="466"/>
      <c r="AD4295" s="466"/>
      <c r="AE4295" s="466"/>
      <c r="AF4295" s="466"/>
      <c r="AG4295" s="466"/>
      <c r="AH4295" s="466"/>
      <c r="AI4295" s="466"/>
      <c r="AJ4295" s="466"/>
      <c r="AK4295" s="466"/>
      <c r="AL4295" s="466"/>
      <c r="AM4295" s="466"/>
      <c r="AN4295" s="466"/>
      <c r="AO4295" s="466"/>
      <c r="AP4295" s="466"/>
      <c r="AQ4295" s="466"/>
      <c r="AR4295" s="466"/>
      <c r="AS4295" s="466"/>
      <c r="AT4295" s="466"/>
      <c r="AU4295" s="466"/>
      <c r="AV4295" s="466"/>
      <c r="AW4295" s="466"/>
      <c r="AX4295" s="466"/>
      <c r="AY4295" s="466"/>
      <c r="AZ4295" s="466"/>
      <c r="BA4295" s="466"/>
      <c r="BB4295" s="466"/>
      <c r="BC4295" s="466"/>
      <c r="BD4295" s="466"/>
      <c r="BE4295" s="467"/>
      <c r="BF4295" s="467"/>
      <c r="BG4295" s="466"/>
      <c r="BH4295" s="466"/>
      <c r="BI4295" s="467"/>
      <c r="BJ4295" s="467"/>
      <c r="BK4295" s="467"/>
      <c r="BL4295" s="467"/>
      <c r="BM4295" s="467"/>
      <c r="BN4295" s="467"/>
      <c r="BO4295" s="467"/>
      <c r="BP4295" s="467"/>
      <c r="BQ4295" s="467"/>
      <c r="BR4295" s="467"/>
      <c r="BS4295" s="467"/>
      <c r="BT4295" s="467"/>
      <c r="BU4295" s="467"/>
      <c r="BV4295" s="467"/>
      <c r="BW4295" s="467"/>
      <c r="BX4295" s="769"/>
      <c r="BY4295" s="769"/>
      <c r="BZ4295" s="769"/>
      <c r="CA4295" s="769"/>
      <c r="CB4295" s="769"/>
      <c r="CC4295" s="769"/>
      <c r="CD4295" s="769"/>
      <c r="CE4295" s="769"/>
      <c r="CF4295" s="769"/>
      <c r="CG4295" s="73"/>
      <c r="CH4295" s="438"/>
      <c r="CI4295" s="416"/>
      <c r="CJ4295" s="73"/>
      <c r="CK4295" s="650"/>
      <c r="CL4295" s="499"/>
      <c r="CM4295" s="650"/>
      <c r="CR4295" s="416"/>
      <c r="CS4295" s="650"/>
      <c r="CU4295" s="73"/>
      <c r="CV4295" s="73"/>
      <c r="CW4295" s="73"/>
      <c r="CX4295" s="73"/>
      <c r="DA4295" s="650"/>
    </row>
    <row r="4296" spans="1:105" s="45" customFormat="1" x14ac:dyDescent="0.2">
      <c r="A4296" s="650"/>
      <c r="B4296" s="438"/>
      <c r="D4296" s="73"/>
      <c r="E4296" s="650"/>
      <c r="F4296" s="650"/>
      <c r="G4296" s="73"/>
      <c r="I4296" s="111"/>
      <c r="J4296" s="81"/>
      <c r="K4296" s="81"/>
      <c r="L4296" s="499"/>
      <c r="M4296" s="73"/>
      <c r="N4296" s="499"/>
      <c r="O4296" s="73"/>
      <c r="P4296" s="73"/>
      <c r="Q4296" s="73"/>
      <c r="R4296" s="176"/>
      <c r="S4296" s="176"/>
      <c r="T4296" s="176"/>
      <c r="U4296" s="400"/>
      <c r="V4296" s="400"/>
      <c r="W4296" s="732"/>
      <c r="X4296" s="167"/>
      <c r="Y4296" s="509"/>
      <c r="Z4296" s="466"/>
      <c r="AA4296" s="466"/>
      <c r="AB4296" s="466"/>
      <c r="AC4296" s="466"/>
      <c r="AD4296" s="466"/>
      <c r="AE4296" s="466"/>
      <c r="AF4296" s="466"/>
      <c r="AG4296" s="466"/>
      <c r="AH4296" s="466"/>
      <c r="AI4296" s="466"/>
      <c r="AJ4296" s="466"/>
      <c r="AK4296" s="466"/>
      <c r="AL4296" s="466"/>
      <c r="AM4296" s="466"/>
      <c r="AN4296" s="466"/>
      <c r="AO4296" s="466"/>
      <c r="AP4296" s="466"/>
      <c r="AQ4296" s="466"/>
      <c r="AR4296" s="466"/>
      <c r="AS4296" s="466"/>
      <c r="AT4296" s="466"/>
      <c r="AU4296" s="466"/>
      <c r="AV4296" s="466"/>
      <c r="AW4296" s="466"/>
      <c r="AX4296" s="466"/>
      <c r="AY4296" s="466"/>
      <c r="AZ4296" s="466"/>
      <c r="BA4296" s="466"/>
      <c r="BB4296" s="466"/>
      <c r="BC4296" s="466"/>
      <c r="BD4296" s="466"/>
      <c r="BE4296" s="467"/>
      <c r="BF4296" s="467"/>
      <c r="BG4296" s="466"/>
      <c r="BH4296" s="466"/>
      <c r="BI4296" s="467"/>
      <c r="BJ4296" s="467"/>
      <c r="BK4296" s="467"/>
      <c r="BL4296" s="467"/>
      <c r="BM4296" s="467"/>
      <c r="BN4296" s="467"/>
      <c r="BO4296" s="467"/>
      <c r="BP4296" s="467"/>
      <c r="BQ4296" s="467"/>
      <c r="BR4296" s="467"/>
      <c r="BS4296" s="467"/>
      <c r="BT4296" s="467"/>
      <c r="BU4296" s="467"/>
      <c r="BV4296" s="467"/>
      <c r="BW4296" s="467"/>
      <c r="BX4296" s="769"/>
      <c r="BY4296" s="769"/>
      <c r="BZ4296" s="769"/>
      <c r="CA4296" s="769"/>
      <c r="CB4296" s="769"/>
      <c r="CC4296" s="769"/>
      <c r="CD4296" s="769"/>
      <c r="CE4296" s="769"/>
      <c r="CF4296" s="769"/>
      <c r="CG4296" s="73"/>
      <c r="CH4296" s="438"/>
      <c r="CI4296" s="416"/>
      <c r="CJ4296" s="73"/>
      <c r="CK4296" s="650"/>
      <c r="CL4296" s="499"/>
      <c r="CM4296" s="650"/>
      <c r="CR4296" s="416"/>
      <c r="CS4296" s="650"/>
      <c r="CU4296" s="73"/>
      <c r="CV4296" s="73"/>
      <c r="CW4296" s="73"/>
      <c r="CX4296" s="73"/>
      <c r="DA4296" s="650"/>
    </row>
    <row r="4297" spans="1:105" s="45" customFormat="1" x14ac:dyDescent="0.2">
      <c r="A4297" s="650"/>
      <c r="B4297" s="438"/>
      <c r="D4297" s="73"/>
      <c r="E4297" s="650"/>
      <c r="F4297" s="650"/>
      <c r="G4297" s="73"/>
      <c r="I4297" s="111"/>
      <c r="J4297" s="81"/>
      <c r="K4297" s="81"/>
      <c r="L4297" s="499"/>
      <c r="M4297" s="73"/>
      <c r="N4297" s="499"/>
      <c r="O4297" s="73"/>
      <c r="P4297" s="73"/>
      <c r="Q4297" s="73"/>
      <c r="R4297" s="176"/>
      <c r="S4297" s="176"/>
      <c r="T4297" s="176"/>
      <c r="U4297" s="400"/>
      <c r="V4297" s="400"/>
      <c r="W4297" s="732"/>
      <c r="X4297" s="167"/>
      <c r="Y4297" s="509"/>
      <c r="Z4297" s="466"/>
      <c r="AA4297" s="466"/>
      <c r="AB4297" s="466"/>
      <c r="AC4297" s="466"/>
      <c r="AD4297" s="466"/>
      <c r="AE4297" s="466"/>
      <c r="AF4297" s="466"/>
      <c r="AG4297" s="466"/>
      <c r="AH4297" s="466"/>
      <c r="AI4297" s="466"/>
      <c r="AJ4297" s="466"/>
      <c r="AK4297" s="466"/>
      <c r="AL4297" s="466"/>
      <c r="AM4297" s="466"/>
      <c r="AN4297" s="466"/>
      <c r="AO4297" s="466"/>
      <c r="AP4297" s="466"/>
      <c r="AQ4297" s="466"/>
      <c r="AR4297" s="466"/>
      <c r="AS4297" s="466"/>
      <c r="AT4297" s="466"/>
      <c r="AU4297" s="466"/>
      <c r="AV4297" s="466"/>
      <c r="AW4297" s="466"/>
      <c r="AX4297" s="466"/>
      <c r="AY4297" s="466"/>
      <c r="AZ4297" s="466"/>
      <c r="BA4297" s="466"/>
      <c r="BB4297" s="466"/>
      <c r="BC4297" s="466"/>
      <c r="BD4297" s="466"/>
      <c r="BE4297" s="467"/>
      <c r="BF4297" s="467"/>
      <c r="BG4297" s="466"/>
      <c r="BH4297" s="466"/>
      <c r="BI4297" s="467"/>
      <c r="BJ4297" s="467"/>
      <c r="BK4297" s="467"/>
      <c r="BL4297" s="467"/>
      <c r="BM4297" s="467"/>
      <c r="BN4297" s="467"/>
      <c r="BO4297" s="467"/>
      <c r="BP4297" s="467"/>
      <c r="BQ4297" s="467"/>
      <c r="BR4297" s="467"/>
      <c r="BS4297" s="467"/>
      <c r="BT4297" s="467"/>
      <c r="BU4297" s="467"/>
      <c r="BV4297" s="467"/>
      <c r="BW4297" s="467"/>
      <c r="BX4297" s="769"/>
      <c r="BY4297" s="769"/>
      <c r="BZ4297" s="769"/>
      <c r="CA4297" s="769"/>
      <c r="CB4297" s="769"/>
      <c r="CC4297" s="769"/>
      <c r="CD4297" s="769"/>
      <c r="CE4297" s="769"/>
      <c r="CF4297" s="769"/>
      <c r="CG4297" s="73"/>
      <c r="CH4297" s="438"/>
      <c r="CI4297" s="416"/>
      <c r="CJ4297" s="73"/>
      <c r="CK4297" s="650"/>
      <c r="CL4297" s="499"/>
      <c r="CM4297" s="650"/>
      <c r="CR4297" s="416"/>
      <c r="CS4297" s="650"/>
      <c r="CU4297" s="73"/>
      <c r="CV4297" s="73"/>
      <c r="CW4297" s="73"/>
      <c r="CX4297" s="73"/>
      <c r="DA4297" s="650"/>
    </row>
    <row r="4298" spans="1:105" s="45" customFormat="1" x14ac:dyDescent="0.2">
      <c r="A4298" s="650"/>
      <c r="B4298" s="438"/>
      <c r="D4298" s="73"/>
      <c r="E4298" s="650"/>
      <c r="F4298" s="650"/>
      <c r="G4298" s="73"/>
      <c r="I4298" s="111"/>
      <c r="J4298" s="81"/>
      <c r="K4298" s="81"/>
      <c r="L4298" s="499"/>
      <c r="M4298" s="73"/>
      <c r="N4298" s="499"/>
      <c r="O4298" s="73"/>
      <c r="P4298" s="73"/>
      <c r="Q4298" s="73"/>
      <c r="R4298" s="176"/>
      <c r="S4298" s="176"/>
      <c r="T4298" s="176"/>
      <c r="U4298" s="400"/>
      <c r="V4298" s="400"/>
      <c r="W4298" s="732"/>
      <c r="X4298" s="167"/>
      <c r="Y4298" s="509"/>
      <c r="Z4298" s="466"/>
      <c r="AA4298" s="466"/>
      <c r="AB4298" s="466"/>
      <c r="AC4298" s="466"/>
      <c r="AD4298" s="466"/>
      <c r="AE4298" s="466"/>
      <c r="AF4298" s="466"/>
      <c r="AG4298" s="466"/>
      <c r="AH4298" s="466"/>
      <c r="AI4298" s="466"/>
      <c r="AJ4298" s="466"/>
      <c r="AK4298" s="466"/>
      <c r="AL4298" s="466"/>
      <c r="AM4298" s="466"/>
      <c r="AN4298" s="466"/>
      <c r="AO4298" s="466"/>
      <c r="AP4298" s="466"/>
      <c r="AQ4298" s="466"/>
      <c r="AR4298" s="466"/>
      <c r="AS4298" s="466"/>
      <c r="AT4298" s="466"/>
      <c r="AU4298" s="466"/>
      <c r="AV4298" s="466"/>
      <c r="AW4298" s="466"/>
      <c r="AX4298" s="466"/>
      <c r="AY4298" s="466"/>
      <c r="AZ4298" s="466"/>
      <c r="BA4298" s="466"/>
      <c r="BB4298" s="466"/>
      <c r="BC4298" s="466"/>
      <c r="BD4298" s="466"/>
      <c r="BE4298" s="467"/>
      <c r="BF4298" s="467"/>
      <c r="BG4298" s="466"/>
      <c r="BH4298" s="466"/>
      <c r="BI4298" s="467"/>
      <c r="BJ4298" s="467"/>
      <c r="BK4298" s="467"/>
      <c r="BL4298" s="467"/>
      <c r="BM4298" s="467"/>
      <c r="BN4298" s="467"/>
      <c r="BO4298" s="467"/>
      <c r="BP4298" s="467"/>
      <c r="BQ4298" s="467"/>
      <c r="BR4298" s="467"/>
      <c r="BS4298" s="467"/>
      <c r="BT4298" s="467"/>
      <c r="BU4298" s="467"/>
      <c r="BV4298" s="467"/>
      <c r="BW4298" s="467"/>
      <c r="BX4298" s="769"/>
      <c r="BY4298" s="769"/>
      <c r="BZ4298" s="769"/>
      <c r="CA4298" s="769"/>
      <c r="CB4298" s="769"/>
      <c r="CC4298" s="769"/>
      <c r="CD4298" s="769"/>
      <c r="CE4298" s="769"/>
      <c r="CF4298" s="769"/>
      <c r="CG4298" s="73"/>
      <c r="CH4298" s="438"/>
      <c r="CI4298" s="416"/>
      <c r="CJ4298" s="73"/>
      <c r="CK4298" s="650"/>
      <c r="CL4298" s="499"/>
      <c r="CM4298" s="650"/>
      <c r="CR4298" s="416"/>
      <c r="CS4298" s="650"/>
      <c r="CU4298" s="73"/>
      <c r="CV4298" s="73"/>
      <c r="CW4298" s="73"/>
      <c r="CX4298" s="73"/>
      <c r="DA4298" s="650"/>
    </row>
    <row r="4299" spans="1:105" s="45" customFormat="1" x14ac:dyDescent="0.2">
      <c r="A4299" s="650"/>
      <c r="B4299" s="438"/>
      <c r="D4299" s="73"/>
      <c r="E4299" s="650"/>
      <c r="F4299" s="650"/>
      <c r="G4299" s="73"/>
      <c r="I4299" s="111"/>
      <c r="J4299" s="81"/>
      <c r="K4299" s="81"/>
      <c r="L4299" s="499"/>
      <c r="M4299" s="73"/>
      <c r="N4299" s="499"/>
      <c r="O4299" s="73"/>
      <c r="P4299" s="73"/>
      <c r="Q4299" s="73"/>
      <c r="R4299" s="176"/>
      <c r="S4299" s="176"/>
      <c r="T4299" s="176"/>
      <c r="U4299" s="400"/>
      <c r="V4299" s="400"/>
      <c r="W4299" s="732"/>
      <c r="X4299" s="167"/>
      <c r="Y4299" s="509"/>
      <c r="Z4299" s="466"/>
      <c r="AA4299" s="466"/>
      <c r="AB4299" s="466"/>
      <c r="AC4299" s="466"/>
      <c r="AD4299" s="466"/>
      <c r="AE4299" s="466"/>
      <c r="AF4299" s="466"/>
      <c r="AG4299" s="466"/>
      <c r="AH4299" s="466"/>
      <c r="AI4299" s="466"/>
      <c r="AJ4299" s="466"/>
      <c r="AK4299" s="466"/>
      <c r="AL4299" s="466"/>
      <c r="AM4299" s="466"/>
      <c r="AN4299" s="466"/>
      <c r="AO4299" s="466"/>
      <c r="AP4299" s="466"/>
      <c r="AQ4299" s="466"/>
      <c r="AR4299" s="466"/>
      <c r="AS4299" s="466"/>
      <c r="AT4299" s="466"/>
      <c r="AU4299" s="466"/>
      <c r="AV4299" s="466"/>
      <c r="AW4299" s="466"/>
      <c r="AX4299" s="466"/>
      <c r="AY4299" s="466"/>
      <c r="AZ4299" s="466"/>
      <c r="BA4299" s="466"/>
      <c r="BB4299" s="466"/>
      <c r="BC4299" s="466"/>
      <c r="BD4299" s="466"/>
      <c r="BE4299" s="467"/>
      <c r="BF4299" s="467"/>
      <c r="BG4299" s="466"/>
      <c r="BH4299" s="466"/>
      <c r="BI4299" s="467"/>
      <c r="BJ4299" s="467"/>
      <c r="BK4299" s="467"/>
      <c r="BL4299" s="467"/>
      <c r="BM4299" s="467"/>
      <c r="BN4299" s="467"/>
      <c r="BO4299" s="467"/>
      <c r="BP4299" s="467"/>
      <c r="BQ4299" s="467"/>
      <c r="BR4299" s="467"/>
      <c r="BS4299" s="467"/>
      <c r="BT4299" s="467"/>
      <c r="BU4299" s="467"/>
      <c r="BV4299" s="467"/>
      <c r="BW4299" s="467"/>
      <c r="BX4299" s="769"/>
      <c r="BY4299" s="769"/>
      <c r="BZ4299" s="769"/>
      <c r="CA4299" s="769"/>
      <c r="CB4299" s="769"/>
      <c r="CC4299" s="769"/>
      <c r="CD4299" s="769"/>
      <c r="CE4299" s="769"/>
      <c r="CF4299" s="769"/>
      <c r="CG4299" s="73"/>
      <c r="CH4299" s="438"/>
      <c r="CI4299" s="416"/>
      <c r="CJ4299" s="73"/>
      <c r="CK4299" s="650"/>
      <c r="CL4299" s="499"/>
      <c r="CM4299" s="650"/>
      <c r="CR4299" s="416"/>
      <c r="CS4299" s="650"/>
      <c r="CU4299" s="73"/>
      <c r="CV4299" s="73"/>
      <c r="CW4299" s="73"/>
      <c r="CX4299" s="73"/>
      <c r="DA4299" s="650"/>
    </row>
    <row r="4300" spans="1:105" s="45" customFormat="1" x14ac:dyDescent="0.2">
      <c r="A4300" s="650"/>
      <c r="B4300" s="438"/>
      <c r="D4300" s="73"/>
      <c r="E4300" s="650"/>
      <c r="F4300" s="650"/>
      <c r="G4300" s="73"/>
      <c r="I4300" s="111"/>
      <c r="J4300" s="81"/>
      <c r="K4300" s="81"/>
      <c r="L4300" s="499"/>
      <c r="M4300" s="73"/>
      <c r="N4300" s="499"/>
      <c r="O4300" s="73"/>
      <c r="P4300" s="73"/>
      <c r="Q4300" s="73"/>
      <c r="R4300" s="176"/>
      <c r="S4300" s="176"/>
      <c r="T4300" s="176"/>
      <c r="U4300" s="400"/>
      <c r="V4300" s="400"/>
      <c r="W4300" s="732"/>
      <c r="X4300" s="167"/>
      <c r="Y4300" s="509"/>
      <c r="Z4300" s="466"/>
      <c r="AA4300" s="466"/>
      <c r="AB4300" s="466"/>
      <c r="AC4300" s="466"/>
      <c r="AD4300" s="466"/>
      <c r="AE4300" s="466"/>
      <c r="AF4300" s="466"/>
      <c r="AG4300" s="466"/>
      <c r="AH4300" s="466"/>
      <c r="AI4300" s="466"/>
      <c r="AJ4300" s="466"/>
      <c r="AK4300" s="466"/>
      <c r="AL4300" s="466"/>
      <c r="AM4300" s="466"/>
      <c r="AN4300" s="466"/>
      <c r="AO4300" s="466"/>
      <c r="AP4300" s="466"/>
      <c r="AQ4300" s="466"/>
      <c r="AR4300" s="466"/>
      <c r="AS4300" s="466"/>
      <c r="AT4300" s="466"/>
      <c r="AU4300" s="466"/>
      <c r="AV4300" s="466"/>
      <c r="AW4300" s="466"/>
      <c r="AX4300" s="466"/>
      <c r="AY4300" s="466"/>
      <c r="AZ4300" s="466"/>
      <c r="BA4300" s="466"/>
      <c r="BB4300" s="466"/>
      <c r="BC4300" s="466"/>
      <c r="BD4300" s="466"/>
      <c r="BE4300" s="467"/>
      <c r="BF4300" s="467"/>
      <c r="BG4300" s="466"/>
      <c r="BH4300" s="466"/>
      <c r="BI4300" s="467"/>
      <c r="BJ4300" s="467"/>
      <c r="BK4300" s="467"/>
      <c r="BL4300" s="467"/>
      <c r="BM4300" s="467"/>
      <c r="BN4300" s="467"/>
      <c r="BO4300" s="467"/>
      <c r="BP4300" s="467"/>
      <c r="BQ4300" s="467"/>
      <c r="BR4300" s="467"/>
      <c r="BS4300" s="467"/>
      <c r="BT4300" s="467"/>
      <c r="BU4300" s="467"/>
      <c r="BV4300" s="467"/>
      <c r="BW4300" s="467"/>
      <c r="BX4300" s="769"/>
      <c r="BY4300" s="769"/>
      <c r="BZ4300" s="769"/>
      <c r="CA4300" s="769"/>
      <c r="CB4300" s="769"/>
      <c r="CC4300" s="769"/>
      <c r="CD4300" s="769"/>
      <c r="CE4300" s="769"/>
      <c r="CF4300" s="769"/>
      <c r="CG4300" s="73"/>
      <c r="CH4300" s="438"/>
      <c r="CI4300" s="416"/>
      <c r="CJ4300" s="73"/>
      <c r="CK4300" s="650"/>
      <c r="CL4300" s="499"/>
      <c r="CM4300" s="650"/>
      <c r="CR4300" s="416"/>
      <c r="CS4300" s="650"/>
      <c r="CU4300" s="73"/>
      <c r="CV4300" s="73"/>
      <c r="CW4300" s="73"/>
      <c r="CX4300" s="73"/>
      <c r="DA4300" s="650"/>
    </row>
    <row r="4301" spans="1:105" s="45" customFormat="1" x14ac:dyDescent="0.2">
      <c r="A4301" s="650"/>
      <c r="B4301" s="438"/>
      <c r="D4301" s="73"/>
      <c r="E4301" s="650"/>
      <c r="F4301" s="650"/>
      <c r="G4301" s="73"/>
      <c r="I4301" s="111"/>
      <c r="J4301" s="81"/>
      <c r="K4301" s="81"/>
      <c r="L4301" s="499"/>
      <c r="M4301" s="73"/>
      <c r="N4301" s="499"/>
      <c r="O4301" s="73"/>
      <c r="P4301" s="73"/>
      <c r="Q4301" s="73"/>
      <c r="R4301" s="176"/>
      <c r="S4301" s="176"/>
      <c r="T4301" s="176"/>
      <c r="U4301" s="400"/>
      <c r="V4301" s="400"/>
      <c r="W4301" s="732"/>
      <c r="X4301" s="167"/>
      <c r="Y4301" s="509"/>
      <c r="Z4301" s="466"/>
      <c r="AA4301" s="466"/>
      <c r="AB4301" s="466"/>
      <c r="AC4301" s="466"/>
      <c r="AD4301" s="466"/>
      <c r="AE4301" s="466"/>
      <c r="AF4301" s="466"/>
      <c r="AG4301" s="466"/>
      <c r="AH4301" s="466"/>
      <c r="AI4301" s="466"/>
      <c r="AJ4301" s="466"/>
      <c r="AK4301" s="466"/>
      <c r="AL4301" s="466"/>
      <c r="AM4301" s="466"/>
      <c r="AN4301" s="466"/>
      <c r="AO4301" s="466"/>
      <c r="AP4301" s="466"/>
      <c r="AQ4301" s="466"/>
      <c r="AR4301" s="466"/>
      <c r="AS4301" s="466"/>
      <c r="AT4301" s="466"/>
      <c r="AU4301" s="466"/>
      <c r="AV4301" s="466"/>
      <c r="AW4301" s="466"/>
      <c r="AX4301" s="466"/>
      <c r="AY4301" s="466"/>
      <c r="AZ4301" s="466"/>
      <c r="BA4301" s="466"/>
      <c r="BB4301" s="466"/>
      <c r="BC4301" s="466"/>
      <c r="BD4301" s="466"/>
      <c r="BE4301" s="467"/>
      <c r="BF4301" s="467"/>
      <c r="BG4301" s="466"/>
      <c r="BH4301" s="466"/>
      <c r="BI4301" s="467"/>
      <c r="BJ4301" s="467"/>
      <c r="BK4301" s="467"/>
      <c r="BL4301" s="467"/>
      <c r="BM4301" s="467"/>
      <c r="BN4301" s="467"/>
      <c r="BO4301" s="467"/>
      <c r="BP4301" s="467"/>
      <c r="BQ4301" s="467"/>
      <c r="BR4301" s="467"/>
      <c r="BS4301" s="467"/>
      <c r="BT4301" s="467"/>
      <c r="BU4301" s="467"/>
      <c r="BV4301" s="467"/>
      <c r="BW4301" s="467"/>
      <c r="BX4301" s="769"/>
      <c r="BY4301" s="769"/>
      <c r="BZ4301" s="769"/>
      <c r="CA4301" s="769"/>
      <c r="CB4301" s="769"/>
      <c r="CC4301" s="769"/>
      <c r="CD4301" s="769"/>
      <c r="CE4301" s="769"/>
      <c r="CF4301" s="769"/>
      <c r="CG4301" s="73"/>
      <c r="CH4301" s="438"/>
      <c r="CI4301" s="416"/>
      <c r="CJ4301" s="73"/>
      <c r="CK4301" s="650"/>
      <c r="CL4301" s="499"/>
      <c r="CM4301" s="650"/>
      <c r="CR4301" s="416"/>
      <c r="CS4301" s="650"/>
      <c r="CU4301" s="73"/>
      <c r="CV4301" s="73"/>
      <c r="CW4301" s="73"/>
      <c r="CX4301" s="73"/>
      <c r="DA4301" s="650"/>
    </row>
    <row r="4302" spans="1:105" s="45" customFormat="1" x14ac:dyDescent="0.2">
      <c r="A4302" s="650"/>
      <c r="B4302" s="438"/>
      <c r="D4302" s="73"/>
      <c r="E4302" s="650"/>
      <c r="F4302" s="650"/>
      <c r="G4302" s="73"/>
      <c r="I4302" s="111"/>
      <c r="J4302" s="81"/>
      <c r="K4302" s="81"/>
      <c r="L4302" s="499"/>
      <c r="M4302" s="73"/>
      <c r="N4302" s="499"/>
      <c r="O4302" s="73"/>
      <c r="P4302" s="73"/>
      <c r="Q4302" s="73"/>
      <c r="R4302" s="176"/>
      <c r="S4302" s="176"/>
      <c r="T4302" s="176"/>
      <c r="U4302" s="400"/>
      <c r="V4302" s="400"/>
      <c r="W4302" s="732"/>
      <c r="X4302" s="167"/>
      <c r="Y4302" s="509"/>
      <c r="Z4302" s="466"/>
      <c r="AA4302" s="466"/>
      <c r="AB4302" s="466"/>
      <c r="AC4302" s="466"/>
      <c r="AD4302" s="466"/>
      <c r="AE4302" s="466"/>
      <c r="AF4302" s="466"/>
      <c r="AG4302" s="466"/>
      <c r="AH4302" s="466"/>
      <c r="AI4302" s="466"/>
      <c r="AJ4302" s="466"/>
      <c r="AK4302" s="466"/>
      <c r="AL4302" s="466"/>
      <c r="AM4302" s="466"/>
      <c r="AN4302" s="466"/>
      <c r="AO4302" s="466"/>
      <c r="AP4302" s="466"/>
      <c r="AQ4302" s="466"/>
      <c r="AR4302" s="466"/>
      <c r="AS4302" s="466"/>
      <c r="AT4302" s="466"/>
      <c r="AU4302" s="466"/>
      <c r="AV4302" s="466"/>
      <c r="AW4302" s="466"/>
      <c r="AX4302" s="466"/>
      <c r="AY4302" s="466"/>
      <c r="AZ4302" s="466"/>
      <c r="BA4302" s="466"/>
      <c r="BB4302" s="466"/>
      <c r="BC4302" s="466"/>
      <c r="BD4302" s="466"/>
      <c r="BE4302" s="467"/>
      <c r="BF4302" s="467"/>
      <c r="BG4302" s="466"/>
      <c r="BH4302" s="466"/>
      <c r="BI4302" s="467"/>
      <c r="BJ4302" s="467"/>
      <c r="BK4302" s="467"/>
      <c r="BL4302" s="467"/>
      <c r="BM4302" s="467"/>
      <c r="BN4302" s="467"/>
      <c r="BO4302" s="467"/>
      <c r="BP4302" s="467"/>
      <c r="BQ4302" s="467"/>
      <c r="BR4302" s="467"/>
      <c r="BS4302" s="467"/>
      <c r="BT4302" s="467"/>
      <c r="BU4302" s="467"/>
      <c r="BV4302" s="467"/>
      <c r="BW4302" s="467"/>
      <c r="BX4302" s="769"/>
      <c r="BY4302" s="769"/>
      <c r="BZ4302" s="769"/>
      <c r="CA4302" s="769"/>
      <c r="CB4302" s="769"/>
      <c r="CC4302" s="769"/>
      <c r="CD4302" s="769"/>
      <c r="CE4302" s="769"/>
      <c r="CF4302" s="769"/>
      <c r="CG4302" s="73"/>
      <c r="CH4302" s="438"/>
      <c r="CI4302" s="416"/>
      <c r="CJ4302" s="73"/>
      <c r="CK4302" s="650"/>
      <c r="CL4302" s="499"/>
      <c r="CM4302" s="650"/>
      <c r="CR4302" s="416"/>
      <c r="CS4302" s="650"/>
      <c r="CU4302" s="73"/>
      <c r="CV4302" s="73"/>
      <c r="CW4302" s="73"/>
      <c r="CX4302" s="73"/>
      <c r="DA4302" s="650"/>
    </row>
    <row r="4303" spans="1:105" s="45" customFormat="1" x14ac:dyDescent="0.2">
      <c r="A4303" s="650"/>
      <c r="B4303" s="438"/>
      <c r="D4303" s="73"/>
      <c r="E4303" s="650"/>
      <c r="F4303" s="650"/>
      <c r="G4303" s="73"/>
      <c r="I4303" s="111"/>
      <c r="J4303" s="81"/>
      <c r="K4303" s="81"/>
      <c r="L4303" s="499"/>
      <c r="M4303" s="73"/>
      <c r="N4303" s="499"/>
      <c r="O4303" s="73"/>
      <c r="P4303" s="73"/>
      <c r="Q4303" s="73"/>
      <c r="R4303" s="176"/>
      <c r="S4303" s="176"/>
      <c r="T4303" s="176"/>
      <c r="U4303" s="400"/>
      <c r="V4303" s="400"/>
      <c r="W4303" s="732"/>
      <c r="X4303" s="167"/>
      <c r="Y4303" s="509"/>
      <c r="Z4303" s="466"/>
      <c r="AA4303" s="466"/>
      <c r="AB4303" s="466"/>
      <c r="AC4303" s="466"/>
      <c r="AD4303" s="466"/>
      <c r="AE4303" s="466"/>
      <c r="AF4303" s="466"/>
      <c r="AG4303" s="466"/>
      <c r="AH4303" s="466"/>
      <c r="AI4303" s="466"/>
      <c r="AJ4303" s="466"/>
      <c r="AK4303" s="466"/>
      <c r="AL4303" s="466"/>
      <c r="AM4303" s="466"/>
      <c r="AN4303" s="466"/>
      <c r="AO4303" s="466"/>
      <c r="AP4303" s="466"/>
      <c r="AQ4303" s="466"/>
      <c r="AR4303" s="466"/>
      <c r="AS4303" s="466"/>
      <c r="AT4303" s="466"/>
      <c r="AU4303" s="466"/>
      <c r="AV4303" s="466"/>
      <c r="AW4303" s="466"/>
      <c r="AX4303" s="466"/>
      <c r="AY4303" s="466"/>
      <c r="AZ4303" s="466"/>
      <c r="BA4303" s="466"/>
      <c r="BB4303" s="466"/>
      <c r="BC4303" s="466"/>
      <c r="BD4303" s="466"/>
      <c r="BE4303" s="467"/>
      <c r="BF4303" s="467"/>
      <c r="BG4303" s="466"/>
      <c r="BH4303" s="466"/>
      <c r="BI4303" s="467"/>
      <c r="BJ4303" s="467"/>
      <c r="BK4303" s="467"/>
      <c r="BL4303" s="467"/>
      <c r="BM4303" s="467"/>
      <c r="BN4303" s="467"/>
      <c r="BO4303" s="467"/>
      <c r="BP4303" s="467"/>
      <c r="BQ4303" s="467"/>
      <c r="BR4303" s="467"/>
      <c r="BS4303" s="467"/>
      <c r="BT4303" s="467"/>
      <c r="BU4303" s="467"/>
      <c r="BV4303" s="467"/>
      <c r="BW4303" s="467"/>
      <c r="BX4303" s="769"/>
      <c r="BY4303" s="769"/>
      <c r="BZ4303" s="769"/>
      <c r="CA4303" s="769"/>
      <c r="CB4303" s="769"/>
      <c r="CC4303" s="769"/>
      <c r="CD4303" s="769"/>
      <c r="CE4303" s="769"/>
      <c r="CF4303" s="769"/>
      <c r="CG4303" s="73"/>
      <c r="CH4303" s="438"/>
      <c r="CI4303" s="416"/>
      <c r="CJ4303" s="73"/>
      <c r="CK4303" s="650"/>
      <c r="CL4303" s="499"/>
      <c r="CM4303" s="650"/>
      <c r="CR4303" s="416"/>
      <c r="CS4303" s="650"/>
      <c r="CU4303" s="73"/>
      <c r="CV4303" s="73"/>
      <c r="CW4303" s="73"/>
      <c r="CX4303" s="73"/>
      <c r="DA4303" s="650"/>
    </row>
    <row r="4304" spans="1:105" s="45" customFormat="1" x14ac:dyDescent="0.2">
      <c r="A4304" s="650"/>
      <c r="B4304" s="438"/>
      <c r="D4304" s="73"/>
      <c r="E4304" s="650"/>
      <c r="F4304" s="650"/>
      <c r="G4304" s="73"/>
      <c r="I4304" s="111"/>
      <c r="J4304" s="81"/>
      <c r="K4304" s="81"/>
      <c r="L4304" s="499"/>
      <c r="M4304" s="73"/>
      <c r="N4304" s="499"/>
      <c r="O4304" s="73"/>
      <c r="P4304" s="73"/>
      <c r="Q4304" s="73"/>
      <c r="R4304" s="176"/>
      <c r="S4304" s="176"/>
      <c r="T4304" s="176"/>
      <c r="U4304" s="400"/>
      <c r="V4304" s="400"/>
      <c r="W4304" s="732"/>
      <c r="X4304" s="167"/>
      <c r="Y4304" s="509"/>
      <c r="Z4304" s="466"/>
      <c r="AA4304" s="466"/>
      <c r="AB4304" s="466"/>
      <c r="AC4304" s="466"/>
      <c r="AD4304" s="466"/>
      <c r="AE4304" s="466"/>
      <c r="AF4304" s="466"/>
      <c r="AG4304" s="466"/>
      <c r="AH4304" s="466"/>
      <c r="AI4304" s="466"/>
      <c r="AJ4304" s="466"/>
      <c r="AK4304" s="466"/>
      <c r="AL4304" s="466"/>
      <c r="AM4304" s="466"/>
      <c r="AN4304" s="466"/>
      <c r="AO4304" s="466"/>
      <c r="AP4304" s="466"/>
      <c r="AQ4304" s="466"/>
      <c r="AR4304" s="466"/>
      <c r="AS4304" s="466"/>
      <c r="AT4304" s="466"/>
      <c r="AU4304" s="466"/>
      <c r="AV4304" s="466"/>
      <c r="AW4304" s="466"/>
      <c r="AX4304" s="466"/>
      <c r="AY4304" s="466"/>
      <c r="AZ4304" s="466"/>
      <c r="BA4304" s="466"/>
      <c r="BB4304" s="466"/>
      <c r="BC4304" s="466"/>
      <c r="BD4304" s="466"/>
      <c r="BE4304" s="467"/>
      <c r="BF4304" s="467"/>
      <c r="BG4304" s="466"/>
      <c r="BH4304" s="466"/>
      <c r="BI4304" s="467"/>
      <c r="BJ4304" s="467"/>
      <c r="BK4304" s="467"/>
      <c r="BL4304" s="467"/>
      <c r="BM4304" s="467"/>
      <c r="BN4304" s="467"/>
      <c r="BO4304" s="467"/>
      <c r="BP4304" s="467"/>
      <c r="BQ4304" s="467"/>
      <c r="BR4304" s="467"/>
      <c r="BS4304" s="467"/>
      <c r="BT4304" s="467"/>
      <c r="BU4304" s="467"/>
      <c r="BV4304" s="467"/>
      <c r="BW4304" s="467"/>
      <c r="BX4304" s="769"/>
      <c r="BY4304" s="769"/>
      <c r="BZ4304" s="769"/>
      <c r="CA4304" s="769"/>
      <c r="CB4304" s="769"/>
      <c r="CC4304" s="769"/>
      <c r="CD4304" s="769"/>
      <c r="CE4304" s="769"/>
      <c r="CF4304" s="769"/>
      <c r="CG4304" s="73"/>
      <c r="CH4304" s="438"/>
      <c r="CI4304" s="416"/>
      <c r="CJ4304" s="73"/>
      <c r="CK4304" s="650"/>
      <c r="CL4304" s="499"/>
      <c r="CM4304" s="650"/>
      <c r="CR4304" s="416"/>
      <c r="CS4304" s="650"/>
      <c r="CU4304" s="73"/>
      <c r="CV4304" s="73"/>
      <c r="CW4304" s="73"/>
      <c r="CX4304" s="73"/>
      <c r="DA4304" s="650"/>
    </row>
    <row r="4305" spans="1:105" s="45" customFormat="1" x14ac:dyDescent="0.2">
      <c r="A4305" s="650"/>
      <c r="B4305" s="438"/>
      <c r="D4305" s="73"/>
      <c r="E4305" s="650"/>
      <c r="F4305" s="650"/>
      <c r="G4305" s="73"/>
      <c r="I4305" s="111"/>
      <c r="J4305" s="81"/>
      <c r="K4305" s="81"/>
      <c r="L4305" s="499"/>
      <c r="M4305" s="73"/>
      <c r="N4305" s="499"/>
      <c r="O4305" s="73"/>
      <c r="P4305" s="73"/>
      <c r="Q4305" s="73"/>
      <c r="R4305" s="176"/>
      <c r="S4305" s="176"/>
      <c r="T4305" s="176"/>
      <c r="U4305" s="400"/>
      <c r="V4305" s="400"/>
      <c r="W4305" s="732"/>
      <c r="X4305" s="167"/>
      <c r="Y4305" s="509"/>
      <c r="Z4305" s="466"/>
      <c r="AA4305" s="466"/>
      <c r="AB4305" s="466"/>
      <c r="AC4305" s="466"/>
      <c r="AD4305" s="466"/>
      <c r="AE4305" s="466"/>
      <c r="AF4305" s="466"/>
      <c r="AG4305" s="466"/>
      <c r="AH4305" s="466"/>
      <c r="AI4305" s="466"/>
      <c r="AJ4305" s="466"/>
      <c r="AK4305" s="466"/>
      <c r="AL4305" s="466"/>
      <c r="AM4305" s="466"/>
      <c r="AN4305" s="466"/>
      <c r="AO4305" s="466"/>
      <c r="AP4305" s="466"/>
      <c r="AQ4305" s="466"/>
      <c r="AR4305" s="466"/>
      <c r="AS4305" s="466"/>
      <c r="AT4305" s="466"/>
      <c r="AU4305" s="466"/>
      <c r="AV4305" s="466"/>
      <c r="AW4305" s="466"/>
      <c r="AX4305" s="466"/>
      <c r="AY4305" s="466"/>
      <c r="AZ4305" s="466"/>
      <c r="BA4305" s="466"/>
      <c r="BB4305" s="466"/>
      <c r="BC4305" s="466"/>
      <c r="BD4305" s="466"/>
      <c r="BE4305" s="467"/>
      <c r="BF4305" s="467"/>
      <c r="BG4305" s="466"/>
      <c r="BH4305" s="466"/>
      <c r="BI4305" s="467"/>
      <c r="BJ4305" s="467"/>
      <c r="BK4305" s="467"/>
      <c r="BL4305" s="467"/>
      <c r="BM4305" s="467"/>
      <c r="BN4305" s="467"/>
      <c r="BO4305" s="467"/>
      <c r="BP4305" s="467"/>
      <c r="BQ4305" s="467"/>
      <c r="BR4305" s="467"/>
      <c r="BS4305" s="467"/>
      <c r="BT4305" s="467"/>
      <c r="BU4305" s="467"/>
      <c r="BV4305" s="467"/>
      <c r="BW4305" s="467"/>
      <c r="BX4305" s="769"/>
      <c r="BY4305" s="769"/>
      <c r="BZ4305" s="769"/>
      <c r="CA4305" s="769"/>
      <c r="CB4305" s="769"/>
      <c r="CC4305" s="769"/>
      <c r="CD4305" s="769"/>
      <c r="CE4305" s="769"/>
      <c r="CF4305" s="769"/>
      <c r="CG4305" s="73"/>
      <c r="CH4305" s="438"/>
      <c r="CI4305" s="416"/>
      <c r="CJ4305" s="73"/>
      <c r="CK4305" s="650"/>
      <c r="CL4305" s="499"/>
      <c r="CM4305" s="650"/>
      <c r="CR4305" s="416"/>
      <c r="CS4305" s="650"/>
      <c r="CU4305" s="73"/>
      <c r="CV4305" s="73"/>
      <c r="CW4305" s="73"/>
      <c r="CX4305" s="73"/>
      <c r="DA4305" s="650"/>
    </row>
    <row r="4306" spans="1:105" s="45" customFormat="1" x14ac:dyDescent="0.2">
      <c r="A4306" s="650"/>
      <c r="B4306" s="438"/>
      <c r="D4306" s="73"/>
      <c r="E4306" s="650"/>
      <c r="F4306" s="650"/>
      <c r="G4306" s="73"/>
      <c r="I4306" s="111"/>
      <c r="J4306" s="81"/>
      <c r="K4306" s="81"/>
      <c r="L4306" s="499"/>
      <c r="M4306" s="73"/>
      <c r="N4306" s="499"/>
      <c r="O4306" s="73"/>
      <c r="P4306" s="73"/>
      <c r="Q4306" s="73"/>
      <c r="R4306" s="176"/>
      <c r="S4306" s="176"/>
      <c r="T4306" s="176"/>
      <c r="U4306" s="400"/>
      <c r="V4306" s="400"/>
      <c r="W4306" s="732"/>
      <c r="X4306" s="167"/>
      <c r="Y4306" s="509"/>
      <c r="Z4306" s="466"/>
      <c r="AA4306" s="466"/>
      <c r="AB4306" s="466"/>
      <c r="AC4306" s="466"/>
      <c r="AD4306" s="466"/>
      <c r="AE4306" s="466"/>
      <c r="AF4306" s="466"/>
      <c r="AG4306" s="466"/>
      <c r="AH4306" s="466"/>
      <c r="AI4306" s="466"/>
      <c r="AJ4306" s="466"/>
      <c r="AK4306" s="466"/>
      <c r="AL4306" s="466"/>
      <c r="AM4306" s="466"/>
      <c r="AN4306" s="466"/>
      <c r="AO4306" s="466"/>
      <c r="AP4306" s="466"/>
      <c r="AQ4306" s="466"/>
      <c r="AR4306" s="466"/>
      <c r="AS4306" s="466"/>
      <c r="AT4306" s="466"/>
      <c r="AU4306" s="466"/>
      <c r="AV4306" s="466"/>
      <c r="AW4306" s="466"/>
      <c r="AX4306" s="466"/>
      <c r="AY4306" s="466"/>
      <c r="AZ4306" s="466"/>
      <c r="BA4306" s="466"/>
      <c r="BB4306" s="466"/>
      <c r="BC4306" s="466"/>
      <c r="BD4306" s="466"/>
      <c r="BE4306" s="467"/>
      <c r="BF4306" s="467"/>
      <c r="BG4306" s="466"/>
      <c r="BH4306" s="466"/>
      <c r="BI4306" s="467"/>
      <c r="BJ4306" s="467"/>
      <c r="BK4306" s="467"/>
      <c r="BL4306" s="467"/>
      <c r="BM4306" s="467"/>
      <c r="BN4306" s="467"/>
      <c r="BO4306" s="467"/>
      <c r="BP4306" s="467"/>
      <c r="BQ4306" s="467"/>
      <c r="BR4306" s="467"/>
      <c r="BS4306" s="467"/>
      <c r="BT4306" s="467"/>
      <c r="BU4306" s="467"/>
      <c r="BV4306" s="467"/>
      <c r="BW4306" s="467"/>
      <c r="BX4306" s="769"/>
      <c r="BY4306" s="769"/>
      <c r="BZ4306" s="769"/>
      <c r="CA4306" s="769"/>
      <c r="CB4306" s="769"/>
      <c r="CC4306" s="769"/>
      <c r="CD4306" s="769"/>
      <c r="CE4306" s="769"/>
      <c r="CF4306" s="769"/>
      <c r="CG4306" s="73"/>
      <c r="CH4306" s="438"/>
      <c r="CI4306" s="416"/>
      <c r="CJ4306" s="73"/>
      <c r="CK4306" s="650"/>
      <c r="CL4306" s="499"/>
      <c r="CM4306" s="650"/>
      <c r="CR4306" s="416"/>
      <c r="CS4306" s="650"/>
      <c r="CU4306" s="73"/>
      <c r="CV4306" s="73"/>
      <c r="CW4306" s="73"/>
      <c r="CX4306" s="73"/>
      <c r="DA4306" s="650"/>
    </row>
    <row r="4307" spans="1:105" s="45" customFormat="1" x14ac:dyDescent="0.2">
      <c r="A4307" s="650"/>
      <c r="B4307" s="438"/>
      <c r="D4307" s="73"/>
      <c r="E4307" s="650"/>
      <c r="F4307" s="650"/>
      <c r="G4307" s="73"/>
      <c r="I4307" s="111"/>
      <c r="J4307" s="81"/>
      <c r="K4307" s="81"/>
      <c r="L4307" s="499"/>
      <c r="M4307" s="73"/>
      <c r="N4307" s="499"/>
      <c r="O4307" s="73"/>
      <c r="P4307" s="73"/>
      <c r="Q4307" s="73"/>
      <c r="R4307" s="176"/>
      <c r="S4307" s="176"/>
      <c r="T4307" s="176"/>
      <c r="U4307" s="400"/>
      <c r="V4307" s="400"/>
      <c r="W4307" s="732"/>
      <c r="X4307" s="167"/>
      <c r="Y4307" s="509"/>
      <c r="Z4307" s="466"/>
      <c r="AA4307" s="466"/>
      <c r="AB4307" s="466"/>
      <c r="AC4307" s="466"/>
      <c r="AD4307" s="466"/>
      <c r="AE4307" s="466"/>
      <c r="AF4307" s="466"/>
      <c r="AG4307" s="466"/>
      <c r="AH4307" s="466"/>
      <c r="AI4307" s="466"/>
      <c r="AJ4307" s="466"/>
      <c r="AK4307" s="466"/>
      <c r="AL4307" s="466"/>
      <c r="AM4307" s="466"/>
      <c r="AN4307" s="466"/>
      <c r="AO4307" s="466"/>
      <c r="AP4307" s="466"/>
      <c r="AQ4307" s="466"/>
      <c r="AR4307" s="466"/>
      <c r="AS4307" s="466"/>
      <c r="AT4307" s="466"/>
      <c r="AU4307" s="466"/>
      <c r="AV4307" s="466"/>
      <c r="AW4307" s="466"/>
      <c r="AX4307" s="466"/>
      <c r="AY4307" s="466"/>
      <c r="AZ4307" s="466"/>
      <c r="BA4307" s="466"/>
      <c r="BB4307" s="466"/>
      <c r="BC4307" s="466"/>
      <c r="BD4307" s="466"/>
      <c r="BE4307" s="467"/>
      <c r="BF4307" s="467"/>
      <c r="BG4307" s="466"/>
      <c r="BH4307" s="466"/>
      <c r="BI4307" s="467"/>
      <c r="BJ4307" s="467"/>
      <c r="BK4307" s="467"/>
      <c r="BL4307" s="467"/>
      <c r="BM4307" s="467"/>
      <c r="BN4307" s="467"/>
      <c r="BO4307" s="467"/>
      <c r="BP4307" s="467"/>
      <c r="BQ4307" s="467"/>
      <c r="BR4307" s="467"/>
      <c r="BS4307" s="467"/>
      <c r="BT4307" s="467"/>
      <c r="BU4307" s="467"/>
      <c r="BV4307" s="467"/>
      <c r="BW4307" s="467"/>
      <c r="BX4307" s="769"/>
      <c r="BY4307" s="769"/>
      <c r="BZ4307" s="769"/>
      <c r="CA4307" s="769"/>
      <c r="CB4307" s="769"/>
      <c r="CC4307" s="769"/>
      <c r="CD4307" s="769"/>
      <c r="CE4307" s="769"/>
      <c r="CF4307" s="769"/>
      <c r="CG4307" s="73"/>
      <c r="CH4307" s="438"/>
      <c r="CI4307" s="416"/>
      <c r="CJ4307" s="73"/>
      <c r="CK4307" s="650"/>
      <c r="CL4307" s="499"/>
      <c r="CM4307" s="650"/>
      <c r="CR4307" s="416"/>
      <c r="CS4307" s="650"/>
      <c r="CU4307" s="73"/>
      <c r="CV4307" s="73"/>
      <c r="CW4307" s="73"/>
      <c r="CX4307" s="73"/>
      <c r="DA4307" s="650"/>
    </row>
    <row r="4308" spans="1:105" s="45" customFormat="1" x14ac:dyDescent="0.2">
      <c r="A4308" s="650"/>
      <c r="B4308" s="438"/>
      <c r="D4308" s="73"/>
      <c r="E4308" s="650"/>
      <c r="F4308" s="650"/>
      <c r="G4308" s="73"/>
      <c r="I4308" s="111"/>
      <c r="J4308" s="81"/>
      <c r="K4308" s="81"/>
      <c r="L4308" s="499"/>
      <c r="M4308" s="73"/>
      <c r="N4308" s="499"/>
      <c r="O4308" s="73"/>
      <c r="P4308" s="73"/>
      <c r="Q4308" s="73"/>
      <c r="R4308" s="176"/>
      <c r="S4308" s="176"/>
      <c r="T4308" s="176"/>
      <c r="U4308" s="400"/>
      <c r="V4308" s="400"/>
      <c r="W4308" s="732"/>
      <c r="X4308" s="167"/>
      <c r="Y4308" s="509"/>
      <c r="Z4308" s="466"/>
      <c r="AA4308" s="466"/>
      <c r="AB4308" s="466"/>
      <c r="AC4308" s="466"/>
      <c r="AD4308" s="466"/>
      <c r="AE4308" s="466"/>
      <c r="AF4308" s="466"/>
      <c r="AG4308" s="466"/>
      <c r="AH4308" s="466"/>
      <c r="AI4308" s="466"/>
      <c r="AJ4308" s="466"/>
      <c r="AK4308" s="466"/>
      <c r="AL4308" s="466"/>
      <c r="AM4308" s="466"/>
      <c r="AN4308" s="466"/>
      <c r="AO4308" s="466"/>
      <c r="AP4308" s="466"/>
      <c r="AQ4308" s="466"/>
      <c r="AR4308" s="466"/>
      <c r="AS4308" s="466"/>
      <c r="AT4308" s="466"/>
      <c r="AU4308" s="466"/>
      <c r="AV4308" s="466"/>
      <c r="AW4308" s="466"/>
      <c r="AX4308" s="466"/>
      <c r="AY4308" s="466"/>
      <c r="AZ4308" s="466"/>
      <c r="BA4308" s="466"/>
      <c r="BB4308" s="466"/>
      <c r="BC4308" s="466"/>
      <c r="BD4308" s="466"/>
      <c r="BE4308" s="467"/>
      <c r="BF4308" s="467"/>
      <c r="BG4308" s="466"/>
      <c r="BH4308" s="466"/>
      <c r="BI4308" s="467"/>
      <c r="BJ4308" s="467"/>
      <c r="BK4308" s="467"/>
      <c r="BL4308" s="467"/>
      <c r="BM4308" s="467"/>
      <c r="BN4308" s="467"/>
      <c r="BO4308" s="467"/>
      <c r="BP4308" s="467"/>
      <c r="BQ4308" s="467"/>
      <c r="BR4308" s="467"/>
      <c r="BS4308" s="467"/>
      <c r="BT4308" s="467"/>
      <c r="BU4308" s="467"/>
      <c r="BV4308" s="467"/>
      <c r="BW4308" s="467"/>
      <c r="BX4308" s="769"/>
      <c r="BY4308" s="769"/>
      <c r="BZ4308" s="769"/>
      <c r="CA4308" s="769"/>
      <c r="CB4308" s="769"/>
      <c r="CC4308" s="769"/>
      <c r="CD4308" s="769"/>
      <c r="CE4308" s="769"/>
      <c r="CF4308" s="769"/>
      <c r="CG4308" s="73"/>
      <c r="CH4308" s="438"/>
      <c r="CI4308" s="416"/>
      <c r="CJ4308" s="73"/>
      <c r="CK4308" s="650"/>
      <c r="CL4308" s="499"/>
      <c r="CM4308" s="650"/>
      <c r="CR4308" s="416"/>
      <c r="CS4308" s="650"/>
      <c r="CU4308" s="73"/>
      <c r="CV4308" s="73"/>
      <c r="CW4308" s="73"/>
      <c r="CX4308" s="73"/>
      <c r="DA4308" s="650"/>
    </row>
    <row r="4309" spans="1:105" s="45" customFormat="1" x14ac:dyDescent="0.2">
      <c r="A4309" s="650"/>
      <c r="B4309" s="438"/>
      <c r="D4309" s="73"/>
      <c r="E4309" s="650"/>
      <c r="F4309" s="650"/>
      <c r="G4309" s="73"/>
      <c r="I4309" s="111"/>
      <c r="J4309" s="81"/>
      <c r="K4309" s="81"/>
      <c r="L4309" s="499"/>
      <c r="M4309" s="73"/>
      <c r="N4309" s="499"/>
      <c r="O4309" s="73"/>
      <c r="P4309" s="73"/>
      <c r="Q4309" s="73"/>
      <c r="R4309" s="176"/>
      <c r="S4309" s="176"/>
      <c r="T4309" s="176"/>
      <c r="U4309" s="400"/>
      <c r="V4309" s="400"/>
      <c r="W4309" s="732"/>
      <c r="X4309" s="167"/>
      <c r="Y4309" s="509"/>
      <c r="Z4309" s="466"/>
      <c r="AA4309" s="466"/>
      <c r="AB4309" s="466"/>
      <c r="AC4309" s="466"/>
      <c r="AD4309" s="466"/>
      <c r="AE4309" s="466"/>
      <c r="AF4309" s="466"/>
      <c r="AG4309" s="466"/>
      <c r="AH4309" s="466"/>
      <c r="AI4309" s="466"/>
      <c r="AJ4309" s="466"/>
      <c r="AK4309" s="466"/>
      <c r="AL4309" s="466"/>
      <c r="AM4309" s="466"/>
      <c r="AN4309" s="466"/>
      <c r="AO4309" s="466"/>
      <c r="AP4309" s="466"/>
      <c r="AQ4309" s="466"/>
      <c r="AR4309" s="466"/>
      <c r="AS4309" s="466"/>
      <c r="AT4309" s="466"/>
      <c r="AU4309" s="466"/>
      <c r="AV4309" s="466"/>
      <c r="AW4309" s="466"/>
      <c r="AX4309" s="466"/>
      <c r="AY4309" s="466"/>
      <c r="AZ4309" s="466"/>
      <c r="BA4309" s="466"/>
      <c r="BB4309" s="466"/>
      <c r="BC4309" s="466"/>
      <c r="BD4309" s="466"/>
      <c r="BE4309" s="467"/>
      <c r="BF4309" s="467"/>
      <c r="BG4309" s="466"/>
      <c r="BH4309" s="466"/>
      <c r="BI4309" s="467"/>
      <c r="BJ4309" s="467"/>
      <c r="BK4309" s="467"/>
      <c r="BL4309" s="467"/>
      <c r="BM4309" s="467"/>
      <c r="BN4309" s="467"/>
      <c r="BO4309" s="467"/>
      <c r="BP4309" s="467"/>
      <c r="BQ4309" s="467"/>
      <c r="BR4309" s="467"/>
      <c r="BS4309" s="467"/>
      <c r="BT4309" s="467"/>
      <c r="BU4309" s="467"/>
      <c r="BV4309" s="467"/>
      <c r="BW4309" s="467"/>
      <c r="BX4309" s="769"/>
      <c r="BY4309" s="769"/>
      <c r="BZ4309" s="769"/>
      <c r="CA4309" s="769"/>
      <c r="CB4309" s="769"/>
      <c r="CC4309" s="769"/>
      <c r="CD4309" s="769"/>
      <c r="CE4309" s="769"/>
      <c r="CF4309" s="769"/>
      <c r="CG4309" s="73"/>
      <c r="CH4309" s="438"/>
      <c r="CI4309" s="416"/>
      <c r="CJ4309" s="73"/>
      <c r="CK4309" s="650"/>
      <c r="CL4309" s="499"/>
      <c r="CM4309" s="650"/>
      <c r="CR4309" s="416"/>
      <c r="CS4309" s="650"/>
      <c r="CU4309" s="73"/>
      <c r="CV4309" s="73"/>
      <c r="CW4309" s="73"/>
      <c r="CX4309" s="73"/>
      <c r="DA4309" s="650"/>
    </row>
    <row r="4310" spans="1:105" s="45" customFormat="1" x14ac:dyDescent="0.2">
      <c r="A4310" s="650"/>
      <c r="B4310" s="438"/>
      <c r="D4310" s="73"/>
      <c r="E4310" s="650"/>
      <c r="F4310" s="650"/>
      <c r="G4310" s="73"/>
      <c r="I4310" s="111"/>
      <c r="J4310" s="81"/>
      <c r="K4310" s="81"/>
      <c r="L4310" s="499"/>
      <c r="M4310" s="73"/>
      <c r="N4310" s="499"/>
      <c r="O4310" s="73"/>
      <c r="P4310" s="73"/>
      <c r="Q4310" s="73"/>
      <c r="R4310" s="176"/>
      <c r="S4310" s="176"/>
      <c r="T4310" s="176"/>
      <c r="U4310" s="400"/>
      <c r="V4310" s="400"/>
      <c r="W4310" s="732"/>
      <c r="X4310" s="167"/>
      <c r="Y4310" s="509"/>
      <c r="Z4310" s="466"/>
      <c r="AA4310" s="466"/>
      <c r="AB4310" s="466"/>
      <c r="AC4310" s="466"/>
      <c r="AD4310" s="466"/>
      <c r="AE4310" s="466"/>
      <c r="AF4310" s="466"/>
      <c r="AG4310" s="466"/>
      <c r="AH4310" s="466"/>
      <c r="AI4310" s="466"/>
      <c r="AJ4310" s="466"/>
      <c r="AK4310" s="466"/>
      <c r="AL4310" s="466"/>
      <c r="AM4310" s="466"/>
      <c r="AN4310" s="466"/>
      <c r="AO4310" s="466"/>
      <c r="AP4310" s="466"/>
      <c r="AQ4310" s="466"/>
      <c r="AR4310" s="466"/>
      <c r="AS4310" s="466"/>
      <c r="AT4310" s="466"/>
      <c r="AU4310" s="466"/>
      <c r="AV4310" s="466"/>
      <c r="AW4310" s="466"/>
      <c r="AX4310" s="466"/>
      <c r="AY4310" s="466"/>
      <c r="AZ4310" s="466"/>
      <c r="BA4310" s="466"/>
      <c r="BB4310" s="466"/>
      <c r="BC4310" s="466"/>
      <c r="BD4310" s="466"/>
      <c r="BE4310" s="467"/>
      <c r="BF4310" s="467"/>
      <c r="BG4310" s="466"/>
      <c r="BH4310" s="466"/>
      <c r="BI4310" s="467"/>
      <c r="BJ4310" s="467"/>
      <c r="BK4310" s="467"/>
      <c r="BL4310" s="467"/>
      <c r="BM4310" s="467"/>
      <c r="BN4310" s="467"/>
      <c r="BO4310" s="467"/>
      <c r="BP4310" s="467"/>
      <c r="BQ4310" s="467"/>
      <c r="BR4310" s="467"/>
      <c r="BS4310" s="467"/>
      <c r="BT4310" s="467"/>
      <c r="BU4310" s="467"/>
      <c r="BV4310" s="467"/>
      <c r="BW4310" s="467"/>
      <c r="BX4310" s="769"/>
      <c r="BY4310" s="769"/>
      <c r="BZ4310" s="769"/>
      <c r="CA4310" s="769"/>
      <c r="CB4310" s="769"/>
      <c r="CC4310" s="769"/>
      <c r="CD4310" s="769"/>
      <c r="CE4310" s="769"/>
      <c r="CF4310" s="769"/>
      <c r="CG4310" s="73"/>
      <c r="CH4310" s="438"/>
      <c r="CI4310" s="416"/>
      <c r="CJ4310" s="73"/>
      <c r="CK4310" s="650"/>
      <c r="CL4310" s="499"/>
      <c r="CM4310" s="650"/>
      <c r="CR4310" s="416"/>
      <c r="CS4310" s="650"/>
      <c r="CU4310" s="73"/>
      <c r="CV4310" s="73"/>
      <c r="CW4310" s="73"/>
      <c r="CX4310" s="73"/>
      <c r="DA4310" s="650"/>
    </row>
    <row r="4311" spans="1:105" s="45" customFormat="1" x14ac:dyDescent="0.2">
      <c r="A4311" s="650"/>
      <c r="B4311" s="438"/>
      <c r="D4311" s="73"/>
      <c r="E4311" s="650"/>
      <c r="F4311" s="650"/>
      <c r="G4311" s="73"/>
      <c r="I4311" s="111"/>
      <c r="J4311" s="81"/>
      <c r="K4311" s="81"/>
      <c r="L4311" s="499"/>
      <c r="M4311" s="73"/>
      <c r="N4311" s="499"/>
      <c r="O4311" s="73"/>
      <c r="P4311" s="73"/>
      <c r="Q4311" s="73"/>
      <c r="R4311" s="176"/>
      <c r="S4311" s="176"/>
      <c r="T4311" s="176"/>
      <c r="U4311" s="400"/>
      <c r="V4311" s="400"/>
      <c r="W4311" s="732"/>
      <c r="X4311" s="167"/>
      <c r="Y4311" s="509"/>
      <c r="Z4311" s="466"/>
      <c r="AA4311" s="466"/>
      <c r="AB4311" s="466"/>
      <c r="AC4311" s="466"/>
      <c r="AD4311" s="466"/>
      <c r="AE4311" s="466"/>
      <c r="AF4311" s="466"/>
      <c r="AG4311" s="466"/>
      <c r="AH4311" s="466"/>
      <c r="AI4311" s="466"/>
      <c r="AJ4311" s="466"/>
      <c r="AK4311" s="466"/>
      <c r="AL4311" s="466"/>
      <c r="AM4311" s="466"/>
      <c r="AN4311" s="466"/>
      <c r="AO4311" s="466"/>
      <c r="AP4311" s="466"/>
      <c r="AQ4311" s="466"/>
      <c r="AR4311" s="466"/>
      <c r="AS4311" s="466"/>
      <c r="AT4311" s="466"/>
      <c r="AU4311" s="466"/>
      <c r="AV4311" s="466"/>
      <c r="AW4311" s="466"/>
      <c r="AX4311" s="466"/>
      <c r="AY4311" s="466"/>
      <c r="AZ4311" s="466"/>
      <c r="BA4311" s="466"/>
      <c r="BB4311" s="466"/>
      <c r="BC4311" s="466"/>
      <c r="BD4311" s="466"/>
      <c r="BE4311" s="467"/>
      <c r="BF4311" s="467"/>
      <c r="BG4311" s="466"/>
      <c r="BH4311" s="466"/>
      <c r="BI4311" s="467"/>
      <c r="BJ4311" s="467"/>
      <c r="BK4311" s="467"/>
      <c r="BL4311" s="467"/>
      <c r="BM4311" s="467"/>
      <c r="BN4311" s="467"/>
      <c r="BO4311" s="467"/>
      <c r="BP4311" s="467"/>
      <c r="BQ4311" s="467"/>
      <c r="BR4311" s="467"/>
      <c r="BS4311" s="467"/>
      <c r="BT4311" s="467"/>
      <c r="BU4311" s="467"/>
      <c r="BV4311" s="467"/>
      <c r="BW4311" s="467"/>
      <c r="BX4311" s="769"/>
      <c r="BY4311" s="769"/>
      <c r="BZ4311" s="769"/>
      <c r="CA4311" s="769"/>
      <c r="CB4311" s="769"/>
      <c r="CC4311" s="769"/>
      <c r="CD4311" s="769"/>
      <c r="CE4311" s="769"/>
      <c r="CF4311" s="769"/>
      <c r="CG4311" s="73"/>
      <c r="CH4311" s="438"/>
      <c r="CI4311" s="416"/>
      <c r="CJ4311" s="73"/>
      <c r="CK4311" s="650"/>
      <c r="CL4311" s="499"/>
      <c r="CM4311" s="650"/>
      <c r="CR4311" s="416"/>
      <c r="CS4311" s="650"/>
      <c r="CU4311" s="73"/>
      <c r="CV4311" s="73"/>
      <c r="CW4311" s="73"/>
      <c r="CX4311" s="73"/>
      <c r="DA4311" s="650"/>
    </row>
    <row r="4312" spans="1:105" s="45" customFormat="1" x14ac:dyDescent="0.2">
      <c r="A4312" s="650"/>
      <c r="B4312" s="438"/>
      <c r="D4312" s="73"/>
      <c r="E4312" s="650"/>
      <c r="F4312" s="650"/>
      <c r="G4312" s="73"/>
      <c r="I4312" s="111"/>
      <c r="J4312" s="81"/>
      <c r="K4312" s="81"/>
      <c r="L4312" s="499"/>
      <c r="M4312" s="73"/>
      <c r="N4312" s="499"/>
      <c r="O4312" s="73"/>
      <c r="P4312" s="73"/>
      <c r="Q4312" s="73"/>
      <c r="R4312" s="176"/>
      <c r="S4312" s="176"/>
      <c r="T4312" s="176"/>
      <c r="U4312" s="400"/>
      <c r="V4312" s="400"/>
      <c r="W4312" s="732"/>
      <c r="X4312" s="167"/>
      <c r="Y4312" s="509"/>
      <c r="Z4312" s="466"/>
      <c r="AA4312" s="466"/>
      <c r="AB4312" s="466"/>
      <c r="AC4312" s="466"/>
      <c r="AD4312" s="466"/>
      <c r="AE4312" s="466"/>
      <c r="AF4312" s="466"/>
      <c r="AG4312" s="466"/>
      <c r="AH4312" s="466"/>
      <c r="AI4312" s="466"/>
      <c r="AJ4312" s="466"/>
      <c r="AK4312" s="466"/>
      <c r="AL4312" s="466"/>
      <c r="AM4312" s="466"/>
      <c r="AN4312" s="466"/>
      <c r="AO4312" s="466"/>
      <c r="AP4312" s="466"/>
      <c r="AQ4312" s="466"/>
      <c r="AR4312" s="466"/>
      <c r="AS4312" s="466"/>
      <c r="AT4312" s="466"/>
      <c r="AU4312" s="466"/>
      <c r="AV4312" s="466"/>
      <c r="AW4312" s="466"/>
      <c r="AX4312" s="466"/>
      <c r="AY4312" s="466"/>
      <c r="AZ4312" s="466"/>
      <c r="BA4312" s="466"/>
      <c r="BB4312" s="466"/>
      <c r="BC4312" s="466"/>
      <c r="BD4312" s="466"/>
      <c r="BE4312" s="467"/>
      <c r="BF4312" s="467"/>
      <c r="BG4312" s="466"/>
      <c r="BH4312" s="466"/>
      <c r="BI4312" s="467"/>
      <c r="BJ4312" s="467"/>
      <c r="BK4312" s="467"/>
      <c r="BL4312" s="467"/>
      <c r="BM4312" s="467"/>
      <c r="BN4312" s="467"/>
      <c r="BO4312" s="467"/>
      <c r="BP4312" s="467"/>
      <c r="BQ4312" s="467"/>
      <c r="BR4312" s="467"/>
      <c r="BS4312" s="467"/>
      <c r="BT4312" s="467"/>
      <c r="BU4312" s="467"/>
      <c r="BV4312" s="467"/>
      <c r="BW4312" s="467"/>
      <c r="BX4312" s="769"/>
      <c r="BY4312" s="769"/>
      <c r="BZ4312" s="769"/>
      <c r="CA4312" s="769"/>
      <c r="CB4312" s="769"/>
      <c r="CC4312" s="769"/>
      <c r="CD4312" s="769"/>
      <c r="CE4312" s="769"/>
      <c r="CF4312" s="769"/>
      <c r="CG4312" s="73"/>
      <c r="CH4312" s="438"/>
      <c r="CI4312" s="416"/>
      <c r="CJ4312" s="73"/>
      <c r="CK4312" s="650"/>
      <c r="CL4312" s="499"/>
      <c r="CM4312" s="650"/>
      <c r="CR4312" s="416"/>
      <c r="CS4312" s="650"/>
      <c r="CU4312" s="73"/>
      <c r="CV4312" s="73"/>
      <c r="CW4312" s="73"/>
      <c r="CX4312" s="73"/>
      <c r="DA4312" s="650"/>
    </row>
    <row r="4313" spans="1:105" s="45" customFormat="1" x14ac:dyDescent="0.2">
      <c r="A4313" s="650"/>
      <c r="B4313" s="438"/>
      <c r="D4313" s="73"/>
      <c r="E4313" s="650"/>
      <c r="F4313" s="650"/>
      <c r="G4313" s="73"/>
      <c r="I4313" s="111"/>
      <c r="J4313" s="81"/>
      <c r="K4313" s="81"/>
      <c r="L4313" s="499"/>
      <c r="M4313" s="73"/>
      <c r="N4313" s="499"/>
      <c r="O4313" s="73"/>
      <c r="P4313" s="73"/>
      <c r="Q4313" s="73"/>
      <c r="R4313" s="176"/>
      <c r="S4313" s="176"/>
      <c r="T4313" s="176"/>
      <c r="U4313" s="400"/>
      <c r="V4313" s="400"/>
      <c r="W4313" s="732"/>
      <c r="X4313" s="167"/>
      <c r="Y4313" s="509"/>
      <c r="Z4313" s="466"/>
      <c r="AA4313" s="466"/>
      <c r="AB4313" s="466"/>
      <c r="AC4313" s="466"/>
      <c r="AD4313" s="466"/>
      <c r="AE4313" s="466"/>
      <c r="AF4313" s="466"/>
      <c r="AG4313" s="466"/>
      <c r="AH4313" s="466"/>
      <c r="AI4313" s="466"/>
      <c r="AJ4313" s="466"/>
      <c r="AK4313" s="466"/>
      <c r="AL4313" s="466"/>
      <c r="AM4313" s="466"/>
      <c r="AN4313" s="466"/>
      <c r="AO4313" s="466"/>
      <c r="AP4313" s="466"/>
      <c r="AQ4313" s="466"/>
      <c r="AR4313" s="466"/>
      <c r="AS4313" s="466"/>
      <c r="AT4313" s="466"/>
      <c r="AU4313" s="466"/>
      <c r="AV4313" s="466"/>
      <c r="AW4313" s="466"/>
      <c r="AX4313" s="466"/>
      <c r="AY4313" s="466"/>
      <c r="AZ4313" s="466"/>
      <c r="BA4313" s="466"/>
      <c r="BB4313" s="466"/>
      <c r="BC4313" s="466"/>
      <c r="BD4313" s="466"/>
      <c r="BE4313" s="467"/>
      <c r="BF4313" s="467"/>
      <c r="BG4313" s="466"/>
      <c r="BH4313" s="466"/>
      <c r="BI4313" s="467"/>
      <c r="BJ4313" s="467"/>
      <c r="BK4313" s="467"/>
      <c r="BL4313" s="467"/>
      <c r="BM4313" s="467"/>
      <c r="BN4313" s="467"/>
      <c r="BO4313" s="467"/>
      <c r="BP4313" s="467"/>
      <c r="BQ4313" s="467"/>
      <c r="BR4313" s="467"/>
      <c r="BS4313" s="467"/>
      <c r="BT4313" s="467"/>
      <c r="BU4313" s="467"/>
      <c r="BV4313" s="467"/>
      <c r="BW4313" s="467"/>
      <c r="BX4313" s="769"/>
      <c r="BY4313" s="769"/>
      <c r="BZ4313" s="769"/>
      <c r="CA4313" s="769"/>
      <c r="CB4313" s="769"/>
      <c r="CC4313" s="769"/>
      <c r="CD4313" s="769"/>
      <c r="CE4313" s="769"/>
      <c r="CF4313" s="769"/>
      <c r="CG4313" s="73"/>
      <c r="CH4313" s="438"/>
      <c r="CI4313" s="416"/>
      <c r="CJ4313" s="73"/>
      <c r="CK4313" s="650"/>
      <c r="CL4313" s="499"/>
      <c r="CM4313" s="650"/>
      <c r="CR4313" s="416"/>
      <c r="CS4313" s="650"/>
      <c r="CU4313" s="73"/>
      <c r="CV4313" s="73"/>
      <c r="CW4313" s="73"/>
      <c r="CX4313" s="73"/>
      <c r="DA4313" s="650"/>
    </row>
    <row r="4314" spans="1:105" s="45" customFormat="1" x14ac:dyDescent="0.2">
      <c r="A4314" s="650"/>
      <c r="B4314" s="438"/>
      <c r="D4314" s="73"/>
      <c r="E4314" s="650"/>
      <c r="F4314" s="650"/>
      <c r="G4314" s="73"/>
      <c r="I4314" s="111"/>
      <c r="J4314" s="81"/>
      <c r="K4314" s="81"/>
      <c r="L4314" s="499"/>
      <c r="M4314" s="73"/>
      <c r="N4314" s="499"/>
      <c r="O4314" s="73"/>
      <c r="P4314" s="73"/>
      <c r="Q4314" s="73"/>
      <c r="R4314" s="176"/>
      <c r="S4314" s="176"/>
      <c r="T4314" s="176"/>
      <c r="U4314" s="400"/>
      <c r="V4314" s="400"/>
      <c r="W4314" s="732"/>
      <c r="X4314" s="167"/>
      <c r="Y4314" s="509"/>
      <c r="Z4314" s="466"/>
      <c r="AA4314" s="466"/>
      <c r="AB4314" s="466"/>
      <c r="AC4314" s="466"/>
      <c r="AD4314" s="466"/>
      <c r="AE4314" s="466"/>
      <c r="AF4314" s="466"/>
      <c r="AG4314" s="466"/>
      <c r="AH4314" s="466"/>
      <c r="AI4314" s="466"/>
      <c r="AJ4314" s="466"/>
      <c r="AK4314" s="466"/>
      <c r="AL4314" s="466"/>
      <c r="AM4314" s="466"/>
      <c r="AN4314" s="466"/>
      <c r="AO4314" s="466"/>
      <c r="AP4314" s="466"/>
      <c r="AQ4314" s="466"/>
      <c r="AR4314" s="466"/>
      <c r="AS4314" s="466"/>
      <c r="AT4314" s="466"/>
      <c r="AU4314" s="466"/>
      <c r="AV4314" s="466"/>
      <c r="AW4314" s="466"/>
      <c r="AX4314" s="466"/>
      <c r="AY4314" s="466"/>
      <c r="AZ4314" s="466"/>
      <c r="BA4314" s="466"/>
      <c r="BB4314" s="466"/>
      <c r="BC4314" s="466"/>
      <c r="BD4314" s="466"/>
      <c r="BE4314" s="467"/>
      <c r="BF4314" s="467"/>
      <c r="BG4314" s="466"/>
      <c r="BH4314" s="466"/>
      <c r="BI4314" s="467"/>
      <c r="BJ4314" s="467"/>
      <c r="BK4314" s="467"/>
      <c r="BL4314" s="467"/>
      <c r="BM4314" s="467"/>
      <c r="BN4314" s="467"/>
      <c r="BO4314" s="467"/>
      <c r="BP4314" s="467"/>
      <c r="BQ4314" s="467"/>
      <c r="BR4314" s="467"/>
      <c r="BS4314" s="467"/>
      <c r="BT4314" s="467"/>
      <c r="BU4314" s="467"/>
      <c r="BV4314" s="467"/>
      <c r="BW4314" s="467"/>
      <c r="BX4314" s="769"/>
      <c r="BY4314" s="769"/>
      <c r="BZ4314" s="769"/>
      <c r="CA4314" s="769"/>
      <c r="CB4314" s="769"/>
      <c r="CC4314" s="769"/>
      <c r="CD4314" s="769"/>
      <c r="CE4314" s="769"/>
      <c r="CF4314" s="769"/>
      <c r="CG4314" s="73"/>
      <c r="CH4314" s="438"/>
      <c r="CI4314" s="416"/>
      <c r="CJ4314" s="73"/>
      <c r="CK4314" s="650"/>
      <c r="CL4314" s="499"/>
      <c r="CM4314" s="650"/>
      <c r="CR4314" s="416"/>
      <c r="CS4314" s="650"/>
      <c r="CU4314" s="73"/>
      <c r="CV4314" s="73"/>
      <c r="CW4314" s="73"/>
      <c r="CX4314" s="73"/>
      <c r="DA4314" s="650"/>
    </row>
    <row r="4315" spans="1:105" s="45" customFormat="1" x14ac:dyDescent="0.2">
      <c r="A4315" s="650"/>
      <c r="B4315" s="438"/>
      <c r="D4315" s="73"/>
      <c r="E4315" s="650"/>
      <c r="F4315" s="650"/>
      <c r="G4315" s="73"/>
      <c r="I4315" s="111"/>
      <c r="J4315" s="81"/>
      <c r="K4315" s="81"/>
      <c r="L4315" s="499"/>
      <c r="M4315" s="73"/>
      <c r="N4315" s="499"/>
      <c r="O4315" s="73"/>
      <c r="P4315" s="73"/>
      <c r="Q4315" s="73"/>
      <c r="R4315" s="176"/>
      <c r="S4315" s="176"/>
      <c r="T4315" s="176"/>
      <c r="U4315" s="400"/>
      <c r="V4315" s="400"/>
      <c r="W4315" s="732"/>
      <c r="X4315" s="167"/>
      <c r="Y4315" s="509"/>
      <c r="Z4315" s="466"/>
      <c r="AA4315" s="466"/>
      <c r="AB4315" s="466"/>
      <c r="AC4315" s="466"/>
      <c r="AD4315" s="466"/>
      <c r="AE4315" s="466"/>
      <c r="AF4315" s="466"/>
      <c r="AG4315" s="466"/>
      <c r="AH4315" s="466"/>
      <c r="AI4315" s="466"/>
      <c r="AJ4315" s="466"/>
      <c r="AK4315" s="466"/>
      <c r="AL4315" s="466"/>
      <c r="AM4315" s="466"/>
      <c r="AN4315" s="466"/>
      <c r="AO4315" s="466"/>
      <c r="AP4315" s="466"/>
      <c r="AQ4315" s="466"/>
      <c r="AR4315" s="466"/>
      <c r="AS4315" s="466"/>
      <c r="AT4315" s="466"/>
      <c r="AU4315" s="466"/>
      <c r="AV4315" s="466"/>
      <c r="AW4315" s="466"/>
      <c r="AX4315" s="466"/>
      <c r="AY4315" s="466"/>
      <c r="AZ4315" s="466"/>
      <c r="BA4315" s="466"/>
      <c r="BB4315" s="466"/>
      <c r="BC4315" s="466"/>
      <c r="BD4315" s="466"/>
      <c r="BE4315" s="467"/>
      <c r="BF4315" s="467"/>
      <c r="BG4315" s="466"/>
      <c r="BH4315" s="466"/>
      <c r="BI4315" s="467"/>
      <c r="BJ4315" s="467"/>
      <c r="BK4315" s="467"/>
      <c r="BL4315" s="467"/>
      <c r="BM4315" s="467"/>
      <c r="BN4315" s="467"/>
      <c r="BO4315" s="467"/>
      <c r="BP4315" s="467"/>
      <c r="BQ4315" s="467"/>
      <c r="BR4315" s="467"/>
      <c r="BS4315" s="467"/>
      <c r="BT4315" s="467"/>
      <c r="BU4315" s="467"/>
      <c r="BV4315" s="467"/>
      <c r="BW4315" s="467"/>
      <c r="BX4315" s="769"/>
      <c r="BY4315" s="769"/>
      <c r="BZ4315" s="769"/>
      <c r="CA4315" s="769"/>
      <c r="CB4315" s="769"/>
      <c r="CC4315" s="769"/>
      <c r="CD4315" s="769"/>
      <c r="CE4315" s="769"/>
      <c r="CF4315" s="769"/>
      <c r="CG4315" s="73"/>
      <c r="CH4315" s="438"/>
      <c r="CI4315" s="416"/>
      <c r="CJ4315" s="73"/>
      <c r="CK4315" s="650"/>
      <c r="CL4315" s="499"/>
      <c r="CM4315" s="650"/>
      <c r="CR4315" s="416"/>
      <c r="CS4315" s="650"/>
      <c r="CU4315" s="73"/>
      <c r="CV4315" s="73"/>
      <c r="CW4315" s="73"/>
      <c r="CX4315" s="73"/>
      <c r="DA4315" s="650"/>
    </row>
    <row r="4316" spans="1:105" s="45" customFormat="1" x14ac:dyDescent="0.2">
      <c r="A4316" s="650"/>
      <c r="B4316" s="438"/>
      <c r="D4316" s="73"/>
      <c r="E4316" s="650"/>
      <c r="F4316" s="650"/>
      <c r="G4316" s="73"/>
      <c r="I4316" s="111"/>
      <c r="J4316" s="81"/>
      <c r="K4316" s="81"/>
      <c r="L4316" s="499"/>
      <c r="M4316" s="73"/>
      <c r="N4316" s="499"/>
      <c r="O4316" s="73"/>
      <c r="P4316" s="73"/>
      <c r="Q4316" s="73"/>
      <c r="R4316" s="176"/>
      <c r="S4316" s="176"/>
      <c r="T4316" s="176"/>
      <c r="U4316" s="400"/>
      <c r="V4316" s="400"/>
      <c r="W4316" s="732"/>
      <c r="X4316" s="167"/>
      <c r="Y4316" s="509"/>
      <c r="Z4316" s="466"/>
      <c r="AA4316" s="466"/>
      <c r="AB4316" s="466"/>
      <c r="AC4316" s="466"/>
      <c r="AD4316" s="466"/>
      <c r="AE4316" s="466"/>
      <c r="AF4316" s="466"/>
      <c r="AG4316" s="466"/>
      <c r="AH4316" s="466"/>
      <c r="AI4316" s="466"/>
      <c r="AJ4316" s="466"/>
      <c r="AK4316" s="466"/>
      <c r="AL4316" s="466"/>
      <c r="AM4316" s="466"/>
      <c r="AN4316" s="466"/>
      <c r="AO4316" s="466"/>
      <c r="AP4316" s="466"/>
      <c r="AQ4316" s="466"/>
      <c r="AR4316" s="466"/>
      <c r="AS4316" s="466"/>
      <c r="AT4316" s="466"/>
      <c r="AU4316" s="466"/>
      <c r="AV4316" s="466"/>
      <c r="AW4316" s="466"/>
      <c r="AX4316" s="466"/>
      <c r="AY4316" s="466"/>
      <c r="AZ4316" s="466"/>
      <c r="BA4316" s="466"/>
      <c r="BB4316" s="466"/>
      <c r="BC4316" s="466"/>
      <c r="BD4316" s="466"/>
      <c r="BE4316" s="467"/>
      <c r="BF4316" s="467"/>
      <c r="BG4316" s="466"/>
      <c r="BH4316" s="466"/>
      <c r="BI4316" s="467"/>
      <c r="BJ4316" s="467"/>
      <c r="BK4316" s="467"/>
      <c r="BL4316" s="467"/>
      <c r="BM4316" s="467"/>
      <c r="BN4316" s="467"/>
      <c r="BO4316" s="467"/>
      <c r="BP4316" s="467"/>
      <c r="BQ4316" s="467"/>
      <c r="BR4316" s="467"/>
      <c r="BS4316" s="467"/>
      <c r="BT4316" s="467"/>
      <c r="BU4316" s="467"/>
      <c r="BV4316" s="467"/>
      <c r="BW4316" s="467"/>
      <c r="BX4316" s="769"/>
      <c r="BY4316" s="769"/>
      <c r="BZ4316" s="769"/>
      <c r="CA4316" s="769"/>
      <c r="CB4316" s="769"/>
      <c r="CC4316" s="769"/>
      <c r="CD4316" s="769"/>
      <c r="CE4316" s="769"/>
      <c r="CF4316" s="769"/>
      <c r="CG4316" s="73"/>
      <c r="CH4316" s="438"/>
      <c r="CI4316" s="416"/>
      <c r="CJ4316" s="73"/>
      <c r="CK4316" s="650"/>
      <c r="CL4316" s="499"/>
      <c r="CM4316" s="650"/>
      <c r="CR4316" s="416"/>
      <c r="CS4316" s="650"/>
      <c r="CU4316" s="73"/>
      <c r="CV4316" s="73"/>
      <c r="CW4316" s="73"/>
      <c r="CX4316" s="73"/>
      <c r="DA4316" s="650"/>
    </row>
    <row r="4317" spans="1:105" s="45" customFormat="1" x14ac:dyDescent="0.2">
      <c r="A4317" s="650"/>
      <c r="B4317" s="438"/>
      <c r="D4317" s="73"/>
      <c r="E4317" s="650"/>
      <c r="F4317" s="650"/>
      <c r="G4317" s="73"/>
      <c r="I4317" s="111"/>
      <c r="J4317" s="81"/>
      <c r="K4317" s="81"/>
      <c r="L4317" s="499"/>
      <c r="M4317" s="73"/>
      <c r="N4317" s="499"/>
      <c r="O4317" s="73"/>
      <c r="P4317" s="73"/>
      <c r="Q4317" s="73"/>
      <c r="R4317" s="176"/>
      <c r="S4317" s="176"/>
      <c r="T4317" s="176"/>
      <c r="U4317" s="400"/>
      <c r="V4317" s="400"/>
      <c r="W4317" s="732"/>
      <c r="X4317" s="167"/>
      <c r="Y4317" s="509"/>
      <c r="Z4317" s="466"/>
      <c r="AA4317" s="466"/>
      <c r="AB4317" s="466"/>
      <c r="AC4317" s="466"/>
      <c r="AD4317" s="466"/>
      <c r="AE4317" s="466"/>
      <c r="AF4317" s="466"/>
      <c r="AG4317" s="466"/>
      <c r="AH4317" s="466"/>
      <c r="AI4317" s="466"/>
      <c r="AJ4317" s="466"/>
      <c r="AK4317" s="466"/>
      <c r="AL4317" s="466"/>
      <c r="AM4317" s="466"/>
      <c r="AN4317" s="466"/>
      <c r="AO4317" s="466"/>
      <c r="AP4317" s="466"/>
      <c r="AQ4317" s="466"/>
      <c r="AR4317" s="466"/>
      <c r="AS4317" s="466"/>
      <c r="AT4317" s="466"/>
      <c r="AU4317" s="466"/>
      <c r="AV4317" s="466"/>
      <c r="AW4317" s="466"/>
      <c r="AX4317" s="466"/>
      <c r="AY4317" s="466"/>
      <c r="AZ4317" s="466"/>
      <c r="BA4317" s="466"/>
      <c r="BB4317" s="466"/>
      <c r="BC4317" s="466"/>
      <c r="BD4317" s="466"/>
      <c r="BE4317" s="467"/>
      <c r="BF4317" s="467"/>
      <c r="BG4317" s="466"/>
      <c r="BH4317" s="466"/>
      <c r="BI4317" s="467"/>
      <c r="BJ4317" s="467"/>
      <c r="BK4317" s="467"/>
      <c r="BL4317" s="467"/>
      <c r="BM4317" s="467"/>
      <c r="BN4317" s="467"/>
      <c r="BO4317" s="467"/>
      <c r="BP4317" s="467"/>
      <c r="BQ4317" s="467"/>
      <c r="BR4317" s="467"/>
      <c r="BS4317" s="467"/>
      <c r="BT4317" s="467"/>
      <c r="BU4317" s="467"/>
      <c r="BV4317" s="467"/>
      <c r="BW4317" s="467"/>
      <c r="BX4317" s="769"/>
      <c r="BY4317" s="769"/>
      <c r="BZ4317" s="769"/>
      <c r="CA4317" s="769"/>
      <c r="CB4317" s="769"/>
      <c r="CC4317" s="769"/>
      <c r="CD4317" s="769"/>
      <c r="CE4317" s="769"/>
      <c r="CF4317" s="769"/>
      <c r="CG4317" s="73"/>
      <c r="CH4317" s="438"/>
      <c r="CI4317" s="416"/>
      <c r="CJ4317" s="73"/>
      <c r="CK4317" s="650"/>
      <c r="CL4317" s="499"/>
      <c r="CM4317" s="650"/>
      <c r="CR4317" s="416"/>
      <c r="CS4317" s="650"/>
      <c r="CU4317" s="73"/>
      <c r="CV4317" s="73"/>
      <c r="CW4317" s="73"/>
      <c r="CX4317" s="73"/>
      <c r="DA4317" s="650"/>
    </row>
    <row r="4318" spans="1:105" s="45" customFormat="1" x14ac:dyDescent="0.2">
      <c r="A4318" s="650"/>
      <c r="B4318" s="438"/>
      <c r="D4318" s="73"/>
      <c r="E4318" s="650"/>
      <c r="F4318" s="650"/>
      <c r="G4318" s="73"/>
      <c r="I4318" s="111"/>
      <c r="J4318" s="81"/>
      <c r="K4318" s="81"/>
      <c r="L4318" s="499"/>
      <c r="M4318" s="73"/>
      <c r="N4318" s="499"/>
      <c r="O4318" s="73"/>
      <c r="P4318" s="73"/>
      <c r="Q4318" s="73"/>
      <c r="R4318" s="176"/>
      <c r="S4318" s="176"/>
      <c r="T4318" s="176"/>
      <c r="U4318" s="400"/>
      <c r="V4318" s="400"/>
      <c r="W4318" s="732"/>
      <c r="X4318" s="167"/>
      <c r="Y4318" s="509"/>
      <c r="Z4318" s="466"/>
      <c r="AA4318" s="466"/>
      <c r="AB4318" s="466"/>
      <c r="AC4318" s="466"/>
      <c r="AD4318" s="466"/>
      <c r="AE4318" s="466"/>
      <c r="AF4318" s="466"/>
      <c r="AG4318" s="466"/>
      <c r="AH4318" s="466"/>
      <c r="AI4318" s="466"/>
      <c r="AJ4318" s="466"/>
      <c r="AK4318" s="466"/>
      <c r="AL4318" s="466"/>
      <c r="AM4318" s="466"/>
      <c r="AN4318" s="466"/>
      <c r="AO4318" s="466"/>
      <c r="AP4318" s="466"/>
      <c r="AQ4318" s="466"/>
      <c r="AR4318" s="466"/>
      <c r="AS4318" s="466"/>
      <c r="AT4318" s="466"/>
      <c r="AU4318" s="466"/>
      <c r="AV4318" s="466"/>
      <c r="AW4318" s="466"/>
      <c r="AX4318" s="466"/>
      <c r="AY4318" s="466"/>
      <c r="AZ4318" s="466"/>
      <c r="BA4318" s="466"/>
      <c r="BB4318" s="466"/>
      <c r="BC4318" s="466"/>
      <c r="BD4318" s="466"/>
      <c r="BE4318" s="467"/>
      <c r="BF4318" s="467"/>
      <c r="BG4318" s="466"/>
      <c r="BH4318" s="466"/>
      <c r="BI4318" s="467"/>
      <c r="BJ4318" s="467"/>
      <c r="BK4318" s="467"/>
      <c r="BL4318" s="467"/>
      <c r="BM4318" s="467"/>
      <c r="BN4318" s="467"/>
      <c r="BO4318" s="467"/>
      <c r="BP4318" s="467"/>
      <c r="BQ4318" s="467"/>
      <c r="BR4318" s="467"/>
      <c r="BS4318" s="467"/>
      <c r="BT4318" s="467"/>
      <c r="BU4318" s="467"/>
      <c r="BV4318" s="467"/>
      <c r="BW4318" s="467"/>
      <c r="BX4318" s="769"/>
      <c r="BY4318" s="769"/>
      <c r="BZ4318" s="769"/>
      <c r="CA4318" s="769"/>
      <c r="CB4318" s="769"/>
      <c r="CC4318" s="769"/>
      <c r="CD4318" s="769"/>
      <c r="CE4318" s="769"/>
      <c r="CF4318" s="769"/>
      <c r="CG4318" s="73"/>
      <c r="CH4318" s="438"/>
      <c r="CI4318" s="416"/>
      <c r="CJ4318" s="73"/>
      <c r="CK4318" s="650"/>
      <c r="CL4318" s="499"/>
      <c r="CM4318" s="650"/>
      <c r="CR4318" s="416"/>
      <c r="CS4318" s="650"/>
      <c r="CU4318" s="73"/>
      <c r="CV4318" s="73"/>
      <c r="CW4318" s="73"/>
      <c r="CX4318" s="73"/>
      <c r="DA4318" s="650"/>
    </row>
    <row r="4319" spans="1:105" s="45" customFormat="1" x14ac:dyDescent="0.2">
      <c r="A4319" s="650"/>
      <c r="B4319" s="438"/>
      <c r="D4319" s="73"/>
      <c r="E4319" s="650"/>
      <c r="F4319" s="650"/>
      <c r="G4319" s="73"/>
      <c r="I4319" s="111"/>
      <c r="J4319" s="81"/>
      <c r="K4319" s="81"/>
      <c r="L4319" s="499"/>
      <c r="M4319" s="73"/>
      <c r="N4319" s="499"/>
      <c r="O4319" s="73"/>
      <c r="P4319" s="73"/>
      <c r="Q4319" s="73"/>
      <c r="R4319" s="176"/>
      <c r="S4319" s="176"/>
      <c r="T4319" s="176"/>
      <c r="U4319" s="400"/>
      <c r="V4319" s="400"/>
      <c r="W4319" s="732"/>
      <c r="X4319" s="167"/>
      <c r="Y4319" s="509"/>
      <c r="Z4319" s="466"/>
      <c r="AA4319" s="466"/>
      <c r="AB4319" s="466"/>
      <c r="AC4319" s="466"/>
      <c r="AD4319" s="466"/>
      <c r="AE4319" s="466"/>
      <c r="AF4319" s="466"/>
      <c r="AG4319" s="466"/>
      <c r="AH4319" s="466"/>
      <c r="AI4319" s="466"/>
      <c r="AJ4319" s="466"/>
      <c r="AK4319" s="466"/>
      <c r="AL4319" s="466"/>
      <c r="AM4319" s="466"/>
      <c r="AN4319" s="466"/>
      <c r="AO4319" s="466"/>
      <c r="AP4319" s="466"/>
      <c r="AQ4319" s="466"/>
      <c r="AR4319" s="466"/>
      <c r="AS4319" s="466"/>
      <c r="AT4319" s="466"/>
      <c r="AU4319" s="466"/>
      <c r="AV4319" s="466"/>
      <c r="AW4319" s="466"/>
      <c r="AX4319" s="466"/>
      <c r="AY4319" s="466"/>
      <c r="AZ4319" s="466"/>
      <c r="BA4319" s="466"/>
      <c r="BB4319" s="466"/>
      <c r="BC4319" s="466"/>
      <c r="BD4319" s="466"/>
      <c r="BE4319" s="467"/>
      <c r="BF4319" s="467"/>
      <c r="BG4319" s="466"/>
      <c r="BH4319" s="466"/>
      <c r="BI4319" s="467"/>
      <c r="BJ4319" s="467"/>
      <c r="BK4319" s="467"/>
      <c r="BL4319" s="467"/>
      <c r="BM4319" s="467"/>
      <c r="BN4319" s="467"/>
      <c r="BO4319" s="467"/>
      <c r="BP4319" s="467"/>
      <c r="BQ4319" s="467"/>
      <c r="BR4319" s="467"/>
      <c r="BS4319" s="467"/>
      <c r="BT4319" s="467"/>
      <c r="BU4319" s="467"/>
      <c r="BV4319" s="467"/>
      <c r="BW4319" s="467"/>
      <c r="BX4319" s="769"/>
      <c r="BY4319" s="769"/>
      <c r="BZ4319" s="769"/>
      <c r="CA4319" s="769"/>
      <c r="CB4319" s="769"/>
      <c r="CC4319" s="769"/>
      <c r="CD4319" s="769"/>
      <c r="CE4319" s="769"/>
      <c r="CF4319" s="769"/>
      <c r="CG4319" s="73"/>
      <c r="CH4319" s="438"/>
      <c r="CI4319" s="416"/>
      <c r="CJ4319" s="73"/>
      <c r="CK4319" s="650"/>
      <c r="CL4319" s="499"/>
      <c r="CM4319" s="650"/>
      <c r="CR4319" s="416"/>
      <c r="CS4319" s="650"/>
      <c r="CU4319" s="73"/>
      <c r="CV4319" s="73"/>
      <c r="CW4319" s="73"/>
      <c r="CX4319" s="73"/>
      <c r="DA4319" s="650"/>
    </row>
    <row r="4320" spans="1:105" s="45" customFormat="1" x14ac:dyDescent="0.2">
      <c r="A4320" s="650"/>
      <c r="B4320" s="438"/>
      <c r="D4320" s="73"/>
      <c r="E4320" s="650"/>
      <c r="F4320" s="650"/>
      <c r="G4320" s="73"/>
      <c r="I4320" s="111"/>
      <c r="J4320" s="81"/>
      <c r="K4320" s="81"/>
      <c r="L4320" s="499"/>
      <c r="M4320" s="73"/>
      <c r="N4320" s="499"/>
      <c r="O4320" s="73"/>
      <c r="P4320" s="73"/>
      <c r="Q4320" s="73"/>
      <c r="R4320" s="176"/>
      <c r="S4320" s="176"/>
      <c r="T4320" s="176"/>
      <c r="U4320" s="400"/>
      <c r="V4320" s="400"/>
      <c r="W4320" s="732"/>
      <c r="X4320" s="167"/>
      <c r="Y4320" s="509"/>
      <c r="Z4320" s="466"/>
      <c r="AA4320" s="466"/>
      <c r="AB4320" s="466"/>
      <c r="AC4320" s="466"/>
      <c r="AD4320" s="466"/>
      <c r="AE4320" s="466"/>
      <c r="AF4320" s="466"/>
      <c r="AG4320" s="466"/>
      <c r="AH4320" s="466"/>
      <c r="AI4320" s="466"/>
      <c r="AJ4320" s="466"/>
      <c r="AK4320" s="466"/>
      <c r="AL4320" s="466"/>
      <c r="AM4320" s="466"/>
      <c r="AN4320" s="466"/>
      <c r="AO4320" s="466"/>
      <c r="AP4320" s="466"/>
      <c r="AQ4320" s="466"/>
      <c r="AR4320" s="466"/>
      <c r="AS4320" s="466"/>
      <c r="AT4320" s="466"/>
      <c r="AU4320" s="466"/>
      <c r="AV4320" s="466"/>
      <c r="AW4320" s="466"/>
      <c r="AX4320" s="466"/>
      <c r="AY4320" s="466"/>
      <c r="AZ4320" s="466"/>
      <c r="BA4320" s="466"/>
      <c r="BB4320" s="466"/>
      <c r="BC4320" s="466"/>
      <c r="BD4320" s="466"/>
      <c r="BE4320" s="467"/>
      <c r="BF4320" s="467"/>
      <c r="BG4320" s="466"/>
      <c r="BH4320" s="466"/>
      <c r="BI4320" s="467"/>
      <c r="BJ4320" s="467"/>
      <c r="BK4320" s="467"/>
      <c r="BL4320" s="467"/>
      <c r="BM4320" s="467"/>
      <c r="BN4320" s="467"/>
      <c r="BO4320" s="467"/>
      <c r="BP4320" s="467"/>
      <c r="BQ4320" s="467"/>
      <c r="BR4320" s="467"/>
      <c r="BS4320" s="467"/>
      <c r="BT4320" s="467"/>
      <c r="BU4320" s="467"/>
      <c r="BV4320" s="467"/>
      <c r="BW4320" s="467"/>
      <c r="BX4320" s="769"/>
      <c r="BY4320" s="769"/>
      <c r="BZ4320" s="769"/>
      <c r="CA4320" s="769"/>
      <c r="CB4320" s="769"/>
      <c r="CC4320" s="769"/>
      <c r="CD4320" s="769"/>
      <c r="CE4320" s="769"/>
      <c r="CF4320" s="769"/>
      <c r="CG4320" s="73"/>
      <c r="CH4320" s="438"/>
      <c r="CI4320" s="416"/>
      <c r="CJ4320" s="73"/>
      <c r="CK4320" s="650"/>
      <c r="CL4320" s="499"/>
      <c r="CM4320" s="650"/>
      <c r="CR4320" s="416"/>
      <c r="CS4320" s="650"/>
      <c r="CU4320" s="73"/>
      <c r="CV4320" s="73"/>
      <c r="CW4320" s="73"/>
      <c r="CX4320" s="73"/>
      <c r="DA4320" s="650"/>
    </row>
    <row r="4321" spans="1:105" s="45" customFormat="1" x14ac:dyDescent="0.2">
      <c r="A4321" s="650"/>
      <c r="B4321" s="438"/>
      <c r="D4321" s="73"/>
      <c r="E4321" s="650"/>
      <c r="F4321" s="650"/>
      <c r="G4321" s="73"/>
      <c r="I4321" s="111"/>
      <c r="J4321" s="81"/>
      <c r="K4321" s="81"/>
      <c r="L4321" s="499"/>
      <c r="M4321" s="73"/>
      <c r="N4321" s="499"/>
      <c r="O4321" s="73"/>
      <c r="P4321" s="73"/>
      <c r="Q4321" s="73"/>
      <c r="R4321" s="176"/>
      <c r="S4321" s="176"/>
      <c r="T4321" s="176"/>
      <c r="U4321" s="400"/>
      <c r="V4321" s="400"/>
      <c r="W4321" s="732"/>
      <c r="X4321" s="167"/>
      <c r="Y4321" s="509"/>
      <c r="Z4321" s="466"/>
      <c r="AA4321" s="466"/>
      <c r="AB4321" s="466"/>
      <c r="AC4321" s="466"/>
      <c r="AD4321" s="466"/>
      <c r="AE4321" s="466"/>
      <c r="AF4321" s="466"/>
      <c r="AG4321" s="466"/>
      <c r="AH4321" s="466"/>
      <c r="AI4321" s="466"/>
      <c r="AJ4321" s="466"/>
      <c r="AK4321" s="466"/>
      <c r="AL4321" s="466"/>
      <c r="AM4321" s="466"/>
      <c r="AN4321" s="466"/>
      <c r="AO4321" s="466"/>
      <c r="AP4321" s="466"/>
      <c r="AQ4321" s="466"/>
      <c r="AR4321" s="466"/>
      <c r="AS4321" s="466"/>
      <c r="AT4321" s="466"/>
      <c r="AU4321" s="466"/>
      <c r="AV4321" s="466"/>
      <c r="AW4321" s="466"/>
      <c r="AX4321" s="466"/>
      <c r="AY4321" s="466"/>
      <c r="AZ4321" s="466"/>
      <c r="BA4321" s="466"/>
      <c r="BB4321" s="466"/>
      <c r="BC4321" s="466"/>
      <c r="BD4321" s="466"/>
      <c r="BE4321" s="467"/>
      <c r="BF4321" s="467"/>
      <c r="BG4321" s="466"/>
      <c r="BH4321" s="466"/>
      <c r="BI4321" s="467"/>
      <c r="BJ4321" s="467"/>
      <c r="BK4321" s="467"/>
      <c r="BL4321" s="467"/>
      <c r="BM4321" s="467"/>
      <c r="BN4321" s="467"/>
      <c r="BO4321" s="467"/>
      <c r="BP4321" s="467"/>
      <c r="BQ4321" s="467"/>
      <c r="BR4321" s="467"/>
      <c r="BS4321" s="467"/>
      <c r="BT4321" s="467"/>
      <c r="BU4321" s="467"/>
      <c r="BV4321" s="467"/>
      <c r="BW4321" s="467"/>
      <c r="BX4321" s="769"/>
      <c r="BY4321" s="769"/>
      <c r="BZ4321" s="769"/>
      <c r="CA4321" s="769"/>
      <c r="CB4321" s="769"/>
      <c r="CC4321" s="769"/>
      <c r="CD4321" s="769"/>
      <c r="CE4321" s="769"/>
      <c r="CF4321" s="769"/>
      <c r="CG4321" s="73"/>
      <c r="CH4321" s="438"/>
      <c r="CI4321" s="416"/>
      <c r="CJ4321" s="73"/>
      <c r="CK4321" s="650"/>
      <c r="CL4321" s="499"/>
      <c r="CM4321" s="650"/>
      <c r="CR4321" s="416"/>
      <c r="CS4321" s="650"/>
      <c r="CU4321" s="73"/>
      <c r="CV4321" s="73"/>
      <c r="CW4321" s="73"/>
      <c r="CX4321" s="73"/>
      <c r="DA4321" s="650"/>
    </row>
    <row r="4322" spans="1:105" s="45" customFormat="1" x14ac:dyDescent="0.2">
      <c r="A4322" s="650"/>
      <c r="B4322" s="438"/>
      <c r="D4322" s="73"/>
      <c r="E4322" s="650"/>
      <c r="F4322" s="650"/>
      <c r="G4322" s="73"/>
      <c r="I4322" s="111"/>
      <c r="J4322" s="81"/>
      <c r="K4322" s="81"/>
      <c r="L4322" s="499"/>
      <c r="M4322" s="73"/>
      <c r="N4322" s="499"/>
      <c r="O4322" s="73"/>
      <c r="P4322" s="73"/>
      <c r="Q4322" s="73"/>
      <c r="R4322" s="176"/>
      <c r="S4322" s="176"/>
      <c r="T4322" s="176"/>
      <c r="U4322" s="400"/>
      <c r="V4322" s="400"/>
      <c r="W4322" s="732"/>
      <c r="X4322" s="167"/>
      <c r="Y4322" s="509"/>
      <c r="Z4322" s="466"/>
      <c r="AA4322" s="466"/>
      <c r="AB4322" s="466"/>
      <c r="AC4322" s="466"/>
      <c r="AD4322" s="466"/>
      <c r="AE4322" s="466"/>
      <c r="AF4322" s="466"/>
      <c r="AG4322" s="466"/>
      <c r="AH4322" s="466"/>
      <c r="AI4322" s="466"/>
      <c r="AJ4322" s="466"/>
      <c r="AK4322" s="466"/>
      <c r="AL4322" s="466"/>
      <c r="AM4322" s="466"/>
      <c r="AN4322" s="466"/>
      <c r="AO4322" s="466"/>
      <c r="AP4322" s="466"/>
      <c r="AQ4322" s="466"/>
      <c r="AR4322" s="466"/>
      <c r="AS4322" s="466"/>
      <c r="AT4322" s="466"/>
      <c r="AU4322" s="466"/>
      <c r="AV4322" s="466"/>
      <c r="AW4322" s="466"/>
      <c r="AX4322" s="466"/>
      <c r="AY4322" s="466"/>
      <c r="AZ4322" s="466"/>
      <c r="BA4322" s="466"/>
      <c r="BB4322" s="466"/>
      <c r="BC4322" s="466"/>
      <c r="BD4322" s="466"/>
      <c r="BE4322" s="467"/>
      <c r="BF4322" s="467"/>
      <c r="BG4322" s="466"/>
      <c r="BH4322" s="466"/>
      <c r="BI4322" s="467"/>
      <c r="BJ4322" s="467"/>
      <c r="BK4322" s="467"/>
      <c r="BL4322" s="467"/>
      <c r="BM4322" s="467"/>
      <c r="BN4322" s="467"/>
      <c r="BO4322" s="467"/>
      <c r="BP4322" s="467"/>
      <c r="BQ4322" s="467"/>
      <c r="BR4322" s="467"/>
      <c r="BS4322" s="467"/>
      <c r="BT4322" s="467"/>
      <c r="BU4322" s="467"/>
      <c r="BV4322" s="467"/>
      <c r="BW4322" s="467"/>
      <c r="BX4322" s="769"/>
      <c r="BY4322" s="769"/>
      <c r="BZ4322" s="769"/>
      <c r="CA4322" s="769"/>
      <c r="CB4322" s="769"/>
      <c r="CC4322" s="769"/>
      <c r="CD4322" s="769"/>
      <c r="CE4322" s="769"/>
      <c r="CF4322" s="769"/>
      <c r="CG4322" s="73"/>
      <c r="CH4322" s="438"/>
      <c r="CI4322" s="416"/>
      <c r="CJ4322" s="73"/>
      <c r="CK4322" s="650"/>
      <c r="CL4322" s="499"/>
      <c r="CM4322" s="650"/>
      <c r="CR4322" s="416"/>
      <c r="CS4322" s="650"/>
      <c r="CU4322" s="73"/>
      <c r="CV4322" s="73"/>
      <c r="CW4322" s="73"/>
      <c r="CX4322" s="73"/>
      <c r="DA4322" s="650"/>
    </row>
    <row r="4323" spans="1:105" s="45" customFormat="1" x14ac:dyDescent="0.2">
      <c r="A4323" s="650"/>
      <c r="B4323" s="438"/>
      <c r="D4323" s="73"/>
      <c r="E4323" s="650"/>
      <c r="F4323" s="650"/>
      <c r="G4323" s="73"/>
      <c r="I4323" s="111"/>
      <c r="J4323" s="81"/>
      <c r="K4323" s="81"/>
      <c r="L4323" s="499"/>
      <c r="M4323" s="73"/>
      <c r="N4323" s="499"/>
      <c r="O4323" s="73"/>
      <c r="P4323" s="73"/>
      <c r="Q4323" s="73"/>
      <c r="R4323" s="176"/>
      <c r="S4323" s="176"/>
      <c r="T4323" s="176"/>
      <c r="U4323" s="400"/>
      <c r="V4323" s="400"/>
      <c r="W4323" s="732"/>
      <c r="X4323" s="167"/>
      <c r="Y4323" s="509"/>
      <c r="Z4323" s="466"/>
      <c r="AA4323" s="466"/>
      <c r="AB4323" s="466"/>
      <c r="AC4323" s="466"/>
      <c r="AD4323" s="466"/>
      <c r="AE4323" s="466"/>
      <c r="AF4323" s="466"/>
      <c r="AG4323" s="466"/>
      <c r="AH4323" s="466"/>
      <c r="AI4323" s="466"/>
      <c r="AJ4323" s="466"/>
      <c r="AK4323" s="466"/>
      <c r="AL4323" s="466"/>
      <c r="AM4323" s="466"/>
      <c r="AN4323" s="466"/>
      <c r="AO4323" s="466"/>
      <c r="AP4323" s="466"/>
      <c r="AQ4323" s="466"/>
      <c r="AR4323" s="466"/>
      <c r="AS4323" s="466"/>
      <c r="AT4323" s="466"/>
      <c r="AU4323" s="466"/>
      <c r="AV4323" s="466"/>
      <c r="AW4323" s="466"/>
      <c r="AX4323" s="466"/>
      <c r="AY4323" s="466"/>
      <c r="AZ4323" s="466"/>
      <c r="BA4323" s="466"/>
      <c r="BB4323" s="466"/>
      <c r="BC4323" s="466"/>
      <c r="BD4323" s="466"/>
      <c r="BE4323" s="467"/>
      <c r="BF4323" s="467"/>
      <c r="BG4323" s="466"/>
      <c r="BH4323" s="466"/>
      <c r="BI4323" s="467"/>
      <c r="BJ4323" s="467"/>
      <c r="BK4323" s="467"/>
      <c r="BL4323" s="467"/>
      <c r="BM4323" s="467"/>
      <c r="BN4323" s="467"/>
      <c r="BO4323" s="467"/>
      <c r="BP4323" s="467"/>
      <c r="BQ4323" s="467"/>
      <c r="BR4323" s="467"/>
      <c r="BS4323" s="467"/>
      <c r="BT4323" s="467"/>
      <c r="BU4323" s="467"/>
      <c r="BV4323" s="467"/>
      <c r="BW4323" s="467"/>
      <c r="BX4323" s="769"/>
      <c r="BY4323" s="769"/>
      <c r="BZ4323" s="769"/>
      <c r="CA4323" s="769"/>
      <c r="CB4323" s="769"/>
      <c r="CC4323" s="769"/>
      <c r="CD4323" s="769"/>
      <c r="CE4323" s="769"/>
      <c r="CF4323" s="769"/>
      <c r="CG4323" s="73"/>
      <c r="CH4323" s="438"/>
      <c r="CI4323" s="416"/>
      <c r="CJ4323" s="73"/>
      <c r="CK4323" s="650"/>
      <c r="CL4323" s="499"/>
      <c r="CM4323" s="650"/>
      <c r="CR4323" s="416"/>
      <c r="CS4323" s="650"/>
      <c r="CU4323" s="73"/>
      <c r="CV4323" s="73"/>
      <c r="CW4323" s="73"/>
      <c r="CX4323" s="73"/>
      <c r="DA4323" s="650"/>
    </row>
    <row r="4324" spans="1:105" s="45" customFormat="1" x14ac:dyDescent="0.2">
      <c r="A4324" s="650"/>
      <c r="B4324" s="438"/>
      <c r="D4324" s="73"/>
      <c r="E4324" s="650"/>
      <c r="F4324" s="650"/>
      <c r="G4324" s="73"/>
      <c r="I4324" s="111"/>
      <c r="J4324" s="81"/>
      <c r="K4324" s="81"/>
      <c r="L4324" s="499"/>
      <c r="M4324" s="73"/>
      <c r="N4324" s="499"/>
      <c r="O4324" s="73"/>
      <c r="P4324" s="73"/>
      <c r="Q4324" s="73"/>
      <c r="R4324" s="176"/>
      <c r="S4324" s="176"/>
      <c r="T4324" s="176"/>
      <c r="U4324" s="400"/>
      <c r="V4324" s="400"/>
      <c r="W4324" s="732"/>
      <c r="X4324" s="167"/>
      <c r="Y4324" s="509"/>
      <c r="Z4324" s="466"/>
      <c r="AA4324" s="466"/>
      <c r="AB4324" s="466"/>
      <c r="AC4324" s="466"/>
      <c r="AD4324" s="466"/>
      <c r="AE4324" s="466"/>
      <c r="AF4324" s="466"/>
      <c r="AG4324" s="466"/>
      <c r="AH4324" s="466"/>
      <c r="AI4324" s="466"/>
      <c r="AJ4324" s="466"/>
      <c r="AK4324" s="466"/>
      <c r="AL4324" s="466"/>
      <c r="AM4324" s="466"/>
      <c r="AN4324" s="466"/>
      <c r="AO4324" s="466"/>
      <c r="AP4324" s="466"/>
      <c r="AQ4324" s="466"/>
      <c r="AR4324" s="466"/>
      <c r="AS4324" s="466"/>
      <c r="AT4324" s="466"/>
      <c r="AU4324" s="466"/>
      <c r="AV4324" s="466"/>
      <c r="AW4324" s="466"/>
      <c r="AX4324" s="466"/>
      <c r="AY4324" s="466"/>
      <c r="AZ4324" s="466"/>
      <c r="BA4324" s="466"/>
      <c r="BB4324" s="466"/>
      <c r="BC4324" s="466"/>
      <c r="BD4324" s="466"/>
      <c r="BE4324" s="467"/>
      <c r="BF4324" s="467"/>
      <c r="BG4324" s="466"/>
      <c r="BH4324" s="466"/>
      <c r="BI4324" s="467"/>
      <c r="BJ4324" s="467"/>
      <c r="BK4324" s="467"/>
      <c r="BL4324" s="467"/>
      <c r="BM4324" s="467"/>
      <c r="BN4324" s="467"/>
      <c r="BO4324" s="467"/>
      <c r="BP4324" s="467"/>
      <c r="BQ4324" s="467"/>
      <c r="BR4324" s="467"/>
      <c r="BS4324" s="467"/>
      <c r="BT4324" s="467"/>
      <c r="BU4324" s="467"/>
      <c r="BV4324" s="467"/>
      <c r="BW4324" s="467"/>
      <c r="BX4324" s="769"/>
      <c r="BY4324" s="769"/>
      <c r="BZ4324" s="769"/>
      <c r="CA4324" s="769"/>
      <c r="CB4324" s="769"/>
      <c r="CC4324" s="769"/>
      <c r="CD4324" s="769"/>
      <c r="CE4324" s="769"/>
      <c r="CF4324" s="769"/>
      <c r="CG4324" s="73"/>
      <c r="CH4324" s="438"/>
      <c r="CI4324" s="416"/>
      <c r="CJ4324" s="73"/>
      <c r="CK4324" s="650"/>
      <c r="CL4324" s="499"/>
      <c r="CM4324" s="650"/>
      <c r="CR4324" s="416"/>
      <c r="CS4324" s="650"/>
      <c r="CU4324" s="73"/>
      <c r="CV4324" s="73"/>
      <c r="CW4324" s="73"/>
      <c r="CX4324" s="73"/>
      <c r="DA4324" s="650"/>
    </row>
    <row r="4325" spans="1:105" s="45" customFormat="1" x14ac:dyDescent="0.2">
      <c r="A4325" s="650"/>
      <c r="B4325" s="438"/>
      <c r="D4325" s="73"/>
      <c r="E4325" s="650"/>
      <c r="F4325" s="650"/>
      <c r="G4325" s="73"/>
      <c r="I4325" s="111"/>
      <c r="J4325" s="81"/>
      <c r="K4325" s="81"/>
      <c r="L4325" s="499"/>
      <c r="M4325" s="73"/>
      <c r="N4325" s="499"/>
      <c r="O4325" s="73"/>
      <c r="P4325" s="73"/>
      <c r="Q4325" s="73"/>
      <c r="R4325" s="176"/>
      <c r="S4325" s="176"/>
      <c r="T4325" s="176"/>
      <c r="U4325" s="400"/>
      <c r="V4325" s="400"/>
      <c r="W4325" s="732"/>
      <c r="X4325" s="167"/>
      <c r="Y4325" s="509"/>
      <c r="Z4325" s="466"/>
      <c r="AA4325" s="466"/>
      <c r="AB4325" s="466"/>
      <c r="AC4325" s="466"/>
      <c r="AD4325" s="466"/>
      <c r="AE4325" s="466"/>
      <c r="AF4325" s="466"/>
      <c r="AG4325" s="466"/>
      <c r="AH4325" s="466"/>
      <c r="AI4325" s="466"/>
      <c r="AJ4325" s="466"/>
      <c r="AK4325" s="466"/>
      <c r="AL4325" s="466"/>
      <c r="AM4325" s="466"/>
      <c r="AN4325" s="466"/>
      <c r="AO4325" s="466"/>
      <c r="AP4325" s="466"/>
      <c r="AQ4325" s="466"/>
      <c r="AR4325" s="466"/>
      <c r="AS4325" s="466"/>
      <c r="AT4325" s="466"/>
      <c r="AU4325" s="466"/>
      <c r="AV4325" s="466"/>
      <c r="AW4325" s="466"/>
      <c r="AX4325" s="466"/>
      <c r="AY4325" s="466"/>
      <c r="AZ4325" s="466"/>
      <c r="BA4325" s="466"/>
      <c r="BB4325" s="466"/>
      <c r="BC4325" s="466"/>
      <c r="BD4325" s="466"/>
      <c r="BE4325" s="467"/>
      <c r="BF4325" s="467"/>
      <c r="BG4325" s="466"/>
      <c r="BH4325" s="466"/>
      <c r="BI4325" s="467"/>
      <c r="BJ4325" s="467"/>
      <c r="BK4325" s="467"/>
      <c r="BL4325" s="467"/>
      <c r="BM4325" s="467"/>
      <c r="BN4325" s="467"/>
      <c r="BO4325" s="467"/>
      <c r="BP4325" s="467"/>
      <c r="BQ4325" s="467"/>
      <c r="BR4325" s="467"/>
      <c r="BS4325" s="467"/>
      <c r="BT4325" s="467"/>
      <c r="BU4325" s="467"/>
      <c r="BV4325" s="467"/>
      <c r="BW4325" s="467"/>
      <c r="BX4325" s="769"/>
      <c r="BY4325" s="769"/>
      <c r="BZ4325" s="769"/>
      <c r="CA4325" s="769"/>
      <c r="CB4325" s="769"/>
      <c r="CC4325" s="769"/>
      <c r="CD4325" s="769"/>
      <c r="CE4325" s="769"/>
      <c r="CF4325" s="769"/>
      <c r="CG4325" s="73"/>
      <c r="CH4325" s="438"/>
      <c r="CI4325" s="416"/>
      <c r="CJ4325" s="73"/>
      <c r="CK4325" s="650"/>
      <c r="CL4325" s="499"/>
      <c r="CM4325" s="650"/>
      <c r="CR4325" s="416"/>
      <c r="CS4325" s="650"/>
      <c r="CU4325" s="73"/>
      <c r="CV4325" s="73"/>
      <c r="CW4325" s="73"/>
      <c r="CX4325" s="73"/>
      <c r="DA4325" s="650"/>
    </row>
    <row r="4326" spans="1:105" s="45" customFormat="1" x14ac:dyDescent="0.2">
      <c r="A4326" s="650"/>
      <c r="B4326" s="438"/>
      <c r="D4326" s="73"/>
      <c r="E4326" s="650"/>
      <c r="F4326" s="650"/>
      <c r="G4326" s="73"/>
      <c r="I4326" s="111"/>
      <c r="J4326" s="81"/>
      <c r="K4326" s="81"/>
      <c r="L4326" s="499"/>
      <c r="M4326" s="73"/>
      <c r="N4326" s="499"/>
      <c r="O4326" s="73"/>
      <c r="P4326" s="73"/>
      <c r="Q4326" s="73"/>
      <c r="R4326" s="176"/>
      <c r="S4326" s="176"/>
      <c r="T4326" s="176"/>
      <c r="U4326" s="400"/>
      <c r="V4326" s="400"/>
      <c r="W4326" s="732"/>
      <c r="X4326" s="167"/>
      <c r="Y4326" s="509"/>
      <c r="Z4326" s="466"/>
      <c r="AA4326" s="466"/>
      <c r="AB4326" s="466"/>
      <c r="AC4326" s="466"/>
      <c r="AD4326" s="466"/>
      <c r="AE4326" s="466"/>
      <c r="AF4326" s="466"/>
      <c r="AG4326" s="466"/>
      <c r="AH4326" s="466"/>
      <c r="AI4326" s="466"/>
      <c r="AJ4326" s="466"/>
      <c r="AK4326" s="466"/>
      <c r="AL4326" s="466"/>
      <c r="AM4326" s="466"/>
      <c r="AN4326" s="466"/>
      <c r="AO4326" s="466"/>
      <c r="AP4326" s="466"/>
      <c r="AQ4326" s="466"/>
      <c r="AR4326" s="466"/>
      <c r="AS4326" s="466"/>
      <c r="AT4326" s="466"/>
      <c r="AU4326" s="466"/>
      <c r="AV4326" s="466"/>
      <c r="AW4326" s="466"/>
      <c r="AX4326" s="466"/>
      <c r="AY4326" s="466"/>
      <c r="AZ4326" s="466"/>
      <c r="BA4326" s="466"/>
      <c r="BB4326" s="466"/>
      <c r="BC4326" s="466"/>
      <c r="BD4326" s="466"/>
      <c r="BE4326" s="467"/>
      <c r="BF4326" s="467"/>
      <c r="BG4326" s="466"/>
      <c r="BH4326" s="466"/>
      <c r="BI4326" s="467"/>
      <c r="BJ4326" s="467"/>
      <c r="BK4326" s="467"/>
      <c r="BL4326" s="467"/>
      <c r="BM4326" s="467"/>
      <c r="BN4326" s="467"/>
      <c r="BO4326" s="467"/>
      <c r="BP4326" s="467"/>
      <c r="BQ4326" s="467"/>
      <c r="BR4326" s="467"/>
      <c r="BS4326" s="467"/>
      <c r="BT4326" s="467"/>
      <c r="BU4326" s="467"/>
      <c r="BV4326" s="467"/>
      <c r="BW4326" s="467"/>
      <c r="BX4326" s="769"/>
      <c r="BY4326" s="769"/>
      <c r="BZ4326" s="769"/>
      <c r="CA4326" s="769"/>
      <c r="CB4326" s="769"/>
      <c r="CC4326" s="769"/>
      <c r="CD4326" s="769"/>
      <c r="CE4326" s="769"/>
      <c r="CF4326" s="769"/>
      <c r="CG4326" s="73"/>
      <c r="CH4326" s="438"/>
      <c r="CI4326" s="416"/>
      <c r="CJ4326" s="73"/>
      <c r="CK4326" s="650"/>
      <c r="CL4326" s="499"/>
      <c r="CM4326" s="650"/>
      <c r="CR4326" s="416"/>
      <c r="CS4326" s="650"/>
      <c r="CU4326" s="73"/>
      <c r="CV4326" s="73"/>
      <c r="CW4326" s="73"/>
      <c r="CX4326" s="73"/>
      <c r="DA4326" s="650"/>
    </row>
    <row r="4327" spans="1:105" s="45" customFormat="1" x14ac:dyDescent="0.2">
      <c r="A4327" s="650"/>
      <c r="B4327" s="438"/>
      <c r="D4327" s="73"/>
      <c r="E4327" s="650"/>
      <c r="F4327" s="650"/>
      <c r="G4327" s="73"/>
      <c r="I4327" s="111"/>
      <c r="J4327" s="81"/>
      <c r="K4327" s="81"/>
      <c r="L4327" s="499"/>
      <c r="M4327" s="73"/>
      <c r="N4327" s="499"/>
      <c r="O4327" s="73"/>
      <c r="P4327" s="73"/>
      <c r="Q4327" s="73"/>
      <c r="R4327" s="176"/>
      <c r="S4327" s="176"/>
      <c r="T4327" s="176"/>
      <c r="U4327" s="400"/>
      <c r="V4327" s="400"/>
      <c r="W4327" s="732"/>
      <c r="X4327" s="167"/>
      <c r="Y4327" s="509"/>
      <c r="Z4327" s="466"/>
      <c r="AA4327" s="466"/>
      <c r="AB4327" s="466"/>
      <c r="AC4327" s="466"/>
      <c r="AD4327" s="466"/>
      <c r="AE4327" s="466"/>
      <c r="AF4327" s="466"/>
      <c r="AG4327" s="466"/>
      <c r="AH4327" s="466"/>
      <c r="AI4327" s="466"/>
      <c r="AJ4327" s="466"/>
      <c r="AK4327" s="466"/>
      <c r="AL4327" s="466"/>
      <c r="AM4327" s="466"/>
      <c r="AN4327" s="466"/>
      <c r="AO4327" s="466"/>
      <c r="AP4327" s="466"/>
      <c r="AQ4327" s="466"/>
      <c r="AR4327" s="466"/>
      <c r="AS4327" s="466"/>
      <c r="AT4327" s="466"/>
      <c r="AU4327" s="466"/>
      <c r="AV4327" s="466"/>
      <c r="AW4327" s="466"/>
      <c r="AX4327" s="466"/>
      <c r="AY4327" s="466"/>
      <c r="AZ4327" s="466"/>
      <c r="BA4327" s="466"/>
      <c r="BB4327" s="466"/>
      <c r="BC4327" s="466"/>
      <c r="BD4327" s="466"/>
      <c r="BE4327" s="467"/>
      <c r="BF4327" s="467"/>
      <c r="BG4327" s="466"/>
      <c r="BH4327" s="466"/>
      <c r="BI4327" s="467"/>
      <c r="BJ4327" s="467"/>
      <c r="BK4327" s="467"/>
      <c r="BL4327" s="467"/>
      <c r="BM4327" s="467"/>
      <c r="BN4327" s="467"/>
      <c r="BO4327" s="467"/>
      <c r="BP4327" s="467"/>
      <c r="BQ4327" s="467"/>
      <c r="BR4327" s="467"/>
      <c r="BS4327" s="467"/>
      <c r="BT4327" s="467"/>
      <c r="BU4327" s="467"/>
      <c r="BV4327" s="467"/>
      <c r="BW4327" s="467"/>
      <c r="BX4327" s="769"/>
      <c r="BY4327" s="769"/>
      <c r="BZ4327" s="769"/>
      <c r="CA4327" s="769"/>
      <c r="CB4327" s="769"/>
      <c r="CC4327" s="769"/>
      <c r="CD4327" s="769"/>
      <c r="CE4327" s="769"/>
      <c r="CF4327" s="769"/>
      <c r="CG4327" s="73"/>
      <c r="CH4327" s="438"/>
      <c r="CI4327" s="416"/>
      <c r="CJ4327" s="73"/>
      <c r="CK4327" s="650"/>
      <c r="CL4327" s="499"/>
      <c r="CM4327" s="650"/>
      <c r="CR4327" s="416"/>
      <c r="CS4327" s="650"/>
      <c r="CU4327" s="73"/>
      <c r="CV4327" s="73"/>
      <c r="CW4327" s="73"/>
      <c r="CX4327" s="73"/>
      <c r="DA4327" s="650"/>
    </row>
    <row r="4328" spans="1:105" s="45" customFormat="1" x14ac:dyDescent="0.2">
      <c r="A4328" s="650"/>
      <c r="B4328" s="438"/>
      <c r="D4328" s="73"/>
      <c r="E4328" s="650"/>
      <c r="F4328" s="650"/>
      <c r="G4328" s="73"/>
      <c r="I4328" s="111"/>
      <c r="J4328" s="81"/>
      <c r="K4328" s="81"/>
      <c r="L4328" s="499"/>
      <c r="M4328" s="73"/>
      <c r="N4328" s="499"/>
      <c r="O4328" s="73"/>
      <c r="P4328" s="73"/>
      <c r="Q4328" s="73"/>
      <c r="R4328" s="176"/>
      <c r="S4328" s="176"/>
      <c r="T4328" s="176"/>
      <c r="U4328" s="400"/>
      <c r="V4328" s="400"/>
      <c r="W4328" s="732"/>
      <c r="X4328" s="167"/>
      <c r="Y4328" s="509"/>
      <c r="Z4328" s="466"/>
      <c r="AA4328" s="466"/>
      <c r="AB4328" s="466"/>
      <c r="AC4328" s="466"/>
      <c r="AD4328" s="466"/>
      <c r="AE4328" s="466"/>
      <c r="AF4328" s="466"/>
      <c r="AG4328" s="466"/>
      <c r="AH4328" s="466"/>
      <c r="AI4328" s="466"/>
      <c r="AJ4328" s="466"/>
      <c r="AK4328" s="466"/>
      <c r="AL4328" s="466"/>
      <c r="AM4328" s="466"/>
      <c r="AN4328" s="466"/>
      <c r="AO4328" s="466"/>
      <c r="AP4328" s="466"/>
      <c r="AQ4328" s="466"/>
      <c r="AR4328" s="466"/>
      <c r="AS4328" s="466"/>
      <c r="AT4328" s="466"/>
      <c r="AU4328" s="466"/>
      <c r="AV4328" s="466"/>
      <c r="AW4328" s="466"/>
      <c r="AX4328" s="466"/>
      <c r="AY4328" s="466"/>
      <c r="AZ4328" s="466"/>
      <c r="BA4328" s="466"/>
      <c r="BB4328" s="466"/>
      <c r="BC4328" s="466"/>
      <c r="BD4328" s="466"/>
      <c r="BE4328" s="467"/>
      <c r="BF4328" s="467"/>
      <c r="BG4328" s="466"/>
      <c r="BH4328" s="466"/>
      <c r="BI4328" s="467"/>
      <c r="BJ4328" s="467"/>
      <c r="BK4328" s="467"/>
      <c r="BL4328" s="467"/>
      <c r="BM4328" s="467"/>
      <c r="BN4328" s="467"/>
      <c r="BO4328" s="467"/>
      <c r="BP4328" s="467"/>
      <c r="BQ4328" s="467"/>
      <c r="BR4328" s="467"/>
      <c r="BS4328" s="467"/>
      <c r="BT4328" s="467"/>
      <c r="BU4328" s="467"/>
      <c r="BV4328" s="467"/>
      <c r="BW4328" s="467"/>
      <c r="BX4328" s="769"/>
      <c r="BY4328" s="769"/>
      <c r="BZ4328" s="769"/>
      <c r="CA4328" s="769"/>
      <c r="CB4328" s="769"/>
      <c r="CC4328" s="769"/>
      <c r="CD4328" s="769"/>
      <c r="CE4328" s="769"/>
      <c r="CF4328" s="769"/>
      <c r="CG4328" s="73"/>
      <c r="CH4328" s="438"/>
      <c r="CI4328" s="416"/>
      <c r="CJ4328" s="73"/>
      <c r="CK4328" s="650"/>
      <c r="CL4328" s="499"/>
      <c r="CM4328" s="650"/>
      <c r="CR4328" s="416"/>
      <c r="CS4328" s="650"/>
      <c r="CU4328" s="73"/>
      <c r="CV4328" s="73"/>
      <c r="CW4328" s="73"/>
      <c r="CX4328" s="73"/>
      <c r="DA4328" s="650"/>
    </row>
    <row r="4329" spans="1:105" s="45" customFormat="1" x14ac:dyDescent="0.2">
      <c r="A4329" s="650"/>
      <c r="B4329" s="438"/>
      <c r="D4329" s="73"/>
      <c r="E4329" s="650"/>
      <c r="F4329" s="650"/>
      <c r="G4329" s="73"/>
      <c r="I4329" s="111"/>
      <c r="J4329" s="81"/>
      <c r="K4329" s="81"/>
      <c r="L4329" s="499"/>
      <c r="M4329" s="73"/>
      <c r="N4329" s="499"/>
      <c r="O4329" s="73"/>
      <c r="P4329" s="73"/>
      <c r="Q4329" s="73"/>
      <c r="R4329" s="176"/>
      <c r="S4329" s="176"/>
      <c r="T4329" s="176"/>
      <c r="U4329" s="400"/>
      <c r="V4329" s="400"/>
      <c r="W4329" s="732"/>
      <c r="X4329" s="167"/>
      <c r="Y4329" s="509"/>
      <c r="Z4329" s="466"/>
      <c r="AA4329" s="466"/>
      <c r="AB4329" s="466"/>
      <c r="AC4329" s="466"/>
      <c r="AD4329" s="466"/>
      <c r="AE4329" s="466"/>
      <c r="AF4329" s="466"/>
      <c r="AG4329" s="466"/>
      <c r="AH4329" s="466"/>
      <c r="AI4329" s="466"/>
      <c r="AJ4329" s="466"/>
      <c r="AK4329" s="466"/>
      <c r="AL4329" s="466"/>
      <c r="AM4329" s="466"/>
      <c r="AN4329" s="466"/>
      <c r="AO4329" s="466"/>
      <c r="AP4329" s="466"/>
      <c r="AQ4329" s="466"/>
      <c r="AR4329" s="466"/>
      <c r="AS4329" s="466"/>
      <c r="AT4329" s="466"/>
      <c r="AU4329" s="466"/>
      <c r="AV4329" s="466"/>
      <c r="AW4329" s="466"/>
      <c r="AX4329" s="466"/>
      <c r="AY4329" s="466"/>
      <c r="AZ4329" s="466"/>
      <c r="BA4329" s="466"/>
      <c r="BB4329" s="466"/>
      <c r="BC4329" s="466"/>
      <c r="BD4329" s="466"/>
      <c r="BE4329" s="467"/>
      <c r="BF4329" s="467"/>
      <c r="BG4329" s="466"/>
      <c r="BH4329" s="466"/>
      <c r="BI4329" s="467"/>
      <c r="BJ4329" s="467"/>
      <c r="BK4329" s="467"/>
      <c r="BL4329" s="467"/>
      <c r="BM4329" s="467"/>
      <c r="BN4329" s="467"/>
      <c r="BO4329" s="467"/>
      <c r="BP4329" s="467"/>
      <c r="BQ4329" s="467"/>
      <c r="BR4329" s="467"/>
      <c r="BS4329" s="467"/>
      <c r="BT4329" s="467"/>
      <c r="BU4329" s="467"/>
      <c r="BV4329" s="467"/>
      <c r="BW4329" s="467"/>
      <c r="BX4329" s="769"/>
      <c r="BY4329" s="769"/>
      <c r="BZ4329" s="769"/>
      <c r="CA4329" s="769"/>
      <c r="CB4329" s="769"/>
      <c r="CC4329" s="769"/>
      <c r="CD4329" s="769"/>
      <c r="CE4329" s="769"/>
      <c r="CF4329" s="769"/>
      <c r="CG4329" s="73"/>
      <c r="CH4329" s="438"/>
      <c r="CI4329" s="416"/>
      <c r="CJ4329" s="73"/>
      <c r="CK4329" s="650"/>
      <c r="CL4329" s="499"/>
      <c r="CM4329" s="650"/>
      <c r="CR4329" s="416"/>
      <c r="CS4329" s="650"/>
      <c r="CU4329" s="73"/>
      <c r="CV4329" s="73"/>
      <c r="CW4329" s="73"/>
      <c r="CX4329" s="73"/>
      <c r="DA4329" s="650"/>
    </row>
    <row r="4330" spans="1:105" s="45" customFormat="1" x14ac:dyDescent="0.2">
      <c r="A4330" s="650"/>
      <c r="B4330" s="438"/>
      <c r="D4330" s="73"/>
      <c r="E4330" s="650"/>
      <c r="F4330" s="650"/>
      <c r="G4330" s="73"/>
      <c r="I4330" s="111"/>
      <c r="J4330" s="81"/>
      <c r="K4330" s="81"/>
      <c r="L4330" s="499"/>
      <c r="M4330" s="73"/>
      <c r="N4330" s="499"/>
      <c r="O4330" s="73"/>
      <c r="P4330" s="73"/>
      <c r="Q4330" s="73"/>
      <c r="R4330" s="176"/>
      <c r="S4330" s="176"/>
      <c r="T4330" s="176"/>
      <c r="U4330" s="400"/>
      <c r="V4330" s="400"/>
      <c r="W4330" s="732"/>
      <c r="X4330" s="167"/>
      <c r="Y4330" s="509"/>
      <c r="Z4330" s="466"/>
      <c r="AA4330" s="466"/>
      <c r="AB4330" s="466"/>
      <c r="AC4330" s="466"/>
      <c r="AD4330" s="466"/>
      <c r="AE4330" s="466"/>
      <c r="AF4330" s="466"/>
      <c r="AG4330" s="466"/>
      <c r="AH4330" s="466"/>
      <c r="AI4330" s="466"/>
      <c r="AJ4330" s="466"/>
      <c r="AK4330" s="466"/>
      <c r="AL4330" s="466"/>
      <c r="AM4330" s="466"/>
      <c r="AN4330" s="466"/>
      <c r="AO4330" s="466"/>
      <c r="AP4330" s="466"/>
      <c r="AQ4330" s="466"/>
      <c r="AR4330" s="466"/>
      <c r="AS4330" s="466"/>
      <c r="AT4330" s="466"/>
      <c r="AU4330" s="466"/>
      <c r="AV4330" s="466"/>
      <c r="AW4330" s="466"/>
      <c r="AX4330" s="466"/>
      <c r="AY4330" s="466"/>
      <c r="AZ4330" s="466"/>
      <c r="BA4330" s="466"/>
      <c r="BB4330" s="466"/>
      <c r="BC4330" s="466"/>
      <c r="BD4330" s="466"/>
      <c r="BE4330" s="467"/>
      <c r="BF4330" s="467"/>
      <c r="BG4330" s="466"/>
      <c r="BH4330" s="466"/>
      <c r="BI4330" s="467"/>
      <c r="BJ4330" s="467"/>
      <c r="BK4330" s="467"/>
      <c r="BL4330" s="467"/>
      <c r="BM4330" s="467"/>
      <c r="BN4330" s="467"/>
      <c r="BO4330" s="467"/>
      <c r="BP4330" s="467"/>
      <c r="BQ4330" s="467"/>
      <c r="BR4330" s="467"/>
      <c r="BS4330" s="467"/>
      <c r="BT4330" s="467"/>
      <c r="BU4330" s="467"/>
      <c r="BV4330" s="467"/>
      <c r="BW4330" s="467"/>
      <c r="BX4330" s="769"/>
      <c r="BY4330" s="769"/>
      <c r="BZ4330" s="769"/>
      <c r="CA4330" s="769"/>
      <c r="CB4330" s="769"/>
      <c r="CC4330" s="769"/>
      <c r="CD4330" s="769"/>
      <c r="CE4330" s="769"/>
      <c r="CF4330" s="769"/>
      <c r="CG4330" s="73"/>
      <c r="CH4330" s="438"/>
      <c r="CI4330" s="416"/>
      <c r="CJ4330" s="73"/>
      <c r="CK4330" s="650"/>
      <c r="CL4330" s="499"/>
      <c r="CM4330" s="650"/>
      <c r="CR4330" s="416"/>
      <c r="CS4330" s="650"/>
      <c r="CU4330" s="73"/>
      <c r="CV4330" s="73"/>
      <c r="CW4330" s="73"/>
      <c r="CX4330" s="73"/>
      <c r="DA4330" s="650"/>
    </row>
    <row r="4331" spans="1:105" s="45" customFormat="1" x14ac:dyDescent="0.2">
      <c r="A4331" s="650"/>
      <c r="B4331" s="438"/>
      <c r="D4331" s="73"/>
      <c r="E4331" s="650"/>
      <c r="F4331" s="650"/>
      <c r="G4331" s="73"/>
      <c r="I4331" s="111"/>
      <c r="J4331" s="81"/>
      <c r="K4331" s="81"/>
      <c r="L4331" s="499"/>
      <c r="M4331" s="73"/>
      <c r="N4331" s="499"/>
      <c r="O4331" s="73"/>
      <c r="P4331" s="73"/>
      <c r="Q4331" s="73"/>
      <c r="R4331" s="176"/>
      <c r="S4331" s="176"/>
      <c r="T4331" s="176"/>
      <c r="U4331" s="400"/>
      <c r="V4331" s="400"/>
      <c r="W4331" s="732"/>
      <c r="X4331" s="167"/>
      <c r="Y4331" s="509"/>
      <c r="Z4331" s="466"/>
      <c r="AA4331" s="466"/>
      <c r="AB4331" s="466"/>
      <c r="AC4331" s="466"/>
      <c r="AD4331" s="466"/>
      <c r="AE4331" s="466"/>
      <c r="AF4331" s="466"/>
      <c r="AG4331" s="466"/>
      <c r="AH4331" s="466"/>
      <c r="AI4331" s="466"/>
      <c r="AJ4331" s="466"/>
      <c r="AK4331" s="466"/>
      <c r="AL4331" s="466"/>
      <c r="AM4331" s="466"/>
      <c r="AN4331" s="466"/>
      <c r="AO4331" s="466"/>
      <c r="AP4331" s="466"/>
      <c r="AQ4331" s="466"/>
      <c r="AR4331" s="466"/>
      <c r="AS4331" s="466"/>
      <c r="AT4331" s="466"/>
      <c r="AU4331" s="466"/>
      <c r="AV4331" s="466"/>
      <c r="AW4331" s="466"/>
      <c r="AX4331" s="466"/>
      <c r="AY4331" s="466"/>
      <c r="AZ4331" s="466"/>
      <c r="BA4331" s="466"/>
      <c r="BB4331" s="466"/>
      <c r="BC4331" s="466"/>
      <c r="BD4331" s="466"/>
      <c r="BE4331" s="467"/>
      <c r="BF4331" s="467"/>
      <c r="BG4331" s="466"/>
      <c r="BH4331" s="466"/>
      <c r="BI4331" s="467"/>
      <c r="BJ4331" s="467"/>
      <c r="BK4331" s="467"/>
      <c r="BL4331" s="467"/>
      <c r="BM4331" s="467"/>
      <c r="BN4331" s="467"/>
      <c r="BO4331" s="467"/>
      <c r="BP4331" s="467"/>
      <c r="BQ4331" s="467"/>
      <c r="BR4331" s="467"/>
      <c r="BS4331" s="467"/>
      <c r="BT4331" s="467"/>
      <c r="BU4331" s="467"/>
      <c r="BV4331" s="467"/>
      <c r="BW4331" s="467"/>
      <c r="BX4331" s="769"/>
      <c r="BY4331" s="769"/>
      <c r="BZ4331" s="769"/>
      <c r="CA4331" s="769"/>
      <c r="CB4331" s="769"/>
      <c r="CC4331" s="769"/>
      <c r="CD4331" s="769"/>
      <c r="CE4331" s="769"/>
      <c r="CF4331" s="769"/>
      <c r="CG4331" s="73"/>
      <c r="CH4331" s="438"/>
      <c r="CI4331" s="416"/>
      <c r="CJ4331" s="73"/>
      <c r="CK4331" s="650"/>
      <c r="CL4331" s="499"/>
      <c r="CM4331" s="650"/>
      <c r="CR4331" s="416"/>
      <c r="CS4331" s="650"/>
      <c r="CU4331" s="73"/>
      <c r="CV4331" s="73"/>
      <c r="CW4331" s="73"/>
      <c r="CX4331" s="73"/>
      <c r="DA4331" s="650"/>
    </row>
    <row r="4332" spans="1:105" s="45" customFormat="1" x14ac:dyDescent="0.2">
      <c r="A4332" s="650"/>
      <c r="B4332" s="438"/>
      <c r="D4332" s="73"/>
      <c r="E4332" s="650"/>
      <c r="F4332" s="650"/>
      <c r="G4332" s="73"/>
      <c r="I4332" s="111"/>
      <c r="J4332" s="81"/>
      <c r="K4332" s="81"/>
      <c r="L4332" s="499"/>
      <c r="M4332" s="73"/>
      <c r="N4332" s="499"/>
      <c r="O4332" s="73"/>
      <c r="P4332" s="73"/>
      <c r="Q4332" s="73"/>
      <c r="R4332" s="176"/>
      <c r="S4332" s="176"/>
      <c r="T4332" s="176"/>
      <c r="U4332" s="400"/>
      <c r="V4332" s="400"/>
      <c r="W4332" s="732"/>
      <c r="X4332" s="167"/>
      <c r="Y4332" s="509"/>
      <c r="Z4332" s="466"/>
      <c r="AA4332" s="466"/>
      <c r="AB4332" s="466"/>
      <c r="AC4332" s="466"/>
      <c r="AD4332" s="466"/>
      <c r="AE4332" s="466"/>
      <c r="AF4332" s="466"/>
      <c r="AG4332" s="466"/>
      <c r="AH4332" s="466"/>
      <c r="AI4332" s="466"/>
      <c r="AJ4332" s="466"/>
      <c r="AK4332" s="466"/>
      <c r="AL4332" s="466"/>
      <c r="AM4332" s="466"/>
      <c r="AN4332" s="466"/>
      <c r="AO4332" s="466"/>
      <c r="AP4332" s="466"/>
      <c r="AQ4332" s="466"/>
      <c r="AR4332" s="466"/>
      <c r="AS4332" s="466"/>
      <c r="AT4332" s="466"/>
      <c r="AU4332" s="466"/>
      <c r="AV4332" s="466"/>
      <c r="AW4332" s="466"/>
      <c r="AX4332" s="466"/>
      <c r="AY4332" s="466"/>
      <c r="AZ4332" s="466"/>
      <c r="BA4332" s="466"/>
      <c r="BB4332" s="466"/>
      <c r="BC4332" s="466"/>
      <c r="BD4332" s="466"/>
      <c r="BE4332" s="467"/>
      <c r="BF4332" s="467"/>
      <c r="BG4332" s="466"/>
      <c r="BH4332" s="466"/>
      <c r="BI4332" s="467"/>
      <c r="BJ4332" s="467"/>
      <c r="BK4332" s="467"/>
      <c r="BL4332" s="467"/>
      <c r="BM4332" s="467"/>
      <c r="BN4332" s="467"/>
      <c r="BO4332" s="467"/>
      <c r="BP4332" s="467"/>
      <c r="BQ4332" s="467"/>
      <c r="BR4332" s="467"/>
      <c r="BS4332" s="467"/>
      <c r="BT4332" s="467"/>
      <c r="BU4332" s="467"/>
      <c r="BV4332" s="467"/>
      <c r="BW4332" s="467"/>
      <c r="BX4332" s="769"/>
      <c r="BY4332" s="769"/>
      <c r="BZ4332" s="769"/>
      <c r="CA4332" s="769"/>
      <c r="CB4332" s="769"/>
      <c r="CC4332" s="769"/>
      <c r="CD4332" s="769"/>
      <c r="CE4332" s="769"/>
      <c r="CF4332" s="769"/>
      <c r="CG4332" s="73"/>
      <c r="CH4332" s="438"/>
      <c r="CI4332" s="416"/>
      <c r="CJ4332" s="73"/>
      <c r="CK4332" s="650"/>
      <c r="CL4332" s="499"/>
      <c r="CM4332" s="650"/>
      <c r="CR4332" s="416"/>
      <c r="CS4332" s="650"/>
      <c r="CU4332" s="73"/>
      <c r="CV4332" s="73"/>
      <c r="CW4332" s="73"/>
      <c r="CX4332" s="73"/>
      <c r="DA4332" s="650"/>
    </row>
    <row r="4333" spans="1:105" s="45" customFormat="1" x14ac:dyDescent="0.2">
      <c r="A4333" s="650"/>
      <c r="B4333" s="438"/>
      <c r="D4333" s="73"/>
      <c r="E4333" s="650"/>
      <c r="F4333" s="650"/>
      <c r="G4333" s="73"/>
      <c r="I4333" s="111"/>
      <c r="J4333" s="81"/>
      <c r="K4333" s="81"/>
      <c r="L4333" s="499"/>
      <c r="M4333" s="73"/>
      <c r="N4333" s="499"/>
      <c r="O4333" s="73"/>
      <c r="P4333" s="73"/>
      <c r="Q4333" s="73"/>
      <c r="R4333" s="176"/>
      <c r="S4333" s="176"/>
      <c r="T4333" s="176"/>
      <c r="U4333" s="400"/>
      <c r="V4333" s="400"/>
      <c r="W4333" s="732"/>
      <c r="X4333" s="167"/>
      <c r="Y4333" s="509"/>
      <c r="Z4333" s="466"/>
      <c r="AA4333" s="466"/>
      <c r="AB4333" s="466"/>
      <c r="AC4333" s="466"/>
      <c r="AD4333" s="466"/>
      <c r="AE4333" s="466"/>
      <c r="AF4333" s="466"/>
      <c r="AG4333" s="466"/>
      <c r="AH4333" s="466"/>
      <c r="AI4333" s="466"/>
      <c r="AJ4333" s="466"/>
      <c r="AK4333" s="466"/>
      <c r="AL4333" s="466"/>
      <c r="AM4333" s="466"/>
      <c r="AN4333" s="466"/>
      <c r="AO4333" s="466"/>
      <c r="AP4333" s="466"/>
      <c r="AQ4333" s="466"/>
      <c r="AR4333" s="466"/>
      <c r="AS4333" s="466"/>
      <c r="AT4333" s="466"/>
      <c r="AU4333" s="466"/>
      <c r="AV4333" s="466"/>
      <c r="AW4333" s="466"/>
      <c r="AX4333" s="466"/>
      <c r="AY4333" s="466"/>
      <c r="AZ4333" s="466"/>
      <c r="BA4333" s="466"/>
      <c r="BB4333" s="466"/>
      <c r="BC4333" s="466"/>
      <c r="BD4333" s="466"/>
      <c r="BE4333" s="467"/>
      <c r="BF4333" s="467"/>
      <c r="BG4333" s="466"/>
      <c r="BH4333" s="466"/>
      <c r="BI4333" s="467"/>
      <c r="BJ4333" s="467"/>
      <c r="BK4333" s="467"/>
      <c r="BL4333" s="467"/>
      <c r="BM4333" s="467"/>
      <c r="BN4333" s="467"/>
      <c r="BO4333" s="467"/>
      <c r="BP4333" s="467"/>
      <c r="BQ4333" s="467"/>
      <c r="BR4333" s="467"/>
      <c r="BS4333" s="467"/>
      <c r="BT4333" s="467"/>
      <c r="BU4333" s="467"/>
      <c r="BV4333" s="467"/>
      <c r="BW4333" s="467"/>
      <c r="BX4333" s="769"/>
      <c r="BY4333" s="769"/>
      <c r="BZ4333" s="769"/>
      <c r="CA4333" s="769"/>
      <c r="CB4333" s="769"/>
      <c r="CC4333" s="769"/>
      <c r="CD4333" s="769"/>
      <c r="CE4333" s="769"/>
      <c r="CF4333" s="769"/>
      <c r="CG4333" s="73"/>
      <c r="CH4333" s="438"/>
      <c r="CI4333" s="416"/>
      <c r="CJ4333" s="73"/>
      <c r="CK4333" s="650"/>
      <c r="CL4333" s="499"/>
      <c r="CM4333" s="650"/>
      <c r="CR4333" s="416"/>
      <c r="CS4333" s="650"/>
      <c r="CU4333" s="73"/>
      <c r="CV4333" s="73"/>
      <c r="CW4333" s="73"/>
      <c r="CX4333" s="73"/>
      <c r="DA4333" s="650"/>
    </row>
    <row r="4334" spans="1:105" s="45" customFormat="1" x14ac:dyDescent="0.2">
      <c r="A4334" s="650"/>
      <c r="B4334" s="438"/>
      <c r="D4334" s="73"/>
      <c r="E4334" s="650"/>
      <c r="F4334" s="650"/>
      <c r="G4334" s="73"/>
      <c r="I4334" s="111"/>
      <c r="J4334" s="81"/>
      <c r="K4334" s="81"/>
      <c r="L4334" s="499"/>
      <c r="M4334" s="73"/>
      <c r="N4334" s="499"/>
      <c r="O4334" s="73"/>
      <c r="P4334" s="73"/>
      <c r="Q4334" s="73"/>
      <c r="R4334" s="176"/>
      <c r="S4334" s="176"/>
      <c r="T4334" s="176"/>
      <c r="U4334" s="400"/>
      <c r="V4334" s="400"/>
      <c r="W4334" s="732"/>
      <c r="X4334" s="167"/>
      <c r="Y4334" s="509"/>
      <c r="Z4334" s="466"/>
      <c r="AA4334" s="466"/>
      <c r="AB4334" s="466"/>
      <c r="AC4334" s="466"/>
      <c r="AD4334" s="466"/>
      <c r="AE4334" s="466"/>
      <c r="AF4334" s="466"/>
      <c r="AG4334" s="466"/>
      <c r="AH4334" s="466"/>
      <c r="AI4334" s="466"/>
      <c r="AJ4334" s="466"/>
      <c r="AK4334" s="466"/>
      <c r="AL4334" s="466"/>
      <c r="AM4334" s="466"/>
      <c r="AN4334" s="466"/>
      <c r="AO4334" s="466"/>
      <c r="AP4334" s="466"/>
      <c r="AQ4334" s="466"/>
      <c r="AR4334" s="466"/>
      <c r="AS4334" s="466"/>
      <c r="AT4334" s="466"/>
      <c r="AU4334" s="466"/>
      <c r="AV4334" s="466"/>
      <c r="AW4334" s="466"/>
      <c r="AX4334" s="466"/>
      <c r="AY4334" s="466"/>
      <c r="AZ4334" s="466"/>
      <c r="BA4334" s="466"/>
      <c r="BB4334" s="466"/>
      <c r="BC4334" s="466"/>
      <c r="BD4334" s="466"/>
      <c r="BE4334" s="467"/>
      <c r="BF4334" s="467"/>
      <c r="BG4334" s="466"/>
      <c r="BH4334" s="466"/>
      <c r="BI4334" s="467"/>
      <c r="BJ4334" s="467"/>
      <c r="BK4334" s="467"/>
      <c r="BL4334" s="467"/>
      <c r="BM4334" s="467"/>
      <c r="BN4334" s="467"/>
      <c r="BO4334" s="467"/>
      <c r="BP4334" s="467"/>
      <c r="BQ4334" s="467"/>
      <c r="BR4334" s="467"/>
      <c r="BS4334" s="467"/>
      <c r="BT4334" s="467"/>
      <c r="BU4334" s="467"/>
      <c r="BV4334" s="467"/>
      <c r="BW4334" s="467"/>
      <c r="BX4334" s="769"/>
      <c r="BY4334" s="769"/>
      <c r="BZ4334" s="769"/>
      <c r="CA4334" s="769"/>
      <c r="CB4334" s="769"/>
      <c r="CC4334" s="769"/>
      <c r="CD4334" s="769"/>
      <c r="CE4334" s="769"/>
      <c r="CF4334" s="769"/>
      <c r="CG4334" s="73"/>
      <c r="CH4334" s="438"/>
      <c r="CI4334" s="416"/>
      <c r="CJ4334" s="73"/>
      <c r="CK4334" s="650"/>
      <c r="CL4334" s="499"/>
      <c r="CM4334" s="650"/>
      <c r="CR4334" s="416"/>
      <c r="CS4334" s="650"/>
      <c r="CU4334" s="73"/>
      <c r="CV4334" s="73"/>
      <c r="CW4334" s="73"/>
      <c r="CX4334" s="73"/>
      <c r="DA4334" s="650"/>
    </row>
    <row r="4335" spans="1:105" s="45" customFormat="1" x14ac:dyDescent="0.2">
      <c r="A4335" s="650"/>
      <c r="B4335" s="438"/>
      <c r="D4335" s="73"/>
      <c r="E4335" s="650"/>
      <c r="F4335" s="650"/>
      <c r="G4335" s="73"/>
      <c r="I4335" s="111"/>
      <c r="J4335" s="81"/>
      <c r="K4335" s="81"/>
      <c r="L4335" s="499"/>
      <c r="M4335" s="73"/>
      <c r="N4335" s="499"/>
      <c r="O4335" s="73"/>
      <c r="P4335" s="73"/>
      <c r="Q4335" s="73"/>
      <c r="R4335" s="176"/>
      <c r="S4335" s="176"/>
      <c r="T4335" s="176"/>
      <c r="U4335" s="400"/>
      <c r="V4335" s="400"/>
      <c r="W4335" s="732"/>
      <c r="X4335" s="167"/>
      <c r="Y4335" s="509"/>
      <c r="Z4335" s="466"/>
      <c r="AA4335" s="466"/>
      <c r="AB4335" s="466"/>
      <c r="AC4335" s="466"/>
      <c r="AD4335" s="466"/>
      <c r="AE4335" s="466"/>
      <c r="AF4335" s="466"/>
      <c r="AG4335" s="466"/>
      <c r="AH4335" s="466"/>
      <c r="AI4335" s="466"/>
      <c r="AJ4335" s="466"/>
      <c r="AK4335" s="466"/>
      <c r="AL4335" s="466"/>
      <c r="AM4335" s="466"/>
      <c r="AN4335" s="466"/>
      <c r="AO4335" s="466"/>
      <c r="AP4335" s="466"/>
      <c r="AQ4335" s="466"/>
      <c r="AR4335" s="466"/>
      <c r="AS4335" s="466"/>
      <c r="AT4335" s="466"/>
      <c r="AU4335" s="466"/>
      <c r="AV4335" s="466"/>
      <c r="AW4335" s="466"/>
      <c r="AX4335" s="466"/>
      <c r="AY4335" s="466"/>
      <c r="AZ4335" s="466"/>
      <c r="BA4335" s="466"/>
      <c r="BB4335" s="466"/>
      <c r="BC4335" s="466"/>
      <c r="BD4335" s="466"/>
      <c r="BE4335" s="467"/>
      <c r="BF4335" s="467"/>
      <c r="BG4335" s="466"/>
      <c r="BH4335" s="466"/>
      <c r="BI4335" s="467"/>
      <c r="BJ4335" s="467"/>
      <c r="BK4335" s="467"/>
      <c r="BL4335" s="467"/>
      <c r="BM4335" s="467"/>
      <c r="BN4335" s="467"/>
      <c r="BO4335" s="467"/>
      <c r="BP4335" s="467"/>
      <c r="BQ4335" s="467"/>
      <c r="BR4335" s="467"/>
      <c r="BS4335" s="467"/>
      <c r="BT4335" s="467"/>
      <c r="BU4335" s="467"/>
      <c r="BV4335" s="467"/>
      <c r="BW4335" s="467"/>
      <c r="BX4335" s="769"/>
      <c r="BY4335" s="769"/>
      <c r="BZ4335" s="769"/>
      <c r="CA4335" s="769"/>
      <c r="CB4335" s="769"/>
      <c r="CC4335" s="769"/>
      <c r="CD4335" s="769"/>
      <c r="CE4335" s="769"/>
      <c r="CF4335" s="769"/>
      <c r="CG4335" s="73"/>
      <c r="CH4335" s="438"/>
      <c r="CI4335" s="416"/>
      <c r="CJ4335" s="73"/>
      <c r="CK4335" s="650"/>
      <c r="CL4335" s="499"/>
      <c r="CM4335" s="650"/>
      <c r="CR4335" s="416"/>
      <c r="CS4335" s="650"/>
      <c r="CU4335" s="73"/>
      <c r="CV4335" s="73"/>
      <c r="CW4335" s="73"/>
      <c r="CX4335" s="73"/>
      <c r="DA4335" s="650"/>
    </row>
    <row r="4336" spans="1:105" s="45" customFormat="1" x14ac:dyDescent="0.2">
      <c r="A4336" s="650"/>
      <c r="B4336" s="438"/>
      <c r="D4336" s="73"/>
      <c r="E4336" s="650"/>
      <c r="F4336" s="650"/>
      <c r="G4336" s="73"/>
      <c r="I4336" s="111"/>
      <c r="J4336" s="81"/>
      <c r="K4336" s="81"/>
      <c r="L4336" s="499"/>
      <c r="M4336" s="73"/>
      <c r="N4336" s="499"/>
      <c r="O4336" s="73"/>
      <c r="P4336" s="73"/>
      <c r="Q4336" s="73"/>
      <c r="R4336" s="176"/>
      <c r="S4336" s="176"/>
      <c r="T4336" s="176"/>
      <c r="U4336" s="400"/>
      <c r="V4336" s="400"/>
      <c r="W4336" s="732"/>
      <c r="X4336" s="167"/>
      <c r="Y4336" s="509"/>
      <c r="Z4336" s="466"/>
      <c r="AA4336" s="466"/>
      <c r="AB4336" s="466"/>
      <c r="AC4336" s="466"/>
      <c r="AD4336" s="466"/>
      <c r="AE4336" s="466"/>
      <c r="AF4336" s="466"/>
      <c r="AG4336" s="466"/>
      <c r="AH4336" s="466"/>
      <c r="AI4336" s="466"/>
      <c r="AJ4336" s="466"/>
      <c r="AK4336" s="466"/>
      <c r="AL4336" s="466"/>
      <c r="AM4336" s="466"/>
      <c r="AN4336" s="466"/>
      <c r="AO4336" s="466"/>
      <c r="AP4336" s="466"/>
      <c r="AQ4336" s="466"/>
      <c r="AR4336" s="466"/>
      <c r="AS4336" s="466"/>
      <c r="AT4336" s="466"/>
      <c r="AU4336" s="466"/>
      <c r="AV4336" s="466"/>
      <c r="AW4336" s="466"/>
      <c r="AX4336" s="466"/>
      <c r="AY4336" s="466"/>
      <c r="AZ4336" s="466"/>
      <c r="BA4336" s="466"/>
      <c r="BB4336" s="466"/>
      <c r="BC4336" s="466"/>
      <c r="BD4336" s="466"/>
      <c r="BE4336" s="467"/>
      <c r="BF4336" s="467"/>
      <c r="BG4336" s="466"/>
      <c r="BH4336" s="466"/>
      <c r="BI4336" s="467"/>
      <c r="BJ4336" s="467"/>
      <c r="BK4336" s="467"/>
      <c r="BL4336" s="467"/>
      <c r="BM4336" s="467"/>
      <c r="BN4336" s="467"/>
      <c r="BO4336" s="467"/>
      <c r="BP4336" s="467"/>
      <c r="BQ4336" s="467"/>
      <c r="BR4336" s="467"/>
      <c r="BS4336" s="467"/>
      <c r="BT4336" s="467"/>
      <c r="BU4336" s="467"/>
      <c r="BV4336" s="467"/>
      <c r="BW4336" s="467"/>
      <c r="BX4336" s="769"/>
      <c r="BY4336" s="769"/>
      <c r="BZ4336" s="769"/>
      <c r="CA4336" s="769"/>
      <c r="CB4336" s="769"/>
      <c r="CC4336" s="769"/>
      <c r="CD4336" s="769"/>
      <c r="CE4336" s="769"/>
      <c r="CF4336" s="769"/>
      <c r="CG4336" s="73"/>
      <c r="CH4336" s="438"/>
      <c r="CI4336" s="416"/>
      <c r="CJ4336" s="73"/>
      <c r="CK4336" s="650"/>
      <c r="CL4336" s="499"/>
      <c r="CM4336" s="650"/>
      <c r="CR4336" s="416"/>
      <c r="CS4336" s="650"/>
      <c r="CU4336" s="73"/>
      <c r="CV4336" s="73"/>
      <c r="CW4336" s="73"/>
      <c r="CX4336" s="73"/>
      <c r="DA4336" s="650"/>
    </row>
    <row r="4337" spans="1:105" s="45" customFormat="1" x14ac:dyDescent="0.2">
      <c r="A4337" s="650"/>
      <c r="B4337" s="438"/>
      <c r="D4337" s="73"/>
      <c r="E4337" s="650"/>
      <c r="F4337" s="650"/>
      <c r="G4337" s="73"/>
      <c r="I4337" s="111"/>
      <c r="J4337" s="81"/>
      <c r="K4337" s="81"/>
      <c r="L4337" s="499"/>
      <c r="M4337" s="73"/>
      <c r="N4337" s="499"/>
      <c r="O4337" s="73"/>
      <c r="P4337" s="73"/>
      <c r="Q4337" s="73"/>
      <c r="R4337" s="176"/>
      <c r="S4337" s="176"/>
      <c r="T4337" s="176"/>
      <c r="U4337" s="400"/>
      <c r="V4337" s="400"/>
      <c r="W4337" s="732"/>
      <c r="X4337" s="167"/>
      <c r="Y4337" s="509"/>
      <c r="Z4337" s="466"/>
      <c r="AA4337" s="466"/>
      <c r="AB4337" s="466"/>
      <c r="AC4337" s="466"/>
      <c r="AD4337" s="466"/>
      <c r="AE4337" s="466"/>
      <c r="AF4337" s="466"/>
      <c r="AG4337" s="466"/>
      <c r="AH4337" s="466"/>
      <c r="AI4337" s="466"/>
      <c r="AJ4337" s="466"/>
      <c r="AK4337" s="466"/>
      <c r="AL4337" s="466"/>
      <c r="AM4337" s="466"/>
      <c r="AN4337" s="466"/>
      <c r="AO4337" s="466"/>
      <c r="AP4337" s="466"/>
      <c r="AQ4337" s="466"/>
      <c r="AR4337" s="466"/>
      <c r="AS4337" s="466"/>
      <c r="AT4337" s="466"/>
      <c r="AU4337" s="466"/>
      <c r="AV4337" s="466"/>
      <c r="AW4337" s="466"/>
      <c r="AX4337" s="466"/>
      <c r="AY4337" s="466"/>
      <c r="AZ4337" s="466"/>
      <c r="BA4337" s="466"/>
      <c r="BB4337" s="466"/>
      <c r="BC4337" s="466"/>
      <c r="BD4337" s="466"/>
      <c r="BE4337" s="467"/>
      <c r="BF4337" s="467"/>
      <c r="BG4337" s="466"/>
      <c r="BH4337" s="466"/>
      <c r="BI4337" s="467"/>
      <c r="BJ4337" s="467"/>
      <c r="BK4337" s="467"/>
      <c r="BL4337" s="467"/>
      <c r="BM4337" s="467"/>
      <c r="BN4337" s="467"/>
      <c r="BO4337" s="467"/>
      <c r="BP4337" s="467"/>
      <c r="BQ4337" s="467"/>
      <c r="BR4337" s="467"/>
      <c r="BS4337" s="467"/>
      <c r="BT4337" s="467"/>
      <c r="BU4337" s="467"/>
      <c r="BV4337" s="467"/>
      <c r="BW4337" s="467"/>
      <c r="BX4337" s="769"/>
      <c r="BY4337" s="769"/>
      <c r="BZ4337" s="769"/>
      <c r="CA4337" s="769"/>
      <c r="CB4337" s="769"/>
      <c r="CC4337" s="769"/>
      <c r="CD4337" s="769"/>
      <c r="CE4337" s="769"/>
      <c r="CF4337" s="769"/>
      <c r="CG4337" s="73"/>
      <c r="CH4337" s="438"/>
      <c r="CI4337" s="416"/>
      <c r="CJ4337" s="73"/>
      <c r="CK4337" s="650"/>
      <c r="CL4337" s="499"/>
      <c r="CM4337" s="650"/>
      <c r="CR4337" s="416"/>
      <c r="CS4337" s="650"/>
      <c r="CU4337" s="73"/>
      <c r="CV4337" s="73"/>
      <c r="CW4337" s="73"/>
      <c r="CX4337" s="73"/>
      <c r="DA4337" s="650"/>
    </row>
    <row r="4338" spans="1:105" s="45" customFormat="1" x14ac:dyDescent="0.2">
      <c r="A4338" s="650"/>
      <c r="B4338" s="438"/>
      <c r="D4338" s="73"/>
      <c r="E4338" s="650"/>
      <c r="F4338" s="650"/>
      <c r="G4338" s="73"/>
      <c r="I4338" s="111"/>
      <c r="J4338" s="81"/>
      <c r="K4338" s="81"/>
      <c r="L4338" s="499"/>
      <c r="M4338" s="73"/>
      <c r="N4338" s="499"/>
      <c r="O4338" s="73"/>
      <c r="P4338" s="73"/>
      <c r="Q4338" s="73"/>
      <c r="R4338" s="176"/>
      <c r="S4338" s="176"/>
      <c r="T4338" s="176"/>
      <c r="U4338" s="400"/>
      <c r="V4338" s="400"/>
      <c r="W4338" s="732"/>
      <c r="X4338" s="167"/>
      <c r="Y4338" s="509"/>
      <c r="Z4338" s="466"/>
      <c r="AA4338" s="466"/>
      <c r="AB4338" s="466"/>
      <c r="AC4338" s="466"/>
      <c r="AD4338" s="466"/>
      <c r="AE4338" s="466"/>
      <c r="AF4338" s="466"/>
      <c r="AG4338" s="466"/>
      <c r="AH4338" s="466"/>
      <c r="AI4338" s="466"/>
      <c r="AJ4338" s="466"/>
      <c r="AK4338" s="466"/>
      <c r="AL4338" s="466"/>
      <c r="AM4338" s="466"/>
      <c r="AN4338" s="466"/>
      <c r="AO4338" s="466"/>
      <c r="AP4338" s="466"/>
      <c r="AQ4338" s="466"/>
      <c r="AR4338" s="466"/>
      <c r="AS4338" s="466"/>
      <c r="AT4338" s="466"/>
      <c r="AU4338" s="466"/>
      <c r="AV4338" s="466"/>
      <c r="AW4338" s="466"/>
      <c r="AX4338" s="466"/>
      <c r="AY4338" s="466"/>
      <c r="AZ4338" s="466"/>
      <c r="BA4338" s="466"/>
      <c r="BB4338" s="466"/>
      <c r="BC4338" s="466"/>
      <c r="BD4338" s="466"/>
      <c r="BE4338" s="467"/>
      <c r="BF4338" s="467"/>
      <c r="BG4338" s="466"/>
      <c r="BH4338" s="466"/>
      <c r="BI4338" s="467"/>
      <c r="BJ4338" s="467"/>
      <c r="BK4338" s="467"/>
      <c r="BL4338" s="467"/>
      <c r="BM4338" s="467"/>
      <c r="BN4338" s="467"/>
      <c r="BO4338" s="467"/>
      <c r="BP4338" s="467"/>
      <c r="BQ4338" s="467"/>
      <c r="BR4338" s="467"/>
      <c r="BS4338" s="467"/>
      <c r="BT4338" s="467"/>
      <c r="BU4338" s="467"/>
      <c r="BV4338" s="467"/>
      <c r="BW4338" s="467"/>
      <c r="BX4338" s="769"/>
      <c r="BY4338" s="769"/>
      <c r="BZ4338" s="769"/>
      <c r="CA4338" s="769"/>
      <c r="CB4338" s="769"/>
      <c r="CC4338" s="769"/>
      <c r="CD4338" s="769"/>
      <c r="CE4338" s="769"/>
      <c r="CF4338" s="769"/>
      <c r="CG4338" s="73"/>
      <c r="CH4338" s="438"/>
      <c r="CI4338" s="416"/>
      <c r="CJ4338" s="73"/>
      <c r="CK4338" s="650"/>
      <c r="CL4338" s="499"/>
      <c r="CM4338" s="650"/>
      <c r="CR4338" s="416"/>
      <c r="CS4338" s="650"/>
      <c r="CU4338" s="73"/>
      <c r="CV4338" s="73"/>
      <c r="CW4338" s="73"/>
      <c r="CX4338" s="73"/>
      <c r="DA4338" s="650"/>
    </row>
    <row r="4339" spans="1:105" s="45" customFormat="1" x14ac:dyDescent="0.2">
      <c r="A4339" s="650"/>
      <c r="B4339" s="438"/>
      <c r="D4339" s="73"/>
      <c r="E4339" s="650"/>
      <c r="F4339" s="650"/>
      <c r="G4339" s="73"/>
      <c r="I4339" s="111"/>
      <c r="J4339" s="81"/>
      <c r="K4339" s="81"/>
      <c r="L4339" s="499"/>
      <c r="M4339" s="73"/>
      <c r="N4339" s="499"/>
      <c r="O4339" s="73"/>
      <c r="P4339" s="73"/>
      <c r="Q4339" s="73"/>
      <c r="R4339" s="176"/>
      <c r="S4339" s="176"/>
      <c r="T4339" s="176"/>
      <c r="U4339" s="400"/>
      <c r="V4339" s="400"/>
      <c r="W4339" s="732"/>
      <c r="X4339" s="167"/>
      <c r="Y4339" s="509"/>
      <c r="Z4339" s="466"/>
      <c r="AA4339" s="466"/>
      <c r="AB4339" s="466"/>
      <c r="AC4339" s="466"/>
      <c r="AD4339" s="466"/>
      <c r="AE4339" s="466"/>
      <c r="AF4339" s="466"/>
      <c r="AG4339" s="466"/>
      <c r="AH4339" s="466"/>
      <c r="AI4339" s="466"/>
      <c r="AJ4339" s="466"/>
      <c r="AK4339" s="466"/>
      <c r="AL4339" s="466"/>
      <c r="AM4339" s="466"/>
      <c r="AN4339" s="466"/>
      <c r="AO4339" s="466"/>
      <c r="AP4339" s="466"/>
      <c r="AQ4339" s="466"/>
      <c r="AR4339" s="466"/>
      <c r="AS4339" s="466"/>
      <c r="AT4339" s="466"/>
      <c r="AU4339" s="466"/>
      <c r="AV4339" s="466"/>
      <c r="AW4339" s="466"/>
      <c r="AX4339" s="466"/>
      <c r="AY4339" s="466"/>
      <c r="AZ4339" s="466"/>
      <c r="BA4339" s="466"/>
      <c r="BB4339" s="466"/>
      <c r="BC4339" s="466"/>
      <c r="BD4339" s="466"/>
      <c r="BE4339" s="467"/>
      <c r="BF4339" s="467"/>
      <c r="BG4339" s="466"/>
      <c r="BH4339" s="466"/>
      <c r="BI4339" s="467"/>
      <c r="BJ4339" s="467"/>
      <c r="BK4339" s="467"/>
      <c r="BL4339" s="467"/>
      <c r="BM4339" s="467"/>
      <c r="BN4339" s="467"/>
      <c r="BO4339" s="467"/>
      <c r="BP4339" s="467"/>
      <c r="BQ4339" s="467"/>
      <c r="BR4339" s="467"/>
      <c r="BS4339" s="467"/>
      <c r="BT4339" s="467"/>
      <c r="BU4339" s="467"/>
      <c r="BV4339" s="467"/>
      <c r="BW4339" s="467"/>
      <c r="BX4339" s="769"/>
      <c r="BY4339" s="769"/>
      <c r="BZ4339" s="769"/>
      <c r="CA4339" s="769"/>
      <c r="CB4339" s="769"/>
      <c r="CC4339" s="769"/>
      <c r="CD4339" s="769"/>
      <c r="CE4339" s="769"/>
      <c r="CF4339" s="769"/>
      <c r="CG4339" s="73"/>
      <c r="CH4339" s="438"/>
      <c r="CI4339" s="416"/>
      <c r="CJ4339" s="73"/>
      <c r="CK4339" s="650"/>
      <c r="CL4339" s="499"/>
      <c r="CM4339" s="650"/>
      <c r="CR4339" s="416"/>
      <c r="CS4339" s="650"/>
      <c r="CU4339" s="73"/>
      <c r="CV4339" s="73"/>
      <c r="CW4339" s="73"/>
      <c r="CX4339" s="73"/>
      <c r="DA4339" s="650"/>
    </row>
    <row r="4340" spans="1:105" s="45" customFormat="1" x14ac:dyDescent="0.2">
      <c r="A4340" s="650"/>
      <c r="B4340" s="438"/>
      <c r="D4340" s="73"/>
      <c r="E4340" s="650"/>
      <c r="F4340" s="650"/>
      <c r="G4340" s="73"/>
      <c r="I4340" s="111"/>
      <c r="J4340" s="81"/>
      <c r="K4340" s="81"/>
      <c r="L4340" s="499"/>
      <c r="M4340" s="73"/>
      <c r="N4340" s="499"/>
      <c r="O4340" s="73"/>
      <c r="P4340" s="73"/>
      <c r="Q4340" s="73"/>
      <c r="R4340" s="176"/>
      <c r="S4340" s="176"/>
      <c r="T4340" s="176"/>
      <c r="U4340" s="400"/>
      <c r="V4340" s="400"/>
      <c r="W4340" s="732"/>
      <c r="X4340" s="167"/>
      <c r="Y4340" s="509"/>
      <c r="Z4340" s="466"/>
      <c r="AA4340" s="466"/>
      <c r="AB4340" s="466"/>
      <c r="AC4340" s="466"/>
      <c r="AD4340" s="466"/>
      <c r="AE4340" s="466"/>
      <c r="AF4340" s="466"/>
      <c r="AG4340" s="466"/>
      <c r="AH4340" s="466"/>
      <c r="AI4340" s="466"/>
      <c r="AJ4340" s="466"/>
      <c r="AK4340" s="466"/>
      <c r="AL4340" s="466"/>
      <c r="AM4340" s="466"/>
      <c r="AN4340" s="466"/>
      <c r="AO4340" s="466"/>
      <c r="AP4340" s="466"/>
      <c r="AQ4340" s="466"/>
      <c r="AR4340" s="466"/>
      <c r="AS4340" s="466"/>
      <c r="AT4340" s="466"/>
      <c r="AU4340" s="466"/>
      <c r="AV4340" s="466"/>
      <c r="AW4340" s="466"/>
      <c r="AX4340" s="466"/>
      <c r="AY4340" s="466"/>
      <c r="AZ4340" s="466"/>
      <c r="BA4340" s="466"/>
      <c r="BB4340" s="466"/>
      <c r="BC4340" s="466"/>
      <c r="BD4340" s="466"/>
      <c r="BE4340" s="467"/>
      <c r="BF4340" s="467"/>
      <c r="BG4340" s="466"/>
      <c r="BH4340" s="466"/>
      <c r="BI4340" s="467"/>
      <c r="BJ4340" s="467"/>
      <c r="BK4340" s="467"/>
      <c r="BL4340" s="467"/>
      <c r="BM4340" s="467"/>
      <c r="BN4340" s="467"/>
      <c r="BO4340" s="467"/>
      <c r="BP4340" s="467"/>
      <c r="BQ4340" s="467"/>
      <c r="BR4340" s="467"/>
      <c r="BS4340" s="467"/>
      <c r="BT4340" s="467"/>
      <c r="BU4340" s="467"/>
      <c r="BV4340" s="467"/>
      <c r="BW4340" s="467"/>
      <c r="BX4340" s="769"/>
      <c r="BY4340" s="769"/>
      <c r="BZ4340" s="769"/>
      <c r="CA4340" s="769"/>
      <c r="CB4340" s="769"/>
      <c r="CC4340" s="769"/>
      <c r="CD4340" s="769"/>
      <c r="CE4340" s="769"/>
      <c r="CF4340" s="769"/>
      <c r="CG4340" s="73"/>
      <c r="CH4340" s="438"/>
      <c r="CI4340" s="416"/>
      <c r="CJ4340" s="73"/>
      <c r="CK4340" s="650"/>
      <c r="CL4340" s="499"/>
      <c r="CM4340" s="650"/>
      <c r="CR4340" s="416"/>
      <c r="CS4340" s="650"/>
      <c r="CU4340" s="73"/>
      <c r="CV4340" s="73"/>
      <c r="CW4340" s="73"/>
      <c r="CX4340" s="73"/>
      <c r="DA4340" s="650"/>
    </row>
    <row r="4341" spans="1:105" s="45" customFormat="1" x14ac:dyDescent="0.2">
      <c r="A4341" s="650"/>
      <c r="B4341" s="438"/>
      <c r="D4341" s="73"/>
      <c r="E4341" s="650"/>
      <c r="F4341" s="650"/>
      <c r="G4341" s="73"/>
      <c r="I4341" s="111"/>
      <c r="J4341" s="81"/>
      <c r="K4341" s="81"/>
      <c r="L4341" s="499"/>
      <c r="M4341" s="73"/>
      <c r="N4341" s="499"/>
      <c r="O4341" s="73"/>
      <c r="P4341" s="73"/>
      <c r="Q4341" s="73"/>
      <c r="R4341" s="176"/>
      <c r="S4341" s="176"/>
      <c r="T4341" s="176"/>
      <c r="U4341" s="400"/>
      <c r="V4341" s="400"/>
      <c r="W4341" s="732"/>
      <c r="X4341" s="167"/>
      <c r="Y4341" s="509"/>
      <c r="Z4341" s="466"/>
      <c r="AA4341" s="466"/>
      <c r="AB4341" s="466"/>
      <c r="AC4341" s="466"/>
      <c r="AD4341" s="466"/>
      <c r="AE4341" s="466"/>
      <c r="AF4341" s="466"/>
      <c r="AG4341" s="466"/>
      <c r="AH4341" s="466"/>
      <c r="AI4341" s="466"/>
      <c r="AJ4341" s="466"/>
      <c r="AK4341" s="466"/>
      <c r="AL4341" s="466"/>
      <c r="AM4341" s="466"/>
      <c r="AN4341" s="466"/>
      <c r="AO4341" s="466"/>
      <c r="AP4341" s="466"/>
      <c r="AQ4341" s="466"/>
      <c r="AR4341" s="466"/>
      <c r="AS4341" s="466"/>
      <c r="AT4341" s="466"/>
      <c r="AU4341" s="466"/>
      <c r="AV4341" s="466"/>
      <c r="AW4341" s="466"/>
      <c r="AX4341" s="466"/>
      <c r="AY4341" s="466"/>
      <c r="AZ4341" s="466"/>
      <c r="BA4341" s="466"/>
      <c r="BB4341" s="466"/>
      <c r="BC4341" s="466"/>
      <c r="BD4341" s="466"/>
      <c r="BE4341" s="467"/>
      <c r="BF4341" s="467"/>
      <c r="BG4341" s="466"/>
      <c r="BH4341" s="466"/>
      <c r="BI4341" s="467"/>
      <c r="BJ4341" s="467"/>
      <c r="BK4341" s="467"/>
      <c r="BL4341" s="467"/>
      <c r="BM4341" s="467"/>
      <c r="BN4341" s="467"/>
      <c r="BO4341" s="467"/>
      <c r="BP4341" s="467"/>
      <c r="BQ4341" s="467"/>
      <c r="BR4341" s="467"/>
      <c r="BS4341" s="467"/>
      <c r="BT4341" s="467"/>
      <c r="BU4341" s="467"/>
      <c r="BV4341" s="467"/>
      <c r="BW4341" s="467"/>
      <c r="BX4341" s="769"/>
      <c r="BY4341" s="769"/>
      <c r="BZ4341" s="769"/>
      <c r="CA4341" s="769"/>
      <c r="CB4341" s="769"/>
      <c r="CC4341" s="769"/>
      <c r="CD4341" s="769"/>
      <c r="CE4341" s="769"/>
      <c r="CF4341" s="769"/>
      <c r="CG4341" s="73"/>
      <c r="CH4341" s="438"/>
      <c r="CI4341" s="416"/>
      <c r="CJ4341" s="73"/>
      <c r="CK4341" s="650"/>
      <c r="CL4341" s="499"/>
      <c r="CM4341" s="650"/>
      <c r="CR4341" s="416"/>
      <c r="CS4341" s="650"/>
      <c r="CU4341" s="73"/>
      <c r="CV4341" s="73"/>
      <c r="CW4341" s="73"/>
      <c r="CX4341" s="73"/>
      <c r="DA4341" s="650"/>
    </row>
    <row r="4342" spans="1:105" s="45" customFormat="1" x14ac:dyDescent="0.2">
      <c r="A4342" s="650"/>
      <c r="B4342" s="438"/>
      <c r="D4342" s="73"/>
      <c r="E4342" s="650"/>
      <c r="F4342" s="650"/>
      <c r="G4342" s="73"/>
      <c r="I4342" s="111"/>
      <c r="J4342" s="81"/>
      <c r="K4342" s="81"/>
      <c r="L4342" s="499"/>
      <c r="M4342" s="73"/>
      <c r="N4342" s="499"/>
      <c r="O4342" s="73"/>
      <c r="P4342" s="73"/>
      <c r="Q4342" s="73"/>
      <c r="R4342" s="176"/>
      <c r="S4342" s="176"/>
      <c r="T4342" s="176"/>
      <c r="U4342" s="400"/>
      <c r="V4342" s="400"/>
      <c r="W4342" s="732"/>
      <c r="X4342" s="167"/>
      <c r="Y4342" s="509"/>
      <c r="Z4342" s="466"/>
      <c r="AA4342" s="466"/>
      <c r="AB4342" s="466"/>
      <c r="AC4342" s="466"/>
      <c r="AD4342" s="466"/>
      <c r="AE4342" s="466"/>
      <c r="AF4342" s="466"/>
      <c r="AG4342" s="466"/>
      <c r="AH4342" s="466"/>
      <c r="AI4342" s="466"/>
      <c r="AJ4342" s="466"/>
      <c r="AK4342" s="466"/>
      <c r="AL4342" s="466"/>
      <c r="AM4342" s="466"/>
      <c r="AN4342" s="466"/>
      <c r="AO4342" s="466"/>
      <c r="AP4342" s="466"/>
      <c r="AQ4342" s="466"/>
      <c r="AR4342" s="466"/>
      <c r="AS4342" s="466"/>
      <c r="AT4342" s="466"/>
      <c r="AU4342" s="466"/>
      <c r="AV4342" s="466"/>
      <c r="AW4342" s="466"/>
      <c r="AX4342" s="466"/>
      <c r="AY4342" s="466"/>
      <c r="AZ4342" s="466"/>
      <c r="BA4342" s="466"/>
      <c r="BB4342" s="466"/>
      <c r="BC4342" s="466"/>
      <c r="BD4342" s="466"/>
      <c r="BE4342" s="467"/>
      <c r="BF4342" s="467"/>
      <c r="BG4342" s="466"/>
      <c r="BH4342" s="466"/>
      <c r="BI4342" s="467"/>
      <c r="BJ4342" s="467"/>
      <c r="BK4342" s="467"/>
      <c r="BL4342" s="467"/>
      <c r="BM4342" s="467"/>
      <c r="BN4342" s="467"/>
      <c r="BO4342" s="467"/>
      <c r="BP4342" s="467"/>
      <c r="BQ4342" s="467"/>
      <c r="BR4342" s="467"/>
      <c r="BS4342" s="467"/>
      <c r="BT4342" s="467"/>
      <c r="BU4342" s="467"/>
      <c r="BV4342" s="467"/>
      <c r="BW4342" s="467"/>
      <c r="BX4342" s="769"/>
      <c r="BY4342" s="769"/>
      <c r="BZ4342" s="769"/>
      <c r="CA4342" s="769"/>
      <c r="CB4342" s="769"/>
      <c r="CC4342" s="769"/>
      <c r="CD4342" s="769"/>
      <c r="CE4342" s="769"/>
      <c r="CF4342" s="769"/>
      <c r="CG4342" s="73"/>
      <c r="CH4342" s="438"/>
      <c r="CI4342" s="416"/>
      <c r="CJ4342" s="73"/>
      <c r="CK4342" s="650"/>
      <c r="CL4342" s="499"/>
      <c r="CM4342" s="650"/>
      <c r="CR4342" s="416"/>
      <c r="CS4342" s="650"/>
      <c r="CU4342" s="73"/>
      <c r="CV4342" s="73"/>
      <c r="CW4342" s="73"/>
      <c r="CX4342" s="73"/>
      <c r="DA4342" s="650"/>
    </row>
    <row r="4343" spans="1:105" s="45" customFormat="1" x14ac:dyDescent="0.2">
      <c r="A4343" s="650"/>
      <c r="B4343" s="438"/>
      <c r="D4343" s="73"/>
      <c r="E4343" s="650"/>
      <c r="F4343" s="650"/>
      <c r="G4343" s="73"/>
      <c r="I4343" s="111"/>
      <c r="J4343" s="81"/>
      <c r="K4343" s="81"/>
      <c r="L4343" s="499"/>
      <c r="M4343" s="73"/>
      <c r="N4343" s="499"/>
      <c r="O4343" s="73"/>
      <c r="P4343" s="73"/>
      <c r="Q4343" s="73"/>
      <c r="R4343" s="176"/>
      <c r="S4343" s="176"/>
      <c r="T4343" s="176"/>
      <c r="U4343" s="400"/>
      <c r="V4343" s="400"/>
      <c r="W4343" s="732"/>
      <c r="X4343" s="167"/>
      <c r="Y4343" s="509"/>
      <c r="Z4343" s="466"/>
      <c r="AA4343" s="466"/>
      <c r="AB4343" s="466"/>
      <c r="AC4343" s="466"/>
      <c r="AD4343" s="466"/>
      <c r="AE4343" s="466"/>
      <c r="AF4343" s="466"/>
      <c r="AG4343" s="466"/>
      <c r="AH4343" s="466"/>
      <c r="AI4343" s="466"/>
      <c r="AJ4343" s="466"/>
      <c r="AK4343" s="466"/>
      <c r="AL4343" s="466"/>
      <c r="AM4343" s="466"/>
      <c r="AN4343" s="466"/>
      <c r="AO4343" s="466"/>
      <c r="AP4343" s="466"/>
      <c r="AQ4343" s="466"/>
      <c r="AR4343" s="466"/>
      <c r="AS4343" s="466"/>
      <c r="AT4343" s="466"/>
      <c r="AU4343" s="466"/>
      <c r="AV4343" s="466"/>
      <c r="AW4343" s="466"/>
      <c r="AX4343" s="466"/>
      <c r="AY4343" s="466"/>
      <c r="AZ4343" s="466"/>
      <c r="BA4343" s="466"/>
      <c r="BB4343" s="466"/>
      <c r="BC4343" s="466"/>
      <c r="BD4343" s="466"/>
      <c r="BE4343" s="467"/>
      <c r="BF4343" s="467"/>
      <c r="BG4343" s="466"/>
      <c r="BH4343" s="466"/>
      <c r="BI4343" s="467"/>
      <c r="BJ4343" s="467"/>
      <c r="BK4343" s="467"/>
      <c r="BL4343" s="467"/>
      <c r="BM4343" s="467"/>
      <c r="BN4343" s="467"/>
      <c r="BO4343" s="467"/>
      <c r="BP4343" s="467"/>
      <c r="BQ4343" s="467"/>
      <c r="BR4343" s="467"/>
      <c r="BS4343" s="467"/>
      <c r="BT4343" s="467"/>
      <c r="BU4343" s="467"/>
      <c r="BV4343" s="467"/>
      <c r="BW4343" s="467"/>
      <c r="BX4343" s="769"/>
      <c r="BY4343" s="769"/>
      <c r="BZ4343" s="769"/>
      <c r="CA4343" s="769"/>
      <c r="CB4343" s="769"/>
      <c r="CC4343" s="769"/>
      <c r="CD4343" s="769"/>
      <c r="CE4343" s="769"/>
      <c r="CF4343" s="769"/>
      <c r="CG4343" s="73"/>
      <c r="CH4343" s="438"/>
      <c r="CI4343" s="416"/>
      <c r="CJ4343" s="73"/>
      <c r="CK4343" s="650"/>
      <c r="CL4343" s="499"/>
      <c r="CM4343" s="650"/>
      <c r="CR4343" s="416"/>
      <c r="CS4343" s="650"/>
      <c r="CU4343" s="73"/>
      <c r="CV4343" s="73"/>
      <c r="CW4343" s="73"/>
      <c r="CX4343" s="73"/>
      <c r="DA4343" s="650"/>
    </row>
    <row r="4344" spans="1:105" s="45" customFormat="1" x14ac:dyDescent="0.2">
      <c r="A4344" s="650"/>
      <c r="B4344" s="438"/>
      <c r="D4344" s="73"/>
      <c r="E4344" s="650"/>
      <c r="F4344" s="650"/>
      <c r="G4344" s="73"/>
      <c r="I4344" s="111"/>
      <c r="J4344" s="81"/>
      <c r="K4344" s="81"/>
      <c r="L4344" s="499"/>
      <c r="M4344" s="73"/>
      <c r="N4344" s="499"/>
      <c r="O4344" s="73"/>
      <c r="P4344" s="73"/>
      <c r="Q4344" s="73"/>
      <c r="R4344" s="176"/>
      <c r="S4344" s="176"/>
      <c r="T4344" s="176"/>
      <c r="U4344" s="400"/>
      <c r="V4344" s="400"/>
      <c r="W4344" s="732"/>
      <c r="X4344" s="167"/>
      <c r="Y4344" s="509"/>
      <c r="Z4344" s="466"/>
      <c r="AA4344" s="466"/>
      <c r="AB4344" s="466"/>
      <c r="AC4344" s="466"/>
      <c r="AD4344" s="466"/>
      <c r="AE4344" s="466"/>
      <c r="AF4344" s="466"/>
      <c r="AG4344" s="466"/>
      <c r="AH4344" s="466"/>
      <c r="AI4344" s="466"/>
      <c r="AJ4344" s="466"/>
      <c r="AK4344" s="466"/>
      <c r="AL4344" s="466"/>
      <c r="AM4344" s="466"/>
      <c r="AN4344" s="466"/>
      <c r="AO4344" s="466"/>
      <c r="AP4344" s="466"/>
      <c r="AQ4344" s="466"/>
      <c r="AR4344" s="466"/>
      <c r="AS4344" s="466"/>
      <c r="AT4344" s="466"/>
      <c r="AU4344" s="466"/>
      <c r="AV4344" s="466"/>
      <c r="AW4344" s="466"/>
      <c r="AX4344" s="466"/>
      <c r="AY4344" s="466"/>
      <c r="AZ4344" s="466"/>
      <c r="BA4344" s="466"/>
      <c r="BB4344" s="466"/>
      <c r="BC4344" s="466"/>
      <c r="BD4344" s="466"/>
      <c r="BE4344" s="467"/>
      <c r="BF4344" s="467"/>
      <c r="BG4344" s="466"/>
      <c r="BH4344" s="466"/>
      <c r="BI4344" s="467"/>
      <c r="BJ4344" s="467"/>
      <c r="BK4344" s="467"/>
      <c r="BL4344" s="467"/>
      <c r="BM4344" s="467"/>
      <c r="BN4344" s="467"/>
      <c r="BO4344" s="467"/>
      <c r="BP4344" s="467"/>
      <c r="BQ4344" s="467"/>
      <c r="BR4344" s="467"/>
      <c r="BS4344" s="467"/>
      <c r="BT4344" s="467"/>
      <c r="BU4344" s="467"/>
      <c r="BV4344" s="467"/>
      <c r="BW4344" s="467"/>
      <c r="BX4344" s="769"/>
      <c r="BY4344" s="769"/>
      <c r="BZ4344" s="769"/>
      <c r="CA4344" s="769"/>
      <c r="CB4344" s="769"/>
      <c r="CC4344" s="769"/>
      <c r="CD4344" s="769"/>
      <c r="CE4344" s="769"/>
      <c r="CF4344" s="769"/>
      <c r="CG4344" s="73"/>
      <c r="CH4344" s="438"/>
      <c r="CI4344" s="416"/>
      <c r="CJ4344" s="73"/>
      <c r="CK4344" s="650"/>
      <c r="CL4344" s="499"/>
      <c r="CM4344" s="650"/>
      <c r="CR4344" s="416"/>
      <c r="CS4344" s="650"/>
      <c r="CU4344" s="73"/>
      <c r="CV4344" s="73"/>
      <c r="CW4344" s="73"/>
      <c r="CX4344" s="73"/>
      <c r="DA4344" s="650"/>
    </row>
    <row r="4345" spans="1:105" s="45" customFormat="1" x14ac:dyDescent="0.2">
      <c r="A4345" s="650"/>
      <c r="B4345" s="438"/>
      <c r="D4345" s="73"/>
      <c r="E4345" s="650"/>
      <c r="F4345" s="650"/>
      <c r="G4345" s="73"/>
      <c r="I4345" s="111"/>
      <c r="J4345" s="81"/>
      <c r="K4345" s="81"/>
      <c r="L4345" s="499"/>
      <c r="M4345" s="73"/>
      <c r="N4345" s="499"/>
      <c r="O4345" s="73"/>
      <c r="P4345" s="73"/>
      <c r="Q4345" s="73"/>
      <c r="R4345" s="176"/>
      <c r="S4345" s="176"/>
      <c r="T4345" s="176"/>
      <c r="U4345" s="400"/>
      <c r="V4345" s="400"/>
      <c r="W4345" s="732"/>
      <c r="X4345" s="167"/>
      <c r="Y4345" s="509"/>
      <c r="Z4345" s="466"/>
      <c r="AA4345" s="466"/>
      <c r="AB4345" s="466"/>
      <c r="AC4345" s="466"/>
      <c r="AD4345" s="466"/>
      <c r="AE4345" s="466"/>
      <c r="AF4345" s="466"/>
      <c r="AG4345" s="466"/>
      <c r="AH4345" s="466"/>
      <c r="AI4345" s="466"/>
      <c r="AJ4345" s="466"/>
      <c r="AK4345" s="466"/>
      <c r="AL4345" s="466"/>
      <c r="AM4345" s="466"/>
      <c r="AN4345" s="466"/>
      <c r="AO4345" s="466"/>
      <c r="AP4345" s="466"/>
      <c r="AQ4345" s="466"/>
      <c r="AR4345" s="466"/>
      <c r="AS4345" s="466"/>
      <c r="AT4345" s="466"/>
      <c r="AU4345" s="466"/>
      <c r="AV4345" s="466"/>
      <c r="AW4345" s="466"/>
      <c r="AX4345" s="466"/>
      <c r="AY4345" s="466"/>
      <c r="AZ4345" s="466"/>
      <c r="BA4345" s="466"/>
      <c r="BB4345" s="466"/>
      <c r="BC4345" s="466"/>
      <c r="BD4345" s="466"/>
      <c r="BE4345" s="467"/>
      <c r="BF4345" s="467"/>
      <c r="BG4345" s="466"/>
      <c r="BH4345" s="466"/>
      <c r="BI4345" s="467"/>
      <c r="BJ4345" s="467"/>
      <c r="BK4345" s="467"/>
      <c r="BL4345" s="467"/>
      <c r="BM4345" s="467"/>
      <c r="BN4345" s="467"/>
      <c r="BO4345" s="467"/>
      <c r="BP4345" s="467"/>
      <c r="BQ4345" s="467"/>
      <c r="BR4345" s="467"/>
      <c r="BS4345" s="467"/>
      <c r="BT4345" s="467"/>
      <c r="BU4345" s="467"/>
      <c r="BV4345" s="467"/>
      <c r="BW4345" s="467"/>
      <c r="BX4345" s="769"/>
      <c r="BY4345" s="769"/>
      <c r="BZ4345" s="769"/>
      <c r="CA4345" s="769"/>
      <c r="CB4345" s="769"/>
      <c r="CC4345" s="769"/>
      <c r="CD4345" s="769"/>
      <c r="CE4345" s="769"/>
      <c r="CF4345" s="769"/>
      <c r="CG4345" s="73"/>
      <c r="CH4345" s="438"/>
      <c r="CI4345" s="416"/>
      <c r="CJ4345" s="73"/>
      <c r="CK4345" s="650"/>
      <c r="CL4345" s="499"/>
      <c r="CM4345" s="650"/>
      <c r="CR4345" s="416"/>
      <c r="CS4345" s="650"/>
      <c r="CU4345" s="73"/>
      <c r="CV4345" s="73"/>
      <c r="CW4345" s="73"/>
      <c r="CX4345" s="73"/>
      <c r="DA4345" s="650"/>
    </row>
    <row r="4346" spans="1:105" s="45" customFormat="1" x14ac:dyDescent="0.2">
      <c r="A4346" s="650"/>
      <c r="B4346" s="438"/>
      <c r="D4346" s="73"/>
      <c r="E4346" s="650"/>
      <c r="F4346" s="650"/>
      <c r="G4346" s="73"/>
      <c r="I4346" s="111"/>
      <c r="J4346" s="81"/>
      <c r="K4346" s="81"/>
      <c r="L4346" s="499"/>
      <c r="M4346" s="73"/>
      <c r="N4346" s="499"/>
      <c r="O4346" s="73"/>
      <c r="P4346" s="73"/>
      <c r="Q4346" s="73"/>
      <c r="R4346" s="176"/>
      <c r="S4346" s="176"/>
      <c r="T4346" s="176"/>
      <c r="U4346" s="400"/>
      <c r="V4346" s="400"/>
      <c r="W4346" s="732"/>
      <c r="X4346" s="167"/>
      <c r="Y4346" s="509"/>
      <c r="Z4346" s="466"/>
      <c r="AA4346" s="466"/>
      <c r="AB4346" s="466"/>
      <c r="AC4346" s="466"/>
      <c r="AD4346" s="466"/>
      <c r="AE4346" s="466"/>
      <c r="AF4346" s="466"/>
      <c r="AG4346" s="466"/>
      <c r="AH4346" s="466"/>
      <c r="AI4346" s="466"/>
      <c r="AJ4346" s="466"/>
      <c r="AK4346" s="466"/>
      <c r="AL4346" s="466"/>
      <c r="AM4346" s="466"/>
      <c r="AN4346" s="466"/>
      <c r="AO4346" s="466"/>
      <c r="AP4346" s="466"/>
      <c r="AQ4346" s="466"/>
      <c r="AR4346" s="466"/>
      <c r="AS4346" s="466"/>
      <c r="AT4346" s="466"/>
      <c r="AU4346" s="466"/>
      <c r="AV4346" s="466"/>
      <c r="AW4346" s="466"/>
      <c r="AX4346" s="466"/>
      <c r="AY4346" s="466"/>
      <c r="AZ4346" s="466"/>
      <c r="BA4346" s="466"/>
      <c r="BB4346" s="466"/>
      <c r="BC4346" s="466"/>
      <c r="BD4346" s="466"/>
      <c r="BE4346" s="467"/>
      <c r="BF4346" s="467"/>
      <c r="BG4346" s="466"/>
      <c r="BH4346" s="466"/>
      <c r="BI4346" s="467"/>
      <c r="BJ4346" s="467"/>
      <c r="BK4346" s="467"/>
      <c r="BL4346" s="467"/>
      <c r="BM4346" s="467"/>
      <c r="BN4346" s="467"/>
      <c r="BO4346" s="467"/>
      <c r="BP4346" s="467"/>
      <c r="BQ4346" s="467"/>
      <c r="BR4346" s="467"/>
      <c r="BS4346" s="467"/>
      <c r="BT4346" s="467"/>
      <c r="BU4346" s="467"/>
      <c r="BV4346" s="467"/>
      <c r="BW4346" s="467"/>
      <c r="BX4346" s="769"/>
      <c r="BY4346" s="769"/>
      <c r="BZ4346" s="769"/>
      <c r="CA4346" s="769"/>
      <c r="CB4346" s="769"/>
      <c r="CC4346" s="769"/>
      <c r="CD4346" s="769"/>
      <c r="CE4346" s="769"/>
      <c r="CF4346" s="769"/>
      <c r="CG4346" s="73"/>
      <c r="CH4346" s="438"/>
      <c r="CI4346" s="416"/>
      <c r="CJ4346" s="73"/>
      <c r="CK4346" s="650"/>
      <c r="CL4346" s="499"/>
      <c r="CM4346" s="650"/>
      <c r="CR4346" s="416"/>
      <c r="CS4346" s="650"/>
      <c r="CU4346" s="73"/>
      <c r="CV4346" s="73"/>
      <c r="CW4346" s="73"/>
      <c r="CX4346" s="73"/>
      <c r="DA4346" s="650"/>
    </row>
    <row r="4347" spans="1:105" s="45" customFormat="1" x14ac:dyDescent="0.2">
      <c r="A4347" s="650"/>
      <c r="B4347" s="438"/>
      <c r="D4347" s="73"/>
      <c r="E4347" s="650"/>
      <c r="F4347" s="650"/>
      <c r="G4347" s="73"/>
      <c r="I4347" s="111"/>
      <c r="J4347" s="81"/>
      <c r="K4347" s="81"/>
      <c r="L4347" s="499"/>
      <c r="M4347" s="73"/>
      <c r="N4347" s="499"/>
      <c r="O4347" s="73"/>
      <c r="P4347" s="73"/>
      <c r="Q4347" s="73"/>
      <c r="R4347" s="176"/>
      <c r="S4347" s="176"/>
      <c r="T4347" s="176"/>
      <c r="U4347" s="400"/>
      <c r="V4347" s="400"/>
      <c r="W4347" s="732"/>
      <c r="X4347" s="167"/>
      <c r="Y4347" s="509"/>
      <c r="Z4347" s="466"/>
      <c r="AA4347" s="466"/>
      <c r="AB4347" s="466"/>
      <c r="AC4347" s="466"/>
      <c r="AD4347" s="466"/>
      <c r="AE4347" s="466"/>
      <c r="AF4347" s="466"/>
      <c r="AG4347" s="466"/>
      <c r="AH4347" s="466"/>
      <c r="AI4347" s="466"/>
      <c r="AJ4347" s="466"/>
      <c r="AK4347" s="466"/>
      <c r="AL4347" s="466"/>
      <c r="AM4347" s="466"/>
      <c r="AN4347" s="466"/>
      <c r="AO4347" s="466"/>
      <c r="AP4347" s="466"/>
      <c r="AQ4347" s="466"/>
      <c r="AR4347" s="466"/>
      <c r="AS4347" s="466"/>
      <c r="AT4347" s="466"/>
      <c r="AU4347" s="466"/>
      <c r="AV4347" s="466"/>
      <c r="AW4347" s="466"/>
      <c r="AX4347" s="466"/>
      <c r="AY4347" s="466"/>
      <c r="AZ4347" s="466"/>
      <c r="BA4347" s="466"/>
      <c r="BB4347" s="466"/>
      <c r="BC4347" s="466"/>
      <c r="BD4347" s="466"/>
      <c r="BE4347" s="467"/>
      <c r="BF4347" s="467"/>
      <c r="BG4347" s="466"/>
      <c r="BH4347" s="466"/>
      <c r="BI4347" s="467"/>
      <c r="BJ4347" s="467"/>
      <c r="BK4347" s="467"/>
      <c r="BL4347" s="467"/>
      <c r="BM4347" s="467"/>
      <c r="BN4347" s="467"/>
      <c r="BO4347" s="467"/>
      <c r="BP4347" s="467"/>
      <c r="BQ4347" s="467"/>
      <c r="BR4347" s="467"/>
      <c r="BS4347" s="467"/>
      <c r="BT4347" s="467"/>
      <c r="BU4347" s="467"/>
      <c r="BV4347" s="467"/>
      <c r="BW4347" s="467"/>
      <c r="BX4347" s="769"/>
      <c r="BY4347" s="769"/>
      <c r="BZ4347" s="769"/>
      <c r="CA4347" s="769"/>
      <c r="CB4347" s="769"/>
      <c r="CC4347" s="769"/>
      <c r="CD4347" s="769"/>
      <c r="CE4347" s="769"/>
      <c r="CF4347" s="769"/>
      <c r="CG4347" s="73"/>
      <c r="CH4347" s="438"/>
      <c r="CI4347" s="416"/>
      <c r="CJ4347" s="73"/>
      <c r="CK4347" s="650"/>
      <c r="CL4347" s="499"/>
      <c r="CM4347" s="650"/>
      <c r="CR4347" s="416"/>
      <c r="CS4347" s="650"/>
      <c r="CU4347" s="73"/>
      <c r="CV4347" s="73"/>
      <c r="CW4347" s="73"/>
      <c r="CX4347" s="73"/>
      <c r="DA4347" s="650"/>
    </row>
    <row r="4348" spans="1:105" s="45" customFormat="1" x14ac:dyDescent="0.2">
      <c r="A4348" s="650"/>
      <c r="B4348" s="438"/>
      <c r="D4348" s="73"/>
      <c r="E4348" s="650"/>
      <c r="F4348" s="650"/>
      <c r="G4348" s="73"/>
      <c r="I4348" s="111"/>
      <c r="J4348" s="81"/>
      <c r="K4348" s="81"/>
      <c r="L4348" s="499"/>
      <c r="M4348" s="73"/>
      <c r="N4348" s="499"/>
      <c r="O4348" s="73"/>
      <c r="P4348" s="73"/>
      <c r="Q4348" s="73"/>
      <c r="R4348" s="176"/>
      <c r="S4348" s="176"/>
      <c r="T4348" s="176"/>
      <c r="U4348" s="400"/>
      <c r="V4348" s="400"/>
      <c r="W4348" s="732"/>
      <c r="X4348" s="167"/>
      <c r="Y4348" s="509"/>
      <c r="Z4348" s="466"/>
      <c r="AA4348" s="466"/>
      <c r="AB4348" s="466"/>
      <c r="AC4348" s="466"/>
      <c r="AD4348" s="466"/>
      <c r="AE4348" s="466"/>
      <c r="AF4348" s="466"/>
      <c r="AG4348" s="466"/>
      <c r="AH4348" s="466"/>
      <c r="AI4348" s="466"/>
      <c r="AJ4348" s="466"/>
      <c r="AK4348" s="466"/>
      <c r="AL4348" s="466"/>
      <c r="AM4348" s="466"/>
      <c r="AN4348" s="466"/>
      <c r="AO4348" s="466"/>
      <c r="AP4348" s="466"/>
      <c r="AQ4348" s="466"/>
      <c r="AR4348" s="466"/>
      <c r="AS4348" s="466"/>
      <c r="AT4348" s="466"/>
      <c r="AU4348" s="466"/>
      <c r="AV4348" s="466"/>
      <c r="AW4348" s="466"/>
      <c r="AX4348" s="466"/>
      <c r="AY4348" s="466"/>
      <c r="AZ4348" s="466"/>
      <c r="BA4348" s="466"/>
      <c r="BB4348" s="466"/>
      <c r="BC4348" s="466"/>
      <c r="BD4348" s="466"/>
      <c r="BE4348" s="467"/>
      <c r="BF4348" s="467"/>
      <c r="BG4348" s="466"/>
      <c r="BH4348" s="466"/>
      <c r="BI4348" s="467"/>
      <c r="BJ4348" s="467"/>
      <c r="BK4348" s="467"/>
      <c r="BL4348" s="467"/>
      <c r="BM4348" s="467"/>
      <c r="BN4348" s="467"/>
      <c r="BO4348" s="467"/>
      <c r="BP4348" s="467"/>
      <c r="BQ4348" s="467"/>
      <c r="BR4348" s="467"/>
      <c r="BS4348" s="467"/>
      <c r="BT4348" s="467"/>
      <c r="BU4348" s="467"/>
      <c r="BV4348" s="467"/>
      <c r="BW4348" s="467"/>
      <c r="BX4348" s="769"/>
      <c r="BY4348" s="769"/>
      <c r="BZ4348" s="769"/>
      <c r="CA4348" s="769"/>
      <c r="CB4348" s="769"/>
      <c r="CC4348" s="769"/>
      <c r="CD4348" s="769"/>
      <c r="CE4348" s="769"/>
      <c r="CF4348" s="769"/>
      <c r="CG4348" s="73"/>
      <c r="CH4348" s="438"/>
      <c r="CI4348" s="416"/>
      <c r="CJ4348" s="73"/>
      <c r="CK4348" s="650"/>
      <c r="CL4348" s="499"/>
      <c r="CM4348" s="650"/>
      <c r="CR4348" s="416"/>
      <c r="CS4348" s="650"/>
      <c r="CU4348" s="73"/>
      <c r="CV4348" s="73"/>
      <c r="CW4348" s="73"/>
      <c r="CX4348" s="73"/>
      <c r="DA4348" s="650"/>
    </row>
    <row r="4349" spans="1:105" s="45" customFormat="1" x14ac:dyDescent="0.2">
      <c r="A4349" s="650"/>
      <c r="B4349" s="438"/>
      <c r="D4349" s="73"/>
      <c r="E4349" s="650"/>
      <c r="F4349" s="650"/>
      <c r="G4349" s="73"/>
      <c r="I4349" s="111"/>
      <c r="J4349" s="81"/>
      <c r="K4349" s="81"/>
      <c r="L4349" s="499"/>
      <c r="M4349" s="73"/>
      <c r="N4349" s="499"/>
      <c r="O4349" s="73"/>
      <c r="P4349" s="73"/>
      <c r="Q4349" s="73"/>
      <c r="R4349" s="176"/>
      <c r="S4349" s="176"/>
      <c r="T4349" s="176"/>
      <c r="U4349" s="400"/>
      <c r="V4349" s="400"/>
      <c r="W4349" s="732"/>
      <c r="X4349" s="167"/>
      <c r="Y4349" s="509"/>
      <c r="Z4349" s="466"/>
      <c r="AA4349" s="466"/>
      <c r="AB4349" s="466"/>
      <c r="AC4349" s="466"/>
      <c r="AD4349" s="466"/>
      <c r="AE4349" s="466"/>
      <c r="AF4349" s="466"/>
      <c r="AG4349" s="466"/>
      <c r="AH4349" s="466"/>
      <c r="AI4349" s="466"/>
      <c r="AJ4349" s="466"/>
      <c r="AK4349" s="466"/>
      <c r="AL4349" s="466"/>
      <c r="AM4349" s="466"/>
      <c r="AN4349" s="466"/>
      <c r="AO4349" s="466"/>
      <c r="AP4349" s="466"/>
      <c r="AQ4349" s="466"/>
      <c r="AR4349" s="466"/>
      <c r="AS4349" s="466"/>
      <c r="AT4349" s="466"/>
      <c r="AU4349" s="466"/>
      <c r="AV4349" s="466"/>
      <c r="AW4349" s="466"/>
      <c r="AX4349" s="466"/>
      <c r="AY4349" s="466"/>
      <c r="AZ4349" s="466"/>
      <c r="BA4349" s="466"/>
      <c r="BB4349" s="466"/>
      <c r="BC4349" s="466"/>
      <c r="BD4349" s="466"/>
      <c r="BE4349" s="467"/>
      <c r="BF4349" s="467"/>
      <c r="BG4349" s="466"/>
      <c r="BH4349" s="466"/>
      <c r="BI4349" s="467"/>
      <c r="BJ4349" s="467"/>
      <c r="BK4349" s="467"/>
      <c r="BL4349" s="467"/>
      <c r="BM4349" s="467"/>
      <c r="BN4349" s="467"/>
      <c r="BO4349" s="467"/>
      <c r="BP4349" s="467"/>
      <c r="BQ4349" s="467"/>
      <c r="BR4349" s="467"/>
      <c r="BS4349" s="467"/>
      <c r="BT4349" s="467"/>
      <c r="BU4349" s="467"/>
      <c r="BV4349" s="467"/>
      <c r="BW4349" s="467"/>
      <c r="BX4349" s="769"/>
      <c r="BY4349" s="769"/>
      <c r="BZ4349" s="769"/>
      <c r="CA4349" s="769"/>
      <c r="CB4349" s="769"/>
      <c r="CC4349" s="769"/>
      <c r="CD4349" s="769"/>
      <c r="CE4349" s="769"/>
      <c r="CF4349" s="769"/>
      <c r="CG4349" s="73"/>
      <c r="CH4349" s="438"/>
      <c r="CI4349" s="416"/>
      <c r="CJ4349" s="73"/>
      <c r="CK4349" s="650"/>
      <c r="CL4349" s="499"/>
      <c r="CM4349" s="650"/>
      <c r="CR4349" s="416"/>
      <c r="CS4349" s="650"/>
      <c r="CU4349" s="73"/>
      <c r="CV4349" s="73"/>
      <c r="CW4349" s="73"/>
      <c r="CX4349" s="73"/>
      <c r="DA4349" s="650"/>
    </row>
    <row r="4350" spans="1:105" s="45" customFormat="1" x14ac:dyDescent="0.2">
      <c r="A4350" s="650"/>
      <c r="B4350" s="438"/>
      <c r="D4350" s="73"/>
      <c r="E4350" s="650"/>
      <c r="F4350" s="650"/>
      <c r="G4350" s="73"/>
      <c r="I4350" s="111"/>
      <c r="J4350" s="81"/>
      <c r="K4350" s="81"/>
      <c r="L4350" s="499"/>
      <c r="M4350" s="73"/>
      <c r="N4350" s="499"/>
      <c r="O4350" s="73"/>
      <c r="P4350" s="73"/>
      <c r="Q4350" s="73"/>
      <c r="R4350" s="176"/>
      <c r="S4350" s="176"/>
      <c r="T4350" s="176"/>
      <c r="U4350" s="400"/>
      <c r="V4350" s="400"/>
      <c r="W4350" s="732"/>
      <c r="X4350" s="167"/>
      <c r="Y4350" s="509"/>
      <c r="Z4350" s="466"/>
      <c r="AA4350" s="466"/>
      <c r="AB4350" s="466"/>
      <c r="AC4350" s="466"/>
      <c r="AD4350" s="466"/>
      <c r="AE4350" s="466"/>
      <c r="AF4350" s="466"/>
      <c r="AG4350" s="466"/>
      <c r="AH4350" s="466"/>
      <c r="AI4350" s="466"/>
      <c r="AJ4350" s="466"/>
      <c r="AK4350" s="466"/>
      <c r="AL4350" s="466"/>
      <c r="AM4350" s="466"/>
      <c r="AN4350" s="466"/>
      <c r="AO4350" s="466"/>
      <c r="AP4350" s="466"/>
      <c r="AQ4350" s="466"/>
      <c r="AR4350" s="466"/>
      <c r="AS4350" s="466"/>
      <c r="AT4350" s="466"/>
      <c r="AU4350" s="466"/>
      <c r="AV4350" s="466"/>
      <c r="AW4350" s="466"/>
      <c r="AX4350" s="466"/>
      <c r="AY4350" s="466"/>
      <c r="AZ4350" s="466"/>
      <c r="BA4350" s="466"/>
      <c r="BB4350" s="466"/>
      <c r="BC4350" s="466"/>
      <c r="BD4350" s="466"/>
      <c r="BE4350" s="467"/>
      <c r="BF4350" s="467"/>
      <c r="BG4350" s="466"/>
      <c r="BH4350" s="466"/>
      <c r="BI4350" s="467"/>
      <c r="BJ4350" s="467"/>
      <c r="BK4350" s="467"/>
      <c r="BL4350" s="467"/>
      <c r="BM4350" s="467"/>
      <c r="BN4350" s="467"/>
      <c r="BO4350" s="467"/>
      <c r="BP4350" s="467"/>
      <c r="BQ4350" s="467"/>
      <c r="BR4350" s="467"/>
      <c r="BS4350" s="467"/>
      <c r="BT4350" s="467"/>
      <c r="BU4350" s="467"/>
      <c r="BV4350" s="467"/>
      <c r="BW4350" s="467"/>
      <c r="BX4350" s="769"/>
      <c r="BY4350" s="769"/>
      <c r="BZ4350" s="769"/>
      <c r="CA4350" s="769"/>
      <c r="CB4350" s="769"/>
      <c r="CC4350" s="769"/>
      <c r="CD4350" s="769"/>
      <c r="CE4350" s="769"/>
      <c r="CF4350" s="769"/>
      <c r="CG4350" s="73"/>
      <c r="CH4350" s="438"/>
      <c r="CI4350" s="416"/>
      <c r="CJ4350" s="73"/>
      <c r="CK4350" s="650"/>
      <c r="CL4350" s="499"/>
      <c r="CM4350" s="650"/>
      <c r="CR4350" s="416"/>
      <c r="CS4350" s="650"/>
      <c r="CU4350" s="73"/>
      <c r="CV4350" s="73"/>
      <c r="CW4350" s="73"/>
      <c r="CX4350" s="73"/>
      <c r="DA4350" s="650"/>
    </row>
    <row r="4351" spans="1:105" s="45" customFormat="1" x14ac:dyDescent="0.2">
      <c r="A4351" s="650"/>
      <c r="B4351" s="438"/>
      <c r="D4351" s="73"/>
      <c r="E4351" s="650"/>
      <c r="F4351" s="650"/>
      <c r="G4351" s="73"/>
      <c r="I4351" s="111"/>
      <c r="J4351" s="81"/>
      <c r="K4351" s="81"/>
      <c r="L4351" s="499"/>
      <c r="M4351" s="73"/>
      <c r="N4351" s="499"/>
      <c r="O4351" s="73"/>
      <c r="P4351" s="73"/>
      <c r="Q4351" s="73"/>
      <c r="R4351" s="176"/>
      <c r="S4351" s="176"/>
      <c r="T4351" s="176"/>
      <c r="U4351" s="400"/>
      <c r="V4351" s="400"/>
      <c r="W4351" s="732"/>
      <c r="X4351" s="167"/>
      <c r="Y4351" s="509"/>
      <c r="Z4351" s="466"/>
      <c r="AA4351" s="466"/>
      <c r="AB4351" s="466"/>
      <c r="AC4351" s="466"/>
      <c r="AD4351" s="466"/>
      <c r="AE4351" s="466"/>
      <c r="AF4351" s="466"/>
      <c r="AG4351" s="466"/>
      <c r="AH4351" s="466"/>
      <c r="AI4351" s="466"/>
      <c r="AJ4351" s="466"/>
      <c r="AK4351" s="466"/>
      <c r="AL4351" s="466"/>
      <c r="AM4351" s="466"/>
      <c r="AN4351" s="466"/>
      <c r="AO4351" s="466"/>
      <c r="AP4351" s="466"/>
      <c r="AQ4351" s="466"/>
      <c r="AR4351" s="466"/>
      <c r="AS4351" s="466"/>
      <c r="AT4351" s="466"/>
      <c r="AU4351" s="466"/>
      <c r="AV4351" s="466"/>
      <c r="AW4351" s="466"/>
      <c r="AX4351" s="466"/>
      <c r="AY4351" s="466"/>
      <c r="AZ4351" s="466"/>
      <c r="BA4351" s="466"/>
      <c r="BB4351" s="466"/>
      <c r="BC4351" s="466"/>
      <c r="BD4351" s="466"/>
      <c r="BE4351" s="467"/>
      <c r="BF4351" s="467"/>
      <c r="BG4351" s="466"/>
      <c r="BH4351" s="466"/>
      <c r="BI4351" s="467"/>
      <c r="BJ4351" s="467"/>
      <c r="BK4351" s="467"/>
      <c r="BL4351" s="467"/>
      <c r="BM4351" s="467"/>
      <c r="BN4351" s="467"/>
      <c r="BO4351" s="467"/>
      <c r="BP4351" s="467"/>
      <c r="BQ4351" s="467"/>
      <c r="BR4351" s="467"/>
      <c r="BS4351" s="467"/>
      <c r="BT4351" s="467"/>
      <c r="BU4351" s="467"/>
      <c r="BV4351" s="467"/>
      <c r="BW4351" s="467"/>
      <c r="BX4351" s="769"/>
      <c r="BY4351" s="769"/>
      <c r="BZ4351" s="769"/>
      <c r="CA4351" s="769"/>
      <c r="CB4351" s="769"/>
      <c r="CC4351" s="769"/>
      <c r="CD4351" s="769"/>
      <c r="CE4351" s="769"/>
      <c r="CF4351" s="769"/>
      <c r="CG4351" s="73"/>
      <c r="CH4351" s="438"/>
      <c r="CI4351" s="416"/>
      <c r="CJ4351" s="73"/>
      <c r="CK4351" s="650"/>
      <c r="CL4351" s="499"/>
      <c r="CM4351" s="650"/>
      <c r="CR4351" s="416"/>
      <c r="CS4351" s="650"/>
      <c r="CU4351" s="73"/>
      <c r="CV4351" s="73"/>
      <c r="CW4351" s="73"/>
      <c r="CX4351" s="73"/>
      <c r="DA4351" s="650"/>
    </row>
    <row r="4352" spans="1:105" s="45" customFormat="1" x14ac:dyDescent="0.2">
      <c r="A4352" s="650"/>
      <c r="B4352" s="438"/>
      <c r="D4352" s="73"/>
      <c r="E4352" s="650"/>
      <c r="F4352" s="650"/>
      <c r="G4352" s="73"/>
      <c r="I4352" s="111"/>
      <c r="J4352" s="81"/>
      <c r="K4352" s="81"/>
      <c r="L4352" s="499"/>
      <c r="M4352" s="73"/>
      <c r="N4352" s="499"/>
      <c r="O4352" s="73"/>
      <c r="P4352" s="73"/>
      <c r="Q4352" s="73"/>
      <c r="R4352" s="176"/>
      <c r="S4352" s="176"/>
      <c r="T4352" s="176"/>
      <c r="U4352" s="400"/>
      <c r="V4352" s="400"/>
      <c r="W4352" s="732"/>
      <c r="X4352" s="167"/>
      <c r="Y4352" s="509"/>
      <c r="Z4352" s="466"/>
      <c r="AA4352" s="466"/>
      <c r="AB4352" s="466"/>
      <c r="AC4352" s="466"/>
      <c r="AD4352" s="466"/>
      <c r="AE4352" s="466"/>
      <c r="AF4352" s="466"/>
      <c r="AG4352" s="466"/>
      <c r="AH4352" s="466"/>
      <c r="AI4352" s="466"/>
      <c r="AJ4352" s="466"/>
      <c r="AK4352" s="466"/>
      <c r="AL4352" s="466"/>
      <c r="AM4352" s="466"/>
      <c r="AN4352" s="466"/>
      <c r="AO4352" s="466"/>
      <c r="AP4352" s="466"/>
      <c r="AQ4352" s="466"/>
      <c r="AR4352" s="466"/>
      <c r="AS4352" s="466"/>
      <c r="AT4352" s="466"/>
      <c r="AU4352" s="466"/>
      <c r="AV4352" s="466"/>
      <c r="AW4352" s="466"/>
      <c r="AX4352" s="466"/>
      <c r="AY4352" s="466"/>
      <c r="AZ4352" s="466"/>
      <c r="BA4352" s="466"/>
      <c r="BB4352" s="466"/>
      <c r="BC4352" s="466"/>
      <c r="BD4352" s="466"/>
      <c r="BE4352" s="467"/>
      <c r="BF4352" s="467"/>
      <c r="BG4352" s="466"/>
      <c r="BH4352" s="466"/>
      <c r="BI4352" s="467"/>
      <c r="BJ4352" s="467"/>
      <c r="BK4352" s="467"/>
      <c r="BL4352" s="467"/>
      <c r="BM4352" s="467"/>
      <c r="BN4352" s="467"/>
      <c r="BO4352" s="467"/>
      <c r="BP4352" s="467"/>
      <c r="BQ4352" s="467"/>
      <c r="BR4352" s="467"/>
      <c r="BS4352" s="467"/>
      <c r="BT4352" s="467"/>
      <c r="BU4352" s="467"/>
      <c r="BV4352" s="467"/>
      <c r="BW4352" s="467"/>
      <c r="BX4352" s="769"/>
      <c r="BY4352" s="769"/>
      <c r="BZ4352" s="769"/>
      <c r="CA4352" s="769"/>
      <c r="CB4352" s="769"/>
      <c r="CC4352" s="769"/>
      <c r="CD4352" s="769"/>
      <c r="CE4352" s="769"/>
      <c r="CF4352" s="769"/>
      <c r="CG4352" s="73"/>
      <c r="CH4352" s="438"/>
      <c r="CI4352" s="416"/>
      <c r="CJ4352" s="73"/>
      <c r="CK4352" s="650"/>
      <c r="CL4352" s="499"/>
      <c r="CM4352" s="650"/>
      <c r="CR4352" s="416"/>
      <c r="CS4352" s="650"/>
      <c r="CU4352" s="73"/>
      <c r="CV4352" s="73"/>
      <c r="CW4352" s="73"/>
      <c r="CX4352" s="73"/>
      <c r="DA4352" s="650"/>
    </row>
    <row r="4353" spans="1:105" s="45" customFormat="1" x14ac:dyDescent="0.2">
      <c r="A4353" s="650"/>
      <c r="B4353" s="438"/>
      <c r="D4353" s="73"/>
      <c r="E4353" s="650"/>
      <c r="F4353" s="650"/>
      <c r="G4353" s="73"/>
      <c r="I4353" s="111"/>
      <c r="J4353" s="81"/>
      <c r="K4353" s="81"/>
      <c r="L4353" s="499"/>
      <c r="M4353" s="73"/>
      <c r="N4353" s="499"/>
      <c r="O4353" s="73"/>
      <c r="P4353" s="73"/>
      <c r="Q4353" s="73"/>
      <c r="R4353" s="176"/>
      <c r="S4353" s="176"/>
      <c r="T4353" s="176"/>
      <c r="U4353" s="400"/>
      <c r="V4353" s="400"/>
      <c r="W4353" s="732"/>
      <c r="X4353" s="167"/>
      <c r="Y4353" s="509"/>
      <c r="Z4353" s="466"/>
      <c r="AA4353" s="466"/>
      <c r="AB4353" s="466"/>
      <c r="AC4353" s="466"/>
      <c r="AD4353" s="466"/>
      <c r="AE4353" s="466"/>
      <c r="AF4353" s="466"/>
      <c r="AG4353" s="466"/>
      <c r="AH4353" s="466"/>
      <c r="AI4353" s="466"/>
      <c r="AJ4353" s="466"/>
      <c r="AK4353" s="466"/>
      <c r="AL4353" s="466"/>
      <c r="AM4353" s="466"/>
      <c r="AN4353" s="466"/>
      <c r="AO4353" s="466"/>
      <c r="AP4353" s="466"/>
      <c r="AQ4353" s="466"/>
      <c r="AR4353" s="466"/>
      <c r="AS4353" s="466"/>
      <c r="AT4353" s="466"/>
      <c r="AU4353" s="466"/>
      <c r="AV4353" s="466"/>
      <c r="AW4353" s="466"/>
      <c r="AX4353" s="466"/>
      <c r="AY4353" s="466"/>
      <c r="AZ4353" s="466"/>
      <c r="BA4353" s="466"/>
      <c r="BB4353" s="466"/>
      <c r="BC4353" s="466"/>
      <c r="BD4353" s="466"/>
      <c r="BE4353" s="467"/>
      <c r="BF4353" s="467"/>
      <c r="BG4353" s="466"/>
      <c r="BH4353" s="466"/>
      <c r="BI4353" s="467"/>
      <c r="BJ4353" s="467"/>
      <c r="BK4353" s="467"/>
      <c r="BL4353" s="467"/>
      <c r="BM4353" s="467"/>
      <c r="BN4353" s="467"/>
      <c r="BO4353" s="467"/>
      <c r="BP4353" s="467"/>
      <c r="BQ4353" s="467"/>
      <c r="BR4353" s="467"/>
      <c r="BS4353" s="467"/>
      <c r="BT4353" s="467"/>
      <c r="BU4353" s="467"/>
      <c r="BV4353" s="467"/>
      <c r="BW4353" s="467"/>
      <c r="BX4353" s="769"/>
      <c r="BY4353" s="769"/>
      <c r="BZ4353" s="769"/>
      <c r="CA4353" s="769"/>
      <c r="CB4353" s="769"/>
      <c r="CC4353" s="769"/>
      <c r="CD4353" s="769"/>
      <c r="CE4353" s="769"/>
      <c r="CF4353" s="769"/>
      <c r="CG4353" s="73"/>
      <c r="CH4353" s="438"/>
      <c r="CI4353" s="416"/>
      <c r="CJ4353" s="73"/>
      <c r="CK4353" s="650"/>
      <c r="CL4353" s="499"/>
      <c r="CM4353" s="650"/>
      <c r="CR4353" s="416"/>
      <c r="CS4353" s="650"/>
      <c r="CU4353" s="73"/>
      <c r="CV4353" s="73"/>
      <c r="CW4353" s="73"/>
      <c r="CX4353" s="73"/>
      <c r="DA4353" s="650"/>
    </row>
    <row r="4354" spans="1:105" s="45" customFormat="1" x14ac:dyDescent="0.2">
      <c r="A4354" s="650"/>
      <c r="B4354" s="438"/>
      <c r="D4354" s="73"/>
      <c r="E4354" s="650"/>
      <c r="F4354" s="650"/>
      <c r="G4354" s="73"/>
      <c r="I4354" s="111"/>
      <c r="J4354" s="81"/>
      <c r="K4354" s="81"/>
      <c r="L4354" s="499"/>
      <c r="M4354" s="73"/>
      <c r="N4354" s="499"/>
      <c r="O4354" s="73"/>
      <c r="P4354" s="73"/>
      <c r="Q4354" s="73"/>
      <c r="R4354" s="176"/>
      <c r="S4354" s="176"/>
      <c r="T4354" s="176"/>
      <c r="U4354" s="400"/>
      <c r="V4354" s="400"/>
      <c r="W4354" s="732"/>
      <c r="X4354" s="167"/>
      <c r="Y4354" s="509"/>
      <c r="Z4354" s="466"/>
      <c r="AA4354" s="466"/>
      <c r="AB4354" s="466"/>
      <c r="AC4354" s="466"/>
      <c r="AD4354" s="466"/>
      <c r="AE4354" s="466"/>
      <c r="AF4354" s="466"/>
      <c r="AG4354" s="466"/>
      <c r="AH4354" s="466"/>
      <c r="AI4354" s="466"/>
      <c r="AJ4354" s="466"/>
      <c r="AK4354" s="466"/>
      <c r="AL4354" s="466"/>
      <c r="AM4354" s="466"/>
      <c r="AN4354" s="466"/>
      <c r="AO4354" s="466"/>
      <c r="AP4354" s="466"/>
      <c r="AQ4354" s="466"/>
      <c r="AR4354" s="466"/>
      <c r="AS4354" s="466"/>
      <c r="AT4354" s="466"/>
      <c r="AU4354" s="466"/>
      <c r="AV4354" s="466"/>
      <c r="AW4354" s="466"/>
      <c r="AX4354" s="466"/>
      <c r="AY4354" s="466"/>
      <c r="AZ4354" s="466"/>
      <c r="BA4354" s="466"/>
      <c r="BB4354" s="466"/>
      <c r="BC4354" s="466"/>
      <c r="BD4354" s="466"/>
      <c r="BE4354" s="467"/>
      <c r="BF4354" s="467"/>
      <c r="BG4354" s="466"/>
      <c r="BH4354" s="466"/>
      <c r="BI4354" s="467"/>
      <c r="BJ4354" s="467"/>
      <c r="BK4354" s="467"/>
      <c r="BL4354" s="467"/>
      <c r="BM4354" s="467"/>
      <c r="BN4354" s="467"/>
      <c r="BO4354" s="467"/>
      <c r="BP4354" s="467"/>
      <c r="BQ4354" s="467"/>
      <c r="BR4354" s="467"/>
      <c r="BS4354" s="467"/>
      <c r="BT4354" s="467"/>
      <c r="BU4354" s="467"/>
      <c r="BV4354" s="467"/>
      <c r="BW4354" s="467"/>
      <c r="BX4354" s="769"/>
      <c r="BY4354" s="769"/>
      <c r="BZ4354" s="769"/>
      <c r="CA4354" s="769"/>
      <c r="CB4354" s="769"/>
      <c r="CC4354" s="769"/>
      <c r="CD4354" s="769"/>
      <c r="CE4354" s="769"/>
      <c r="CF4354" s="769"/>
      <c r="CG4354" s="73"/>
      <c r="CH4354" s="438"/>
      <c r="CI4354" s="416"/>
      <c r="CJ4354" s="73"/>
      <c r="CK4354" s="650"/>
      <c r="CL4354" s="499"/>
      <c r="CM4354" s="650"/>
      <c r="CR4354" s="416"/>
      <c r="CS4354" s="650"/>
      <c r="CU4354" s="73"/>
      <c r="CV4354" s="73"/>
      <c r="CW4354" s="73"/>
      <c r="CX4354" s="73"/>
      <c r="DA4354" s="650"/>
    </row>
    <row r="4355" spans="1:105" s="45" customFormat="1" x14ac:dyDescent="0.2">
      <c r="A4355" s="650"/>
      <c r="B4355" s="438"/>
      <c r="D4355" s="73"/>
      <c r="E4355" s="650"/>
      <c r="F4355" s="650"/>
      <c r="G4355" s="73"/>
      <c r="I4355" s="111"/>
      <c r="J4355" s="81"/>
      <c r="K4355" s="81"/>
      <c r="L4355" s="499"/>
      <c r="M4355" s="73"/>
      <c r="N4355" s="499"/>
      <c r="O4355" s="73"/>
      <c r="P4355" s="73"/>
      <c r="Q4355" s="73"/>
      <c r="R4355" s="176"/>
      <c r="S4355" s="176"/>
      <c r="T4355" s="176"/>
      <c r="U4355" s="400"/>
      <c r="V4355" s="400"/>
      <c r="W4355" s="732"/>
      <c r="X4355" s="167"/>
      <c r="Y4355" s="509"/>
      <c r="Z4355" s="466"/>
      <c r="AA4355" s="466"/>
      <c r="AB4355" s="466"/>
      <c r="AC4355" s="466"/>
      <c r="AD4355" s="466"/>
      <c r="AE4355" s="466"/>
      <c r="AF4355" s="466"/>
      <c r="AG4355" s="466"/>
      <c r="AH4355" s="466"/>
      <c r="AI4355" s="466"/>
      <c r="AJ4355" s="466"/>
      <c r="AK4355" s="466"/>
      <c r="AL4355" s="466"/>
      <c r="AM4355" s="466"/>
      <c r="AN4355" s="466"/>
      <c r="AO4355" s="466"/>
      <c r="AP4355" s="466"/>
      <c r="AQ4355" s="466"/>
      <c r="AR4355" s="466"/>
      <c r="AS4355" s="466"/>
      <c r="AT4355" s="466"/>
      <c r="AU4355" s="466"/>
      <c r="AV4355" s="466"/>
      <c r="AW4355" s="466"/>
      <c r="AX4355" s="466"/>
      <c r="AY4355" s="466"/>
      <c r="AZ4355" s="466"/>
      <c r="BA4355" s="466"/>
      <c r="BB4355" s="466"/>
      <c r="BC4355" s="466"/>
      <c r="BD4355" s="466"/>
      <c r="BE4355" s="467"/>
      <c r="BF4355" s="467"/>
      <c r="BG4355" s="466"/>
      <c r="BH4355" s="466"/>
      <c r="BI4355" s="467"/>
      <c r="BJ4355" s="467"/>
      <c r="BK4355" s="467"/>
      <c r="BL4355" s="467"/>
      <c r="BM4355" s="467"/>
      <c r="BN4355" s="467"/>
      <c r="BO4355" s="467"/>
      <c r="BP4355" s="467"/>
      <c r="BQ4355" s="467"/>
      <c r="BR4355" s="467"/>
      <c r="BS4355" s="467"/>
      <c r="BT4355" s="467"/>
      <c r="BU4355" s="467"/>
      <c r="BV4355" s="467"/>
      <c r="BW4355" s="467"/>
      <c r="BX4355" s="769"/>
      <c r="BY4355" s="769"/>
      <c r="BZ4355" s="769"/>
      <c r="CA4355" s="769"/>
      <c r="CB4355" s="769"/>
      <c r="CC4355" s="769"/>
      <c r="CD4355" s="769"/>
      <c r="CE4355" s="769"/>
      <c r="CF4355" s="769"/>
      <c r="CG4355" s="73"/>
      <c r="CH4355" s="438"/>
      <c r="CI4355" s="416"/>
      <c r="CJ4355" s="73"/>
      <c r="CK4355" s="650"/>
      <c r="CL4355" s="499"/>
      <c r="CM4355" s="650"/>
      <c r="CR4355" s="416"/>
      <c r="CS4355" s="650"/>
      <c r="CU4355" s="73"/>
      <c r="CV4355" s="73"/>
      <c r="CW4355" s="73"/>
      <c r="CX4355" s="73"/>
      <c r="DA4355" s="650"/>
    </row>
    <row r="4356" spans="1:105" s="45" customFormat="1" x14ac:dyDescent="0.2">
      <c r="A4356" s="650"/>
      <c r="B4356" s="438"/>
      <c r="D4356" s="73"/>
      <c r="E4356" s="650"/>
      <c r="F4356" s="650"/>
      <c r="G4356" s="73"/>
      <c r="I4356" s="111"/>
      <c r="J4356" s="81"/>
      <c r="K4356" s="81"/>
      <c r="L4356" s="499"/>
      <c r="M4356" s="73"/>
      <c r="N4356" s="499"/>
      <c r="O4356" s="73"/>
      <c r="P4356" s="73"/>
      <c r="Q4356" s="73"/>
      <c r="R4356" s="176"/>
      <c r="S4356" s="176"/>
      <c r="T4356" s="176"/>
      <c r="U4356" s="400"/>
      <c r="V4356" s="400"/>
      <c r="W4356" s="732"/>
      <c r="X4356" s="167"/>
      <c r="Y4356" s="509"/>
      <c r="Z4356" s="466"/>
      <c r="AA4356" s="466"/>
      <c r="AB4356" s="466"/>
      <c r="AC4356" s="466"/>
      <c r="AD4356" s="466"/>
      <c r="AE4356" s="466"/>
      <c r="AF4356" s="466"/>
      <c r="AG4356" s="466"/>
      <c r="AH4356" s="466"/>
      <c r="AI4356" s="466"/>
      <c r="AJ4356" s="466"/>
      <c r="AK4356" s="466"/>
      <c r="AL4356" s="466"/>
      <c r="AM4356" s="466"/>
      <c r="AN4356" s="466"/>
      <c r="AO4356" s="466"/>
      <c r="AP4356" s="466"/>
      <c r="AQ4356" s="466"/>
      <c r="AR4356" s="466"/>
      <c r="AS4356" s="466"/>
      <c r="AT4356" s="466"/>
      <c r="AU4356" s="466"/>
      <c r="AV4356" s="466"/>
      <c r="AW4356" s="466"/>
      <c r="AX4356" s="466"/>
      <c r="AY4356" s="466"/>
      <c r="AZ4356" s="466"/>
      <c r="BA4356" s="466"/>
      <c r="BB4356" s="466"/>
      <c r="BC4356" s="466"/>
      <c r="BD4356" s="466"/>
      <c r="BE4356" s="467"/>
      <c r="BF4356" s="467"/>
      <c r="BG4356" s="466"/>
      <c r="BH4356" s="466"/>
      <c r="BI4356" s="467"/>
      <c r="BJ4356" s="467"/>
      <c r="BK4356" s="467"/>
      <c r="BL4356" s="467"/>
      <c r="BM4356" s="467"/>
      <c r="BN4356" s="467"/>
      <c r="BO4356" s="467"/>
      <c r="BP4356" s="467"/>
      <c r="BQ4356" s="467"/>
      <c r="BR4356" s="467"/>
      <c r="BS4356" s="467"/>
      <c r="BT4356" s="467"/>
      <c r="BU4356" s="467"/>
      <c r="BV4356" s="467"/>
      <c r="BW4356" s="467"/>
      <c r="BX4356" s="769"/>
      <c r="BY4356" s="769"/>
      <c r="BZ4356" s="769"/>
      <c r="CA4356" s="769"/>
      <c r="CB4356" s="769"/>
      <c r="CC4356" s="769"/>
      <c r="CD4356" s="769"/>
      <c r="CE4356" s="769"/>
      <c r="CF4356" s="769"/>
      <c r="CG4356" s="73"/>
      <c r="CH4356" s="438"/>
      <c r="CI4356" s="416"/>
      <c r="CJ4356" s="73"/>
      <c r="CK4356" s="650"/>
      <c r="CL4356" s="499"/>
      <c r="CM4356" s="650"/>
      <c r="CR4356" s="416"/>
      <c r="CS4356" s="650"/>
      <c r="CU4356" s="73"/>
      <c r="CV4356" s="73"/>
      <c r="CW4356" s="73"/>
      <c r="CX4356" s="73"/>
      <c r="DA4356" s="650"/>
    </row>
    <row r="4357" spans="1:105" s="45" customFormat="1" x14ac:dyDescent="0.2">
      <c r="A4357" s="650"/>
      <c r="B4357" s="438"/>
      <c r="D4357" s="73"/>
      <c r="E4357" s="650"/>
      <c r="F4357" s="650"/>
      <c r="G4357" s="73"/>
      <c r="I4357" s="111"/>
      <c r="J4357" s="81"/>
      <c r="K4357" s="81"/>
      <c r="L4357" s="499"/>
      <c r="M4357" s="73"/>
      <c r="N4357" s="499"/>
      <c r="O4357" s="73"/>
      <c r="P4357" s="73"/>
      <c r="Q4357" s="73"/>
      <c r="R4357" s="176"/>
      <c r="S4357" s="176"/>
      <c r="T4357" s="176"/>
      <c r="U4357" s="400"/>
      <c r="V4357" s="400"/>
      <c r="W4357" s="732"/>
      <c r="X4357" s="167"/>
      <c r="Y4357" s="509"/>
      <c r="Z4357" s="466"/>
      <c r="AA4357" s="466"/>
      <c r="AB4357" s="466"/>
      <c r="AC4357" s="466"/>
      <c r="AD4357" s="466"/>
      <c r="AE4357" s="466"/>
      <c r="AF4357" s="466"/>
      <c r="AG4357" s="466"/>
      <c r="AH4357" s="466"/>
      <c r="AI4357" s="466"/>
      <c r="AJ4357" s="466"/>
      <c r="AK4357" s="466"/>
      <c r="AL4357" s="466"/>
      <c r="AM4357" s="466"/>
      <c r="AN4357" s="466"/>
      <c r="AO4357" s="466"/>
      <c r="AP4357" s="466"/>
      <c r="AQ4357" s="466"/>
      <c r="AR4357" s="466"/>
      <c r="AS4357" s="466"/>
      <c r="AT4357" s="466"/>
      <c r="AU4357" s="466"/>
      <c r="AV4357" s="466"/>
      <c r="AW4357" s="466"/>
      <c r="AX4357" s="466"/>
      <c r="AY4357" s="466"/>
      <c r="AZ4357" s="466"/>
      <c r="BA4357" s="466"/>
      <c r="BB4357" s="466"/>
      <c r="BC4357" s="466"/>
      <c r="BD4357" s="466"/>
      <c r="BE4357" s="467"/>
      <c r="BF4357" s="467"/>
      <c r="BG4357" s="466"/>
      <c r="BH4357" s="466"/>
      <c r="BI4357" s="467"/>
      <c r="BJ4357" s="467"/>
      <c r="BK4357" s="467"/>
      <c r="BL4357" s="467"/>
      <c r="BM4357" s="467"/>
      <c r="BN4357" s="467"/>
      <c r="BO4357" s="467"/>
      <c r="BP4357" s="467"/>
      <c r="BQ4357" s="467"/>
      <c r="BR4357" s="467"/>
      <c r="BS4357" s="467"/>
      <c r="BT4357" s="467"/>
      <c r="BU4357" s="467"/>
      <c r="BV4357" s="467"/>
      <c r="BW4357" s="467"/>
      <c r="BX4357" s="769"/>
      <c r="BY4357" s="769"/>
      <c r="BZ4357" s="769"/>
      <c r="CA4357" s="769"/>
      <c r="CB4357" s="769"/>
      <c r="CC4357" s="769"/>
      <c r="CD4357" s="769"/>
      <c r="CE4357" s="769"/>
      <c r="CF4357" s="769"/>
      <c r="CG4357" s="73"/>
      <c r="CH4357" s="438"/>
      <c r="CI4357" s="416"/>
      <c r="CJ4357" s="73"/>
      <c r="CK4357" s="650"/>
      <c r="CL4357" s="499"/>
      <c r="CM4357" s="650"/>
      <c r="CR4357" s="416"/>
      <c r="CS4357" s="650"/>
      <c r="CU4357" s="73"/>
      <c r="CV4357" s="73"/>
      <c r="CW4357" s="73"/>
      <c r="CX4357" s="73"/>
      <c r="DA4357" s="650"/>
    </row>
    <row r="4358" spans="1:105" s="45" customFormat="1" x14ac:dyDescent="0.2">
      <c r="A4358" s="650"/>
      <c r="B4358" s="438"/>
      <c r="D4358" s="73"/>
      <c r="E4358" s="650"/>
      <c r="F4358" s="650"/>
      <c r="G4358" s="73"/>
      <c r="I4358" s="111"/>
      <c r="J4358" s="81"/>
      <c r="K4358" s="81"/>
      <c r="L4358" s="499"/>
      <c r="M4358" s="73"/>
      <c r="N4358" s="499"/>
      <c r="O4358" s="73"/>
      <c r="P4358" s="73"/>
      <c r="Q4358" s="73"/>
      <c r="R4358" s="176"/>
      <c r="S4358" s="176"/>
      <c r="T4358" s="176"/>
      <c r="U4358" s="400"/>
      <c r="V4358" s="400"/>
      <c r="W4358" s="732"/>
      <c r="X4358" s="167"/>
      <c r="Y4358" s="509"/>
      <c r="Z4358" s="466"/>
      <c r="AA4358" s="466"/>
      <c r="AB4358" s="466"/>
      <c r="AC4358" s="466"/>
      <c r="AD4358" s="466"/>
      <c r="AE4358" s="466"/>
      <c r="AF4358" s="466"/>
      <c r="AG4358" s="466"/>
      <c r="AH4358" s="466"/>
      <c r="AI4358" s="466"/>
      <c r="AJ4358" s="466"/>
      <c r="AK4358" s="466"/>
      <c r="AL4358" s="466"/>
      <c r="AM4358" s="466"/>
      <c r="AN4358" s="466"/>
      <c r="AO4358" s="466"/>
      <c r="AP4358" s="466"/>
      <c r="AQ4358" s="466"/>
      <c r="AR4358" s="466"/>
      <c r="AS4358" s="466"/>
      <c r="AT4358" s="466"/>
      <c r="AU4358" s="466"/>
      <c r="AV4358" s="466"/>
      <c r="AW4358" s="466"/>
      <c r="AX4358" s="466"/>
      <c r="AY4358" s="466"/>
      <c r="AZ4358" s="466"/>
      <c r="BA4358" s="466"/>
      <c r="BB4358" s="466"/>
      <c r="BC4358" s="466"/>
      <c r="BD4358" s="466"/>
      <c r="BE4358" s="467"/>
      <c r="BF4358" s="467"/>
      <c r="BG4358" s="466"/>
      <c r="BH4358" s="466"/>
      <c r="BI4358" s="467"/>
      <c r="BJ4358" s="467"/>
      <c r="BK4358" s="467"/>
      <c r="BL4358" s="467"/>
      <c r="BM4358" s="467"/>
      <c r="BN4358" s="467"/>
      <c r="BO4358" s="467"/>
      <c r="BP4358" s="467"/>
      <c r="BQ4358" s="467"/>
      <c r="BR4358" s="467"/>
      <c r="BS4358" s="467"/>
      <c r="BT4358" s="467"/>
      <c r="BU4358" s="467"/>
      <c r="BV4358" s="467"/>
      <c r="BW4358" s="467"/>
      <c r="BX4358" s="769"/>
      <c r="BY4358" s="769"/>
      <c r="BZ4358" s="769"/>
      <c r="CA4358" s="769"/>
      <c r="CB4358" s="769"/>
      <c r="CC4358" s="769"/>
      <c r="CD4358" s="769"/>
      <c r="CE4358" s="769"/>
      <c r="CF4358" s="769"/>
      <c r="CG4358" s="73"/>
      <c r="CH4358" s="438"/>
      <c r="CI4358" s="416"/>
      <c r="CJ4358" s="73"/>
      <c r="CK4358" s="650"/>
      <c r="CL4358" s="499"/>
      <c r="CM4358" s="650"/>
      <c r="CR4358" s="416"/>
      <c r="CS4358" s="650"/>
      <c r="CU4358" s="73"/>
      <c r="CV4358" s="73"/>
      <c r="CW4358" s="73"/>
      <c r="CX4358" s="73"/>
      <c r="DA4358" s="650"/>
    </row>
    <row r="4359" spans="1:105" s="45" customFormat="1" x14ac:dyDescent="0.2">
      <c r="A4359" s="650"/>
      <c r="B4359" s="438"/>
      <c r="D4359" s="73"/>
      <c r="E4359" s="650"/>
      <c r="F4359" s="650"/>
      <c r="G4359" s="73"/>
      <c r="I4359" s="111"/>
      <c r="J4359" s="81"/>
      <c r="K4359" s="81"/>
      <c r="L4359" s="499"/>
      <c r="M4359" s="73"/>
      <c r="N4359" s="499"/>
      <c r="O4359" s="73"/>
      <c r="P4359" s="73"/>
      <c r="Q4359" s="73"/>
      <c r="R4359" s="176"/>
      <c r="S4359" s="176"/>
      <c r="T4359" s="176"/>
      <c r="U4359" s="400"/>
      <c r="V4359" s="400"/>
      <c r="W4359" s="732"/>
      <c r="X4359" s="167"/>
      <c r="Y4359" s="509"/>
      <c r="Z4359" s="466"/>
      <c r="AA4359" s="466"/>
      <c r="AB4359" s="466"/>
      <c r="AC4359" s="466"/>
      <c r="AD4359" s="466"/>
      <c r="AE4359" s="466"/>
      <c r="AF4359" s="466"/>
      <c r="AG4359" s="466"/>
      <c r="AH4359" s="466"/>
      <c r="AI4359" s="466"/>
      <c r="AJ4359" s="466"/>
      <c r="AK4359" s="466"/>
      <c r="AL4359" s="466"/>
      <c r="AM4359" s="466"/>
      <c r="AN4359" s="466"/>
      <c r="AO4359" s="466"/>
      <c r="AP4359" s="466"/>
      <c r="AQ4359" s="466"/>
      <c r="AR4359" s="466"/>
      <c r="AS4359" s="466"/>
      <c r="AT4359" s="466"/>
      <c r="AU4359" s="466"/>
      <c r="AV4359" s="466"/>
      <c r="AW4359" s="466"/>
      <c r="AX4359" s="466"/>
      <c r="AY4359" s="466"/>
      <c r="AZ4359" s="466"/>
      <c r="BA4359" s="466"/>
      <c r="BB4359" s="466"/>
      <c r="BC4359" s="466"/>
      <c r="BD4359" s="466"/>
      <c r="BE4359" s="467"/>
      <c r="BF4359" s="467"/>
      <c r="BG4359" s="466"/>
      <c r="BH4359" s="466"/>
      <c r="BI4359" s="467"/>
      <c r="BJ4359" s="467"/>
      <c r="BK4359" s="467"/>
      <c r="BL4359" s="467"/>
      <c r="BM4359" s="467"/>
      <c r="BN4359" s="467"/>
      <c r="BO4359" s="467"/>
      <c r="BP4359" s="467"/>
      <c r="BQ4359" s="467"/>
      <c r="BR4359" s="467"/>
      <c r="BS4359" s="467"/>
      <c r="BT4359" s="467"/>
      <c r="BU4359" s="467"/>
      <c r="BV4359" s="467"/>
      <c r="BW4359" s="467"/>
      <c r="BX4359" s="769"/>
      <c r="BY4359" s="769"/>
      <c r="BZ4359" s="769"/>
      <c r="CA4359" s="769"/>
      <c r="CB4359" s="769"/>
      <c r="CC4359" s="769"/>
      <c r="CD4359" s="769"/>
      <c r="CE4359" s="769"/>
      <c r="CF4359" s="769"/>
      <c r="CG4359" s="73"/>
      <c r="CH4359" s="438"/>
      <c r="CI4359" s="416"/>
      <c r="CJ4359" s="73"/>
      <c r="CK4359" s="650"/>
      <c r="CL4359" s="499"/>
      <c r="CM4359" s="650"/>
      <c r="CR4359" s="416"/>
      <c r="CS4359" s="650"/>
      <c r="CU4359" s="73"/>
      <c r="CV4359" s="73"/>
      <c r="CW4359" s="73"/>
      <c r="CX4359" s="73"/>
      <c r="DA4359" s="650"/>
    </row>
    <row r="4360" spans="1:105" s="45" customFormat="1" x14ac:dyDescent="0.2">
      <c r="A4360" s="650"/>
      <c r="B4360" s="438"/>
      <c r="D4360" s="73"/>
      <c r="E4360" s="650"/>
      <c r="F4360" s="650"/>
      <c r="G4360" s="73"/>
      <c r="I4360" s="111"/>
      <c r="J4360" s="81"/>
      <c r="K4360" s="81"/>
      <c r="L4360" s="499"/>
      <c r="M4360" s="73"/>
      <c r="N4360" s="499"/>
      <c r="O4360" s="73"/>
      <c r="P4360" s="73"/>
      <c r="Q4360" s="73"/>
      <c r="R4360" s="176"/>
      <c r="S4360" s="176"/>
      <c r="T4360" s="176"/>
      <c r="U4360" s="400"/>
      <c r="V4360" s="400"/>
      <c r="W4360" s="732"/>
      <c r="X4360" s="167"/>
      <c r="Y4360" s="509"/>
      <c r="Z4360" s="466"/>
      <c r="AA4360" s="466"/>
      <c r="AB4360" s="466"/>
      <c r="AC4360" s="466"/>
      <c r="AD4360" s="466"/>
      <c r="AE4360" s="466"/>
      <c r="AF4360" s="466"/>
      <c r="AG4360" s="466"/>
      <c r="AH4360" s="466"/>
      <c r="AI4360" s="466"/>
      <c r="AJ4360" s="466"/>
      <c r="AK4360" s="466"/>
      <c r="AL4360" s="466"/>
      <c r="AM4360" s="466"/>
      <c r="AN4360" s="466"/>
      <c r="AO4360" s="466"/>
      <c r="AP4360" s="466"/>
      <c r="AQ4360" s="466"/>
      <c r="AR4360" s="466"/>
      <c r="AS4360" s="466"/>
      <c r="AT4360" s="466"/>
      <c r="AU4360" s="466"/>
      <c r="AV4360" s="466"/>
      <c r="AW4360" s="466"/>
      <c r="AX4360" s="466"/>
      <c r="AY4360" s="466"/>
      <c r="AZ4360" s="466"/>
      <c r="BA4360" s="466"/>
      <c r="BB4360" s="466"/>
      <c r="BC4360" s="466"/>
      <c r="BD4360" s="466"/>
      <c r="BE4360" s="467"/>
      <c r="BF4360" s="467"/>
      <c r="BG4360" s="466"/>
      <c r="BH4360" s="466"/>
      <c r="BI4360" s="467"/>
      <c r="BJ4360" s="467"/>
      <c r="BK4360" s="467"/>
      <c r="BL4360" s="467"/>
      <c r="BM4360" s="467"/>
      <c r="BN4360" s="467"/>
      <c r="BO4360" s="467"/>
      <c r="BP4360" s="467"/>
      <c r="BQ4360" s="467"/>
      <c r="BR4360" s="467"/>
      <c r="BS4360" s="467"/>
      <c r="BT4360" s="467"/>
      <c r="BU4360" s="467"/>
      <c r="BV4360" s="467"/>
      <c r="BW4360" s="467"/>
      <c r="BX4360" s="769"/>
      <c r="BY4360" s="769"/>
      <c r="BZ4360" s="769"/>
      <c r="CA4360" s="769"/>
      <c r="CB4360" s="769"/>
      <c r="CC4360" s="769"/>
      <c r="CD4360" s="769"/>
      <c r="CE4360" s="769"/>
      <c r="CF4360" s="769"/>
      <c r="CG4360" s="73"/>
      <c r="CH4360" s="438"/>
      <c r="CI4360" s="416"/>
      <c r="CJ4360" s="73"/>
      <c r="CK4360" s="650"/>
      <c r="CL4360" s="499"/>
      <c r="CM4360" s="650"/>
      <c r="CR4360" s="416"/>
      <c r="CS4360" s="650"/>
      <c r="CU4360" s="73"/>
      <c r="CV4360" s="73"/>
      <c r="CW4360" s="73"/>
      <c r="CX4360" s="73"/>
      <c r="DA4360" s="650"/>
    </row>
    <row r="4361" spans="1:105" s="45" customFormat="1" x14ac:dyDescent="0.2">
      <c r="A4361" s="650"/>
      <c r="B4361" s="438"/>
      <c r="D4361" s="73"/>
      <c r="E4361" s="650"/>
      <c r="F4361" s="650"/>
      <c r="G4361" s="73"/>
      <c r="I4361" s="111"/>
      <c r="J4361" s="81"/>
      <c r="K4361" s="81"/>
      <c r="L4361" s="499"/>
      <c r="M4361" s="73"/>
      <c r="N4361" s="499"/>
      <c r="O4361" s="73"/>
      <c r="P4361" s="73"/>
      <c r="Q4361" s="73"/>
      <c r="R4361" s="176"/>
      <c r="S4361" s="176"/>
      <c r="T4361" s="176"/>
      <c r="U4361" s="400"/>
      <c r="V4361" s="400"/>
      <c r="W4361" s="732"/>
      <c r="X4361" s="167"/>
      <c r="Y4361" s="509"/>
      <c r="Z4361" s="466"/>
      <c r="AA4361" s="466"/>
      <c r="AB4361" s="466"/>
      <c r="AC4361" s="466"/>
      <c r="AD4361" s="466"/>
      <c r="AE4361" s="466"/>
      <c r="AF4361" s="466"/>
      <c r="AG4361" s="466"/>
      <c r="AH4361" s="466"/>
      <c r="AI4361" s="466"/>
      <c r="AJ4361" s="466"/>
      <c r="AK4361" s="466"/>
      <c r="AL4361" s="466"/>
      <c r="AM4361" s="466"/>
      <c r="AN4361" s="466"/>
      <c r="AO4361" s="466"/>
      <c r="AP4361" s="466"/>
      <c r="AQ4361" s="466"/>
      <c r="AR4361" s="466"/>
      <c r="AS4361" s="466"/>
      <c r="AT4361" s="466"/>
      <c r="AU4361" s="466"/>
      <c r="AV4361" s="466"/>
      <c r="AW4361" s="466"/>
      <c r="AX4361" s="466"/>
      <c r="AY4361" s="466"/>
      <c r="AZ4361" s="466"/>
      <c r="BA4361" s="466"/>
      <c r="BB4361" s="466"/>
      <c r="BC4361" s="466"/>
      <c r="BD4361" s="466"/>
      <c r="BE4361" s="467"/>
      <c r="BF4361" s="467"/>
      <c r="BG4361" s="466"/>
      <c r="BH4361" s="466"/>
      <c r="BI4361" s="467"/>
      <c r="BJ4361" s="467"/>
      <c r="BK4361" s="467"/>
      <c r="BL4361" s="467"/>
      <c r="BM4361" s="467"/>
      <c r="BN4361" s="467"/>
      <c r="BO4361" s="467"/>
      <c r="BP4361" s="467"/>
      <c r="BQ4361" s="467"/>
      <c r="BR4361" s="467"/>
      <c r="BS4361" s="467"/>
      <c r="BT4361" s="467"/>
      <c r="BU4361" s="467"/>
      <c r="BV4361" s="467"/>
      <c r="BW4361" s="467"/>
      <c r="BX4361" s="769"/>
      <c r="BY4361" s="769"/>
      <c r="BZ4361" s="769"/>
      <c r="CA4361" s="769"/>
      <c r="CB4361" s="769"/>
      <c r="CC4361" s="769"/>
      <c r="CD4361" s="769"/>
      <c r="CE4361" s="769"/>
      <c r="CF4361" s="769"/>
      <c r="CG4361" s="73"/>
      <c r="CH4361" s="438"/>
      <c r="CI4361" s="416"/>
      <c r="CJ4361" s="73"/>
      <c r="CK4361" s="650"/>
      <c r="CL4361" s="499"/>
      <c r="CM4361" s="650"/>
      <c r="CR4361" s="416"/>
      <c r="CS4361" s="650"/>
      <c r="CU4361" s="73"/>
      <c r="CV4361" s="73"/>
      <c r="CW4361" s="73"/>
      <c r="CX4361" s="73"/>
      <c r="DA4361" s="650"/>
    </row>
    <row r="4362" spans="1:105" s="45" customFormat="1" x14ac:dyDescent="0.2">
      <c r="A4362" s="650"/>
      <c r="B4362" s="438"/>
      <c r="D4362" s="73"/>
      <c r="E4362" s="650"/>
      <c r="F4362" s="650"/>
      <c r="G4362" s="73"/>
      <c r="I4362" s="111"/>
      <c r="J4362" s="81"/>
      <c r="K4362" s="81"/>
      <c r="L4362" s="499"/>
      <c r="M4362" s="73"/>
      <c r="N4362" s="499"/>
      <c r="O4362" s="73"/>
      <c r="P4362" s="73"/>
      <c r="Q4362" s="73"/>
      <c r="R4362" s="176"/>
      <c r="S4362" s="176"/>
      <c r="T4362" s="176"/>
      <c r="U4362" s="400"/>
      <c r="V4362" s="400"/>
      <c r="W4362" s="732"/>
      <c r="X4362" s="167"/>
      <c r="Y4362" s="509"/>
      <c r="Z4362" s="466"/>
      <c r="AA4362" s="466"/>
      <c r="AB4362" s="466"/>
      <c r="AC4362" s="466"/>
      <c r="AD4362" s="466"/>
      <c r="AE4362" s="466"/>
      <c r="AF4362" s="466"/>
      <c r="AG4362" s="466"/>
      <c r="AH4362" s="466"/>
      <c r="AI4362" s="466"/>
      <c r="AJ4362" s="466"/>
      <c r="AK4362" s="466"/>
      <c r="AL4362" s="466"/>
      <c r="AM4362" s="466"/>
      <c r="AN4362" s="466"/>
      <c r="AO4362" s="466"/>
      <c r="AP4362" s="466"/>
      <c r="AQ4362" s="466"/>
      <c r="AR4362" s="466"/>
      <c r="AS4362" s="466"/>
      <c r="AT4362" s="466"/>
      <c r="AU4362" s="466"/>
      <c r="AV4362" s="466"/>
      <c r="AW4362" s="466"/>
      <c r="AX4362" s="466"/>
      <c r="AY4362" s="466"/>
      <c r="AZ4362" s="466"/>
      <c r="BA4362" s="466"/>
      <c r="BB4362" s="466"/>
      <c r="BC4362" s="466"/>
      <c r="BD4362" s="466"/>
      <c r="BE4362" s="467"/>
      <c r="BF4362" s="467"/>
      <c r="BG4362" s="466"/>
      <c r="BH4362" s="466"/>
      <c r="BI4362" s="467"/>
      <c r="BJ4362" s="467"/>
      <c r="BK4362" s="467"/>
      <c r="BL4362" s="467"/>
      <c r="BM4362" s="467"/>
      <c r="BN4362" s="467"/>
      <c r="BO4362" s="467"/>
      <c r="BP4362" s="467"/>
      <c r="BQ4362" s="467"/>
      <c r="BR4362" s="467"/>
      <c r="BS4362" s="467"/>
      <c r="BT4362" s="467"/>
      <c r="BU4362" s="467"/>
      <c r="BV4362" s="467"/>
      <c r="BW4362" s="467"/>
      <c r="BX4362" s="769"/>
      <c r="BY4362" s="769"/>
      <c r="BZ4362" s="769"/>
      <c r="CA4362" s="769"/>
      <c r="CB4362" s="769"/>
      <c r="CC4362" s="769"/>
      <c r="CD4362" s="769"/>
      <c r="CE4362" s="769"/>
      <c r="CF4362" s="769"/>
      <c r="CG4362" s="73"/>
      <c r="CH4362" s="438"/>
      <c r="CI4362" s="416"/>
      <c r="CJ4362" s="73"/>
      <c r="CK4362" s="650"/>
      <c r="CL4362" s="499"/>
      <c r="CM4362" s="650"/>
      <c r="CR4362" s="416"/>
      <c r="CS4362" s="650"/>
      <c r="CU4362" s="73"/>
      <c r="CV4362" s="73"/>
      <c r="CW4362" s="73"/>
      <c r="CX4362" s="73"/>
      <c r="DA4362" s="650"/>
    </row>
    <row r="4363" spans="1:105" s="45" customFormat="1" x14ac:dyDescent="0.2">
      <c r="A4363" s="650"/>
      <c r="B4363" s="438"/>
      <c r="D4363" s="73"/>
      <c r="E4363" s="650"/>
      <c r="F4363" s="650"/>
      <c r="G4363" s="73"/>
      <c r="I4363" s="111"/>
      <c r="J4363" s="81"/>
      <c r="K4363" s="81"/>
      <c r="L4363" s="499"/>
      <c r="M4363" s="73"/>
      <c r="N4363" s="499"/>
      <c r="O4363" s="73"/>
      <c r="P4363" s="73"/>
      <c r="Q4363" s="73"/>
      <c r="R4363" s="176"/>
      <c r="S4363" s="176"/>
      <c r="T4363" s="176"/>
      <c r="U4363" s="400"/>
      <c r="V4363" s="400"/>
      <c r="W4363" s="732"/>
      <c r="X4363" s="167"/>
      <c r="Y4363" s="509"/>
      <c r="Z4363" s="466"/>
      <c r="AA4363" s="466"/>
      <c r="AB4363" s="466"/>
      <c r="AC4363" s="466"/>
      <c r="AD4363" s="466"/>
      <c r="AE4363" s="466"/>
      <c r="AF4363" s="466"/>
      <c r="AG4363" s="466"/>
      <c r="AH4363" s="466"/>
      <c r="AI4363" s="466"/>
      <c r="AJ4363" s="466"/>
      <c r="AK4363" s="466"/>
      <c r="AL4363" s="466"/>
      <c r="AM4363" s="466"/>
      <c r="AN4363" s="466"/>
      <c r="AO4363" s="466"/>
      <c r="AP4363" s="466"/>
      <c r="AQ4363" s="466"/>
      <c r="AR4363" s="466"/>
      <c r="AS4363" s="466"/>
      <c r="AT4363" s="466"/>
      <c r="AU4363" s="466"/>
      <c r="AV4363" s="466"/>
      <c r="AW4363" s="466"/>
      <c r="AX4363" s="466"/>
      <c r="AY4363" s="466"/>
      <c r="AZ4363" s="466"/>
      <c r="BA4363" s="466"/>
      <c r="BB4363" s="466"/>
      <c r="BC4363" s="466"/>
      <c r="BD4363" s="466"/>
      <c r="BE4363" s="467"/>
      <c r="BF4363" s="467"/>
      <c r="BG4363" s="466"/>
      <c r="BH4363" s="466"/>
      <c r="BI4363" s="467"/>
      <c r="BJ4363" s="467"/>
      <c r="BK4363" s="467"/>
      <c r="BL4363" s="467"/>
      <c r="BM4363" s="467"/>
      <c r="BN4363" s="467"/>
      <c r="BO4363" s="467"/>
      <c r="BP4363" s="467"/>
      <c r="BQ4363" s="467"/>
      <c r="BR4363" s="467"/>
      <c r="BS4363" s="467"/>
      <c r="BT4363" s="467"/>
      <c r="BU4363" s="467"/>
      <c r="BV4363" s="467"/>
      <c r="BW4363" s="467"/>
      <c r="BX4363" s="769"/>
      <c r="BY4363" s="769"/>
      <c r="BZ4363" s="769"/>
      <c r="CA4363" s="769"/>
      <c r="CB4363" s="769"/>
      <c r="CC4363" s="769"/>
      <c r="CD4363" s="769"/>
      <c r="CE4363" s="769"/>
      <c r="CF4363" s="769"/>
      <c r="CG4363" s="73"/>
      <c r="CH4363" s="438"/>
      <c r="CI4363" s="416"/>
      <c r="CJ4363" s="73"/>
      <c r="CK4363" s="650"/>
      <c r="CL4363" s="499"/>
      <c r="CM4363" s="650"/>
      <c r="CR4363" s="416"/>
      <c r="CS4363" s="650"/>
      <c r="CU4363" s="73"/>
      <c r="CV4363" s="73"/>
      <c r="CW4363" s="73"/>
      <c r="CX4363" s="73"/>
      <c r="DA4363" s="650"/>
    </row>
    <row r="4364" spans="1:105" s="45" customFormat="1" x14ac:dyDescent="0.2">
      <c r="A4364" s="650"/>
      <c r="B4364" s="438"/>
      <c r="D4364" s="73"/>
      <c r="E4364" s="650"/>
      <c r="F4364" s="650"/>
      <c r="G4364" s="73"/>
      <c r="I4364" s="111"/>
      <c r="J4364" s="81"/>
      <c r="K4364" s="81"/>
      <c r="L4364" s="499"/>
      <c r="M4364" s="73"/>
      <c r="N4364" s="499"/>
      <c r="O4364" s="73"/>
      <c r="P4364" s="73"/>
      <c r="Q4364" s="73"/>
      <c r="R4364" s="176"/>
      <c r="S4364" s="176"/>
      <c r="T4364" s="176"/>
      <c r="U4364" s="400"/>
      <c r="V4364" s="400"/>
      <c r="W4364" s="732"/>
      <c r="X4364" s="167"/>
      <c r="Y4364" s="509"/>
      <c r="Z4364" s="466"/>
      <c r="AA4364" s="466"/>
      <c r="AB4364" s="466"/>
      <c r="AC4364" s="466"/>
      <c r="AD4364" s="466"/>
      <c r="AE4364" s="466"/>
      <c r="AF4364" s="466"/>
      <c r="AG4364" s="466"/>
      <c r="AH4364" s="466"/>
      <c r="AI4364" s="466"/>
      <c r="AJ4364" s="466"/>
      <c r="AK4364" s="466"/>
      <c r="AL4364" s="466"/>
      <c r="AM4364" s="466"/>
      <c r="AN4364" s="466"/>
      <c r="AO4364" s="466"/>
      <c r="AP4364" s="466"/>
      <c r="AQ4364" s="466"/>
      <c r="AR4364" s="466"/>
      <c r="AS4364" s="466"/>
      <c r="AT4364" s="466"/>
      <c r="AU4364" s="466"/>
      <c r="AV4364" s="466"/>
      <c r="AW4364" s="466"/>
      <c r="AX4364" s="466"/>
      <c r="AY4364" s="466"/>
      <c r="AZ4364" s="466"/>
      <c r="BA4364" s="466"/>
      <c r="BB4364" s="466"/>
      <c r="BC4364" s="466"/>
      <c r="BD4364" s="466"/>
      <c r="BE4364" s="467"/>
      <c r="BF4364" s="467"/>
      <c r="BG4364" s="466"/>
      <c r="BH4364" s="466"/>
      <c r="BI4364" s="467"/>
      <c r="BJ4364" s="467"/>
      <c r="BK4364" s="467"/>
      <c r="BL4364" s="467"/>
      <c r="BM4364" s="467"/>
      <c r="BN4364" s="467"/>
      <c r="BO4364" s="467"/>
      <c r="BP4364" s="467"/>
      <c r="BQ4364" s="467"/>
      <c r="BR4364" s="467"/>
      <c r="BS4364" s="467"/>
      <c r="BT4364" s="467"/>
      <c r="BU4364" s="467"/>
      <c r="BV4364" s="467"/>
      <c r="BW4364" s="467"/>
      <c r="BX4364" s="769"/>
      <c r="BY4364" s="769"/>
      <c r="BZ4364" s="769"/>
      <c r="CA4364" s="769"/>
      <c r="CB4364" s="769"/>
      <c r="CC4364" s="769"/>
      <c r="CD4364" s="769"/>
      <c r="CE4364" s="769"/>
      <c r="CF4364" s="769"/>
      <c r="CG4364" s="73"/>
      <c r="CH4364" s="438"/>
      <c r="CI4364" s="416"/>
      <c r="CJ4364" s="73"/>
      <c r="CK4364" s="650"/>
      <c r="CL4364" s="499"/>
      <c r="CM4364" s="650"/>
      <c r="CR4364" s="416"/>
      <c r="CS4364" s="650"/>
      <c r="CU4364" s="73"/>
      <c r="CV4364" s="73"/>
      <c r="CW4364" s="73"/>
      <c r="CX4364" s="73"/>
      <c r="DA4364" s="650"/>
    </row>
    <row r="4365" spans="1:105" s="45" customFormat="1" x14ac:dyDescent="0.2">
      <c r="A4365" s="650"/>
      <c r="B4365" s="438"/>
      <c r="D4365" s="73"/>
      <c r="E4365" s="650"/>
      <c r="F4365" s="650"/>
      <c r="G4365" s="73"/>
      <c r="I4365" s="111"/>
      <c r="J4365" s="81"/>
      <c r="K4365" s="81"/>
      <c r="L4365" s="499"/>
      <c r="M4365" s="73"/>
      <c r="N4365" s="499"/>
      <c r="O4365" s="73"/>
      <c r="P4365" s="73"/>
      <c r="Q4365" s="73"/>
      <c r="R4365" s="176"/>
      <c r="S4365" s="176"/>
      <c r="T4365" s="176"/>
      <c r="U4365" s="400"/>
      <c r="V4365" s="400"/>
      <c r="W4365" s="732"/>
      <c r="X4365" s="167"/>
      <c r="Y4365" s="509"/>
      <c r="Z4365" s="466"/>
      <c r="AA4365" s="466"/>
      <c r="AB4365" s="466"/>
      <c r="AC4365" s="466"/>
      <c r="AD4365" s="466"/>
      <c r="AE4365" s="466"/>
      <c r="AF4365" s="466"/>
      <c r="AG4365" s="466"/>
      <c r="AH4365" s="466"/>
      <c r="AI4365" s="466"/>
      <c r="AJ4365" s="466"/>
      <c r="AK4365" s="466"/>
      <c r="AL4365" s="466"/>
      <c r="AM4365" s="466"/>
      <c r="AN4365" s="466"/>
      <c r="AO4365" s="466"/>
      <c r="AP4365" s="466"/>
      <c r="AQ4365" s="466"/>
      <c r="AR4365" s="466"/>
      <c r="AS4365" s="466"/>
      <c r="AT4365" s="466"/>
      <c r="AU4365" s="466"/>
      <c r="AV4365" s="466"/>
      <c r="AW4365" s="466"/>
      <c r="AX4365" s="466"/>
      <c r="AY4365" s="466"/>
      <c r="AZ4365" s="466"/>
      <c r="BA4365" s="466"/>
      <c r="BB4365" s="466"/>
      <c r="BC4365" s="466"/>
      <c r="BD4365" s="466"/>
      <c r="BE4365" s="467"/>
      <c r="BF4365" s="467"/>
      <c r="BG4365" s="466"/>
      <c r="BH4365" s="466"/>
      <c r="BI4365" s="467"/>
      <c r="BJ4365" s="467"/>
      <c r="BK4365" s="467"/>
      <c r="BL4365" s="467"/>
      <c r="BM4365" s="467"/>
      <c r="BN4365" s="467"/>
      <c r="BO4365" s="467"/>
      <c r="BP4365" s="467"/>
      <c r="BQ4365" s="467"/>
      <c r="BR4365" s="467"/>
      <c r="BS4365" s="467"/>
      <c r="BT4365" s="467"/>
      <c r="BU4365" s="467"/>
      <c r="BV4365" s="467"/>
      <c r="BW4365" s="467"/>
      <c r="BX4365" s="769"/>
      <c r="BY4365" s="769"/>
      <c r="BZ4365" s="769"/>
      <c r="CA4365" s="769"/>
      <c r="CB4365" s="769"/>
      <c r="CC4365" s="769"/>
      <c r="CD4365" s="769"/>
      <c r="CE4365" s="769"/>
      <c r="CF4365" s="769"/>
      <c r="CG4365" s="73"/>
      <c r="CH4365" s="438"/>
      <c r="CI4365" s="416"/>
      <c r="CJ4365" s="73"/>
      <c r="CK4365" s="650"/>
      <c r="CL4365" s="499"/>
      <c r="CM4365" s="650"/>
      <c r="CR4365" s="416"/>
      <c r="CS4365" s="650"/>
      <c r="CU4365" s="73"/>
      <c r="CV4365" s="73"/>
      <c r="CW4365" s="73"/>
      <c r="CX4365" s="73"/>
      <c r="DA4365" s="650"/>
    </row>
    <row r="4366" spans="1:105" s="45" customFormat="1" x14ac:dyDescent="0.2">
      <c r="A4366" s="650"/>
      <c r="B4366" s="438"/>
      <c r="D4366" s="73"/>
      <c r="E4366" s="650"/>
      <c r="F4366" s="650"/>
      <c r="G4366" s="73"/>
      <c r="I4366" s="111"/>
      <c r="J4366" s="81"/>
      <c r="K4366" s="81"/>
      <c r="L4366" s="499"/>
      <c r="M4366" s="73"/>
      <c r="N4366" s="499"/>
      <c r="O4366" s="73"/>
      <c r="P4366" s="73"/>
      <c r="Q4366" s="73"/>
      <c r="R4366" s="176"/>
      <c r="S4366" s="176"/>
      <c r="T4366" s="176"/>
      <c r="U4366" s="400"/>
      <c r="V4366" s="400"/>
      <c r="W4366" s="732"/>
      <c r="X4366" s="167"/>
      <c r="Y4366" s="509"/>
      <c r="Z4366" s="466"/>
      <c r="AA4366" s="466"/>
      <c r="AB4366" s="466"/>
      <c r="AC4366" s="466"/>
      <c r="AD4366" s="466"/>
      <c r="AE4366" s="466"/>
      <c r="AF4366" s="466"/>
      <c r="AG4366" s="466"/>
      <c r="AH4366" s="466"/>
      <c r="AI4366" s="466"/>
      <c r="AJ4366" s="466"/>
      <c r="AK4366" s="466"/>
      <c r="AL4366" s="466"/>
      <c r="AM4366" s="466"/>
      <c r="AN4366" s="466"/>
      <c r="AO4366" s="466"/>
      <c r="AP4366" s="466"/>
      <c r="AQ4366" s="466"/>
      <c r="AR4366" s="466"/>
      <c r="AS4366" s="466"/>
      <c r="AT4366" s="466"/>
      <c r="AU4366" s="466"/>
      <c r="AV4366" s="466"/>
      <c r="AW4366" s="466"/>
      <c r="AX4366" s="466"/>
      <c r="AY4366" s="466"/>
      <c r="AZ4366" s="466"/>
      <c r="BA4366" s="466"/>
      <c r="BB4366" s="466"/>
      <c r="BC4366" s="466"/>
      <c r="BD4366" s="466"/>
      <c r="BE4366" s="467"/>
      <c r="BF4366" s="467"/>
      <c r="BG4366" s="466"/>
      <c r="BH4366" s="466"/>
      <c r="BI4366" s="467"/>
      <c r="BJ4366" s="467"/>
      <c r="BK4366" s="467"/>
      <c r="BL4366" s="467"/>
      <c r="BM4366" s="467"/>
      <c r="BN4366" s="467"/>
      <c r="BO4366" s="467"/>
      <c r="BP4366" s="467"/>
      <c r="BQ4366" s="467"/>
      <c r="BR4366" s="467"/>
      <c r="BS4366" s="467"/>
      <c r="BT4366" s="467"/>
      <c r="BU4366" s="467"/>
      <c r="BV4366" s="467"/>
      <c r="BW4366" s="467"/>
      <c r="BX4366" s="769"/>
      <c r="BY4366" s="769"/>
      <c r="BZ4366" s="769"/>
      <c r="CA4366" s="769"/>
      <c r="CB4366" s="769"/>
      <c r="CC4366" s="769"/>
      <c r="CD4366" s="769"/>
      <c r="CE4366" s="769"/>
      <c r="CF4366" s="769"/>
      <c r="CG4366" s="73"/>
      <c r="CH4366" s="438"/>
      <c r="CI4366" s="416"/>
      <c r="CJ4366" s="73"/>
      <c r="CK4366" s="650"/>
      <c r="CL4366" s="499"/>
      <c r="CM4366" s="650"/>
      <c r="CR4366" s="416"/>
      <c r="CS4366" s="650"/>
      <c r="CU4366" s="73"/>
      <c r="CV4366" s="73"/>
      <c r="CW4366" s="73"/>
      <c r="CX4366" s="73"/>
      <c r="DA4366" s="650"/>
    </row>
    <row r="4367" spans="1:105" s="45" customFormat="1" x14ac:dyDescent="0.2">
      <c r="A4367" s="650"/>
      <c r="B4367" s="438"/>
      <c r="D4367" s="73"/>
      <c r="E4367" s="650"/>
      <c r="F4367" s="650"/>
      <c r="G4367" s="73"/>
      <c r="I4367" s="111"/>
      <c r="J4367" s="81"/>
      <c r="K4367" s="81"/>
      <c r="L4367" s="499"/>
      <c r="M4367" s="73"/>
      <c r="N4367" s="499"/>
      <c r="O4367" s="73"/>
      <c r="P4367" s="73"/>
      <c r="Q4367" s="73"/>
      <c r="R4367" s="176"/>
      <c r="S4367" s="176"/>
      <c r="T4367" s="176"/>
      <c r="U4367" s="400"/>
      <c r="V4367" s="400"/>
      <c r="W4367" s="732"/>
      <c r="X4367" s="167"/>
      <c r="Y4367" s="509"/>
      <c r="Z4367" s="466"/>
      <c r="AA4367" s="466"/>
      <c r="AB4367" s="466"/>
      <c r="AC4367" s="466"/>
      <c r="AD4367" s="466"/>
      <c r="AE4367" s="466"/>
      <c r="AF4367" s="466"/>
      <c r="AG4367" s="466"/>
      <c r="AH4367" s="466"/>
      <c r="AI4367" s="466"/>
      <c r="AJ4367" s="466"/>
      <c r="AK4367" s="466"/>
      <c r="AL4367" s="466"/>
      <c r="AM4367" s="466"/>
      <c r="AN4367" s="466"/>
      <c r="AO4367" s="466"/>
      <c r="AP4367" s="466"/>
      <c r="AQ4367" s="466"/>
      <c r="AR4367" s="466"/>
      <c r="AS4367" s="466"/>
      <c r="AT4367" s="466"/>
      <c r="AU4367" s="466"/>
      <c r="AV4367" s="466"/>
      <c r="AW4367" s="466"/>
      <c r="AX4367" s="466"/>
      <c r="AY4367" s="466"/>
      <c r="AZ4367" s="466"/>
      <c r="BA4367" s="466"/>
      <c r="BB4367" s="466"/>
      <c r="BC4367" s="466"/>
      <c r="BD4367" s="466"/>
      <c r="BE4367" s="467"/>
      <c r="BF4367" s="467"/>
      <c r="BG4367" s="466"/>
      <c r="BH4367" s="466"/>
      <c r="BI4367" s="467"/>
      <c r="BJ4367" s="467"/>
      <c r="BK4367" s="467"/>
      <c r="BL4367" s="467"/>
      <c r="BM4367" s="467"/>
      <c r="BN4367" s="467"/>
      <c r="BO4367" s="467"/>
      <c r="BP4367" s="467"/>
      <c r="BQ4367" s="467"/>
      <c r="BR4367" s="467"/>
      <c r="BS4367" s="467"/>
      <c r="BT4367" s="467"/>
      <c r="BU4367" s="467"/>
      <c r="BV4367" s="467"/>
      <c r="BW4367" s="467"/>
      <c r="BX4367" s="769"/>
      <c r="BY4367" s="769"/>
      <c r="BZ4367" s="769"/>
      <c r="CA4367" s="769"/>
      <c r="CB4367" s="769"/>
      <c r="CC4367" s="769"/>
      <c r="CD4367" s="769"/>
      <c r="CE4367" s="769"/>
      <c r="CF4367" s="769"/>
      <c r="CG4367" s="73"/>
      <c r="CH4367" s="438"/>
      <c r="CI4367" s="416"/>
      <c r="CJ4367" s="73"/>
      <c r="CK4367" s="650"/>
      <c r="CL4367" s="499"/>
      <c r="CM4367" s="650"/>
      <c r="CR4367" s="416"/>
      <c r="CS4367" s="650"/>
      <c r="CU4367" s="73"/>
      <c r="CV4367" s="73"/>
      <c r="CW4367" s="73"/>
      <c r="CX4367" s="73"/>
      <c r="DA4367" s="650"/>
    </row>
    <row r="4368" spans="1:105" s="45" customFormat="1" x14ac:dyDescent="0.2">
      <c r="A4368" s="650"/>
      <c r="B4368" s="438"/>
      <c r="D4368" s="73"/>
      <c r="E4368" s="650"/>
      <c r="F4368" s="650"/>
      <c r="G4368" s="73"/>
      <c r="I4368" s="111"/>
      <c r="J4368" s="81"/>
      <c r="K4368" s="81"/>
      <c r="L4368" s="499"/>
      <c r="M4368" s="73"/>
      <c r="N4368" s="499"/>
      <c r="O4368" s="73"/>
      <c r="P4368" s="73"/>
      <c r="Q4368" s="73"/>
      <c r="R4368" s="176"/>
      <c r="S4368" s="176"/>
      <c r="T4368" s="176"/>
      <c r="U4368" s="400"/>
      <c r="V4368" s="400"/>
      <c r="W4368" s="732"/>
      <c r="X4368" s="167"/>
      <c r="Y4368" s="509"/>
      <c r="Z4368" s="466"/>
      <c r="AA4368" s="466"/>
      <c r="AB4368" s="466"/>
      <c r="AC4368" s="466"/>
      <c r="AD4368" s="466"/>
      <c r="AE4368" s="466"/>
      <c r="AF4368" s="466"/>
      <c r="AG4368" s="466"/>
      <c r="AH4368" s="466"/>
      <c r="AI4368" s="466"/>
      <c r="AJ4368" s="466"/>
      <c r="AK4368" s="466"/>
      <c r="AL4368" s="466"/>
      <c r="AM4368" s="466"/>
      <c r="AN4368" s="466"/>
      <c r="AO4368" s="466"/>
      <c r="AP4368" s="466"/>
      <c r="AQ4368" s="466"/>
      <c r="AR4368" s="466"/>
      <c r="AS4368" s="466"/>
      <c r="AT4368" s="466"/>
      <c r="AU4368" s="466"/>
      <c r="AV4368" s="466"/>
      <c r="AW4368" s="466"/>
      <c r="AX4368" s="466"/>
      <c r="AY4368" s="466"/>
      <c r="AZ4368" s="466"/>
      <c r="BA4368" s="466"/>
      <c r="BB4368" s="466"/>
      <c r="BC4368" s="466"/>
      <c r="BD4368" s="466"/>
      <c r="BE4368" s="467"/>
      <c r="BF4368" s="467"/>
      <c r="BG4368" s="466"/>
      <c r="BH4368" s="466"/>
      <c r="BI4368" s="467"/>
      <c r="BJ4368" s="467"/>
      <c r="BK4368" s="467"/>
      <c r="BL4368" s="467"/>
      <c r="BM4368" s="467"/>
      <c r="BN4368" s="467"/>
      <c r="BO4368" s="467"/>
      <c r="BP4368" s="467"/>
      <c r="BQ4368" s="467"/>
      <c r="BR4368" s="467"/>
      <c r="BS4368" s="467"/>
      <c r="BT4368" s="467"/>
      <c r="BU4368" s="467"/>
      <c r="BV4368" s="467"/>
      <c r="BW4368" s="467"/>
      <c r="BX4368" s="769"/>
      <c r="BY4368" s="769"/>
      <c r="BZ4368" s="769"/>
      <c r="CA4368" s="769"/>
      <c r="CB4368" s="769"/>
      <c r="CC4368" s="769"/>
      <c r="CD4368" s="769"/>
      <c r="CE4368" s="769"/>
      <c r="CF4368" s="769"/>
      <c r="CG4368" s="73"/>
      <c r="CH4368" s="438"/>
      <c r="CI4368" s="416"/>
      <c r="CJ4368" s="73"/>
      <c r="CK4368" s="650"/>
      <c r="CL4368" s="499"/>
      <c r="CM4368" s="650"/>
      <c r="CR4368" s="416"/>
      <c r="CS4368" s="650"/>
      <c r="CU4368" s="73"/>
      <c r="CV4368" s="73"/>
      <c r="CW4368" s="73"/>
      <c r="CX4368" s="73"/>
      <c r="DA4368" s="650"/>
    </row>
    <row r="4369" spans="1:105" s="45" customFormat="1" x14ac:dyDescent="0.2">
      <c r="A4369" s="650"/>
      <c r="B4369" s="438"/>
      <c r="D4369" s="73"/>
      <c r="E4369" s="650"/>
      <c r="F4369" s="650"/>
      <c r="G4369" s="73"/>
      <c r="I4369" s="111"/>
      <c r="J4369" s="81"/>
      <c r="K4369" s="81"/>
      <c r="L4369" s="499"/>
      <c r="M4369" s="73"/>
      <c r="N4369" s="499"/>
      <c r="O4369" s="73"/>
      <c r="P4369" s="73"/>
      <c r="Q4369" s="73"/>
      <c r="R4369" s="176"/>
      <c r="S4369" s="176"/>
      <c r="T4369" s="176"/>
      <c r="U4369" s="400"/>
      <c r="V4369" s="400"/>
      <c r="W4369" s="732"/>
      <c r="X4369" s="167"/>
      <c r="Y4369" s="509"/>
      <c r="Z4369" s="466"/>
      <c r="AA4369" s="466"/>
      <c r="AB4369" s="466"/>
      <c r="AC4369" s="466"/>
      <c r="AD4369" s="466"/>
      <c r="AE4369" s="466"/>
      <c r="AF4369" s="466"/>
      <c r="AG4369" s="466"/>
      <c r="AH4369" s="466"/>
      <c r="AI4369" s="466"/>
      <c r="AJ4369" s="466"/>
      <c r="AK4369" s="466"/>
      <c r="AL4369" s="466"/>
      <c r="AM4369" s="466"/>
      <c r="AN4369" s="466"/>
      <c r="AO4369" s="466"/>
      <c r="AP4369" s="466"/>
      <c r="AQ4369" s="466"/>
      <c r="AR4369" s="466"/>
      <c r="AS4369" s="466"/>
      <c r="AT4369" s="466"/>
      <c r="AU4369" s="466"/>
      <c r="AV4369" s="466"/>
      <c r="AW4369" s="466"/>
      <c r="AX4369" s="466"/>
      <c r="AY4369" s="466"/>
      <c r="AZ4369" s="466"/>
      <c r="BA4369" s="466"/>
      <c r="BB4369" s="466"/>
      <c r="BC4369" s="466"/>
      <c r="BD4369" s="466"/>
      <c r="BE4369" s="467"/>
      <c r="BF4369" s="467"/>
      <c r="BG4369" s="466"/>
      <c r="BH4369" s="466"/>
      <c r="BI4369" s="467"/>
      <c r="BJ4369" s="467"/>
      <c r="BK4369" s="467"/>
      <c r="BL4369" s="467"/>
      <c r="BM4369" s="467"/>
      <c r="BN4369" s="467"/>
      <c r="BO4369" s="467"/>
      <c r="BP4369" s="467"/>
      <c r="BQ4369" s="467"/>
      <c r="BR4369" s="467"/>
      <c r="BS4369" s="467"/>
      <c r="BT4369" s="467"/>
      <c r="BU4369" s="467"/>
      <c r="BV4369" s="467"/>
      <c r="BW4369" s="467"/>
      <c r="BX4369" s="769"/>
      <c r="BY4369" s="769"/>
      <c r="BZ4369" s="769"/>
      <c r="CA4369" s="769"/>
      <c r="CB4369" s="769"/>
      <c r="CC4369" s="769"/>
      <c r="CD4369" s="769"/>
      <c r="CE4369" s="769"/>
      <c r="CF4369" s="769"/>
      <c r="CG4369" s="73"/>
      <c r="CH4369" s="438"/>
      <c r="CI4369" s="416"/>
      <c r="CJ4369" s="73"/>
      <c r="CK4369" s="650"/>
      <c r="CL4369" s="499"/>
      <c r="CM4369" s="650"/>
      <c r="CR4369" s="416"/>
      <c r="CS4369" s="650"/>
      <c r="CU4369" s="73"/>
      <c r="CV4369" s="73"/>
      <c r="CW4369" s="73"/>
      <c r="CX4369" s="73"/>
      <c r="DA4369" s="650"/>
    </row>
    <row r="4370" spans="1:105" s="45" customFormat="1" x14ac:dyDescent="0.2">
      <c r="A4370" s="650"/>
      <c r="B4370" s="438"/>
      <c r="D4370" s="73"/>
      <c r="E4370" s="650"/>
      <c r="F4370" s="650"/>
      <c r="G4370" s="73"/>
      <c r="I4370" s="111"/>
      <c r="J4370" s="81"/>
      <c r="K4370" s="81"/>
      <c r="L4370" s="499"/>
      <c r="M4370" s="73"/>
      <c r="N4370" s="499"/>
      <c r="O4370" s="73"/>
      <c r="P4370" s="73"/>
      <c r="Q4370" s="73"/>
      <c r="R4370" s="176"/>
      <c r="S4370" s="176"/>
      <c r="T4370" s="176"/>
      <c r="U4370" s="400"/>
      <c r="V4370" s="400"/>
      <c r="W4370" s="732"/>
      <c r="X4370" s="167"/>
      <c r="Y4370" s="509"/>
      <c r="Z4370" s="466"/>
      <c r="AA4370" s="466"/>
      <c r="AB4370" s="466"/>
      <c r="AC4370" s="466"/>
      <c r="AD4370" s="466"/>
      <c r="AE4370" s="466"/>
      <c r="AF4370" s="466"/>
      <c r="AG4370" s="466"/>
      <c r="AH4370" s="466"/>
      <c r="AI4370" s="466"/>
      <c r="AJ4370" s="466"/>
      <c r="AK4370" s="466"/>
      <c r="AL4370" s="466"/>
      <c r="AM4370" s="466"/>
      <c r="AN4370" s="466"/>
      <c r="AO4370" s="466"/>
      <c r="AP4370" s="466"/>
      <c r="AQ4370" s="466"/>
      <c r="AR4370" s="466"/>
      <c r="AS4370" s="466"/>
      <c r="AT4370" s="466"/>
      <c r="AU4370" s="466"/>
      <c r="AV4370" s="466"/>
      <c r="AW4370" s="466"/>
      <c r="AX4370" s="466"/>
      <c r="AY4370" s="466"/>
      <c r="AZ4370" s="466"/>
      <c r="BA4370" s="466"/>
      <c r="BB4370" s="466"/>
      <c r="BC4370" s="466"/>
      <c r="BD4370" s="466"/>
      <c r="BE4370" s="467"/>
      <c r="BF4370" s="467"/>
      <c r="BG4370" s="466"/>
      <c r="BH4370" s="466"/>
      <c r="BI4370" s="467"/>
      <c r="BJ4370" s="467"/>
      <c r="BK4370" s="467"/>
      <c r="BL4370" s="467"/>
      <c r="BM4370" s="467"/>
      <c r="BN4370" s="467"/>
      <c r="BO4370" s="467"/>
      <c r="BP4370" s="467"/>
      <c r="BQ4370" s="467"/>
      <c r="BR4370" s="467"/>
      <c r="BS4370" s="467"/>
      <c r="BT4370" s="467"/>
      <c r="BU4370" s="467"/>
      <c r="BV4370" s="467"/>
      <c r="BW4370" s="467"/>
      <c r="BX4370" s="769"/>
      <c r="BY4370" s="769"/>
      <c r="BZ4370" s="769"/>
      <c r="CA4370" s="769"/>
      <c r="CB4370" s="769"/>
      <c r="CC4370" s="769"/>
      <c r="CD4370" s="769"/>
      <c r="CE4370" s="769"/>
      <c r="CF4370" s="769"/>
      <c r="CG4370" s="73"/>
      <c r="CH4370" s="438"/>
      <c r="CI4370" s="416"/>
      <c r="CJ4370" s="73"/>
      <c r="CK4370" s="650"/>
      <c r="CL4370" s="499"/>
      <c r="CM4370" s="650"/>
      <c r="CR4370" s="416"/>
      <c r="CS4370" s="650"/>
      <c r="CU4370" s="73"/>
      <c r="CV4370" s="73"/>
      <c r="CW4370" s="73"/>
      <c r="CX4370" s="73"/>
      <c r="DA4370" s="650"/>
    </row>
    <row r="4371" spans="1:105" s="45" customFormat="1" x14ac:dyDescent="0.2">
      <c r="A4371" s="650"/>
      <c r="B4371" s="438"/>
      <c r="D4371" s="73"/>
      <c r="E4371" s="650"/>
      <c r="F4371" s="650"/>
      <c r="G4371" s="73"/>
      <c r="I4371" s="111"/>
      <c r="J4371" s="81"/>
      <c r="K4371" s="81"/>
      <c r="L4371" s="499"/>
      <c r="M4371" s="73"/>
      <c r="N4371" s="499"/>
      <c r="O4371" s="73"/>
      <c r="P4371" s="73"/>
      <c r="Q4371" s="73"/>
      <c r="R4371" s="176"/>
      <c r="S4371" s="176"/>
      <c r="T4371" s="176"/>
      <c r="U4371" s="400"/>
      <c r="V4371" s="400"/>
      <c r="W4371" s="732"/>
      <c r="X4371" s="167"/>
      <c r="Y4371" s="509"/>
      <c r="Z4371" s="466"/>
      <c r="AA4371" s="466"/>
      <c r="AB4371" s="466"/>
      <c r="AC4371" s="466"/>
      <c r="AD4371" s="466"/>
      <c r="AE4371" s="466"/>
      <c r="AF4371" s="466"/>
      <c r="AG4371" s="466"/>
      <c r="AH4371" s="466"/>
      <c r="AI4371" s="466"/>
      <c r="AJ4371" s="466"/>
      <c r="AK4371" s="466"/>
      <c r="AL4371" s="466"/>
      <c r="AM4371" s="466"/>
      <c r="AN4371" s="466"/>
      <c r="AO4371" s="466"/>
      <c r="AP4371" s="466"/>
      <c r="AQ4371" s="466"/>
      <c r="AR4371" s="466"/>
      <c r="AS4371" s="466"/>
      <c r="AT4371" s="466"/>
      <c r="AU4371" s="466"/>
      <c r="AV4371" s="466"/>
      <c r="AW4371" s="466"/>
      <c r="AX4371" s="466"/>
      <c r="AY4371" s="466"/>
      <c r="AZ4371" s="466"/>
      <c r="BA4371" s="466"/>
      <c r="BB4371" s="466"/>
      <c r="BC4371" s="466"/>
      <c r="BD4371" s="466"/>
      <c r="BE4371" s="467"/>
      <c r="BF4371" s="467"/>
      <c r="BG4371" s="466"/>
      <c r="BH4371" s="466"/>
      <c r="BI4371" s="467"/>
      <c r="BJ4371" s="467"/>
      <c r="BK4371" s="467"/>
      <c r="BL4371" s="467"/>
      <c r="BM4371" s="467"/>
      <c r="BN4371" s="467"/>
      <c r="BO4371" s="467"/>
      <c r="BP4371" s="467"/>
      <c r="BQ4371" s="467"/>
      <c r="BR4371" s="467"/>
      <c r="BS4371" s="467"/>
      <c r="BT4371" s="467"/>
      <c r="BU4371" s="467"/>
      <c r="BV4371" s="467"/>
      <c r="BW4371" s="467"/>
      <c r="BX4371" s="769"/>
      <c r="BY4371" s="769"/>
      <c r="BZ4371" s="769"/>
      <c r="CA4371" s="769"/>
      <c r="CB4371" s="769"/>
      <c r="CC4371" s="769"/>
      <c r="CD4371" s="769"/>
      <c r="CE4371" s="769"/>
      <c r="CF4371" s="769"/>
      <c r="CG4371" s="73"/>
      <c r="CH4371" s="438"/>
      <c r="CI4371" s="416"/>
      <c r="CJ4371" s="73"/>
      <c r="CK4371" s="650"/>
      <c r="CL4371" s="499"/>
      <c r="CM4371" s="650"/>
      <c r="CR4371" s="416"/>
      <c r="CS4371" s="650"/>
      <c r="CU4371" s="73"/>
      <c r="CV4371" s="73"/>
      <c r="CW4371" s="73"/>
      <c r="CX4371" s="73"/>
      <c r="DA4371" s="650"/>
    </row>
    <row r="4372" spans="1:105" s="45" customFormat="1" x14ac:dyDescent="0.2">
      <c r="A4372" s="650"/>
      <c r="B4372" s="438"/>
      <c r="D4372" s="73"/>
      <c r="E4372" s="650"/>
      <c r="F4372" s="650"/>
      <c r="G4372" s="73"/>
      <c r="I4372" s="111"/>
      <c r="J4372" s="81"/>
      <c r="K4372" s="81"/>
      <c r="L4372" s="499"/>
      <c r="M4372" s="73"/>
      <c r="N4372" s="499"/>
      <c r="O4372" s="73"/>
      <c r="P4372" s="73"/>
      <c r="Q4372" s="73"/>
      <c r="R4372" s="176"/>
      <c r="S4372" s="176"/>
      <c r="T4372" s="176"/>
      <c r="U4372" s="400"/>
      <c r="V4372" s="400"/>
      <c r="W4372" s="732"/>
      <c r="X4372" s="167"/>
      <c r="Y4372" s="509"/>
      <c r="Z4372" s="466"/>
      <c r="AA4372" s="466"/>
      <c r="AB4372" s="466"/>
      <c r="AC4372" s="466"/>
      <c r="AD4372" s="466"/>
      <c r="AE4372" s="466"/>
      <c r="AF4372" s="466"/>
      <c r="AG4372" s="466"/>
      <c r="AH4372" s="466"/>
      <c r="AI4372" s="466"/>
      <c r="AJ4372" s="466"/>
      <c r="AK4372" s="466"/>
      <c r="AL4372" s="466"/>
      <c r="AM4372" s="466"/>
      <c r="AN4372" s="466"/>
      <c r="AO4372" s="466"/>
      <c r="AP4372" s="466"/>
      <c r="AQ4372" s="466"/>
      <c r="AR4372" s="466"/>
      <c r="AS4372" s="466"/>
      <c r="AT4372" s="466"/>
      <c r="AU4372" s="466"/>
      <c r="AV4372" s="466"/>
      <c r="AW4372" s="466"/>
      <c r="AX4372" s="466"/>
      <c r="AY4372" s="466"/>
      <c r="AZ4372" s="466"/>
      <c r="BA4372" s="466"/>
      <c r="BB4372" s="466"/>
      <c r="BC4372" s="466"/>
      <c r="BD4372" s="466"/>
      <c r="BE4372" s="467"/>
      <c r="BF4372" s="467"/>
      <c r="BG4372" s="466"/>
      <c r="BH4372" s="466"/>
      <c r="BI4372" s="467"/>
      <c r="BJ4372" s="467"/>
      <c r="BK4372" s="467"/>
      <c r="BL4372" s="467"/>
      <c r="BM4372" s="467"/>
      <c r="BN4372" s="467"/>
      <c r="BO4372" s="467"/>
      <c r="BP4372" s="467"/>
      <c r="BQ4372" s="467"/>
      <c r="BR4372" s="467"/>
      <c r="BS4372" s="467"/>
      <c r="BT4372" s="467"/>
      <c r="BU4372" s="467"/>
      <c r="BV4372" s="467"/>
      <c r="BW4372" s="467"/>
      <c r="BX4372" s="769"/>
      <c r="BY4372" s="769"/>
      <c r="BZ4372" s="769"/>
      <c r="CA4372" s="769"/>
      <c r="CB4372" s="769"/>
      <c r="CC4372" s="769"/>
      <c r="CD4372" s="769"/>
      <c r="CE4372" s="769"/>
      <c r="CF4372" s="769"/>
      <c r="CG4372" s="73"/>
      <c r="CH4372" s="438"/>
      <c r="CI4372" s="416"/>
      <c r="CJ4372" s="73"/>
      <c r="CK4372" s="650"/>
      <c r="CL4372" s="499"/>
      <c r="CM4372" s="650"/>
      <c r="CR4372" s="416"/>
      <c r="CS4372" s="650"/>
      <c r="CU4372" s="73"/>
      <c r="CV4372" s="73"/>
      <c r="CW4372" s="73"/>
      <c r="CX4372" s="73"/>
      <c r="DA4372" s="650"/>
    </row>
    <row r="4373" spans="1:105" s="45" customFormat="1" x14ac:dyDescent="0.2">
      <c r="A4373" s="650"/>
      <c r="B4373" s="438"/>
      <c r="D4373" s="73"/>
      <c r="E4373" s="650"/>
      <c r="F4373" s="650"/>
      <c r="G4373" s="73"/>
      <c r="I4373" s="111"/>
      <c r="J4373" s="81"/>
      <c r="K4373" s="81"/>
      <c r="L4373" s="499"/>
      <c r="M4373" s="73"/>
      <c r="N4373" s="499"/>
      <c r="O4373" s="73"/>
      <c r="P4373" s="73"/>
      <c r="Q4373" s="73"/>
      <c r="R4373" s="176"/>
      <c r="S4373" s="176"/>
      <c r="T4373" s="176"/>
      <c r="U4373" s="400"/>
      <c r="V4373" s="400"/>
      <c r="W4373" s="732"/>
      <c r="X4373" s="167"/>
      <c r="Y4373" s="509"/>
      <c r="Z4373" s="466"/>
      <c r="AA4373" s="466"/>
      <c r="AB4373" s="466"/>
      <c r="AC4373" s="466"/>
      <c r="AD4373" s="466"/>
      <c r="AE4373" s="466"/>
      <c r="AF4373" s="466"/>
      <c r="AG4373" s="466"/>
      <c r="AH4373" s="466"/>
      <c r="AI4373" s="466"/>
      <c r="AJ4373" s="466"/>
      <c r="AK4373" s="466"/>
      <c r="AL4373" s="466"/>
      <c r="AM4373" s="466"/>
      <c r="AN4373" s="466"/>
      <c r="AO4373" s="466"/>
      <c r="AP4373" s="466"/>
      <c r="AQ4373" s="466"/>
      <c r="AR4373" s="466"/>
      <c r="AS4373" s="466"/>
      <c r="AT4373" s="466"/>
      <c r="AU4373" s="466"/>
      <c r="AV4373" s="466"/>
      <c r="AW4373" s="466"/>
      <c r="AX4373" s="466"/>
      <c r="AY4373" s="466"/>
      <c r="AZ4373" s="466"/>
      <c r="BA4373" s="466"/>
      <c r="BB4373" s="466"/>
      <c r="BC4373" s="466"/>
      <c r="BD4373" s="466"/>
      <c r="BE4373" s="467"/>
      <c r="BF4373" s="467"/>
      <c r="BG4373" s="466"/>
      <c r="BH4373" s="466"/>
      <c r="BI4373" s="467"/>
      <c r="BJ4373" s="467"/>
      <c r="BK4373" s="467"/>
      <c r="BL4373" s="467"/>
      <c r="BM4373" s="467"/>
      <c r="BN4373" s="467"/>
      <c r="BO4373" s="467"/>
      <c r="BP4373" s="467"/>
      <c r="BQ4373" s="467"/>
      <c r="BR4373" s="467"/>
      <c r="BS4373" s="467"/>
      <c r="BT4373" s="467"/>
      <c r="BU4373" s="467"/>
      <c r="BV4373" s="467"/>
      <c r="BW4373" s="467"/>
      <c r="BX4373" s="769"/>
      <c r="BY4373" s="769"/>
      <c r="BZ4373" s="769"/>
      <c r="CA4373" s="769"/>
      <c r="CB4373" s="769"/>
      <c r="CC4373" s="769"/>
      <c r="CD4373" s="769"/>
      <c r="CE4373" s="769"/>
      <c r="CF4373" s="769"/>
      <c r="CG4373" s="73"/>
      <c r="CH4373" s="438"/>
      <c r="CI4373" s="416"/>
      <c r="CJ4373" s="73"/>
      <c r="CK4373" s="650"/>
      <c r="CL4373" s="499"/>
      <c r="CM4373" s="650"/>
      <c r="CR4373" s="416"/>
      <c r="CS4373" s="650"/>
      <c r="CU4373" s="73"/>
      <c r="CV4373" s="73"/>
      <c r="CW4373" s="73"/>
      <c r="CX4373" s="73"/>
      <c r="DA4373" s="650"/>
    </row>
    <row r="4374" spans="1:105" s="45" customFormat="1" x14ac:dyDescent="0.2">
      <c r="A4374" s="650"/>
      <c r="B4374" s="438"/>
      <c r="D4374" s="73"/>
      <c r="E4374" s="650"/>
      <c r="F4374" s="650"/>
      <c r="G4374" s="73"/>
      <c r="I4374" s="111"/>
      <c r="J4374" s="81"/>
      <c r="K4374" s="81"/>
      <c r="L4374" s="499"/>
      <c r="M4374" s="73"/>
      <c r="N4374" s="499"/>
      <c r="O4374" s="73"/>
      <c r="P4374" s="73"/>
      <c r="Q4374" s="73"/>
      <c r="R4374" s="176"/>
      <c r="S4374" s="176"/>
      <c r="T4374" s="176"/>
      <c r="U4374" s="400"/>
      <c r="V4374" s="400"/>
      <c r="W4374" s="732"/>
      <c r="X4374" s="167"/>
      <c r="Y4374" s="509"/>
      <c r="Z4374" s="466"/>
      <c r="AA4374" s="466"/>
      <c r="AB4374" s="466"/>
      <c r="AC4374" s="466"/>
      <c r="AD4374" s="466"/>
      <c r="AE4374" s="466"/>
      <c r="AF4374" s="466"/>
      <c r="AG4374" s="466"/>
      <c r="AH4374" s="466"/>
      <c r="AI4374" s="466"/>
      <c r="AJ4374" s="466"/>
      <c r="AK4374" s="466"/>
      <c r="AL4374" s="466"/>
      <c r="AM4374" s="466"/>
      <c r="AN4374" s="466"/>
      <c r="AO4374" s="466"/>
      <c r="AP4374" s="466"/>
      <c r="AQ4374" s="466"/>
      <c r="AR4374" s="466"/>
      <c r="AS4374" s="466"/>
      <c r="AT4374" s="466"/>
      <c r="AU4374" s="466"/>
      <c r="AV4374" s="466"/>
      <c r="AW4374" s="466"/>
      <c r="AX4374" s="466"/>
      <c r="AY4374" s="466"/>
      <c r="AZ4374" s="466"/>
      <c r="BA4374" s="466"/>
      <c r="BB4374" s="466"/>
      <c r="BC4374" s="466"/>
      <c r="BD4374" s="466"/>
      <c r="BE4374" s="467"/>
      <c r="BF4374" s="467"/>
      <c r="BG4374" s="466"/>
      <c r="BH4374" s="466"/>
      <c r="BI4374" s="467"/>
      <c r="BJ4374" s="467"/>
      <c r="BK4374" s="467"/>
      <c r="BL4374" s="467"/>
      <c r="BM4374" s="467"/>
      <c r="BN4374" s="467"/>
      <c r="BO4374" s="467"/>
      <c r="BP4374" s="467"/>
      <c r="BQ4374" s="467"/>
      <c r="BR4374" s="467"/>
      <c r="BS4374" s="467"/>
      <c r="BT4374" s="467"/>
      <c r="BU4374" s="467"/>
      <c r="BV4374" s="467"/>
      <c r="BW4374" s="467"/>
      <c r="BX4374" s="769"/>
      <c r="BY4374" s="769"/>
      <c r="BZ4374" s="769"/>
      <c r="CA4374" s="769"/>
      <c r="CB4374" s="769"/>
      <c r="CC4374" s="769"/>
      <c r="CD4374" s="769"/>
      <c r="CE4374" s="769"/>
      <c r="CF4374" s="769"/>
      <c r="CG4374" s="73"/>
      <c r="CH4374" s="438"/>
      <c r="CI4374" s="416"/>
      <c r="CJ4374" s="73"/>
      <c r="CK4374" s="650"/>
      <c r="CL4374" s="499"/>
      <c r="CM4374" s="650"/>
      <c r="CR4374" s="416"/>
      <c r="CS4374" s="650"/>
      <c r="CU4374" s="73"/>
      <c r="CV4374" s="73"/>
      <c r="CW4374" s="73"/>
      <c r="CX4374" s="73"/>
      <c r="DA4374" s="650"/>
    </row>
    <row r="4375" spans="1:105" s="45" customFormat="1" x14ac:dyDescent="0.2">
      <c r="A4375" s="650"/>
      <c r="B4375" s="438"/>
      <c r="D4375" s="73"/>
      <c r="E4375" s="650"/>
      <c r="F4375" s="650"/>
      <c r="G4375" s="73"/>
      <c r="I4375" s="111"/>
      <c r="J4375" s="81"/>
      <c r="K4375" s="81"/>
      <c r="L4375" s="499"/>
      <c r="M4375" s="73"/>
      <c r="N4375" s="499"/>
      <c r="O4375" s="73"/>
      <c r="P4375" s="73"/>
      <c r="Q4375" s="73"/>
      <c r="R4375" s="176"/>
      <c r="S4375" s="176"/>
      <c r="T4375" s="176"/>
      <c r="U4375" s="400"/>
      <c r="V4375" s="400"/>
      <c r="W4375" s="732"/>
      <c r="X4375" s="167"/>
      <c r="Y4375" s="509"/>
      <c r="Z4375" s="466"/>
      <c r="AA4375" s="466"/>
      <c r="AB4375" s="466"/>
      <c r="AC4375" s="466"/>
      <c r="AD4375" s="466"/>
      <c r="AE4375" s="466"/>
      <c r="AF4375" s="466"/>
      <c r="AG4375" s="466"/>
      <c r="AH4375" s="466"/>
      <c r="AI4375" s="466"/>
      <c r="AJ4375" s="466"/>
      <c r="AK4375" s="466"/>
      <c r="AL4375" s="466"/>
      <c r="AM4375" s="466"/>
      <c r="AN4375" s="466"/>
      <c r="AO4375" s="466"/>
      <c r="AP4375" s="466"/>
      <c r="AQ4375" s="466"/>
      <c r="AR4375" s="466"/>
      <c r="AS4375" s="466"/>
      <c r="AT4375" s="466"/>
      <c r="AU4375" s="466"/>
      <c r="AV4375" s="466"/>
      <c r="AW4375" s="466"/>
      <c r="AX4375" s="466"/>
      <c r="AY4375" s="466"/>
      <c r="AZ4375" s="466"/>
      <c r="BA4375" s="466"/>
      <c r="BB4375" s="466"/>
      <c r="BC4375" s="466"/>
      <c r="BD4375" s="466"/>
      <c r="BE4375" s="467"/>
      <c r="BF4375" s="467"/>
      <c r="BG4375" s="466"/>
      <c r="BH4375" s="466"/>
      <c r="BI4375" s="467"/>
      <c r="BJ4375" s="467"/>
      <c r="BK4375" s="467"/>
      <c r="BL4375" s="467"/>
      <c r="BM4375" s="467"/>
      <c r="BN4375" s="467"/>
      <c r="BO4375" s="467"/>
      <c r="BP4375" s="467"/>
      <c r="BQ4375" s="467"/>
      <c r="BR4375" s="467"/>
      <c r="BS4375" s="467"/>
      <c r="BT4375" s="467"/>
      <c r="BU4375" s="467"/>
      <c r="BV4375" s="467"/>
      <c r="BW4375" s="467"/>
      <c r="BX4375" s="769"/>
      <c r="BY4375" s="769"/>
      <c r="BZ4375" s="769"/>
      <c r="CA4375" s="769"/>
      <c r="CB4375" s="769"/>
      <c r="CC4375" s="769"/>
      <c r="CD4375" s="769"/>
      <c r="CE4375" s="769"/>
      <c r="CF4375" s="769"/>
      <c r="CG4375" s="73"/>
      <c r="CH4375" s="438"/>
      <c r="CI4375" s="416"/>
      <c r="CJ4375" s="73"/>
      <c r="CK4375" s="650"/>
      <c r="CL4375" s="499"/>
      <c r="CM4375" s="650"/>
      <c r="CR4375" s="416"/>
      <c r="CS4375" s="650"/>
      <c r="CU4375" s="73"/>
      <c r="CV4375" s="73"/>
      <c r="CW4375" s="73"/>
      <c r="CX4375" s="73"/>
      <c r="DA4375" s="650"/>
    </row>
    <row r="4376" spans="1:105" s="45" customFormat="1" x14ac:dyDescent="0.2">
      <c r="A4376" s="650"/>
      <c r="B4376" s="438"/>
      <c r="D4376" s="73"/>
      <c r="E4376" s="650"/>
      <c r="F4376" s="650"/>
      <c r="G4376" s="73"/>
      <c r="I4376" s="111"/>
      <c r="J4376" s="81"/>
      <c r="K4376" s="81"/>
      <c r="L4376" s="499"/>
      <c r="M4376" s="73"/>
      <c r="N4376" s="499"/>
      <c r="O4376" s="73"/>
      <c r="P4376" s="73"/>
      <c r="Q4376" s="73"/>
      <c r="R4376" s="176"/>
      <c r="S4376" s="176"/>
      <c r="T4376" s="176"/>
      <c r="U4376" s="400"/>
      <c r="V4376" s="400"/>
      <c r="W4376" s="732"/>
      <c r="X4376" s="167"/>
      <c r="Y4376" s="509"/>
      <c r="Z4376" s="466"/>
      <c r="AA4376" s="466"/>
      <c r="AB4376" s="466"/>
      <c r="AC4376" s="466"/>
      <c r="AD4376" s="466"/>
      <c r="AE4376" s="466"/>
      <c r="AF4376" s="466"/>
      <c r="AG4376" s="466"/>
      <c r="AH4376" s="466"/>
      <c r="AI4376" s="466"/>
      <c r="AJ4376" s="466"/>
      <c r="AK4376" s="466"/>
      <c r="AL4376" s="466"/>
      <c r="AM4376" s="466"/>
      <c r="AN4376" s="466"/>
      <c r="AO4376" s="466"/>
      <c r="AP4376" s="466"/>
      <c r="AQ4376" s="466"/>
      <c r="AR4376" s="466"/>
      <c r="AS4376" s="466"/>
      <c r="AT4376" s="466"/>
      <c r="AU4376" s="466"/>
      <c r="AV4376" s="466"/>
      <c r="AW4376" s="466"/>
      <c r="AX4376" s="466"/>
      <c r="AY4376" s="466"/>
      <c r="AZ4376" s="466"/>
      <c r="BA4376" s="466"/>
      <c r="BB4376" s="466"/>
      <c r="BC4376" s="466"/>
      <c r="BD4376" s="466"/>
      <c r="BE4376" s="467"/>
      <c r="BF4376" s="467"/>
      <c r="BG4376" s="466"/>
      <c r="BH4376" s="466"/>
      <c r="BI4376" s="467"/>
      <c r="BJ4376" s="467"/>
      <c r="BK4376" s="467"/>
      <c r="BL4376" s="467"/>
      <c r="BM4376" s="467"/>
      <c r="BN4376" s="467"/>
      <c r="BO4376" s="467"/>
      <c r="BP4376" s="467"/>
      <c r="BQ4376" s="467"/>
      <c r="BR4376" s="467"/>
      <c r="BS4376" s="467"/>
      <c r="BT4376" s="467"/>
      <c r="BU4376" s="467"/>
      <c r="BV4376" s="467"/>
      <c r="BW4376" s="467"/>
      <c r="BX4376" s="769"/>
      <c r="BY4376" s="769"/>
      <c r="BZ4376" s="769"/>
      <c r="CA4376" s="769"/>
      <c r="CB4376" s="769"/>
      <c r="CC4376" s="769"/>
      <c r="CD4376" s="769"/>
      <c r="CE4376" s="769"/>
      <c r="CF4376" s="769"/>
      <c r="CG4376" s="73"/>
      <c r="CH4376" s="438"/>
      <c r="CI4376" s="416"/>
      <c r="CJ4376" s="73"/>
      <c r="CK4376" s="650"/>
      <c r="CL4376" s="499"/>
      <c r="CM4376" s="650"/>
      <c r="CR4376" s="416"/>
      <c r="CS4376" s="650"/>
      <c r="CU4376" s="73"/>
      <c r="CV4376" s="73"/>
      <c r="CW4376" s="73"/>
      <c r="CX4376" s="73"/>
      <c r="DA4376" s="650"/>
    </row>
    <row r="4377" spans="1:105" s="45" customFormat="1" x14ac:dyDescent="0.2">
      <c r="A4377" s="650"/>
      <c r="B4377" s="438"/>
      <c r="D4377" s="73"/>
      <c r="E4377" s="650"/>
      <c r="F4377" s="650"/>
      <c r="G4377" s="73"/>
      <c r="I4377" s="111"/>
      <c r="J4377" s="81"/>
      <c r="K4377" s="81"/>
      <c r="L4377" s="499"/>
      <c r="M4377" s="73"/>
      <c r="N4377" s="499"/>
      <c r="O4377" s="73"/>
      <c r="P4377" s="73"/>
      <c r="Q4377" s="73"/>
      <c r="R4377" s="176"/>
      <c r="S4377" s="176"/>
      <c r="T4377" s="176"/>
      <c r="U4377" s="400"/>
      <c r="V4377" s="400"/>
      <c r="W4377" s="732"/>
      <c r="X4377" s="167"/>
      <c r="Y4377" s="509"/>
      <c r="Z4377" s="466"/>
      <c r="AA4377" s="466"/>
      <c r="AB4377" s="466"/>
      <c r="AC4377" s="466"/>
      <c r="AD4377" s="466"/>
      <c r="AE4377" s="466"/>
      <c r="AF4377" s="466"/>
      <c r="AG4377" s="466"/>
      <c r="AH4377" s="466"/>
      <c r="AI4377" s="466"/>
      <c r="AJ4377" s="466"/>
      <c r="AK4377" s="466"/>
      <c r="AL4377" s="466"/>
      <c r="AM4377" s="466"/>
      <c r="AN4377" s="466"/>
      <c r="AO4377" s="466"/>
      <c r="AP4377" s="466"/>
      <c r="AQ4377" s="466"/>
      <c r="AR4377" s="466"/>
      <c r="AS4377" s="466"/>
      <c r="AT4377" s="466"/>
      <c r="AU4377" s="466"/>
      <c r="AV4377" s="466"/>
      <c r="AW4377" s="466"/>
      <c r="AX4377" s="466"/>
      <c r="AY4377" s="466"/>
      <c r="AZ4377" s="466"/>
      <c r="BA4377" s="466"/>
      <c r="BB4377" s="466"/>
      <c r="BC4377" s="466"/>
      <c r="BD4377" s="466"/>
      <c r="BE4377" s="467"/>
      <c r="BF4377" s="467"/>
      <c r="BG4377" s="466"/>
      <c r="BH4377" s="466"/>
      <c r="BI4377" s="467"/>
      <c r="BJ4377" s="467"/>
      <c r="BK4377" s="467"/>
      <c r="BL4377" s="467"/>
      <c r="BM4377" s="467"/>
      <c r="BN4377" s="467"/>
      <c r="BO4377" s="467"/>
      <c r="BP4377" s="467"/>
      <c r="BQ4377" s="467"/>
      <c r="BR4377" s="467"/>
      <c r="BS4377" s="467"/>
      <c r="BT4377" s="467"/>
      <c r="BU4377" s="467"/>
      <c r="BV4377" s="467"/>
      <c r="BW4377" s="467"/>
      <c r="BX4377" s="769"/>
      <c r="BY4377" s="769"/>
      <c r="BZ4377" s="769"/>
      <c r="CA4377" s="769"/>
      <c r="CB4377" s="769"/>
      <c r="CC4377" s="769"/>
      <c r="CD4377" s="769"/>
      <c r="CE4377" s="769"/>
      <c r="CF4377" s="769"/>
      <c r="CG4377" s="73"/>
      <c r="CH4377" s="438"/>
      <c r="CI4377" s="416"/>
      <c r="CJ4377" s="73"/>
      <c r="CK4377" s="650"/>
      <c r="CL4377" s="499"/>
      <c r="CM4377" s="650"/>
      <c r="CR4377" s="416"/>
      <c r="CS4377" s="650"/>
      <c r="CU4377" s="73"/>
      <c r="CV4377" s="73"/>
      <c r="CW4377" s="73"/>
      <c r="CX4377" s="73"/>
      <c r="DA4377" s="650"/>
    </row>
    <row r="4378" spans="1:105" s="45" customFormat="1" x14ac:dyDescent="0.2">
      <c r="A4378" s="650"/>
      <c r="B4378" s="438"/>
      <c r="D4378" s="73"/>
      <c r="E4378" s="650"/>
      <c r="F4378" s="650"/>
      <c r="G4378" s="73"/>
      <c r="I4378" s="111"/>
      <c r="J4378" s="81"/>
      <c r="K4378" s="81"/>
      <c r="L4378" s="499"/>
      <c r="M4378" s="73"/>
      <c r="N4378" s="499"/>
      <c r="O4378" s="73"/>
      <c r="P4378" s="73"/>
      <c r="Q4378" s="73"/>
      <c r="R4378" s="176"/>
      <c r="S4378" s="176"/>
      <c r="T4378" s="176"/>
      <c r="U4378" s="400"/>
      <c r="V4378" s="400"/>
      <c r="W4378" s="732"/>
      <c r="X4378" s="167"/>
      <c r="Y4378" s="509"/>
      <c r="Z4378" s="466"/>
      <c r="AA4378" s="466"/>
      <c r="AB4378" s="466"/>
      <c r="AC4378" s="466"/>
      <c r="AD4378" s="466"/>
      <c r="AE4378" s="466"/>
      <c r="AF4378" s="466"/>
      <c r="AG4378" s="466"/>
      <c r="AH4378" s="466"/>
      <c r="AI4378" s="466"/>
      <c r="AJ4378" s="466"/>
      <c r="AK4378" s="466"/>
      <c r="AL4378" s="466"/>
      <c r="AM4378" s="466"/>
      <c r="AN4378" s="466"/>
      <c r="AO4378" s="466"/>
      <c r="AP4378" s="466"/>
      <c r="AQ4378" s="466"/>
      <c r="AR4378" s="466"/>
      <c r="AS4378" s="466"/>
      <c r="AT4378" s="466"/>
      <c r="AU4378" s="466"/>
      <c r="AV4378" s="466"/>
      <c r="AW4378" s="466"/>
      <c r="AX4378" s="466"/>
      <c r="AY4378" s="466"/>
      <c r="AZ4378" s="466"/>
      <c r="BA4378" s="466"/>
      <c r="BB4378" s="466"/>
      <c r="BC4378" s="466"/>
      <c r="BD4378" s="466"/>
      <c r="BE4378" s="467"/>
      <c r="BF4378" s="467"/>
      <c r="BG4378" s="466"/>
      <c r="BH4378" s="466"/>
      <c r="BI4378" s="467"/>
      <c r="BJ4378" s="467"/>
      <c r="BK4378" s="467"/>
      <c r="BL4378" s="467"/>
      <c r="BM4378" s="467"/>
      <c r="BN4378" s="467"/>
      <c r="BO4378" s="467"/>
      <c r="BP4378" s="467"/>
      <c r="BQ4378" s="467"/>
      <c r="BR4378" s="467"/>
      <c r="BS4378" s="467"/>
      <c r="BT4378" s="467"/>
      <c r="BU4378" s="467"/>
      <c r="BV4378" s="467"/>
      <c r="BW4378" s="467"/>
      <c r="BX4378" s="769"/>
      <c r="BY4378" s="769"/>
      <c r="BZ4378" s="769"/>
      <c r="CA4378" s="769"/>
      <c r="CB4378" s="769"/>
      <c r="CC4378" s="769"/>
      <c r="CD4378" s="769"/>
      <c r="CE4378" s="769"/>
      <c r="CF4378" s="769"/>
      <c r="CG4378" s="73"/>
      <c r="CH4378" s="438"/>
      <c r="CI4378" s="416"/>
      <c r="CJ4378" s="73"/>
      <c r="CK4378" s="650"/>
      <c r="CL4378" s="499"/>
      <c r="CM4378" s="650"/>
      <c r="CR4378" s="416"/>
      <c r="CS4378" s="650"/>
      <c r="CU4378" s="73"/>
      <c r="CV4378" s="73"/>
      <c r="CW4378" s="73"/>
      <c r="CX4378" s="73"/>
      <c r="DA4378" s="650"/>
    </row>
    <row r="4379" spans="1:105" s="45" customFormat="1" x14ac:dyDescent="0.2">
      <c r="A4379" s="650"/>
      <c r="B4379" s="438"/>
      <c r="D4379" s="73"/>
      <c r="E4379" s="650"/>
      <c r="F4379" s="650"/>
      <c r="G4379" s="73"/>
      <c r="I4379" s="111"/>
      <c r="J4379" s="81"/>
      <c r="K4379" s="81"/>
      <c r="L4379" s="499"/>
      <c r="M4379" s="73"/>
      <c r="N4379" s="499"/>
      <c r="O4379" s="73"/>
      <c r="P4379" s="73"/>
      <c r="Q4379" s="73"/>
      <c r="R4379" s="176"/>
      <c r="S4379" s="176"/>
      <c r="T4379" s="176"/>
      <c r="U4379" s="400"/>
      <c r="V4379" s="400"/>
      <c r="W4379" s="732"/>
      <c r="X4379" s="167"/>
      <c r="Y4379" s="509"/>
      <c r="Z4379" s="466"/>
      <c r="AA4379" s="466"/>
      <c r="AB4379" s="466"/>
      <c r="AC4379" s="466"/>
      <c r="AD4379" s="466"/>
      <c r="AE4379" s="466"/>
      <c r="AF4379" s="466"/>
      <c r="AG4379" s="466"/>
      <c r="AH4379" s="466"/>
      <c r="AI4379" s="466"/>
      <c r="AJ4379" s="466"/>
      <c r="AK4379" s="466"/>
      <c r="AL4379" s="466"/>
      <c r="AM4379" s="466"/>
      <c r="AN4379" s="466"/>
      <c r="AO4379" s="466"/>
      <c r="AP4379" s="466"/>
      <c r="AQ4379" s="466"/>
      <c r="AR4379" s="466"/>
      <c r="AS4379" s="466"/>
      <c r="AT4379" s="466"/>
      <c r="AU4379" s="466"/>
      <c r="AV4379" s="466"/>
      <c r="AW4379" s="466"/>
      <c r="AX4379" s="466"/>
      <c r="AY4379" s="466"/>
      <c r="AZ4379" s="466"/>
      <c r="BA4379" s="466"/>
      <c r="BB4379" s="466"/>
      <c r="BC4379" s="466"/>
      <c r="BD4379" s="466"/>
      <c r="BE4379" s="467"/>
      <c r="BF4379" s="467"/>
      <c r="BG4379" s="466"/>
      <c r="BH4379" s="466"/>
      <c r="BI4379" s="467"/>
      <c r="BJ4379" s="467"/>
      <c r="BK4379" s="467"/>
      <c r="BL4379" s="467"/>
      <c r="BM4379" s="467"/>
      <c r="BN4379" s="467"/>
      <c r="BO4379" s="467"/>
      <c r="BP4379" s="467"/>
      <c r="BQ4379" s="467"/>
      <c r="BR4379" s="467"/>
      <c r="BS4379" s="467"/>
      <c r="BT4379" s="467"/>
      <c r="BU4379" s="467"/>
      <c r="BV4379" s="467"/>
      <c r="BW4379" s="467"/>
      <c r="BX4379" s="769"/>
      <c r="BY4379" s="769"/>
      <c r="BZ4379" s="769"/>
      <c r="CA4379" s="769"/>
      <c r="CB4379" s="769"/>
      <c r="CC4379" s="769"/>
      <c r="CD4379" s="769"/>
      <c r="CE4379" s="769"/>
      <c r="CF4379" s="769"/>
      <c r="CG4379" s="73"/>
      <c r="CH4379" s="438"/>
      <c r="CI4379" s="416"/>
      <c r="CJ4379" s="73"/>
      <c r="CK4379" s="650"/>
      <c r="CL4379" s="499"/>
      <c r="CM4379" s="650"/>
      <c r="CR4379" s="416"/>
      <c r="CS4379" s="650"/>
      <c r="CU4379" s="73"/>
      <c r="CV4379" s="73"/>
      <c r="CW4379" s="73"/>
      <c r="CX4379" s="73"/>
      <c r="DA4379" s="650"/>
    </row>
    <row r="4380" spans="1:105" s="45" customFormat="1" x14ac:dyDescent="0.2">
      <c r="A4380" s="650"/>
      <c r="B4380" s="438"/>
      <c r="D4380" s="73"/>
      <c r="E4380" s="650"/>
      <c r="F4380" s="650"/>
      <c r="G4380" s="73"/>
      <c r="I4380" s="111"/>
      <c r="J4380" s="81"/>
      <c r="K4380" s="81"/>
      <c r="L4380" s="499"/>
      <c r="M4380" s="73"/>
      <c r="N4380" s="499"/>
      <c r="O4380" s="73"/>
      <c r="P4380" s="73"/>
      <c r="Q4380" s="73"/>
      <c r="R4380" s="176"/>
      <c r="S4380" s="176"/>
      <c r="T4380" s="176"/>
      <c r="U4380" s="400"/>
      <c r="V4380" s="400"/>
      <c r="W4380" s="732"/>
      <c r="X4380" s="167"/>
      <c r="Y4380" s="509"/>
      <c r="Z4380" s="466"/>
      <c r="AA4380" s="466"/>
      <c r="AB4380" s="466"/>
      <c r="AC4380" s="466"/>
      <c r="AD4380" s="466"/>
      <c r="AE4380" s="466"/>
      <c r="AF4380" s="466"/>
      <c r="AG4380" s="466"/>
      <c r="AH4380" s="466"/>
      <c r="AI4380" s="466"/>
      <c r="AJ4380" s="466"/>
      <c r="AK4380" s="466"/>
      <c r="AL4380" s="466"/>
      <c r="AM4380" s="466"/>
      <c r="AN4380" s="466"/>
      <c r="AO4380" s="466"/>
      <c r="AP4380" s="466"/>
      <c r="AQ4380" s="466"/>
      <c r="AR4380" s="466"/>
      <c r="AS4380" s="466"/>
      <c r="AT4380" s="466"/>
      <c r="AU4380" s="466"/>
      <c r="AV4380" s="466"/>
      <c r="AW4380" s="466"/>
      <c r="AX4380" s="466"/>
      <c r="AY4380" s="466"/>
      <c r="AZ4380" s="466"/>
      <c r="BA4380" s="466"/>
      <c r="BB4380" s="466"/>
      <c r="BC4380" s="466"/>
      <c r="BD4380" s="466"/>
      <c r="BE4380" s="467"/>
      <c r="BF4380" s="467"/>
      <c r="BG4380" s="466"/>
      <c r="BH4380" s="466"/>
      <c r="BI4380" s="467"/>
      <c r="BJ4380" s="467"/>
      <c r="BK4380" s="467"/>
      <c r="BL4380" s="467"/>
      <c r="BM4380" s="467"/>
      <c r="BN4380" s="467"/>
      <c r="BO4380" s="467"/>
      <c r="BP4380" s="467"/>
      <c r="BQ4380" s="467"/>
      <c r="BR4380" s="467"/>
      <c r="BS4380" s="467"/>
      <c r="BT4380" s="467"/>
      <c r="BU4380" s="467"/>
      <c r="BV4380" s="467"/>
      <c r="BW4380" s="467"/>
      <c r="BX4380" s="769"/>
      <c r="BY4380" s="769"/>
      <c r="BZ4380" s="769"/>
      <c r="CA4380" s="769"/>
      <c r="CB4380" s="769"/>
      <c r="CC4380" s="769"/>
      <c r="CD4380" s="769"/>
      <c r="CE4380" s="769"/>
      <c r="CF4380" s="769"/>
      <c r="CG4380" s="73"/>
      <c r="CH4380" s="438"/>
      <c r="CI4380" s="416"/>
      <c r="CJ4380" s="73"/>
      <c r="CK4380" s="650"/>
      <c r="CL4380" s="499"/>
      <c r="CM4380" s="650"/>
      <c r="CR4380" s="416"/>
      <c r="CS4380" s="650"/>
      <c r="CU4380" s="73"/>
      <c r="CV4380" s="73"/>
      <c r="CW4380" s="73"/>
      <c r="CX4380" s="73"/>
      <c r="DA4380" s="650"/>
    </row>
    <row r="4381" spans="1:105" s="45" customFormat="1" x14ac:dyDescent="0.2">
      <c r="A4381" s="650"/>
      <c r="B4381" s="438"/>
      <c r="D4381" s="73"/>
      <c r="E4381" s="650"/>
      <c r="F4381" s="650"/>
      <c r="G4381" s="73"/>
      <c r="I4381" s="111"/>
      <c r="J4381" s="81"/>
      <c r="K4381" s="81"/>
      <c r="L4381" s="499"/>
      <c r="M4381" s="73"/>
      <c r="N4381" s="499"/>
      <c r="O4381" s="73"/>
      <c r="P4381" s="73"/>
      <c r="Q4381" s="73"/>
      <c r="R4381" s="176"/>
      <c r="S4381" s="176"/>
      <c r="T4381" s="176"/>
      <c r="U4381" s="400"/>
      <c r="V4381" s="400"/>
      <c r="W4381" s="732"/>
      <c r="X4381" s="167"/>
      <c r="Y4381" s="509"/>
      <c r="Z4381" s="466"/>
      <c r="AA4381" s="466"/>
      <c r="AB4381" s="466"/>
      <c r="AC4381" s="466"/>
      <c r="AD4381" s="466"/>
      <c r="AE4381" s="466"/>
      <c r="AF4381" s="466"/>
      <c r="AG4381" s="466"/>
      <c r="AH4381" s="466"/>
      <c r="AI4381" s="466"/>
      <c r="AJ4381" s="466"/>
      <c r="AK4381" s="466"/>
      <c r="AL4381" s="466"/>
      <c r="AM4381" s="466"/>
      <c r="AN4381" s="466"/>
      <c r="AO4381" s="466"/>
      <c r="AP4381" s="466"/>
      <c r="AQ4381" s="466"/>
      <c r="AR4381" s="466"/>
      <c r="AS4381" s="466"/>
      <c r="AT4381" s="466"/>
      <c r="AU4381" s="466"/>
      <c r="AV4381" s="466"/>
      <c r="AW4381" s="466"/>
      <c r="AX4381" s="466"/>
      <c r="AY4381" s="466"/>
      <c r="AZ4381" s="466"/>
      <c r="BA4381" s="466"/>
      <c r="BB4381" s="466"/>
      <c r="BC4381" s="466"/>
      <c r="BD4381" s="466"/>
      <c r="BE4381" s="467"/>
      <c r="BF4381" s="467"/>
      <c r="BG4381" s="466"/>
      <c r="BH4381" s="466"/>
      <c r="BI4381" s="467"/>
      <c r="BJ4381" s="467"/>
      <c r="BK4381" s="467"/>
      <c r="BL4381" s="467"/>
      <c r="BM4381" s="467"/>
      <c r="BN4381" s="467"/>
      <c r="BO4381" s="467"/>
      <c r="BP4381" s="467"/>
      <c r="BQ4381" s="467"/>
      <c r="BR4381" s="467"/>
      <c r="BS4381" s="467"/>
      <c r="BT4381" s="467"/>
      <c r="BU4381" s="467"/>
      <c r="BV4381" s="467"/>
      <c r="BW4381" s="467"/>
      <c r="BX4381" s="769"/>
      <c r="BY4381" s="769"/>
      <c r="BZ4381" s="769"/>
      <c r="CA4381" s="769"/>
      <c r="CB4381" s="769"/>
      <c r="CC4381" s="769"/>
      <c r="CD4381" s="769"/>
      <c r="CE4381" s="769"/>
      <c r="CF4381" s="769"/>
      <c r="CG4381" s="73"/>
      <c r="CH4381" s="438"/>
      <c r="CI4381" s="416"/>
      <c r="CJ4381" s="73"/>
      <c r="CK4381" s="650"/>
      <c r="CL4381" s="499"/>
      <c r="CM4381" s="650"/>
      <c r="CR4381" s="416"/>
      <c r="CS4381" s="650"/>
      <c r="CU4381" s="73"/>
      <c r="CV4381" s="73"/>
      <c r="CW4381" s="73"/>
      <c r="CX4381" s="73"/>
      <c r="DA4381" s="650"/>
    </row>
    <row r="4382" spans="1:105" s="45" customFormat="1" x14ac:dyDescent="0.2">
      <c r="A4382" s="650"/>
      <c r="B4382" s="438"/>
      <c r="D4382" s="73"/>
      <c r="E4382" s="650"/>
      <c r="F4382" s="650"/>
      <c r="G4382" s="73"/>
      <c r="I4382" s="111"/>
      <c r="J4382" s="81"/>
      <c r="K4382" s="81"/>
      <c r="L4382" s="499"/>
      <c r="M4382" s="73"/>
      <c r="N4382" s="499"/>
      <c r="O4382" s="73"/>
      <c r="P4382" s="73"/>
      <c r="Q4382" s="73"/>
      <c r="R4382" s="176"/>
      <c r="S4382" s="176"/>
      <c r="T4382" s="176"/>
      <c r="U4382" s="400"/>
      <c r="V4382" s="400"/>
      <c r="W4382" s="732"/>
      <c r="X4382" s="167"/>
      <c r="Y4382" s="509"/>
      <c r="Z4382" s="466"/>
      <c r="AA4382" s="466"/>
      <c r="AB4382" s="466"/>
      <c r="AC4382" s="466"/>
      <c r="AD4382" s="466"/>
      <c r="AE4382" s="466"/>
      <c r="AF4382" s="466"/>
      <c r="AG4382" s="466"/>
      <c r="AH4382" s="466"/>
      <c r="AI4382" s="466"/>
      <c r="AJ4382" s="466"/>
      <c r="AK4382" s="466"/>
      <c r="AL4382" s="466"/>
      <c r="AM4382" s="466"/>
      <c r="AN4382" s="466"/>
      <c r="AO4382" s="466"/>
      <c r="AP4382" s="466"/>
      <c r="AQ4382" s="466"/>
      <c r="AR4382" s="466"/>
      <c r="AS4382" s="466"/>
      <c r="AT4382" s="466"/>
      <c r="AU4382" s="466"/>
      <c r="AV4382" s="466"/>
      <c r="AW4382" s="466"/>
      <c r="AX4382" s="466"/>
      <c r="AY4382" s="466"/>
      <c r="AZ4382" s="466"/>
      <c r="BA4382" s="466"/>
      <c r="BB4382" s="466"/>
      <c r="BC4382" s="466"/>
      <c r="BD4382" s="466"/>
      <c r="BE4382" s="467"/>
      <c r="BF4382" s="467"/>
      <c r="BG4382" s="466"/>
      <c r="BH4382" s="466"/>
      <c r="BI4382" s="467"/>
      <c r="BJ4382" s="467"/>
      <c r="BK4382" s="467"/>
      <c r="BL4382" s="467"/>
      <c r="BM4382" s="467"/>
      <c r="BN4382" s="467"/>
      <c r="BO4382" s="467"/>
      <c r="BP4382" s="467"/>
      <c r="BQ4382" s="467"/>
      <c r="BR4382" s="467"/>
      <c r="BS4382" s="467"/>
      <c r="BT4382" s="467"/>
      <c r="BU4382" s="467"/>
      <c r="BV4382" s="467"/>
      <c r="BW4382" s="467"/>
      <c r="BX4382" s="769"/>
      <c r="BY4382" s="769"/>
      <c r="BZ4382" s="769"/>
      <c r="CA4382" s="769"/>
      <c r="CB4382" s="769"/>
      <c r="CC4382" s="769"/>
      <c r="CD4382" s="769"/>
      <c r="CE4382" s="769"/>
      <c r="CF4382" s="769"/>
      <c r="CG4382" s="73"/>
      <c r="CH4382" s="438"/>
      <c r="CI4382" s="416"/>
      <c r="CJ4382" s="73"/>
      <c r="CK4382" s="650"/>
      <c r="CL4382" s="499"/>
      <c r="CM4382" s="650"/>
      <c r="CR4382" s="416"/>
      <c r="CS4382" s="650"/>
      <c r="CU4382" s="73"/>
      <c r="CV4382" s="73"/>
      <c r="CW4382" s="73"/>
      <c r="CX4382" s="73"/>
      <c r="DA4382" s="650"/>
    </row>
    <row r="4383" spans="1:105" s="45" customFormat="1" x14ac:dyDescent="0.2">
      <c r="A4383" s="650"/>
      <c r="B4383" s="438"/>
      <c r="D4383" s="73"/>
      <c r="E4383" s="650"/>
      <c r="F4383" s="650"/>
      <c r="G4383" s="73"/>
      <c r="I4383" s="111"/>
      <c r="J4383" s="81"/>
      <c r="K4383" s="81"/>
      <c r="L4383" s="499"/>
      <c r="M4383" s="73"/>
      <c r="N4383" s="499"/>
      <c r="O4383" s="73"/>
      <c r="P4383" s="73"/>
      <c r="Q4383" s="73"/>
      <c r="R4383" s="176"/>
      <c r="S4383" s="176"/>
      <c r="T4383" s="176"/>
      <c r="U4383" s="400"/>
      <c r="V4383" s="400"/>
      <c r="W4383" s="732"/>
      <c r="X4383" s="167"/>
      <c r="Y4383" s="509"/>
      <c r="Z4383" s="466"/>
      <c r="AA4383" s="466"/>
      <c r="AB4383" s="466"/>
      <c r="AC4383" s="466"/>
      <c r="AD4383" s="466"/>
      <c r="AE4383" s="466"/>
      <c r="AF4383" s="466"/>
      <c r="AG4383" s="466"/>
      <c r="AH4383" s="466"/>
      <c r="AI4383" s="466"/>
      <c r="AJ4383" s="466"/>
      <c r="AK4383" s="466"/>
      <c r="AL4383" s="466"/>
      <c r="AM4383" s="466"/>
      <c r="AN4383" s="466"/>
      <c r="AO4383" s="466"/>
      <c r="AP4383" s="466"/>
      <c r="AQ4383" s="466"/>
      <c r="AR4383" s="466"/>
      <c r="AS4383" s="466"/>
      <c r="AT4383" s="466"/>
      <c r="AU4383" s="466"/>
      <c r="AV4383" s="466"/>
      <c r="AW4383" s="466"/>
      <c r="AX4383" s="466"/>
      <c r="AY4383" s="466"/>
      <c r="AZ4383" s="466"/>
      <c r="BA4383" s="466"/>
      <c r="BB4383" s="466"/>
      <c r="BC4383" s="466"/>
      <c r="BD4383" s="466"/>
      <c r="BE4383" s="467"/>
      <c r="BF4383" s="467"/>
      <c r="BG4383" s="466"/>
      <c r="BH4383" s="466"/>
      <c r="BI4383" s="467"/>
      <c r="BJ4383" s="467"/>
      <c r="BK4383" s="467"/>
      <c r="BL4383" s="467"/>
      <c r="BM4383" s="467"/>
      <c r="BN4383" s="467"/>
      <c r="BO4383" s="467"/>
      <c r="BP4383" s="467"/>
      <c r="BQ4383" s="467"/>
      <c r="BR4383" s="467"/>
      <c r="BS4383" s="467"/>
      <c r="BT4383" s="467"/>
      <c r="BU4383" s="467"/>
      <c r="BV4383" s="467"/>
      <c r="BW4383" s="467"/>
      <c r="BX4383" s="769"/>
      <c r="BY4383" s="769"/>
      <c r="BZ4383" s="769"/>
      <c r="CA4383" s="769"/>
      <c r="CB4383" s="769"/>
      <c r="CC4383" s="769"/>
      <c r="CD4383" s="769"/>
      <c r="CE4383" s="769"/>
      <c r="CF4383" s="769"/>
      <c r="CG4383" s="73"/>
      <c r="CH4383" s="438"/>
      <c r="CI4383" s="416"/>
      <c r="CJ4383" s="73"/>
      <c r="CK4383" s="650"/>
      <c r="CL4383" s="499"/>
      <c r="CM4383" s="650"/>
      <c r="CR4383" s="416"/>
      <c r="CS4383" s="650"/>
      <c r="CU4383" s="73"/>
      <c r="CV4383" s="73"/>
      <c r="CW4383" s="73"/>
      <c r="CX4383" s="73"/>
      <c r="DA4383" s="650"/>
    </row>
    <row r="4384" spans="1:105" s="45" customFormat="1" x14ac:dyDescent="0.2">
      <c r="A4384" s="650"/>
      <c r="B4384" s="438"/>
      <c r="D4384" s="73"/>
      <c r="E4384" s="650"/>
      <c r="F4384" s="650"/>
      <c r="G4384" s="73"/>
      <c r="I4384" s="111"/>
      <c r="J4384" s="81"/>
      <c r="K4384" s="81"/>
      <c r="L4384" s="499"/>
      <c r="M4384" s="73"/>
      <c r="N4384" s="499"/>
      <c r="O4384" s="73"/>
      <c r="P4384" s="73"/>
      <c r="Q4384" s="73"/>
      <c r="R4384" s="176"/>
      <c r="S4384" s="176"/>
      <c r="T4384" s="176"/>
      <c r="U4384" s="400"/>
      <c r="V4384" s="400"/>
      <c r="W4384" s="732"/>
      <c r="X4384" s="167"/>
      <c r="Y4384" s="509"/>
      <c r="Z4384" s="466"/>
      <c r="AA4384" s="466"/>
      <c r="AB4384" s="466"/>
      <c r="AC4384" s="466"/>
      <c r="AD4384" s="466"/>
      <c r="AE4384" s="466"/>
      <c r="AF4384" s="466"/>
      <c r="AG4384" s="466"/>
      <c r="AH4384" s="466"/>
      <c r="AI4384" s="466"/>
      <c r="AJ4384" s="466"/>
      <c r="AK4384" s="466"/>
      <c r="AL4384" s="466"/>
      <c r="AM4384" s="466"/>
      <c r="AN4384" s="466"/>
      <c r="AO4384" s="466"/>
      <c r="AP4384" s="466"/>
      <c r="AQ4384" s="466"/>
      <c r="AR4384" s="466"/>
      <c r="AS4384" s="466"/>
      <c r="AT4384" s="466"/>
      <c r="AU4384" s="466"/>
      <c r="AV4384" s="466"/>
      <c r="AW4384" s="466"/>
      <c r="AX4384" s="466"/>
      <c r="AY4384" s="466"/>
      <c r="AZ4384" s="466"/>
      <c r="BA4384" s="466"/>
      <c r="BB4384" s="466"/>
      <c r="BC4384" s="466"/>
      <c r="BD4384" s="466"/>
      <c r="BE4384" s="467"/>
      <c r="BF4384" s="467"/>
      <c r="BG4384" s="466"/>
      <c r="BH4384" s="466"/>
      <c r="BI4384" s="467"/>
      <c r="BJ4384" s="467"/>
      <c r="BK4384" s="467"/>
      <c r="BL4384" s="467"/>
      <c r="BM4384" s="467"/>
      <c r="BN4384" s="467"/>
      <c r="BO4384" s="467"/>
      <c r="BP4384" s="467"/>
      <c r="BQ4384" s="467"/>
      <c r="BR4384" s="467"/>
      <c r="BS4384" s="467"/>
      <c r="BT4384" s="467"/>
      <c r="BU4384" s="467"/>
      <c r="BV4384" s="467"/>
      <c r="BW4384" s="467"/>
      <c r="BX4384" s="769"/>
      <c r="BY4384" s="769"/>
      <c r="BZ4384" s="769"/>
      <c r="CA4384" s="769"/>
      <c r="CB4384" s="769"/>
      <c r="CC4384" s="769"/>
      <c r="CD4384" s="769"/>
      <c r="CE4384" s="769"/>
      <c r="CF4384" s="769"/>
      <c r="CG4384" s="73"/>
      <c r="CH4384" s="438"/>
      <c r="CI4384" s="416"/>
      <c r="CJ4384" s="73"/>
      <c r="CK4384" s="650"/>
      <c r="CL4384" s="499"/>
      <c r="CM4384" s="650"/>
      <c r="CR4384" s="416"/>
      <c r="CS4384" s="650"/>
      <c r="CU4384" s="73"/>
      <c r="CV4384" s="73"/>
      <c r="CW4384" s="73"/>
      <c r="CX4384" s="73"/>
      <c r="DA4384" s="650"/>
    </row>
    <row r="4385" spans="1:105" s="45" customFormat="1" x14ac:dyDescent="0.2">
      <c r="A4385" s="650"/>
      <c r="B4385" s="438"/>
      <c r="D4385" s="73"/>
      <c r="E4385" s="650"/>
      <c r="F4385" s="650"/>
      <c r="G4385" s="73"/>
      <c r="I4385" s="111"/>
      <c r="J4385" s="81"/>
      <c r="K4385" s="81"/>
      <c r="L4385" s="499"/>
      <c r="M4385" s="73"/>
      <c r="N4385" s="499"/>
      <c r="O4385" s="73"/>
      <c r="P4385" s="73"/>
      <c r="Q4385" s="73"/>
      <c r="R4385" s="176"/>
      <c r="S4385" s="176"/>
      <c r="T4385" s="176"/>
      <c r="U4385" s="400"/>
      <c r="V4385" s="400"/>
      <c r="W4385" s="732"/>
      <c r="X4385" s="167"/>
      <c r="Y4385" s="509"/>
      <c r="Z4385" s="466"/>
      <c r="AA4385" s="466"/>
      <c r="AB4385" s="466"/>
      <c r="AC4385" s="466"/>
      <c r="AD4385" s="466"/>
      <c r="AE4385" s="466"/>
      <c r="AF4385" s="466"/>
      <c r="AG4385" s="466"/>
      <c r="AH4385" s="466"/>
      <c r="AI4385" s="466"/>
      <c r="AJ4385" s="466"/>
      <c r="AK4385" s="466"/>
      <c r="AL4385" s="466"/>
      <c r="AM4385" s="466"/>
      <c r="AN4385" s="466"/>
      <c r="AO4385" s="466"/>
      <c r="AP4385" s="466"/>
      <c r="AQ4385" s="466"/>
      <c r="AR4385" s="466"/>
      <c r="AS4385" s="466"/>
      <c r="AT4385" s="466"/>
      <c r="AU4385" s="466"/>
      <c r="AV4385" s="466"/>
      <c r="AW4385" s="466"/>
      <c r="AX4385" s="466"/>
      <c r="AY4385" s="466"/>
      <c r="AZ4385" s="466"/>
      <c r="BA4385" s="466"/>
      <c r="BB4385" s="466"/>
      <c r="BC4385" s="466"/>
      <c r="BD4385" s="466"/>
      <c r="BE4385" s="467"/>
      <c r="BF4385" s="467"/>
      <c r="BG4385" s="466"/>
      <c r="BH4385" s="466"/>
      <c r="BI4385" s="467"/>
      <c r="BJ4385" s="467"/>
      <c r="BK4385" s="467"/>
      <c r="BL4385" s="467"/>
      <c r="BM4385" s="467"/>
      <c r="BN4385" s="467"/>
      <c r="BO4385" s="467"/>
      <c r="BP4385" s="467"/>
      <c r="BQ4385" s="467"/>
      <c r="BR4385" s="467"/>
      <c r="BS4385" s="467"/>
      <c r="BT4385" s="467"/>
      <c r="BU4385" s="467"/>
      <c r="BV4385" s="467"/>
      <c r="BW4385" s="467"/>
      <c r="BX4385" s="769"/>
      <c r="BY4385" s="769"/>
      <c r="BZ4385" s="769"/>
      <c r="CA4385" s="769"/>
      <c r="CB4385" s="769"/>
      <c r="CC4385" s="769"/>
      <c r="CD4385" s="769"/>
      <c r="CE4385" s="769"/>
      <c r="CF4385" s="769"/>
      <c r="CG4385" s="73"/>
      <c r="CH4385" s="438"/>
      <c r="CI4385" s="416"/>
      <c r="CJ4385" s="73"/>
      <c r="CK4385" s="650"/>
      <c r="CL4385" s="499"/>
      <c r="CM4385" s="650"/>
      <c r="CR4385" s="416"/>
      <c r="CS4385" s="650"/>
      <c r="CU4385" s="73"/>
      <c r="CV4385" s="73"/>
      <c r="CW4385" s="73"/>
      <c r="CX4385" s="73"/>
      <c r="DA4385" s="650"/>
    </row>
    <row r="4386" spans="1:105" s="45" customFormat="1" x14ac:dyDescent="0.2">
      <c r="A4386" s="650"/>
      <c r="B4386" s="438"/>
      <c r="D4386" s="73"/>
      <c r="E4386" s="650"/>
      <c r="F4386" s="650"/>
      <c r="G4386" s="73"/>
      <c r="I4386" s="111"/>
      <c r="J4386" s="81"/>
      <c r="K4386" s="81"/>
      <c r="L4386" s="499"/>
      <c r="M4386" s="73"/>
      <c r="N4386" s="499"/>
      <c r="O4386" s="73"/>
      <c r="P4386" s="73"/>
      <c r="Q4386" s="73"/>
      <c r="R4386" s="176"/>
      <c r="S4386" s="176"/>
      <c r="T4386" s="176"/>
      <c r="U4386" s="400"/>
      <c r="V4386" s="400"/>
      <c r="W4386" s="732"/>
      <c r="X4386" s="167"/>
      <c r="Y4386" s="509"/>
      <c r="Z4386" s="466"/>
      <c r="AA4386" s="466"/>
      <c r="AB4386" s="466"/>
      <c r="AC4386" s="466"/>
      <c r="AD4386" s="466"/>
      <c r="AE4386" s="466"/>
      <c r="AF4386" s="466"/>
      <c r="AG4386" s="466"/>
      <c r="AH4386" s="466"/>
      <c r="AI4386" s="466"/>
      <c r="AJ4386" s="466"/>
      <c r="AK4386" s="466"/>
      <c r="AL4386" s="466"/>
      <c r="AM4386" s="466"/>
      <c r="AN4386" s="466"/>
      <c r="AO4386" s="466"/>
      <c r="AP4386" s="466"/>
      <c r="AQ4386" s="466"/>
      <c r="AR4386" s="466"/>
      <c r="AS4386" s="466"/>
      <c r="AT4386" s="466"/>
      <c r="AU4386" s="466"/>
      <c r="AV4386" s="466"/>
      <c r="AW4386" s="466"/>
      <c r="AX4386" s="466"/>
      <c r="AY4386" s="466"/>
      <c r="AZ4386" s="466"/>
      <c r="BA4386" s="466"/>
      <c r="BB4386" s="466"/>
      <c r="BC4386" s="466"/>
      <c r="BD4386" s="466"/>
      <c r="BE4386" s="467"/>
      <c r="BF4386" s="467"/>
      <c r="BG4386" s="466"/>
      <c r="BH4386" s="466"/>
      <c r="BI4386" s="467"/>
      <c r="BJ4386" s="467"/>
      <c r="BK4386" s="467"/>
      <c r="BL4386" s="467"/>
      <c r="BM4386" s="467"/>
      <c r="BN4386" s="467"/>
      <c r="BO4386" s="467"/>
      <c r="BP4386" s="467"/>
      <c r="BQ4386" s="467"/>
      <c r="BR4386" s="467"/>
      <c r="BS4386" s="467"/>
      <c r="BT4386" s="467"/>
      <c r="BU4386" s="467"/>
      <c r="BV4386" s="467"/>
      <c r="BW4386" s="467"/>
      <c r="BX4386" s="769"/>
      <c r="BY4386" s="769"/>
      <c r="BZ4386" s="769"/>
      <c r="CA4386" s="769"/>
      <c r="CB4386" s="769"/>
      <c r="CC4386" s="769"/>
      <c r="CD4386" s="769"/>
      <c r="CE4386" s="769"/>
      <c r="CF4386" s="769"/>
      <c r="CG4386" s="73"/>
      <c r="CH4386" s="438"/>
      <c r="CI4386" s="416"/>
      <c r="CJ4386" s="73"/>
      <c r="CK4386" s="650"/>
      <c r="CL4386" s="499"/>
      <c r="CM4386" s="650"/>
      <c r="CR4386" s="416"/>
      <c r="CS4386" s="650"/>
      <c r="CU4386" s="73"/>
      <c r="CV4386" s="73"/>
      <c r="CW4386" s="73"/>
      <c r="CX4386" s="73"/>
      <c r="DA4386" s="650"/>
    </row>
    <row r="4387" spans="1:105" s="45" customFormat="1" x14ac:dyDescent="0.2">
      <c r="A4387" s="650"/>
      <c r="B4387" s="438"/>
      <c r="D4387" s="73"/>
      <c r="E4387" s="650"/>
      <c r="F4387" s="650"/>
      <c r="G4387" s="73"/>
      <c r="I4387" s="111"/>
      <c r="J4387" s="81"/>
      <c r="K4387" s="81"/>
      <c r="L4387" s="499"/>
      <c r="M4387" s="73"/>
      <c r="N4387" s="499"/>
      <c r="O4387" s="73"/>
      <c r="P4387" s="73"/>
      <c r="Q4387" s="73"/>
      <c r="R4387" s="176"/>
      <c r="S4387" s="176"/>
      <c r="T4387" s="176"/>
      <c r="U4387" s="400"/>
      <c r="V4387" s="400"/>
      <c r="W4387" s="732"/>
      <c r="X4387" s="167"/>
      <c r="Y4387" s="509"/>
      <c r="Z4387" s="466"/>
      <c r="AA4387" s="466"/>
      <c r="AB4387" s="466"/>
      <c r="AC4387" s="466"/>
      <c r="AD4387" s="466"/>
      <c r="AE4387" s="466"/>
      <c r="AF4387" s="466"/>
      <c r="AG4387" s="466"/>
      <c r="AH4387" s="466"/>
      <c r="AI4387" s="466"/>
      <c r="AJ4387" s="466"/>
      <c r="AK4387" s="466"/>
      <c r="AL4387" s="466"/>
      <c r="AM4387" s="466"/>
      <c r="AN4387" s="466"/>
      <c r="AO4387" s="466"/>
      <c r="AP4387" s="466"/>
      <c r="AQ4387" s="466"/>
      <c r="AR4387" s="466"/>
      <c r="AS4387" s="466"/>
      <c r="AT4387" s="466"/>
      <c r="AU4387" s="466"/>
      <c r="AV4387" s="466"/>
      <c r="AW4387" s="466"/>
      <c r="AX4387" s="466"/>
      <c r="AY4387" s="466"/>
      <c r="AZ4387" s="466"/>
      <c r="BA4387" s="466"/>
      <c r="BB4387" s="466"/>
      <c r="BC4387" s="466"/>
      <c r="BD4387" s="466"/>
      <c r="BE4387" s="467"/>
      <c r="BF4387" s="467"/>
      <c r="BG4387" s="466"/>
      <c r="BH4387" s="466"/>
      <c r="BI4387" s="467"/>
      <c r="BJ4387" s="467"/>
      <c r="BK4387" s="467"/>
      <c r="BL4387" s="467"/>
      <c r="BM4387" s="467"/>
      <c r="BN4387" s="467"/>
      <c r="BO4387" s="467"/>
      <c r="BP4387" s="467"/>
      <c r="BQ4387" s="467"/>
      <c r="BR4387" s="467"/>
      <c r="BS4387" s="467"/>
      <c r="BT4387" s="467"/>
      <c r="BU4387" s="467"/>
      <c r="BV4387" s="467"/>
      <c r="BW4387" s="467"/>
      <c r="BX4387" s="769"/>
      <c r="BY4387" s="769"/>
      <c r="BZ4387" s="769"/>
      <c r="CA4387" s="769"/>
      <c r="CB4387" s="769"/>
      <c r="CC4387" s="769"/>
      <c r="CD4387" s="769"/>
      <c r="CE4387" s="769"/>
      <c r="CF4387" s="769"/>
      <c r="CG4387" s="73"/>
      <c r="CH4387" s="438"/>
      <c r="CI4387" s="416"/>
      <c r="CJ4387" s="73"/>
      <c r="CK4387" s="650"/>
      <c r="CL4387" s="499"/>
      <c r="CM4387" s="650"/>
      <c r="CR4387" s="416"/>
      <c r="CS4387" s="650"/>
      <c r="CU4387" s="73"/>
      <c r="CV4387" s="73"/>
      <c r="CW4387" s="73"/>
      <c r="CX4387" s="73"/>
      <c r="DA4387" s="650"/>
    </row>
    <row r="4388" spans="1:105" s="45" customFormat="1" x14ac:dyDescent="0.2">
      <c r="A4388" s="650"/>
      <c r="B4388" s="438"/>
      <c r="D4388" s="73"/>
      <c r="E4388" s="650"/>
      <c r="F4388" s="650"/>
      <c r="G4388" s="73"/>
      <c r="I4388" s="111"/>
      <c r="J4388" s="81"/>
      <c r="K4388" s="81"/>
      <c r="L4388" s="499"/>
      <c r="M4388" s="73"/>
      <c r="N4388" s="499"/>
      <c r="O4388" s="73"/>
      <c r="P4388" s="73"/>
      <c r="Q4388" s="73"/>
      <c r="R4388" s="176"/>
      <c r="S4388" s="176"/>
      <c r="T4388" s="176"/>
      <c r="U4388" s="400"/>
      <c r="V4388" s="400"/>
      <c r="W4388" s="732"/>
      <c r="X4388" s="167"/>
      <c r="Y4388" s="509"/>
      <c r="Z4388" s="466"/>
      <c r="AA4388" s="466"/>
      <c r="AB4388" s="466"/>
      <c r="AC4388" s="466"/>
      <c r="AD4388" s="466"/>
      <c r="AE4388" s="466"/>
      <c r="AF4388" s="466"/>
      <c r="AG4388" s="466"/>
      <c r="AH4388" s="466"/>
      <c r="AI4388" s="466"/>
      <c r="AJ4388" s="466"/>
      <c r="AK4388" s="466"/>
      <c r="AL4388" s="466"/>
      <c r="AM4388" s="466"/>
      <c r="AN4388" s="466"/>
      <c r="AO4388" s="466"/>
      <c r="AP4388" s="466"/>
      <c r="AQ4388" s="466"/>
      <c r="AR4388" s="466"/>
      <c r="AS4388" s="466"/>
      <c r="AT4388" s="466"/>
      <c r="AU4388" s="466"/>
      <c r="AV4388" s="466"/>
      <c r="AW4388" s="466"/>
      <c r="AX4388" s="466"/>
      <c r="AY4388" s="466"/>
      <c r="AZ4388" s="466"/>
      <c r="BA4388" s="466"/>
      <c r="BB4388" s="466"/>
      <c r="BC4388" s="466"/>
      <c r="BD4388" s="466"/>
      <c r="BE4388" s="467"/>
      <c r="BF4388" s="467"/>
      <c r="BG4388" s="466"/>
      <c r="BH4388" s="466"/>
      <c r="BI4388" s="467"/>
      <c r="BJ4388" s="467"/>
      <c r="BK4388" s="467"/>
      <c r="BL4388" s="467"/>
      <c r="BM4388" s="467"/>
      <c r="BN4388" s="467"/>
      <c r="BO4388" s="467"/>
      <c r="BP4388" s="467"/>
      <c r="BQ4388" s="467"/>
      <c r="BR4388" s="467"/>
      <c r="BS4388" s="467"/>
      <c r="BT4388" s="467"/>
      <c r="BU4388" s="467"/>
      <c r="BV4388" s="467"/>
      <c r="BW4388" s="467"/>
      <c r="BX4388" s="769"/>
      <c r="BY4388" s="769"/>
      <c r="BZ4388" s="769"/>
      <c r="CA4388" s="769"/>
      <c r="CB4388" s="769"/>
      <c r="CC4388" s="769"/>
      <c r="CD4388" s="769"/>
      <c r="CE4388" s="769"/>
      <c r="CF4388" s="769"/>
      <c r="CG4388" s="73"/>
      <c r="CH4388" s="438"/>
      <c r="CI4388" s="416"/>
      <c r="CJ4388" s="73"/>
      <c r="CK4388" s="650"/>
      <c r="CL4388" s="499"/>
      <c r="CM4388" s="650"/>
      <c r="CR4388" s="416"/>
      <c r="CS4388" s="650"/>
      <c r="CU4388" s="73"/>
      <c r="CV4388" s="73"/>
      <c r="CW4388" s="73"/>
      <c r="CX4388" s="73"/>
      <c r="DA4388" s="650"/>
    </row>
    <row r="4389" spans="1:105" s="45" customFormat="1" x14ac:dyDescent="0.2">
      <c r="A4389" s="650"/>
      <c r="B4389" s="438"/>
      <c r="D4389" s="73"/>
      <c r="E4389" s="650"/>
      <c r="F4389" s="650"/>
      <c r="G4389" s="73"/>
      <c r="I4389" s="111"/>
      <c r="J4389" s="81"/>
      <c r="K4389" s="81"/>
      <c r="L4389" s="499"/>
      <c r="M4389" s="73"/>
      <c r="N4389" s="499"/>
      <c r="O4389" s="73"/>
      <c r="P4389" s="73"/>
      <c r="Q4389" s="73"/>
      <c r="R4389" s="176"/>
      <c r="S4389" s="176"/>
      <c r="T4389" s="176"/>
      <c r="U4389" s="400"/>
      <c r="V4389" s="400"/>
      <c r="W4389" s="732"/>
      <c r="X4389" s="167"/>
      <c r="Y4389" s="509"/>
      <c r="Z4389" s="466"/>
      <c r="AA4389" s="466"/>
      <c r="AB4389" s="466"/>
      <c r="AC4389" s="466"/>
      <c r="AD4389" s="466"/>
      <c r="AE4389" s="466"/>
      <c r="AF4389" s="466"/>
      <c r="AG4389" s="466"/>
      <c r="AH4389" s="466"/>
      <c r="AI4389" s="466"/>
      <c r="AJ4389" s="466"/>
      <c r="AK4389" s="466"/>
      <c r="AL4389" s="466"/>
      <c r="AM4389" s="466"/>
      <c r="AN4389" s="466"/>
      <c r="AO4389" s="466"/>
      <c r="AP4389" s="466"/>
      <c r="AQ4389" s="466"/>
      <c r="AR4389" s="466"/>
      <c r="AS4389" s="466"/>
      <c r="AT4389" s="466"/>
      <c r="AU4389" s="466"/>
      <c r="AV4389" s="466"/>
      <c r="AW4389" s="466"/>
      <c r="AX4389" s="466"/>
      <c r="AY4389" s="466"/>
      <c r="AZ4389" s="466"/>
      <c r="BA4389" s="466"/>
      <c r="BB4389" s="466"/>
      <c r="BC4389" s="466"/>
      <c r="BD4389" s="466"/>
      <c r="BE4389" s="467"/>
      <c r="BF4389" s="467"/>
      <c r="BG4389" s="466"/>
      <c r="BH4389" s="466"/>
      <c r="BI4389" s="467"/>
      <c r="BJ4389" s="467"/>
      <c r="BK4389" s="467"/>
      <c r="BL4389" s="467"/>
      <c r="BM4389" s="467"/>
      <c r="BN4389" s="467"/>
      <c r="BO4389" s="467"/>
      <c r="BP4389" s="467"/>
      <c r="BQ4389" s="467"/>
      <c r="BR4389" s="467"/>
      <c r="BS4389" s="467"/>
      <c r="BT4389" s="467"/>
      <c r="BU4389" s="467"/>
      <c r="BV4389" s="467"/>
      <c r="BW4389" s="467"/>
      <c r="BX4389" s="769"/>
      <c r="BY4389" s="769"/>
      <c r="BZ4389" s="769"/>
      <c r="CA4389" s="769"/>
      <c r="CB4389" s="769"/>
      <c r="CC4389" s="769"/>
      <c r="CD4389" s="769"/>
      <c r="CE4389" s="769"/>
      <c r="CF4389" s="769"/>
      <c r="CG4389" s="73"/>
      <c r="CH4389" s="438"/>
      <c r="CI4389" s="416"/>
      <c r="CJ4389" s="73"/>
      <c r="CK4389" s="650"/>
      <c r="CL4389" s="499"/>
      <c r="CM4389" s="650"/>
      <c r="CR4389" s="416"/>
      <c r="CS4389" s="650"/>
      <c r="CU4389" s="73"/>
      <c r="CV4389" s="73"/>
      <c r="CW4389" s="73"/>
      <c r="CX4389" s="73"/>
      <c r="DA4389" s="650"/>
    </row>
    <row r="4390" spans="1:105" s="45" customFormat="1" x14ac:dyDescent="0.2">
      <c r="A4390" s="650"/>
      <c r="B4390" s="438"/>
      <c r="D4390" s="73"/>
      <c r="E4390" s="650"/>
      <c r="F4390" s="650"/>
      <c r="G4390" s="73"/>
      <c r="I4390" s="111"/>
      <c r="J4390" s="81"/>
      <c r="K4390" s="81"/>
      <c r="L4390" s="499"/>
      <c r="M4390" s="73"/>
      <c r="N4390" s="499"/>
      <c r="O4390" s="73"/>
      <c r="P4390" s="73"/>
      <c r="Q4390" s="73"/>
      <c r="R4390" s="176"/>
      <c r="S4390" s="176"/>
      <c r="T4390" s="176"/>
      <c r="U4390" s="400"/>
      <c r="V4390" s="400"/>
      <c r="W4390" s="732"/>
      <c r="X4390" s="167"/>
      <c r="Y4390" s="509"/>
      <c r="Z4390" s="466"/>
      <c r="AA4390" s="466"/>
      <c r="AB4390" s="466"/>
      <c r="AC4390" s="466"/>
      <c r="AD4390" s="466"/>
      <c r="AE4390" s="466"/>
      <c r="AF4390" s="466"/>
      <c r="AG4390" s="466"/>
      <c r="AH4390" s="466"/>
      <c r="AI4390" s="466"/>
      <c r="AJ4390" s="466"/>
      <c r="AK4390" s="466"/>
      <c r="AL4390" s="466"/>
      <c r="AM4390" s="466"/>
      <c r="AN4390" s="466"/>
      <c r="AO4390" s="466"/>
      <c r="AP4390" s="466"/>
      <c r="AQ4390" s="466"/>
      <c r="AR4390" s="466"/>
      <c r="AS4390" s="466"/>
      <c r="AT4390" s="466"/>
      <c r="AU4390" s="466"/>
      <c r="AV4390" s="466"/>
      <c r="AW4390" s="466"/>
      <c r="AX4390" s="466"/>
      <c r="AY4390" s="466"/>
      <c r="AZ4390" s="466"/>
      <c r="BA4390" s="466"/>
      <c r="BB4390" s="466"/>
      <c r="BC4390" s="466"/>
      <c r="BD4390" s="466"/>
      <c r="BE4390" s="467"/>
      <c r="BF4390" s="467"/>
      <c r="BG4390" s="466"/>
      <c r="BH4390" s="466"/>
      <c r="BI4390" s="467"/>
      <c r="BJ4390" s="467"/>
      <c r="BK4390" s="467"/>
      <c r="BL4390" s="467"/>
      <c r="BM4390" s="467"/>
      <c r="BN4390" s="467"/>
      <c r="BO4390" s="467"/>
      <c r="BP4390" s="467"/>
      <c r="BQ4390" s="467"/>
      <c r="BR4390" s="467"/>
      <c r="BS4390" s="467"/>
      <c r="BT4390" s="467"/>
      <c r="BU4390" s="467"/>
      <c r="BV4390" s="467"/>
      <c r="BW4390" s="467"/>
      <c r="BX4390" s="769"/>
      <c r="BY4390" s="769"/>
      <c r="BZ4390" s="769"/>
      <c r="CA4390" s="769"/>
      <c r="CB4390" s="769"/>
      <c r="CC4390" s="769"/>
      <c r="CD4390" s="769"/>
      <c r="CE4390" s="769"/>
      <c r="CF4390" s="769"/>
      <c r="CG4390" s="73"/>
      <c r="CH4390" s="438"/>
      <c r="CI4390" s="416"/>
      <c r="CJ4390" s="73"/>
      <c r="CK4390" s="650"/>
      <c r="CL4390" s="499"/>
      <c r="CM4390" s="650"/>
      <c r="CR4390" s="416"/>
      <c r="CS4390" s="650"/>
      <c r="CU4390" s="73"/>
      <c r="CV4390" s="73"/>
      <c r="CW4390" s="73"/>
      <c r="CX4390" s="73"/>
      <c r="DA4390" s="650"/>
    </row>
    <row r="4391" spans="1:105" s="45" customFormat="1" x14ac:dyDescent="0.2">
      <c r="A4391" s="650"/>
      <c r="B4391" s="438"/>
      <c r="D4391" s="73"/>
      <c r="E4391" s="650"/>
      <c r="F4391" s="650"/>
      <c r="G4391" s="73"/>
      <c r="I4391" s="111"/>
      <c r="J4391" s="81"/>
      <c r="K4391" s="81"/>
      <c r="L4391" s="499"/>
      <c r="M4391" s="73"/>
      <c r="N4391" s="499"/>
      <c r="O4391" s="73"/>
      <c r="P4391" s="73"/>
      <c r="Q4391" s="73"/>
      <c r="R4391" s="176"/>
      <c r="S4391" s="176"/>
      <c r="T4391" s="176"/>
      <c r="U4391" s="400"/>
      <c r="V4391" s="400"/>
      <c r="W4391" s="732"/>
      <c r="X4391" s="167"/>
      <c r="Y4391" s="509"/>
      <c r="Z4391" s="466"/>
      <c r="AA4391" s="466"/>
      <c r="AB4391" s="466"/>
      <c r="AC4391" s="466"/>
      <c r="AD4391" s="466"/>
      <c r="AE4391" s="466"/>
      <c r="AF4391" s="466"/>
      <c r="AG4391" s="466"/>
      <c r="AH4391" s="466"/>
      <c r="AI4391" s="466"/>
      <c r="AJ4391" s="466"/>
      <c r="AK4391" s="466"/>
      <c r="AL4391" s="466"/>
      <c r="AM4391" s="466"/>
      <c r="AN4391" s="466"/>
      <c r="AO4391" s="466"/>
      <c r="AP4391" s="466"/>
      <c r="AQ4391" s="466"/>
      <c r="AR4391" s="466"/>
      <c r="AS4391" s="466"/>
      <c r="AT4391" s="466"/>
      <c r="AU4391" s="466"/>
      <c r="AV4391" s="466"/>
      <c r="AW4391" s="466"/>
      <c r="AX4391" s="466"/>
      <c r="AY4391" s="466"/>
      <c r="AZ4391" s="466"/>
      <c r="BA4391" s="466"/>
      <c r="BB4391" s="466"/>
      <c r="BC4391" s="466"/>
      <c r="BD4391" s="466"/>
      <c r="BE4391" s="467"/>
      <c r="BF4391" s="467"/>
      <c r="BG4391" s="466"/>
      <c r="BH4391" s="466"/>
      <c r="BI4391" s="467"/>
      <c r="BJ4391" s="467"/>
      <c r="BK4391" s="467"/>
      <c r="BL4391" s="467"/>
      <c r="BM4391" s="467"/>
      <c r="BN4391" s="467"/>
      <c r="BO4391" s="467"/>
      <c r="BP4391" s="467"/>
      <c r="BQ4391" s="467"/>
      <c r="BR4391" s="467"/>
      <c r="BS4391" s="467"/>
      <c r="BT4391" s="467"/>
      <c r="BU4391" s="467"/>
      <c r="BV4391" s="467"/>
      <c r="BW4391" s="467"/>
      <c r="BX4391" s="769"/>
      <c r="BY4391" s="769"/>
      <c r="BZ4391" s="769"/>
      <c r="CA4391" s="769"/>
      <c r="CB4391" s="769"/>
      <c r="CC4391" s="769"/>
      <c r="CD4391" s="769"/>
      <c r="CE4391" s="769"/>
      <c r="CF4391" s="769"/>
      <c r="CG4391" s="73"/>
      <c r="CH4391" s="438"/>
      <c r="CI4391" s="416"/>
      <c r="CJ4391" s="73"/>
      <c r="CK4391" s="650"/>
      <c r="CL4391" s="499"/>
      <c r="CM4391" s="650"/>
      <c r="CR4391" s="416"/>
      <c r="CS4391" s="650"/>
      <c r="CU4391" s="73"/>
      <c r="CV4391" s="73"/>
      <c r="CW4391" s="73"/>
      <c r="CX4391" s="73"/>
      <c r="DA4391" s="650"/>
    </row>
    <row r="4392" spans="1:105" s="45" customFormat="1" x14ac:dyDescent="0.2">
      <c r="A4392" s="650"/>
      <c r="B4392" s="438"/>
      <c r="D4392" s="73"/>
      <c r="E4392" s="650"/>
      <c r="F4392" s="650"/>
      <c r="G4392" s="73"/>
      <c r="I4392" s="111"/>
      <c r="J4392" s="81"/>
      <c r="K4392" s="81"/>
      <c r="L4392" s="499"/>
      <c r="M4392" s="73"/>
      <c r="N4392" s="499"/>
      <c r="O4392" s="73"/>
      <c r="P4392" s="73"/>
      <c r="Q4392" s="73"/>
      <c r="R4392" s="176"/>
      <c r="S4392" s="176"/>
      <c r="T4392" s="176"/>
      <c r="U4392" s="400"/>
      <c r="V4392" s="400"/>
      <c r="W4392" s="732"/>
      <c r="X4392" s="167"/>
      <c r="Y4392" s="509"/>
      <c r="Z4392" s="466"/>
      <c r="AA4392" s="466"/>
      <c r="AB4392" s="466"/>
      <c r="AC4392" s="466"/>
      <c r="AD4392" s="466"/>
      <c r="AE4392" s="466"/>
      <c r="AF4392" s="466"/>
      <c r="AG4392" s="466"/>
      <c r="AH4392" s="466"/>
      <c r="AI4392" s="466"/>
      <c r="AJ4392" s="466"/>
      <c r="AK4392" s="466"/>
      <c r="AL4392" s="466"/>
      <c r="AM4392" s="466"/>
      <c r="AN4392" s="466"/>
      <c r="AO4392" s="466"/>
      <c r="AP4392" s="466"/>
      <c r="AQ4392" s="466"/>
      <c r="AR4392" s="466"/>
      <c r="AS4392" s="466"/>
      <c r="AT4392" s="466"/>
      <c r="AU4392" s="466"/>
      <c r="AV4392" s="466"/>
      <c r="AW4392" s="466"/>
      <c r="AX4392" s="466"/>
      <c r="AY4392" s="466"/>
      <c r="AZ4392" s="466"/>
      <c r="BA4392" s="466"/>
      <c r="BB4392" s="466"/>
      <c r="BC4392" s="466"/>
      <c r="BD4392" s="466"/>
      <c r="BE4392" s="467"/>
      <c r="BF4392" s="467"/>
      <c r="BG4392" s="466"/>
      <c r="BH4392" s="466"/>
      <c r="BI4392" s="467"/>
      <c r="BJ4392" s="467"/>
      <c r="BK4392" s="467"/>
      <c r="BL4392" s="467"/>
      <c r="BM4392" s="467"/>
      <c r="BN4392" s="467"/>
      <c r="BO4392" s="467"/>
      <c r="BP4392" s="467"/>
      <c r="BQ4392" s="467"/>
      <c r="BR4392" s="467"/>
      <c r="BS4392" s="467"/>
      <c r="BT4392" s="467"/>
      <c r="BU4392" s="467"/>
      <c r="BV4392" s="467"/>
      <c r="BW4392" s="467"/>
      <c r="BX4392" s="769"/>
      <c r="BY4392" s="769"/>
      <c r="BZ4392" s="769"/>
      <c r="CA4392" s="769"/>
      <c r="CB4392" s="769"/>
      <c r="CC4392" s="769"/>
      <c r="CD4392" s="769"/>
      <c r="CE4392" s="769"/>
      <c r="CF4392" s="769"/>
      <c r="CG4392" s="73"/>
      <c r="CH4392" s="438"/>
      <c r="CI4392" s="416"/>
      <c r="CJ4392" s="73"/>
      <c r="CK4392" s="650"/>
      <c r="CL4392" s="499"/>
      <c r="CM4392" s="650"/>
      <c r="CR4392" s="416"/>
      <c r="CS4392" s="650"/>
      <c r="CU4392" s="73"/>
      <c r="CV4392" s="73"/>
      <c r="CW4392" s="73"/>
      <c r="CX4392" s="73"/>
      <c r="DA4392" s="650"/>
    </row>
    <row r="4393" spans="1:105" s="45" customFormat="1" x14ac:dyDescent="0.2">
      <c r="A4393" s="650"/>
      <c r="B4393" s="438"/>
      <c r="D4393" s="73"/>
      <c r="E4393" s="650"/>
      <c r="F4393" s="650"/>
      <c r="G4393" s="73"/>
      <c r="I4393" s="111"/>
      <c r="J4393" s="81"/>
      <c r="K4393" s="81"/>
      <c r="L4393" s="499"/>
      <c r="M4393" s="73"/>
      <c r="N4393" s="499"/>
      <c r="O4393" s="73"/>
      <c r="P4393" s="73"/>
      <c r="Q4393" s="73"/>
      <c r="R4393" s="176"/>
      <c r="S4393" s="176"/>
      <c r="T4393" s="176"/>
      <c r="U4393" s="400"/>
      <c r="V4393" s="400"/>
      <c r="W4393" s="732"/>
      <c r="X4393" s="167"/>
      <c r="Y4393" s="509"/>
      <c r="Z4393" s="466"/>
      <c r="AA4393" s="466"/>
      <c r="AB4393" s="466"/>
      <c r="AC4393" s="466"/>
      <c r="AD4393" s="466"/>
      <c r="AE4393" s="466"/>
      <c r="AF4393" s="466"/>
      <c r="AG4393" s="466"/>
      <c r="AH4393" s="466"/>
      <c r="AI4393" s="466"/>
      <c r="AJ4393" s="466"/>
      <c r="AK4393" s="466"/>
      <c r="AL4393" s="466"/>
      <c r="AM4393" s="466"/>
      <c r="AN4393" s="466"/>
      <c r="AO4393" s="466"/>
      <c r="AP4393" s="466"/>
      <c r="AQ4393" s="466"/>
      <c r="AR4393" s="466"/>
      <c r="AS4393" s="466"/>
      <c r="AT4393" s="466"/>
      <c r="AU4393" s="466"/>
      <c r="AV4393" s="466"/>
      <c r="AW4393" s="466"/>
      <c r="AX4393" s="466"/>
      <c r="AY4393" s="466"/>
      <c r="AZ4393" s="466"/>
      <c r="BA4393" s="466"/>
      <c r="BB4393" s="466"/>
      <c r="BC4393" s="466"/>
      <c r="BD4393" s="466"/>
      <c r="BE4393" s="467"/>
      <c r="BF4393" s="467"/>
      <c r="BG4393" s="466"/>
      <c r="BH4393" s="466"/>
      <c r="BI4393" s="467"/>
      <c r="BJ4393" s="467"/>
      <c r="BK4393" s="467"/>
      <c r="BL4393" s="467"/>
      <c r="BM4393" s="467"/>
      <c r="BN4393" s="467"/>
      <c r="BO4393" s="467"/>
      <c r="BP4393" s="467"/>
      <c r="BQ4393" s="467"/>
      <c r="BR4393" s="467"/>
      <c r="BS4393" s="467"/>
      <c r="BT4393" s="467"/>
      <c r="BU4393" s="467"/>
      <c r="BV4393" s="467"/>
      <c r="BW4393" s="467"/>
      <c r="BX4393" s="769"/>
      <c r="BY4393" s="769"/>
      <c r="BZ4393" s="769"/>
      <c r="CA4393" s="769"/>
      <c r="CB4393" s="769"/>
      <c r="CC4393" s="769"/>
      <c r="CD4393" s="769"/>
      <c r="CE4393" s="769"/>
      <c r="CF4393" s="769"/>
      <c r="CG4393" s="73"/>
      <c r="CH4393" s="438"/>
      <c r="CI4393" s="416"/>
      <c r="CJ4393" s="73"/>
      <c r="CK4393" s="650"/>
      <c r="CL4393" s="499"/>
      <c r="CM4393" s="650"/>
      <c r="CR4393" s="416"/>
      <c r="CS4393" s="650"/>
      <c r="CU4393" s="73"/>
      <c r="CV4393" s="73"/>
      <c r="CW4393" s="73"/>
      <c r="CX4393" s="73"/>
      <c r="DA4393" s="650"/>
    </row>
    <row r="4394" spans="1:105" s="45" customFormat="1" x14ac:dyDescent="0.2">
      <c r="A4394" s="650"/>
      <c r="B4394" s="438"/>
      <c r="D4394" s="73"/>
      <c r="E4394" s="650"/>
      <c r="F4394" s="650"/>
      <c r="G4394" s="73"/>
      <c r="I4394" s="111"/>
      <c r="J4394" s="81"/>
      <c r="K4394" s="81"/>
      <c r="L4394" s="499"/>
      <c r="M4394" s="73"/>
      <c r="N4394" s="499"/>
      <c r="O4394" s="73"/>
      <c r="P4394" s="73"/>
      <c r="Q4394" s="73"/>
      <c r="R4394" s="176"/>
      <c r="S4394" s="176"/>
      <c r="T4394" s="176"/>
      <c r="U4394" s="400"/>
      <c r="V4394" s="400"/>
      <c r="W4394" s="732"/>
      <c r="X4394" s="167"/>
      <c r="Y4394" s="509"/>
      <c r="Z4394" s="466"/>
      <c r="AA4394" s="466"/>
      <c r="AB4394" s="466"/>
      <c r="AC4394" s="466"/>
      <c r="AD4394" s="466"/>
      <c r="AE4394" s="466"/>
      <c r="AF4394" s="466"/>
      <c r="AG4394" s="466"/>
      <c r="AH4394" s="466"/>
      <c r="AI4394" s="466"/>
      <c r="AJ4394" s="466"/>
      <c r="AK4394" s="466"/>
      <c r="AL4394" s="466"/>
      <c r="AM4394" s="466"/>
      <c r="AN4394" s="466"/>
      <c r="AO4394" s="466"/>
      <c r="AP4394" s="466"/>
      <c r="AQ4394" s="466"/>
      <c r="AR4394" s="466"/>
      <c r="AS4394" s="466"/>
      <c r="AT4394" s="466"/>
      <c r="AU4394" s="466"/>
      <c r="AV4394" s="466"/>
      <c r="AW4394" s="466"/>
      <c r="AX4394" s="466"/>
      <c r="AY4394" s="466"/>
      <c r="AZ4394" s="466"/>
      <c r="BA4394" s="466"/>
      <c r="BB4394" s="466"/>
      <c r="BC4394" s="466"/>
      <c r="BD4394" s="466"/>
      <c r="BE4394" s="467"/>
      <c r="BF4394" s="467"/>
      <c r="BG4394" s="466"/>
      <c r="BH4394" s="466"/>
      <c r="BI4394" s="467"/>
      <c r="BJ4394" s="467"/>
      <c r="BK4394" s="467"/>
      <c r="BL4394" s="467"/>
      <c r="BM4394" s="467"/>
      <c r="BN4394" s="467"/>
      <c r="BO4394" s="467"/>
      <c r="BP4394" s="467"/>
      <c r="BQ4394" s="467"/>
      <c r="BR4394" s="467"/>
      <c r="BS4394" s="467"/>
      <c r="BT4394" s="467"/>
      <c r="BU4394" s="467"/>
      <c r="BV4394" s="467"/>
      <c r="BW4394" s="467"/>
      <c r="BX4394" s="769"/>
      <c r="BY4394" s="769"/>
      <c r="BZ4394" s="769"/>
      <c r="CA4394" s="769"/>
      <c r="CB4394" s="769"/>
      <c r="CC4394" s="769"/>
      <c r="CD4394" s="769"/>
      <c r="CE4394" s="769"/>
      <c r="CF4394" s="769"/>
      <c r="CG4394" s="73"/>
      <c r="CH4394" s="438"/>
      <c r="CI4394" s="416"/>
      <c r="CJ4394" s="73"/>
      <c r="CK4394" s="650"/>
      <c r="CL4394" s="499"/>
      <c r="CM4394" s="650"/>
      <c r="CR4394" s="416"/>
      <c r="CS4394" s="650"/>
      <c r="CU4394" s="73"/>
      <c r="CV4394" s="73"/>
      <c r="CW4394" s="73"/>
      <c r="CX4394" s="73"/>
      <c r="DA4394" s="650"/>
    </row>
    <row r="4395" spans="1:105" s="45" customFormat="1" x14ac:dyDescent="0.2">
      <c r="A4395" s="650"/>
      <c r="B4395" s="438"/>
      <c r="D4395" s="73"/>
      <c r="E4395" s="650"/>
      <c r="F4395" s="650"/>
      <c r="G4395" s="73"/>
      <c r="I4395" s="111"/>
      <c r="J4395" s="81"/>
      <c r="K4395" s="81"/>
      <c r="L4395" s="499"/>
      <c r="M4395" s="73"/>
      <c r="N4395" s="499"/>
      <c r="O4395" s="73"/>
      <c r="P4395" s="73"/>
      <c r="Q4395" s="73"/>
      <c r="R4395" s="176"/>
      <c r="S4395" s="176"/>
      <c r="T4395" s="176"/>
      <c r="U4395" s="400"/>
      <c r="V4395" s="400"/>
      <c r="W4395" s="732"/>
      <c r="X4395" s="167"/>
      <c r="Y4395" s="509"/>
      <c r="Z4395" s="466"/>
      <c r="AA4395" s="466"/>
      <c r="AB4395" s="466"/>
      <c r="AC4395" s="466"/>
      <c r="AD4395" s="466"/>
      <c r="AE4395" s="466"/>
      <c r="AF4395" s="466"/>
      <c r="AG4395" s="466"/>
      <c r="AH4395" s="466"/>
      <c r="AI4395" s="466"/>
      <c r="AJ4395" s="466"/>
      <c r="AK4395" s="466"/>
      <c r="AL4395" s="466"/>
      <c r="AM4395" s="466"/>
      <c r="AN4395" s="466"/>
      <c r="AO4395" s="466"/>
      <c r="AP4395" s="466"/>
      <c r="AQ4395" s="466"/>
      <c r="AR4395" s="466"/>
      <c r="AS4395" s="466"/>
      <c r="AT4395" s="466"/>
      <c r="AU4395" s="466"/>
      <c r="AV4395" s="466"/>
      <c r="AW4395" s="466"/>
      <c r="AX4395" s="466"/>
      <c r="AY4395" s="466"/>
      <c r="AZ4395" s="466"/>
      <c r="BA4395" s="466"/>
      <c r="BB4395" s="466"/>
      <c r="BC4395" s="466"/>
      <c r="BD4395" s="466"/>
      <c r="BE4395" s="467"/>
      <c r="BF4395" s="467"/>
      <c r="BG4395" s="466"/>
      <c r="BH4395" s="466"/>
      <c r="BI4395" s="467"/>
      <c r="BJ4395" s="467"/>
      <c r="BK4395" s="467"/>
      <c r="BL4395" s="467"/>
      <c r="BM4395" s="467"/>
      <c r="BN4395" s="467"/>
      <c r="BO4395" s="467"/>
      <c r="BP4395" s="467"/>
      <c r="BQ4395" s="467"/>
      <c r="BR4395" s="467"/>
      <c r="BS4395" s="467"/>
      <c r="BT4395" s="467"/>
      <c r="BU4395" s="467"/>
      <c r="BV4395" s="467"/>
      <c r="BW4395" s="467"/>
      <c r="BX4395" s="769"/>
      <c r="BY4395" s="769"/>
      <c r="BZ4395" s="769"/>
      <c r="CA4395" s="769"/>
      <c r="CB4395" s="769"/>
      <c r="CC4395" s="769"/>
      <c r="CD4395" s="769"/>
      <c r="CE4395" s="769"/>
      <c r="CF4395" s="769"/>
      <c r="CG4395" s="73"/>
      <c r="CH4395" s="438"/>
      <c r="CI4395" s="416"/>
      <c r="CJ4395" s="73"/>
      <c r="CK4395" s="650"/>
      <c r="CL4395" s="499"/>
      <c r="CM4395" s="650"/>
      <c r="CR4395" s="416"/>
      <c r="CS4395" s="650"/>
      <c r="CU4395" s="73"/>
      <c r="CV4395" s="73"/>
      <c r="CW4395" s="73"/>
      <c r="CX4395" s="73"/>
      <c r="DA4395" s="650"/>
    </row>
    <row r="4396" spans="1:105" s="45" customFormat="1" x14ac:dyDescent="0.2">
      <c r="A4396" s="650"/>
      <c r="B4396" s="438"/>
      <c r="D4396" s="73"/>
      <c r="E4396" s="650"/>
      <c r="F4396" s="650"/>
      <c r="G4396" s="73"/>
      <c r="I4396" s="111"/>
      <c r="J4396" s="81"/>
      <c r="K4396" s="81"/>
      <c r="L4396" s="499"/>
      <c r="M4396" s="73"/>
      <c r="N4396" s="499"/>
      <c r="O4396" s="73"/>
      <c r="P4396" s="73"/>
      <c r="Q4396" s="73"/>
      <c r="R4396" s="176"/>
      <c r="S4396" s="176"/>
      <c r="T4396" s="176"/>
      <c r="U4396" s="400"/>
      <c r="V4396" s="400"/>
      <c r="W4396" s="732"/>
      <c r="X4396" s="167"/>
      <c r="Y4396" s="509"/>
      <c r="Z4396" s="466"/>
      <c r="AA4396" s="466"/>
      <c r="AB4396" s="466"/>
      <c r="AC4396" s="466"/>
      <c r="AD4396" s="466"/>
      <c r="AE4396" s="466"/>
      <c r="AF4396" s="466"/>
      <c r="AG4396" s="466"/>
      <c r="AH4396" s="466"/>
      <c r="AI4396" s="466"/>
      <c r="AJ4396" s="466"/>
      <c r="AK4396" s="466"/>
      <c r="AL4396" s="466"/>
      <c r="AM4396" s="466"/>
      <c r="AN4396" s="466"/>
      <c r="AO4396" s="466"/>
      <c r="AP4396" s="466"/>
      <c r="AQ4396" s="466"/>
      <c r="AR4396" s="466"/>
      <c r="AS4396" s="466"/>
      <c r="AT4396" s="466"/>
      <c r="AU4396" s="466"/>
      <c r="AV4396" s="466"/>
      <c r="AW4396" s="466"/>
      <c r="AX4396" s="466"/>
      <c r="AY4396" s="466"/>
      <c r="AZ4396" s="466"/>
      <c r="BA4396" s="466"/>
      <c r="BB4396" s="466"/>
      <c r="BC4396" s="466"/>
      <c r="BD4396" s="466"/>
      <c r="BE4396" s="467"/>
      <c r="BF4396" s="467"/>
      <c r="BG4396" s="466"/>
      <c r="BH4396" s="466"/>
      <c r="BI4396" s="467"/>
      <c r="BJ4396" s="467"/>
      <c r="BK4396" s="467"/>
      <c r="BL4396" s="467"/>
      <c r="BM4396" s="467"/>
      <c r="BN4396" s="467"/>
      <c r="BO4396" s="467"/>
      <c r="BP4396" s="467"/>
      <c r="BQ4396" s="467"/>
      <c r="BR4396" s="467"/>
      <c r="BS4396" s="467"/>
      <c r="BT4396" s="467"/>
      <c r="BU4396" s="467"/>
      <c r="BV4396" s="467"/>
      <c r="BW4396" s="467"/>
      <c r="BX4396" s="769"/>
      <c r="BY4396" s="769"/>
      <c r="BZ4396" s="769"/>
      <c r="CA4396" s="769"/>
      <c r="CB4396" s="769"/>
      <c r="CC4396" s="769"/>
      <c r="CD4396" s="769"/>
      <c r="CE4396" s="769"/>
      <c r="CF4396" s="769"/>
      <c r="CG4396" s="73"/>
      <c r="CH4396" s="438"/>
      <c r="CI4396" s="416"/>
      <c r="CJ4396" s="73"/>
      <c r="CK4396" s="650"/>
      <c r="CL4396" s="499"/>
      <c r="CM4396" s="650"/>
      <c r="CR4396" s="416"/>
      <c r="CS4396" s="650"/>
      <c r="CU4396" s="73"/>
      <c r="CV4396" s="73"/>
      <c r="CW4396" s="73"/>
      <c r="CX4396" s="73"/>
      <c r="DA4396" s="650"/>
    </row>
    <row r="4397" spans="1:105" s="45" customFormat="1" x14ac:dyDescent="0.2">
      <c r="A4397" s="650"/>
      <c r="B4397" s="438"/>
      <c r="D4397" s="73"/>
      <c r="E4397" s="650"/>
      <c r="F4397" s="650"/>
      <c r="G4397" s="73"/>
      <c r="I4397" s="111"/>
      <c r="J4397" s="81"/>
      <c r="K4397" s="81"/>
      <c r="L4397" s="499"/>
      <c r="M4397" s="73"/>
      <c r="N4397" s="499"/>
      <c r="O4397" s="73"/>
      <c r="P4397" s="73"/>
      <c r="Q4397" s="73"/>
      <c r="R4397" s="176"/>
      <c r="S4397" s="176"/>
      <c r="T4397" s="176"/>
      <c r="U4397" s="400"/>
      <c r="V4397" s="400"/>
      <c r="W4397" s="732"/>
      <c r="X4397" s="167"/>
      <c r="Y4397" s="509"/>
      <c r="Z4397" s="466"/>
      <c r="AA4397" s="466"/>
      <c r="AB4397" s="466"/>
      <c r="AC4397" s="466"/>
      <c r="AD4397" s="466"/>
      <c r="AE4397" s="466"/>
      <c r="AF4397" s="466"/>
      <c r="AG4397" s="466"/>
      <c r="AH4397" s="466"/>
      <c r="AI4397" s="466"/>
      <c r="AJ4397" s="466"/>
      <c r="AK4397" s="466"/>
      <c r="AL4397" s="466"/>
      <c r="AM4397" s="466"/>
      <c r="AN4397" s="466"/>
      <c r="AO4397" s="466"/>
      <c r="AP4397" s="466"/>
      <c r="AQ4397" s="466"/>
      <c r="AR4397" s="466"/>
      <c r="AS4397" s="466"/>
      <c r="AT4397" s="466"/>
      <c r="AU4397" s="466"/>
      <c r="AV4397" s="466"/>
      <c r="AW4397" s="466"/>
      <c r="AX4397" s="466"/>
      <c r="AY4397" s="466"/>
      <c r="AZ4397" s="466"/>
      <c r="BA4397" s="466"/>
      <c r="BB4397" s="466"/>
      <c r="BC4397" s="466"/>
      <c r="BD4397" s="466"/>
      <c r="BE4397" s="467"/>
      <c r="BF4397" s="467"/>
      <c r="BG4397" s="466"/>
      <c r="BH4397" s="466"/>
      <c r="BI4397" s="467"/>
      <c r="BJ4397" s="467"/>
      <c r="BK4397" s="467"/>
      <c r="BL4397" s="467"/>
      <c r="BM4397" s="467"/>
      <c r="BN4397" s="467"/>
      <c r="BO4397" s="467"/>
      <c r="BP4397" s="467"/>
      <c r="BQ4397" s="467"/>
      <c r="BR4397" s="467"/>
      <c r="BS4397" s="467"/>
      <c r="BT4397" s="467"/>
      <c r="BU4397" s="467"/>
      <c r="BV4397" s="467"/>
      <c r="BW4397" s="467"/>
      <c r="BX4397" s="769"/>
      <c r="BY4397" s="769"/>
      <c r="BZ4397" s="769"/>
      <c r="CA4397" s="769"/>
      <c r="CB4397" s="769"/>
      <c r="CC4397" s="769"/>
      <c r="CD4397" s="769"/>
      <c r="CE4397" s="769"/>
      <c r="CF4397" s="769"/>
      <c r="CG4397" s="73"/>
      <c r="CH4397" s="438"/>
      <c r="CI4397" s="416"/>
      <c r="CJ4397" s="73"/>
      <c r="CK4397" s="650"/>
      <c r="CL4397" s="499"/>
      <c r="CM4397" s="650"/>
      <c r="CR4397" s="416"/>
      <c r="CS4397" s="650"/>
      <c r="CU4397" s="73"/>
      <c r="CV4397" s="73"/>
      <c r="CW4397" s="73"/>
      <c r="CX4397" s="73"/>
      <c r="DA4397" s="650"/>
    </row>
    <row r="4398" spans="1:105" s="45" customFormat="1" x14ac:dyDescent="0.2">
      <c r="A4398" s="650"/>
      <c r="B4398" s="438"/>
      <c r="D4398" s="73"/>
      <c r="E4398" s="650"/>
      <c r="F4398" s="650"/>
      <c r="G4398" s="73"/>
      <c r="I4398" s="111"/>
      <c r="J4398" s="81"/>
      <c r="K4398" s="81"/>
      <c r="L4398" s="499"/>
      <c r="M4398" s="73"/>
      <c r="N4398" s="499"/>
      <c r="O4398" s="73"/>
      <c r="P4398" s="73"/>
      <c r="Q4398" s="73"/>
      <c r="R4398" s="176"/>
      <c r="S4398" s="176"/>
      <c r="T4398" s="176"/>
      <c r="U4398" s="400"/>
      <c r="V4398" s="400"/>
      <c r="W4398" s="732"/>
      <c r="X4398" s="167"/>
      <c r="Y4398" s="509"/>
      <c r="Z4398" s="466"/>
      <c r="AA4398" s="466"/>
      <c r="AB4398" s="466"/>
      <c r="AC4398" s="466"/>
      <c r="AD4398" s="466"/>
      <c r="AE4398" s="466"/>
      <c r="AF4398" s="466"/>
      <c r="AG4398" s="466"/>
      <c r="AH4398" s="466"/>
      <c r="AI4398" s="466"/>
      <c r="AJ4398" s="466"/>
      <c r="AK4398" s="466"/>
      <c r="AL4398" s="466"/>
      <c r="AM4398" s="466"/>
      <c r="AN4398" s="466"/>
      <c r="AO4398" s="466"/>
      <c r="AP4398" s="466"/>
      <c r="AQ4398" s="466"/>
      <c r="AR4398" s="466"/>
      <c r="AS4398" s="466"/>
      <c r="AT4398" s="466"/>
      <c r="AU4398" s="466"/>
      <c r="AV4398" s="466"/>
      <c r="AW4398" s="466"/>
      <c r="AX4398" s="466"/>
      <c r="AY4398" s="466"/>
      <c r="AZ4398" s="466"/>
      <c r="BA4398" s="466"/>
      <c r="BB4398" s="466"/>
      <c r="BC4398" s="466"/>
      <c r="BD4398" s="466"/>
      <c r="BE4398" s="467"/>
      <c r="BF4398" s="467"/>
      <c r="BG4398" s="466"/>
      <c r="BH4398" s="466"/>
      <c r="BI4398" s="467"/>
      <c r="BJ4398" s="467"/>
      <c r="BK4398" s="467"/>
      <c r="BL4398" s="467"/>
      <c r="BM4398" s="467"/>
      <c r="BN4398" s="467"/>
      <c r="BO4398" s="467"/>
      <c r="BP4398" s="467"/>
      <c r="BQ4398" s="467"/>
      <c r="BR4398" s="467"/>
      <c r="BS4398" s="467"/>
      <c r="BT4398" s="467"/>
      <c r="BU4398" s="467"/>
      <c r="BV4398" s="467"/>
      <c r="BW4398" s="467"/>
      <c r="BX4398" s="769"/>
      <c r="BY4398" s="769"/>
      <c r="BZ4398" s="769"/>
      <c r="CA4398" s="769"/>
      <c r="CB4398" s="769"/>
      <c r="CC4398" s="769"/>
      <c r="CD4398" s="769"/>
      <c r="CE4398" s="769"/>
      <c r="CF4398" s="769"/>
      <c r="CG4398" s="73"/>
      <c r="CH4398" s="438"/>
      <c r="CI4398" s="416"/>
      <c r="CJ4398" s="73"/>
      <c r="CK4398" s="650"/>
      <c r="CL4398" s="499"/>
      <c r="CM4398" s="650"/>
      <c r="CR4398" s="416"/>
      <c r="CS4398" s="650"/>
      <c r="CU4398" s="73"/>
      <c r="CV4398" s="73"/>
      <c r="CW4398" s="73"/>
      <c r="CX4398" s="73"/>
      <c r="DA4398" s="650"/>
    </row>
    <row r="4399" spans="1:105" s="45" customFormat="1" x14ac:dyDescent="0.2">
      <c r="A4399" s="650"/>
      <c r="B4399" s="438"/>
      <c r="D4399" s="73"/>
      <c r="E4399" s="650"/>
      <c r="F4399" s="650"/>
      <c r="G4399" s="73"/>
      <c r="I4399" s="111"/>
      <c r="J4399" s="81"/>
      <c r="K4399" s="81"/>
      <c r="L4399" s="499"/>
      <c r="M4399" s="73"/>
      <c r="N4399" s="499"/>
      <c r="O4399" s="73"/>
      <c r="P4399" s="73"/>
      <c r="Q4399" s="73"/>
      <c r="R4399" s="176"/>
      <c r="S4399" s="176"/>
      <c r="T4399" s="176"/>
      <c r="U4399" s="400"/>
      <c r="V4399" s="400"/>
      <c r="W4399" s="732"/>
      <c r="X4399" s="167"/>
      <c r="Y4399" s="509"/>
      <c r="Z4399" s="466"/>
      <c r="AA4399" s="466"/>
      <c r="AB4399" s="466"/>
      <c r="AC4399" s="466"/>
      <c r="AD4399" s="466"/>
      <c r="AE4399" s="466"/>
      <c r="AF4399" s="466"/>
      <c r="AG4399" s="466"/>
      <c r="AH4399" s="466"/>
      <c r="AI4399" s="466"/>
      <c r="AJ4399" s="466"/>
      <c r="AK4399" s="466"/>
      <c r="AL4399" s="466"/>
      <c r="AM4399" s="466"/>
      <c r="AN4399" s="466"/>
      <c r="AO4399" s="466"/>
      <c r="AP4399" s="466"/>
      <c r="AQ4399" s="466"/>
      <c r="AR4399" s="466"/>
      <c r="AS4399" s="466"/>
      <c r="AT4399" s="466"/>
      <c r="AU4399" s="466"/>
      <c r="AV4399" s="466"/>
      <c r="AW4399" s="466"/>
      <c r="AX4399" s="466"/>
      <c r="AY4399" s="466"/>
      <c r="AZ4399" s="466"/>
      <c r="BA4399" s="466"/>
      <c r="BB4399" s="466"/>
      <c r="BC4399" s="466"/>
      <c r="BD4399" s="466"/>
      <c r="BE4399" s="467"/>
      <c r="BF4399" s="467"/>
      <c r="BG4399" s="466"/>
      <c r="BH4399" s="466"/>
      <c r="BI4399" s="467"/>
      <c r="BJ4399" s="467"/>
      <c r="BK4399" s="467"/>
      <c r="BL4399" s="467"/>
      <c r="BM4399" s="467"/>
      <c r="BN4399" s="467"/>
      <c r="BO4399" s="467"/>
      <c r="BP4399" s="467"/>
      <c r="BQ4399" s="467"/>
      <c r="BR4399" s="467"/>
      <c r="BS4399" s="467"/>
      <c r="BT4399" s="467"/>
      <c r="BU4399" s="467"/>
      <c r="BV4399" s="467"/>
      <c r="BW4399" s="467"/>
      <c r="BX4399" s="769"/>
      <c r="BY4399" s="769"/>
      <c r="BZ4399" s="769"/>
      <c r="CA4399" s="769"/>
      <c r="CB4399" s="769"/>
      <c r="CC4399" s="769"/>
      <c r="CD4399" s="769"/>
      <c r="CE4399" s="769"/>
      <c r="CF4399" s="769"/>
      <c r="CG4399" s="73"/>
      <c r="CH4399" s="438"/>
      <c r="CI4399" s="416"/>
      <c r="CJ4399" s="73"/>
      <c r="CK4399" s="650"/>
      <c r="CL4399" s="499"/>
      <c r="CM4399" s="650"/>
      <c r="CR4399" s="416"/>
      <c r="CS4399" s="650"/>
      <c r="CU4399" s="73"/>
      <c r="CV4399" s="73"/>
      <c r="CW4399" s="73"/>
      <c r="CX4399" s="73"/>
      <c r="DA4399" s="650"/>
    </row>
    <row r="4400" spans="1:105" s="45" customFormat="1" x14ac:dyDescent="0.2">
      <c r="A4400" s="650"/>
      <c r="B4400" s="438"/>
      <c r="D4400" s="73"/>
      <c r="E4400" s="650"/>
      <c r="F4400" s="650"/>
      <c r="G4400" s="73"/>
      <c r="I4400" s="111"/>
      <c r="J4400" s="81"/>
      <c r="K4400" s="81"/>
      <c r="L4400" s="499"/>
      <c r="M4400" s="73"/>
      <c r="N4400" s="499"/>
      <c r="O4400" s="73"/>
      <c r="P4400" s="73"/>
      <c r="Q4400" s="73"/>
      <c r="R4400" s="176"/>
      <c r="S4400" s="176"/>
      <c r="T4400" s="176"/>
      <c r="U4400" s="400"/>
      <c r="V4400" s="400"/>
      <c r="W4400" s="732"/>
      <c r="X4400" s="167"/>
      <c r="Y4400" s="509"/>
      <c r="Z4400" s="466"/>
      <c r="AA4400" s="466"/>
      <c r="AB4400" s="466"/>
      <c r="AC4400" s="466"/>
      <c r="AD4400" s="466"/>
      <c r="AE4400" s="466"/>
      <c r="AF4400" s="466"/>
      <c r="AG4400" s="466"/>
      <c r="AH4400" s="466"/>
      <c r="AI4400" s="466"/>
      <c r="AJ4400" s="466"/>
      <c r="AK4400" s="466"/>
      <c r="AL4400" s="466"/>
      <c r="AM4400" s="466"/>
      <c r="AN4400" s="466"/>
      <c r="AO4400" s="466"/>
      <c r="AP4400" s="466"/>
      <c r="AQ4400" s="466"/>
      <c r="AR4400" s="466"/>
      <c r="AS4400" s="466"/>
      <c r="AT4400" s="466"/>
      <c r="AU4400" s="466"/>
      <c r="AV4400" s="466"/>
      <c r="AW4400" s="466"/>
      <c r="AX4400" s="466"/>
      <c r="AY4400" s="466"/>
      <c r="AZ4400" s="466"/>
      <c r="BA4400" s="466"/>
      <c r="BB4400" s="466"/>
      <c r="BC4400" s="466"/>
      <c r="BD4400" s="466"/>
      <c r="BE4400" s="467"/>
      <c r="BF4400" s="467"/>
      <c r="BG4400" s="466"/>
      <c r="BH4400" s="466"/>
      <c r="BI4400" s="467"/>
      <c r="BJ4400" s="467"/>
      <c r="BK4400" s="467"/>
      <c r="BL4400" s="467"/>
      <c r="BM4400" s="467"/>
      <c r="BN4400" s="467"/>
      <c r="BO4400" s="467"/>
      <c r="BP4400" s="467"/>
      <c r="BQ4400" s="467"/>
      <c r="BR4400" s="467"/>
      <c r="BS4400" s="467"/>
      <c r="BT4400" s="467"/>
      <c r="BU4400" s="467"/>
      <c r="BV4400" s="467"/>
      <c r="BW4400" s="467"/>
      <c r="BX4400" s="769"/>
      <c r="BY4400" s="769"/>
      <c r="BZ4400" s="769"/>
      <c r="CA4400" s="769"/>
      <c r="CB4400" s="769"/>
      <c r="CC4400" s="769"/>
      <c r="CD4400" s="769"/>
      <c r="CE4400" s="769"/>
      <c r="CF4400" s="769"/>
      <c r="CG4400" s="73"/>
      <c r="CH4400" s="438"/>
      <c r="CI4400" s="416"/>
      <c r="CJ4400" s="73"/>
      <c r="CK4400" s="650"/>
      <c r="CL4400" s="499"/>
      <c r="CM4400" s="650"/>
      <c r="CR4400" s="416"/>
      <c r="CS4400" s="650"/>
      <c r="CU4400" s="73"/>
      <c r="CV4400" s="73"/>
      <c r="CW4400" s="73"/>
      <c r="CX4400" s="73"/>
      <c r="DA4400" s="650"/>
    </row>
    <row r="4401" spans="1:105" s="45" customFormat="1" x14ac:dyDescent="0.2">
      <c r="A4401" s="650"/>
      <c r="B4401" s="438"/>
      <c r="D4401" s="73"/>
      <c r="E4401" s="650"/>
      <c r="F4401" s="650"/>
      <c r="G4401" s="73"/>
      <c r="I4401" s="111"/>
      <c r="J4401" s="81"/>
      <c r="K4401" s="81"/>
      <c r="L4401" s="499"/>
      <c r="M4401" s="73"/>
      <c r="N4401" s="499"/>
      <c r="O4401" s="73"/>
      <c r="P4401" s="73"/>
      <c r="Q4401" s="73"/>
      <c r="R4401" s="176"/>
      <c r="S4401" s="176"/>
      <c r="T4401" s="176"/>
      <c r="U4401" s="400"/>
      <c r="V4401" s="400"/>
      <c r="W4401" s="732"/>
      <c r="X4401" s="167"/>
      <c r="Y4401" s="509"/>
      <c r="Z4401" s="466"/>
      <c r="AA4401" s="466"/>
      <c r="AB4401" s="466"/>
      <c r="AC4401" s="466"/>
      <c r="AD4401" s="466"/>
      <c r="AE4401" s="466"/>
      <c r="AF4401" s="466"/>
      <c r="AG4401" s="466"/>
      <c r="AH4401" s="466"/>
      <c r="AI4401" s="466"/>
      <c r="AJ4401" s="466"/>
      <c r="AK4401" s="466"/>
      <c r="AL4401" s="466"/>
      <c r="AM4401" s="466"/>
      <c r="AN4401" s="466"/>
      <c r="AO4401" s="466"/>
      <c r="AP4401" s="466"/>
      <c r="AQ4401" s="466"/>
      <c r="AR4401" s="466"/>
      <c r="AS4401" s="466"/>
      <c r="AT4401" s="466"/>
      <c r="AU4401" s="466"/>
      <c r="AV4401" s="466"/>
      <c r="AW4401" s="466"/>
      <c r="AX4401" s="466"/>
      <c r="AY4401" s="466"/>
      <c r="AZ4401" s="466"/>
      <c r="BA4401" s="466"/>
      <c r="BB4401" s="466"/>
      <c r="BC4401" s="466"/>
      <c r="BD4401" s="466"/>
      <c r="BE4401" s="467"/>
      <c r="BF4401" s="467"/>
      <c r="BG4401" s="466"/>
      <c r="BH4401" s="466"/>
      <c r="BI4401" s="467"/>
      <c r="BJ4401" s="467"/>
      <c r="BK4401" s="467"/>
      <c r="BL4401" s="467"/>
      <c r="BM4401" s="467"/>
      <c r="BN4401" s="467"/>
      <c r="BO4401" s="467"/>
      <c r="BP4401" s="467"/>
      <c r="BQ4401" s="467"/>
      <c r="BR4401" s="467"/>
      <c r="BS4401" s="467"/>
      <c r="BT4401" s="467"/>
      <c r="BU4401" s="467"/>
      <c r="BV4401" s="467"/>
      <c r="BW4401" s="467"/>
      <c r="BX4401" s="769"/>
      <c r="BY4401" s="769"/>
      <c r="BZ4401" s="769"/>
      <c r="CA4401" s="769"/>
      <c r="CB4401" s="769"/>
      <c r="CC4401" s="769"/>
      <c r="CD4401" s="769"/>
      <c r="CE4401" s="769"/>
      <c r="CF4401" s="769"/>
      <c r="CG4401" s="73"/>
      <c r="CH4401" s="438"/>
      <c r="CI4401" s="416"/>
      <c r="CJ4401" s="73"/>
      <c r="CK4401" s="650"/>
      <c r="CL4401" s="499"/>
      <c r="CM4401" s="650"/>
      <c r="CR4401" s="416"/>
      <c r="CS4401" s="650"/>
      <c r="CU4401" s="73"/>
      <c r="CV4401" s="73"/>
      <c r="CW4401" s="73"/>
      <c r="CX4401" s="73"/>
      <c r="DA4401" s="650"/>
    </row>
    <row r="4402" spans="1:105" s="45" customFormat="1" x14ac:dyDescent="0.2">
      <c r="A4402" s="650"/>
      <c r="B4402" s="438"/>
      <c r="D4402" s="73"/>
      <c r="E4402" s="650"/>
      <c r="F4402" s="650"/>
      <c r="G4402" s="73"/>
      <c r="I4402" s="111"/>
      <c r="J4402" s="81"/>
      <c r="K4402" s="81"/>
      <c r="L4402" s="499"/>
      <c r="M4402" s="73"/>
      <c r="N4402" s="499"/>
      <c r="O4402" s="73"/>
      <c r="P4402" s="73"/>
      <c r="Q4402" s="73"/>
      <c r="R4402" s="176"/>
      <c r="S4402" s="176"/>
      <c r="T4402" s="176"/>
      <c r="U4402" s="400"/>
      <c r="V4402" s="400"/>
      <c r="W4402" s="732"/>
      <c r="X4402" s="167"/>
      <c r="Y4402" s="509"/>
      <c r="Z4402" s="466"/>
      <c r="AA4402" s="466"/>
      <c r="AB4402" s="466"/>
      <c r="AC4402" s="466"/>
      <c r="AD4402" s="466"/>
      <c r="AE4402" s="466"/>
      <c r="AF4402" s="466"/>
      <c r="AG4402" s="466"/>
      <c r="AH4402" s="466"/>
      <c r="AI4402" s="466"/>
      <c r="AJ4402" s="466"/>
      <c r="AK4402" s="466"/>
      <c r="AL4402" s="466"/>
      <c r="AM4402" s="466"/>
      <c r="AN4402" s="466"/>
      <c r="AO4402" s="466"/>
      <c r="AP4402" s="466"/>
      <c r="AQ4402" s="466"/>
      <c r="AR4402" s="466"/>
      <c r="AS4402" s="466"/>
      <c r="AT4402" s="466"/>
      <c r="AU4402" s="466"/>
      <c r="AV4402" s="466"/>
      <c r="AW4402" s="466"/>
      <c r="AX4402" s="466"/>
      <c r="AY4402" s="466"/>
      <c r="AZ4402" s="466"/>
      <c r="BA4402" s="466"/>
      <c r="BB4402" s="466"/>
      <c r="BC4402" s="466"/>
      <c r="BD4402" s="466"/>
      <c r="BE4402" s="467"/>
      <c r="BF4402" s="467"/>
      <c r="BG4402" s="466"/>
      <c r="BH4402" s="466"/>
      <c r="BI4402" s="467"/>
      <c r="BJ4402" s="467"/>
      <c r="BK4402" s="467"/>
      <c r="BL4402" s="467"/>
      <c r="BM4402" s="467"/>
      <c r="BN4402" s="467"/>
      <c r="BO4402" s="467"/>
      <c r="BP4402" s="467"/>
      <c r="BQ4402" s="467"/>
      <c r="BR4402" s="467"/>
      <c r="BS4402" s="467"/>
      <c r="BT4402" s="467"/>
      <c r="BU4402" s="467"/>
      <c r="BV4402" s="467"/>
      <c r="BW4402" s="467"/>
      <c r="BX4402" s="769"/>
      <c r="BY4402" s="769"/>
      <c r="BZ4402" s="769"/>
      <c r="CA4402" s="769"/>
      <c r="CB4402" s="769"/>
      <c r="CC4402" s="769"/>
      <c r="CD4402" s="769"/>
      <c r="CE4402" s="769"/>
      <c r="CF4402" s="769"/>
      <c r="CG4402" s="73"/>
      <c r="CH4402" s="438"/>
      <c r="CI4402" s="416"/>
      <c r="CJ4402" s="73"/>
      <c r="CK4402" s="650"/>
      <c r="CL4402" s="499"/>
      <c r="CM4402" s="650"/>
      <c r="CR4402" s="416"/>
      <c r="CS4402" s="650"/>
      <c r="CU4402" s="73"/>
      <c r="CV4402" s="73"/>
      <c r="CW4402" s="73"/>
      <c r="CX4402" s="73"/>
      <c r="DA4402" s="650"/>
    </row>
    <row r="4403" spans="1:105" s="45" customFormat="1" x14ac:dyDescent="0.2">
      <c r="A4403" s="650"/>
      <c r="B4403" s="438"/>
      <c r="D4403" s="73"/>
      <c r="E4403" s="650"/>
      <c r="F4403" s="650"/>
      <c r="G4403" s="73"/>
      <c r="I4403" s="111"/>
      <c r="J4403" s="81"/>
      <c r="K4403" s="81"/>
      <c r="L4403" s="499"/>
      <c r="M4403" s="73"/>
      <c r="N4403" s="499"/>
      <c r="O4403" s="73"/>
      <c r="P4403" s="73"/>
      <c r="Q4403" s="73"/>
      <c r="R4403" s="176"/>
      <c r="S4403" s="176"/>
      <c r="T4403" s="176"/>
      <c r="U4403" s="400"/>
      <c r="V4403" s="400"/>
      <c r="W4403" s="732"/>
      <c r="X4403" s="167"/>
      <c r="Y4403" s="509"/>
      <c r="Z4403" s="466"/>
      <c r="AA4403" s="466"/>
      <c r="AB4403" s="466"/>
      <c r="AC4403" s="466"/>
      <c r="AD4403" s="466"/>
      <c r="AE4403" s="466"/>
      <c r="AF4403" s="466"/>
      <c r="AG4403" s="466"/>
      <c r="AH4403" s="466"/>
      <c r="AI4403" s="466"/>
      <c r="AJ4403" s="466"/>
      <c r="AK4403" s="466"/>
      <c r="AL4403" s="466"/>
      <c r="AM4403" s="466"/>
      <c r="AN4403" s="466"/>
      <c r="AO4403" s="466"/>
      <c r="AP4403" s="466"/>
      <c r="AQ4403" s="466"/>
      <c r="AR4403" s="466"/>
      <c r="AS4403" s="466"/>
      <c r="AT4403" s="466"/>
      <c r="AU4403" s="466"/>
      <c r="AV4403" s="466"/>
      <c r="AW4403" s="466"/>
      <c r="AX4403" s="466"/>
      <c r="AY4403" s="466"/>
      <c r="AZ4403" s="466"/>
      <c r="BA4403" s="466"/>
      <c r="BB4403" s="466"/>
      <c r="BC4403" s="466"/>
      <c r="BD4403" s="466"/>
      <c r="BE4403" s="467"/>
      <c r="BF4403" s="467"/>
      <c r="BG4403" s="466"/>
      <c r="BH4403" s="466"/>
      <c r="BI4403" s="467"/>
      <c r="BJ4403" s="467"/>
      <c r="BK4403" s="467"/>
      <c r="BL4403" s="467"/>
      <c r="BM4403" s="467"/>
      <c r="BN4403" s="467"/>
      <c r="BO4403" s="467"/>
      <c r="BP4403" s="467"/>
      <c r="BQ4403" s="467"/>
      <c r="BR4403" s="467"/>
      <c r="BS4403" s="467"/>
      <c r="BT4403" s="467"/>
      <c r="BU4403" s="467"/>
      <c r="BV4403" s="467"/>
      <c r="BW4403" s="467"/>
      <c r="BX4403" s="769"/>
      <c r="BY4403" s="769"/>
      <c r="BZ4403" s="769"/>
      <c r="CA4403" s="769"/>
      <c r="CB4403" s="769"/>
      <c r="CC4403" s="769"/>
      <c r="CD4403" s="769"/>
      <c r="CE4403" s="769"/>
      <c r="CF4403" s="769"/>
      <c r="CG4403" s="73"/>
      <c r="CH4403" s="438"/>
      <c r="CI4403" s="416"/>
      <c r="CJ4403" s="73"/>
      <c r="CK4403" s="650"/>
      <c r="CL4403" s="499"/>
      <c r="CM4403" s="650"/>
      <c r="CR4403" s="416"/>
      <c r="CS4403" s="650"/>
      <c r="CU4403" s="73"/>
      <c r="CV4403" s="73"/>
      <c r="CW4403" s="73"/>
      <c r="CX4403" s="73"/>
      <c r="DA4403" s="650"/>
    </row>
    <row r="4404" spans="1:105" s="45" customFormat="1" x14ac:dyDescent="0.2">
      <c r="A4404" s="650"/>
      <c r="B4404" s="438"/>
      <c r="D4404" s="73"/>
      <c r="E4404" s="650"/>
      <c r="F4404" s="650"/>
      <c r="G4404" s="73"/>
      <c r="I4404" s="111"/>
      <c r="J4404" s="81"/>
      <c r="K4404" s="81"/>
      <c r="L4404" s="499"/>
      <c r="M4404" s="73"/>
      <c r="N4404" s="499"/>
      <c r="O4404" s="73"/>
      <c r="P4404" s="73"/>
      <c r="Q4404" s="73"/>
      <c r="R4404" s="176"/>
      <c r="S4404" s="176"/>
      <c r="T4404" s="176"/>
      <c r="U4404" s="400"/>
      <c r="V4404" s="400"/>
      <c r="W4404" s="732"/>
      <c r="X4404" s="167"/>
      <c r="Y4404" s="509"/>
      <c r="Z4404" s="466"/>
      <c r="AA4404" s="466"/>
      <c r="AB4404" s="466"/>
      <c r="AC4404" s="466"/>
      <c r="AD4404" s="466"/>
      <c r="AE4404" s="466"/>
      <c r="AF4404" s="466"/>
      <c r="AG4404" s="466"/>
      <c r="AH4404" s="466"/>
      <c r="AI4404" s="466"/>
      <c r="AJ4404" s="466"/>
      <c r="AK4404" s="466"/>
      <c r="AL4404" s="466"/>
      <c r="AM4404" s="466"/>
      <c r="AN4404" s="466"/>
      <c r="AO4404" s="466"/>
      <c r="AP4404" s="466"/>
      <c r="AQ4404" s="466"/>
      <c r="AR4404" s="466"/>
      <c r="AS4404" s="466"/>
      <c r="AT4404" s="466"/>
      <c r="AU4404" s="466"/>
      <c r="AV4404" s="466"/>
      <c r="AW4404" s="466"/>
      <c r="AX4404" s="466"/>
      <c r="AY4404" s="466"/>
      <c r="AZ4404" s="466"/>
      <c r="BA4404" s="466"/>
      <c r="BB4404" s="466"/>
      <c r="BC4404" s="466"/>
      <c r="BD4404" s="466"/>
      <c r="BE4404" s="467"/>
      <c r="BF4404" s="467"/>
      <c r="BG4404" s="466"/>
      <c r="BH4404" s="466"/>
      <c r="BI4404" s="467"/>
      <c r="BJ4404" s="467"/>
      <c r="BK4404" s="467"/>
      <c r="BL4404" s="467"/>
      <c r="BM4404" s="467"/>
      <c r="BN4404" s="467"/>
      <c r="BO4404" s="467"/>
      <c r="BP4404" s="467"/>
      <c r="BQ4404" s="467"/>
      <c r="BR4404" s="467"/>
      <c r="BS4404" s="467"/>
      <c r="BT4404" s="467"/>
      <c r="BU4404" s="467"/>
      <c r="BV4404" s="467"/>
      <c r="BW4404" s="467"/>
      <c r="BX4404" s="769"/>
      <c r="BY4404" s="769"/>
      <c r="BZ4404" s="769"/>
      <c r="CA4404" s="769"/>
      <c r="CB4404" s="769"/>
      <c r="CC4404" s="769"/>
      <c r="CD4404" s="769"/>
      <c r="CE4404" s="769"/>
      <c r="CF4404" s="769"/>
      <c r="CG4404" s="73"/>
      <c r="CH4404" s="438"/>
      <c r="CI4404" s="416"/>
      <c r="CJ4404" s="73"/>
      <c r="CK4404" s="650"/>
      <c r="CL4404" s="499"/>
      <c r="CM4404" s="650"/>
      <c r="CR4404" s="416"/>
      <c r="CS4404" s="650"/>
      <c r="CU4404" s="73"/>
      <c r="CV4404" s="73"/>
      <c r="CW4404" s="73"/>
      <c r="CX4404" s="73"/>
      <c r="DA4404" s="650"/>
    </row>
    <row r="4405" spans="1:105" s="45" customFormat="1" x14ac:dyDescent="0.2">
      <c r="A4405" s="650"/>
      <c r="B4405" s="438"/>
      <c r="D4405" s="73"/>
      <c r="E4405" s="650"/>
      <c r="F4405" s="650"/>
      <c r="G4405" s="73"/>
      <c r="I4405" s="111"/>
      <c r="J4405" s="81"/>
      <c r="K4405" s="81"/>
      <c r="L4405" s="499"/>
      <c r="M4405" s="73"/>
      <c r="N4405" s="499"/>
      <c r="O4405" s="73"/>
      <c r="P4405" s="73"/>
      <c r="Q4405" s="73"/>
      <c r="R4405" s="176"/>
      <c r="S4405" s="176"/>
      <c r="T4405" s="176"/>
      <c r="U4405" s="400"/>
      <c r="V4405" s="400"/>
      <c r="W4405" s="732"/>
      <c r="X4405" s="167"/>
      <c r="Y4405" s="509"/>
      <c r="Z4405" s="466"/>
      <c r="AA4405" s="466"/>
      <c r="AB4405" s="466"/>
      <c r="AC4405" s="466"/>
      <c r="AD4405" s="466"/>
      <c r="AE4405" s="466"/>
      <c r="AF4405" s="466"/>
      <c r="AG4405" s="466"/>
      <c r="AH4405" s="466"/>
      <c r="AI4405" s="466"/>
      <c r="AJ4405" s="466"/>
      <c r="AK4405" s="466"/>
      <c r="AL4405" s="466"/>
      <c r="AM4405" s="466"/>
      <c r="AN4405" s="466"/>
      <c r="AO4405" s="466"/>
      <c r="AP4405" s="466"/>
      <c r="AQ4405" s="466"/>
      <c r="AR4405" s="466"/>
      <c r="AS4405" s="466"/>
      <c r="AT4405" s="466"/>
      <c r="AU4405" s="466"/>
      <c r="AV4405" s="466"/>
      <c r="AW4405" s="466"/>
      <c r="AX4405" s="466"/>
      <c r="AY4405" s="466"/>
      <c r="AZ4405" s="466"/>
      <c r="BA4405" s="466"/>
      <c r="BB4405" s="466"/>
      <c r="BC4405" s="466"/>
      <c r="BD4405" s="466"/>
      <c r="BE4405" s="467"/>
      <c r="BF4405" s="467"/>
      <c r="BG4405" s="466"/>
      <c r="BH4405" s="466"/>
      <c r="BI4405" s="467"/>
      <c r="BJ4405" s="467"/>
      <c r="BK4405" s="467"/>
      <c r="BL4405" s="467"/>
      <c r="BM4405" s="467"/>
      <c r="BN4405" s="467"/>
      <c r="BO4405" s="467"/>
      <c r="BP4405" s="467"/>
      <c r="BQ4405" s="467"/>
      <c r="BR4405" s="467"/>
      <c r="BS4405" s="467"/>
      <c r="BT4405" s="467"/>
      <c r="BU4405" s="467"/>
      <c r="BV4405" s="467"/>
      <c r="BW4405" s="467"/>
      <c r="BX4405" s="769"/>
      <c r="BY4405" s="769"/>
      <c r="BZ4405" s="769"/>
      <c r="CA4405" s="769"/>
      <c r="CB4405" s="769"/>
      <c r="CC4405" s="769"/>
      <c r="CD4405" s="769"/>
      <c r="CE4405" s="769"/>
      <c r="CF4405" s="769"/>
      <c r="CG4405" s="73"/>
      <c r="CH4405" s="438"/>
      <c r="CI4405" s="416"/>
      <c r="CJ4405" s="73"/>
      <c r="CK4405" s="650"/>
      <c r="CL4405" s="499"/>
      <c r="CM4405" s="650"/>
      <c r="CR4405" s="416"/>
      <c r="CS4405" s="650"/>
      <c r="CU4405" s="73"/>
      <c r="CV4405" s="73"/>
      <c r="CW4405" s="73"/>
      <c r="CX4405" s="73"/>
      <c r="DA4405" s="650"/>
    </row>
    <row r="4406" spans="1:105" s="45" customFormat="1" x14ac:dyDescent="0.2">
      <c r="A4406" s="650"/>
      <c r="B4406" s="438"/>
      <c r="D4406" s="73"/>
      <c r="E4406" s="650"/>
      <c r="F4406" s="650"/>
      <c r="G4406" s="73"/>
      <c r="I4406" s="111"/>
      <c r="J4406" s="81"/>
      <c r="K4406" s="81"/>
      <c r="L4406" s="499"/>
      <c r="M4406" s="73"/>
      <c r="N4406" s="499"/>
      <c r="O4406" s="73"/>
      <c r="P4406" s="73"/>
      <c r="Q4406" s="73"/>
      <c r="R4406" s="176"/>
      <c r="S4406" s="176"/>
      <c r="T4406" s="176"/>
      <c r="U4406" s="400"/>
      <c r="V4406" s="400"/>
      <c r="W4406" s="732"/>
      <c r="X4406" s="167"/>
      <c r="Y4406" s="509"/>
      <c r="Z4406" s="466"/>
      <c r="AA4406" s="466"/>
      <c r="AB4406" s="466"/>
      <c r="AC4406" s="466"/>
      <c r="AD4406" s="466"/>
      <c r="AE4406" s="466"/>
      <c r="AF4406" s="466"/>
      <c r="AG4406" s="466"/>
      <c r="AH4406" s="466"/>
      <c r="AI4406" s="466"/>
      <c r="AJ4406" s="466"/>
      <c r="AK4406" s="466"/>
      <c r="AL4406" s="466"/>
      <c r="AM4406" s="466"/>
      <c r="AN4406" s="466"/>
      <c r="AO4406" s="466"/>
      <c r="AP4406" s="466"/>
      <c r="AQ4406" s="466"/>
      <c r="AR4406" s="466"/>
      <c r="AS4406" s="466"/>
      <c r="AT4406" s="466"/>
      <c r="AU4406" s="466"/>
      <c r="AV4406" s="466"/>
      <c r="AW4406" s="466"/>
      <c r="AX4406" s="466"/>
      <c r="AY4406" s="466"/>
      <c r="AZ4406" s="466"/>
      <c r="BA4406" s="466"/>
      <c r="BB4406" s="466"/>
      <c r="BC4406" s="466"/>
      <c r="BD4406" s="466"/>
      <c r="BE4406" s="467"/>
      <c r="BF4406" s="467"/>
      <c r="BG4406" s="466"/>
      <c r="BH4406" s="466"/>
      <c r="BI4406" s="467"/>
      <c r="BJ4406" s="467"/>
      <c r="BK4406" s="467"/>
      <c r="BL4406" s="467"/>
      <c r="BM4406" s="467"/>
      <c r="BN4406" s="467"/>
      <c r="BO4406" s="467"/>
      <c r="BP4406" s="467"/>
      <c r="BQ4406" s="467"/>
      <c r="BR4406" s="467"/>
      <c r="BS4406" s="467"/>
      <c r="BT4406" s="467"/>
      <c r="BU4406" s="467"/>
      <c r="BV4406" s="467"/>
      <c r="BW4406" s="467"/>
      <c r="BX4406" s="769"/>
      <c r="BY4406" s="769"/>
      <c r="BZ4406" s="769"/>
      <c r="CA4406" s="769"/>
      <c r="CB4406" s="769"/>
      <c r="CC4406" s="769"/>
      <c r="CD4406" s="769"/>
      <c r="CE4406" s="769"/>
      <c r="CF4406" s="769"/>
      <c r="CG4406" s="73"/>
      <c r="CH4406" s="438"/>
      <c r="CI4406" s="416"/>
      <c r="CJ4406" s="73"/>
      <c r="CK4406" s="650"/>
      <c r="CL4406" s="499"/>
      <c r="CM4406" s="650"/>
      <c r="CR4406" s="416"/>
      <c r="CS4406" s="650"/>
      <c r="CU4406" s="73"/>
      <c r="CV4406" s="73"/>
      <c r="CW4406" s="73"/>
      <c r="CX4406" s="73"/>
      <c r="DA4406" s="650"/>
    </row>
    <row r="4407" spans="1:105" s="45" customFormat="1" x14ac:dyDescent="0.2">
      <c r="A4407" s="650"/>
      <c r="B4407" s="438"/>
      <c r="D4407" s="73"/>
      <c r="E4407" s="650"/>
      <c r="F4407" s="650"/>
      <c r="G4407" s="73"/>
      <c r="I4407" s="111"/>
      <c r="J4407" s="81"/>
      <c r="K4407" s="81"/>
      <c r="L4407" s="499"/>
      <c r="M4407" s="73"/>
      <c r="N4407" s="499"/>
      <c r="O4407" s="73"/>
      <c r="P4407" s="73"/>
      <c r="Q4407" s="73"/>
      <c r="R4407" s="176"/>
      <c r="S4407" s="176"/>
      <c r="T4407" s="176"/>
      <c r="U4407" s="400"/>
      <c r="V4407" s="400"/>
      <c r="W4407" s="732"/>
      <c r="X4407" s="167"/>
      <c r="Y4407" s="509"/>
      <c r="Z4407" s="466"/>
      <c r="AA4407" s="466"/>
      <c r="AB4407" s="466"/>
      <c r="AC4407" s="466"/>
      <c r="AD4407" s="466"/>
      <c r="AE4407" s="466"/>
      <c r="AF4407" s="466"/>
      <c r="AG4407" s="466"/>
      <c r="AH4407" s="466"/>
      <c r="AI4407" s="466"/>
      <c r="AJ4407" s="466"/>
      <c r="AK4407" s="466"/>
      <c r="AL4407" s="466"/>
      <c r="AM4407" s="466"/>
      <c r="AN4407" s="466"/>
      <c r="AO4407" s="466"/>
      <c r="AP4407" s="466"/>
      <c r="AQ4407" s="466"/>
      <c r="AR4407" s="466"/>
      <c r="AS4407" s="466"/>
      <c r="AT4407" s="466"/>
      <c r="AU4407" s="466"/>
      <c r="AV4407" s="466"/>
      <c r="AW4407" s="466"/>
      <c r="AX4407" s="466"/>
      <c r="AY4407" s="466"/>
      <c r="AZ4407" s="466"/>
      <c r="BA4407" s="466"/>
      <c r="BB4407" s="466"/>
      <c r="BC4407" s="466"/>
      <c r="BD4407" s="466"/>
      <c r="BE4407" s="467"/>
      <c r="BF4407" s="467"/>
      <c r="BG4407" s="466"/>
      <c r="BH4407" s="466"/>
      <c r="BI4407" s="467"/>
      <c r="BJ4407" s="467"/>
      <c r="BK4407" s="467"/>
      <c r="BL4407" s="467"/>
      <c r="BM4407" s="467"/>
      <c r="BN4407" s="467"/>
      <c r="BO4407" s="467"/>
      <c r="BP4407" s="467"/>
      <c r="BQ4407" s="467"/>
      <c r="BR4407" s="467"/>
      <c r="BS4407" s="467"/>
      <c r="BT4407" s="467"/>
      <c r="BU4407" s="467"/>
      <c r="BV4407" s="467"/>
      <c r="BW4407" s="467"/>
      <c r="BX4407" s="769"/>
      <c r="BY4407" s="769"/>
      <c r="BZ4407" s="769"/>
      <c r="CA4407" s="769"/>
      <c r="CB4407" s="769"/>
      <c r="CC4407" s="769"/>
      <c r="CD4407" s="769"/>
      <c r="CE4407" s="769"/>
      <c r="CF4407" s="769"/>
      <c r="CG4407" s="73"/>
      <c r="CH4407" s="438"/>
      <c r="CI4407" s="416"/>
      <c r="CJ4407" s="73"/>
      <c r="CK4407" s="650"/>
      <c r="CL4407" s="499"/>
      <c r="CM4407" s="650"/>
      <c r="CR4407" s="416"/>
      <c r="CS4407" s="650"/>
      <c r="CU4407" s="73"/>
      <c r="CV4407" s="73"/>
      <c r="CW4407" s="73"/>
      <c r="CX4407" s="73"/>
      <c r="DA4407" s="650"/>
    </row>
    <row r="4408" spans="1:105" s="45" customFormat="1" x14ac:dyDescent="0.2">
      <c r="A4408" s="650"/>
      <c r="B4408" s="438"/>
      <c r="D4408" s="73"/>
      <c r="E4408" s="650"/>
      <c r="F4408" s="650"/>
      <c r="G4408" s="73"/>
      <c r="I4408" s="111"/>
      <c r="J4408" s="81"/>
      <c r="K4408" s="81"/>
      <c r="L4408" s="499"/>
      <c r="M4408" s="73"/>
      <c r="N4408" s="499"/>
      <c r="O4408" s="73"/>
      <c r="P4408" s="73"/>
      <c r="Q4408" s="73"/>
      <c r="R4408" s="176"/>
      <c r="S4408" s="176"/>
      <c r="T4408" s="176"/>
      <c r="U4408" s="400"/>
      <c r="V4408" s="400"/>
      <c r="W4408" s="732"/>
      <c r="X4408" s="167"/>
      <c r="Y4408" s="509"/>
      <c r="Z4408" s="466"/>
      <c r="AA4408" s="466"/>
      <c r="AB4408" s="466"/>
      <c r="AC4408" s="466"/>
      <c r="AD4408" s="466"/>
      <c r="AE4408" s="466"/>
      <c r="AF4408" s="466"/>
      <c r="AG4408" s="466"/>
      <c r="AH4408" s="466"/>
      <c r="AI4408" s="466"/>
      <c r="AJ4408" s="466"/>
      <c r="AK4408" s="466"/>
      <c r="AL4408" s="466"/>
      <c r="AM4408" s="466"/>
      <c r="AN4408" s="466"/>
      <c r="AO4408" s="466"/>
      <c r="AP4408" s="466"/>
      <c r="AQ4408" s="466"/>
      <c r="AR4408" s="466"/>
      <c r="AS4408" s="466"/>
      <c r="AT4408" s="466"/>
      <c r="AU4408" s="466"/>
      <c r="AV4408" s="466"/>
      <c r="AW4408" s="466"/>
      <c r="AX4408" s="466"/>
      <c r="AY4408" s="466"/>
      <c r="AZ4408" s="466"/>
      <c r="BA4408" s="466"/>
      <c r="BB4408" s="466"/>
      <c r="BC4408" s="466"/>
      <c r="BD4408" s="466"/>
      <c r="BE4408" s="467"/>
      <c r="BF4408" s="467"/>
      <c r="BG4408" s="466"/>
      <c r="BH4408" s="466"/>
      <c r="BI4408" s="467"/>
      <c r="BJ4408" s="467"/>
      <c r="BK4408" s="467"/>
      <c r="BL4408" s="467"/>
      <c r="BM4408" s="467"/>
      <c r="BN4408" s="467"/>
      <c r="BO4408" s="467"/>
      <c r="BP4408" s="467"/>
      <c r="BQ4408" s="467"/>
      <c r="BR4408" s="467"/>
      <c r="BS4408" s="467"/>
      <c r="BT4408" s="467"/>
      <c r="BU4408" s="467"/>
      <c r="BV4408" s="467"/>
      <c r="BW4408" s="467"/>
      <c r="BX4408" s="769"/>
      <c r="BY4408" s="769"/>
      <c r="BZ4408" s="769"/>
      <c r="CA4408" s="769"/>
      <c r="CB4408" s="769"/>
      <c r="CC4408" s="769"/>
      <c r="CD4408" s="769"/>
      <c r="CE4408" s="769"/>
      <c r="CF4408" s="769"/>
      <c r="CG4408" s="73"/>
      <c r="CH4408" s="438"/>
      <c r="CI4408" s="416"/>
      <c r="CJ4408" s="73"/>
      <c r="CK4408" s="650"/>
      <c r="CL4408" s="499"/>
      <c r="CM4408" s="650"/>
      <c r="CR4408" s="416"/>
      <c r="CS4408" s="650"/>
      <c r="CU4408" s="73"/>
      <c r="CV4408" s="73"/>
      <c r="CW4408" s="73"/>
      <c r="CX4408" s="73"/>
      <c r="DA4408" s="650"/>
    </row>
    <row r="4409" spans="1:105" s="45" customFormat="1" x14ac:dyDescent="0.2">
      <c r="A4409" s="650"/>
      <c r="B4409" s="438"/>
      <c r="D4409" s="73"/>
      <c r="E4409" s="650"/>
      <c r="F4409" s="650"/>
      <c r="G4409" s="73"/>
      <c r="I4409" s="111"/>
      <c r="J4409" s="81"/>
      <c r="K4409" s="81"/>
      <c r="L4409" s="499"/>
      <c r="M4409" s="73"/>
      <c r="N4409" s="499"/>
      <c r="O4409" s="73"/>
      <c r="P4409" s="73"/>
      <c r="Q4409" s="73"/>
      <c r="R4409" s="176"/>
      <c r="S4409" s="176"/>
      <c r="T4409" s="176"/>
      <c r="U4409" s="400"/>
      <c r="V4409" s="400"/>
      <c r="W4409" s="732"/>
      <c r="X4409" s="167"/>
      <c r="Y4409" s="509"/>
      <c r="Z4409" s="466"/>
      <c r="AA4409" s="466"/>
      <c r="AB4409" s="466"/>
      <c r="AC4409" s="466"/>
      <c r="AD4409" s="466"/>
      <c r="AE4409" s="466"/>
      <c r="AF4409" s="466"/>
      <c r="AG4409" s="466"/>
      <c r="AH4409" s="466"/>
      <c r="AI4409" s="466"/>
      <c r="AJ4409" s="466"/>
      <c r="AK4409" s="466"/>
      <c r="AL4409" s="466"/>
      <c r="AM4409" s="466"/>
      <c r="AN4409" s="466"/>
      <c r="AO4409" s="466"/>
      <c r="AP4409" s="466"/>
      <c r="AQ4409" s="466"/>
      <c r="AR4409" s="466"/>
      <c r="AS4409" s="466"/>
      <c r="AT4409" s="466"/>
      <c r="AU4409" s="466"/>
      <c r="AV4409" s="466"/>
      <c r="AW4409" s="466"/>
      <c r="AX4409" s="466"/>
      <c r="AY4409" s="466"/>
      <c r="AZ4409" s="466"/>
      <c r="BA4409" s="466"/>
      <c r="BB4409" s="466"/>
      <c r="BC4409" s="466"/>
      <c r="BD4409" s="466"/>
      <c r="BE4409" s="467"/>
      <c r="BF4409" s="467"/>
      <c r="BG4409" s="466"/>
      <c r="BH4409" s="466"/>
      <c r="BI4409" s="467"/>
      <c r="BJ4409" s="467"/>
      <c r="BK4409" s="467"/>
      <c r="BL4409" s="467"/>
      <c r="BM4409" s="467"/>
      <c r="BN4409" s="467"/>
      <c r="BO4409" s="467"/>
      <c r="BP4409" s="467"/>
      <c r="BQ4409" s="467"/>
      <c r="BR4409" s="467"/>
      <c r="BS4409" s="467"/>
      <c r="BT4409" s="467"/>
      <c r="BU4409" s="467"/>
      <c r="BV4409" s="467"/>
      <c r="BW4409" s="467"/>
      <c r="BX4409" s="769"/>
      <c r="BY4409" s="769"/>
      <c r="BZ4409" s="769"/>
      <c r="CA4409" s="769"/>
      <c r="CB4409" s="769"/>
      <c r="CC4409" s="769"/>
      <c r="CD4409" s="769"/>
      <c r="CE4409" s="769"/>
      <c r="CF4409" s="769"/>
      <c r="CG4409" s="73"/>
      <c r="CH4409" s="438"/>
      <c r="CI4409" s="416"/>
      <c r="CJ4409" s="73"/>
      <c r="CK4409" s="650"/>
      <c r="CL4409" s="499"/>
      <c r="CM4409" s="650"/>
      <c r="CR4409" s="416"/>
      <c r="CS4409" s="650"/>
      <c r="CU4409" s="73"/>
      <c r="CV4409" s="73"/>
      <c r="CW4409" s="73"/>
      <c r="CX4409" s="73"/>
      <c r="DA4409" s="650"/>
    </row>
    <row r="4410" spans="1:105" s="45" customFormat="1" x14ac:dyDescent="0.2">
      <c r="A4410" s="650"/>
      <c r="B4410" s="438"/>
      <c r="D4410" s="73"/>
      <c r="E4410" s="650"/>
      <c r="F4410" s="650"/>
      <c r="G4410" s="73"/>
      <c r="I4410" s="111"/>
      <c r="J4410" s="81"/>
      <c r="K4410" s="81"/>
      <c r="L4410" s="499"/>
      <c r="M4410" s="73"/>
      <c r="N4410" s="499"/>
      <c r="O4410" s="73"/>
      <c r="P4410" s="73"/>
      <c r="Q4410" s="73"/>
      <c r="R4410" s="176"/>
      <c r="S4410" s="176"/>
      <c r="T4410" s="176"/>
      <c r="U4410" s="400"/>
      <c r="V4410" s="400"/>
      <c r="W4410" s="732"/>
      <c r="X4410" s="167"/>
      <c r="Y4410" s="509"/>
      <c r="Z4410" s="466"/>
      <c r="AA4410" s="466"/>
      <c r="AB4410" s="466"/>
      <c r="AC4410" s="466"/>
      <c r="AD4410" s="466"/>
      <c r="AE4410" s="466"/>
      <c r="AF4410" s="466"/>
      <c r="AG4410" s="466"/>
      <c r="AH4410" s="466"/>
      <c r="AI4410" s="466"/>
      <c r="AJ4410" s="466"/>
      <c r="AK4410" s="466"/>
      <c r="AL4410" s="466"/>
      <c r="AM4410" s="466"/>
      <c r="AN4410" s="466"/>
      <c r="AO4410" s="466"/>
      <c r="AP4410" s="466"/>
      <c r="AQ4410" s="466"/>
      <c r="AR4410" s="466"/>
      <c r="AS4410" s="466"/>
      <c r="AT4410" s="466"/>
      <c r="AU4410" s="466"/>
      <c r="AV4410" s="466"/>
      <c r="AW4410" s="466"/>
      <c r="AX4410" s="466"/>
      <c r="AY4410" s="466"/>
      <c r="AZ4410" s="466"/>
      <c r="BA4410" s="466"/>
      <c r="BB4410" s="466"/>
      <c r="BC4410" s="466"/>
      <c r="BD4410" s="466"/>
      <c r="BE4410" s="467"/>
      <c r="BF4410" s="467"/>
      <c r="BG4410" s="466"/>
      <c r="BH4410" s="466"/>
      <c r="BI4410" s="467"/>
      <c r="BJ4410" s="467"/>
      <c r="BK4410" s="467"/>
      <c r="BL4410" s="467"/>
      <c r="BM4410" s="467"/>
      <c r="BN4410" s="467"/>
      <c r="BO4410" s="467"/>
      <c r="BP4410" s="467"/>
      <c r="BQ4410" s="467"/>
      <c r="BR4410" s="467"/>
      <c r="BS4410" s="467"/>
      <c r="BT4410" s="467"/>
      <c r="BU4410" s="467"/>
      <c r="BV4410" s="467"/>
      <c r="BW4410" s="467"/>
      <c r="BX4410" s="769"/>
      <c r="BY4410" s="769"/>
      <c r="BZ4410" s="769"/>
      <c r="CA4410" s="769"/>
      <c r="CB4410" s="769"/>
      <c r="CC4410" s="769"/>
      <c r="CD4410" s="769"/>
      <c r="CE4410" s="769"/>
      <c r="CF4410" s="769"/>
      <c r="CG4410" s="73"/>
      <c r="CH4410" s="438"/>
      <c r="CI4410" s="416"/>
      <c r="CJ4410" s="73"/>
      <c r="CK4410" s="650"/>
      <c r="CL4410" s="499"/>
      <c r="CM4410" s="650"/>
      <c r="CR4410" s="416"/>
      <c r="CS4410" s="650"/>
      <c r="CU4410" s="73"/>
      <c r="CV4410" s="73"/>
      <c r="CW4410" s="73"/>
      <c r="CX4410" s="73"/>
      <c r="DA4410" s="650"/>
    </row>
    <row r="4411" spans="1:105" s="45" customFormat="1" x14ac:dyDescent="0.2">
      <c r="A4411" s="650"/>
      <c r="B4411" s="438"/>
      <c r="D4411" s="73"/>
      <c r="E4411" s="650"/>
      <c r="F4411" s="650"/>
      <c r="G4411" s="73"/>
      <c r="I4411" s="111"/>
      <c r="J4411" s="81"/>
      <c r="K4411" s="81"/>
      <c r="L4411" s="499"/>
      <c r="M4411" s="73"/>
      <c r="N4411" s="499"/>
      <c r="O4411" s="73"/>
      <c r="P4411" s="73"/>
      <c r="Q4411" s="73"/>
      <c r="R4411" s="176"/>
      <c r="S4411" s="176"/>
      <c r="T4411" s="176"/>
      <c r="U4411" s="400"/>
      <c r="V4411" s="400"/>
      <c r="W4411" s="732"/>
      <c r="X4411" s="167"/>
      <c r="Y4411" s="509"/>
      <c r="Z4411" s="466"/>
      <c r="AA4411" s="466"/>
      <c r="AB4411" s="466"/>
      <c r="AC4411" s="466"/>
      <c r="AD4411" s="466"/>
      <c r="AE4411" s="466"/>
      <c r="AF4411" s="466"/>
      <c r="AG4411" s="466"/>
      <c r="AH4411" s="466"/>
      <c r="AI4411" s="466"/>
      <c r="AJ4411" s="466"/>
      <c r="AK4411" s="466"/>
      <c r="AL4411" s="466"/>
      <c r="AM4411" s="466"/>
      <c r="AN4411" s="466"/>
      <c r="AO4411" s="466"/>
      <c r="AP4411" s="466"/>
      <c r="AQ4411" s="466"/>
      <c r="AR4411" s="466"/>
      <c r="AS4411" s="466"/>
      <c r="AT4411" s="466"/>
      <c r="AU4411" s="466"/>
      <c r="AV4411" s="466"/>
      <c r="AW4411" s="466"/>
      <c r="AX4411" s="466"/>
      <c r="AY4411" s="466"/>
      <c r="AZ4411" s="466"/>
      <c r="BA4411" s="466"/>
      <c r="BB4411" s="466"/>
      <c r="BC4411" s="466"/>
      <c r="BD4411" s="466"/>
      <c r="BE4411" s="467"/>
      <c r="BF4411" s="467"/>
      <c r="BG4411" s="466"/>
      <c r="BH4411" s="466"/>
      <c r="BI4411" s="467"/>
      <c r="BJ4411" s="467"/>
      <c r="BK4411" s="467"/>
      <c r="BL4411" s="467"/>
      <c r="BM4411" s="467"/>
      <c r="BN4411" s="467"/>
      <c r="BO4411" s="467"/>
      <c r="BP4411" s="467"/>
      <c r="BQ4411" s="467"/>
      <c r="BR4411" s="467"/>
      <c r="BS4411" s="467"/>
      <c r="BT4411" s="467"/>
      <c r="BU4411" s="467"/>
      <c r="BV4411" s="467"/>
      <c r="BW4411" s="467"/>
      <c r="BX4411" s="769"/>
      <c r="BY4411" s="769"/>
      <c r="BZ4411" s="769"/>
      <c r="CA4411" s="769"/>
      <c r="CB4411" s="769"/>
      <c r="CC4411" s="769"/>
      <c r="CD4411" s="769"/>
      <c r="CE4411" s="769"/>
      <c r="CF4411" s="769"/>
      <c r="CG4411" s="73"/>
      <c r="CH4411" s="438"/>
      <c r="CI4411" s="416"/>
      <c r="CJ4411" s="73"/>
      <c r="CK4411" s="650"/>
      <c r="CL4411" s="499"/>
      <c r="CM4411" s="650"/>
      <c r="CR4411" s="416"/>
      <c r="CS4411" s="650"/>
      <c r="CU4411" s="73"/>
      <c r="CV4411" s="73"/>
      <c r="CW4411" s="73"/>
      <c r="CX4411" s="73"/>
      <c r="DA4411" s="650"/>
    </row>
    <row r="4412" spans="1:105" s="45" customFormat="1" x14ac:dyDescent="0.2">
      <c r="A4412" s="650"/>
      <c r="B4412" s="438"/>
      <c r="D4412" s="73"/>
      <c r="E4412" s="650"/>
      <c r="F4412" s="650"/>
      <c r="G4412" s="73"/>
      <c r="I4412" s="111"/>
      <c r="J4412" s="81"/>
      <c r="K4412" s="81"/>
      <c r="L4412" s="499"/>
      <c r="M4412" s="73"/>
      <c r="N4412" s="499"/>
      <c r="O4412" s="73"/>
      <c r="P4412" s="73"/>
      <c r="Q4412" s="73"/>
      <c r="R4412" s="176"/>
      <c r="S4412" s="176"/>
      <c r="T4412" s="176"/>
      <c r="U4412" s="400"/>
      <c r="V4412" s="400"/>
      <c r="W4412" s="732"/>
      <c r="X4412" s="167"/>
      <c r="Y4412" s="509"/>
      <c r="Z4412" s="466"/>
      <c r="AA4412" s="466"/>
      <c r="AB4412" s="466"/>
      <c r="AC4412" s="466"/>
      <c r="AD4412" s="466"/>
      <c r="AE4412" s="466"/>
      <c r="AF4412" s="466"/>
      <c r="AG4412" s="466"/>
      <c r="AH4412" s="466"/>
      <c r="AI4412" s="466"/>
      <c r="AJ4412" s="466"/>
      <c r="AK4412" s="466"/>
      <c r="AL4412" s="466"/>
      <c r="AM4412" s="466"/>
      <c r="AN4412" s="466"/>
      <c r="AO4412" s="466"/>
      <c r="AP4412" s="466"/>
      <c r="AQ4412" s="466"/>
      <c r="AR4412" s="466"/>
      <c r="AS4412" s="466"/>
      <c r="AT4412" s="466"/>
      <c r="AU4412" s="466"/>
      <c r="AV4412" s="466"/>
      <c r="AW4412" s="466"/>
      <c r="AX4412" s="466"/>
      <c r="AY4412" s="466"/>
      <c r="AZ4412" s="466"/>
      <c r="BA4412" s="466"/>
      <c r="BB4412" s="466"/>
      <c r="BC4412" s="466"/>
      <c r="BD4412" s="466"/>
      <c r="BE4412" s="467"/>
      <c r="BF4412" s="467"/>
      <c r="BG4412" s="466"/>
      <c r="BH4412" s="466"/>
      <c r="BI4412" s="467"/>
      <c r="BJ4412" s="467"/>
      <c r="BK4412" s="467"/>
      <c r="BL4412" s="467"/>
      <c r="BM4412" s="467"/>
      <c r="BN4412" s="467"/>
      <c r="BO4412" s="467"/>
      <c r="BP4412" s="467"/>
      <c r="BQ4412" s="467"/>
      <c r="BR4412" s="467"/>
      <c r="BS4412" s="467"/>
      <c r="BT4412" s="467"/>
      <c r="BU4412" s="467"/>
      <c r="BV4412" s="467"/>
      <c r="BW4412" s="467"/>
      <c r="BX4412" s="769"/>
      <c r="BY4412" s="769"/>
      <c r="BZ4412" s="769"/>
      <c r="CA4412" s="769"/>
      <c r="CB4412" s="769"/>
      <c r="CC4412" s="769"/>
      <c r="CD4412" s="769"/>
      <c r="CE4412" s="769"/>
      <c r="CF4412" s="769"/>
      <c r="CG4412" s="73"/>
      <c r="CH4412" s="438"/>
      <c r="CI4412" s="416"/>
      <c r="CJ4412" s="73"/>
      <c r="CK4412" s="650"/>
      <c r="CL4412" s="499"/>
      <c r="CM4412" s="650"/>
      <c r="CR4412" s="416"/>
      <c r="CS4412" s="650"/>
      <c r="CU4412" s="73"/>
      <c r="CV4412" s="73"/>
      <c r="CW4412" s="73"/>
      <c r="CX4412" s="73"/>
      <c r="DA4412" s="650"/>
    </row>
    <row r="4413" spans="1:105" s="45" customFormat="1" x14ac:dyDescent="0.2">
      <c r="A4413" s="650"/>
      <c r="B4413" s="438"/>
      <c r="D4413" s="73"/>
      <c r="E4413" s="650"/>
      <c r="F4413" s="650"/>
      <c r="G4413" s="73"/>
      <c r="I4413" s="111"/>
      <c r="J4413" s="81"/>
      <c r="K4413" s="81"/>
      <c r="L4413" s="499"/>
      <c r="M4413" s="73"/>
      <c r="N4413" s="499"/>
      <c r="O4413" s="73"/>
      <c r="P4413" s="73"/>
      <c r="Q4413" s="73"/>
      <c r="R4413" s="176"/>
      <c r="S4413" s="176"/>
      <c r="T4413" s="176"/>
      <c r="U4413" s="400"/>
      <c r="V4413" s="400"/>
      <c r="W4413" s="732"/>
      <c r="X4413" s="167"/>
      <c r="Y4413" s="509"/>
      <c r="Z4413" s="466"/>
      <c r="AA4413" s="466"/>
      <c r="AB4413" s="466"/>
      <c r="AC4413" s="466"/>
      <c r="AD4413" s="466"/>
      <c r="AE4413" s="466"/>
      <c r="AF4413" s="466"/>
      <c r="AG4413" s="466"/>
      <c r="AH4413" s="466"/>
      <c r="AI4413" s="466"/>
      <c r="AJ4413" s="466"/>
      <c r="AK4413" s="466"/>
      <c r="AL4413" s="466"/>
      <c r="AM4413" s="466"/>
      <c r="AN4413" s="466"/>
      <c r="AO4413" s="466"/>
      <c r="AP4413" s="466"/>
      <c r="AQ4413" s="466"/>
      <c r="AR4413" s="466"/>
      <c r="AS4413" s="466"/>
      <c r="AT4413" s="466"/>
      <c r="AU4413" s="466"/>
      <c r="AV4413" s="466"/>
      <c r="AW4413" s="466"/>
      <c r="AX4413" s="466"/>
      <c r="AY4413" s="466"/>
      <c r="AZ4413" s="466"/>
      <c r="BA4413" s="466"/>
      <c r="BB4413" s="466"/>
      <c r="BC4413" s="466"/>
      <c r="BD4413" s="466"/>
      <c r="BE4413" s="467"/>
      <c r="BF4413" s="467"/>
      <c r="BG4413" s="466"/>
      <c r="BH4413" s="466"/>
      <c r="BI4413" s="467"/>
      <c r="BJ4413" s="467"/>
      <c r="BK4413" s="467"/>
      <c r="BL4413" s="467"/>
      <c r="BM4413" s="467"/>
      <c r="BN4413" s="467"/>
      <c r="BO4413" s="467"/>
      <c r="BP4413" s="467"/>
      <c r="BQ4413" s="467"/>
      <c r="BR4413" s="467"/>
      <c r="BS4413" s="467"/>
      <c r="BT4413" s="467"/>
      <c r="BU4413" s="467"/>
      <c r="BV4413" s="467"/>
      <c r="BW4413" s="467"/>
      <c r="BX4413" s="769"/>
      <c r="BY4413" s="769"/>
      <c r="BZ4413" s="769"/>
      <c r="CA4413" s="769"/>
      <c r="CB4413" s="769"/>
      <c r="CC4413" s="769"/>
      <c r="CD4413" s="769"/>
      <c r="CE4413" s="769"/>
      <c r="CF4413" s="769"/>
      <c r="CG4413" s="73"/>
      <c r="CH4413" s="438"/>
      <c r="CI4413" s="416"/>
      <c r="CJ4413" s="73"/>
      <c r="CK4413" s="650"/>
      <c r="CL4413" s="499"/>
      <c r="CM4413" s="650"/>
      <c r="CR4413" s="416"/>
      <c r="CS4413" s="650"/>
      <c r="CU4413" s="73"/>
      <c r="CV4413" s="73"/>
      <c r="CW4413" s="73"/>
      <c r="CX4413" s="73"/>
      <c r="DA4413" s="650"/>
    </row>
    <row r="4414" spans="1:105" s="45" customFormat="1" x14ac:dyDescent="0.2">
      <c r="A4414" s="650"/>
      <c r="B4414" s="438"/>
      <c r="D4414" s="73"/>
      <c r="E4414" s="650"/>
      <c r="F4414" s="650"/>
      <c r="G4414" s="73"/>
      <c r="I4414" s="111"/>
      <c r="J4414" s="81"/>
      <c r="K4414" s="81"/>
      <c r="L4414" s="499"/>
      <c r="M4414" s="73"/>
      <c r="N4414" s="499"/>
      <c r="O4414" s="73"/>
      <c r="P4414" s="73"/>
      <c r="Q4414" s="73"/>
      <c r="R4414" s="176"/>
      <c r="S4414" s="176"/>
      <c r="T4414" s="176"/>
      <c r="U4414" s="400"/>
      <c r="V4414" s="400"/>
      <c r="W4414" s="732"/>
      <c r="X4414" s="167"/>
      <c r="Y4414" s="509"/>
      <c r="Z4414" s="466"/>
      <c r="AA4414" s="466"/>
      <c r="AB4414" s="466"/>
      <c r="AC4414" s="466"/>
      <c r="AD4414" s="466"/>
      <c r="AE4414" s="466"/>
      <c r="AF4414" s="466"/>
      <c r="AG4414" s="466"/>
      <c r="AH4414" s="466"/>
      <c r="AI4414" s="466"/>
      <c r="AJ4414" s="466"/>
      <c r="AK4414" s="466"/>
      <c r="AL4414" s="466"/>
      <c r="AM4414" s="466"/>
      <c r="AN4414" s="466"/>
      <c r="AO4414" s="466"/>
      <c r="AP4414" s="466"/>
      <c r="AQ4414" s="466"/>
      <c r="AR4414" s="466"/>
      <c r="AS4414" s="466"/>
      <c r="AT4414" s="466"/>
      <c r="AU4414" s="466"/>
      <c r="AV4414" s="466"/>
      <c r="AW4414" s="466"/>
      <c r="AX4414" s="466"/>
      <c r="AY4414" s="466"/>
      <c r="AZ4414" s="466"/>
      <c r="BA4414" s="466"/>
      <c r="BB4414" s="466"/>
      <c r="BC4414" s="466"/>
      <c r="BD4414" s="466"/>
      <c r="BE4414" s="467"/>
      <c r="BF4414" s="467"/>
      <c r="BG4414" s="466"/>
      <c r="BH4414" s="466"/>
      <c r="BI4414" s="467"/>
      <c r="BJ4414" s="467"/>
      <c r="BK4414" s="467"/>
      <c r="BL4414" s="467"/>
      <c r="BM4414" s="467"/>
      <c r="BN4414" s="467"/>
      <c r="BO4414" s="467"/>
      <c r="BP4414" s="467"/>
      <c r="BQ4414" s="467"/>
      <c r="BR4414" s="467"/>
      <c r="BS4414" s="467"/>
      <c r="BT4414" s="467"/>
      <c r="BU4414" s="467"/>
      <c r="BV4414" s="467"/>
      <c r="BW4414" s="467"/>
      <c r="BX4414" s="769"/>
      <c r="BY4414" s="769"/>
      <c r="BZ4414" s="769"/>
      <c r="CA4414" s="769"/>
      <c r="CB4414" s="769"/>
      <c r="CC4414" s="769"/>
      <c r="CD4414" s="769"/>
      <c r="CE4414" s="769"/>
      <c r="CF4414" s="769"/>
      <c r="CG4414" s="73"/>
      <c r="CH4414" s="438"/>
      <c r="CI4414" s="416"/>
      <c r="CJ4414" s="73"/>
      <c r="CK4414" s="650"/>
      <c r="CL4414" s="499"/>
      <c r="CM4414" s="650"/>
      <c r="CR4414" s="416"/>
      <c r="CS4414" s="650"/>
      <c r="CU4414" s="73"/>
      <c r="CV4414" s="73"/>
      <c r="CW4414" s="73"/>
      <c r="CX4414" s="73"/>
      <c r="DA4414" s="650"/>
    </row>
    <row r="4415" spans="1:105" s="45" customFormat="1" x14ac:dyDescent="0.2">
      <c r="A4415" s="650"/>
      <c r="B4415" s="438"/>
      <c r="D4415" s="73"/>
      <c r="E4415" s="650"/>
      <c r="F4415" s="650"/>
      <c r="G4415" s="73"/>
      <c r="I4415" s="111"/>
      <c r="J4415" s="81"/>
      <c r="K4415" s="81"/>
      <c r="L4415" s="499"/>
      <c r="M4415" s="73"/>
      <c r="N4415" s="499"/>
      <c r="O4415" s="73"/>
      <c r="P4415" s="73"/>
      <c r="Q4415" s="73"/>
      <c r="R4415" s="176"/>
      <c r="S4415" s="176"/>
      <c r="T4415" s="176"/>
      <c r="U4415" s="400"/>
      <c r="V4415" s="400"/>
      <c r="W4415" s="732"/>
      <c r="X4415" s="167"/>
      <c r="Y4415" s="509"/>
      <c r="Z4415" s="466"/>
      <c r="AA4415" s="466"/>
      <c r="AB4415" s="466"/>
      <c r="AC4415" s="466"/>
      <c r="AD4415" s="466"/>
      <c r="AE4415" s="466"/>
      <c r="AF4415" s="466"/>
      <c r="AG4415" s="466"/>
      <c r="AH4415" s="466"/>
      <c r="AI4415" s="466"/>
      <c r="AJ4415" s="466"/>
      <c r="AK4415" s="466"/>
      <c r="AL4415" s="466"/>
      <c r="AM4415" s="466"/>
      <c r="AN4415" s="466"/>
      <c r="AO4415" s="466"/>
      <c r="AP4415" s="466"/>
      <c r="AQ4415" s="466"/>
      <c r="AR4415" s="466"/>
      <c r="AS4415" s="466"/>
      <c r="AT4415" s="466"/>
      <c r="AU4415" s="466"/>
      <c r="AV4415" s="466"/>
      <c r="AW4415" s="466"/>
      <c r="AX4415" s="466"/>
      <c r="AY4415" s="466"/>
      <c r="AZ4415" s="466"/>
      <c r="BA4415" s="466"/>
      <c r="BB4415" s="466"/>
      <c r="BC4415" s="466"/>
      <c r="BD4415" s="466"/>
      <c r="BE4415" s="467"/>
      <c r="BF4415" s="467"/>
      <c r="BG4415" s="466"/>
      <c r="BH4415" s="466"/>
      <c r="BI4415" s="467"/>
      <c r="BJ4415" s="467"/>
      <c r="BK4415" s="467"/>
      <c r="BL4415" s="467"/>
      <c r="BM4415" s="467"/>
      <c r="BN4415" s="467"/>
      <c r="BO4415" s="467"/>
      <c r="BP4415" s="467"/>
      <c r="BQ4415" s="467"/>
      <c r="BR4415" s="467"/>
      <c r="BS4415" s="467"/>
      <c r="BT4415" s="467"/>
      <c r="BU4415" s="467"/>
      <c r="BV4415" s="467"/>
      <c r="BW4415" s="467"/>
      <c r="BX4415" s="769"/>
      <c r="BY4415" s="769"/>
      <c r="BZ4415" s="769"/>
      <c r="CA4415" s="769"/>
      <c r="CB4415" s="769"/>
      <c r="CC4415" s="769"/>
      <c r="CD4415" s="769"/>
      <c r="CE4415" s="769"/>
      <c r="CF4415" s="769"/>
      <c r="CG4415" s="73"/>
      <c r="CH4415" s="438"/>
      <c r="CI4415" s="416"/>
      <c r="CJ4415" s="73"/>
      <c r="CK4415" s="650"/>
      <c r="CL4415" s="499"/>
      <c r="CM4415" s="650"/>
      <c r="CR4415" s="416"/>
      <c r="CS4415" s="650"/>
      <c r="CU4415" s="73"/>
      <c r="CV4415" s="73"/>
      <c r="CW4415" s="73"/>
      <c r="CX4415" s="73"/>
      <c r="DA4415" s="650"/>
    </row>
    <row r="4416" spans="1:105" s="45" customFormat="1" x14ac:dyDescent="0.2">
      <c r="A4416" s="650"/>
      <c r="B4416" s="438"/>
      <c r="D4416" s="73"/>
      <c r="E4416" s="650"/>
      <c r="F4416" s="650"/>
      <c r="G4416" s="73"/>
      <c r="I4416" s="111"/>
      <c r="J4416" s="81"/>
      <c r="K4416" s="81"/>
      <c r="L4416" s="499"/>
      <c r="M4416" s="73"/>
      <c r="N4416" s="499"/>
      <c r="O4416" s="73"/>
      <c r="P4416" s="73"/>
      <c r="Q4416" s="73"/>
      <c r="R4416" s="176"/>
      <c r="S4416" s="176"/>
      <c r="T4416" s="176"/>
      <c r="U4416" s="400"/>
      <c r="V4416" s="400"/>
      <c r="W4416" s="732"/>
      <c r="X4416" s="167"/>
      <c r="Y4416" s="509"/>
      <c r="Z4416" s="466"/>
      <c r="AA4416" s="466"/>
      <c r="AB4416" s="466"/>
      <c r="AC4416" s="466"/>
      <c r="AD4416" s="466"/>
      <c r="AE4416" s="466"/>
      <c r="AF4416" s="466"/>
      <c r="AG4416" s="466"/>
      <c r="AH4416" s="466"/>
      <c r="AI4416" s="466"/>
      <c r="AJ4416" s="466"/>
      <c r="AK4416" s="466"/>
      <c r="AL4416" s="466"/>
      <c r="AM4416" s="466"/>
      <c r="AN4416" s="466"/>
      <c r="AO4416" s="466"/>
      <c r="AP4416" s="466"/>
      <c r="AQ4416" s="466"/>
      <c r="AR4416" s="466"/>
      <c r="AS4416" s="466"/>
      <c r="AT4416" s="466"/>
      <c r="AU4416" s="466"/>
      <c r="AV4416" s="466"/>
      <c r="AW4416" s="466"/>
      <c r="AX4416" s="466"/>
      <c r="AY4416" s="466"/>
      <c r="AZ4416" s="466"/>
      <c r="BA4416" s="466"/>
      <c r="BB4416" s="466"/>
      <c r="BC4416" s="466"/>
      <c r="BD4416" s="466"/>
      <c r="BE4416" s="467"/>
      <c r="BF4416" s="467"/>
      <c r="BG4416" s="466"/>
      <c r="BH4416" s="466"/>
      <c r="BI4416" s="467"/>
      <c r="BJ4416" s="467"/>
      <c r="BK4416" s="467"/>
      <c r="BL4416" s="467"/>
      <c r="BM4416" s="467"/>
      <c r="BN4416" s="467"/>
      <c r="BO4416" s="467"/>
      <c r="BP4416" s="467"/>
      <c r="BQ4416" s="467"/>
      <c r="BR4416" s="467"/>
      <c r="BS4416" s="467"/>
      <c r="BT4416" s="467"/>
      <c r="BU4416" s="467"/>
      <c r="BV4416" s="467"/>
      <c r="BW4416" s="467"/>
      <c r="BX4416" s="769"/>
      <c r="BY4416" s="769"/>
      <c r="BZ4416" s="769"/>
      <c r="CA4416" s="769"/>
      <c r="CB4416" s="769"/>
      <c r="CC4416" s="769"/>
      <c r="CD4416" s="769"/>
      <c r="CE4416" s="769"/>
      <c r="CF4416" s="769"/>
      <c r="CG4416" s="73"/>
      <c r="CH4416" s="438"/>
      <c r="CI4416" s="416"/>
      <c r="CJ4416" s="73"/>
      <c r="CK4416" s="650"/>
      <c r="CL4416" s="499"/>
      <c r="CM4416" s="650"/>
      <c r="CR4416" s="416"/>
      <c r="CS4416" s="650"/>
      <c r="CU4416" s="73"/>
      <c r="CV4416" s="73"/>
      <c r="CW4416" s="73"/>
      <c r="CX4416" s="73"/>
      <c r="DA4416" s="650"/>
    </row>
    <row r="4417" spans="1:105" s="45" customFormat="1" x14ac:dyDescent="0.2">
      <c r="A4417" s="650"/>
      <c r="B4417" s="438"/>
      <c r="D4417" s="73"/>
      <c r="E4417" s="650"/>
      <c r="F4417" s="650"/>
      <c r="G4417" s="73"/>
      <c r="I4417" s="111"/>
      <c r="J4417" s="81"/>
      <c r="K4417" s="81"/>
      <c r="L4417" s="499"/>
      <c r="M4417" s="73"/>
      <c r="N4417" s="499"/>
      <c r="O4417" s="73"/>
      <c r="P4417" s="73"/>
      <c r="Q4417" s="73"/>
      <c r="R4417" s="176"/>
      <c r="S4417" s="176"/>
      <c r="T4417" s="176"/>
      <c r="U4417" s="400"/>
      <c r="V4417" s="400"/>
      <c r="W4417" s="732"/>
      <c r="X4417" s="167"/>
      <c r="Y4417" s="509"/>
      <c r="Z4417" s="466"/>
      <c r="AA4417" s="466"/>
      <c r="AB4417" s="466"/>
      <c r="AC4417" s="466"/>
      <c r="AD4417" s="466"/>
      <c r="AE4417" s="466"/>
      <c r="AF4417" s="466"/>
      <c r="AG4417" s="466"/>
      <c r="AH4417" s="466"/>
      <c r="AI4417" s="466"/>
      <c r="AJ4417" s="466"/>
      <c r="AK4417" s="466"/>
      <c r="AL4417" s="466"/>
      <c r="AM4417" s="466"/>
      <c r="AN4417" s="466"/>
      <c r="AO4417" s="466"/>
      <c r="AP4417" s="466"/>
      <c r="AQ4417" s="466"/>
      <c r="AR4417" s="466"/>
      <c r="AS4417" s="466"/>
      <c r="AT4417" s="466"/>
      <c r="AU4417" s="466"/>
      <c r="AV4417" s="466"/>
      <c r="AW4417" s="466"/>
      <c r="AX4417" s="466"/>
      <c r="AY4417" s="466"/>
      <c r="AZ4417" s="466"/>
      <c r="BA4417" s="466"/>
      <c r="BB4417" s="466"/>
      <c r="BC4417" s="466"/>
      <c r="BD4417" s="466"/>
      <c r="BE4417" s="467"/>
      <c r="BF4417" s="467"/>
      <c r="BG4417" s="466"/>
      <c r="BH4417" s="466"/>
      <c r="BI4417" s="467"/>
      <c r="BJ4417" s="467"/>
      <c r="BK4417" s="467"/>
      <c r="BL4417" s="467"/>
      <c r="BM4417" s="467"/>
      <c r="BN4417" s="467"/>
      <c r="BO4417" s="467"/>
      <c r="BP4417" s="467"/>
      <c r="BQ4417" s="467"/>
      <c r="BR4417" s="467"/>
      <c r="BS4417" s="467"/>
      <c r="BT4417" s="467"/>
      <c r="BU4417" s="467"/>
      <c r="BV4417" s="467"/>
      <c r="BW4417" s="467"/>
      <c r="BX4417" s="769"/>
      <c r="BY4417" s="769"/>
      <c r="BZ4417" s="769"/>
      <c r="CA4417" s="769"/>
      <c r="CB4417" s="769"/>
      <c r="CC4417" s="769"/>
      <c r="CD4417" s="769"/>
      <c r="CE4417" s="769"/>
      <c r="CF4417" s="769"/>
      <c r="CG4417" s="73"/>
      <c r="CH4417" s="438"/>
      <c r="CI4417" s="416"/>
      <c r="CJ4417" s="73"/>
      <c r="CK4417" s="650"/>
      <c r="CL4417" s="499"/>
      <c r="CM4417" s="650"/>
      <c r="CR4417" s="416"/>
      <c r="CS4417" s="650"/>
      <c r="CU4417" s="73"/>
      <c r="CV4417" s="73"/>
      <c r="CW4417" s="73"/>
      <c r="CX4417" s="73"/>
      <c r="DA4417" s="650"/>
    </row>
    <row r="4418" spans="1:105" s="45" customFormat="1" x14ac:dyDescent="0.2">
      <c r="A4418" s="650"/>
      <c r="B4418" s="438"/>
      <c r="D4418" s="73"/>
      <c r="E4418" s="650"/>
      <c r="F4418" s="650"/>
      <c r="G4418" s="73"/>
      <c r="I4418" s="111"/>
      <c r="J4418" s="81"/>
      <c r="K4418" s="81"/>
      <c r="L4418" s="499"/>
      <c r="M4418" s="73"/>
      <c r="N4418" s="499"/>
      <c r="O4418" s="73"/>
      <c r="P4418" s="73"/>
      <c r="Q4418" s="73"/>
      <c r="R4418" s="176"/>
      <c r="S4418" s="176"/>
      <c r="T4418" s="176"/>
      <c r="U4418" s="400"/>
      <c r="V4418" s="400"/>
      <c r="W4418" s="732"/>
      <c r="X4418" s="167"/>
      <c r="Y4418" s="509"/>
      <c r="Z4418" s="466"/>
      <c r="AA4418" s="466"/>
      <c r="AB4418" s="466"/>
      <c r="AC4418" s="466"/>
      <c r="AD4418" s="466"/>
      <c r="AE4418" s="466"/>
      <c r="AF4418" s="466"/>
      <c r="AG4418" s="466"/>
      <c r="AH4418" s="466"/>
      <c r="AI4418" s="466"/>
      <c r="AJ4418" s="466"/>
      <c r="AK4418" s="466"/>
      <c r="AL4418" s="466"/>
      <c r="AM4418" s="466"/>
      <c r="AN4418" s="466"/>
      <c r="AO4418" s="466"/>
      <c r="AP4418" s="466"/>
      <c r="AQ4418" s="466"/>
      <c r="AR4418" s="466"/>
      <c r="AS4418" s="466"/>
      <c r="AT4418" s="466"/>
      <c r="AU4418" s="466"/>
      <c r="AV4418" s="466"/>
      <c r="AW4418" s="466"/>
      <c r="AX4418" s="466"/>
      <c r="AY4418" s="466"/>
      <c r="AZ4418" s="466"/>
      <c r="BA4418" s="466"/>
      <c r="BB4418" s="466"/>
      <c r="BC4418" s="466"/>
      <c r="BD4418" s="466"/>
      <c r="BE4418" s="467"/>
      <c r="BF4418" s="467"/>
      <c r="BG4418" s="466"/>
      <c r="BH4418" s="466"/>
      <c r="BI4418" s="467"/>
      <c r="BJ4418" s="467"/>
      <c r="BK4418" s="467"/>
      <c r="BL4418" s="467"/>
      <c r="BM4418" s="467"/>
      <c r="BN4418" s="467"/>
      <c r="BO4418" s="467"/>
      <c r="BP4418" s="467"/>
      <c r="BQ4418" s="467"/>
      <c r="BR4418" s="467"/>
      <c r="BS4418" s="467"/>
      <c r="BT4418" s="467"/>
      <c r="BU4418" s="467"/>
      <c r="BV4418" s="467"/>
      <c r="BW4418" s="467"/>
      <c r="BX4418" s="769"/>
      <c r="BY4418" s="769"/>
      <c r="BZ4418" s="769"/>
      <c r="CA4418" s="769"/>
      <c r="CB4418" s="769"/>
      <c r="CC4418" s="769"/>
      <c r="CD4418" s="769"/>
      <c r="CE4418" s="769"/>
      <c r="CF4418" s="769"/>
      <c r="CG4418" s="73"/>
      <c r="CH4418" s="438"/>
      <c r="CI4418" s="416"/>
      <c r="CJ4418" s="73"/>
      <c r="CK4418" s="650"/>
      <c r="CL4418" s="499"/>
      <c r="CM4418" s="650"/>
      <c r="CR4418" s="416"/>
      <c r="CS4418" s="650"/>
      <c r="CU4418" s="73"/>
      <c r="CV4418" s="73"/>
      <c r="CW4418" s="73"/>
      <c r="CX4418" s="73"/>
      <c r="DA4418" s="650"/>
    </row>
    <row r="4419" spans="1:105" s="45" customFormat="1" x14ac:dyDescent="0.2">
      <c r="A4419" s="650"/>
      <c r="B4419" s="438"/>
      <c r="D4419" s="73"/>
      <c r="E4419" s="650"/>
      <c r="F4419" s="650"/>
      <c r="G4419" s="73"/>
      <c r="I4419" s="111"/>
      <c r="J4419" s="81"/>
      <c r="K4419" s="81"/>
      <c r="L4419" s="499"/>
      <c r="M4419" s="73"/>
      <c r="N4419" s="499"/>
      <c r="O4419" s="73"/>
      <c r="P4419" s="73"/>
      <c r="Q4419" s="73"/>
      <c r="R4419" s="176"/>
      <c r="S4419" s="176"/>
      <c r="T4419" s="176"/>
      <c r="U4419" s="400"/>
      <c r="V4419" s="400"/>
      <c r="W4419" s="732"/>
      <c r="X4419" s="167"/>
      <c r="Y4419" s="509"/>
      <c r="Z4419" s="466"/>
      <c r="AA4419" s="466"/>
      <c r="AB4419" s="466"/>
      <c r="AC4419" s="466"/>
      <c r="AD4419" s="466"/>
      <c r="AE4419" s="466"/>
      <c r="AF4419" s="466"/>
      <c r="AG4419" s="466"/>
      <c r="AH4419" s="466"/>
      <c r="AI4419" s="466"/>
      <c r="AJ4419" s="466"/>
      <c r="AK4419" s="466"/>
      <c r="AL4419" s="466"/>
      <c r="AM4419" s="466"/>
      <c r="AN4419" s="466"/>
      <c r="AO4419" s="466"/>
      <c r="AP4419" s="466"/>
      <c r="AQ4419" s="466"/>
      <c r="AR4419" s="466"/>
      <c r="AS4419" s="466"/>
      <c r="AT4419" s="466"/>
      <c r="AU4419" s="466"/>
      <c r="AV4419" s="466"/>
      <c r="AW4419" s="466"/>
      <c r="AX4419" s="466"/>
      <c r="AY4419" s="466"/>
      <c r="AZ4419" s="466"/>
      <c r="BA4419" s="466"/>
      <c r="BB4419" s="466"/>
      <c r="BC4419" s="466"/>
      <c r="BD4419" s="466"/>
      <c r="BE4419" s="467"/>
      <c r="BF4419" s="467"/>
      <c r="BG4419" s="466"/>
      <c r="BH4419" s="466"/>
      <c r="BI4419" s="467"/>
      <c r="BJ4419" s="467"/>
      <c r="BK4419" s="467"/>
      <c r="BL4419" s="467"/>
      <c r="BM4419" s="467"/>
      <c r="BN4419" s="467"/>
      <c r="BO4419" s="467"/>
      <c r="BP4419" s="467"/>
      <c r="BQ4419" s="467"/>
      <c r="BR4419" s="467"/>
      <c r="BS4419" s="467"/>
      <c r="BT4419" s="467"/>
      <c r="BU4419" s="467"/>
      <c r="BV4419" s="467"/>
      <c r="BW4419" s="467"/>
      <c r="BX4419" s="769"/>
      <c r="BY4419" s="769"/>
      <c r="BZ4419" s="769"/>
      <c r="CA4419" s="769"/>
      <c r="CB4419" s="769"/>
      <c r="CC4419" s="769"/>
      <c r="CD4419" s="769"/>
      <c r="CE4419" s="769"/>
      <c r="CF4419" s="769"/>
      <c r="CG4419" s="73"/>
      <c r="CH4419" s="438"/>
      <c r="CI4419" s="416"/>
      <c r="CJ4419" s="73"/>
      <c r="CK4419" s="650"/>
      <c r="CL4419" s="499"/>
      <c r="CM4419" s="650"/>
      <c r="CR4419" s="416"/>
      <c r="CS4419" s="650"/>
      <c r="CU4419" s="73"/>
      <c r="CV4419" s="73"/>
      <c r="CW4419" s="73"/>
      <c r="CX4419" s="73"/>
      <c r="DA4419" s="650"/>
    </row>
    <row r="4420" spans="1:105" s="45" customFormat="1" x14ac:dyDescent="0.2">
      <c r="A4420" s="650"/>
      <c r="B4420" s="438"/>
      <c r="D4420" s="73"/>
      <c r="E4420" s="650"/>
      <c r="F4420" s="650"/>
      <c r="G4420" s="73"/>
      <c r="I4420" s="111"/>
      <c r="J4420" s="81"/>
      <c r="K4420" s="81"/>
      <c r="L4420" s="499"/>
      <c r="M4420" s="73"/>
      <c r="N4420" s="499"/>
      <c r="O4420" s="73"/>
      <c r="P4420" s="73"/>
      <c r="Q4420" s="73"/>
      <c r="R4420" s="176"/>
      <c r="S4420" s="176"/>
      <c r="T4420" s="176"/>
      <c r="U4420" s="400"/>
      <c r="V4420" s="400"/>
      <c r="W4420" s="732"/>
      <c r="X4420" s="167"/>
      <c r="Y4420" s="509"/>
      <c r="Z4420" s="466"/>
      <c r="AA4420" s="466"/>
      <c r="AB4420" s="466"/>
      <c r="AC4420" s="466"/>
      <c r="AD4420" s="466"/>
      <c r="AE4420" s="466"/>
      <c r="AF4420" s="466"/>
      <c r="AG4420" s="466"/>
      <c r="AH4420" s="466"/>
      <c r="AI4420" s="466"/>
      <c r="AJ4420" s="466"/>
      <c r="AK4420" s="466"/>
      <c r="AL4420" s="466"/>
      <c r="AM4420" s="466"/>
      <c r="AN4420" s="466"/>
      <c r="AO4420" s="466"/>
      <c r="AP4420" s="466"/>
      <c r="AQ4420" s="466"/>
      <c r="AR4420" s="466"/>
      <c r="AS4420" s="466"/>
      <c r="AT4420" s="466"/>
      <c r="AU4420" s="466"/>
      <c r="AV4420" s="466"/>
      <c r="AW4420" s="466"/>
      <c r="AX4420" s="466"/>
      <c r="AY4420" s="466"/>
      <c r="AZ4420" s="466"/>
      <c r="BA4420" s="466"/>
      <c r="BB4420" s="466"/>
      <c r="BC4420" s="466"/>
      <c r="BD4420" s="466"/>
      <c r="BE4420" s="467"/>
      <c r="BF4420" s="467"/>
      <c r="BG4420" s="466"/>
      <c r="BH4420" s="466"/>
      <c r="BI4420" s="467"/>
      <c r="BJ4420" s="467"/>
      <c r="BK4420" s="467"/>
      <c r="BL4420" s="467"/>
      <c r="BM4420" s="467"/>
      <c r="BN4420" s="467"/>
      <c r="BO4420" s="467"/>
      <c r="BP4420" s="467"/>
      <c r="BQ4420" s="467"/>
      <c r="BR4420" s="467"/>
      <c r="BS4420" s="467"/>
      <c r="BT4420" s="467"/>
      <c r="BU4420" s="467"/>
      <c r="BV4420" s="467"/>
      <c r="BW4420" s="467"/>
      <c r="BX4420" s="769"/>
      <c r="BY4420" s="769"/>
      <c r="BZ4420" s="769"/>
      <c r="CA4420" s="769"/>
      <c r="CB4420" s="769"/>
      <c r="CC4420" s="769"/>
      <c r="CD4420" s="769"/>
      <c r="CE4420" s="769"/>
      <c r="CF4420" s="769"/>
      <c r="CG4420" s="73"/>
      <c r="CH4420" s="438"/>
      <c r="CI4420" s="416"/>
      <c r="CJ4420" s="73"/>
      <c r="CK4420" s="650"/>
      <c r="CL4420" s="499"/>
      <c r="CM4420" s="650"/>
      <c r="CR4420" s="416"/>
      <c r="CS4420" s="650"/>
      <c r="CU4420" s="73"/>
      <c r="CV4420" s="73"/>
      <c r="CW4420" s="73"/>
      <c r="CX4420" s="73"/>
      <c r="DA4420" s="650"/>
    </row>
    <row r="4421" spans="1:105" s="45" customFormat="1" x14ac:dyDescent="0.2">
      <c r="A4421" s="650"/>
      <c r="B4421" s="438"/>
      <c r="D4421" s="73"/>
      <c r="E4421" s="650"/>
      <c r="F4421" s="650"/>
      <c r="G4421" s="73"/>
      <c r="I4421" s="111"/>
      <c r="J4421" s="81"/>
      <c r="K4421" s="81"/>
      <c r="L4421" s="499"/>
      <c r="M4421" s="73"/>
      <c r="N4421" s="499"/>
      <c r="O4421" s="73"/>
      <c r="P4421" s="73"/>
      <c r="Q4421" s="73"/>
      <c r="R4421" s="176"/>
      <c r="S4421" s="176"/>
      <c r="T4421" s="176"/>
      <c r="U4421" s="400"/>
      <c r="V4421" s="400"/>
      <c r="W4421" s="732"/>
      <c r="X4421" s="167"/>
      <c r="Y4421" s="509"/>
      <c r="Z4421" s="466"/>
      <c r="AA4421" s="466"/>
      <c r="AB4421" s="466"/>
      <c r="AC4421" s="466"/>
      <c r="AD4421" s="466"/>
      <c r="AE4421" s="466"/>
      <c r="AF4421" s="466"/>
      <c r="AG4421" s="466"/>
      <c r="AH4421" s="466"/>
      <c r="AI4421" s="466"/>
      <c r="AJ4421" s="466"/>
      <c r="AK4421" s="466"/>
      <c r="AL4421" s="466"/>
      <c r="AM4421" s="466"/>
      <c r="AN4421" s="466"/>
      <c r="AO4421" s="466"/>
      <c r="AP4421" s="466"/>
      <c r="AQ4421" s="466"/>
      <c r="AR4421" s="466"/>
      <c r="AS4421" s="466"/>
      <c r="AT4421" s="466"/>
      <c r="AU4421" s="466"/>
      <c r="AV4421" s="466"/>
      <c r="AW4421" s="466"/>
      <c r="AX4421" s="466"/>
      <c r="AY4421" s="466"/>
      <c r="AZ4421" s="466"/>
      <c r="BA4421" s="466"/>
      <c r="BB4421" s="466"/>
      <c r="BC4421" s="466"/>
      <c r="BD4421" s="466"/>
      <c r="BE4421" s="467"/>
      <c r="BF4421" s="467"/>
      <c r="BG4421" s="466"/>
      <c r="BH4421" s="466"/>
      <c r="BI4421" s="467"/>
      <c r="BJ4421" s="467"/>
      <c r="BK4421" s="467"/>
      <c r="BL4421" s="467"/>
      <c r="BM4421" s="467"/>
      <c r="BN4421" s="467"/>
      <c r="BO4421" s="467"/>
      <c r="BP4421" s="467"/>
      <c r="BQ4421" s="467"/>
      <c r="BR4421" s="467"/>
      <c r="BS4421" s="467"/>
      <c r="BT4421" s="467"/>
      <c r="BU4421" s="467"/>
      <c r="BV4421" s="467"/>
      <c r="BW4421" s="467"/>
      <c r="BX4421" s="769"/>
      <c r="BY4421" s="769"/>
      <c r="BZ4421" s="769"/>
      <c r="CA4421" s="769"/>
      <c r="CB4421" s="769"/>
      <c r="CC4421" s="769"/>
      <c r="CD4421" s="769"/>
      <c r="CE4421" s="769"/>
      <c r="CF4421" s="769"/>
      <c r="CG4421" s="73"/>
      <c r="CH4421" s="438"/>
      <c r="CI4421" s="416"/>
      <c r="CJ4421" s="73"/>
      <c r="CK4421" s="650"/>
      <c r="CL4421" s="499"/>
      <c r="CM4421" s="650"/>
      <c r="CR4421" s="416"/>
      <c r="CS4421" s="650"/>
      <c r="CU4421" s="73"/>
      <c r="CV4421" s="73"/>
      <c r="CW4421" s="73"/>
      <c r="CX4421" s="73"/>
      <c r="DA4421" s="650"/>
    </row>
    <row r="4422" spans="1:105" s="45" customFormat="1" x14ac:dyDescent="0.2">
      <c r="A4422" s="650"/>
      <c r="B4422" s="438"/>
      <c r="D4422" s="73"/>
      <c r="E4422" s="650"/>
      <c r="F4422" s="650"/>
      <c r="G4422" s="73"/>
      <c r="I4422" s="111"/>
      <c r="J4422" s="81"/>
      <c r="K4422" s="81"/>
      <c r="L4422" s="499"/>
      <c r="M4422" s="73"/>
      <c r="N4422" s="499"/>
      <c r="O4422" s="73"/>
      <c r="P4422" s="73"/>
      <c r="Q4422" s="73"/>
      <c r="R4422" s="176"/>
      <c r="S4422" s="176"/>
      <c r="T4422" s="176"/>
      <c r="U4422" s="400"/>
      <c r="V4422" s="400"/>
      <c r="W4422" s="732"/>
      <c r="X4422" s="167"/>
      <c r="Y4422" s="509"/>
      <c r="Z4422" s="466"/>
      <c r="AA4422" s="466"/>
      <c r="AB4422" s="466"/>
      <c r="AC4422" s="466"/>
      <c r="AD4422" s="466"/>
      <c r="AE4422" s="466"/>
      <c r="AF4422" s="466"/>
      <c r="AG4422" s="466"/>
      <c r="AH4422" s="466"/>
      <c r="AI4422" s="466"/>
      <c r="AJ4422" s="466"/>
      <c r="AK4422" s="466"/>
      <c r="AL4422" s="466"/>
      <c r="AM4422" s="466"/>
      <c r="AN4422" s="466"/>
      <c r="AO4422" s="466"/>
      <c r="AP4422" s="466"/>
      <c r="AQ4422" s="466"/>
      <c r="AR4422" s="466"/>
      <c r="AS4422" s="466"/>
      <c r="AT4422" s="466"/>
      <c r="AU4422" s="466"/>
      <c r="AV4422" s="466"/>
      <c r="AW4422" s="466"/>
      <c r="AX4422" s="466"/>
      <c r="AY4422" s="466"/>
      <c r="AZ4422" s="466"/>
      <c r="BA4422" s="466"/>
      <c r="BB4422" s="466"/>
      <c r="BC4422" s="466"/>
      <c r="BD4422" s="466"/>
      <c r="BE4422" s="467"/>
      <c r="BF4422" s="467"/>
      <c r="BG4422" s="466"/>
      <c r="BH4422" s="466"/>
      <c r="BI4422" s="467"/>
      <c r="BJ4422" s="467"/>
      <c r="BK4422" s="467"/>
      <c r="BL4422" s="467"/>
      <c r="BM4422" s="467"/>
      <c r="BN4422" s="467"/>
      <c r="BO4422" s="467"/>
      <c r="BP4422" s="467"/>
      <c r="BQ4422" s="467"/>
      <c r="BR4422" s="467"/>
      <c r="BS4422" s="467"/>
      <c r="BT4422" s="467"/>
      <c r="BU4422" s="467"/>
      <c r="BV4422" s="467"/>
      <c r="BW4422" s="467"/>
      <c r="BX4422" s="769"/>
      <c r="BY4422" s="769"/>
      <c r="BZ4422" s="769"/>
      <c r="CA4422" s="769"/>
      <c r="CB4422" s="769"/>
      <c r="CC4422" s="769"/>
      <c r="CD4422" s="769"/>
      <c r="CE4422" s="769"/>
      <c r="CF4422" s="769"/>
      <c r="CG4422" s="73"/>
      <c r="CH4422" s="438"/>
      <c r="CI4422" s="416"/>
      <c r="CJ4422" s="73"/>
      <c r="CK4422" s="650"/>
      <c r="CL4422" s="499"/>
      <c r="CM4422" s="650"/>
      <c r="CR4422" s="416"/>
      <c r="CS4422" s="650"/>
      <c r="CU4422" s="73"/>
      <c r="CV4422" s="73"/>
      <c r="CW4422" s="73"/>
      <c r="CX4422" s="73"/>
      <c r="DA4422" s="650"/>
    </row>
    <row r="4423" spans="1:105" s="45" customFormat="1" x14ac:dyDescent="0.2">
      <c r="A4423" s="650"/>
      <c r="B4423" s="438"/>
      <c r="D4423" s="73"/>
      <c r="E4423" s="650"/>
      <c r="F4423" s="650"/>
      <c r="G4423" s="73"/>
      <c r="I4423" s="111"/>
      <c r="J4423" s="81"/>
      <c r="K4423" s="81"/>
      <c r="L4423" s="499"/>
      <c r="M4423" s="73"/>
      <c r="N4423" s="499"/>
      <c r="O4423" s="73"/>
      <c r="P4423" s="73"/>
      <c r="Q4423" s="73"/>
      <c r="R4423" s="176"/>
      <c r="S4423" s="176"/>
      <c r="T4423" s="176"/>
      <c r="U4423" s="400"/>
      <c r="V4423" s="400"/>
      <c r="W4423" s="732"/>
      <c r="X4423" s="167"/>
      <c r="Y4423" s="509"/>
      <c r="Z4423" s="466"/>
      <c r="AA4423" s="466"/>
      <c r="AB4423" s="466"/>
      <c r="AC4423" s="466"/>
      <c r="AD4423" s="466"/>
      <c r="AE4423" s="466"/>
      <c r="AF4423" s="466"/>
      <c r="AG4423" s="466"/>
      <c r="AH4423" s="466"/>
      <c r="AI4423" s="466"/>
      <c r="AJ4423" s="466"/>
      <c r="AK4423" s="466"/>
      <c r="AL4423" s="466"/>
      <c r="AM4423" s="466"/>
      <c r="AN4423" s="466"/>
      <c r="AO4423" s="466"/>
      <c r="AP4423" s="466"/>
      <c r="AQ4423" s="466"/>
      <c r="AR4423" s="466"/>
      <c r="AS4423" s="466"/>
      <c r="AT4423" s="466"/>
      <c r="AU4423" s="466"/>
      <c r="AV4423" s="466"/>
      <c r="AW4423" s="466"/>
      <c r="AX4423" s="466"/>
      <c r="AY4423" s="466"/>
      <c r="AZ4423" s="466"/>
      <c r="BA4423" s="466"/>
      <c r="BB4423" s="466"/>
      <c r="BC4423" s="466"/>
      <c r="BD4423" s="466"/>
      <c r="BE4423" s="467"/>
      <c r="BF4423" s="467"/>
      <c r="BG4423" s="466"/>
      <c r="BH4423" s="466"/>
      <c r="BI4423" s="467"/>
      <c r="BJ4423" s="467"/>
      <c r="BK4423" s="467"/>
      <c r="BL4423" s="467"/>
      <c r="BM4423" s="467"/>
      <c r="BN4423" s="467"/>
      <c r="BO4423" s="467"/>
      <c r="BP4423" s="467"/>
      <c r="BQ4423" s="467"/>
      <c r="BR4423" s="467"/>
      <c r="BS4423" s="467"/>
      <c r="BT4423" s="467"/>
      <c r="BU4423" s="467"/>
      <c r="BV4423" s="467"/>
      <c r="BW4423" s="467"/>
      <c r="BX4423" s="769"/>
      <c r="BY4423" s="769"/>
      <c r="BZ4423" s="769"/>
      <c r="CA4423" s="769"/>
      <c r="CB4423" s="769"/>
      <c r="CC4423" s="769"/>
      <c r="CD4423" s="769"/>
      <c r="CE4423" s="769"/>
      <c r="CF4423" s="769"/>
      <c r="CG4423" s="73"/>
      <c r="CH4423" s="438"/>
      <c r="CI4423" s="416"/>
      <c r="CJ4423" s="73"/>
      <c r="CK4423" s="650"/>
      <c r="CL4423" s="499"/>
      <c r="CM4423" s="650"/>
      <c r="CR4423" s="416"/>
      <c r="CS4423" s="650"/>
      <c r="CU4423" s="73"/>
      <c r="CV4423" s="73"/>
      <c r="CW4423" s="73"/>
      <c r="CX4423" s="73"/>
      <c r="DA4423" s="650"/>
    </row>
    <row r="4424" spans="1:105" s="45" customFormat="1" x14ac:dyDescent="0.2">
      <c r="A4424" s="650"/>
      <c r="B4424" s="438"/>
      <c r="D4424" s="73"/>
      <c r="E4424" s="650"/>
      <c r="F4424" s="650"/>
      <c r="G4424" s="73"/>
      <c r="I4424" s="111"/>
      <c r="J4424" s="81"/>
      <c r="K4424" s="81"/>
      <c r="L4424" s="499"/>
      <c r="M4424" s="73"/>
      <c r="N4424" s="499"/>
      <c r="O4424" s="73"/>
      <c r="P4424" s="73"/>
      <c r="Q4424" s="73"/>
      <c r="R4424" s="176"/>
      <c r="S4424" s="176"/>
      <c r="T4424" s="176"/>
      <c r="U4424" s="400"/>
      <c r="V4424" s="400"/>
      <c r="W4424" s="732"/>
      <c r="X4424" s="167"/>
      <c r="Y4424" s="509"/>
      <c r="Z4424" s="466"/>
      <c r="AA4424" s="466"/>
      <c r="AB4424" s="466"/>
      <c r="AC4424" s="466"/>
      <c r="AD4424" s="466"/>
      <c r="AE4424" s="466"/>
      <c r="AF4424" s="466"/>
      <c r="AG4424" s="466"/>
      <c r="AH4424" s="466"/>
      <c r="AI4424" s="466"/>
      <c r="AJ4424" s="466"/>
      <c r="AK4424" s="466"/>
      <c r="AL4424" s="466"/>
      <c r="AM4424" s="466"/>
      <c r="AN4424" s="466"/>
      <c r="AO4424" s="466"/>
      <c r="AP4424" s="466"/>
      <c r="AQ4424" s="466"/>
      <c r="AR4424" s="466"/>
      <c r="AS4424" s="466"/>
      <c r="AT4424" s="466"/>
      <c r="AU4424" s="466"/>
      <c r="AV4424" s="466"/>
      <c r="AW4424" s="466"/>
      <c r="AX4424" s="466"/>
      <c r="AY4424" s="466"/>
      <c r="AZ4424" s="466"/>
      <c r="BA4424" s="466"/>
      <c r="BB4424" s="466"/>
      <c r="BC4424" s="466"/>
      <c r="BD4424" s="466"/>
      <c r="BE4424" s="467"/>
      <c r="BF4424" s="467"/>
      <c r="BG4424" s="466"/>
      <c r="BH4424" s="466"/>
      <c r="BI4424" s="467"/>
      <c r="BJ4424" s="467"/>
      <c r="BK4424" s="467"/>
      <c r="BL4424" s="467"/>
      <c r="BM4424" s="467"/>
      <c r="BN4424" s="467"/>
      <c r="BO4424" s="467"/>
      <c r="BP4424" s="467"/>
      <c r="BQ4424" s="467"/>
      <c r="BR4424" s="467"/>
      <c r="BS4424" s="467"/>
      <c r="BT4424" s="467"/>
      <c r="BU4424" s="467"/>
      <c r="BV4424" s="467"/>
      <c r="BW4424" s="467"/>
      <c r="BX4424" s="769"/>
      <c r="BY4424" s="769"/>
      <c r="BZ4424" s="769"/>
      <c r="CA4424" s="769"/>
      <c r="CB4424" s="769"/>
      <c r="CC4424" s="769"/>
      <c r="CD4424" s="769"/>
      <c r="CE4424" s="769"/>
      <c r="CF4424" s="769"/>
      <c r="CG4424" s="73"/>
      <c r="CH4424" s="438"/>
      <c r="CI4424" s="416"/>
      <c r="CJ4424" s="73"/>
      <c r="CK4424" s="650"/>
      <c r="CL4424" s="499"/>
      <c r="CM4424" s="650"/>
      <c r="CR4424" s="416"/>
      <c r="CS4424" s="650"/>
      <c r="CU4424" s="73"/>
      <c r="CV4424" s="73"/>
      <c r="CW4424" s="73"/>
      <c r="CX4424" s="73"/>
      <c r="DA4424" s="650"/>
    </row>
    <row r="4425" spans="1:105" s="45" customFormat="1" x14ac:dyDescent="0.2">
      <c r="A4425" s="650"/>
      <c r="B4425" s="438"/>
      <c r="D4425" s="73"/>
      <c r="E4425" s="650"/>
      <c r="F4425" s="650"/>
      <c r="G4425" s="73"/>
      <c r="I4425" s="111"/>
      <c r="J4425" s="81"/>
      <c r="K4425" s="81"/>
      <c r="L4425" s="499"/>
      <c r="M4425" s="73"/>
      <c r="N4425" s="499"/>
      <c r="O4425" s="73"/>
      <c r="P4425" s="73"/>
      <c r="Q4425" s="73"/>
      <c r="R4425" s="176"/>
      <c r="S4425" s="176"/>
      <c r="T4425" s="176"/>
      <c r="U4425" s="400"/>
      <c r="V4425" s="400"/>
      <c r="W4425" s="732"/>
      <c r="X4425" s="167"/>
      <c r="Y4425" s="509"/>
      <c r="Z4425" s="466"/>
      <c r="AA4425" s="466"/>
      <c r="AB4425" s="466"/>
      <c r="AC4425" s="466"/>
      <c r="AD4425" s="466"/>
      <c r="AE4425" s="466"/>
      <c r="AF4425" s="466"/>
      <c r="AG4425" s="466"/>
      <c r="AH4425" s="466"/>
      <c r="AI4425" s="466"/>
      <c r="AJ4425" s="466"/>
      <c r="AK4425" s="466"/>
      <c r="AL4425" s="466"/>
      <c r="AM4425" s="466"/>
      <c r="AN4425" s="466"/>
      <c r="AO4425" s="466"/>
      <c r="AP4425" s="466"/>
      <c r="AQ4425" s="466"/>
      <c r="AR4425" s="466"/>
      <c r="AS4425" s="466"/>
      <c r="AT4425" s="466"/>
      <c r="AU4425" s="466"/>
      <c r="AV4425" s="466"/>
      <c r="AW4425" s="466"/>
      <c r="AX4425" s="466"/>
      <c r="AY4425" s="466"/>
      <c r="AZ4425" s="466"/>
      <c r="BA4425" s="466"/>
      <c r="BB4425" s="466"/>
      <c r="BC4425" s="466"/>
      <c r="BD4425" s="466"/>
      <c r="BE4425" s="467"/>
      <c r="BF4425" s="467"/>
      <c r="BG4425" s="466"/>
      <c r="BH4425" s="466"/>
      <c r="BI4425" s="467"/>
      <c r="BJ4425" s="467"/>
      <c r="BK4425" s="467"/>
      <c r="BL4425" s="467"/>
      <c r="BM4425" s="467"/>
      <c r="BN4425" s="467"/>
      <c r="BO4425" s="467"/>
      <c r="BP4425" s="467"/>
      <c r="BQ4425" s="467"/>
      <c r="BR4425" s="467"/>
      <c r="BS4425" s="467"/>
      <c r="BT4425" s="467"/>
      <c r="BU4425" s="467"/>
      <c r="BV4425" s="467"/>
      <c r="BW4425" s="467"/>
      <c r="BX4425" s="769"/>
      <c r="BY4425" s="769"/>
      <c r="BZ4425" s="769"/>
      <c r="CA4425" s="769"/>
      <c r="CB4425" s="769"/>
      <c r="CC4425" s="769"/>
      <c r="CD4425" s="769"/>
      <c r="CE4425" s="769"/>
      <c r="CF4425" s="769"/>
      <c r="CG4425" s="73"/>
      <c r="CH4425" s="438"/>
      <c r="CI4425" s="416"/>
      <c r="CJ4425" s="73"/>
      <c r="CK4425" s="650"/>
      <c r="CL4425" s="499"/>
      <c r="CM4425" s="650"/>
      <c r="CR4425" s="416"/>
      <c r="CS4425" s="650"/>
      <c r="CU4425" s="73"/>
      <c r="CV4425" s="73"/>
      <c r="CW4425" s="73"/>
      <c r="CX4425" s="73"/>
      <c r="DA4425" s="650"/>
    </row>
    <row r="4426" spans="1:105" s="45" customFormat="1" x14ac:dyDescent="0.2">
      <c r="A4426" s="650"/>
      <c r="B4426" s="438"/>
      <c r="D4426" s="73"/>
      <c r="E4426" s="650"/>
      <c r="F4426" s="650"/>
      <c r="G4426" s="73"/>
      <c r="I4426" s="111"/>
      <c r="J4426" s="81"/>
      <c r="K4426" s="81"/>
      <c r="L4426" s="499"/>
      <c r="M4426" s="73"/>
      <c r="N4426" s="499"/>
      <c r="O4426" s="73"/>
      <c r="P4426" s="73"/>
      <c r="Q4426" s="73"/>
      <c r="R4426" s="176"/>
      <c r="S4426" s="176"/>
      <c r="T4426" s="176"/>
      <c r="U4426" s="400"/>
      <c r="V4426" s="400"/>
      <c r="W4426" s="732"/>
      <c r="X4426" s="167"/>
      <c r="Y4426" s="509"/>
      <c r="Z4426" s="466"/>
      <c r="AA4426" s="466"/>
      <c r="AB4426" s="466"/>
      <c r="AC4426" s="466"/>
      <c r="AD4426" s="466"/>
      <c r="AE4426" s="466"/>
      <c r="AF4426" s="466"/>
      <c r="AG4426" s="466"/>
      <c r="AH4426" s="466"/>
      <c r="AI4426" s="466"/>
      <c r="AJ4426" s="466"/>
      <c r="AK4426" s="466"/>
      <c r="AL4426" s="466"/>
      <c r="AM4426" s="466"/>
      <c r="AN4426" s="466"/>
      <c r="AO4426" s="466"/>
      <c r="AP4426" s="466"/>
      <c r="AQ4426" s="466"/>
      <c r="AR4426" s="466"/>
      <c r="AS4426" s="466"/>
      <c r="AT4426" s="466"/>
      <c r="AU4426" s="466"/>
      <c r="AV4426" s="466"/>
      <c r="AW4426" s="466"/>
      <c r="AX4426" s="466"/>
      <c r="AY4426" s="466"/>
      <c r="AZ4426" s="466"/>
      <c r="BA4426" s="466"/>
      <c r="BB4426" s="466"/>
      <c r="BC4426" s="466"/>
      <c r="BD4426" s="466"/>
      <c r="BE4426" s="467"/>
      <c r="BF4426" s="467"/>
      <c r="BG4426" s="466"/>
      <c r="BH4426" s="466"/>
      <c r="BI4426" s="467"/>
      <c r="BJ4426" s="467"/>
      <c r="BK4426" s="467"/>
      <c r="BL4426" s="467"/>
      <c r="BM4426" s="467"/>
      <c r="BN4426" s="467"/>
      <c r="BO4426" s="467"/>
      <c r="BP4426" s="467"/>
      <c r="BQ4426" s="467"/>
      <c r="BR4426" s="467"/>
      <c r="BS4426" s="467"/>
      <c r="BT4426" s="467"/>
      <c r="BU4426" s="467"/>
      <c r="BV4426" s="467"/>
      <c r="BW4426" s="467"/>
      <c r="BX4426" s="769"/>
      <c r="BY4426" s="769"/>
      <c r="BZ4426" s="769"/>
      <c r="CA4426" s="769"/>
      <c r="CB4426" s="769"/>
      <c r="CC4426" s="769"/>
      <c r="CD4426" s="769"/>
      <c r="CE4426" s="769"/>
      <c r="CF4426" s="769"/>
      <c r="CG4426" s="73"/>
      <c r="CH4426" s="438"/>
      <c r="CI4426" s="416"/>
      <c r="CJ4426" s="73"/>
      <c r="CK4426" s="650"/>
      <c r="CL4426" s="499"/>
      <c r="CM4426" s="650"/>
      <c r="CR4426" s="416"/>
      <c r="CS4426" s="650"/>
      <c r="CU4426" s="73"/>
      <c r="CV4426" s="73"/>
      <c r="CW4426" s="73"/>
      <c r="CX4426" s="73"/>
      <c r="DA4426" s="650"/>
    </row>
    <row r="4427" spans="1:105" s="45" customFormat="1" x14ac:dyDescent="0.2">
      <c r="A4427" s="650"/>
      <c r="B4427" s="438"/>
      <c r="D4427" s="73"/>
      <c r="E4427" s="650"/>
      <c r="F4427" s="650"/>
      <c r="G4427" s="73"/>
      <c r="I4427" s="111"/>
      <c r="J4427" s="81"/>
      <c r="K4427" s="81"/>
      <c r="L4427" s="499"/>
      <c r="M4427" s="73"/>
      <c r="N4427" s="499"/>
      <c r="O4427" s="73"/>
      <c r="P4427" s="73"/>
      <c r="Q4427" s="73"/>
      <c r="R4427" s="176"/>
      <c r="S4427" s="176"/>
      <c r="T4427" s="176"/>
      <c r="U4427" s="400"/>
      <c r="V4427" s="400"/>
      <c r="W4427" s="732"/>
      <c r="X4427" s="167"/>
      <c r="Y4427" s="509"/>
      <c r="Z4427" s="466"/>
      <c r="AA4427" s="466"/>
      <c r="AB4427" s="466"/>
      <c r="AC4427" s="466"/>
      <c r="AD4427" s="466"/>
      <c r="AE4427" s="466"/>
      <c r="AF4427" s="466"/>
      <c r="AG4427" s="466"/>
      <c r="AH4427" s="466"/>
      <c r="AI4427" s="466"/>
      <c r="AJ4427" s="466"/>
      <c r="AK4427" s="466"/>
      <c r="AL4427" s="466"/>
      <c r="AM4427" s="466"/>
      <c r="AN4427" s="466"/>
      <c r="AO4427" s="466"/>
      <c r="AP4427" s="466"/>
      <c r="AQ4427" s="466"/>
      <c r="AR4427" s="466"/>
      <c r="AS4427" s="466"/>
      <c r="AT4427" s="466"/>
      <c r="AU4427" s="466"/>
      <c r="AV4427" s="466"/>
      <c r="AW4427" s="466"/>
      <c r="AX4427" s="466"/>
      <c r="AY4427" s="466"/>
      <c r="AZ4427" s="466"/>
      <c r="BA4427" s="466"/>
      <c r="BB4427" s="466"/>
      <c r="BC4427" s="466"/>
      <c r="BD4427" s="466"/>
      <c r="BE4427" s="467"/>
      <c r="BF4427" s="467"/>
      <c r="BG4427" s="466"/>
      <c r="BH4427" s="466"/>
      <c r="BI4427" s="467"/>
      <c r="BJ4427" s="467"/>
      <c r="BK4427" s="467"/>
      <c r="BL4427" s="467"/>
      <c r="BM4427" s="467"/>
      <c r="BN4427" s="467"/>
      <c r="BO4427" s="467"/>
      <c r="BP4427" s="467"/>
      <c r="BQ4427" s="467"/>
      <c r="BR4427" s="467"/>
      <c r="BS4427" s="467"/>
      <c r="BT4427" s="467"/>
      <c r="BU4427" s="467"/>
      <c r="BV4427" s="467"/>
      <c r="BW4427" s="467"/>
      <c r="BX4427" s="769"/>
      <c r="BY4427" s="769"/>
      <c r="BZ4427" s="769"/>
      <c r="CA4427" s="769"/>
      <c r="CB4427" s="769"/>
      <c r="CC4427" s="769"/>
      <c r="CD4427" s="769"/>
      <c r="CE4427" s="769"/>
      <c r="CF4427" s="769"/>
      <c r="CG4427" s="73"/>
      <c r="CH4427" s="438"/>
      <c r="CI4427" s="416"/>
      <c r="CJ4427" s="73"/>
      <c r="CK4427" s="650"/>
      <c r="CL4427" s="499"/>
      <c r="CM4427" s="650"/>
      <c r="CR4427" s="416"/>
      <c r="CS4427" s="650"/>
      <c r="CU4427" s="73"/>
      <c r="CV4427" s="73"/>
      <c r="CW4427" s="73"/>
      <c r="CX4427" s="73"/>
      <c r="DA4427" s="650"/>
    </row>
    <row r="4428" spans="1:105" s="45" customFormat="1" x14ac:dyDescent="0.2">
      <c r="A4428" s="650"/>
      <c r="B4428" s="438"/>
      <c r="D4428" s="73"/>
      <c r="E4428" s="650"/>
      <c r="F4428" s="650"/>
      <c r="G4428" s="73"/>
      <c r="I4428" s="111"/>
      <c r="J4428" s="81"/>
      <c r="K4428" s="81"/>
      <c r="L4428" s="499"/>
      <c r="M4428" s="73"/>
      <c r="N4428" s="499"/>
      <c r="O4428" s="73"/>
      <c r="P4428" s="73"/>
      <c r="Q4428" s="73"/>
      <c r="R4428" s="176"/>
      <c r="S4428" s="176"/>
      <c r="T4428" s="176"/>
      <c r="U4428" s="400"/>
      <c r="V4428" s="400"/>
      <c r="W4428" s="732"/>
      <c r="X4428" s="167"/>
      <c r="Y4428" s="509"/>
      <c r="Z4428" s="466"/>
      <c r="AA4428" s="466"/>
      <c r="AB4428" s="466"/>
      <c r="AC4428" s="466"/>
      <c r="AD4428" s="466"/>
      <c r="AE4428" s="466"/>
      <c r="AF4428" s="466"/>
      <c r="AG4428" s="466"/>
      <c r="AH4428" s="466"/>
      <c r="AI4428" s="466"/>
      <c r="AJ4428" s="466"/>
      <c r="AK4428" s="466"/>
      <c r="AL4428" s="466"/>
      <c r="AM4428" s="466"/>
      <c r="AN4428" s="466"/>
      <c r="AO4428" s="466"/>
      <c r="AP4428" s="466"/>
      <c r="AQ4428" s="466"/>
      <c r="AR4428" s="466"/>
      <c r="AS4428" s="466"/>
      <c r="AT4428" s="466"/>
      <c r="AU4428" s="466"/>
      <c r="AV4428" s="466"/>
      <c r="AW4428" s="466"/>
      <c r="AX4428" s="466"/>
      <c r="AY4428" s="466"/>
      <c r="AZ4428" s="466"/>
      <c r="BA4428" s="466"/>
      <c r="BB4428" s="466"/>
      <c r="BC4428" s="466"/>
      <c r="BD4428" s="466"/>
      <c r="BE4428" s="467"/>
      <c r="BF4428" s="467"/>
      <c r="BG4428" s="466"/>
      <c r="BH4428" s="466"/>
      <c r="BI4428" s="467"/>
      <c r="BJ4428" s="467"/>
      <c r="BK4428" s="467"/>
      <c r="BL4428" s="467"/>
      <c r="BM4428" s="467"/>
      <c r="BN4428" s="467"/>
      <c r="BO4428" s="467"/>
      <c r="BP4428" s="467"/>
      <c r="BQ4428" s="467"/>
      <c r="BR4428" s="467"/>
      <c r="BS4428" s="467"/>
      <c r="BT4428" s="467"/>
      <c r="BU4428" s="467"/>
      <c r="BV4428" s="467"/>
      <c r="BW4428" s="467"/>
      <c r="BX4428" s="769"/>
      <c r="BY4428" s="769"/>
      <c r="BZ4428" s="769"/>
      <c r="CA4428" s="769"/>
      <c r="CB4428" s="769"/>
      <c r="CC4428" s="769"/>
      <c r="CD4428" s="769"/>
      <c r="CE4428" s="769"/>
      <c r="CF4428" s="769"/>
      <c r="CG4428" s="73"/>
      <c r="CH4428" s="438"/>
      <c r="CI4428" s="416"/>
      <c r="CJ4428" s="73"/>
      <c r="CK4428" s="650"/>
      <c r="CL4428" s="499"/>
      <c r="CM4428" s="650"/>
      <c r="CR4428" s="416"/>
      <c r="CS4428" s="650"/>
      <c r="CU4428" s="73"/>
      <c r="CV4428" s="73"/>
      <c r="CW4428" s="73"/>
      <c r="CX4428" s="73"/>
      <c r="DA4428" s="650"/>
    </row>
    <row r="4429" spans="1:105" s="45" customFormat="1" x14ac:dyDescent="0.2">
      <c r="A4429" s="650"/>
      <c r="B4429" s="438"/>
      <c r="D4429" s="73"/>
      <c r="E4429" s="650"/>
      <c r="F4429" s="650"/>
      <c r="G4429" s="73"/>
      <c r="I4429" s="111"/>
      <c r="J4429" s="81"/>
      <c r="K4429" s="81"/>
      <c r="L4429" s="499"/>
      <c r="M4429" s="73"/>
      <c r="N4429" s="499"/>
      <c r="O4429" s="73"/>
      <c r="P4429" s="73"/>
      <c r="Q4429" s="73"/>
      <c r="R4429" s="176"/>
      <c r="S4429" s="176"/>
      <c r="T4429" s="176"/>
      <c r="U4429" s="400"/>
      <c r="V4429" s="400"/>
      <c r="W4429" s="732"/>
      <c r="X4429" s="167"/>
      <c r="Y4429" s="509"/>
      <c r="Z4429" s="466"/>
      <c r="AA4429" s="466"/>
      <c r="AB4429" s="466"/>
      <c r="AC4429" s="466"/>
      <c r="AD4429" s="466"/>
      <c r="AE4429" s="466"/>
      <c r="AF4429" s="466"/>
      <c r="AG4429" s="466"/>
      <c r="AH4429" s="466"/>
      <c r="AI4429" s="466"/>
      <c r="AJ4429" s="466"/>
      <c r="AK4429" s="466"/>
      <c r="AL4429" s="466"/>
      <c r="AM4429" s="466"/>
      <c r="AN4429" s="466"/>
      <c r="AO4429" s="466"/>
      <c r="AP4429" s="466"/>
      <c r="AQ4429" s="466"/>
      <c r="AR4429" s="466"/>
      <c r="AS4429" s="466"/>
      <c r="AT4429" s="466"/>
      <c r="AU4429" s="466"/>
      <c r="AV4429" s="466"/>
      <c r="AW4429" s="466"/>
      <c r="AX4429" s="466"/>
      <c r="AY4429" s="466"/>
      <c r="AZ4429" s="466"/>
      <c r="BA4429" s="466"/>
      <c r="BB4429" s="466"/>
      <c r="BC4429" s="466"/>
      <c r="BD4429" s="466"/>
      <c r="BE4429" s="467"/>
      <c r="BF4429" s="467"/>
      <c r="BG4429" s="466"/>
      <c r="BH4429" s="466"/>
      <c r="BI4429" s="467"/>
      <c r="BJ4429" s="467"/>
      <c r="BK4429" s="467"/>
      <c r="BL4429" s="467"/>
      <c r="BM4429" s="467"/>
      <c r="BN4429" s="467"/>
      <c r="BO4429" s="467"/>
      <c r="BP4429" s="467"/>
      <c r="BQ4429" s="467"/>
      <c r="BR4429" s="467"/>
      <c r="BS4429" s="467"/>
      <c r="BT4429" s="467"/>
      <c r="BU4429" s="467"/>
      <c r="BV4429" s="467"/>
      <c r="BW4429" s="467"/>
      <c r="BX4429" s="769"/>
      <c r="BY4429" s="769"/>
      <c r="BZ4429" s="769"/>
      <c r="CA4429" s="769"/>
      <c r="CB4429" s="769"/>
      <c r="CC4429" s="769"/>
      <c r="CD4429" s="769"/>
      <c r="CE4429" s="769"/>
      <c r="CF4429" s="769"/>
      <c r="CG4429" s="73"/>
      <c r="CH4429" s="438"/>
      <c r="CI4429" s="416"/>
      <c r="CJ4429" s="73"/>
      <c r="CK4429" s="650"/>
      <c r="CL4429" s="499"/>
      <c r="CM4429" s="650"/>
      <c r="CR4429" s="416"/>
      <c r="CS4429" s="650"/>
      <c r="CU4429" s="73"/>
      <c r="CV4429" s="73"/>
      <c r="CW4429" s="73"/>
      <c r="CX4429" s="73"/>
      <c r="DA4429" s="650"/>
    </row>
    <row r="4430" spans="1:105" s="45" customFormat="1" x14ac:dyDescent="0.2">
      <c r="A4430" s="650"/>
      <c r="B4430" s="438"/>
      <c r="D4430" s="73"/>
      <c r="E4430" s="650"/>
      <c r="F4430" s="650"/>
      <c r="G4430" s="73"/>
      <c r="I4430" s="111"/>
      <c r="J4430" s="81"/>
      <c r="K4430" s="81"/>
      <c r="L4430" s="499"/>
      <c r="M4430" s="73"/>
      <c r="N4430" s="499"/>
      <c r="O4430" s="73"/>
      <c r="P4430" s="73"/>
      <c r="Q4430" s="73"/>
      <c r="R4430" s="176"/>
      <c r="S4430" s="176"/>
      <c r="T4430" s="176"/>
      <c r="U4430" s="400"/>
      <c r="V4430" s="400"/>
      <c r="W4430" s="732"/>
      <c r="X4430" s="167"/>
      <c r="Y4430" s="509"/>
      <c r="Z4430" s="466"/>
      <c r="AA4430" s="466"/>
      <c r="AB4430" s="466"/>
      <c r="AC4430" s="466"/>
      <c r="AD4430" s="466"/>
      <c r="AE4430" s="466"/>
      <c r="AF4430" s="466"/>
      <c r="AG4430" s="466"/>
      <c r="AH4430" s="466"/>
      <c r="AI4430" s="466"/>
      <c r="AJ4430" s="466"/>
      <c r="AK4430" s="466"/>
      <c r="AL4430" s="466"/>
      <c r="AM4430" s="466"/>
      <c r="AN4430" s="466"/>
      <c r="AO4430" s="466"/>
      <c r="AP4430" s="466"/>
      <c r="AQ4430" s="466"/>
      <c r="AR4430" s="466"/>
      <c r="AS4430" s="466"/>
      <c r="AT4430" s="466"/>
      <c r="AU4430" s="466"/>
      <c r="AV4430" s="466"/>
      <c r="AW4430" s="466"/>
      <c r="AX4430" s="466"/>
      <c r="AY4430" s="466"/>
      <c r="AZ4430" s="466"/>
      <c r="BA4430" s="466"/>
      <c r="BB4430" s="466"/>
      <c r="BC4430" s="466"/>
      <c r="BD4430" s="466"/>
      <c r="BE4430" s="467"/>
      <c r="BF4430" s="467"/>
      <c r="BG4430" s="466"/>
      <c r="BH4430" s="466"/>
      <c r="BI4430" s="467"/>
      <c r="BJ4430" s="467"/>
      <c r="BK4430" s="467"/>
      <c r="BL4430" s="467"/>
      <c r="BM4430" s="467"/>
      <c r="BN4430" s="467"/>
      <c r="BO4430" s="467"/>
      <c r="BP4430" s="467"/>
      <c r="BQ4430" s="467"/>
      <c r="BR4430" s="467"/>
      <c r="BS4430" s="467"/>
      <c r="BT4430" s="467"/>
      <c r="BU4430" s="467"/>
      <c r="BV4430" s="467"/>
      <c r="BW4430" s="467"/>
      <c r="BX4430" s="769"/>
      <c r="BY4430" s="769"/>
      <c r="BZ4430" s="769"/>
      <c r="CA4430" s="769"/>
      <c r="CB4430" s="769"/>
      <c r="CC4430" s="769"/>
      <c r="CD4430" s="769"/>
      <c r="CE4430" s="769"/>
      <c r="CF4430" s="769"/>
      <c r="CG4430" s="73"/>
      <c r="CH4430" s="438"/>
      <c r="CI4430" s="416"/>
      <c r="CJ4430" s="73"/>
      <c r="CK4430" s="650"/>
      <c r="CL4430" s="499"/>
      <c r="CM4430" s="650"/>
      <c r="CR4430" s="416"/>
      <c r="CS4430" s="650"/>
      <c r="CU4430" s="73"/>
      <c r="CV4430" s="73"/>
      <c r="CW4430" s="73"/>
      <c r="CX4430" s="73"/>
      <c r="DA4430" s="650"/>
    </row>
    <row r="4431" spans="1:105" s="45" customFormat="1" x14ac:dyDescent="0.2">
      <c r="A4431" s="650"/>
      <c r="B4431" s="438"/>
      <c r="D4431" s="73"/>
      <c r="E4431" s="650"/>
      <c r="F4431" s="650"/>
      <c r="G4431" s="73"/>
      <c r="I4431" s="111"/>
      <c r="J4431" s="81"/>
      <c r="K4431" s="81"/>
      <c r="L4431" s="499"/>
      <c r="M4431" s="73"/>
      <c r="N4431" s="499"/>
      <c r="O4431" s="73"/>
      <c r="P4431" s="73"/>
      <c r="Q4431" s="73"/>
      <c r="R4431" s="176"/>
      <c r="S4431" s="176"/>
      <c r="T4431" s="176"/>
      <c r="U4431" s="400"/>
      <c r="V4431" s="400"/>
      <c r="W4431" s="732"/>
      <c r="X4431" s="167"/>
      <c r="Y4431" s="509"/>
      <c r="Z4431" s="466"/>
      <c r="AA4431" s="466"/>
      <c r="AB4431" s="466"/>
      <c r="AC4431" s="466"/>
      <c r="AD4431" s="466"/>
      <c r="AE4431" s="466"/>
      <c r="AF4431" s="466"/>
      <c r="AG4431" s="466"/>
      <c r="AH4431" s="466"/>
      <c r="AI4431" s="466"/>
      <c r="AJ4431" s="466"/>
      <c r="AK4431" s="466"/>
      <c r="AL4431" s="466"/>
      <c r="AM4431" s="466"/>
      <c r="AN4431" s="466"/>
      <c r="AO4431" s="466"/>
      <c r="AP4431" s="466"/>
      <c r="AQ4431" s="466"/>
      <c r="AR4431" s="466"/>
      <c r="AS4431" s="466"/>
      <c r="AT4431" s="466"/>
      <c r="AU4431" s="466"/>
      <c r="AV4431" s="466"/>
      <c r="AW4431" s="466"/>
      <c r="AX4431" s="466"/>
      <c r="AY4431" s="466"/>
      <c r="AZ4431" s="466"/>
      <c r="BA4431" s="466"/>
      <c r="BB4431" s="466"/>
      <c r="BC4431" s="466"/>
      <c r="BD4431" s="466"/>
      <c r="BE4431" s="467"/>
      <c r="BF4431" s="467"/>
      <c r="BG4431" s="466"/>
      <c r="BH4431" s="466"/>
      <c r="BI4431" s="467"/>
      <c r="BJ4431" s="467"/>
      <c r="BK4431" s="467"/>
      <c r="BL4431" s="467"/>
      <c r="BM4431" s="467"/>
      <c r="BN4431" s="467"/>
      <c r="BO4431" s="467"/>
      <c r="BP4431" s="467"/>
      <c r="BQ4431" s="467"/>
      <c r="BR4431" s="467"/>
      <c r="BS4431" s="467"/>
      <c r="BT4431" s="467"/>
      <c r="BU4431" s="467"/>
      <c r="BV4431" s="467"/>
      <c r="BW4431" s="467"/>
      <c r="BX4431" s="769"/>
      <c r="BY4431" s="769"/>
      <c r="BZ4431" s="769"/>
      <c r="CA4431" s="769"/>
      <c r="CB4431" s="769"/>
      <c r="CC4431" s="769"/>
      <c r="CD4431" s="769"/>
      <c r="CE4431" s="769"/>
      <c r="CF4431" s="769"/>
      <c r="CG4431" s="73"/>
      <c r="CH4431" s="438"/>
      <c r="CI4431" s="416"/>
      <c r="CJ4431" s="73"/>
      <c r="CK4431" s="650"/>
      <c r="CL4431" s="499"/>
      <c r="CM4431" s="650"/>
      <c r="CR4431" s="416"/>
      <c r="CS4431" s="650"/>
      <c r="CU4431" s="73"/>
      <c r="CV4431" s="73"/>
      <c r="CW4431" s="73"/>
      <c r="CX4431" s="73"/>
      <c r="DA4431" s="650"/>
    </row>
    <row r="4432" spans="1:105" s="45" customFormat="1" x14ac:dyDescent="0.2">
      <c r="A4432" s="650"/>
      <c r="B4432" s="438"/>
      <c r="D4432" s="73"/>
      <c r="E4432" s="650"/>
      <c r="F4432" s="650"/>
      <c r="G4432" s="73"/>
      <c r="I4432" s="111"/>
      <c r="J4432" s="81"/>
      <c r="K4432" s="81"/>
      <c r="L4432" s="499"/>
      <c r="M4432" s="73"/>
      <c r="N4432" s="499"/>
      <c r="O4432" s="73"/>
      <c r="P4432" s="73"/>
      <c r="Q4432" s="73"/>
      <c r="R4432" s="176"/>
      <c r="S4432" s="176"/>
      <c r="T4432" s="176"/>
      <c r="U4432" s="400"/>
      <c r="V4432" s="400"/>
      <c r="W4432" s="732"/>
      <c r="X4432" s="167"/>
      <c r="Y4432" s="509"/>
      <c r="Z4432" s="466"/>
      <c r="AA4432" s="466"/>
      <c r="AB4432" s="466"/>
      <c r="AC4432" s="466"/>
      <c r="AD4432" s="466"/>
      <c r="AE4432" s="466"/>
      <c r="AF4432" s="466"/>
      <c r="AG4432" s="466"/>
      <c r="AH4432" s="466"/>
      <c r="AI4432" s="466"/>
      <c r="AJ4432" s="466"/>
      <c r="AK4432" s="466"/>
      <c r="AL4432" s="466"/>
      <c r="AM4432" s="466"/>
      <c r="AN4432" s="466"/>
      <c r="AO4432" s="466"/>
      <c r="AP4432" s="466"/>
      <c r="AQ4432" s="466"/>
      <c r="AR4432" s="466"/>
      <c r="AS4432" s="466"/>
      <c r="AT4432" s="466"/>
      <c r="AU4432" s="466"/>
      <c r="AV4432" s="466"/>
      <c r="AW4432" s="466"/>
      <c r="AX4432" s="466"/>
      <c r="AY4432" s="466"/>
      <c r="AZ4432" s="466"/>
      <c r="BA4432" s="466"/>
      <c r="BB4432" s="466"/>
      <c r="BC4432" s="466"/>
      <c r="BD4432" s="466"/>
      <c r="BE4432" s="467"/>
      <c r="BF4432" s="467"/>
      <c r="BG4432" s="466"/>
      <c r="BH4432" s="466"/>
      <c r="BI4432" s="467"/>
      <c r="BJ4432" s="467"/>
      <c r="BK4432" s="467"/>
      <c r="BL4432" s="467"/>
      <c r="BM4432" s="467"/>
      <c r="BN4432" s="467"/>
      <c r="BO4432" s="467"/>
      <c r="BP4432" s="467"/>
      <c r="BQ4432" s="467"/>
      <c r="BR4432" s="467"/>
      <c r="BS4432" s="467"/>
      <c r="BT4432" s="467"/>
      <c r="BU4432" s="467"/>
      <c r="BV4432" s="467"/>
      <c r="BW4432" s="467"/>
      <c r="BX4432" s="769"/>
      <c r="BY4432" s="769"/>
      <c r="BZ4432" s="769"/>
      <c r="CA4432" s="769"/>
      <c r="CB4432" s="769"/>
      <c r="CC4432" s="769"/>
      <c r="CD4432" s="769"/>
      <c r="CE4432" s="769"/>
      <c r="CF4432" s="769"/>
      <c r="CG4432" s="73"/>
      <c r="CH4432" s="438"/>
      <c r="CI4432" s="416"/>
      <c r="CJ4432" s="73"/>
      <c r="CK4432" s="650"/>
      <c r="CL4432" s="499"/>
      <c r="CM4432" s="650"/>
      <c r="CR4432" s="416"/>
      <c r="CS4432" s="650"/>
      <c r="CU4432" s="73"/>
      <c r="CV4432" s="73"/>
      <c r="CW4432" s="73"/>
      <c r="CX4432" s="73"/>
      <c r="DA4432" s="650"/>
    </row>
    <row r="4433" spans="1:105" s="45" customFormat="1" x14ac:dyDescent="0.2">
      <c r="A4433" s="650"/>
      <c r="B4433" s="438"/>
      <c r="D4433" s="73"/>
      <c r="E4433" s="650"/>
      <c r="F4433" s="650"/>
      <c r="G4433" s="73"/>
      <c r="I4433" s="111"/>
      <c r="J4433" s="81"/>
      <c r="K4433" s="81"/>
      <c r="L4433" s="499"/>
      <c r="M4433" s="73"/>
      <c r="N4433" s="499"/>
      <c r="O4433" s="73"/>
      <c r="P4433" s="73"/>
      <c r="Q4433" s="73"/>
      <c r="R4433" s="176"/>
      <c r="S4433" s="176"/>
      <c r="T4433" s="176"/>
      <c r="U4433" s="400"/>
      <c r="V4433" s="400"/>
      <c r="W4433" s="732"/>
      <c r="X4433" s="167"/>
      <c r="Y4433" s="509"/>
      <c r="Z4433" s="466"/>
      <c r="AA4433" s="466"/>
      <c r="AB4433" s="466"/>
      <c r="AC4433" s="466"/>
      <c r="AD4433" s="466"/>
      <c r="AE4433" s="466"/>
      <c r="AF4433" s="466"/>
      <c r="AG4433" s="466"/>
      <c r="AH4433" s="466"/>
      <c r="AI4433" s="466"/>
      <c r="AJ4433" s="466"/>
      <c r="AK4433" s="466"/>
      <c r="AL4433" s="466"/>
      <c r="AM4433" s="466"/>
      <c r="AN4433" s="466"/>
      <c r="AO4433" s="466"/>
      <c r="AP4433" s="466"/>
      <c r="AQ4433" s="466"/>
      <c r="AR4433" s="466"/>
      <c r="AS4433" s="466"/>
      <c r="AT4433" s="466"/>
      <c r="AU4433" s="466"/>
      <c r="AV4433" s="466"/>
      <c r="AW4433" s="466"/>
      <c r="AX4433" s="466"/>
      <c r="AY4433" s="466"/>
      <c r="AZ4433" s="466"/>
      <c r="BA4433" s="466"/>
      <c r="BB4433" s="466"/>
      <c r="BC4433" s="466"/>
      <c r="BD4433" s="466"/>
      <c r="BE4433" s="467"/>
      <c r="BF4433" s="467"/>
      <c r="BG4433" s="466"/>
      <c r="BH4433" s="466"/>
      <c r="BI4433" s="467"/>
      <c r="BJ4433" s="467"/>
      <c r="BK4433" s="467"/>
      <c r="BL4433" s="467"/>
      <c r="BM4433" s="467"/>
      <c r="BN4433" s="467"/>
      <c r="BO4433" s="467"/>
      <c r="BP4433" s="467"/>
      <c r="BQ4433" s="467"/>
      <c r="BR4433" s="467"/>
      <c r="BS4433" s="467"/>
      <c r="BT4433" s="467"/>
      <c r="BU4433" s="467"/>
      <c r="BV4433" s="467"/>
      <c r="BW4433" s="467"/>
      <c r="BX4433" s="769"/>
      <c r="BY4433" s="769"/>
      <c r="BZ4433" s="769"/>
      <c r="CA4433" s="769"/>
      <c r="CB4433" s="769"/>
      <c r="CC4433" s="769"/>
      <c r="CD4433" s="769"/>
      <c r="CE4433" s="769"/>
      <c r="CF4433" s="769"/>
      <c r="CG4433" s="73"/>
      <c r="CH4433" s="438"/>
      <c r="CI4433" s="416"/>
      <c r="CJ4433" s="73"/>
      <c r="CK4433" s="650"/>
      <c r="CL4433" s="499"/>
      <c r="CM4433" s="650"/>
      <c r="CR4433" s="416"/>
      <c r="CS4433" s="650"/>
      <c r="CU4433" s="73"/>
      <c r="CV4433" s="73"/>
      <c r="CW4433" s="73"/>
      <c r="CX4433" s="73"/>
      <c r="DA4433" s="650"/>
    </row>
    <row r="4434" spans="1:105" s="45" customFormat="1" x14ac:dyDescent="0.2">
      <c r="A4434" s="650"/>
      <c r="B4434" s="438"/>
      <c r="D4434" s="73"/>
      <c r="E4434" s="650"/>
      <c r="F4434" s="650"/>
      <c r="G4434" s="73"/>
      <c r="I4434" s="111"/>
      <c r="J4434" s="81"/>
      <c r="K4434" s="81"/>
      <c r="L4434" s="499"/>
      <c r="M4434" s="73"/>
      <c r="N4434" s="499"/>
      <c r="O4434" s="73"/>
      <c r="P4434" s="73"/>
      <c r="Q4434" s="73"/>
      <c r="R4434" s="176"/>
      <c r="S4434" s="176"/>
      <c r="T4434" s="176"/>
      <c r="U4434" s="400"/>
      <c r="V4434" s="400"/>
      <c r="W4434" s="732"/>
      <c r="X4434" s="167"/>
      <c r="Y4434" s="509"/>
      <c r="Z4434" s="466"/>
      <c r="AA4434" s="466"/>
      <c r="AB4434" s="466"/>
      <c r="AC4434" s="466"/>
      <c r="AD4434" s="466"/>
      <c r="AE4434" s="466"/>
      <c r="AF4434" s="466"/>
      <c r="AG4434" s="466"/>
      <c r="AH4434" s="466"/>
      <c r="AI4434" s="466"/>
      <c r="AJ4434" s="466"/>
      <c r="AK4434" s="466"/>
      <c r="AL4434" s="466"/>
      <c r="AM4434" s="466"/>
      <c r="AN4434" s="466"/>
      <c r="AO4434" s="466"/>
      <c r="AP4434" s="466"/>
      <c r="AQ4434" s="466"/>
      <c r="AR4434" s="466"/>
      <c r="AS4434" s="466"/>
      <c r="AT4434" s="466"/>
      <c r="AU4434" s="466"/>
      <c r="AV4434" s="466"/>
      <c r="AW4434" s="466"/>
      <c r="AX4434" s="466"/>
      <c r="AY4434" s="466"/>
      <c r="AZ4434" s="466"/>
      <c r="BA4434" s="466"/>
      <c r="BB4434" s="466"/>
      <c r="BC4434" s="466"/>
      <c r="BD4434" s="466"/>
      <c r="BE4434" s="467"/>
      <c r="BF4434" s="467"/>
      <c r="BG4434" s="466"/>
      <c r="BH4434" s="466"/>
      <c r="BI4434" s="467"/>
      <c r="BJ4434" s="467"/>
      <c r="BK4434" s="467"/>
      <c r="BL4434" s="467"/>
      <c r="BM4434" s="467"/>
      <c r="BN4434" s="467"/>
      <c r="BO4434" s="467"/>
      <c r="BP4434" s="467"/>
      <c r="BQ4434" s="467"/>
      <c r="BR4434" s="467"/>
      <c r="BS4434" s="467"/>
      <c r="BT4434" s="467"/>
      <c r="BU4434" s="467"/>
      <c r="BV4434" s="467"/>
      <c r="BW4434" s="467"/>
      <c r="BX4434" s="769"/>
      <c r="BY4434" s="769"/>
      <c r="BZ4434" s="769"/>
      <c r="CA4434" s="769"/>
      <c r="CB4434" s="769"/>
      <c r="CC4434" s="769"/>
      <c r="CD4434" s="769"/>
      <c r="CE4434" s="769"/>
      <c r="CF4434" s="769"/>
      <c r="CG4434" s="73"/>
      <c r="CH4434" s="438"/>
      <c r="CI4434" s="416"/>
      <c r="CJ4434" s="73"/>
      <c r="CK4434" s="650"/>
      <c r="CL4434" s="499"/>
      <c r="CM4434" s="650"/>
      <c r="CR4434" s="416"/>
      <c r="CS4434" s="650"/>
      <c r="CU4434" s="73"/>
      <c r="CV4434" s="73"/>
      <c r="CW4434" s="73"/>
      <c r="CX4434" s="73"/>
      <c r="DA4434" s="650"/>
    </row>
    <row r="4435" spans="1:105" s="45" customFormat="1" x14ac:dyDescent="0.2">
      <c r="A4435" s="650"/>
      <c r="B4435" s="438"/>
      <c r="D4435" s="73"/>
      <c r="E4435" s="650"/>
      <c r="F4435" s="650"/>
      <c r="G4435" s="73"/>
      <c r="I4435" s="111"/>
      <c r="J4435" s="81"/>
      <c r="K4435" s="81"/>
      <c r="L4435" s="499"/>
      <c r="M4435" s="73"/>
      <c r="N4435" s="499"/>
      <c r="O4435" s="73"/>
      <c r="P4435" s="73"/>
      <c r="Q4435" s="73"/>
      <c r="R4435" s="176"/>
      <c r="S4435" s="176"/>
      <c r="T4435" s="176"/>
      <c r="U4435" s="400"/>
      <c r="V4435" s="400"/>
      <c r="W4435" s="732"/>
      <c r="X4435" s="167"/>
      <c r="Y4435" s="509"/>
      <c r="Z4435" s="466"/>
      <c r="AA4435" s="466"/>
      <c r="AB4435" s="466"/>
      <c r="AC4435" s="466"/>
      <c r="AD4435" s="466"/>
      <c r="AE4435" s="466"/>
      <c r="AF4435" s="466"/>
      <c r="AG4435" s="466"/>
      <c r="AH4435" s="466"/>
      <c r="AI4435" s="466"/>
      <c r="AJ4435" s="466"/>
      <c r="AK4435" s="466"/>
      <c r="AL4435" s="466"/>
      <c r="AM4435" s="466"/>
      <c r="AN4435" s="466"/>
      <c r="AO4435" s="466"/>
      <c r="AP4435" s="466"/>
      <c r="AQ4435" s="466"/>
      <c r="AR4435" s="466"/>
      <c r="AS4435" s="466"/>
      <c r="AT4435" s="466"/>
      <c r="AU4435" s="466"/>
      <c r="AV4435" s="466"/>
      <c r="AW4435" s="466"/>
      <c r="AX4435" s="466"/>
      <c r="AY4435" s="466"/>
      <c r="AZ4435" s="466"/>
      <c r="BA4435" s="466"/>
      <c r="BB4435" s="466"/>
      <c r="BC4435" s="466"/>
      <c r="BD4435" s="466"/>
      <c r="BE4435" s="467"/>
      <c r="BF4435" s="467"/>
      <c r="BG4435" s="466"/>
      <c r="BH4435" s="466"/>
      <c r="BI4435" s="467"/>
      <c r="BJ4435" s="467"/>
      <c r="BK4435" s="467"/>
      <c r="BL4435" s="467"/>
      <c r="BM4435" s="467"/>
      <c r="BN4435" s="467"/>
      <c r="BO4435" s="467"/>
      <c r="BP4435" s="467"/>
      <c r="BQ4435" s="467"/>
      <c r="BR4435" s="467"/>
      <c r="BS4435" s="467"/>
      <c r="BT4435" s="467"/>
      <c r="BU4435" s="467"/>
      <c r="BV4435" s="467"/>
      <c r="BW4435" s="467"/>
      <c r="BX4435" s="769"/>
      <c r="BY4435" s="769"/>
      <c r="BZ4435" s="769"/>
      <c r="CA4435" s="769"/>
      <c r="CB4435" s="769"/>
      <c r="CC4435" s="769"/>
      <c r="CD4435" s="769"/>
      <c r="CE4435" s="769"/>
      <c r="CF4435" s="769"/>
      <c r="CG4435" s="73"/>
      <c r="CH4435" s="438"/>
      <c r="CI4435" s="416"/>
      <c r="CJ4435" s="73"/>
      <c r="CK4435" s="650"/>
      <c r="CL4435" s="499"/>
      <c r="CM4435" s="650"/>
      <c r="CR4435" s="416"/>
      <c r="CS4435" s="650"/>
      <c r="CU4435" s="73"/>
      <c r="CV4435" s="73"/>
      <c r="CW4435" s="73"/>
      <c r="CX4435" s="73"/>
      <c r="DA4435" s="650"/>
    </row>
    <row r="4436" spans="1:105" s="45" customFormat="1" x14ac:dyDescent="0.2">
      <c r="A4436" s="650"/>
      <c r="B4436" s="438"/>
      <c r="D4436" s="73"/>
      <c r="E4436" s="650"/>
      <c r="F4436" s="650"/>
      <c r="G4436" s="73"/>
      <c r="I4436" s="111"/>
      <c r="J4436" s="81"/>
      <c r="K4436" s="81"/>
      <c r="L4436" s="499"/>
      <c r="M4436" s="73"/>
      <c r="N4436" s="499"/>
      <c r="O4436" s="73"/>
      <c r="P4436" s="73"/>
      <c r="Q4436" s="73"/>
      <c r="R4436" s="176"/>
      <c r="S4436" s="176"/>
      <c r="T4436" s="176"/>
      <c r="U4436" s="400"/>
      <c r="V4436" s="400"/>
      <c r="W4436" s="732"/>
      <c r="X4436" s="167"/>
      <c r="Y4436" s="509"/>
      <c r="Z4436" s="466"/>
      <c r="AA4436" s="466"/>
      <c r="AB4436" s="466"/>
      <c r="AC4436" s="466"/>
      <c r="AD4436" s="466"/>
      <c r="AE4436" s="466"/>
      <c r="AF4436" s="466"/>
      <c r="AG4436" s="466"/>
      <c r="AH4436" s="466"/>
      <c r="AI4436" s="466"/>
      <c r="AJ4436" s="466"/>
      <c r="AK4436" s="466"/>
      <c r="AL4436" s="466"/>
      <c r="AM4436" s="466"/>
      <c r="AN4436" s="466"/>
      <c r="AO4436" s="466"/>
      <c r="AP4436" s="466"/>
      <c r="AQ4436" s="466"/>
      <c r="AR4436" s="466"/>
      <c r="AS4436" s="466"/>
      <c r="AT4436" s="466"/>
      <c r="AU4436" s="466"/>
      <c r="AV4436" s="466"/>
      <c r="AW4436" s="466"/>
      <c r="AX4436" s="466"/>
      <c r="AY4436" s="466"/>
      <c r="AZ4436" s="466"/>
      <c r="BA4436" s="466"/>
      <c r="BB4436" s="466"/>
      <c r="BC4436" s="466"/>
      <c r="BD4436" s="466"/>
      <c r="BE4436" s="467"/>
      <c r="BF4436" s="467"/>
      <c r="BG4436" s="466"/>
      <c r="BH4436" s="466"/>
      <c r="BI4436" s="467"/>
      <c r="BJ4436" s="467"/>
      <c r="BK4436" s="467"/>
      <c r="BL4436" s="467"/>
      <c r="BM4436" s="467"/>
      <c r="BN4436" s="467"/>
      <c r="BO4436" s="467"/>
      <c r="BP4436" s="467"/>
      <c r="BQ4436" s="467"/>
      <c r="BR4436" s="467"/>
      <c r="BS4436" s="467"/>
      <c r="BT4436" s="467"/>
      <c r="BU4436" s="467"/>
      <c r="BV4436" s="467"/>
      <c r="BW4436" s="467"/>
      <c r="BX4436" s="769"/>
      <c r="BY4436" s="769"/>
      <c r="BZ4436" s="769"/>
      <c r="CA4436" s="769"/>
      <c r="CB4436" s="769"/>
      <c r="CC4436" s="769"/>
      <c r="CD4436" s="769"/>
      <c r="CE4436" s="769"/>
      <c r="CF4436" s="769"/>
      <c r="CG4436" s="73"/>
      <c r="CH4436" s="438"/>
      <c r="CI4436" s="416"/>
      <c r="CJ4436" s="73"/>
      <c r="CK4436" s="650"/>
      <c r="CL4436" s="499"/>
      <c r="CM4436" s="650"/>
      <c r="CR4436" s="416"/>
      <c r="CS4436" s="650"/>
      <c r="CU4436" s="73"/>
      <c r="CV4436" s="73"/>
      <c r="CW4436" s="73"/>
      <c r="CX4436" s="73"/>
      <c r="DA4436" s="650"/>
    </row>
    <row r="4437" spans="1:105" s="45" customFormat="1" x14ac:dyDescent="0.2">
      <c r="A4437" s="650"/>
      <c r="B4437" s="438"/>
      <c r="D4437" s="73"/>
      <c r="E4437" s="650"/>
      <c r="F4437" s="650"/>
      <c r="G4437" s="73"/>
      <c r="I4437" s="111"/>
      <c r="J4437" s="81"/>
      <c r="K4437" s="81"/>
      <c r="L4437" s="499"/>
      <c r="M4437" s="73"/>
      <c r="N4437" s="499"/>
      <c r="O4437" s="73"/>
      <c r="P4437" s="73"/>
      <c r="Q4437" s="73"/>
      <c r="R4437" s="176"/>
      <c r="S4437" s="176"/>
      <c r="T4437" s="176"/>
      <c r="U4437" s="400"/>
      <c r="V4437" s="400"/>
      <c r="W4437" s="732"/>
      <c r="X4437" s="167"/>
      <c r="Y4437" s="509"/>
      <c r="Z4437" s="466"/>
      <c r="AA4437" s="466"/>
      <c r="AB4437" s="466"/>
      <c r="AC4437" s="466"/>
      <c r="AD4437" s="466"/>
      <c r="AE4437" s="466"/>
      <c r="AF4437" s="466"/>
      <c r="AG4437" s="466"/>
      <c r="AH4437" s="466"/>
      <c r="AI4437" s="466"/>
      <c r="AJ4437" s="466"/>
      <c r="AK4437" s="466"/>
      <c r="AL4437" s="466"/>
      <c r="AM4437" s="466"/>
      <c r="AN4437" s="466"/>
      <c r="AO4437" s="466"/>
      <c r="AP4437" s="466"/>
      <c r="AQ4437" s="466"/>
      <c r="AR4437" s="466"/>
      <c r="AS4437" s="466"/>
      <c r="AT4437" s="466"/>
      <c r="AU4437" s="466"/>
      <c r="AV4437" s="466"/>
      <c r="AW4437" s="466"/>
      <c r="AX4437" s="466"/>
      <c r="AY4437" s="466"/>
      <c r="AZ4437" s="466"/>
      <c r="BA4437" s="466"/>
      <c r="BB4437" s="466"/>
      <c r="BC4437" s="466"/>
      <c r="BD4437" s="466"/>
      <c r="BE4437" s="467"/>
      <c r="BF4437" s="467"/>
      <c r="BG4437" s="466"/>
      <c r="BH4437" s="466"/>
      <c r="BI4437" s="467"/>
      <c r="BJ4437" s="467"/>
      <c r="BK4437" s="467"/>
      <c r="BL4437" s="467"/>
      <c r="BM4437" s="467"/>
      <c r="BN4437" s="467"/>
      <c r="BO4437" s="467"/>
      <c r="BP4437" s="467"/>
      <c r="BQ4437" s="467"/>
      <c r="BR4437" s="467"/>
      <c r="BS4437" s="467"/>
      <c r="BT4437" s="467"/>
      <c r="BU4437" s="467"/>
      <c r="BV4437" s="467"/>
      <c r="BW4437" s="467"/>
      <c r="BX4437" s="769"/>
      <c r="BY4437" s="769"/>
      <c r="BZ4437" s="769"/>
      <c r="CA4437" s="769"/>
      <c r="CB4437" s="769"/>
      <c r="CC4437" s="769"/>
      <c r="CD4437" s="769"/>
      <c r="CE4437" s="769"/>
      <c r="CF4437" s="769"/>
      <c r="CG4437" s="73"/>
      <c r="CH4437" s="438"/>
      <c r="CI4437" s="416"/>
      <c r="CJ4437" s="73"/>
      <c r="CK4437" s="650"/>
      <c r="CL4437" s="499"/>
      <c r="CM4437" s="650"/>
      <c r="CR4437" s="416"/>
      <c r="CS4437" s="650"/>
      <c r="CU4437" s="73"/>
      <c r="CV4437" s="73"/>
      <c r="CW4437" s="73"/>
      <c r="CX4437" s="73"/>
      <c r="DA4437" s="650"/>
    </row>
    <row r="4438" spans="1:105" s="45" customFormat="1" x14ac:dyDescent="0.2">
      <c r="A4438" s="650"/>
      <c r="B4438" s="438"/>
      <c r="D4438" s="73"/>
      <c r="E4438" s="650"/>
      <c r="F4438" s="650"/>
      <c r="G4438" s="73"/>
      <c r="I4438" s="111"/>
      <c r="J4438" s="81"/>
      <c r="K4438" s="81"/>
      <c r="L4438" s="499"/>
      <c r="M4438" s="73"/>
      <c r="N4438" s="499"/>
      <c r="O4438" s="73"/>
      <c r="P4438" s="73"/>
      <c r="Q4438" s="73"/>
      <c r="R4438" s="176"/>
      <c r="S4438" s="176"/>
      <c r="T4438" s="176"/>
      <c r="U4438" s="400"/>
      <c r="V4438" s="400"/>
      <c r="W4438" s="732"/>
      <c r="X4438" s="167"/>
      <c r="Y4438" s="509"/>
      <c r="Z4438" s="466"/>
      <c r="AA4438" s="466"/>
      <c r="AB4438" s="466"/>
      <c r="AC4438" s="466"/>
      <c r="AD4438" s="466"/>
      <c r="AE4438" s="466"/>
      <c r="AF4438" s="466"/>
      <c r="AG4438" s="466"/>
      <c r="AH4438" s="466"/>
      <c r="AI4438" s="466"/>
      <c r="AJ4438" s="466"/>
      <c r="AK4438" s="466"/>
      <c r="AL4438" s="466"/>
      <c r="AM4438" s="466"/>
      <c r="AN4438" s="466"/>
      <c r="AO4438" s="466"/>
      <c r="AP4438" s="466"/>
      <c r="AQ4438" s="466"/>
      <c r="AR4438" s="466"/>
      <c r="AS4438" s="466"/>
      <c r="AT4438" s="466"/>
      <c r="AU4438" s="466"/>
      <c r="AV4438" s="466"/>
      <c r="AW4438" s="466"/>
      <c r="AX4438" s="466"/>
      <c r="AY4438" s="466"/>
      <c r="AZ4438" s="466"/>
      <c r="BA4438" s="466"/>
      <c r="BB4438" s="466"/>
      <c r="BC4438" s="466"/>
      <c r="BD4438" s="466"/>
      <c r="BE4438" s="467"/>
      <c r="BF4438" s="467"/>
      <c r="BG4438" s="466"/>
      <c r="BH4438" s="466"/>
      <c r="BI4438" s="467"/>
      <c r="BJ4438" s="467"/>
      <c r="BK4438" s="467"/>
      <c r="BL4438" s="467"/>
      <c r="BM4438" s="467"/>
      <c r="BN4438" s="467"/>
      <c r="BO4438" s="467"/>
      <c r="BP4438" s="467"/>
      <c r="BQ4438" s="467"/>
      <c r="BR4438" s="467"/>
      <c r="BS4438" s="467"/>
      <c r="BT4438" s="467"/>
      <c r="BU4438" s="467"/>
      <c r="BV4438" s="467"/>
      <c r="BW4438" s="467"/>
      <c r="BX4438" s="769"/>
      <c r="BY4438" s="769"/>
      <c r="BZ4438" s="769"/>
      <c r="CA4438" s="769"/>
      <c r="CB4438" s="769"/>
      <c r="CC4438" s="769"/>
      <c r="CD4438" s="769"/>
      <c r="CE4438" s="769"/>
      <c r="CF4438" s="769"/>
      <c r="CG4438" s="73"/>
      <c r="CH4438" s="438"/>
      <c r="CI4438" s="416"/>
      <c r="CJ4438" s="73"/>
      <c r="CK4438" s="650"/>
      <c r="CL4438" s="499"/>
      <c r="CM4438" s="650"/>
      <c r="CR4438" s="416"/>
      <c r="CS4438" s="650"/>
      <c r="CU4438" s="73"/>
      <c r="CV4438" s="73"/>
      <c r="CW4438" s="73"/>
      <c r="CX4438" s="73"/>
      <c r="DA4438" s="650"/>
    </row>
    <row r="4439" spans="1:105" s="45" customFormat="1" x14ac:dyDescent="0.2">
      <c r="A4439" s="650"/>
      <c r="B4439" s="438"/>
      <c r="D4439" s="73"/>
      <c r="E4439" s="650"/>
      <c r="F4439" s="650"/>
      <c r="G4439" s="73"/>
      <c r="I4439" s="111"/>
      <c r="J4439" s="81"/>
      <c r="K4439" s="81"/>
      <c r="L4439" s="499"/>
      <c r="M4439" s="73"/>
      <c r="N4439" s="499"/>
      <c r="O4439" s="73"/>
      <c r="P4439" s="73"/>
      <c r="Q4439" s="73"/>
      <c r="R4439" s="176"/>
      <c r="S4439" s="176"/>
      <c r="T4439" s="176"/>
      <c r="U4439" s="400"/>
      <c r="V4439" s="400"/>
      <c r="W4439" s="732"/>
      <c r="X4439" s="167"/>
      <c r="Y4439" s="509"/>
      <c r="Z4439" s="466"/>
      <c r="AA4439" s="466"/>
      <c r="AB4439" s="466"/>
      <c r="AC4439" s="466"/>
      <c r="AD4439" s="466"/>
      <c r="AE4439" s="466"/>
      <c r="AF4439" s="466"/>
      <c r="AG4439" s="466"/>
      <c r="AH4439" s="466"/>
      <c r="AI4439" s="466"/>
      <c r="AJ4439" s="466"/>
      <c r="AK4439" s="466"/>
      <c r="AL4439" s="466"/>
      <c r="AM4439" s="466"/>
      <c r="AN4439" s="466"/>
      <c r="AO4439" s="466"/>
      <c r="AP4439" s="466"/>
      <c r="AQ4439" s="466"/>
      <c r="AR4439" s="466"/>
      <c r="AS4439" s="466"/>
      <c r="AT4439" s="466"/>
      <c r="AU4439" s="466"/>
      <c r="AV4439" s="466"/>
      <c r="AW4439" s="466"/>
      <c r="AX4439" s="466"/>
      <c r="AY4439" s="466"/>
      <c r="AZ4439" s="466"/>
      <c r="BA4439" s="466"/>
      <c r="BB4439" s="466"/>
      <c r="BC4439" s="466"/>
      <c r="BD4439" s="466"/>
      <c r="BE4439" s="467"/>
      <c r="BF4439" s="467"/>
      <c r="BG4439" s="466"/>
      <c r="BH4439" s="466"/>
      <c r="BI4439" s="467"/>
      <c r="BJ4439" s="467"/>
      <c r="BK4439" s="467"/>
      <c r="BL4439" s="467"/>
      <c r="BM4439" s="467"/>
      <c r="BN4439" s="467"/>
      <c r="BO4439" s="467"/>
      <c r="BP4439" s="467"/>
      <c r="BQ4439" s="467"/>
      <c r="BR4439" s="467"/>
      <c r="BS4439" s="467"/>
      <c r="BT4439" s="467"/>
      <c r="BU4439" s="467"/>
      <c r="BV4439" s="467"/>
      <c r="BW4439" s="467"/>
      <c r="BX4439" s="769"/>
      <c r="BY4439" s="769"/>
      <c r="BZ4439" s="769"/>
      <c r="CA4439" s="769"/>
      <c r="CB4439" s="769"/>
      <c r="CC4439" s="769"/>
      <c r="CD4439" s="769"/>
      <c r="CE4439" s="769"/>
      <c r="CF4439" s="769"/>
      <c r="CG4439" s="73"/>
      <c r="CH4439" s="438"/>
      <c r="CI4439" s="416"/>
      <c r="CJ4439" s="73"/>
      <c r="CK4439" s="650"/>
      <c r="CL4439" s="499"/>
      <c r="CM4439" s="650"/>
      <c r="CR4439" s="416"/>
      <c r="CS4439" s="650"/>
      <c r="CU4439" s="73"/>
      <c r="CV4439" s="73"/>
      <c r="CW4439" s="73"/>
      <c r="CX4439" s="73"/>
      <c r="DA4439" s="650"/>
    </row>
    <row r="4440" spans="1:105" s="45" customFormat="1" x14ac:dyDescent="0.2">
      <c r="A4440" s="650"/>
      <c r="B4440" s="438"/>
      <c r="D4440" s="73"/>
      <c r="E4440" s="650"/>
      <c r="F4440" s="650"/>
      <c r="G4440" s="73"/>
      <c r="I4440" s="111"/>
      <c r="J4440" s="81"/>
      <c r="K4440" s="81"/>
      <c r="L4440" s="499"/>
      <c r="M4440" s="73"/>
      <c r="N4440" s="499"/>
      <c r="O4440" s="73"/>
      <c r="P4440" s="73"/>
      <c r="Q4440" s="73"/>
      <c r="R4440" s="176"/>
      <c r="S4440" s="176"/>
      <c r="T4440" s="176"/>
      <c r="U4440" s="400"/>
      <c r="V4440" s="400"/>
      <c r="W4440" s="732"/>
      <c r="X4440" s="167"/>
      <c r="Y4440" s="509"/>
      <c r="Z4440" s="466"/>
      <c r="AA4440" s="466"/>
      <c r="AB4440" s="466"/>
      <c r="AC4440" s="466"/>
      <c r="AD4440" s="466"/>
      <c r="AE4440" s="466"/>
      <c r="AF4440" s="466"/>
      <c r="AG4440" s="466"/>
      <c r="AH4440" s="466"/>
      <c r="AI4440" s="466"/>
      <c r="AJ4440" s="466"/>
      <c r="AK4440" s="466"/>
      <c r="AL4440" s="466"/>
      <c r="AM4440" s="466"/>
      <c r="AN4440" s="466"/>
      <c r="AO4440" s="466"/>
      <c r="AP4440" s="466"/>
      <c r="AQ4440" s="466"/>
      <c r="AR4440" s="466"/>
      <c r="AS4440" s="466"/>
      <c r="AT4440" s="466"/>
      <c r="AU4440" s="466"/>
      <c r="AV4440" s="466"/>
      <c r="AW4440" s="466"/>
      <c r="AX4440" s="466"/>
      <c r="AY4440" s="466"/>
      <c r="AZ4440" s="466"/>
      <c r="BA4440" s="466"/>
      <c r="BB4440" s="466"/>
      <c r="BC4440" s="466"/>
      <c r="BD4440" s="466"/>
      <c r="BE4440" s="467"/>
      <c r="BF4440" s="467"/>
      <c r="BG4440" s="466"/>
      <c r="BH4440" s="466"/>
      <c r="BI4440" s="467"/>
      <c r="BJ4440" s="467"/>
      <c r="BK4440" s="467"/>
      <c r="BL4440" s="467"/>
      <c r="BM4440" s="467"/>
      <c r="BN4440" s="467"/>
      <c r="BO4440" s="467"/>
      <c r="BP4440" s="467"/>
      <c r="BQ4440" s="467"/>
      <c r="BR4440" s="467"/>
      <c r="BS4440" s="467"/>
      <c r="BT4440" s="467"/>
      <c r="BU4440" s="467"/>
      <c r="BV4440" s="467"/>
      <c r="BW4440" s="467"/>
      <c r="BX4440" s="769"/>
      <c r="BY4440" s="769"/>
      <c r="BZ4440" s="769"/>
      <c r="CA4440" s="769"/>
      <c r="CB4440" s="769"/>
      <c r="CC4440" s="769"/>
      <c r="CD4440" s="769"/>
      <c r="CE4440" s="769"/>
      <c r="CF4440" s="769"/>
      <c r="CG4440" s="73"/>
      <c r="CH4440" s="438"/>
      <c r="CI4440" s="416"/>
      <c r="CJ4440" s="73"/>
      <c r="CK4440" s="650"/>
      <c r="CL4440" s="499"/>
      <c r="CM4440" s="650"/>
      <c r="CR4440" s="416"/>
      <c r="CS4440" s="650"/>
      <c r="CU4440" s="73"/>
      <c r="CV4440" s="73"/>
      <c r="CW4440" s="73"/>
      <c r="CX4440" s="73"/>
      <c r="DA4440" s="650"/>
    </row>
    <row r="4441" spans="1:105" s="45" customFormat="1" x14ac:dyDescent="0.2">
      <c r="A4441" s="650"/>
      <c r="B4441" s="438"/>
      <c r="D4441" s="73"/>
      <c r="E4441" s="650"/>
      <c r="F4441" s="650"/>
      <c r="G4441" s="73"/>
      <c r="I4441" s="111"/>
      <c r="J4441" s="81"/>
      <c r="K4441" s="81"/>
      <c r="L4441" s="499"/>
      <c r="M4441" s="73"/>
      <c r="N4441" s="499"/>
      <c r="O4441" s="73"/>
      <c r="P4441" s="73"/>
      <c r="Q4441" s="73"/>
      <c r="R4441" s="176"/>
      <c r="S4441" s="176"/>
      <c r="T4441" s="176"/>
      <c r="U4441" s="400"/>
      <c r="V4441" s="400"/>
      <c r="W4441" s="732"/>
      <c r="X4441" s="167"/>
      <c r="Y4441" s="509"/>
      <c r="Z4441" s="466"/>
      <c r="AA4441" s="466"/>
      <c r="AB4441" s="466"/>
      <c r="AC4441" s="466"/>
      <c r="AD4441" s="466"/>
      <c r="AE4441" s="466"/>
      <c r="AF4441" s="466"/>
      <c r="AG4441" s="466"/>
      <c r="AH4441" s="466"/>
      <c r="AI4441" s="466"/>
      <c r="AJ4441" s="466"/>
      <c r="AK4441" s="466"/>
      <c r="AL4441" s="466"/>
      <c r="AM4441" s="466"/>
      <c r="AN4441" s="466"/>
      <c r="AO4441" s="466"/>
      <c r="AP4441" s="466"/>
      <c r="AQ4441" s="466"/>
      <c r="AR4441" s="466"/>
      <c r="AS4441" s="466"/>
      <c r="AT4441" s="466"/>
      <c r="AU4441" s="466"/>
      <c r="AV4441" s="466"/>
      <c r="AW4441" s="466"/>
      <c r="AX4441" s="466"/>
      <c r="AY4441" s="466"/>
      <c r="AZ4441" s="466"/>
      <c r="BA4441" s="466"/>
      <c r="BB4441" s="466"/>
      <c r="BC4441" s="466"/>
      <c r="BD4441" s="466"/>
      <c r="BE4441" s="467"/>
      <c r="BF4441" s="467"/>
      <c r="BG4441" s="466"/>
      <c r="BH4441" s="466"/>
      <c r="BI4441" s="467"/>
      <c r="BJ4441" s="467"/>
      <c r="BK4441" s="467"/>
      <c r="BL4441" s="467"/>
      <c r="BM4441" s="467"/>
      <c r="BN4441" s="467"/>
      <c r="BO4441" s="467"/>
      <c r="BP4441" s="467"/>
      <c r="BQ4441" s="467"/>
      <c r="BR4441" s="467"/>
      <c r="BS4441" s="467"/>
      <c r="BT4441" s="467"/>
      <c r="BU4441" s="467"/>
      <c r="BV4441" s="467"/>
      <c r="BW4441" s="467"/>
      <c r="BX4441" s="769"/>
      <c r="BY4441" s="769"/>
      <c r="BZ4441" s="769"/>
      <c r="CA4441" s="769"/>
      <c r="CB4441" s="769"/>
      <c r="CC4441" s="769"/>
      <c r="CD4441" s="769"/>
      <c r="CE4441" s="769"/>
      <c r="CF4441" s="769"/>
      <c r="CG4441" s="73"/>
      <c r="CH4441" s="438"/>
      <c r="CI4441" s="416"/>
      <c r="CJ4441" s="73"/>
      <c r="CK4441" s="650"/>
      <c r="CL4441" s="499"/>
      <c r="CM4441" s="650"/>
      <c r="CR4441" s="416"/>
      <c r="CS4441" s="650"/>
      <c r="CU4441" s="73"/>
      <c r="CV4441" s="73"/>
      <c r="CW4441" s="73"/>
      <c r="CX4441" s="73"/>
      <c r="DA4441" s="650"/>
    </row>
    <row r="4442" spans="1:105" s="45" customFormat="1" x14ac:dyDescent="0.2">
      <c r="A4442" s="650"/>
      <c r="B4442" s="438"/>
      <c r="D4442" s="73"/>
      <c r="E4442" s="650"/>
      <c r="F4442" s="650"/>
      <c r="G4442" s="73"/>
      <c r="I4442" s="111"/>
      <c r="J4442" s="81"/>
      <c r="K4442" s="81"/>
      <c r="L4442" s="499"/>
      <c r="M4442" s="73"/>
      <c r="N4442" s="499"/>
      <c r="O4442" s="73"/>
      <c r="P4442" s="73"/>
      <c r="Q4442" s="73"/>
      <c r="R4442" s="176"/>
      <c r="S4442" s="176"/>
      <c r="T4442" s="176"/>
      <c r="U4442" s="400"/>
      <c r="V4442" s="400"/>
      <c r="W4442" s="732"/>
      <c r="X4442" s="167"/>
      <c r="Y4442" s="509"/>
      <c r="Z4442" s="466"/>
      <c r="AA4442" s="466"/>
      <c r="AB4442" s="466"/>
      <c r="AC4442" s="466"/>
      <c r="AD4442" s="466"/>
      <c r="AE4442" s="466"/>
      <c r="AF4442" s="466"/>
      <c r="AG4442" s="466"/>
      <c r="AH4442" s="466"/>
      <c r="AI4442" s="466"/>
      <c r="AJ4442" s="466"/>
      <c r="AK4442" s="466"/>
      <c r="AL4442" s="466"/>
      <c r="AM4442" s="466"/>
      <c r="AN4442" s="466"/>
      <c r="AO4442" s="466"/>
      <c r="AP4442" s="466"/>
      <c r="AQ4442" s="466"/>
      <c r="AR4442" s="466"/>
      <c r="AS4442" s="466"/>
      <c r="AT4442" s="466"/>
      <c r="AU4442" s="466"/>
      <c r="AV4442" s="466"/>
      <c r="AW4442" s="466"/>
      <c r="AX4442" s="466"/>
      <c r="AY4442" s="466"/>
      <c r="AZ4442" s="466"/>
      <c r="BA4442" s="466"/>
      <c r="BB4442" s="466"/>
      <c r="BC4442" s="466"/>
      <c r="BD4442" s="466"/>
      <c r="BE4442" s="467"/>
      <c r="BF4442" s="467"/>
      <c r="BG4442" s="466"/>
      <c r="BH4442" s="466"/>
      <c r="BI4442" s="467"/>
      <c r="BJ4442" s="467"/>
      <c r="BK4442" s="467"/>
      <c r="BL4442" s="467"/>
      <c r="BM4442" s="467"/>
      <c r="BN4442" s="467"/>
      <c r="BO4442" s="467"/>
      <c r="BP4442" s="467"/>
      <c r="BQ4442" s="467"/>
      <c r="BR4442" s="467"/>
      <c r="BS4442" s="467"/>
      <c r="BT4442" s="467"/>
      <c r="BU4442" s="467"/>
      <c r="BV4442" s="467"/>
      <c r="BW4442" s="467"/>
      <c r="BX4442" s="769"/>
      <c r="BY4442" s="769"/>
      <c r="BZ4442" s="769"/>
      <c r="CA4442" s="769"/>
      <c r="CB4442" s="769"/>
      <c r="CC4442" s="769"/>
      <c r="CD4442" s="769"/>
      <c r="CE4442" s="769"/>
      <c r="CF4442" s="769"/>
      <c r="CG4442" s="73"/>
      <c r="CH4442" s="438"/>
      <c r="CI4442" s="416"/>
      <c r="CJ4442" s="73"/>
      <c r="CK4442" s="650"/>
      <c r="CL4442" s="499"/>
      <c r="CM4442" s="650"/>
      <c r="CR4442" s="416"/>
      <c r="CS4442" s="650"/>
      <c r="CU4442" s="73"/>
      <c r="CV4442" s="73"/>
      <c r="CW4442" s="73"/>
      <c r="CX4442" s="73"/>
      <c r="DA4442" s="650"/>
    </row>
    <row r="4443" spans="1:105" s="45" customFormat="1" x14ac:dyDescent="0.2">
      <c r="A4443" s="650"/>
      <c r="B4443" s="438"/>
      <c r="D4443" s="73"/>
      <c r="E4443" s="650"/>
      <c r="F4443" s="650"/>
      <c r="G4443" s="73"/>
      <c r="I4443" s="111"/>
      <c r="J4443" s="81"/>
      <c r="K4443" s="81"/>
      <c r="L4443" s="499"/>
      <c r="M4443" s="73"/>
      <c r="N4443" s="499"/>
      <c r="O4443" s="73"/>
      <c r="P4443" s="73"/>
      <c r="Q4443" s="73"/>
      <c r="R4443" s="176"/>
      <c r="S4443" s="176"/>
      <c r="T4443" s="176"/>
      <c r="U4443" s="400"/>
      <c r="V4443" s="400"/>
      <c r="W4443" s="732"/>
      <c r="X4443" s="167"/>
      <c r="Y4443" s="509"/>
      <c r="Z4443" s="466"/>
      <c r="AA4443" s="466"/>
      <c r="AB4443" s="466"/>
      <c r="AC4443" s="466"/>
      <c r="AD4443" s="466"/>
      <c r="AE4443" s="466"/>
      <c r="AF4443" s="466"/>
      <c r="AG4443" s="466"/>
      <c r="AH4443" s="466"/>
      <c r="AI4443" s="466"/>
      <c r="AJ4443" s="466"/>
      <c r="AK4443" s="466"/>
      <c r="AL4443" s="466"/>
      <c r="AM4443" s="466"/>
      <c r="AN4443" s="466"/>
      <c r="AO4443" s="466"/>
      <c r="AP4443" s="466"/>
      <c r="AQ4443" s="466"/>
      <c r="AR4443" s="466"/>
      <c r="AS4443" s="466"/>
      <c r="AT4443" s="466"/>
      <c r="AU4443" s="466"/>
      <c r="AV4443" s="466"/>
      <c r="AW4443" s="466"/>
      <c r="AX4443" s="466"/>
      <c r="AY4443" s="466"/>
      <c r="AZ4443" s="466"/>
      <c r="BA4443" s="466"/>
      <c r="BB4443" s="466"/>
      <c r="BC4443" s="466"/>
      <c r="BD4443" s="466"/>
      <c r="BE4443" s="467"/>
      <c r="BF4443" s="467"/>
      <c r="BG4443" s="466"/>
      <c r="BH4443" s="466"/>
      <c r="BI4443" s="467"/>
      <c r="BJ4443" s="467"/>
      <c r="BK4443" s="467"/>
      <c r="BL4443" s="467"/>
      <c r="BM4443" s="467"/>
      <c r="BN4443" s="467"/>
      <c r="BO4443" s="467"/>
      <c r="BP4443" s="467"/>
      <c r="BQ4443" s="467"/>
      <c r="BR4443" s="467"/>
      <c r="BS4443" s="467"/>
      <c r="BT4443" s="467"/>
      <c r="BU4443" s="467"/>
      <c r="BV4443" s="467"/>
      <c r="BW4443" s="467"/>
      <c r="BX4443" s="769"/>
      <c r="BY4443" s="769"/>
      <c r="BZ4443" s="769"/>
      <c r="CA4443" s="769"/>
      <c r="CB4443" s="769"/>
      <c r="CC4443" s="769"/>
      <c r="CD4443" s="769"/>
      <c r="CE4443" s="769"/>
      <c r="CF4443" s="769"/>
      <c r="CG4443" s="73"/>
      <c r="CH4443" s="438"/>
      <c r="CI4443" s="416"/>
      <c r="CJ4443" s="73"/>
      <c r="CK4443" s="650"/>
      <c r="CL4443" s="499"/>
      <c r="CM4443" s="650"/>
      <c r="CR4443" s="416"/>
      <c r="CS4443" s="650"/>
      <c r="CU4443" s="73"/>
      <c r="CV4443" s="73"/>
      <c r="CW4443" s="73"/>
      <c r="CX4443" s="73"/>
      <c r="DA4443" s="650"/>
    </row>
    <row r="4444" spans="1:105" s="45" customFormat="1" x14ac:dyDescent="0.2">
      <c r="A4444" s="650"/>
      <c r="B4444" s="438"/>
      <c r="D4444" s="73"/>
      <c r="E4444" s="650"/>
      <c r="F4444" s="650"/>
      <c r="G4444" s="73"/>
      <c r="I4444" s="111"/>
      <c r="J4444" s="81"/>
      <c r="K4444" s="81"/>
      <c r="L4444" s="499"/>
      <c r="M4444" s="73"/>
      <c r="N4444" s="499"/>
      <c r="O4444" s="73"/>
      <c r="P4444" s="73"/>
      <c r="Q4444" s="73"/>
      <c r="R4444" s="176"/>
      <c r="S4444" s="176"/>
      <c r="T4444" s="176"/>
      <c r="U4444" s="400"/>
      <c r="V4444" s="400"/>
      <c r="W4444" s="732"/>
      <c r="X4444" s="167"/>
      <c r="Y4444" s="509"/>
      <c r="Z4444" s="466"/>
      <c r="AA4444" s="466"/>
      <c r="AB4444" s="466"/>
      <c r="AC4444" s="466"/>
      <c r="AD4444" s="466"/>
      <c r="AE4444" s="466"/>
      <c r="AF4444" s="466"/>
      <c r="AG4444" s="466"/>
      <c r="AH4444" s="466"/>
      <c r="AI4444" s="466"/>
      <c r="AJ4444" s="466"/>
      <c r="AK4444" s="466"/>
      <c r="AL4444" s="466"/>
      <c r="AM4444" s="466"/>
      <c r="AN4444" s="466"/>
      <c r="AO4444" s="466"/>
      <c r="AP4444" s="466"/>
      <c r="AQ4444" s="466"/>
      <c r="AR4444" s="466"/>
      <c r="AS4444" s="466"/>
      <c r="AT4444" s="466"/>
      <c r="AU4444" s="466"/>
      <c r="AV4444" s="466"/>
      <c r="AW4444" s="466"/>
      <c r="AX4444" s="466"/>
      <c r="AY4444" s="466"/>
      <c r="AZ4444" s="466"/>
      <c r="BA4444" s="466"/>
      <c r="BB4444" s="466"/>
      <c r="BC4444" s="466"/>
      <c r="BD4444" s="466"/>
      <c r="BE4444" s="467"/>
      <c r="BF4444" s="467"/>
      <c r="BG4444" s="466"/>
      <c r="BH4444" s="466"/>
      <c r="BI4444" s="467"/>
      <c r="BJ4444" s="467"/>
      <c r="BK4444" s="467"/>
      <c r="BL4444" s="467"/>
      <c r="BM4444" s="467"/>
      <c r="BN4444" s="467"/>
      <c r="BO4444" s="467"/>
      <c r="BP4444" s="467"/>
      <c r="BQ4444" s="467"/>
      <c r="BR4444" s="467"/>
      <c r="BS4444" s="467"/>
      <c r="BT4444" s="467"/>
      <c r="BU4444" s="467"/>
      <c r="BV4444" s="467"/>
      <c r="BW4444" s="467"/>
      <c r="BX4444" s="769"/>
      <c r="BY4444" s="769"/>
      <c r="BZ4444" s="769"/>
      <c r="CA4444" s="769"/>
      <c r="CB4444" s="769"/>
      <c r="CC4444" s="769"/>
      <c r="CD4444" s="769"/>
      <c r="CE4444" s="769"/>
      <c r="CF4444" s="769"/>
      <c r="CG4444" s="73"/>
      <c r="CH4444" s="438"/>
      <c r="CI4444" s="416"/>
      <c r="CJ4444" s="73"/>
      <c r="CK4444" s="650"/>
      <c r="CL4444" s="499"/>
      <c r="CM4444" s="650"/>
      <c r="CR4444" s="416"/>
      <c r="CS4444" s="650"/>
      <c r="CU4444" s="73"/>
      <c r="CV4444" s="73"/>
      <c r="CW4444" s="73"/>
      <c r="CX4444" s="73"/>
      <c r="DA4444" s="650"/>
    </row>
    <row r="4445" spans="1:105" s="45" customFormat="1" x14ac:dyDescent="0.2">
      <c r="A4445" s="650"/>
      <c r="B4445" s="438"/>
      <c r="D4445" s="73"/>
      <c r="E4445" s="650"/>
      <c r="F4445" s="650"/>
      <c r="G4445" s="73"/>
      <c r="I4445" s="111"/>
      <c r="J4445" s="81"/>
      <c r="K4445" s="81"/>
      <c r="L4445" s="499"/>
      <c r="M4445" s="73"/>
      <c r="N4445" s="499"/>
      <c r="O4445" s="73"/>
      <c r="P4445" s="73"/>
      <c r="Q4445" s="73"/>
      <c r="R4445" s="176"/>
      <c r="S4445" s="176"/>
      <c r="T4445" s="176"/>
      <c r="U4445" s="400"/>
      <c r="V4445" s="400"/>
      <c r="W4445" s="732"/>
      <c r="X4445" s="167"/>
      <c r="Y4445" s="509"/>
      <c r="Z4445" s="466"/>
      <c r="AA4445" s="466"/>
      <c r="AB4445" s="466"/>
      <c r="AC4445" s="466"/>
      <c r="AD4445" s="466"/>
      <c r="AE4445" s="466"/>
      <c r="AF4445" s="466"/>
      <c r="AG4445" s="466"/>
      <c r="AH4445" s="466"/>
      <c r="AI4445" s="466"/>
      <c r="AJ4445" s="466"/>
      <c r="AK4445" s="466"/>
      <c r="AL4445" s="466"/>
      <c r="AM4445" s="466"/>
      <c r="AN4445" s="466"/>
      <c r="AO4445" s="466"/>
      <c r="AP4445" s="466"/>
      <c r="AQ4445" s="466"/>
      <c r="AR4445" s="466"/>
      <c r="AS4445" s="466"/>
      <c r="AT4445" s="466"/>
      <c r="AU4445" s="466"/>
      <c r="AV4445" s="466"/>
      <c r="AW4445" s="466"/>
      <c r="AX4445" s="466"/>
      <c r="AY4445" s="466"/>
      <c r="AZ4445" s="466"/>
      <c r="BA4445" s="466"/>
      <c r="BB4445" s="466"/>
      <c r="BC4445" s="466"/>
      <c r="BD4445" s="466"/>
      <c r="BE4445" s="467"/>
      <c r="BF4445" s="467"/>
      <c r="BG4445" s="466"/>
      <c r="BH4445" s="466"/>
      <c r="BI4445" s="467"/>
      <c r="BJ4445" s="467"/>
      <c r="BK4445" s="467"/>
      <c r="BL4445" s="467"/>
      <c r="BM4445" s="467"/>
      <c r="BN4445" s="467"/>
      <c r="BO4445" s="467"/>
      <c r="BP4445" s="467"/>
      <c r="BQ4445" s="467"/>
      <c r="BR4445" s="467"/>
      <c r="BS4445" s="467"/>
      <c r="BT4445" s="467"/>
      <c r="BU4445" s="467"/>
      <c r="BV4445" s="467"/>
      <c r="BW4445" s="467"/>
      <c r="BX4445" s="769"/>
      <c r="BY4445" s="769"/>
      <c r="BZ4445" s="769"/>
      <c r="CA4445" s="769"/>
      <c r="CB4445" s="769"/>
      <c r="CC4445" s="769"/>
      <c r="CD4445" s="769"/>
      <c r="CE4445" s="769"/>
      <c r="CF4445" s="769"/>
      <c r="CG4445" s="73"/>
      <c r="CH4445" s="438"/>
      <c r="CI4445" s="416"/>
      <c r="CJ4445" s="73"/>
      <c r="CK4445" s="650"/>
      <c r="CL4445" s="499"/>
      <c r="CM4445" s="650"/>
      <c r="CR4445" s="416"/>
      <c r="CS4445" s="650"/>
      <c r="CU4445" s="73"/>
      <c r="CV4445" s="73"/>
      <c r="CW4445" s="73"/>
      <c r="CX4445" s="73"/>
      <c r="DA4445" s="650"/>
    </row>
    <row r="4446" spans="1:105" s="45" customFormat="1" x14ac:dyDescent="0.2">
      <c r="A4446" s="650"/>
      <c r="B4446" s="438"/>
      <c r="D4446" s="73"/>
      <c r="E4446" s="650"/>
      <c r="F4446" s="650"/>
      <c r="G4446" s="73"/>
      <c r="I4446" s="111"/>
      <c r="J4446" s="81"/>
      <c r="K4446" s="81"/>
      <c r="L4446" s="499"/>
      <c r="M4446" s="73"/>
      <c r="N4446" s="499"/>
      <c r="O4446" s="73"/>
      <c r="P4446" s="73"/>
      <c r="Q4446" s="73"/>
      <c r="R4446" s="176"/>
      <c r="S4446" s="176"/>
      <c r="T4446" s="176"/>
      <c r="U4446" s="400"/>
      <c r="V4446" s="400"/>
      <c r="W4446" s="732"/>
      <c r="X4446" s="167"/>
      <c r="Y4446" s="509"/>
      <c r="Z4446" s="466"/>
      <c r="AA4446" s="466"/>
      <c r="AB4446" s="466"/>
      <c r="AC4446" s="466"/>
      <c r="AD4446" s="466"/>
      <c r="AE4446" s="466"/>
      <c r="AF4446" s="466"/>
      <c r="AG4446" s="466"/>
      <c r="AH4446" s="466"/>
      <c r="AI4446" s="466"/>
      <c r="AJ4446" s="466"/>
      <c r="AK4446" s="466"/>
      <c r="AL4446" s="466"/>
      <c r="AM4446" s="466"/>
      <c r="AN4446" s="466"/>
      <c r="AO4446" s="466"/>
      <c r="AP4446" s="466"/>
      <c r="AQ4446" s="466"/>
      <c r="AR4446" s="466"/>
      <c r="AS4446" s="466"/>
      <c r="AT4446" s="466"/>
      <c r="AU4446" s="466"/>
      <c r="AV4446" s="466"/>
      <c r="AW4446" s="466"/>
      <c r="AX4446" s="466"/>
      <c r="AY4446" s="466"/>
      <c r="AZ4446" s="466"/>
      <c r="BA4446" s="466"/>
      <c r="BB4446" s="466"/>
      <c r="BC4446" s="466"/>
      <c r="BD4446" s="466"/>
      <c r="BE4446" s="467"/>
      <c r="BF4446" s="467"/>
      <c r="BG4446" s="466"/>
      <c r="BH4446" s="466"/>
      <c r="BI4446" s="467"/>
      <c r="BJ4446" s="467"/>
      <c r="BK4446" s="467"/>
      <c r="BL4446" s="467"/>
      <c r="BM4446" s="467"/>
      <c r="BN4446" s="467"/>
      <c r="BO4446" s="467"/>
      <c r="BP4446" s="467"/>
      <c r="BQ4446" s="467"/>
      <c r="BR4446" s="467"/>
      <c r="BS4446" s="467"/>
      <c r="BT4446" s="467"/>
      <c r="BU4446" s="467"/>
      <c r="BV4446" s="467"/>
      <c r="BW4446" s="467"/>
      <c r="BX4446" s="769"/>
      <c r="BY4446" s="769"/>
      <c r="BZ4446" s="769"/>
      <c r="CA4446" s="769"/>
      <c r="CB4446" s="769"/>
      <c r="CC4446" s="769"/>
      <c r="CD4446" s="769"/>
      <c r="CE4446" s="769"/>
      <c r="CF4446" s="769"/>
      <c r="CG4446" s="73"/>
      <c r="CH4446" s="438"/>
      <c r="CI4446" s="416"/>
      <c r="CJ4446" s="73"/>
      <c r="CK4446" s="650"/>
      <c r="CL4446" s="499"/>
      <c r="CM4446" s="650"/>
      <c r="CR4446" s="416"/>
      <c r="CS4446" s="650"/>
      <c r="CU4446" s="73"/>
      <c r="CV4446" s="73"/>
      <c r="CW4446" s="73"/>
      <c r="CX4446" s="73"/>
      <c r="DA4446" s="650"/>
    </row>
    <row r="4447" spans="1:105" s="45" customFormat="1" x14ac:dyDescent="0.2">
      <c r="A4447" s="650"/>
      <c r="B4447" s="438"/>
      <c r="D4447" s="73"/>
      <c r="E4447" s="650"/>
      <c r="F4447" s="650"/>
      <c r="G4447" s="73"/>
      <c r="I4447" s="111"/>
      <c r="J4447" s="81"/>
      <c r="K4447" s="81"/>
      <c r="L4447" s="499"/>
      <c r="M4447" s="73"/>
      <c r="N4447" s="499"/>
      <c r="O4447" s="73"/>
      <c r="P4447" s="73"/>
      <c r="Q4447" s="73"/>
      <c r="R4447" s="176"/>
      <c r="S4447" s="176"/>
      <c r="T4447" s="176"/>
      <c r="U4447" s="400"/>
      <c r="V4447" s="400"/>
      <c r="W4447" s="732"/>
      <c r="X4447" s="167"/>
      <c r="Y4447" s="509"/>
      <c r="Z4447" s="466"/>
      <c r="AA4447" s="466"/>
      <c r="AB4447" s="466"/>
      <c r="AC4447" s="466"/>
      <c r="AD4447" s="466"/>
      <c r="AE4447" s="466"/>
      <c r="AF4447" s="466"/>
      <c r="AG4447" s="466"/>
      <c r="AH4447" s="466"/>
      <c r="AI4447" s="466"/>
      <c r="AJ4447" s="466"/>
      <c r="AK4447" s="466"/>
      <c r="AL4447" s="466"/>
      <c r="AM4447" s="466"/>
      <c r="AN4447" s="466"/>
      <c r="AO4447" s="466"/>
      <c r="AP4447" s="466"/>
      <c r="AQ4447" s="466"/>
      <c r="AR4447" s="466"/>
      <c r="AS4447" s="466"/>
      <c r="AT4447" s="466"/>
      <c r="AU4447" s="466"/>
      <c r="AV4447" s="466"/>
      <c r="AW4447" s="466"/>
      <c r="AX4447" s="466"/>
      <c r="AY4447" s="466"/>
      <c r="AZ4447" s="466"/>
      <c r="BA4447" s="466"/>
      <c r="BB4447" s="466"/>
      <c r="BC4447" s="466"/>
      <c r="BD4447" s="466"/>
      <c r="BE4447" s="467"/>
      <c r="BF4447" s="467"/>
      <c r="BG4447" s="466"/>
      <c r="BH4447" s="466"/>
      <c r="BI4447" s="467"/>
      <c r="BJ4447" s="467"/>
      <c r="BK4447" s="467"/>
      <c r="BL4447" s="467"/>
      <c r="BM4447" s="467"/>
      <c r="BN4447" s="467"/>
      <c r="BO4447" s="467"/>
      <c r="BP4447" s="467"/>
      <c r="BQ4447" s="467"/>
      <c r="BR4447" s="467"/>
      <c r="BS4447" s="467"/>
      <c r="BT4447" s="467"/>
      <c r="BU4447" s="467"/>
      <c r="BV4447" s="467"/>
      <c r="BW4447" s="467"/>
      <c r="BX4447" s="769"/>
      <c r="BY4447" s="769"/>
      <c r="BZ4447" s="769"/>
      <c r="CA4447" s="769"/>
      <c r="CB4447" s="769"/>
      <c r="CC4447" s="769"/>
      <c r="CD4447" s="769"/>
      <c r="CE4447" s="769"/>
      <c r="CF4447" s="769"/>
      <c r="CG4447" s="73"/>
      <c r="CH4447" s="438"/>
      <c r="CI4447" s="416"/>
      <c r="CJ4447" s="73"/>
      <c r="CK4447" s="650"/>
      <c r="CL4447" s="499"/>
      <c r="CM4447" s="650"/>
      <c r="CR4447" s="416"/>
      <c r="CS4447" s="650"/>
      <c r="CU4447" s="73"/>
      <c r="CV4447" s="73"/>
      <c r="CW4447" s="73"/>
      <c r="CX4447" s="73"/>
      <c r="DA4447" s="650"/>
    </row>
    <row r="4448" spans="1:105" s="45" customFormat="1" x14ac:dyDescent="0.2">
      <c r="A4448" s="650"/>
      <c r="B4448" s="438"/>
      <c r="D4448" s="73"/>
      <c r="E4448" s="650"/>
      <c r="F4448" s="650"/>
      <c r="G4448" s="73"/>
      <c r="I4448" s="111"/>
      <c r="J4448" s="81"/>
      <c r="K4448" s="81"/>
      <c r="L4448" s="499"/>
      <c r="M4448" s="73"/>
      <c r="N4448" s="499"/>
      <c r="O4448" s="73"/>
      <c r="P4448" s="73"/>
      <c r="Q4448" s="73"/>
      <c r="R4448" s="176"/>
      <c r="S4448" s="176"/>
      <c r="T4448" s="176"/>
      <c r="U4448" s="400"/>
      <c r="V4448" s="400"/>
      <c r="W4448" s="732"/>
      <c r="X4448" s="167"/>
      <c r="Y4448" s="509"/>
      <c r="Z4448" s="466"/>
      <c r="AA4448" s="466"/>
      <c r="AB4448" s="466"/>
      <c r="AC4448" s="466"/>
      <c r="AD4448" s="466"/>
      <c r="AE4448" s="466"/>
      <c r="AF4448" s="466"/>
      <c r="AG4448" s="466"/>
      <c r="AH4448" s="466"/>
      <c r="AI4448" s="466"/>
      <c r="AJ4448" s="466"/>
      <c r="AK4448" s="466"/>
      <c r="AL4448" s="466"/>
      <c r="AM4448" s="466"/>
      <c r="AN4448" s="466"/>
      <c r="AO4448" s="466"/>
      <c r="AP4448" s="466"/>
      <c r="AQ4448" s="466"/>
      <c r="AR4448" s="466"/>
      <c r="AS4448" s="466"/>
      <c r="AT4448" s="466"/>
      <c r="AU4448" s="466"/>
      <c r="AV4448" s="466"/>
      <c r="AW4448" s="466"/>
      <c r="AX4448" s="466"/>
      <c r="AY4448" s="466"/>
      <c r="AZ4448" s="466"/>
      <c r="BA4448" s="466"/>
      <c r="BB4448" s="466"/>
      <c r="BC4448" s="466"/>
      <c r="BD4448" s="466"/>
      <c r="BE4448" s="467"/>
      <c r="BF4448" s="467"/>
      <c r="BG4448" s="466"/>
      <c r="BH4448" s="466"/>
      <c r="BI4448" s="467"/>
      <c r="BJ4448" s="467"/>
      <c r="BK4448" s="467"/>
      <c r="BL4448" s="467"/>
      <c r="BM4448" s="467"/>
      <c r="BN4448" s="467"/>
      <c r="BO4448" s="467"/>
      <c r="BP4448" s="467"/>
      <c r="BQ4448" s="467"/>
      <c r="BR4448" s="467"/>
      <c r="BS4448" s="467"/>
      <c r="BT4448" s="467"/>
      <c r="BU4448" s="467"/>
      <c r="BV4448" s="467"/>
      <c r="BW4448" s="467"/>
      <c r="BX4448" s="769"/>
      <c r="BY4448" s="769"/>
      <c r="BZ4448" s="769"/>
      <c r="CA4448" s="769"/>
      <c r="CB4448" s="769"/>
      <c r="CC4448" s="769"/>
      <c r="CD4448" s="769"/>
      <c r="CE4448" s="769"/>
      <c r="CF4448" s="769"/>
      <c r="CG4448" s="73"/>
      <c r="CH4448" s="438"/>
      <c r="CI4448" s="416"/>
      <c r="CJ4448" s="73"/>
      <c r="CK4448" s="650"/>
      <c r="CL4448" s="499"/>
      <c r="CM4448" s="650"/>
      <c r="CR4448" s="416"/>
      <c r="CS4448" s="650"/>
      <c r="CU4448" s="73"/>
      <c r="CV4448" s="73"/>
      <c r="CW4448" s="73"/>
      <c r="CX4448" s="73"/>
      <c r="DA4448" s="650"/>
    </row>
    <row r="4449" spans="1:105" s="45" customFormat="1" x14ac:dyDescent="0.2">
      <c r="A4449" s="650"/>
      <c r="B4449" s="438"/>
      <c r="D4449" s="73"/>
      <c r="E4449" s="650"/>
      <c r="F4449" s="650"/>
      <c r="G4449" s="73"/>
      <c r="I4449" s="111"/>
      <c r="J4449" s="81"/>
      <c r="K4449" s="81"/>
      <c r="L4449" s="499"/>
      <c r="M4449" s="73"/>
      <c r="N4449" s="499"/>
      <c r="O4449" s="73"/>
      <c r="P4449" s="73"/>
      <c r="Q4449" s="73"/>
      <c r="R4449" s="176"/>
      <c r="S4449" s="176"/>
      <c r="T4449" s="176"/>
      <c r="U4449" s="400"/>
      <c r="V4449" s="400"/>
      <c r="W4449" s="732"/>
      <c r="X4449" s="167"/>
      <c r="Y4449" s="509"/>
      <c r="Z4449" s="466"/>
      <c r="AA4449" s="466"/>
      <c r="AB4449" s="466"/>
      <c r="AC4449" s="466"/>
      <c r="AD4449" s="466"/>
      <c r="AE4449" s="466"/>
      <c r="AF4449" s="466"/>
      <c r="AG4449" s="466"/>
      <c r="AH4449" s="466"/>
      <c r="AI4449" s="466"/>
      <c r="AJ4449" s="466"/>
      <c r="AK4449" s="466"/>
      <c r="AL4449" s="466"/>
      <c r="AM4449" s="466"/>
      <c r="AN4449" s="466"/>
      <c r="AO4449" s="466"/>
      <c r="AP4449" s="466"/>
      <c r="AQ4449" s="466"/>
      <c r="AR4449" s="466"/>
      <c r="AS4449" s="466"/>
      <c r="AT4449" s="466"/>
      <c r="AU4449" s="466"/>
      <c r="AV4449" s="466"/>
      <c r="AW4449" s="466"/>
      <c r="AX4449" s="466"/>
      <c r="AY4449" s="466"/>
      <c r="AZ4449" s="466"/>
      <c r="BA4449" s="466"/>
      <c r="BB4449" s="466"/>
      <c r="BC4449" s="466"/>
      <c r="BD4449" s="466"/>
      <c r="BE4449" s="467"/>
      <c r="BF4449" s="467"/>
      <c r="BG4449" s="466"/>
      <c r="BH4449" s="466"/>
      <c r="BI4449" s="467"/>
      <c r="BJ4449" s="467"/>
      <c r="BK4449" s="467"/>
      <c r="BL4449" s="467"/>
      <c r="BM4449" s="467"/>
      <c r="BN4449" s="467"/>
      <c r="BO4449" s="467"/>
      <c r="BP4449" s="467"/>
      <c r="BQ4449" s="467"/>
      <c r="BR4449" s="467"/>
      <c r="BS4449" s="467"/>
      <c r="BT4449" s="467"/>
      <c r="BU4449" s="467"/>
      <c r="BV4449" s="467"/>
      <c r="BW4449" s="467"/>
      <c r="BX4449" s="769"/>
      <c r="BY4449" s="769"/>
      <c r="BZ4449" s="769"/>
      <c r="CA4449" s="769"/>
      <c r="CB4449" s="769"/>
      <c r="CC4449" s="769"/>
      <c r="CD4449" s="769"/>
      <c r="CE4449" s="769"/>
      <c r="CF4449" s="769"/>
      <c r="CG4449" s="73"/>
      <c r="CH4449" s="438"/>
      <c r="CI4449" s="416"/>
      <c r="CJ4449" s="73"/>
      <c r="CK4449" s="650"/>
      <c r="CL4449" s="499"/>
      <c r="CM4449" s="650"/>
      <c r="CR4449" s="416"/>
      <c r="CS4449" s="650"/>
      <c r="CU4449" s="73"/>
      <c r="CV4449" s="73"/>
      <c r="CW4449" s="73"/>
      <c r="CX4449" s="73"/>
      <c r="DA4449" s="650"/>
    </row>
    <row r="4450" spans="1:105" s="45" customFormat="1" x14ac:dyDescent="0.2">
      <c r="A4450" s="650"/>
      <c r="B4450" s="438"/>
      <c r="D4450" s="73"/>
      <c r="E4450" s="650"/>
      <c r="F4450" s="650"/>
      <c r="G4450" s="73"/>
      <c r="I4450" s="111"/>
      <c r="J4450" s="81"/>
      <c r="K4450" s="81"/>
      <c r="L4450" s="499"/>
      <c r="M4450" s="73"/>
      <c r="N4450" s="499"/>
      <c r="O4450" s="73"/>
      <c r="P4450" s="73"/>
      <c r="Q4450" s="73"/>
      <c r="R4450" s="176"/>
      <c r="S4450" s="176"/>
      <c r="T4450" s="176"/>
      <c r="U4450" s="400"/>
      <c r="V4450" s="400"/>
      <c r="W4450" s="732"/>
      <c r="X4450" s="167"/>
      <c r="Y4450" s="509"/>
      <c r="Z4450" s="466"/>
      <c r="AA4450" s="466"/>
      <c r="AB4450" s="466"/>
      <c r="AC4450" s="466"/>
      <c r="AD4450" s="466"/>
      <c r="AE4450" s="466"/>
      <c r="AF4450" s="466"/>
      <c r="AG4450" s="466"/>
      <c r="AH4450" s="466"/>
      <c r="AI4450" s="466"/>
      <c r="AJ4450" s="466"/>
      <c r="AK4450" s="466"/>
      <c r="AL4450" s="466"/>
      <c r="AM4450" s="466"/>
      <c r="AN4450" s="466"/>
      <c r="AO4450" s="466"/>
      <c r="AP4450" s="466"/>
      <c r="AQ4450" s="466"/>
      <c r="AR4450" s="466"/>
      <c r="AS4450" s="466"/>
      <c r="AT4450" s="466"/>
      <c r="AU4450" s="466"/>
      <c r="AV4450" s="466"/>
      <c r="AW4450" s="466"/>
      <c r="AX4450" s="466"/>
      <c r="AY4450" s="466"/>
      <c r="AZ4450" s="466"/>
      <c r="BA4450" s="466"/>
      <c r="BB4450" s="466"/>
      <c r="BC4450" s="466"/>
      <c r="BD4450" s="466"/>
      <c r="BE4450" s="467"/>
      <c r="BF4450" s="467"/>
      <c r="BG4450" s="466"/>
      <c r="BH4450" s="466"/>
      <c r="BI4450" s="467"/>
      <c r="BJ4450" s="467"/>
      <c r="BK4450" s="467"/>
      <c r="BL4450" s="467"/>
      <c r="BM4450" s="467"/>
      <c r="BN4450" s="467"/>
      <c r="BO4450" s="467"/>
      <c r="BP4450" s="467"/>
      <c r="BQ4450" s="467"/>
      <c r="BR4450" s="467"/>
      <c r="BS4450" s="467"/>
      <c r="BT4450" s="467"/>
      <c r="BU4450" s="467"/>
      <c r="BV4450" s="467"/>
      <c r="BW4450" s="467"/>
      <c r="BX4450" s="769"/>
      <c r="BY4450" s="769"/>
      <c r="BZ4450" s="769"/>
      <c r="CA4450" s="769"/>
      <c r="CB4450" s="769"/>
      <c r="CC4450" s="769"/>
      <c r="CD4450" s="769"/>
      <c r="CE4450" s="769"/>
      <c r="CF4450" s="769"/>
      <c r="CG4450" s="73"/>
      <c r="CH4450" s="438"/>
      <c r="CI4450" s="416"/>
      <c r="CJ4450" s="73"/>
      <c r="CK4450" s="650"/>
      <c r="CL4450" s="499"/>
      <c r="CM4450" s="650"/>
      <c r="CR4450" s="416"/>
      <c r="CS4450" s="650"/>
      <c r="CU4450" s="73"/>
      <c r="CV4450" s="73"/>
      <c r="CW4450" s="73"/>
      <c r="CX4450" s="73"/>
      <c r="DA4450" s="650"/>
    </row>
    <row r="4451" spans="1:105" s="45" customFormat="1" x14ac:dyDescent="0.2">
      <c r="A4451" s="650"/>
      <c r="B4451" s="438"/>
      <c r="D4451" s="73"/>
      <c r="E4451" s="650"/>
      <c r="F4451" s="650"/>
      <c r="G4451" s="73"/>
      <c r="I4451" s="111"/>
      <c r="J4451" s="81"/>
      <c r="K4451" s="81"/>
      <c r="L4451" s="499"/>
      <c r="M4451" s="73"/>
      <c r="N4451" s="499"/>
      <c r="O4451" s="73"/>
      <c r="P4451" s="73"/>
      <c r="Q4451" s="73"/>
      <c r="R4451" s="176"/>
      <c r="S4451" s="176"/>
      <c r="T4451" s="176"/>
      <c r="U4451" s="400"/>
      <c r="V4451" s="400"/>
      <c r="W4451" s="732"/>
      <c r="X4451" s="167"/>
      <c r="Y4451" s="509"/>
      <c r="Z4451" s="466"/>
      <c r="AA4451" s="466"/>
      <c r="AB4451" s="466"/>
      <c r="AC4451" s="466"/>
      <c r="AD4451" s="466"/>
      <c r="AE4451" s="466"/>
      <c r="AF4451" s="466"/>
      <c r="AG4451" s="466"/>
      <c r="AH4451" s="466"/>
      <c r="AI4451" s="466"/>
      <c r="AJ4451" s="466"/>
      <c r="AK4451" s="466"/>
      <c r="AL4451" s="466"/>
      <c r="AM4451" s="466"/>
      <c r="AN4451" s="466"/>
      <c r="AO4451" s="466"/>
      <c r="AP4451" s="466"/>
      <c r="AQ4451" s="466"/>
      <c r="AR4451" s="466"/>
      <c r="AS4451" s="466"/>
      <c r="AT4451" s="466"/>
      <c r="AU4451" s="466"/>
      <c r="AV4451" s="466"/>
      <c r="AW4451" s="466"/>
      <c r="AX4451" s="466"/>
      <c r="AY4451" s="466"/>
      <c r="AZ4451" s="466"/>
      <c r="BA4451" s="466"/>
      <c r="BB4451" s="466"/>
      <c r="BC4451" s="466"/>
      <c r="BD4451" s="466"/>
      <c r="BE4451" s="467"/>
      <c r="BF4451" s="467"/>
      <c r="BG4451" s="466"/>
      <c r="BH4451" s="466"/>
      <c r="BI4451" s="467"/>
      <c r="BJ4451" s="467"/>
      <c r="BK4451" s="467"/>
      <c r="BL4451" s="467"/>
      <c r="BM4451" s="467"/>
      <c r="BN4451" s="467"/>
      <c r="BO4451" s="467"/>
      <c r="BP4451" s="467"/>
      <c r="BQ4451" s="467"/>
      <c r="BR4451" s="467"/>
      <c r="BS4451" s="467"/>
      <c r="BT4451" s="467"/>
      <c r="BU4451" s="467"/>
      <c r="BV4451" s="467"/>
      <c r="BW4451" s="467"/>
      <c r="BX4451" s="769"/>
      <c r="BY4451" s="769"/>
      <c r="BZ4451" s="769"/>
      <c r="CA4451" s="769"/>
      <c r="CB4451" s="769"/>
      <c r="CC4451" s="769"/>
      <c r="CD4451" s="769"/>
      <c r="CE4451" s="769"/>
      <c r="CF4451" s="769"/>
      <c r="CG4451" s="73"/>
      <c r="CH4451" s="438"/>
      <c r="CI4451" s="416"/>
      <c r="CJ4451" s="73"/>
      <c r="CK4451" s="650"/>
      <c r="CL4451" s="499"/>
      <c r="CM4451" s="650"/>
      <c r="CR4451" s="416"/>
      <c r="CS4451" s="650"/>
      <c r="CU4451" s="73"/>
      <c r="CV4451" s="73"/>
      <c r="CW4451" s="73"/>
      <c r="CX4451" s="73"/>
      <c r="DA4451" s="650"/>
    </row>
    <row r="4452" spans="1:105" s="45" customFormat="1" x14ac:dyDescent="0.2">
      <c r="A4452" s="650"/>
      <c r="B4452" s="438"/>
      <c r="D4452" s="73"/>
      <c r="E4452" s="650"/>
      <c r="F4452" s="650"/>
      <c r="G4452" s="73"/>
      <c r="I4452" s="111"/>
      <c r="J4452" s="81"/>
      <c r="K4452" s="81"/>
      <c r="L4452" s="499"/>
      <c r="M4452" s="73"/>
      <c r="N4452" s="499"/>
      <c r="O4452" s="73"/>
      <c r="P4452" s="73"/>
      <c r="Q4452" s="73"/>
      <c r="R4452" s="176"/>
      <c r="S4452" s="176"/>
      <c r="T4452" s="176"/>
      <c r="U4452" s="400"/>
      <c r="V4452" s="400"/>
      <c r="W4452" s="732"/>
      <c r="X4452" s="167"/>
      <c r="Y4452" s="509"/>
      <c r="Z4452" s="466"/>
      <c r="AA4452" s="466"/>
      <c r="AB4452" s="466"/>
      <c r="AC4452" s="466"/>
      <c r="AD4452" s="466"/>
      <c r="AE4452" s="466"/>
      <c r="AF4452" s="466"/>
      <c r="AG4452" s="466"/>
      <c r="AH4452" s="466"/>
      <c r="AI4452" s="466"/>
      <c r="AJ4452" s="466"/>
      <c r="AK4452" s="466"/>
      <c r="AL4452" s="466"/>
      <c r="AM4452" s="466"/>
      <c r="AN4452" s="466"/>
      <c r="AO4452" s="466"/>
      <c r="AP4452" s="466"/>
      <c r="AQ4452" s="466"/>
      <c r="AR4452" s="466"/>
      <c r="AS4452" s="466"/>
      <c r="AT4452" s="466"/>
      <c r="AU4452" s="466"/>
      <c r="AV4452" s="466"/>
      <c r="AW4452" s="466"/>
      <c r="AX4452" s="466"/>
      <c r="AY4452" s="466"/>
      <c r="AZ4452" s="466"/>
      <c r="BA4452" s="466"/>
      <c r="BB4452" s="466"/>
      <c r="BC4452" s="466"/>
      <c r="BD4452" s="466"/>
      <c r="BE4452" s="467"/>
      <c r="BF4452" s="467"/>
      <c r="BG4452" s="466"/>
      <c r="BH4452" s="466"/>
      <c r="BI4452" s="467"/>
      <c r="BJ4452" s="467"/>
      <c r="BK4452" s="467"/>
      <c r="BL4452" s="467"/>
      <c r="BM4452" s="467"/>
      <c r="BN4452" s="467"/>
      <c r="BO4452" s="467"/>
      <c r="BP4452" s="467"/>
      <c r="BQ4452" s="467"/>
      <c r="BR4452" s="467"/>
      <c r="BS4452" s="467"/>
      <c r="BT4452" s="467"/>
      <c r="BU4452" s="467"/>
      <c r="BV4452" s="467"/>
      <c r="BW4452" s="467"/>
      <c r="BX4452" s="769"/>
      <c r="BY4452" s="769"/>
      <c r="BZ4452" s="769"/>
      <c r="CA4452" s="769"/>
      <c r="CB4452" s="769"/>
      <c r="CC4452" s="769"/>
      <c r="CD4452" s="769"/>
      <c r="CE4452" s="769"/>
      <c r="CF4452" s="769"/>
      <c r="CG4452" s="73"/>
      <c r="CH4452" s="438"/>
      <c r="CI4452" s="416"/>
      <c r="CJ4452" s="73"/>
      <c r="CK4452" s="650"/>
      <c r="CL4452" s="499"/>
      <c r="CM4452" s="650"/>
      <c r="CR4452" s="416"/>
      <c r="CS4452" s="650"/>
      <c r="CU4452" s="73"/>
      <c r="CV4452" s="73"/>
      <c r="CW4452" s="73"/>
      <c r="CX4452" s="73"/>
      <c r="DA4452" s="650"/>
    </row>
    <row r="4453" spans="1:105" s="45" customFormat="1" x14ac:dyDescent="0.2">
      <c r="A4453" s="650"/>
      <c r="B4453" s="438"/>
      <c r="D4453" s="73"/>
      <c r="E4453" s="650"/>
      <c r="F4453" s="650"/>
      <c r="G4453" s="73"/>
      <c r="I4453" s="111"/>
      <c r="J4453" s="81"/>
      <c r="K4453" s="81"/>
      <c r="L4453" s="499"/>
      <c r="M4453" s="73"/>
      <c r="N4453" s="499"/>
      <c r="O4453" s="73"/>
      <c r="P4453" s="73"/>
      <c r="Q4453" s="73"/>
      <c r="R4453" s="176"/>
      <c r="S4453" s="176"/>
      <c r="T4453" s="176"/>
      <c r="U4453" s="400"/>
      <c r="V4453" s="400"/>
      <c r="W4453" s="732"/>
      <c r="X4453" s="167"/>
      <c r="Y4453" s="509"/>
      <c r="Z4453" s="466"/>
      <c r="AA4453" s="466"/>
      <c r="AB4453" s="466"/>
      <c r="AC4453" s="466"/>
      <c r="AD4453" s="466"/>
      <c r="AE4453" s="466"/>
      <c r="AF4453" s="466"/>
      <c r="AG4453" s="466"/>
      <c r="AH4453" s="466"/>
      <c r="AI4453" s="466"/>
      <c r="AJ4453" s="466"/>
      <c r="AK4453" s="466"/>
      <c r="AL4453" s="466"/>
      <c r="AM4453" s="466"/>
      <c r="AN4453" s="466"/>
      <c r="AO4453" s="466"/>
      <c r="AP4453" s="466"/>
      <c r="AQ4453" s="466"/>
      <c r="AR4453" s="466"/>
      <c r="AS4453" s="466"/>
      <c r="AT4453" s="466"/>
      <c r="AU4453" s="466"/>
      <c r="AV4453" s="466"/>
      <c r="AW4453" s="466"/>
      <c r="AX4453" s="466"/>
      <c r="AY4453" s="466"/>
      <c r="AZ4453" s="466"/>
      <c r="BA4453" s="466"/>
      <c r="BB4453" s="466"/>
      <c r="BC4453" s="466"/>
      <c r="BD4453" s="466"/>
      <c r="BE4453" s="467"/>
      <c r="BF4453" s="467"/>
      <c r="BG4453" s="466"/>
      <c r="BH4453" s="466"/>
      <c r="BI4453" s="467"/>
      <c r="BJ4453" s="467"/>
      <c r="BK4453" s="467"/>
      <c r="BL4453" s="467"/>
      <c r="BM4453" s="467"/>
      <c r="BN4453" s="467"/>
      <c r="BO4453" s="467"/>
      <c r="BP4453" s="467"/>
      <c r="BQ4453" s="467"/>
      <c r="BR4453" s="467"/>
      <c r="BS4453" s="467"/>
      <c r="BT4453" s="467"/>
      <c r="BU4453" s="467"/>
      <c r="BV4453" s="467"/>
      <c r="BW4453" s="467"/>
      <c r="BX4453" s="769"/>
      <c r="BY4453" s="769"/>
      <c r="BZ4453" s="769"/>
      <c r="CA4453" s="769"/>
      <c r="CB4453" s="769"/>
      <c r="CC4453" s="769"/>
      <c r="CD4453" s="769"/>
      <c r="CE4453" s="769"/>
      <c r="CF4453" s="769"/>
      <c r="CG4453" s="73"/>
      <c r="CH4453" s="438"/>
      <c r="CI4453" s="416"/>
      <c r="CJ4453" s="73"/>
      <c r="CK4453" s="650"/>
      <c r="CL4453" s="499"/>
      <c r="CM4453" s="650"/>
      <c r="CR4453" s="416"/>
      <c r="CS4453" s="650"/>
      <c r="CU4453" s="73"/>
      <c r="CV4453" s="73"/>
      <c r="CW4453" s="73"/>
      <c r="CX4453" s="73"/>
      <c r="DA4453" s="650"/>
    </row>
    <row r="4454" spans="1:105" s="45" customFormat="1" x14ac:dyDescent="0.2">
      <c r="A4454" s="650"/>
      <c r="B4454" s="438"/>
      <c r="D4454" s="73"/>
      <c r="E4454" s="650"/>
      <c r="F4454" s="650"/>
      <c r="G4454" s="73"/>
      <c r="I4454" s="111"/>
      <c r="J4454" s="81"/>
      <c r="K4454" s="81"/>
      <c r="L4454" s="499"/>
      <c r="M4454" s="73"/>
      <c r="N4454" s="499"/>
      <c r="O4454" s="73"/>
      <c r="P4454" s="73"/>
      <c r="Q4454" s="73"/>
      <c r="R4454" s="176"/>
      <c r="S4454" s="176"/>
      <c r="T4454" s="176"/>
      <c r="U4454" s="400"/>
      <c r="V4454" s="400"/>
      <c r="W4454" s="732"/>
      <c r="X4454" s="167"/>
      <c r="Y4454" s="509"/>
      <c r="Z4454" s="466"/>
      <c r="AA4454" s="466"/>
      <c r="AB4454" s="466"/>
      <c r="AC4454" s="466"/>
      <c r="AD4454" s="466"/>
      <c r="AE4454" s="466"/>
      <c r="AF4454" s="466"/>
      <c r="AG4454" s="466"/>
      <c r="AH4454" s="466"/>
      <c r="AI4454" s="466"/>
      <c r="AJ4454" s="466"/>
      <c r="AK4454" s="466"/>
      <c r="AL4454" s="466"/>
      <c r="AM4454" s="466"/>
      <c r="AN4454" s="466"/>
      <c r="AO4454" s="466"/>
      <c r="AP4454" s="466"/>
      <c r="AQ4454" s="466"/>
      <c r="AR4454" s="466"/>
      <c r="AS4454" s="466"/>
      <c r="AT4454" s="466"/>
      <c r="AU4454" s="466"/>
      <c r="AV4454" s="466"/>
      <c r="AW4454" s="466"/>
      <c r="AX4454" s="466"/>
      <c r="AY4454" s="466"/>
      <c r="AZ4454" s="466"/>
      <c r="BA4454" s="466"/>
      <c r="BB4454" s="466"/>
      <c r="BC4454" s="466"/>
      <c r="BD4454" s="466"/>
      <c r="BE4454" s="467"/>
      <c r="BF4454" s="467"/>
      <c r="BG4454" s="466"/>
      <c r="BH4454" s="466"/>
      <c r="BI4454" s="467"/>
      <c r="BJ4454" s="467"/>
      <c r="BK4454" s="467"/>
      <c r="BL4454" s="467"/>
      <c r="BM4454" s="467"/>
      <c r="BN4454" s="467"/>
      <c r="BO4454" s="467"/>
      <c r="BP4454" s="467"/>
      <c r="BQ4454" s="467"/>
      <c r="BR4454" s="467"/>
      <c r="BS4454" s="467"/>
      <c r="BT4454" s="467"/>
      <c r="BU4454" s="467"/>
      <c r="BV4454" s="467"/>
      <c r="BW4454" s="467"/>
      <c r="BX4454" s="769"/>
      <c r="BY4454" s="769"/>
      <c r="BZ4454" s="769"/>
      <c r="CA4454" s="769"/>
      <c r="CB4454" s="769"/>
      <c r="CC4454" s="769"/>
      <c r="CD4454" s="769"/>
      <c r="CE4454" s="769"/>
      <c r="CF4454" s="769"/>
      <c r="CG4454" s="73"/>
      <c r="CH4454" s="438"/>
      <c r="CI4454" s="416"/>
      <c r="CJ4454" s="73"/>
      <c r="CK4454" s="650"/>
      <c r="CL4454" s="499"/>
      <c r="CM4454" s="650"/>
      <c r="CR4454" s="416"/>
      <c r="CS4454" s="650"/>
      <c r="CU4454" s="73"/>
      <c r="CV4454" s="73"/>
      <c r="CW4454" s="73"/>
      <c r="CX4454" s="73"/>
      <c r="DA4454" s="650"/>
    </row>
    <row r="4455" spans="1:105" s="45" customFormat="1" x14ac:dyDescent="0.2">
      <c r="A4455" s="650"/>
      <c r="B4455" s="438"/>
      <c r="D4455" s="73"/>
      <c r="E4455" s="650"/>
      <c r="F4455" s="650"/>
      <c r="G4455" s="73"/>
      <c r="I4455" s="111"/>
      <c r="J4455" s="81"/>
      <c r="K4455" s="81"/>
      <c r="L4455" s="499"/>
      <c r="M4455" s="73"/>
      <c r="N4455" s="499"/>
      <c r="O4455" s="73"/>
      <c r="P4455" s="73"/>
      <c r="Q4455" s="73"/>
      <c r="R4455" s="176"/>
      <c r="S4455" s="176"/>
      <c r="T4455" s="176"/>
      <c r="U4455" s="400"/>
      <c r="V4455" s="400"/>
      <c r="W4455" s="732"/>
      <c r="X4455" s="167"/>
      <c r="Y4455" s="509"/>
      <c r="Z4455" s="466"/>
      <c r="AA4455" s="466"/>
      <c r="AB4455" s="466"/>
      <c r="AC4455" s="466"/>
      <c r="AD4455" s="466"/>
      <c r="AE4455" s="466"/>
      <c r="AF4455" s="466"/>
      <c r="AG4455" s="466"/>
      <c r="AH4455" s="466"/>
      <c r="AI4455" s="466"/>
      <c r="AJ4455" s="466"/>
      <c r="AK4455" s="466"/>
      <c r="AL4455" s="466"/>
      <c r="AM4455" s="466"/>
      <c r="AN4455" s="466"/>
      <c r="AO4455" s="466"/>
      <c r="AP4455" s="466"/>
      <c r="AQ4455" s="466"/>
      <c r="AR4455" s="466"/>
      <c r="AS4455" s="466"/>
      <c r="AT4455" s="466"/>
      <c r="AU4455" s="466"/>
      <c r="AV4455" s="466"/>
      <c r="AW4455" s="466"/>
      <c r="AX4455" s="466"/>
      <c r="AY4455" s="466"/>
      <c r="AZ4455" s="466"/>
      <c r="BA4455" s="466"/>
      <c r="BB4455" s="466"/>
      <c r="BC4455" s="466"/>
      <c r="BD4455" s="466"/>
      <c r="BE4455" s="467"/>
      <c r="BF4455" s="467"/>
      <c r="BG4455" s="466"/>
      <c r="BH4455" s="466"/>
      <c r="BI4455" s="467"/>
      <c r="BJ4455" s="467"/>
      <c r="BK4455" s="467"/>
      <c r="BL4455" s="467"/>
      <c r="BM4455" s="467"/>
      <c r="BN4455" s="467"/>
      <c r="BO4455" s="467"/>
      <c r="BP4455" s="467"/>
      <c r="BQ4455" s="467"/>
      <c r="BR4455" s="467"/>
      <c r="BS4455" s="467"/>
      <c r="BT4455" s="467"/>
      <c r="BU4455" s="467"/>
      <c r="BV4455" s="467"/>
      <c r="BW4455" s="467"/>
      <c r="BX4455" s="769"/>
      <c r="BY4455" s="769"/>
      <c r="BZ4455" s="769"/>
      <c r="CA4455" s="769"/>
      <c r="CB4455" s="769"/>
      <c r="CC4455" s="769"/>
      <c r="CD4455" s="769"/>
      <c r="CE4455" s="769"/>
      <c r="CF4455" s="769"/>
      <c r="CG4455" s="73"/>
      <c r="CH4455" s="438"/>
      <c r="CI4455" s="416"/>
      <c r="CJ4455" s="73"/>
      <c r="CK4455" s="650"/>
      <c r="CL4455" s="499"/>
      <c r="CM4455" s="650"/>
      <c r="CR4455" s="416"/>
      <c r="CS4455" s="650"/>
      <c r="CU4455" s="73"/>
      <c r="CV4455" s="73"/>
      <c r="CW4455" s="73"/>
      <c r="CX4455" s="73"/>
      <c r="DA4455" s="650"/>
    </row>
    <row r="4456" spans="1:105" s="45" customFormat="1" x14ac:dyDescent="0.2">
      <c r="A4456" s="650"/>
      <c r="B4456" s="438"/>
      <c r="D4456" s="73"/>
      <c r="E4456" s="650"/>
      <c r="F4456" s="650"/>
      <c r="G4456" s="73"/>
      <c r="I4456" s="111"/>
      <c r="J4456" s="81"/>
      <c r="K4456" s="81"/>
      <c r="L4456" s="499"/>
      <c r="M4456" s="73"/>
      <c r="N4456" s="499"/>
      <c r="O4456" s="73"/>
      <c r="P4456" s="73"/>
      <c r="Q4456" s="73"/>
      <c r="R4456" s="176"/>
      <c r="S4456" s="176"/>
      <c r="T4456" s="176"/>
      <c r="U4456" s="400"/>
      <c r="V4456" s="400"/>
      <c r="W4456" s="732"/>
      <c r="X4456" s="167"/>
      <c r="Y4456" s="509"/>
      <c r="Z4456" s="466"/>
      <c r="AA4456" s="466"/>
      <c r="AB4456" s="466"/>
      <c r="AC4456" s="466"/>
      <c r="AD4456" s="466"/>
      <c r="AE4456" s="466"/>
      <c r="AF4456" s="466"/>
      <c r="AG4456" s="466"/>
      <c r="AH4456" s="466"/>
      <c r="AI4456" s="466"/>
      <c r="AJ4456" s="466"/>
      <c r="AK4456" s="466"/>
      <c r="AL4456" s="466"/>
      <c r="AM4456" s="466"/>
      <c r="AN4456" s="466"/>
      <c r="AO4456" s="466"/>
      <c r="AP4456" s="466"/>
      <c r="AQ4456" s="466"/>
      <c r="AR4456" s="466"/>
      <c r="AS4456" s="466"/>
      <c r="AT4456" s="466"/>
      <c r="AU4456" s="466"/>
      <c r="AV4456" s="466"/>
      <c r="AW4456" s="466"/>
      <c r="AX4456" s="466"/>
      <c r="AY4456" s="466"/>
      <c r="AZ4456" s="466"/>
      <c r="BA4456" s="466"/>
      <c r="BB4456" s="466"/>
      <c r="BC4456" s="466"/>
      <c r="BD4456" s="466"/>
      <c r="BE4456" s="467"/>
      <c r="BF4456" s="467"/>
      <c r="BG4456" s="466"/>
      <c r="BH4456" s="466"/>
      <c r="BI4456" s="467"/>
      <c r="BJ4456" s="467"/>
      <c r="BK4456" s="467"/>
      <c r="BL4456" s="467"/>
      <c r="BM4456" s="467"/>
      <c r="BN4456" s="467"/>
      <c r="BO4456" s="467"/>
      <c r="BP4456" s="467"/>
      <c r="BQ4456" s="467"/>
      <c r="BR4456" s="467"/>
      <c r="BS4456" s="467"/>
      <c r="BT4456" s="467"/>
      <c r="BU4456" s="467"/>
      <c r="BV4456" s="467"/>
      <c r="BW4456" s="467"/>
      <c r="BX4456" s="769"/>
      <c r="BY4456" s="769"/>
      <c r="BZ4456" s="769"/>
      <c r="CA4456" s="769"/>
      <c r="CB4456" s="769"/>
      <c r="CC4456" s="769"/>
      <c r="CD4456" s="769"/>
      <c r="CE4456" s="769"/>
      <c r="CF4456" s="769"/>
      <c r="CG4456" s="73"/>
      <c r="CH4456" s="438"/>
      <c r="CI4456" s="416"/>
      <c r="CJ4456" s="73"/>
      <c r="CK4456" s="650"/>
      <c r="CL4456" s="499"/>
      <c r="CM4456" s="650"/>
      <c r="CR4456" s="416"/>
      <c r="CS4456" s="650"/>
      <c r="CU4456" s="73"/>
      <c r="CV4456" s="73"/>
      <c r="CW4456" s="73"/>
      <c r="CX4456" s="73"/>
      <c r="DA4456" s="650"/>
    </row>
    <row r="4457" spans="1:105" s="45" customFormat="1" x14ac:dyDescent="0.2">
      <c r="A4457" s="650"/>
      <c r="B4457" s="438"/>
      <c r="D4457" s="73"/>
      <c r="E4457" s="650"/>
      <c r="F4457" s="650"/>
      <c r="G4457" s="73"/>
      <c r="I4457" s="111"/>
      <c r="J4457" s="81"/>
      <c r="K4457" s="81"/>
      <c r="L4457" s="499"/>
      <c r="M4457" s="73"/>
      <c r="N4457" s="499"/>
      <c r="O4457" s="73"/>
      <c r="P4457" s="73"/>
      <c r="Q4457" s="73"/>
      <c r="R4457" s="176"/>
      <c r="S4457" s="176"/>
      <c r="T4457" s="176"/>
      <c r="U4457" s="400"/>
      <c r="V4457" s="400"/>
      <c r="W4457" s="732"/>
      <c r="X4457" s="167"/>
      <c r="Y4457" s="509"/>
      <c r="Z4457" s="466"/>
      <c r="AA4457" s="466"/>
      <c r="AB4457" s="466"/>
      <c r="AC4457" s="466"/>
      <c r="AD4457" s="466"/>
      <c r="AE4457" s="466"/>
      <c r="AF4457" s="466"/>
      <c r="AG4457" s="466"/>
      <c r="AH4457" s="466"/>
      <c r="AI4457" s="466"/>
      <c r="AJ4457" s="466"/>
      <c r="AK4457" s="466"/>
      <c r="AL4457" s="466"/>
      <c r="AM4457" s="466"/>
      <c r="AN4457" s="466"/>
      <c r="AO4457" s="466"/>
      <c r="AP4457" s="466"/>
      <c r="AQ4457" s="466"/>
      <c r="AR4457" s="466"/>
      <c r="AS4457" s="466"/>
      <c r="AT4457" s="466"/>
      <c r="AU4457" s="466"/>
      <c r="AV4457" s="466"/>
      <c r="AW4457" s="466"/>
      <c r="AX4457" s="466"/>
      <c r="AY4457" s="466"/>
      <c r="AZ4457" s="466"/>
      <c r="BA4457" s="466"/>
      <c r="BB4457" s="466"/>
      <c r="BC4457" s="466"/>
      <c r="BD4457" s="466"/>
      <c r="BE4457" s="467"/>
      <c r="BF4457" s="467"/>
      <c r="BG4457" s="466"/>
      <c r="BH4457" s="466"/>
      <c r="BI4457" s="467"/>
      <c r="BJ4457" s="467"/>
      <c r="BK4457" s="467"/>
      <c r="BL4457" s="467"/>
      <c r="BM4457" s="467"/>
      <c r="BN4457" s="467"/>
      <c r="BO4457" s="467"/>
      <c r="BP4457" s="467"/>
      <c r="BQ4457" s="467"/>
      <c r="BR4457" s="467"/>
      <c r="BS4457" s="467"/>
      <c r="BT4457" s="467"/>
      <c r="BU4457" s="467"/>
      <c r="BV4457" s="467"/>
      <c r="BW4457" s="467"/>
      <c r="BX4457" s="769"/>
      <c r="BY4457" s="769"/>
      <c r="BZ4457" s="769"/>
      <c r="CA4457" s="769"/>
      <c r="CB4457" s="769"/>
      <c r="CC4457" s="769"/>
      <c r="CD4457" s="769"/>
      <c r="CE4457" s="769"/>
      <c r="CF4457" s="769"/>
      <c r="CG4457" s="73"/>
      <c r="CH4457" s="438"/>
      <c r="CI4457" s="416"/>
      <c r="CJ4457" s="73"/>
      <c r="CK4457" s="650"/>
      <c r="CL4457" s="499"/>
      <c r="CM4457" s="650"/>
      <c r="CR4457" s="416"/>
      <c r="CS4457" s="650"/>
      <c r="CU4457" s="73"/>
      <c r="CV4457" s="73"/>
      <c r="CW4457" s="73"/>
      <c r="CX4457" s="73"/>
      <c r="DA4457" s="650"/>
    </row>
    <row r="4458" spans="1:105" s="45" customFormat="1" x14ac:dyDescent="0.2">
      <c r="A4458" s="650"/>
      <c r="B4458" s="438"/>
      <c r="D4458" s="73"/>
      <c r="E4458" s="650"/>
      <c r="F4458" s="650"/>
      <c r="G4458" s="73"/>
      <c r="I4458" s="111"/>
      <c r="J4458" s="81"/>
      <c r="K4458" s="81"/>
      <c r="L4458" s="499"/>
      <c r="M4458" s="73"/>
      <c r="N4458" s="499"/>
      <c r="O4458" s="73"/>
      <c r="P4458" s="73"/>
      <c r="Q4458" s="73"/>
      <c r="R4458" s="176"/>
      <c r="S4458" s="176"/>
      <c r="T4458" s="176"/>
      <c r="U4458" s="400"/>
      <c r="V4458" s="400"/>
      <c r="W4458" s="732"/>
      <c r="X4458" s="167"/>
      <c r="Y4458" s="509"/>
      <c r="Z4458" s="466"/>
      <c r="AA4458" s="466"/>
      <c r="AB4458" s="466"/>
      <c r="AC4458" s="466"/>
      <c r="AD4458" s="466"/>
      <c r="AE4458" s="466"/>
      <c r="AF4458" s="466"/>
      <c r="AG4458" s="466"/>
      <c r="AH4458" s="466"/>
      <c r="AI4458" s="466"/>
      <c r="AJ4458" s="466"/>
      <c r="AK4458" s="466"/>
      <c r="AL4458" s="466"/>
      <c r="AM4458" s="466"/>
      <c r="AN4458" s="466"/>
      <c r="AO4458" s="466"/>
      <c r="AP4458" s="466"/>
      <c r="AQ4458" s="466"/>
      <c r="AR4458" s="466"/>
      <c r="AS4458" s="466"/>
      <c r="AT4458" s="466"/>
      <c r="AU4458" s="466"/>
      <c r="AV4458" s="466"/>
      <c r="AW4458" s="466"/>
      <c r="AX4458" s="466"/>
      <c r="AY4458" s="466"/>
      <c r="AZ4458" s="466"/>
      <c r="BA4458" s="466"/>
      <c r="BB4458" s="466"/>
      <c r="BC4458" s="466"/>
      <c r="BD4458" s="466"/>
      <c r="BE4458" s="467"/>
      <c r="BF4458" s="467"/>
      <c r="BG4458" s="466"/>
      <c r="BH4458" s="466"/>
      <c r="BI4458" s="467"/>
      <c r="BJ4458" s="467"/>
      <c r="BK4458" s="467"/>
      <c r="BL4458" s="467"/>
      <c r="BM4458" s="467"/>
      <c r="BN4458" s="467"/>
      <c r="BO4458" s="467"/>
      <c r="BP4458" s="467"/>
      <c r="BQ4458" s="467"/>
      <c r="BR4458" s="467"/>
      <c r="BS4458" s="467"/>
      <c r="BT4458" s="467"/>
      <c r="BU4458" s="467"/>
      <c r="BV4458" s="467"/>
      <c r="BW4458" s="467"/>
      <c r="BX4458" s="769"/>
      <c r="BY4458" s="769"/>
      <c r="BZ4458" s="769"/>
      <c r="CA4458" s="769"/>
      <c r="CB4458" s="769"/>
      <c r="CC4458" s="769"/>
      <c r="CD4458" s="769"/>
      <c r="CE4458" s="769"/>
      <c r="CF4458" s="769"/>
      <c r="CG4458" s="73"/>
      <c r="CH4458" s="438"/>
      <c r="CI4458" s="416"/>
      <c r="CJ4458" s="73"/>
      <c r="CK4458" s="650"/>
      <c r="CL4458" s="499"/>
      <c r="CM4458" s="650"/>
      <c r="CR4458" s="416"/>
      <c r="CS4458" s="650"/>
      <c r="CU4458" s="73"/>
      <c r="CV4458" s="73"/>
      <c r="CW4458" s="73"/>
      <c r="CX4458" s="73"/>
      <c r="DA4458" s="650"/>
    </row>
    <row r="4459" spans="1:105" s="45" customFormat="1" x14ac:dyDescent="0.2">
      <c r="A4459" s="650"/>
      <c r="B4459" s="438"/>
      <c r="D4459" s="73"/>
      <c r="E4459" s="650"/>
      <c r="F4459" s="650"/>
      <c r="G4459" s="73"/>
      <c r="I4459" s="111"/>
      <c r="J4459" s="81"/>
      <c r="K4459" s="81"/>
      <c r="L4459" s="499"/>
      <c r="M4459" s="73"/>
      <c r="N4459" s="499"/>
      <c r="O4459" s="73"/>
      <c r="P4459" s="73"/>
      <c r="Q4459" s="73"/>
      <c r="R4459" s="176"/>
      <c r="S4459" s="176"/>
      <c r="T4459" s="176"/>
      <c r="U4459" s="400"/>
      <c r="V4459" s="400"/>
      <c r="W4459" s="732"/>
      <c r="X4459" s="167"/>
      <c r="Y4459" s="509"/>
      <c r="Z4459" s="466"/>
      <c r="AA4459" s="466"/>
      <c r="AB4459" s="466"/>
      <c r="AC4459" s="466"/>
      <c r="AD4459" s="466"/>
      <c r="AE4459" s="466"/>
      <c r="AF4459" s="466"/>
      <c r="AG4459" s="466"/>
      <c r="AH4459" s="466"/>
      <c r="AI4459" s="466"/>
      <c r="AJ4459" s="466"/>
      <c r="AK4459" s="466"/>
      <c r="AL4459" s="466"/>
      <c r="AM4459" s="466"/>
      <c r="AN4459" s="466"/>
      <c r="AO4459" s="466"/>
      <c r="AP4459" s="466"/>
      <c r="AQ4459" s="466"/>
      <c r="AR4459" s="466"/>
      <c r="AS4459" s="466"/>
      <c r="AT4459" s="466"/>
      <c r="AU4459" s="466"/>
      <c r="AV4459" s="466"/>
      <c r="AW4459" s="466"/>
      <c r="AX4459" s="466"/>
      <c r="AY4459" s="466"/>
      <c r="AZ4459" s="466"/>
      <c r="BA4459" s="466"/>
      <c r="BB4459" s="466"/>
      <c r="BC4459" s="466"/>
      <c r="BD4459" s="466"/>
      <c r="BE4459" s="467"/>
      <c r="BF4459" s="467"/>
      <c r="BG4459" s="466"/>
      <c r="BH4459" s="466"/>
      <c r="BI4459" s="467"/>
      <c r="BJ4459" s="467"/>
      <c r="BK4459" s="467"/>
      <c r="BL4459" s="467"/>
      <c r="BM4459" s="467"/>
      <c r="BN4459" s="467"/>
      <c r="BO4459" s="467"/>
      <c r="BP4459" s="467"/>
      <c r="BQ4459" s="467"/>
      <c r="BR4459" s="467"/>
      <c r="BS4459" s="467"/>
      <c r="BT4459" s="467"/>
      <c r="BU4459" s="467"/>
      <c r="BV4459" s="467"/>
      <c r="BW4459" s="467"/>
      <c r="BX4459" s="769"/>
      <c r="BY4459" s="769"/>
      <c r="BZ4459" s="769"/>
      <c r="CA4459" s="769"/>
      <c r="CB4459" s="769"/>
      <c r="CC4459" s="769"/>
      <c r="CD4459" s="769"/>
      <c r="CE4459" s="769"/>
      <c r="CF4459" s="769"/>
      <c r="CG4459" s="73"/>
      <c r="CH4459" s="438"/>
      <c r="CI4459" s="416"/>
      <c r="CJ4459" s="73"/>
      <c r="CK4459" s="650"/>
      <c r="CL4459" s="499"/>
      <c r="CM4459" s="650"/>
      <c r="CR4459" s="416"/>
      <c r="CS4459" s="650"/>
      <c r="CU4459" s="73"/>
      <c r="CV4459" s="73"/>
      <c r="CW4459" s="73"/>
      <c r="CX4459" s="73"/>
      <c r="DA4459" s="650"/>
    </row>
    <row r="4460" spans="1:105" s="45" customFormat="1" x14ac:dyDescent="0.2">
      <c r="A4460" s="650"/>
      <c r="B4460" s="438"/>
      <c r="D4460" s="73"/>
      <c r="E4460" s="650"/>
      <c r="F4460" s="650"/>
      <c r="G4460" s="73"/>
      <c r="I4460" s="111"/>
      <c r="J4460" s="81"/>
      <c r="K4460" s="81"/>
      <c r="L4460" s="499"/>
      <c r="M4460" s="73"/>
      <c r="N4460" s="499"/>
      <c r="O4460" s="73"/>
      <c r="P4460" s="73"/>
      <c r="Q4460" s="73"/>
      <c r="R4460" s="176"/>
      <c r="S4460" s="176"/>
      <c r="T4460" s="176"/>
      <c r="U4460" s="400"/>
      <c r="V4460" s="400"/>
      <c r="W4460" s="732"/>
      <c r="X4460" s="167"/>
      <c r="Y4460" s="509"/>
      <c r="Z4460" s="466"/>
      <c r="AA4460" s="466"/>
      <c r="AB4460" s="466"/>
      <c r="AC4460" s="466"/>
      <c r="AD4460" s="466"/>
      <c r="AE4460" s="466"/>
      <c r="AF4460" s="466"/>
      <c r="AG4460" s="466"/>
      <c r="AH4460" s="466"/>
      <c r="AI4460" s="466"/>
      <c r="AJ4460" s="466"/>
      <c r="AK4460" s="466"/>
      <c r="AL4460" s="466"/>
      <c r="AM4460" s="466"/>
      <c r="AN4460" s="466"/>
      <c r="AO4460" s="466"/>
      <c r="AP4460" s="466"/>
      <c r="AQ4460" s="466"/>
      <c r="AR4460" s="466"/>
      <c r="AS4460" s="466"/>
      <c r="AT4460" s="466"/>
      <c r="AU4460" s="466"/>
      <c r="AV4460" s="466"/>
      <c r="AW4460" s="466"/>
      <c r="AX4460" s="466"/>
      <c r="AY4460" s="466"/>
      <c r="AZ4460" s="466"/>
      <c r="BA4460" s="466"/>
      <c r="BB4460" s="466"/>
      <c r="BC4460" s="466"/>
      <c r="BD4460" s="466"/>
      <c r="BE4460" s="467"/>
      <c r="BF4460" s="467"/>
      <c r="BG4460" s="466"/>
      <c r="BH4460" s="466"/>
      <c r="BI4460" s="467"/>
      <c r="BJ4460" s="467"/>
      <c r="BK4460" s="467"/>
      <c r="BL4460" s="467"/>
      <c r="BM4460" s="467"/>
      <c r="BN4460" s="467"/>
      <c r="BO4460" s="467"/>
      <c r="BP4460" s="467"/>
      <c r="BQ4460" s="467"/>
      <c r="BR4460" s="467"/>
      <c r="BS4460" s="467"/>
      <c r="BT4460" s="467"/>
      <c r="BU4460" s="467"/>
      <c r="BV4460" s="467"/>
      <c r="BW4460" s="467"/>
      <c r="BX4460" s="769"/>
      <c r="BY4460" s="769"/>
      <c r="BZ4460" s="769"/>
      <c r="CA4460" s="769"/>
      <c r="CB4460" s="769"/>
      <c r="CC4460" s="769"/>
      <c r="CD4460" s="769"/>
      <c r="CE4460" s="769"/>
      <c r="CF4460" s="769"/>
      <c r="CG4460" s="73"/>
      <c r="CH4460" s="438"/>
      <c r="CI4460" s="416"/>
      <c r="CJ4460" s="73"/>
      <c r="CK4460" s="650"/>
      <c r="CL4460" s="499"/>
      <c r="CM4460" s="650"/>
      <c r="CR4460" s="416"/>
      <c r="CS4460" s="650"/>
      <c r="CU4460" s="73"/>
      <c r="CV4460" s="73"/>
      <c r="CW4460" s="73"/>
      <c r="CX4460" s="73"/>
      <c r="DA4460" s="650"/>
    </row>
    <row r="4461" spans="1:105" s="45" customFormat="1" x14ac:dyDescent="0.2">
      <c r="A4461" s="650"/>
      <c r="B4461" s="438"/>
      <c r="D4461" s="73"/>
      <c r="E4461" s="650"/>
      <c r="F4461" s="650"/>
      <c r="G4461" s="73"/>
      <c r="I4461" s="111"/>
      <c r="J4461" s="81"/>
      <c r="K4461" s="81"/>
      <c r="L4461" s="499"/>
      <c r="M4461" s="73"/>
      <c r="N4461" s="499"/>
      <c r="O4461" s="73"/>
      <c r="P4461" s="73"/>
      <c r="Q4461" s="73"/>
      <c r="R4461" s="176"/>
      <c r="S4461" s="176"/>
      <c r="T4461" s="176"/>
      <c r="U4461" s="400"/>
      <c r="V4461" s="400"/>
      <c r="W4461" s="732"/>
      <c r="X4461" s="167"/>
      <c r="Y4461" s="509"/>
      <c r="Z4461" s="466"/>
      <c r="AA4461" s="466"/>
      <c r="AB4461" s="466"/>
      <c r="AC4461" s="466"/>
      <c r="AD4461" s="466"/>
      <c r="AE4461" s="466"/>
      <c r="AF4461" s="466"/>
      <c r="AG4461" s="466"/>
      <c r="AH4461" s="466"/>
      <c r="AI4461" s="466"/>
      <c r="AJ4461" s="466"/>
      <c r="AK4461" s="466"/>
      <c r="AL4461" s="466"/>
      <c r="AM4461" s="466"/>
      <c r="AN4461" s="466"/>
      <c r="AO4461" s="466"/>
      <c r="AP4461" s="466"/>
      <c r="AQ4461" s="466"/>
      <c r="AR4461" s="466"/>
      <c r="AS4461" s="466"/>
      <c r="AT4461" s="466"/>
      <c r="AU4461" s="466"/>
      <c r="AV4461" s="466"/>
      <c r="AW4461" s="466"/>
      <c r="AX4461" s="466"/>
      <c r="AY4461" s="466"/>
      <c r="AZ4461" s="466"/>
      <c r="BA4461" s="466"/>
      <c r="BB4461" s="466"/>
      <c r="BC4461" s="466"/>
      <c r="BD4461" s="466"/>
      <c r="BE4461" s="467"/>
      <c r="BF4461" s="467"/>
      <c r="BG4461" s="466"/>
      <c r="BH4461" s="466"/>
      <c r="BI4461" s="467"/>
      <c r="BJ4461" s="467"/>
      <c r="BK4461" s="467"/>
      <c r="BL4461" s="467"/>
      <c r="BM4461" s="467"/>
      <c r="BN4461" s="467"/>
      <c r="BO4461" s="467"/>
      <c r="BP4461" s="467"/>
      <c r="BQ4461" s="467"/>
      <c r="BR4461" s="467"/>
      <c r="BS4461" s="467"/>
      <c r="BT4461" s="467"/>
      <c r="BU4461" s="467"/>
      <c r="BV4461" s="467"/>
      <c r="BW4461" s="467"/>
      <c r="BX4461" s="769"/>
      <c r="BY4461" s="769"/>
      <c r="BZ4461" s="769"/>
      <c r="CA4461" s="769"/>
      <c r="CB4461" s="769"/>
      <c r="CC4461" s="769"/>
      <c r="CD4461" s="769"/>
      <c r="CE4461" s="769"/>
      <c r="CF4461" s="769"/>
      <c r="CG4461" s="73"/>
      <c r="CH4461" s="438"/>
      <c r="CI4461" s="416"/>
      <c r="CJ4461" s="73"/>
      <c r="CK4461" s="650"/>
      <c r="CL4461" s="499"/>
      <c r="CM4461" s="650"/>
      <c r="CR4461" s="416"/>
      <c r="CS4461" s="650"/>
      <c r="CU4461" s="73"/>
      <c r="CV4461" s="73"/>
      <c r="CW4461" s="73"/>
      <c r="CX4461" s="73"/>
      <c r="DA4461" s="650"/>
    </row>
    <row r="4462" spans="1:105" s="45" customFormat="1" x14ac:dyDescent="0.2">
      <c r="A4462" s="650"/>
      <c r="B4462" s="438"/>
      <c r="D4462" s="73"/>
      <c r="E4462" s="650"/>
      <c r="F4462" s="650"/>
      <c r="G4462" s="73"/>
      <c r="I4462" s="111"/>
      <c r="J4462" s="81"/>
      <c r="K4462" s="81"/>
      <c r="L4462" s="499"/>
      <c r="M4462" s="73"/>
      <c r="N4462" s="499"/>
      <c r="O4462" s="73"/>
      <c r="P4462" s="73"/>
      <c r="Q4462" s="73"/>
      <c r="R4462" s="176"/>
      <c r="S4462" s="176"/>
      <c r="T4462" s="176"/>
      <c r="U4462" s="400"/>
      <c r="V4462" s="400"/>
      <c r="W4462" s="732"/>
      <c r="X4462" s="167"/>
      <c r="Y4462" s="509"/>
      <c r="Z4462" s="466"/>
      <c r="AA4462" s="466"/>
      <c r="AB4462" s="466"/>
      <c r="AC4462" s="466"/>
      <c r="AD4462" s="466"/>
      <c r="AE4462" s="466"/>
      <c r="AF4462" s="466"/>
      <c r="AG4462" s="466"/>
      <c r="AH4462" s="466"/>
      <c r="AI4462" s="466"/>
      <c r="AJ4462" s="466"/>
      <c r="AK4462" s="466"/>
      <c r="AL4462" s="466"/>
      <c r="AM4462" s="466"/>
      <c r="AN4462" s="466"/>
      <c r="AO4462" s="466"/>
      <c r="AP4462" s="466"/>
      <c r="AQ4462" s="466"/>
      <c r="AR4462" s="466"/>
      <c r="AS4462" s="466"/>
      <c r="AT4462" s="466"/>
      <c r="AU4462" s="466"/>
      <c r="AV4462" s="466"/>
      <c r="AW4462" s="466"/>
      <c r="AX4462" s="466"/>
      <c r="AY4462" s="466"/>
      <c r="AZ4462" s="466"/>
      <c r="BA4462" s="466"/>
      <c r="BB4462" s="466"/>
      <c r="BC4462" s="466"/>
      <c r="BD4462" s="466"/>
      <c r="BE4462" s="467"/>
      <c r="BF4462" s="467"/>
      <c r="BG4462" s="466"/>
      <c r="BH4462" s="466"/>
      <c r="BI4462" s="467"/>
      <c r="BJ4462" s="467"/>
      <c r="BK4462" s="467"/>
      <c r="BL4462" s="467"/>
      <c r="BM4462" s="467"/>
      <c r="BN4462" s="467"/>
      <c r="BO4462" s="467"/>
      <c r="BP4462" s="467"/>
      <c r="BQ4462" s="467"/>
      <c r="BR4462" s="467"/>
      <c r="BS4462" s="467"/>
      <c r="BT4462" s="467"/>
      <c r="BU4462" s="467"/>
      <c r="BV4462" s="467"/>
      <c r="BW4462" s="467"/>
      <c r="BX4462" s="769"/>
      <c r="BY4462" s="769"/>
      <c r="BZ4462" s="769"/>
      <c r="CA4462" s="769"/>
      <c r="CB4462" s="769"/>
      <c r="CC4462" s="769"/>
      <c r="CD4462" s="769"/>
      <c r="CE4462" s="769"/>
      <c r="CF4462" s="769"/>
      <c r="CG4462" s="73"/>
      <c r="CH4462" s="438"/>
      <c r="CI4462" s="416"/>
      <c r="CJ4462" s="73"/>
      <c r="CK4462" s="650"/>
      <c r="CL4462" s="499"/>
      <c r="CM4462" s="650"/>
      <c r="CR4462" s="416"/>
      <c r="CS4462" s="650"/>
      <c r="CU4462" s="73"/>
      <c r="CV4462" s="73"/>
      <c r="CW4462" s="73"/>
      <c r="CX4462" s="73"/>
      <c r="DA4462" s="650"/>
    </row>
    <row r="4463" spans="1:105" s="45" customFormat="1" x14ac:dyDescent="0.2">
      <c r="A4463" s="650"/>
      <c r="B4463" s="438"/>
      <c r="D4463" s="73"/>
      <c r="E4463" s="650"/>
      <c r="F4463" s="650"/>
      <c r="G4463" s="73"/>
      <c r="I4463" s="111"/>
      <c r="J4463" s="81"/>
      <c r="K4463" s="81"/>
      <c r="L4463" s="499"/>
      <c r="M4463" s="73"/>
      <c r="N4463" s="499"/>
      <c r="O4463" s="73"/>
      <c r="P4463" s="73"/>
      <c r="Q4463" s="73"/>
      <c r="R4463" s="176"/>
      <c r="S4463" s="176"/>
      <c r="T4463" s="176"/>
      <c r="U4463" s="400"/>
      <c r="V4463" s="400"/>
      <c r="W4463" s="732"/>
      <c r="X4463" s="167"/>
      <c r="Y4463" s="509"/>
      <c r="Z4463" s="466"/>
      <c r="AA4463" s="466"/>
      <c r="AB4463" s="466"/>
      <c r="AC4463" s="466"/>
      <c r="AD4463" s="466"/>
      <c r="AE4463" s="466"/>
      <c r="AF4463" s="466"/>
      <c r="AG4463" s="466"/>
      <c r="AH4463" s="466"/>
      <c r="AI4463" s="466"/>
      <c r="AJ4463" s="466"/>
      <c r="AK4463" s="466"/>
      <c r="AL4463" s="466"/>
      <c r="AM4463" s="466"/>
      <c r="AN4463" s="466"/>
      <c r="AO4463" s="466"/>
      <c r="AP4463" s="466"/>
      <c r="AQ4463" s="466"/>
      <c r="AR4463" s="466"/>
      <c r="AS4463" s="466"/>
      <c r="AT4463" s="466"/>
      <c r="AU4463" s="466"/>
      <c r="AV4463" s="466"/>
      <c r="AW4463" s="466"/>
      <c r="AX4463" s="466"/>
      <c r="AY4463" s="466"/>
      <c r="AZ4463" s="466"/>
      <c r="BA4463" s="466"/>
      <c r="BB4463" s="466"/>
      <c r="BC4463" s="466"/>
      <c r="BD4463" s="466"/>
      <c r="BE4463" s="467"/>
      <c r="BF4463" s="467"/>
      <c r="BG4463" s="466"/>
      <c r="BH4463" s="466"/>
      <c r="BI4463" s="467"/>
      <c r="BJ4463" s="467"/>
      <c r="BK4463" s="467"/>
      <c r="BL4463" s="467"/>
      <c r="BM4463" s="467"/>
      <c r="BN4463" s="467"/>
      <c r="BO4463" s="467"/>
      <c r="BP4463" s="467"/>
      <c r="BQ4463" s="467"/>
      <c r="BR4463" s="467"/>
      <c r="BS4463" s="467"/>
      <c r="BT4463" s="467"/>
      <c r="BU4463" s="467"/>
      <c r="BV4463" s="467"/>
      <c r="BW4463" s="467"/>
      <c r="BX4463" s="769"/>
      <c r="BY4463" s="769"/>
      <c r="BZ4463" s="769"/>
      <c r="CA4463" s="769"/>
      <c r="CB4463" s="769"/>
      <c r="CC4463" s="769"/>
      <c r="CD4463" s="769"/>
      <c r="CE4463" s="769"/>
      <c r="CF4463" s="769"/>
      <c r="CG4463" s="73"/>
      <c r="CH4463" s="438"/>
      <c r="CI4463" s="416"/>
      <c r="CJ4463" s="73"/>
      <c r="CK4463" s="650"/>
      <c r="CL4463" s="499"/>
      <c r="CM4463" s="650"/>
      <c r="CR4463" s="416"/>
      <c r="CS4463" s="650"/>
      <c r="CU4463" s="73"/>
      <c r="CV4463" s="73"/>
      <c r="CW4463" s="73"/>
      <c r="CX4463" s="73"/>
      <c r="DA4463" s="650"/>
    </row>
    <row r="4464" spans="1:105" s="45" customFormat="1" x14ac:dyDescent="0.2">
      <c r="A4464" s="650"/>
      <c r="B4464" s="438"/>
      <c r="D4464" s="73"/>
      <c r="E4464" s="650"/>
      <c r="F4464" s="650"/>
      <c r="G4464" s="73"/>
      <c r="I4464" s="111"/>
      <c r="J4464" s="81"/>
      <c r="K4464" s="81"/>
      <c r="L4464" s="499"/>
      <c r="M4464" s="73"/>
      <c r="N4464" s="499"/>
      <c r="O4464" s="73"/>
      <c r="P4464" s="73"/>
      <c r="Q4464" s="73"/>
      <c r="R4464" s="176"/>
      <c r="S4464" s="176"/>
      <c r="T4464" s="176"/>
      <c r="U4464" s="400"/>
      <c r="V4464" s="400"/>
      <c r="W4464" s="732"/>
      <c r="X4464" s="167"/>
      <c r="Y4464" s="509"/>
      <c r="Z4464" s="466"/>
      <c r="AA4464" s="466"/>
      <c r="AB4464" s="466"/>
      <c r="AC4464" s="466"/>
      <c r="AD4464" s="466"/>
      <c r="AE4464" s="466"/>
      <c r="AF4464" s="466"/>
      <c r="AG4464" s="466"/>
      <c r="AH4464" s="466"/>
      <c r="AI4464" s="466"/>
      <c r="AJ4464" s="466"/>
      <c r="AK4464" s="466"/>
      <c r="AL4464" s="466"/>
      <c r="AM4464" s="466"/>
      <c r="AN4464" s="466"/>
      <c r="AO4464" s="466"/>
      <c r="AP4464" s="466"/>
      <c r="AQ4464" s="466"/>
      <c r="AR4464" s="466"/>
      <c r="AS4464" s="466"/>
      <c r="AT4464" s="466"/>
      <c r="AU4464" s="466"/>
      <c r="AV4464" s="466"/>
      <c r="AW4464" s="466"/>
      <c r="AX4464" s="466"/>
      <c r="AY4464" s="466"/>
      <c r="AZ4464" s="466"/>
      <c r="BA4464" s="466"/>
      <c r="BB4464" s="466"/>
      <c r="BC4464" s="466"/>
      <c r="BD4464" s="466"/>
      <c r="BE4464" s="467"/>
      <c r="BF4464" s="467"/>
      <c r="BG4464" s="466"/>
      <c r="BH4464" s="466"/>
      <c r="BI4464" s="467"/>
      <c r="BJ4464" s="467"/>
      <c r="BK4464" s="467"/>
      <c r="BL4464" s="467"/>
      <c r="BM4464" s="467"/>
      <c r="BN4464" s="467"/>
      <c r="BO4464" s="467"/>
      <c r="BP4464" s="467"/>
      <c r="BQ4464" s="467"/>
      <c r="BR4464" s="467"/>
      <c r="BS4464" s="467"/>
      <c r="BT4464" s="467"/>
      <c r="BU4464" s="467"/>
      <c r="BV4464" s="467"/>
      <c r="BW4464" s="467"/>
      <c r="BX4464" s="769"/>
      <c r="BY4464" s="769"/>
      <c r="BZ4464" s="769"/>
      <c r="CA4464" s="769"/>
      <c r="CB4464" s="769"/>
      <c r="CC4464" s="769"/>
      <c r="CD4464" s="769"/>
      <c r="CE4464" s="769"/>
      <c r="CF4464" s="769"/>
      <c r="CG4464" s="73"/>
      <c r="CH4464" s="438"/>
      <c r="CI4464" s="416"/>
      <c r="CJ4464" s="73"/>
      <c r="CK4464" s="650"/>
      <c r="CL4464" s="499"/>
      <c r="CM4464" s="650"/>
      <c r="CR4464" s="416"/>
      <c r="CS4464" s="650"/>
      <c r="CU4464" s="73"/>
      <c r="CV4464" s="73"/>
      <c r="CW4464" s="73"/>
      <c r="CX4464" s="73"/>
      <c r="DA4464" s="650"/>
    </row>
    <row r="4465" spans="1:105" s="45" customFormat="1" x14ac:dyDescent="0.2">
      <c r="A4465" s="650"/>
      <c r="B4465" s="438"/>
      <c r="D4465" s="73"/>
      <c r="E4465" s="650"/>
      <c r="F4465" s="650"/>
      <c r="G4465" s="73"/>
      <c r="I4465" s="111"/>
      <c r="J4465" s="81"/>
      <c r="K4465" s="81"/>
      <c r="L4465" s="499"/>
      <c r="M4465" s="73"/>
      <c r="N4465" s="499"/>
      <c r="O4465" s="73"/>
      <c r="P4465" s="73"/>
      <c r="Q4465" s="73"/>
      <c r="R4465" s="176"/>
      <c r="S4465" s="176"/>
      <c r="T4465" s="176"/>
      <c r="U4465" s="400"/>
      <c r="V4465" s="400"/>
      <c r="W4465" s="732"/>
      <c r="X4465" s="167"/>
      <c r="Y4465" s="509"/>
      <c r="Z4465" s="466"/>
      <c r="AA4465" s="466"/>
      <c r="AB4465" s="466"/>
      <c r="AC4465" s="466"/>
      <c r="AD4465" s="466"/>
      <c r="AE4465" s="466"/>
      <c r="AF4465" s="466"/>
      <c r="AG4465" s="466"/>
      <c r="AH4465" s="466"/>
      <c r="AI4465" s="466"/>
      <c r="AJ4465" s="466"/>
      <c r="AK4465" s="466"/>
      <c r="AL4465" s="466"/>
      <c r="AM4465" s="466"/>
      <c r="AN4465" s="466"/>
      <c r="AO4465" s="466"/>
      <c r="AP4465" s="466"/>
      <c r="AQ4465" s="466"/>
      <c r="AR4465" s="466"/>
      <c r="AS4465" s="466"/>
      <c r="AT4465" s="466"/>
      <c r="AU4465" s="466"/>
      <c r="AV4465" s="466"/>
      <c r="AW4465" s="466"/>
      <c r="AX4465" s="466"/>
      <c r="AY4465" s="466"/>
      <c r="AZ4465" s="466"/>
      <c r="BA4465" s="466"/>
      <c r="BB4465" s="466"/>
      <c r="BC4465" s="466"/>
      <c r="BD4465" s="466"/>
      <c r="BE4465" s="467"/>
      <c r="BF4465" s="467"/>
      <c r="BG4465" s="466"/>
      <c r="BH4465" s="466"/>
      <c r="BI4465" s="467"/>
      <c r="BJ4465" s="467"/>
      <c r="BK4465" s="467"/>
      <c r="BL4465" s="467"/>
      <c r="BM4465" s="467"/>
      <c r="BN4465" s="467"/>
      <c r="BO4465" s="467"/>
      <c r="BP4465" s="467"/>
      <c r="BQ4465" s="467"/>
      <c r="BR4465" s="467"/>
      <c r="BS4465" s="467"/>
      <c r="BT4465" s="467"/>
      <c r="BU4465" s="467"/>
      <c r="BV4465" s="467"/>
      <c r="BW4465" s="467"/>
      <c r="BX4465" s="769"/>
      <c r="BY4465" s="769"/>
      <c r="BZ4465" s="769"/>
      <c r="CA4465" s="769"/>
      <c r="CB4465" s="769"/>
      <c r="CC4465" s="769"/>
      <c r="CD4465" s="769"/>
      <c r="CE4465" s="769"/>
      <c r="CF4465" s="769"/>
      <c r="CG4465" s="73"/>
      <c r="CH4465" s="438"/>
      <c r="CI4465" s="416"/>
      <c r="CJ4465" s="73"/>
      <c r="CK4465" s="650"/>
      <c r="CL4465" s="499"/>
      <c r="CM4465" s="650"/>
      <c r="CR4465" s="416"/>
      <c r="CS4465" s="650"/>
      <c r="CU4465" s="73"/>
      <c r="CV4465" s="73"/>
      <c r="CW4465" s="73"/>
      <c r="CX4465" s="73"/>
      <c r="DA4465" s="650"/>
    </row>
    <row r="4466" spans="1:105" s="45" customFormat="1" x14ac:dyDescent="0.2">
      <c r="A4466" s="650"/>
      <c r="B4466" s="438"/>
      <c r="D4466" s="73"/>
      <c r="E4466" s="650"/>
      <c r="F4466" s="650"/>
      <c r="G4466" s="73"/>
      <c r="I4466" s="111"/>
      <c r="J4466" s="81"/>
      <c r="K4466" s="81"/>
      <c r="L4466" s="499"/>
      <c r="M4466" s="73"/>
      <c r="N4466" s="499"/>
      <c r="O4466" s="73"/>
      <c r="P4466" s="73"/>
      <c r="Q4466" s="73"/>
      <c r="R4466" s="176"/>
      <c r="S4466" s="176"/>
      <c r="T4466" s="176"/>
      <c r="U4466" s="400"/>
      <c r="V4466" s="400"/>
      <c r="W4466" s="732"/>
      <c r="X4466" s="167"/>
      <c r="Y4466" s="509"/>
      <c r="Z4466" s="466"/>
      <c r="AA4466" s="466"/>
      <c r="AB4466" s="466"/>
      <c r="AC4466" s="466"/>
      <c r="AD4466" s="466"/>
      <c r="AE4466" s="466"/>
      <c r="AF4466" s="466"/>
      <c r="AG4466" s="466"/>
      <c r="AH4466" s="466"/>
      <c r="AI4466" s="466"/>
      <c r="AJ4466" s="466"/>
      <c r="AK4466" s="466"/>
      <c r="AL4466" s="466"/>
      <c r="AM4466" s="466"/>
      <c r="AN4466" s="466"/>
      <c r="AO4466" s="466"/>
      <c r="AP4466" s="466"/>
      <c r="AQ4466" s="466"/>
      <c r="AR4466" s="466"/>
      <c r="AS4466" s="466"/>
      <c r="AT4466" s="466"/>
      <c r="AU4466" s="466"/>
      <c r="AV4466" s="466"/>
      <c r="AW4466" s="466"/>
      <c r="AX4466" s="466"/>
      <c r="AY4466" s="466"/>
      <c r="AZ4466" s="466"/>
      <c r="BA4466" s="466"/>
      <c r="BB4466" s="466"/>
      <c r="BC4466" s="466"/>
      <c r="BD4466" s="466"/>
      <c r="BE4466" s="467"/>
      <c r="BF4466" s="467"/>
      <c r="BG4466" s="466"/>
      <c r="BH4466" s="466"/>
      <c r="BI4466" s="467"/>
      <c r="BJ4466" s="467"/>
      <c r="BK4466" s="467"/>
      <c r="BL4466" s="467"/>
      <c r="BM4466" s="467"/>
      <c r="BN4466" s="467"/>
      <c r="BO4466" s="467"/>
      <c r="BP4466" s="467"/>
      <c r="BQ4466" s="467"/>
      <c r="BR4466" s="467"/>
      <c r="BS4466" s="467"/>
      <c r="BT4466" s="467"/>
      <c r="BU4466" s="467"/>
      <c r="BV4466" s="467"/>
      <c r="BW4466" s="467"/>
      <c r="BX4466" s="769"/>
      <c r="BY4466" s="769"/>
      <c r="BZ4466" s="769"/>
      <c r="CA4466" s="769"/>
      <c r="CB4466" s="769"/>
      <c r="CC4466" s="769"/>
      <c r="CD4466" s="769"/>
      <c r="CE4466" s="769"/>
      <c r="CF4466" s="769"/>
      <c r="CG4466" s="73"/>
      <c r="CH4466" s="438"/>
      <c r="CI4466" s="416"/>
      <c r="CJ4466" s="73"/>
      <c r="CK4466" s="650"/>
      <c r="CL4466" s="499"/>
      <c r="CM4466" s="650"/>
      <c r="CR4466" s="416"/>
      <c r="CS4466" s="650"/>
      <c r="CU4466" s="73"/>
      <c r="CV4466" s="73"/>
      <c r="CW4466" s="73"/>
      <c r="CX4466" s="73"/>
      <c r="DA4466" s="650"/>
    </row>
    <row r="4467" spans="1:105" s="45" customFormat="1" x14ac:dyDescent="0.2">
      <c r="A4467" s="650"/>
      <c r="B4467" s="438"/>
      <c r="D4467" s="73"/>
      <c r="E4467" s="650"/>
      <c r="F4467" s="650"/>
      <c r="G4467" s="73"/>
      <c r="I4467" s="111"/>
      <c r="J4467" s="81"/>
      <c r="K4467" s="81"/>
      <c r="L4467" s="499"/>
      <c r="M4467" s="73"/>
      <c r="N4467" s="499"/>
      <c r="O4467" s="73"/>
      <c r="P4467" s="73"/>
      <c r="Q4467" s="73"/>
      <c r="R4467" s="176"/>
      <c r="S4467" s="176"/>
      <c r="T4467" s="176"/>
      <c r="U4467" s="400"/>
      <c r="V4467" s="400"/>
      <c r="W4467" s="732"/>
      <c r="X4467" s="167"/>
      <c r="Y4467" s="509"/>
      <c r="Z4467" s="466"/>
      <c r="AA4467" s="466"/>
      <c r="AB4467" s="466"/>
      <c r="AC4467" s="466"/>
      <c r="AD4467" s="466"/>
      <c r="AE4467" s="466"/>
      <c r="AF4467" s="466"/>
      <c r="AG4467" s="466"/>
      <c r="AH4467" s="466"/>
      <c r="AI4467" s="466"/>
      <c r="AJ4467" s="466"/>
      <c r="AK4467" s="466"/>
      <c r="AL4467" s="466"/>
      <c r="AM4467" s="466"/>
      <c r="AN4467" s="466"/>
      <c r="AO4467" s="466"/>
      <c r="AP4467" s="466"/>
      <c r="AQ4467" s="466"/>
      <c r="AR4467" s="466"/>
      <c r="AS4467" s="466"/>
      <c r="AT4467" s="466"/>
      <c r="AU4467" s="466"/>
      <c r="AV4467" s="466"/>
      <c r="AW4467" s="466"/>
      <c r="AX4467" s="466"/>
      <c r="AY4467" s="466"/>
      <c r="AZ4467" s="466"/>
      <c r="BA4467" s="466"/>
      <c r="BB4467" s="466"/>
      <c r="BC4467" s="466"/>
      <c r="BD4467" s="466"/>
      <c r="BE4467" s="467"/>
      <c r="BF4467" s="467"/>
      <c r="BG4467" s="466"/>
      <c r="BH4467" s="466"/>
      <c r="BI4467" s="467"/>
      <c r="BJ4467" s="467"/>
      <c r="BK4467" s="467"/>
      <c r="BL4467" s="467"/>
      <c r="BM4467" s="467"/>
      <c r="BN4467" s="467"/>
      <c r="BO4467" s="467"/>
      <c r="BP4467" s="467"/>
      <c r="BQ4467" s="467"/>
      <c r="BR4467" s="467"/>
      <c r="BS4467" s="467"/>
      <c r="BT4467" s="467"/>
      <c r="BU4467" s="467"/>
      <c r="BV4467" s="467"/>
      <c r="BW4467" s="467"/>
      <c r="BX4467" s="769"/>
      <c r="BY4467" s="769"/>
      <c r="BZ4467" s="769"/>
      <c r="CA4467" s="769"/>
      <c r="CB4467" s="769"/>
      <c r="CC4467" s="769"/>
      <c r="CD4467" s="769"/>
      <c r="CE4467" s="769"/>
      <c r="CF4467" s="769"/>
      <c r="CG4467" s="73"/>
      <c r="CH4467" s="438"/>
      <c r="CI4467" s="416"/>
      <c r="CJ4467" s="73"/>
      <c r="CK4467" s="650"/>
      <c r="CL4467" s="499"/>
      <c r="CM4467" s="650"/>
      <c r="CR4467" s="416"/>
      <c r="CS4467" s="650"/>
      <c r="CU4467" s="73"/>
      <c r="CV4467" s="73"/>
      <c r="CW4467" s="73"/>
      <c r="CX4467" s="73"/>
      <c r="DA4467" s="650"/>
    </row>
    <row r="4468" spans="1:105" s="45" customFormat="1" x14ac:dyDescent="0.2">
      <c r="A4468" s="650"/>
      <c r="B4468" s="438"/>
      <c r="D4468" s="73"/>
      <c r="E4468" s="650"/>
      <c r="F4468" s="650"/>
      <c r="G4468" s="73"/>
      <c r="I4468" s="111"/>
      <c r="J4468" s="81"/>
      <c r="K4468" s="81"/>
      <c r="L4468" s="499"/>
      <c r="M4468" s="73"/>
      <c r="N4468" s="499"/>
      <c r="O4468" s="73"/>
      <c r="P4468" s="73"/>
      <c r="Q4468" s="73"/>
      <c r="R4468" s="176"/>
      <c r="S4468" s="176"/>
      <c r="T4468" s="176"/>
      <c r="U4468" s="400"/>
      <c r="V4468" s="400"/>
      <c r="W4468" s="732"/>
      <c r="X4468" s="167"/>
      <c r="Y4468" s="509"/>
      <c r="Z4468" s="466"/>
      <c r="AA4468" s="466"/>
      <c r="AB4468" s="466"/>
      <c r="AC4468" s="466"/>
      <c r="AD4468" s="466"/>
      <c r="AE4468" s="466"/>
      <c r="AF4468" s="466"/>
      <c r="AG4468" s="466"/>
      <c r="AH4468" s="466"/>
      <c r="AI4468" s="466"/>
      <c r="AJ4468" s="466"/>
      <c r="AK4468" s="466"/>
      <c r="AL4468" s="466"/>
      <c r="AM4468" s="466"/>
      <c r="AN4468" s="466"/>
      <c r="AO4468" s="466"/>
      <c r="AP4468" s="466"/>
      <c r="AQ4468" s="466"/>
      <c r="AR4468" s="466"/>
      <c r="AS4468" s="466"/>
      <c r="AT4468" s="466"/>
      <c r="AU4468" s="466"/>
      <c r="AV4468" s="466"/>
      <c r="AW4468" s="466"/>
      <c r="AX4468" s="466"/>
      <c r="AY4468" s="466"/>
      <c r="AZ4468" s="466"/>
      <c r="BA4468" s="466"/>
      <c r="BB4468" s="466"/>
      <c r="BC4468" s="466"/>
      <c r="BD4468" s="466"/>
      <c r="BE4468" s="467"/>
      <c r="BF4468" s="467"/>
      <c r="BG4468" s="466"/>
      <c r="BH4468" s="466"/>
      <c r="BI4468" s="467"/>
      <c r="BJ4468" s="467"/>
      <c r="BK4468" s="467"/>
      <c r="BL4468" s="467"/>
      <c r="BM4468" s="467"/>
      <c r="BN4468" s="467"/>
      <c r="BO4468" s="467"/>
      <c r="BP4468" s="467"/>
      <c r="BQ4468" s="467"/>
      <c r="BR4468" s="467"/>
      <c r="BS4468" s="467"/>
      <c r="BT4468" s="467"/>
      <c r="BU4468" s="467"/>
      <c r="BV4468" s="467"/>
      <c r="BW4468" s="467"/>
      <c r="BX4468" s="769"/>
      <c r="BY4468" s="769"/>
      <c r="BZ4468" s="769"/>
      <c r="CA4468" s="769"/>
      <c r="CB4468" s="769"/>
      <c r="CC4468" s="769"/>
      <c r="CD4468" s="769"/>
      <c r="CE4468" s="769"/>
      <c r="CF4468" s="769"/>
      <c r="CG4468" s="73"/>
      <c r="CH4468" s="438"/>
      <c r="CI4468" s="416"/>
      <c r="CJ4468" s="73"/>
      <c r="CK4468" s="650"/>
      <c r="CL4468" s="499"/>
      <c r="CM4468" s="650"/>
      <c r="CR4468" s="416"/>
      <c r="CS4468" s="650"/>
      <c r="CU4468" s="73"/>
      <c r="CV4468" s="73"/>
      <c r="CW4468" s="73"/>
      <c r="CX4468" s="73"/>
      <c r="DA4468" s="650"/>
    </row>
    <row r="4469" spans="1:105" s="45" customFormat="1" x14ac:dyDescent="0.2">
      <c r="A4469" s="650"/>
      <c r="B4469" s="438"/>
      <c r="D4469" s="73"/>
      <c r="E4469" s="650"/>
      <c r="F4469" s="650"/>
      <c r="G4469" s="73"/>
      <c r="I4469" s="111"/>
      <c r="J4469" s="81"/>
      <c r="K4469" s="81"/>
      <c r="L4469" s="499"/>
      <c r="M4469" s="73"/>
      <c r="N4469" s="499"/>
      <c r="O4469" s="73"/>
      <c r="P4469" s="73"/>
      <c r="Q4469" s="73"/>
      <c r="R4469" s="176"/>
      <c r="S4469" s="176"/>
      <c r="T4469" s="176"/>
      <c r="U4469" s="400"/>
      <c r="V4469" s="400"/>
      <c r="W4469" s="732"/>
      <c r="X4469" s="167"/>
      <c r="Y4469" s="509"/>
      <c r="Z4469" s="466"/>
      <c r="AA4469" s="466"/>
      <c r="AB4469" s="466"/>
      <c r="AC4469" s="466"/>
      <c r="AD4469" s="466"/>
      <c r="AE4469" s="466"/>
      <c r="AF4469" s="466"/>
      <c r="AG4469" s="466"/>
      <c r="AH4469" s="466"/>
      <c r="AI4469" s="466"/>
      <c r="AJ4469" s="466"/>
      <c r="AK4469" s="466"/>
      <c r="AL4469" s="466"/>
      <c r="AM4469" s="466"/>
      <c r="AN4469" s="466"/>
      <c r="AO4469" s="466"/>
      <c r="AP4469" s="466"/>
      <c r="AQ4469" s="466"/>
      <c r="AR4469" s="466"/>
      <c r="AS4469" s="466"/>
      <c r="AT4469" s="466"/>
      <c r="AU4469" s="466"/>
      <c r="AV4469" s="466"/>
      <c r="AW4469" s="466"/>
      <c r="AX4469" s="466"/>
      <c r="AY4469" s="466"/>
      <c r="AZ4469" s="466"/>
      <c r="BA4469" s="466"/>
      <c r="BB4469" s="466"/>
      <c r="BC4469" s="466"/>
      <c r="BD4469" s="466"/>
      <c r="BE4469" s="467"/>
      <c r="BF4469" s="467"/>
      <c r="BG4469" s="466"/>
      <c r="BH4469" s="466"/>
      <c r="BI4469" s="467"/>
      <c r="BJ4469" s="467"/>
      <c r="BK4469" s="467"/>
      <c r="BL4469" s="467"/>
      <c r="BM4469" s="467"/>
      <c r="BN4469" s="467"/>
      <c r="BO4469" s="467"/>
      <c r="BP4469" s="467"/>
      <c r="BQ4469" s="467"/>
      <c r="BR4469" s="467"/>
      <c r="BS4469" s="467"/>
      <c r="BT4469" s="467"/>
      <c r="BU4469" s="467"/>
      <c r="BV4469" s="467"/>
      <c r="BW4469" s="467"/>
      <c r="BX4469" s="769"/>
      <c r="BY4469" s="769"/>
      <c r="BZ4469" s="769"/>
      <c r="CA4469" s="769"/>
      <c r="CB4469" s="769"/>
      <c r="CC4469" s="769"/>
      <c r="CD4469" s="769"/>
      <c r="CE4469" s="769"/>
      <c r="CF4469" s="769"/>
      <c r="CG4469" s="73"/>
      <c r="CH4469" s="438"/>
      <c r="CI4469" s="416"/>
      <c r="CJ4469" s="73"/>
      <c r="CK4469" s="650"/>
      <c r="CL4469" s="499"/>
      <c r="CM4469" s="650"/>
      <c r="CR4469" s="416"/>
      <c r="CS4469" s="650"/>
      <c r="CU4469" s="73"/>
      <c r="CV4469" s="73"/>
      <c r="CW4469" s="73"/>
      <c r="CX4469" s="73"/>
      <c r="DA4469" s="650"/>
    </row>
    <row r="4470" spans="1:105" s="45" customFormat="1" x14ac:dyDescent="0.2">
      <c r="A4470" s="650"/>
      <c r="B4470" s="438"/>
      <c r="D4470" s="73"/>
      <c r="E4470" s="650"/>
      <c r="F4470" s="650"/>
      <c r="G4470" s="73"/>
      <c r="I4470" s="111"/>
      <c r="J4470" s="81"/>
      <c r="K4470" s="81"/>
      <c r="L4470" s="499"/>
      <c r="M4470" s="73"/>
      <c r="N4470" s="499"/>
      <c r="O4470" s="73"/>
      <c r="P4470" s="73"/>
      <c r="Q4470" s="73"/>
      <c r="R4470" s="176"/>
      <c r="S4470" s="176"/>
      <c r="T4470" s="176"/>
      <c r="U4470" s="400"/>
      <c r="V4470" s="400"/>
      <c r="W4470" s="732"/>
      <c r="X4470" s="167"/>
      <c r="Y4470" s="509"/>
      <c r="Z4470" s="466"/>
      <c r="AA4470" s="466"/>
      <c r="AB4470" s="466"/>
      <c r="AC4470" s="466"/>
      <c r="AD4470" s="466"/>
      <c r="AE4470" s="466"/>
      <c r="AF4470" s="466"/>
      <c r="AG4470" s="466"/>
      <c r="AH4470" s="466"/>
      <c r="AI4470" s="466"/>
      <c r="AJ4470" s="466"/>
      <c r="AK4470" s="466"/>
      <c r="AL4470" s="466"/>
      <c r="AM4470" s="466"/>
      <c r="AN4470" s="466"/>
      <c r="AO4470" s="466"/>
      <c r="AP4470" s="466"/>
      <c r="AQ4470" s="466"/>
      <c r="AR4470" s="466"/>
      <c r="AS4470" s="466"/>
      <c r="AT4470" s="466"/>
      <c r="AU4470" s="466"/>
      <c r="AV4470" s="466"/>
      <c r="AW4470" s="466"/>
      <c r="AX4470" s="466"/>
      <c r="AY4470" s="466"/>
      <c r="AZ4470" s="466"/>
      <c r="BA4470" s="466"/>
      <c r="BB4470" s="466"/>
      <c r="BC4470" s="466"/>
      <c r="BD4470" s="466"/>
      <c r="BE4470" s="467"/>
      <c r="BF4470" s="467"/>
      <c r="BG4470" s="466"/>
      <c r="BH4470" s="466"/>
      <c r="BI4470" s="467"/>
      <c r="BJ4470" s="467"/>
      <c r="BK4470" s="467"/>
      <c r="BL4470" s="467"/>
      <c r="BM4470" s="467"/>
      <c r="BN4470" s="467"/>
      <c r="BO4470" s="467"/>
      <c r="BP4470" s="467"/>
      <c r="BQ4470" s="467"/>
      <c r="BR4470" s="467"/>
      <c r="BS4470" s="467"/>
      <c r="BT4470" s="467"/>
      <c r="BU4470" s="467"/>
      <c r="BV4470" s="467"/>
      <c r="BW4470" s="467"/>
      <c r="BX4470" s="769"/>
      <c r="BY4470" s="769"/>
      <c r="BZ4470" s="769"/>
      <c r="CA4470" s="769"/>
      <c r="CB4470" s="769"/>
      <c r="CC4470" s="769"/>
      <c r="CD4470" s="769"/>
      <c r="CE4470" s="769"/>
      <c r="CF4470" s="769"/>
      <c r="CG4470" s="73"/>
      <c r="CH4470" s="438"/>
      <c r="CI4470" s="416"/>
      <c r="CJ4470" s="73"/>
      <c r="CK4470" s="650"/>
      <c r="CL4470" s="499"/>
      <c r="CM4470" s="650"/>
      <c r="CR4470" s="416"/>
      <c r="CS4470" s="650"/>
      <c r="CU4470" s="73"/>
      <c r="CV4470" s="73"/>
      <c r="CW4470" s="73"/>
      <c r="CX4470" s="73"/>
      <c r="DA4470" s="650"/>
    </row>
    <row r="4471" spans="1:105" s="45" customFormat="1" x14ac:dyDescent="0.2">
      <c r="A4471" s="650"/>
      <c r="B4471" s="438"/>
      <c r="D4471" s="73"/>
      <c r="E4471" s="650"/>
      <c r="F4471" s="650"/>
      <c r="G4471" s="73"/>
      <c r="I4471" s="111"/>
      <c r="J4471" s="81"/>
      <c r="K4471" s="81"/>
      <c r="L4471" s="499"/>
      <c r="M4471" s="73"/>
      <c r="N4471" s="499"/>
      <c r="O4471" s="73"/>
      <c r="P4471" s="73"/>
      <c r="Q4471" s="73"/>
      <c r="R4471" s="176"/>
      <c r="S4471" s="176"/>
      <c r="T4471" s="176"/>
      <c r="U4471" s="400"/>
      <c r="V4471" s="400"/>
      <c r="W4471" s="732"/>
      <c r="X4471" s="167"/>
      <c r="Y4471" s="509"/>
      <c r="Z4471" s="466"/>
      <c r="AA4471" s="466"/>
      <c r="AB4471" s="466"/>
      <c r="AC4471" s="466"/>
      <c r="AD4471" s="466"/>
      <c r="AE4471" s="466"/>
      <c r="AF4471" s="466"/>
      <c r="AG4471" s="466"/>
      <c r="AH4471" s="466"/>
      <c r="AI4471" s="466"/>
      <c r="AJ4471" s="466"/>
      <c r="AK4471" s="466"/>
      <c r="AL4471" s="466"/>
      <c r="AM4471" s="466"/>
      <c r="AN4471" s="466"/>
      <c r="AO4471" s="466"/>
      <c r="AP4471" s="466"/>
      <c r="AQ4471" s="466"/>
      <c r="AR4471" s="466"/>
      <c r="AS4471" s="466"/>
      <c r="AT4471" s="466"/>
      <c r="AU4471" s="466"/>
      <c r="AV4471" s="466"/>
      <c r="AW4471" s="466"/>
      <c r="AX4471" s="466"/>
      <c r="AY4471" s="466"/>
      <c r="AZ4471" s="466"/>
      <c r="BA4471" s="466"/>
      <c r="BB4471" s="466"/>
      <c r="BC4471" s="466"/>
      <c r="BD4471" s="466"/>
      <c r="BE4471" s="467"/>
      <c r="BF4471" s="467"/>
      <c r="BG4471" s="466"/>
      <c r="BH4471" s="466"/>
      <c r="BI4471" s="467"/>
      <c r="BJ4471" s="467"/>
      <c r="BK4471" s="467"/>
      <c r="BL4471" s="467"/>
      <c r="BM4471" s="467"/>
      <c r="BN4471" s="467"/>
      <c r="BO4471" s="467"/>
      <c r="BP4471" s="467"/>
      <c r="BQ4471" s="467"/>
      <c r="BR4471" s="467"/>
      <c r="BS4471" s="467"/>
      <c r="BT4471" s="467"/>
      <c r="BU4471" s="467"/>
      <c r="BV4471" s="467"/>
      <c r="BW4471" s="467"/>
      <c r="BX4471" s="769"/>
      <c r="BY4471" s="769"/>
      <c r="BZ4471" s="769"/>
      <c r="CA4471" s="769"/>
      <c r="CB4471" s="769"/>
      <c r="CC4471" s="769"/>
      <c r="CD4471" s="769"/>
      <c r="CE4471" s="769"/>
      <c r="CF4471" s="769"/>
      <c r="CG4471" s="73"/>
      <c r="CH4471" s="438"/>
      <c r="CI4471" s="416"/>
      <c r="CJ4471" s="73"/>
      <c r="CK4471" s="650"/>
      <c r="CL4471" s="499"/>
      <c r="CM4471" s="650"/>
      <c r="CR4471" s="416"/>
      <c r="CS4471" s="650"/>
      <c r="CU4471" s="73"/>
      <c r="CV4471" s="73"/>
      <c r="CW4471" s="73"/>
      <c r="CX4471" s="73"/>
      <c r="DA4471" s="650"/>
    </row>
    <row r="4472" spans="1:105" s="45" customFormat="1" x14ac:dyDescent="0.2">
      <c r="A4472" s="650"/>
      <c r="B4472" s="438"/>
      <c r="D4472" s="73"/>
      <c r="E4472" s="650"/>
      <c r="F4472" s="650"/>
      <c r="G4472" s="73"/>
      <c r="I4472" s="111"/>
      <c r="J4472" s="81"/>
      <c r="K4472" s="81"/>
      <c r="L4472" s="499"/>
      <c r="M4472" s="73"/>
      <c r="N4472" s="499"/>
      <c r="O4472" s="73"/>
      <c r="P4472" s="73"/>
      <c r="Q4472" s="73"/>
      <c r="R4472" s="176"/>
      <c r="S4472" s="176"/>
      <c r="T4472" s="176"/>
      <c r="U4472" s="400"/>
      <c r="V4472" s="400"/>
      <c r="W4472" s="732"/>
      <c r="X4472" s="167"/>
      <c r="Y4472" s="509"/>
      <c r="Z4472" s="466"/>
      <c r="AA4472" s="466"/>
      <c r="AB4472" s="466"/>
      <c r="AC4472" s="466"/>
      <c r="AD4472" s="466"/>
      <c r="AE4472" s="466"/>
      <c r="AF4472" s="466"/>
      <c r="AG4472" s="466"/>
      <c r="AH4472" s="466"/>
      <c r="AI4472" s="466"/>
      <c r="AJ4472" s="466"/>
      <c r="AK4472" s="466"/>
      <c r="AL4472" s="466"/>
      <c r="AM4472" s="466"/>
      <c r="AN4472" s="466"/>
      <c r="AO4472" s="466"/>
      <c r="AP4472" s="466"/>
      <c r="AQ4472" s="466"/>
      <c r="AR4472" s="466"/>
      <c r="AS4472" s="466"/>
      <c r="AT4472" s="466"/>
      <c r="AU4472" s="466"/>
      <c r="AV4472" s="466"/>
      <c r="AW4472" s="466"/>
      <c r="AX4472" s="466"/>
      <c r="AY4472" s="466"/>
      <c r="AZ4472" s="466"/>
      <c r="BA4472" s="466"/>
      <c r="BB4472" s="466"/>
      <c r="BC4472" s="466"/>
      <c r="BD4472" s="466"/>
      <c r="BE4472" s="467"/>
      <c r="BF4472" s="467"/>
      <c r="BG4472" s="466"/>
      <c r="BH4472" s="466"/>
      <c r="BI4472" s="467"/>
      <c r="BJ4472" s="467"/>
      <c r="BK4472" s="467"/>
      <c r="BL4472" s="467"/>
      <c r="BM4472" s="467"/>
      <c r="BN4472" s="467"/>
      <c r="BO4472" s="467"/>
      <c r="BP4472" s="467"/>
      <c r="BQ4472" s="467"/>
      <c r="BR4472" s="467"/>
      <c r="BS4472" s="467"/>
      <c r="BT4472" s="467"/>
      <c r="BU4472" s="467"/>
      <c r="BV4472" s="467"/>
      <c r="BW4472" s="467"/>
      <c r="BX4472" s="769"/>
      <c r="BY4472" s="769"/>
      <c r="BZ4472" s="769"/>
      <c r="CA4472" s="769"/>
      <c r="CB4472" s="769"/>
      <c r="CC4472" s="769"/>
      <c r="CD4472" s="769"/>
      <c r="CE4472" s="769"/>
      <c r="CF4472" s="769"/>
      <c r="CG4472" s="73"/>
      <c r="CH4472" s="438"/>
      <c r="CI4472" s="416"/>
      <c r="CJ4472" s="73"/>
      <c r="CK4472" s="650"/>
      <c r="CL4472" s="499"/>
      <c r="CM4472" s="650"/>
      <c r="CR4472" s="416"/>
      <c r="CS4472" s="650"/>
      <c r="CU4472" s="73"/>
      <c r="CV4472" s="73"/>
      <c r="CW4472" s="73"/>
      <c r="CX4472" s="73"/>
      <c r="DA4472" s="650"/>
    </row>
    <row r="4473" spans="1:105" s="45" customFormat="1" x14ac:dyDescent="0.2">
      <c r="A4473" s="650"/>
      <c r="B4473" s="438"/>
      <c r="D4473" s="73"/>
      <c r="E4473" s="650"/>
      <c r="F4473" s="650"/>
      <c r="G4473" s="73"/>
      <c r="I4473" s="111"/>
      <c r="J4473" s="81"/>
      <c r="K4473" s="81"/>
      <c r="L4473" s="499"/>
      <c r="M4473" s="73"/>
      <c r="N4473" s="499"/>
      <c r="O4473" s="73"/>
      <c r="P4473" s="73"/>
      <c r="Q4473" s="73"/>
      <c r="R4473" s="176"/>
      <c r="S4473" s="176"/>
      <c r="T4473" s="176"/>
      <c r="U4473" s="400"/>
      <c r="V4473" s="400"/>
      <c r="W4473" s="732"/>
      <c r="X4473" s="167"/>
      <c r="Y4473" s="509"/>
      <c r="Z4473" s="466"/>
      <c r="AA4473" s="466"/>
      <c r="AB4473" s="466"/>
      <c r="AC4473" s="466"/>
      <c r="AD4473" s="466"/>
      <c r="AE4473" s="466"/>
      <c r="AF4473" s="466"/>
      <c r="AG4473" s="466"/>
      <c r="AH4473" s="466"/>
      <c r="AI4473" s="466"/>
      <c r="AJ4473" s="466"/>
      <c r="AK4473" s="466"/>
      <c r="AL4473" s="466"/>
      <c r="AM4473" s="466"/>
      <c r="AN4473" s="466"/>
      <c r="AO4473" s="466"/>
      <c r="AP4473" s="466"/>
      <c r="AQ4473" s="466"/>
      <c r="AR4473" s="466"/>
      <c r="AS4473" s="466"/>
      <c r="AT4473" s="466"/>
      <c r="AU4473" s="466"/>
      <c r="AV4473" s="466"/>
      <c r="AW4473" s="466"/>
      <c r="AX4473" s="466"/>
      <c r="AY4473" s="466"/>
      <c r="AZ4473" s="466"/>
      <c r="BA4473" s="466"/>
      <c r="BB4473" s="466"/>
      <c r="BC4473" s="466"/>
      <c r="BD4473" s="466"/>
      <c r="BE4473" s="467"/>
      <c r="BF4473" s="467"/>
      <c r="BG4473" s="466"/>
      <c r="BH4473" s="466"/>
      <c r="BI4473" s="467"/>
      <c r="BJ4473" s="467"/>
      <c r="BK4473" s="467"/>
      <c r="BL4473" s="467"/>
      <c r="BM4473" s="467"/>
      <c r="BN4473" s="467"/>
      <c r="BO4473" s="467"/>
      <c r="BP4473" s="467"/>
      <c r="BQ4473" s="467"/>
      <c r="BR4473" s="467"/>
      <c r="BS4473" s="467"/>
      <c r="BT4473" s="467"/>
      <c r="BU4473" s="467"/>
      <c r="BV4473" s="467"/>
      <c r="BW4473" s="467"/>
      <c r="BX4473" s="769"/>
      <c r="BY4473" s="769"/>
      <c r="BZ4473" s="769"/>
      <c r="CA4473" s="769"/>
      <c r="CB4473" s="769"/>
      <c r="CC4473" s="769"/>
      <c r="CD4473" s="769"/>
      <c r="CE4473" s="769"/>
      <c r="CF4473" s="769"/>
      <c r="CG4473" s="73"/>
      <c r="CH4473" s="438"/>
      <c r="CI4473" s="416"/>
      <c r="CJ4473" s="73"/>
      <c r="CK4473" s="650"/>
      <c r="CL4473" s="499"/>
      <c r="CM4473" s="650"/>
      <c r="CR4473" s="416"/>
      <c r="CS4473" s="650"/>
      <c r="CU4473" s="73"/>
      <c r="CV4473" s="73"/>
      <c r="CW4473" s="73"/>
      <c r="CX4473" s="73"/>
      <c r="DA4473" s="650"/>
    </row>
    <row r="4474" spans="1:105" s="45" customFormat="1" x14ac:dyDescent="0.2">
      <c r="A4474" s="650"/>
      <c r="B4474" s="438"/>
      <c r="D4474" s="73"/>
      <c r="E4474" s="650"/>
      <c r="F4474" s="650"/>
      <c r="G4474" s="73"/>
      <c r="I4474" s="111"/>
      <c r="J4474" s="81"/>
      <c r="K4474" s="81"/>
      <c r="L4474" s="499"/>
      <c r="M4474" s="73"/>
      <c r="N4474" s="499"/>
      <c r="O4474" s="73"/>
      <c r="P4474" s="73"/>
      <c r="Q4474" s="73"/>
      <c r="R4474" s="176"/>
      <c r="S4474" s="176"/>
      <c r="T4474" s="176"/>
      <c r="U4474" s="400"/>
      <c r="V4474" s="400"/>
      <c r="W4474" s="732"/>
      <c r="X4474" s="167"/>
      <c r="Y4474" s="509"/>
      <c r="Z4474" s="466"/>
      <c r="AA4474" s="466"/>
      <c r="AB4474" s="466"/>
      <c r="AC4474" s="466"/>
      <c r="AD4474" s="466"/>
      <c r="AE4474" s="466"/>
      <c r="AF4474" s="466"/>
      <c r="AG4474" s="466"/>
      <c r="AH4474" s="466"/>
      <c r="AI4474" s="466"/>
      <c r="AJ4474" s="466"/>
      <c r="AK4474" s="466"/>
      <c r="AL4474" s="466"/>
      <c r="AM4474" s="466"/>
      <c r="AN4474" s="466"/>
      <c r="AO4474" s="466"/>
      <c r="AP4474" s="466"/>
      <c r="AQ4474" s="466"/>
      <c r="AR4474" s="466"/>
      <c r="AS4474" s="466"/>
      <c r="AT4474" s="466"/>
      <c r="AU4474" s="466"/>
      <c r="AV4474" s="466"/>
      <c r="AW4474" s="466"/>
      <c r="AX4474" s="466"/>
      <c r="AY4474" s="466"/>
      <c r="AZ4474" s="466"/>
      <c r="BA4474" s="466"/>
      <c r="BB4474" s="466"/>
      <c r="BC4474" s="466"/>
      <c r="BD4474" s="466"/>
      <c r="BE4474" s="467"/>
      <c r="BF4474" s="467"/>
      <c r="BG4474" s="466"/>
      <c r="BH4474" s="466"/>
      <c r="BI4474" s="467"/>
      <c r="BJ4474" s="467"/>
      <c r="BK4474" s="467"/>
      <c r="BL4474" s="467"/>
      <c r="BM4474" s="467"/>
      <c r="BN4474" s="467"/>
      <c r="BO4474" s="467"/>
      <c r="BP4474" s="467"/>
      <c r="BQ4474" s="467"/>
      <c r="BR4474" s="467"/>
      <c r="BS4474" s="467"/>
      <c r="BT4474" s="467"/>
      <c r="BU4474" s="467"/>
      <c r="BV4474" s="467"/>
      <c r="BW4474" s="467"/>
      <c r="BX4474" s="769"/>
      <c r="BY4474" s="769"/>
      <c r="BZ4474" s="769"/>
      <c r="CA4474" s="769"/>
      <c r="CB4474" s="769"/>
      <c r="CC4474" s="769"/>
      <c r="CD4474" s="769"/>
      <c r="CE4474" s="769"/>
      <c r="CF4474" s="769"/>
      <c r="CG4474" s="73"/>
      <c r="CH4474" s="438"/>
      <c r="CI4474" s="416"/>
      <c r="CJ4474" s="73"/>
      <c r="CK4474" s="650"/>
      <c r="CL4474" s="499"/>
      <c r="CM4474" s="650"/>
      <c r="CR4474" s="416"/>
      <c r="CS4474" s="650"/>
      <c r="CU4474" s="73"/>
      <c r="CV4474" s="73"/>
      <c r="CW4474" s="73"/>
      <c r="CX4474" s="73"/>
      <c r="DA4474" s="650"/>
    </row>
    <row r="4475" spans="1:105" s="45" customFormat="1" x14ac:dyDescent="0.2">
      <c r="A4475" s="650"/>
      <c r="B4475" s="438"/>
      <c r="D4475" s="73"/>
      <c r="E4475" s="650"/>
      <c r="F4475" s="650"/>
      <c r="G4475" s="73"/>
      <c r="I4475" s="111"/>
      <c r="J4475" s="81"/>
      <c r="K4475" s="81"/>
      <c r="L4475" s="499"/>
      <c r="M4475" s="73"/>
      <c r="N4475" s="499"/>
      <c r="O4475" s="73"/>
      <c r="P4475" s="73"/>
      <c r="Q4475" s="73"/>
      <c r="R4475" s="176"/>
      <c r="S4475" s="176"/>
      <c r="T4475" s="176"/>
      <c r="U4475" s="400"/>
      <c r="V4475" s="400"/>
      <c r="W4475" s="732"/>
      <c r="X4475" s="167"/>
      <c r="Y4475" s="509"/>
      <c r="Z4475" s="466"/>
      <c r="AA4475" s="466"/>
      <c r="AB4475" s="466"/>
      <c r="AC4475" s="466"/>
      <c r="AD4475" s="466"/>
      <c r="AE4475" s="466"/>
      <c r="AF4475" s="466"/>
      <c r="AG4475" s="466"/>
      <c r="AH4475" s="466"/>
      <c r="AI4475" s="466"/>
      <c r="AJ4475" s="466"/>
      <c r="AK4475" s="466"/>
      <c r="AL4475" s="466"/>
      <c r="AM4475" s="466"/>
      <c r="AN4475" s="466"/>
      <c r="AO4475" s="466"/>
      <c r="AP4475" s="466"/>
      <c r="AQ4475" s="466"/>
      <c r="AR4475" s="466"/>
      <c r="AS4475" s="466"/>
      <c r="AT4475" s="466"/>
      <c r="AU4475" s="466"/>
      <c r="AV4475" s="466"/>
      <c r="AW4475" s="466"/>
      <c r="AX4475" s="466"/>
      <c r="AY4475" s="466"/>
      <c r="AZ4475" s="466"/>
      <c r="BA4475" s="466"/>
      <c r="BB4475" s="466"/>
      <c r="BC4475" s="466"/>
      <c r="BD4475" s="466"/>
      <c r="BE4475" s="467"/>
      <c r="BF4475" s="467"/>
      <c r="BG4475" s="466"/>
      <c r="BH4475" s="466"/>
      <c r="BI4475" s="467"/>
      <c r="BJ4475" s="467"/>
      <c r="BK4475" s="467"/>
      <c r="BL4475" s="467"/>
      <c r="BM4475" s="467"/>
      <c r="BN4475" s="467"/>
      <c r="BO4475" s="467"/>
      <c r="BP4475" s="467"/>
      <c r="BQ4475" s="467"/>
      <c r="BR4475" s="467"/>
      <c r="BS4475" s="467"/>
      <c r="BT4475" s="467"/>
      <c r="BU4475" s="467"/>
      <c r="BV4475" s="467"/>
      <c r="BW4475" s="467"/>
      <c r="BX4475" s="769"/>
      <c r="BY4475" s="769"/>
      <c r="BZ4475" s="769"/>
      <c r="CA4475" s="769"/>
      <c r="CB4475" s="769"/>
      <c r="CC4475" s="769"/>
      <c r="CD4475" s="769"/>
      <c r="CE4475" s="769"/>
      <c r="CF4475" s="769"/>
      <c r="CG4475" s="73"/>
      <c r="CH4475" s="438"/>
      <c r="CI4475" s="416"/>
      <c r="CJ4475" s="73"/>
      <c r="CK4475" s="650"/>
      <c r="CL4475" s="499"/>
      <c r="CM4475" s="650"/>
      <c r="CR4475" s="416"/>
      <c r="CS4475" s="650"/>
      <c r="CU4475" s="73"/>
      <c r="CV4475" s="73"/>
      <c r="CW4475" s="73"/>
      <c r="CX4475" s="73"/>
      <c r="DA4475" s="650"/>
    </row>
    <row r="4476" spans="1:105" s="45" customFormat="1" x14ac:dyDescent="0.2">
      <c r="A4476" s="650"/>
      <c r="B4476" s="438"/>
      <c r="D4476" s="73"/>
      <c r="E4476" s="650"/>
      <c r="F4476" s="650"/>
      <c r="G4476" s="73"/>
      <c r="I4476" s="111"/>
      <c r="J4476" s="81"/>
      <c r="K4476" s="81"/>
      <c r="L4476" s="499"/>
      <c r="M4476" s="73"/>
      <c r="N4476" s="499"/>
      <c r="O4476" s="73"/>
      <c r="P4476" s="73"/>
      <c r="Q4476" s="73"/>
      <c r="R4476" s="176"/>
      <c r="S4476" s="176"/>
      <c r="T4476" s="176"/>
      <c r="U4476" s="400"/>
      <c r="V4476" s="400"/>
      <c r="W4476" s="732"/>
      <c r="X4476" s="167"/>
      <c r="Y4476" s="509"/>
      <c r="Z4476" s="466"/>
      <c r="AA4476" s="466"/>
      <c r="AB4476" s="466"/>
      <c r="AC4476" s="466"/>
      <c r="AD4476" s="466"/>
      <c r="AE4476" s="466"/>
      <c r="AF4476" s="466"/>
      <c r="AG4476" s="466"/>
      <c r="AH4476" s="466"/>
      <c r="AI4476" s="466"/>
      <c r="AJ4476" s="466"/>
      <c r="AK4476" s="466"/>
      <c r="AL4476" s="466"/>
      <c r="AM4476" s="466"/>
      <c r="AN4476" s="466"/>
      <c r="AO4476" s="466"/>
      <c r="AP4476" s="466"/>
      <c r="AQ4476" s="466"/>
      <c r="AR4476" s="466"/>
      <c r="AS4476" s="466"/>
      <c r="AT4476" s="466"/>
      <c r="AU4476" s="466"/>
      <c r="AV4476" s="466"/>
      <c r="AW4476" s="466"/>
      <c r="AX4476" s="466"/>
      <c r="AY4476" s="466"/>
      <c r="AZ4476" s="466"/>
      <c r="BA4476" s="466"/>
      <c r="BB4476" s="466"/>
      <c r="BC4476" s="466"/>
      <c r="BD4476" s="466"/>
      <c r="BE4476" s="467"/>
      <c r="BF4476" s="467"/>
      <c r="BG4476" s="466"/>
      <c r="BH4476" s="466"/>
      <c r="BI4476" s="467"/>
      <c r="BJ4476" s="467"/>
      <c r="BK4476" s="467"/>
      <c r="BL4476" s="467"/>
      <c r="BM4476" s="467"/>
      <c r="BN4476" s="467"/>
      <c r="BO4476" s="467"/>
      <c r="BP4476" s="467"/>
      <c r="BQ4476" s="467"/>
      <c r="BR4476" s="467"/>
      <c r="BS4476" s="467"/>
      <c r="BT4476" s="467"/>
      <c r="BU4476" s="467"/>
      <c r="BV4476" s="467"/>
      <c r="BW4476" s="467"/>
      <c r="BX4476" s="769"/>
      <c r="BY4476" s="769"/>
      <c r="BZ4476" s="769"/>
      <c r="CA4476" s="769"/>
      <c r="CB4476" s="769"/>
      <c r="CC4476" s="769"/>
      <c r="CD4476" s="769"/>
      <c r="CE4476" s="769"/>
      <c r="CF4476" s="769"/>
      <c r="CG4476" s="73"/>
      <c r="CH4476" s="438"/>
      <c r="CI4476" s="416"/>
      <c r="CJ4476" s="73"/>
      <c r="CK4476" s="650"/>
      <c r="CL4476" s="499"/>
      <c r="CM4476" s="650"/>
      <c r="CR4476" s="416"/>
      <c r="CS4476" s="650"/>
      <c r="CU4476" s="73"/>
      <c r="CV4476" s="73"/>
      <c r="CW4476" s="73"/>
      <c r="CX4476" s="73"/>
      <c r="DA4476" s="650"/>
    </row>
    <row r="4477" spans="1:105" s="45" customFormat="1" x14ac:dyDescent="0.2">
      <c r="A4477" s="650"/>
      <c r="B4477" s="438"/>
      <c r="D4477" s="73"/>
      <c r="E4477" s="650"/>
      <c r="F4477" s="650"/>
      <c r="G4477" s="73"/>
      <c r="I4477" s="111"/>
      <c r="J4477" s="81"/>
      <c r="K4477" s="81"/>
      <c r="L4477" s="499"/>
      <c r="M4477" s="73"/>
      <c r="N4477" s="499"/>
      <c r="O4477" s="73"/>
      <c r="P4477" s="73"/>
      <c r="Q4477" s="73"/>
      <c r="R4477" s="176"/>
      <c r="S4477" s="176"/>
      <c r="T4477" s="176"/>
      <c r="U4477" s="400"/>
      <c r="V4477" s="400"/>
      <c r="W4477" s="732"/>
      <c r="X4477" s="167"/>
      <c r="Y4477" s="509"/>
      <c r="Z4477" s="466"/>
      <c r="AA4477" s="466"/>
      <c r="AB4477" s="466"/>
      <c r="AC4477" s="466"/>
      <c r="AD4477" s="466"/>
      <c r="AE4477" s="466"/>
      <c r="AF4477" s="466"/>
      <c r="AG4477" s="466"/>
      <c r="AH4477" s="466"/>
      <c r="AI4477" s="466"/>
      <c r="AJ4477" s="466"/>
      <c r="AK4477" s="466"/>
      <c r="AL4477" s="466"/>
      <c r="AM4477" s="466"/>
      <c r="AN4477" s="466"/>
      <c r="AO4477" s="466"/>
      <c r="AP4477" s="466"/>
      <c r="AQ4477" s="466"/>
      <c r="AR4477" s="466"/>
      <c r="AS4477" s="466"/>
      <c r="AT4477" s="466"/>
      <c r="AU4477" s="466"/>
      <c r="AV4477" s="466"/>
      <c r="AW4477" s="466"/>
      <c r="AX4477" s="466"/>
      <c r="AY4477" s="466"/>
      <c r="AZ4477" s="466"/>
      <c r="BA4477" s="466"/>
      <c r="BB4477" s="466"/>
      <c r="BC4477" s="466"/>
      <c r="BD4477" s="466"/>
      <c r="BE4477" s="467"/>
      <c r="BF4477" s="467"/>
      <c r="BG4477" s="466"/>
      <c r="BH4477" s="466"/>
      <c r="BI4477" s="467"/>
      <c r="BJ4477" s="467"/>
      <c r="BK4477" s="467"/>
      <c r="BL4477" s="467"/>
      <c r="BM4477" s="467"/>
      <c r="BN4477" s="467"/>
      <c r="BO4477" s="467"/>
      <c r="BP4477" s="467"/>
      <c r="BQ4477" s="467"/>
      <c r="BR4477" s="467"/>
      <c r="BS4477" s="467"/>
      <c r="BT4477" s="467"/>
      <c r="BU4477" s="467"/>
      <c r="BV4477" s="467"/>
      <c r="BW4477" s="467"/>
      <c r="BX4477" s="769"/>
      <c r="BY4477" s="769"/>
      <c r="BZ4477" s="769"/>
      <c r="CA4477" s="769"/>
      <c r="CB4477" s="769"/>
      <c r="CC4477" s="769"/>
      <c r="CD4477" s="769"/>
      <c r="CE4477" s="769"/>
      <c r="CF4477" s="769"/>
      <c r="CG4477" s="73"/>
      <c r="CH4477" s="438"/>
      <c r="CI4477" s="416"/>
      <c r="CJ4477" s="73"/>
      <c r="CK4477" s="650"/>
      <c r="CL4477" s="499"/>
      <c r="CM4477" s="650"/>
      <c r="CR4477" s="416"/>
      <c r="CS4477" s="650"/>
      <c r="CU4477" s="73"/>
      <c r="CV4477" s="73"/>
      <c r="CW4477" s="73"/>
      <c r="CX4477" s="73"/>
      <c r="DA4477" s="650"/>
    </row>
    <row r="4478" spans="1:105" s="45" customFormat="1" x14ac:dyDescent="0.2">
      <c r="A4478" s="650"/>
      <c r="B4478" s="438"/>
      <c r="D4478" s="73"/>
      <c r="E4478" s="650"/>
      <c r="F4478" s="650"/>
      <c r="G4478" s="73"/>
      <c r="I4478" s="111"/>
      <c r="J4478" s="81"/>
      <c r="K4478" s="81"/>
      <c r="L4478" s="499"/>
      <c r="M4478" s="73"/>
      <c r="N4478" s="499"/>
      <c r="O4478" s="73"/>
      <c r="P4478" s="73"/>
      <c r="Q4478" s="73"/>
      <c r="R4478" s="176"/>
      <c r="S4478" s="176"/>
      <c r="T4478" s="176"/>
      <c r="U4478" s="400"/>
      <c r="V4478" s="400"/>
      <c r="W4478" s="732"/>
      <c r="X4478" s="167"/>
      <c r="Y4478" s="509"/>
      <c r="Z4478" s="466"/>
      <c r="AA4478" s="466"/>
      <c r="AB4478" s="466"/>
      <c r="AC4478" s="466"/>
      <c r="AD4478" s="466"/>
      <c r="AE4478" s="466"/>
      <c r="AF4478" s="466"/>
      <c r="AG4478" s="466"/>
      <c r="AH4478" s="466"/>
      <c r="AI4478" s="466"/>
      <c r="AJ4478" s="466"/>
      <c r="AK4478" s="466"/>
      <c r="AL4478" s="466"/>
      <c r="AM4478" s="466"/>
      <c r="AN4478" s="466"/>
      <c r="AO4478" s="466"/>
      <c r="AP4478" s="466"/>
      <c r="AQ4478" s="466"/>
      <c r="AR4478" s="466"/>
      <c r="AS4478" s="466"/>
      <c r="AT4478" s="466"/>
      <c r="AU4478" s="466"/>
      <c r="AV4478" s="466"/>
      <c r="AW4478" s="466"/>
      <c r="AX4478" s="466"/>
      <c r="AY4478" s="466"/>
      <c r="AZ4478" s="466"/>
      <c r="BA4478" s="466"/>
      <c r="BB4478" s="466"/>
      <c r="BC4478" s="466"/>
      <c r="BD4478" s="466"/>
      <c r="BE4478" s="467"/>
      <c r="BF4478" s="467"/>
      <c r="BG4478" s="466"/>
      <c r="BH4478" s="466"/>
      <c r="BI4478" s="467"/>
      <c r="BJ4478" s="467"/>
      <c r="BK4478" s="467"/>
      <c r="BL4478" s="467"/>
      <c r="BM4478" s="467"/>
      <c r="BN4478" s="467"/>
      <c r="BO4478" s="467"/>
      <c r="BP4478" s="467"/>
      <c r="BQ4478" s="467"/>
      <c r="BR4478" s="467"/>
      <c r="BS4478" s="467"/>
      <c r="BT4478" s="467"/>
      <c r="BU4478" s="467"/>
      <c r="BV4478" s="467"/>
      <c r="BW4478" s="467"/>
      <c r="BX4478" s="769"/>
      <c r="BY4478" s="769"/>
      <c r="BZ4478" s="769"/>
      <c r="CA4478" s="769"/>
      <c r="CB4478" s="769"/>
      <c r="CC4478" s="769"/>
      <c r="CD4478" s="769"/>
      <c r="CE4478" s="769"/>
      <c r="CF4478" s="769"/>
      <c r="CG4478" s="73"/>
      <c r="CH4478" s="438"/>
      <c r="CI4478" s="416"/>
      <c r="CJ4478" s="73"/>
      <c r="CK4478" s="650"/>
      <c r="CL4478" s="499"/>
      <c r="CM4478" s="650"/>
      <c r="CR4478" s="416"/>
      <c r="CS4478" s="650"/>
      <c r="CU4478" s="73"/>
      <c r="CV4478" s="73"/>
      <c r="CW4478" s="73"/>
      <c r="CX4478" s="73"/>
      <c r="DA4478" s="650"/>
    </row>
    <row r="4479" spans="1:105" s="45" customFormat="1" x14ac:dyDescent="0.2">
      <c r="A4479" s="650"/>
      <c r="B4479" s="438"/>
      <c r="D4479" s="73"/>
      <c r="E4479" s="650"/>
      <c r="F4479" s="650"/>
      <c r="G4479" s="73"/>
      <c r="I4479" s="111"/>
      <c r="J4479" s="81"/>
      <c r="K4479" s="81"/>
      <c r="L4479" s="499"/>
      <c r="M4479" s="73"/>
      <c r="N4479" s="499"/>
      <c r="O4479" s="73"/>
      <c r="P4479" s="73"/>
      <c r="Q4479" s="73"/>
      <c r="R4479" s="176"/>
      <c r="S4479" s="176"/>
      <c r="T4479" s="176"/>
      <c r="U4479" s="400"/>
      <c r="V4479" s="400"/>
      <c r="W4479" s="732"/>
      <c r="X4479" s="167"/>
      <c r="Y4479" s="509"/>
      <c r="Z4479" s="466"/>
      <c r="AA4479" s="466"/>
      <c r="AB4479" s="466"/>
      <c r="AC4479" s="466"/>
      <c r="AD4479" s="466"/>
      <c r="AE4479" s="466"/>
      <c r="AF4479" s="466"/>
      <c r="AG4479" s="466"/>
      <c r="AH4479" s="466"/>
      <c r="AI4479" s="466"/>
      <c r="AJ4479" s="466"/>
      <c r="AK4479" s="466"/>
      <c r="AL4479" s="466"/>
      <c r="AM4479" s="466"/>
      <c r="AN4479" s="466"/>
      <c r="AO4479" s="466"/>
      <c r="AP4479" s="466"/>
      <c r="AQ4479" s="466"/>
      <c r="AR4479" s="466"/>
      <c r="AS4479" s="466"/>
      <c r="AT4479" s="466"/>
      <c r="AU4479" s="466"/>
      <c r="AV4479" s="466"/>
      <c r="AW4479" s="466"/>
      <c r="AX4479" s="466"/>
      <c r="AY4479" s="466"/>
      <c r="AZ4479" s="466"/>
      <c r="BA4479" s="466"/>
      <c r="BB4479" s="466"/>
      <c r="BC4479" s="466"/>
      <c r="BD4479" s="466"/>
      <c r="BE4479" s="467"/>
      <c r="BF4479" s="467"/>
      <c r="BG4479" s="466"/>
      <c r="BH4479" s="466"/>
      <c r="BI4479" s="467"/>
      <c r="BJ4479" s="467"/>
      <c r="BK4479" s="467"/>
      <c r="BL4479" s="467"/>
      <c r="BM4479" s="467"/>
      <c r="BN4479" s="467"/>
      <c r="BO4479" s="467"/>
      <c r="BP4479" s="467"/>
      <c r="BQ4479" s="467"/>
      <c r="BR4479" s="467"/>
      <c r="BS4479" s="467"/>
      <c r="BT4479" s="467"/>
      <c r="BU4479" s="467"/>
      <c r="BV4479" s="467"/>
      <c r="BW4479" s="467"/>
      <c r="BX4479" s="769"/>
      <c r="BY4479" s="769"/>
      <c r="BZ4479" s="769"/>
      <c r="CA4479" s="769"/>
      <c r="CB4479" s="769"/>
      <c r="CC4479" s="769"/>
      <c r="CD4479" s="769"/>
      <c r="CE4479" s="769"/>
      <c r="CF4479" s="769"/>
      <c r="CG4479" s="73"/>
      <c r="CH4479" s="438"/>
      <c r="CI4479" s="416"/>
      <c r="CJ4479" s="73"/>
      <c r="CK4479" s="650"/>
      <c r="CL4479" s="499"/>
      <c r="CM4479" s="650"/>
      <c r="CR4479" s="416"/>
      <c r="CS4479" s="650"/>
      <c r="CU4479" s="73"/>
      <c r="CV4479" s="73"/>
      <c r="CW4479" s="73"/>
      <c r="CX4479" s="73"/>
      <c r="DA4479" s="650"/>
    </row>
    <row r="4480" spans="1:105" s="45" customFormat="1" x14ac:dyDescent="0.2">
      <c r="A4480" s="650"/>
      <c r="B4480" s="438"/>
      <c r="D4480" s="73"/>
      <c r="E4480" s="650"/>
      <c r="F4480" s="650"/>
      <c r="G4480" s="73"/>
      <c r="I4480" s="111"/>
      <c r="J4480" s="81"/>
      <c r="K4480" s="81"/>
      <c r="L4480" s="499"/>
      <c r="M4480" s="73"/>
      <c r="N4480" s="499"/>
      <c r="O4480" s="73"/>
      <c r="P4480" s="73"/>
      <c r="Q4480" s="73"/>
      <c r="R4480" s="176"/>
      <c r="S4480" s="176"/>
      <c r="T4480" s="176"/>
      <c r="U4480" s="400"/>
      <c r="V4480" s="400"/>
      <c r="W4480" s="732"/>
      <c r="X4480" s="167"/>
      <c r="Y4480" s="509"/>
      <c r="Z4480" s="466"/>
      <c r="AA4480" s="466"/>
      <c r="AB4480" s="466"/>
      <c r="AC4480" s="466"/>
      <c r="AD4480" s="466"/>
      <c r="AE4480" s="466"/>
      <c r="AF4480" s="466"/>
      <c r="AG4480" s="466"/>
      <c r="AH4480" s="466"/>
      <c r="AI4480" s="466"/>
      <c r="AJ4480" s="466"/>
      <c r="AK4480" s="466"/>
      <c r="AL4480" s="466"/>
      <c r="AM4480" s="466"/>
      <c r="AN4480" s="466"/>
      <c r="AO4480" s="466"/>
      <c r="AP4480" s="466"/>
      <c r="AQ4480" s="466"/>
      <c r="AR4480" s="466"/>
      <c r="AS4480" s="466"/>
      <c r="AT4480" s="466"/>
      <c r="AU4480" s="466"/>
      <c r="AV4480" s="466"/>
      <c r="AW4480" s="466"/>
      <c r="AX4480" s="466"/>
      <c r="AY4480" s="466"/>
      <c r="AZ4480" s="466"/>
      <c r="BA4480" s="466"/>
      <c r="BB4480" s="466"/>
      <c r="BC4480" s="466"/>
      <c r="BD4480" s="466"/>
      <c r="BE4480" s="467"/>
      <c r="BF4480" s="467"/>
      <c r="BG4480" s="466"/>
      <c r="BH4480" s="466"/>
      <c r="BI4480" s="467"/>
      <c r="BJ4480" s="467"/>
      <c r="BK4480" s="467"/>
      <c r="BL4480" s="467"/>
      <c r="BM4480" s="467"/>
      <c r="BN4480" s="467"/>
      <c r="BO4480" s="467"/>
      <c r="BP4480" s="467"/>
      <c r="BQ4480" s="467"/>
      <c r="BR4480" s="467"/>
      <c r="BS4480" s="467"/>
      <c r="BT4480" s="467"/>
      <c r="BU4480" s="467"/>
      <c r="BV4480" s="467"/>
      <c r="BW4480" s="467"/>
      <c r="BX4480" s="769"/>
      <c r="BY4480" s="769"/>
      <c r="BZ4480" s="769"/>
      <c r="CA4480" s="769"/>
      <c r="CB4480" s="769"/>
      <c r="CC4480" s="769"/>
      <c r="CD4480" s="769"/>
      <c r="CE4480" s="769"/>
      <c r="CF4480" s="769"/>
      <c r="CG4480" s="73"/>
      <c r="CH4480" s="438"/>
      <c r="CI4480" s="416"/>
      <c r="CJ4480" s="73"/>
      <c r="CK4480" s="650"/>
      <c r="CL4480" s="499"/>
      <c r="CM4480" s="650"/>
      <c r="CR4480" s="416"/>
      <c r="CS4480" s="650"/>
      <c r="CU4480" s="73"/>
      <c r="CV4480" s="73"/>
      <c r="CW4480" s="73"/>
      <c r="CX4480" s="73"/>
      <c r="DA4480" s="650"/>
    </row>
    <row r="4481" spans="1:105" s="45" customFormat="1" x14ac:dyDescent="0.2">
      <c r="A4481" s="650"/>
      <c r="B4481" s="438"/>
      <c r="D4481" s="73"/>
      <c r="E4481" s="650"/>
      <c r="F4481" s="650"/>
      <c r="G4481" s="73"/>
      <c r="I4481" s="111"/>
      <c r="J4481" s="81"/>
      <c r="K4481" s="81"/>
      <c r="L4481" s="499"/>
      <c r="M4481" s="73"/>
      <c r="N4481" s="499"/>
      <c r="O4481" s="73"/>
      <c r="P4481" s="73"/>
      <c r="Q4481" s="73"/>
      <c r="R4481" s="176"/>
      <c r="S4481" s="176"/>
      <c r="T4481" s="176"/>
      <c r="U4481" s="400"/>
      <c r="V4481" s="400"/>
      <c r="W4481" s="732"/>
      <c r="X4481" s="167"/>
      <c r="Y4481" s="509"/>
      <c r="Z4481" s="466"/>
      <c r="AA4481" s="466"/>
      <c r="AB4481" s="466"/>
      <c r="AC4481" s="466"/>
      <c r="AD4481" s="466"/>
      <c r="AE4481" s="466"/>
      <c r="AF4481" s="466"/>
      <c r="AG4481" s="466"/>
      <c r="AH4481" s="466"/>
      <c r="AI4481" s="466"/>
      <c r="AJ4481" s="466"/>
      <c r="AK4481" s="466"/>
      <c r="AL4481" s="466"/>
      <c r="AM4481" s="466"/>
      <c r="AN4481" s="466"/>
      <c r="AO4481" s="466"/>
      <c r="AP4481" s="466"/>
      <c r="AQ4481" s="466"/>
      <c r="AR4481" s="466"/>
      <c r="AS4481" s="466"/>
      <c r="AT4481" s="466"/>
      <c r="AU4481" s="466"/>
      <c r="AV4481" s="466"/>
      <c r="AW4481" s="466"/>
      <c r="AX4481" s="466"/>
      <c r="AY4481" s="466"/>
      <c r="AZ4481" s="466"/>
      <c r="BA4481" s="466"/>
      <c r="BB4481" s="466"/>
      <c r="BC4481" s="466"/>
      <c r="BD4481" s="466"/>
      <c r="BE4481" s="467"/>
      <c r="BF4481" s="467"/>
      <c r="BG4481" s="466"/>
      <c r="BH4481" s="466"/>
      <c r="BI4481" s="467"/>
      <c r="BJ4481" s="467"/>
      <c r="BK4481" s="467"/>
      <c r="BL4481" s="467"/>
      <c r="BM4481" s="467"/>
      <c r="BN4481" s="467"/>
      <c r="BO4481" s="467"/>
      <c r="BP4481" s="467"/>
      <c r="BQ4481" s="467"/>
      <c r="BR4481" s="467"/>
      <c r="BS4481" s="467"/>
      <c r="BT4481" s="467"/>
      <c r="BU4481" s="467"/>
      <c r="BV4481" s="467"/>
      <c r="BW4481" s="467"/>
      <c r="BX4481" s="769"/>
      <c r="BY4481" s="769"/>
      <c r="BZ4481" s="769"/>
      <c r="CA4481" s="769"/>
      <c r="CB4481" s="769"/>
      <c r="CC4481" s="769"/>
      <c r="CD4481" s="769"/>
      <c r="CE4481" s="769"/>
      <c r="CF4481" s="769"/>
      <c r="CG4481" s="73"/>
      <c r="CH4481" s="438"/>
      <c r="CI4481" s="416"/>
      <c r="CJ4481" s="73"/>
      <c r="CK4481" s="650"/>
      <c r="CL4481" s="499"/>
      <c r="CM4481" s="650"/>
      <c r="CR4481" s="416"/>
      <c r="CS4481" s="650"/>
      <c r="CU4481" s="73"/>
      <c r="CV4481" s="73"/>
      <c r="CW4481" s="73"/>
      <c r="CX4481" s="73"/>
      <c r="DA4481" s="650"/>
    </row>
    <row r="4482" spans="1:105" s="45" customFormat="1" x14ac:dyDescent="0.2">
      <c r="A4482" s="650"/>
      <c r="B4482" s="438"/>
      <c r="D4482" s="73"/>
      <c r="E4482" s="650"/>
      <c r="F4482" s="650"/>
      <c r="G4482" s="73"/>
      <c r="I4482" s="111"/>
      <c r="J4482" s="81"/>
      <c r="K4482" s="81"/>
      <c r="L4482" s="499"/>
      <c r="M4482" s="73"/>
      <c r="N4482" s="499"/>
      <c r="O4482" s="73"/>
      <c r="P4482" s="73"/>
      <c r="Q4482" s="73"/>
      <c r="R4482" s="176"/>
      <c r="S4482" s="176"/>
      <c r="T4482" s="176"/>
      <c r="U4482" s="400"/>
      <c r="V4482" s="400"/>
      <c r="W4482" s="732"/>
      <c r="X4482" s="167"/>
      <c r="Y4482" s="509"/>
      <c r="Z4482" s="466"/>
      <c r="AA4482" s="466"/>
      <c r="AB4482" s="466"/>
      <c r="AC4482" s="466"/>
      <c r="AD4482" s="466"/>
      <c r="AE4482" s="466"/>
      <c r="AF4482" s="466"/>
      <c r="AG4482" s="466"/>
      <c r="AH4482" s="466"/>
      <c r="AI4482" s="466"/>
      <c r="AJ4482" s="466"/>
      <c r="AK4482" s="466"/>
      <c r="AL4482" s="466"/>
      <c r="AM4482" s="466"/>
      <c r="AN4482" s="466"/>
      <c r="AO4482" s="466"/>
      <c r="AP4482" s="466"/>
      <c r="AQ4482" s="466"/>
      <c r="AR4482" s="466"/>
      <c r="AS4482" s="466"/>
      <c r="AT4482" s="466"/>
      <c r="AU4482" s="466"/>
      <c r="AV4482" s="466"/>
      <c r="AW4482" s="466"/>
      <c r="AX4482" s="466"/>
      <c r="AY4482" s="466"/>
      <c r="AZ4482" s="466"/>
      <c r="BA4482" s="466"/>
      <c r="BB4482" s="466"/>
      <c r="BC4482" s="466"/>
      <c r="BD4482" s="466"/>
      <c r="BE4482" s="467"/>
      <c r="BF4482" s="467"/>
      <c r="BG4482" s="466"/>
      <c r="BH4482" s="466"/>
      <c r="BI4482" s="467"/>
      <c r="BJ4482" s="467"/>
      <c r="BK4482" s="467"/>
      <c r="BL4482" s="467"/>
      <c r="BM4482" s="467"/>
      <c r="BN4482" s="467"/>
      <c r="BO4482" s="467"/>
      <c r="BP4482" s="467"/>
      <c r="BQ4482" s="467"/>
      <c r="BR4482" s="467"/>
      <c r="BS4482" s="467"/>
      <c r="BT4482" s="467"/>
      <c r="BU4482" s="467"/>
      <c r="BV4482" s="467"/>
      <c r="BW4482" s="467"/>
      <c r="BX4482" s="769"/>
      <c r="BY4482" s="769"/>
      <c r="BZ4482" s="769"/>
      <c r="CA4482" s="769"/>
      <c r="CB4482" s="769"/>
      <c r="CC4482" s="769"/>
      <c r="CD4482" s="769"/>
      <c r="CE4482" s="769"/>
      <c r="CF4482" s="769"/>
      <c r="CG4482" s="73"/>
      <c r="CH4482" s="438"/>
      <c r="CI4482" s="416"/>
      <c r="CJ4482" s="73"/>
      <c r="CK4482" s="650"/>
      <c r="CL4482" s="499"/>
      <c r="CM4482" s="650"/>
      <c r="CR4482" s="416"/>
      <c r="CS4482" s="650"/>
      <c r="CU4482" s="73"/>
      <c r="CV4482" s="73"/>
      <c r="CW4482" s="73"/>
      <c r="CX4482" s="73"/>
      <c r="DA4482" s="650"/>
    </row>
    <row r="4483" spans="1:105" s="45" customFormat="1" x14ac:dyDescent="0.2">
      <c r="A4483" s="650"/>
      <c r="B4483" s="438"/>
      <c r="D4483" s="73"/>
      <c r="E4483" s="650"/>
      <c r="F4483" s="650"/>
      <c r="G4483" s="73"/>
      <c r="I4483" s="111"/>
      <c r="J4483" s="81"/>
      <c r="K4483" s="81"/>
      <c r="L4483" s="499"/>
      <c r="M4483" s="73"/>
      <c r="N4483" s="499"/>
      <c r="O4483" s="73"/>
      <c r="P4483" s="73"/>
      <c r="Q4483" s="73"/>
      <c r="R4483" s="176"/>
      <c r="S4483" s="176"/>
      <c r="T4483" s="176"/>
      <c r="U4483" s="400"/>
      <c r="V4483" s="400"/>
      <c r="W4483" s="732"/>
      <c r="X4483" s="167"/>
      <c r="Y4483" s="509"/>
      <c r="Z4483" s="466"/>
      <c r="AA4483" s="466"/>
      <c r="AB4483" s="466"/>
      <c r="AC4483" s="466"/>
      <c r="AD4483" s="466"/>
      <c r="AE4483" s="466"/>
      <c r="AF4483" s="466"/>
      <c r="AG4483" s="466"/>
      <c r="AH4483" s="466"/>
      <c r="AI4483" s="466"/>
      <c r="AJ4483" s="466"/>
      <c r="AK4483" s="466"/>
      <c r="AL4483" s="466"/>
      <c r="AM4483" s="466"/>
      <c r="AN4483" s="466"/>
      <c r="AO4483" s="466"/>
      <c r="AP4483" s="466"/>
      <c r="AQ4483" s="466"/>
      <c r="AR4483" s="466"/>
      <c r="AS4483" s="466"/>
      <c r="AT4483" s="466"/>
      <c r="AU4483" s="466"/>
      <c r="AV4483" s="466"/>
      <c r="AW4483" s="466"/>
      <c r="AX4483" s="466"/>
      <c r="AY4483" s="466"/>
      <c r="AZ4483" s="466"/>
      <c r="BA4483" s="466"/>
      <c r="BB4483" s="466"/>
      <c r="BC4483" s="466"/>
      <c r="BD4483" s="466"/>
      <c r="BE4483" s="467"/>
      <c r="BF4483" s="467"/>
      <c r="BG4483" s="466"/>
      <c r="BH4483" s="466"/>
      <c r="BI4483" s="467"/>
      <c r="BJ4483" s="467"/>
      <c r="BK4483" s="467"/>
      <c r="BL4483" s="467"/>
      <c r="BM4483" s="467"/>
      <c r="BN4483" s="467"/>
      <c r="BO4483" s="467"/>
      <c r="BP4483" s="467"/>
      <c r="BQ4483" s="467"/>
      <c r="BR4483" s="467"/>
      <c r="BS4483" s="467"/>
      <c r="BT4483" s="467"/>
      <c r="BU4483" s="467"/>
      <c r="BV4483" s="467"/>
      <c r="BW4483" s="467"/>
      <c r="BX4483" s="769"/>
      <c r="BY4483" s="769"/>
      <c r="BZ4483" s="769"/>
      <c r="CA4483" s="769"/>
      <c r="CB4483" s="769"/>
      <c r="CC4483" s="769"/>
      <c r="CD4483" s="769"/>
      <c r="CE4483" s="769"/>
      <c r="CF4483" s="769"/>
      <c r="CG4483" s="73"/>
      <c r="CH4483" s="438"/>
      <c r="CI4483" s="416"/>
      <c r="CJ4483" s="73"/>
      <c r="CK4483" s="650"/>
      <c r="CL4483" s="499"/>
      <c r="CM4483" s="650"/>
      <c r="CR4483" s="416"/>
      <c r="CS4483" s="650"/>
      <c r="CU4483" s="73"/>
      <c r="CV4483" s="73"/>
      <c r="CW4483" s="73"/>
      <c r="CX4483" s="73"/>
      <c r="DA4483" s="650"/>
    </row>
    <row r="4484" spans="1:105" s="45" customFormat="1" x14ac:dyDescent="0.2">
      <c r="A4484" s="650"/>
      <c r="B4484" s="438"/>
      <c r="D4484" s="73"/>
      <c r="E4484" s="650"/>
      <c r="F4484" s="650"/>
      <c r="G4484" s="73"/>
      <c r="I4484" s="111"/>
      <c r="J4484" s="81"/>
      <c r="K4484" s="81"/>
      <c r="L4484" s="499"/>
      <c r="M4484" s="73"/>
      <c r="N4484" s="499"/>
      <c r="O4484" s="73"/>
      <c r="P4484" s="73"/>
      <c r="Q4484" s="73"/>
      <c r="R4484" s="176"/>
      <c r="S4484" s="176"/>
      <c r="T4484" s="176"/>
      <c r="U4484" s="400"/>
      <c r="V4484" s="400"/>
      <c r="W4484" s="732"/>
      <c r="X4484" s="167"/>
      <c r="Y4484" s="509"/>
      <c r="Z4484" s="466"/>
      <c r="AA4484" s="466"/>
      <c r="AB4484" s="466"/>
      <c r="AC4484" s="466"/>
      <c r="AD4484" s="466"/>
      <c r="AE4484" s="466"/>
      <c r="AF4484" s="466"/>
      <c r="AG4484" s="466"/>
      <c r="AH4484" s="466"/>
      <c r="AI4484" s="466"/>
      <c r="AJ4484" s="466"/>
      <c r="AK4484" s="466"/>
      <c r="AL4484" s="466"/>
      <c r="AM4484" s="466"/>
      <c r="AN4484" s="466"/>
      <c r="AO4484" s="466"/>
      <c r="AP4484" s="466"/>
      <c r="AQ4484" s="466"/>
      <c r="AR4484" s="466"/>
      <c r="AS4484" s="466"/>
      <c r="AT4484" s="466"/>
      <c r="AU4484" s="466"/>
      <c r="AV4484" s="466"/>
      <c r="AW4484" s="466"/>
      <c r="AX4484" s="466"/>
      <c r="AY4484" s="466"/>
      <c r="AZ4484" s="466"/>
      <c r="BA4484" s="466"/>
      <c r="BB4484" s="466"/>
      <c r="BC4484" s="466"/>
      <c r="BD4484" s="466"/>
      <c r="BE4484" s="467"/>
      <c r="BF4484" s="467"/>
      <c r="BG4484" s="466"/>
      <c r="BH4484" s="466"/>
      <c r="BI4484" s="467"/>
      <c r="BJ4484" s="467"/>
      <c r="BK4484" s="467"/>
      <c r="BL4484" s="467"/>
      <c r="BM4484" s="467"/>
      <c r="BN4484" s="467"/>
      <c r="BO4484" s="467"/>
      <c r="BP4484" s="467"/>
      <c r="BQ4484" s="467"/>
      <c r="BR4484" s="467"/>
      <c r="BS4484" s="467"/>
      <c r="BT4484" s="467"/>
      <c r="BU4484" s="467"/>
      <c r="BV4484" s="467"/>
      <c r="BW4484" s="467"/>
      <c r="BX4484" s="769"/>
      <c r="BY4484" s="769"/>
      <c r="BZ4484" s="769"/>
      <c r="CA4484" s="769"/>
      <c r="CB4484" s="769"/>
      <c r="CC4484" s="769"/>
      <c r="CD4484" s="769"/>
      <c r="CE4484" s="769"/>
      <c r="CF4484" s="769"/>
      <c r="CG4484" s="73"/>
      <c r="CH4484" s="438"/>
      <c r="CI4484" s="416"/>
      <c r="CJ4484" s="73"/>
      <c r="CK4484" s="650"/>
      <c r="CL4484" s="499"/>
      <c r="CM4484" s="650"/>
      <c r="CR4484" s="416"/>
      <c r="CS4484" s="650"/>
      <c r="CU4484" s="73"/>
      <c r="CV4484" s="73"/>
      <c r="CW4484" s="73"/>
      <c r="CX4484" s="73"/>
      <c r="DA4484" s="650"/>
    </row>
    <row r="4485" spans="1:105" s="45" customFormat="1" x14ac:dyDescent="0.2">
      <c r="A4485" s="650"/>
      <c r="B4485" s="438"/>
      <c r="D4485" s="73"/>
      <c r="E4485" s="650"/>
      <c r="F4485" s="650"/>
      <c r="G4485" s="73"/>
      <c r="I4485" s="111"/>
      <c r="J4485" s="81"/>
      <c r="K4485" s="81"/>
      <c r="L4485" s="499"/>
      <c r="M4485" s="73"/>
      <c r="N4485" s="499"/>
      <c r="O4485" s="73"/>
      <c r="P4485" s="73"/>
      <c r="Q4485" s="73"/>
      <c r="R4485" s="176"/>
      <c r="S4485" s="176"/>
      <c r="T4485" s="176"/>
      <c r="U4485" s="400"/>
      <c r="V4485" s="400"/>
      <c r="W4485" s="732"/>
      <c r="X4485" s="167"/>
      <c r="Y4485" s="509"/>
      <c r="Z4485" s="466"/>
      <c r="AA4485" s="466"/>
      <c r="AB4485" s="466"/>
      <c r="AC4485" s="466"/>
      <c r="AD4485" s="466"/>
      <c r="AE4485" s="466"/>
      <c r="AF4485" s="466"/>
      <c r="AG4485" s="466"/>
      <c r="AH4485" s="466"/>
      <c r="AI4485" s="466"/>
      <c r="AJ4485" s="466"/>
      <c r="AK4485" s="466"/>
      <c r="AL4485" s="466"/>
      <c r="AM4485" s="466"/>
      <c r="AN4485" s="466"/>
      <c r="AO4485" s="466"/>
      <c r="AP4485" s="466"/>
      <c r="AQ4485" s="466"/>
      <c r="AR4485" s="466"/>
      <c r="AS4485" s="466"/>
      <c r="AT4485" s="466"/>
      <c r="AU4485" s="466"/>
      <c r="AV4485" s="466"/>
      <c r="AW4485" s="466"/>
      <c r="AX4485" s="466"/>
      <c r="AY4485" s="466"/>
      <c r="AZ4485" s="466"/>
      <c r="BA4485" s="466"/>
      <c r="BB4485" s="466"/>
      <c r="BC4485" s="466"/>
      <c r="BD4485" s="466"/>
      <c r="BE4485" s="467"/>
      <c r="BF4485" s="467"/>
      <c r="BG4485" s="466"/>
      <c r="BH4485" s="466"/>
      <c r="BI4485" s="467"/>
      <c r="BJ4485" s="467"/>
      <c r="BK4485" s="467"/>
      <c r="BL4485" s="467"/>
      <c r="BM4485" s="467"/>
      <c r="BN4485" s="467"/>
      <c r="BO4485" s="467"/>
      <c r="BP4485" s="467"/>
      <c r="BQ4485" s="467"/>
      <c r="BR4485" s="467"/>
      <c r="BS4485" s="467"/>
      <c r="BT4485" s="467"/>
      <c r="BU4485" s="467"/>
      <c r="BV4485" s="467"/>
      <c r="BW4485" s="467"/>
      <c r="BX4485" s="769"/>
      <c r="BY4485" s="769"/>
      <c r="BZ4485" s="769"/>
      <c r="CA4485" s="769"/>
      <c r="CB4485" s="769"/>
      <c r="CC4485" s="769"/>
      <c r="CD4485" s="769"/>
      <c r="CE4485" s="769"/>
      <c r="CF4485" s="769"/>
      <c r="CG4485" s="73"/>
      <c r="CH4485" s="438"/>
      <c r="CI4485" s="416"/>
      <c r="CJ4485" s="73"/>
      <c r="CK4485" s="650"/>
      <c r="CL4485" s="499"/>
      <c r="CM4485" s="650"/>
      <c r="CR4485" s="416"/>
      <c r="CS4485" s="650"/>
      <c r="CU4485" s="73"/>
      <c r="CV4485" s="73"/>
      <c r="CW4485" s="73"/>
      <c r="CX4485" s="73"/>
      <c r="DA4485" s="650"/>
    </row>
    <row r="4486" spans="1:105" s="45" customFormat="1" x14ac:dyDescent="0.2">
      <c r="A4486" s="650"/>
      <c r="B4486" s="438"/>
      <c r="D4486" s="73"/>
      <c r="E4486" s="650"/>
      <c r="F4486" s="650"/>
      <c r="G4486" s="73"/>
      <c r="I4486" s="111"/>
      <c r="J4486" s="81"/>
      <c r="K4486" s="81"/>
      <c r="L4486" s="499"/>
      <c r="M4486" s="73"/>
      <c r="N4486" s="499"/>
      <c r="O4486" s="73"/>
      <c r="P4486" s="73"/>
      <c r="Q4486" s="73"/>
      <c r="R4486" s="176"/>
      <c r="S4486" s="176"/>
      <c r="T4486" s="176"/>
      <c r="U4486" s="400"/>
      <c r="V4486" s="400"/>
      <c r="W4486" s="732"/>
      <c r="X4486" s="167"/>
      <c r="Y4486" s="509"/>
      <c r="Z4486" s="466"/>
      <c r="AA4486" s="466"/>
      <c r="AB4486" s="466"/>
      <c r="AC4486" s="466"/>
      <c r="AD4486" s="466"/>
      <c r="AE4486" s="466"/>
      <c r="AF4486" s="466"/>
      <c r="AG4486" s="466"/>
      <c r="AH4486" s="466"/>
      <c r="AI4486" s="466"/>
      <c r="AJ4486" s="466"/>
      <c r="AK4486" s="466"/>
      <c r="AL4486" s="466"/>
      <c r="AM4486" s="466"/>
      <c r="AN4486" s="466"/>
      <c r="AO4486" s="466"/>
      <c r="AP4486" s="466"/>
      <c r="AQ4486" s="466"/>
      <c r="AR4486" s="466"/>
      <c r="AS4486" s="466"/>
      <c r="AT4486" s="466"/>
      <c r="AU4486" s="466"/>
      <c r="AV4486" s="466"/>
      <c r="AW4486" s="466"/>
      <c r="AX4486" s="466"/>
      <c r="AY4486" s="466"/>
      <c r="AZ4486" s="466"/>
      <c r="BA4486" s="466"/>
      <c r="BB4486" s="466"/>
      <c r="BC4486" s="466"/>
      <c r="BD4486" s="466"/>
      <c r="BE4486" s="467"/>
      <c r="BF4486" s="467"/>
      <c r="BG4486" s="466"/>
      <c r="BH4486" s="466"/>
      <c r="BI4486" s="467"/>
      <c r="BJ4486" s="467"/>
      <c r="BK4486" s="467"/>
      <c r="BL4486" s="467"/>
      <c r="BM4486" s="467"/>
      <c r="BN4486" s="467"/>
      <c r="BO4486" s="467"/>
      <c r="BP4486" s="467"/>
      <c r="BQ4486" s="467"/>
      <c r="BR4486" s="467"/>
      <c r="BS4486" s="467"/>
      <c r="BT4486" s="467"/>
      <c r="BU4486" s="467"/>
      <c r="BV4486" s="467"/>
      <c r="BW4486" s="467"/>
      <c r="BX4486" s="769"/>
      <c r="BY4486" s="769"/>
      <c r="BZ4486" s="769"/>
      <c r="CA4486" s="769"/>
      <c r="CB4486" s="769"/>
      <c r="CC4486" s="769"/>
      <c r="CD4486" s="769"/>
      <c r="CE4486" s="769"/>
      <c r="CF4486" s="769"/>
      <c r="CG4486" s="73"/>
      <c r="CH4486" s="438"/>
      <c r="CI4486" s="416"/>
      <c r="CJ4486" s="73"/>
      <c r="CK4486" s="650"/>
      <c r="CL4486" s="499"/>
      <c r="CM4486" s="650"/>
      <c r="CR4486" s="416"/>
      <c r="CS4486" s="650"/>
      <c r="CU4486" s="73"/>
      <c r="CV4486" s="73"/>
      <c r="CW4486" s="73"/>
      <c r="CX4486" s="73"/>
      <c r="DA4486" s="650"/>
    </row>
    <row r="4487" spans="1:105" s="45" customFormat="1" x14ac:dyDescent="0.2">
      <c r="A4487" s="650"/>
      <c r="B4487" s="438"/>
      <c r="D4487" s="73"/>
      <c r="E4487" s="650"/>
      <c r="F4487" s="650"/>
      <c r="G4487" s="73"/>
      <c r="I4487" s="111"/>
      <c r="J4487" s="81"/>
      <c r="K4487" s="81"/>
      <c r="L4487" s="499"/>
      <c r="M4487" s="73"/>
      <c r="N4487" s="499"/>
      <c r="O4487" s="73"/>
      <c r="P4487" s="73"/>
      <c r="Q4487" s="73"/>
      <c r="R4487" s="176"/>
      <c r="S4487" s="176"/>
      <c r="T4487" s="176"/>
      <c r="U4487" s="400"/>
      <c r="V4487" s="400"/>
      <c r="W4487" s="732"/>
      <c r="X4487" s="167"/>
      <c r="Y4487" s="509"/>
      <c r="Z4487" s="466"/>
      <c r="AA4487" s="466"/>
      <c r="AB4487" s="466"/>
      <c r="AC4487" s="466"/>
      <c r="AD4487" s="466"/>
      <c r="AE4487" s="466"/>
      <c r="AF4487" s="466"/>
      <c r="AG4487" s="466"/>
      <c r="AH4487" s="466"/>
      <c r="AI4487" s="466"/>
      <c r="AJ4487" s="466"/>
      <c r="AK4487" s="466"/>
      <c r="AL4487" s="466"/>
      <c r="AM4487" s="466"/>
      <c r="AN4487" s="466"/>
      <c r="AO4487" s="466"/>
      <c r="AP4487" s="466"/>
      <c r="AQ4487" s="466"/>
      <c r="AR4487" s="466"/>
      <c r="AS4487" s="466"/>
      <c r="AT4487" s="466"/>
      <c r="AU4487" s="466"/>
      <c r="AV4487" s="466"/>
      <c r="AW4487" s="466"/>
      <c r="AX4487" s="466"/>
      <c r="AY4487" s="466"/>
      <c r="AZ4487" s="466"/>
      <c r="BA4487" s="466"/>
      <c r="BB4487" s="466"/>
      <c r="BC4487" s="466"/>
      <c r="BD4487" s="466"/>
      <c r="BE4487" s="467"/>
      <c r="BF4487" s="467"/>
      <c r="BG4487" s="466"/>
      <c r="BH4487" s="466"/>
      <c r="BI4487" s="467"/>
      <c r="BJ4487" s="467"/>
      <c r="BK4487" s="467"/>
      <c r="BL4487" s="467"/>
      <c r="BM4487" s="467"/>
      <c r="BN4487" s="467"/>
      <c r="BO4487" s="467"/>
      <c r="BP4487" s="467"/>
      <c r="BQ4487" s="467"/>
      <c r="BR4487" s="467"/>
      <c r="BS4487" s="467"/>
      <c r="BT4487" s="467"/>
      <c r="BU4487" s="467"/>
      <c r="BV4487" s="467"/>
      <c r="BW4487" s="467"/>
      <c r="BX4487" s="769"/>
      <c r="BY4487" s="769"/>
      <c r="BZ4487" s="769"/>
      <c r="CA4487" s="769"/>
      <c r="CB4487" s="769"/>
      <c r="CC4487" s="769"/>
      <c r="CD4487" s="769"/>
      <c r="CE4487" s="769"/>
      <c r="CF4487" s="769"/>
      <c r="CG4487" s="73"/>
      <c r="CH4487" s="438"/>
      <c r="CI4487" s="416"/>
      <c r="CJ4487" s="73"/>
      <c r="CK4487" s="650"/>
      <c r="CL4487" s="499"/>
      <c r="CM4487" s="650"/>
      <c r="CR4487" s="416"/>
      <c r="CS4487" s="650"/>
      <c r="CU4487" s="73"/>
      <c r="CV4487" s="73"/>
      <c r="CW4487" s="73"/>
      <c r="CX4487" s="73"/>
      <c r="DA4487" s="650"/>
    </row>
    <row r="4488" spans="1:105" s="45" customFormat="1" x14ac:dyDescent="0.2">
      <c r="A4488" s="650"/>
      <c r="B4488" s="438"/>
      <c r="D4488" s="73"/>
      <c r="E4488" s="650"/>
      <c r="F4488" s="650"/>
      <c r="G4488" s="73"/>
      <c r="I4488" s="111"/>
      <c r="J4488" s="81"/>
      <c r="K4488" s="81"/>
      <c r="L4488" s="499"/>
      <c r="M4488" s="73"/>
      <c r="N4488" s="499"/>
      <c r="O4488" s="73"/>
      <c r="P4488" s="73"/>
      <c r="Q4488" s="73"/>
      <c r="R4488" s="176"/>
      <c r="S4488" s="176"/>
      <c r="T4488" s="176"/>
      <c r="U4488" s="400"/>
      <c r="V4488" s="400"/>
      <c r="W4488" s="732"/>
      <c r="X4488" s="167"/>
      <c r="Y4488" s="509"/>
      <c r="Z4488" s="466"/>
      <c r="AA4488" s="466"/>
      <c r="AB4488" s="466"/>
      <c r="AC4488" s="466"/>
      <c r="AD4488" s="466"/>
      <c r="AE4488" s="466"/>
      <c r="AF4488" s="466"/>
      <c r="AG4488" s="466"/>
      <c r="AH4488" s="466"/>
      <c r="AI4488" s="466"/>
      <c r="AJ4488" s="466"/>
      <c r="AK4488" s="466"/>
      <c r="AL4488" s="466"/>
      <c r="AM4488" s="466"/>
      <c r="AN4488" s="466"/>
      <c r="AO4488" s="466"/>
      <c r="AP4488" s="466"/>
      <c r="AQ4488" s="466"/>
      <c r="AR4488" s="466"/>
      <c r="AS4488" s="466"/>
      <c r="AT4488" s="466"/>
      <c r="AU4488" s="466"/>
      <c r="AV4488" s="466"/>
      <c r="AW4488" s="466"/>
      <c r="AX4488" s="466"/>
      <c r="AY4488" s="466"/>
      <c r="AZ4488" s="466"/>
      <c r="BA4488" s="466"/>
      <c r="BB4488" s="466"/>
      <c r="BC4488" s="466"/>
      <c r="BD4488" s="466"/>
      <c r="BE4488" s="467"/>
      <c r="BF4488" s="467"/>
      <c r="BG4488" s="466"/>
      <c r="BH4488" s="466"/>
      <c r="BI4488" s="467"/>
      <c r="BJ4488" s="467"/>
      <c r="BK4488" s="467"/>
      <c r="BL4488" s="467"/>
      <c r="BM4488" s="467"/>
      <c r="BN4488" s="467"/>
      <c r="BO4488" s="467"/>
      <c r="BP4488" s="467"/>
      <c r="BQ4488" s="467"/>
      <c r="BR4488" s="467"/>
      <c r="BS4488" s="467"/>
      <c r="BT4488" s="467"/>
      <c r="BU4488" s="467"/>
      <c r="BV4488" s="467"/>
      <c r="BW4488" s="467"/>
      <c r="BX4488" s="769"/>
      <c r="BY4488" s="769"/>
      <c r="BZ4488" s="769"/>
      <c r="CA4488" s="769"/>
      <c r="CB4488" s="769"/>
      <c r="CC4488" s="769"/>
      <c r="CD4488" s="769"/>
      <c r="CE4488" s="769"/>
      <c r="CF4488" s="769"/>
      <c r="CG4488" s="73"/>
      <c r="CH4488" s="438"/>
      <c r="CI4488" s="416"/>
      <c r="CJ4488" s="73"/>
      <c r="CK4488" s="650"/>
      <c r="CL4488" s="499"/>
      <c r="CM4488" s="650"/>
      <c r="CR4488" s="416"/>
      <c r="CS4488" s="650"/>
      <c r="CU4488" s="73"/>
      <c r="CV4488" s="73"/>
      <c r="CW4488" s="73"/>
      <c r="CX4488" s="73"/>
      <c r="DA4488" s="650"/>
    </row>
    <row r="4489" spans="1:105" s="45" customFormat="1" x14ac:dyDescent="0.2">
      <c r="A4489" s="650"/>
      <c r="B4489" s="438"/>
      <c r="D4489" s="73"/>
      <c r="E4489" s="650"/>
      <c r="F4489" s="650"/>
      <c r="G4489" s="73"/>
      <c r="I4489" s="111"/>
      <c r="J4489" s="81"/>
      <c r="K4489" s="81"/>
      <c r="L4489" s="499"/>
      <c r="M4489" s="73"/>
      <c r="N4489" s="499"/>
      <c r="O4489" s="73"/>
      <c r="P4489" s="73"/>
      <c r="Q4489" s="73"/>
      <c r="R4489" s="176"/>
      <c r="S4489" s="176"/>
      <c r="T4489" s="176"/>
      <c r="U4489" s="400"/>
      <c r="V4489" s="400"/>
      <c r="W4489" s="732"/>
      <c r="X4489" s="167"/>
      <c r="Y4489" s="509"/>
      <c r="Z4489" s="466"/>
      <c r="AA4489" s="466"/>
      <c r="AB4489" s="466"/>
      <c r="AC4489" s="466"/>
      <c r="AD4489" s="466"/>
      <c r="AE4489" s="466"/>
      <c r="AF4489" s="466"/>
      <c r="AG4489" s="466"/>
      <c r="AH4489" s="466"/>
      <c r="AI4489" s="466"/>
      <c r="AJ4489" s="466"/>
      <c r="AK4489" s="466"/>
      <c r="AL4489" s="466"/>
      <c r="AM4489" s="466"/>
      <c r="AN4489" s="466"/>
      <c r="AO4489" s="466"/>
      <c r="AP4489" s="466"/>
      <c r="AQ4489" s="466"/>
      <c r="AR4489" s="466"/>
      <c r="AS4489" s="466"/>
      <c r="AT4489" s="466"/>
      <c r="AU4489" s="466"/>
      <c r="AV4489" s="466"/>
      <c r="AW4489" s="466"/>
      <c r="AX4489" s="466"/>
      <c r="AY4489" s="466"/>
      <c r="AZ4489" s="466"/>
      <c r="BA4489" s="466"/>
      <c r="BB4489" s="466"/>
      <c r="BC4489" s="466"/>
      <c r="BD4489" s="466"/>
      <c r="BE4489" s="467"/>
      <c r="BF4489" s="467"/>
      <c r="BG4489" s="466"/>
      <c r="BH4489" s="466"/>
      <c r="BI4489" s="467"/>
      <c r="BJ4489" s="467"/>
      <c r="BK4489" s="467"/>
      <c r="BL4489" s="467"/>
      <c r="BM4489" s="467"/>
      <c r="BN4489" s="467"/>
      <c r="BO4489" s="467"/>
      <c r="BP4489" s="467"/>
      <c r="BQ4489" s="467"/>
      <c r="BR4489" s="467"/>
      <c r="BS4489" s="467"/>
      <c r="BT4489" s="467"/>
      <c r="BU4489" s="467"/>
      <c r="BV4489" s="467"/>
      <c r="BW4489" s="467"/>
      <c r="BX4489" s="769"/>
      <c r="BY4489" s="769"/>
      <c r="BZ4489" s="769"/>
      <c r="CA4489" s="769"/>
      <c r="CB4489" s="769"/>
      <c r="CC4489" s="769"/>
      <c r="CD4489" s="769"/>
      <c r="CE4489" s="769"/>
      <c r="CF4489" s="769"/>
      <c r="CG4489" s="73"/>
      <c r="CH4489" s="438"/>
      <c r="CI4489" s="416"/>
      <c r="CJ4489" s="73"/>
      <c r="CK4489" s="650"/>
      <c r="CL4489" s="499"/>
      <c r="CM4489" s="650"/>
      <c r="CR4489" s="416"/>
      <c r="CS4489" s="650"/>
      <c r="CU4489" s="73"/>
      <c r="CV4489" s="73"/>
      <c r="CW4489" s="73"/>
      <c r="CX4489" s="73"/>
      <c r="DA4489" s="650"/>
    </row>
    <row r="4490" spans="1:105" s="45" customFormat="1" x14ac:dyDescent="0.2">
      <c r="A4490" s="650"/>
      <c r="B4490" s="438"/>
      <c r="D4490" s="73"/>
      <c r="E4490" s="650"/>
      <c r="F4490" s="650"/>
      <c r="G4490" s="73"/>
      <c r="I4490" s="111"/>
      <c r="J4490" s="81"/>
      <c r="K4490" s="81"/>
      <c r="L4490" s="499"/>
      <c r="M4490" s="73"/>
      <c r="N4490" s="499"/>
      <c r="O4490" s="73"/>
      <c r="P4490" s="73"/>
      <c r="Q4490" s="73"/>
      <c r="R4490" s="176"/>
      <c r="S4490" s="176"/>
      <c r="T4490" s="176"/>
      <c r="U4490" s="400"/>
      <c r="V4490" s="400"/>
      <c r="W4490" s="732"/>
      <c r="X4490" s="167"/>
      <c r="Y4490" s="509"/>
      <c r="Z4490" s="466"/>
      <c r="AA4490" s="466"/>
      <c r="AB4490" s="466"/>
      <c r="AC4490" s="466"/>
      <c r="AD4490" s="466"/>
      <c r="AE4490" s="466"/>
      <c r="AF4490" s="466"/>
      <c r="AG4490" s="466"/>
      <c r="AH4490" s="466"/>
      <c r="AI4490" s="466"/>
      <c r="AJ4490" s="466"/>
      <c r="AK4490" s="466"/>
      <c r="AL4490" s="466"/>
      <c r="AM4490" s="466"/>
      <c r="AN4490" s="466"/>
      <c r="AO4490" s="466"/>
      <c r="AP4490" s="466"/>
      <c r="AQ4490" s="466"/>
      <c r="AR4490" s="466"/>
      <c r="AS4490" s="466"/>
      <c r="AT4490" s="466"/>
      <c r="AU4490" s="466"/>
      <c r="AV4490" s="466"/>
      <c r="AW4490" s="466"/>
      <c r="AX4490" s="466"/>
      <c r="AY4490" s="466"/>
      <c r="AZ4490" s="466"/>
      <c r="BA4490" s="466"/>
      <c r="BB4490" s="466"/>
      <c r="BC4490" s="466"/>
      <c r="BD4490" s="466"/>
      <c r="BE4490" s="467"/>
      <c r="BF4490" s="467"/>
      <c r="BG4490" s="466"/>
      <c r="BH4490" s="466"/>
      <c r="BI4490" s="467"/>
      <c r="BJ4490" s="467"/>
      <c r="BK4490" s="467"/>
      <c r="BL4490" s="467"/>
      <c r="BM4490" s="467"/>
      <c r="BN4490" s="467"/>
      <c r="BO4490" s="467"/>
      <c r="BP4490" s="467"/>
      <c r="BQ4490" s="467"/>
      <c r="BR4490" s="467"/>
      <c r="BS4490" s="467"/>
      <c r="BT4490" s="467"/>
      <c r="BU4490" s="467"/>
      <c r="BV4490" s="467"/>
      <c r="BW4490" s="467"/>
      <c r="BX4490" s="769"/>
      <c r="BY4490" s="769"/>
      <c r="BZ4490" s="769"/>
      <c r="CA4490" s="769"/>
      <c r="CB4490" s="769"/>
      <c r="CC4490" s="769"/>
      <c r="CD4490" s="769"/>
      <c r="CE4490" s="769"/>
      <c r="CF4490" s="769"/>
      <c r="CG4490" s="73"/>
      <c r="CH4490" s="438"/>
      <c r="CI4490" s="416"/>
      <c r="CJ4490" s="73"/>
      <c r="CK4490" s="650"/>
      <c r="CL4490" s="499"/>
      <c r="CM4490" s="650"/>
      <c r="CR4490" s="416"/>
      <c r="CS4490" s="650"/>
      <c r="CU4490" s="73"/>
      <c r="CV4490" s="73"/>
      <c r="CW4490" s="73"/>
      <c r="CX4490" s="73"/>
      <c r="DA4490" s="650"/>
    </row>
    <row r="4491" spans="1:105" s="45" customFormat="1" x14ac:dyDescent="0.2">
      <c r="A4491" s="650"/>
      <c r="B4491" s="438"/>
      <c r="D4491" s="73"/>
      <c r="E4491" s="650"/>
      <c r="F4491" s="650"/>
      <c r="G4491" s="73"/>
      <c r="I4491" s="111"/>
      <c r="J4491" s="81"/>
      <c r="K4491" s="81"/>
      <c r="L4491" s="499"/>
      <c r="M4491" s="73"/>
      <c r="N4491" s="499"/>
      <c r="O4491" s="73"/>
      <c r="P4491" s="73"/>
      <c r="Q4491" s="73"/>
      <c r="R4491" s="176"/>
      <c r="S4491" s="176"/>
      <c r="T4491" s="176"/>
      <c r="U4491" s="400"/>
      <c r="V4491" s="400"/>
      <c r="W4491" s="732"/>
      <c r="X4491" s="167"/>
      <c r="Y4491" s="509"/>
      <c r="Z4491" s="466"/>
      <c r="AA4491" s="466"/>
      <c r="AB4491" s="466"/>
      <c r="AC4491" s="466"/>
      <c r="AD4491" s="466"/>
      <c r="AE4491" s="466"/>
      <c r="AF4491" s="466"/>
      <c r="AG4491" s="466"/>
      <c r="AH4491" s="466"/>
      <c r="AI4491" s="466"/>
      <c r="AJ4491" s="466"/>
      <c r="AK4491" s="466"/>
      <c r="AL4491" s="466"/>
      <c r="AM4491" s="466"/>
      <c r="AN4491" s="466"/>
      <c r="AO4491" s="466"/>
      <c r="AP4491" s="466"/>
      <c r="AQ4491" s="466"/>
      <c r="AR4491" s="466"/>
      <c r="AS4491" s="466"/>
      <c r="AT4491" s="466"/>
      <c r="AU4491" s="466"/>
      <c r="AV4491" s="466"/>
      <c r="AW4491" s="466"/>
      <c r="AX4491" s="466"/>
      <c r="AY4491" s="466"/>
      <c r="AZ4491" s="466"/>
      <c r="BA4491" s="466"/>
      <c r="BB4491" s="466"/>
      <c r="BC4491" s="466"/>
      <c r="BD4491" s="466"/>
      <c r="BE4491" s="467"/>
      <c r="BF4491" s="467"/>
      <c r="BG4491" s="466"/>
      <c r="BH4491" s="466"/>
      <c r="BI4491" s="467"/>
      <c r="BJ4491" s="467"/>
      <c r="BK4491" s="467"/>
      <c r="BL4491" s="467"/>
      <c r="BM4491" s="467"/>
      <c r="BN4491" s="467"/>
      <c r="BO4491" s="467"/>
      <c r="BP4491" s="467"/>
      <c r="BQ4491" s="467"/>
      <c r="BR4491" s="467"/>
      <c r="BS4491" s="467"/>
      <c r="BT4491" s="467"/>
      <c r="BU4491" s="467"/>
      <c r="BV4491" s="467"/>
      <c r="BW4491" s="467"/>
      <c r="BX4491" s="769"/>
      <c r="BY4491" s="769"/>
      <c r="BZ4491" s="769"/>
      <c r="CA4491" s="769"/>
      <c r="CB4491" s="769"/>
      <c r="CC4491" s="769"/>
      <c r="CD4491" s="769"/>
      <c r="CE4491" s="769"/>
      <c r="CF4491" s="769"/>
      <c r="CG4491" s="73"/>
      <c r="CH4491" s="438"/>
      <c r="CI4491" s="416"/>
      <c r="CJ4491" s="73"/>
      <c r="CK4491" s="650"/>
      <c r="CL4491" s="499"/>
      <c r="CM4491" s="650"/>
      <c r="CR4491" s="416"/>
      <c r="CS4491" s="650"/>
      <c r="CU4491" s="73"/>
      <c r="CV4491" s="73"/>
      <c r="CW4491" s="73"/>
      <c r="CX4491" s="73"/>
      <c r="DA4491" s="650"/>
    </row>
    <row r="4492" spans="1:105" s="45" customFormat="1" x14ac:dyDescent="0.2">
      <c r="A4492" s="650"/>
      <c r="B4492" s="438"/>
      <c r="D4492" s="73"/>
      <c r="E4492" s="650"/>
      <c r="F4492" s="650"/>
      <c r="G4492" s="73"/>
      <c r="I4492" s="111"/>
      <c r="J4492" s="81"/>
      <c r="K4492" s="81"/>
      <c r="L4492" s="499"/>
      <c r="M4492" s="73"/>
      <c r="N4492" s="499"/>
      <c r="O4492" s="73"/>
      <c r="P4492" s="73"/>
      <c r="Q4492" s="73"/>
      <c r="R4492" s="176"/>
      <c r="S4492" s="176"/>
      <c r="T4492" s="176"/>
      <c r="U4492" s="400"/>
      <c r="V4492" s="400"/>
      <c r="W4492" s="732"/>
      <c r="X4492" s="167"/>
      <c r="Y4492" s="509"/>
      <c r="Z4492" s="466"/>
      <c r="AA4492" s="466"/>
      <c r="AB4492" s="466"/>
      <c r="AC4492" s="466"/>
      <c r="AD4492" s="466"/>
      <c r="AE4492" s="466"/>
      <c r="AF4492" s="466"/>
      <c r="AG4492" s="466"/>
      <c r="AH4492" s="466"/>
      <c r="AI4492" s="466"/>
      <c r="AJ4492" s="466"/>
      <c r="AK4492" s="466"/>
      <c r="AL4492" s="466"/>
      <c r="AM4492" s="466"/>
      <c r="AN4492" s="466"/>
      <c r="AO4492" s="466"/>
      <c r="AP4492" s="466"/>
      <c r="AQ4492" s="466"/>
      <c r="AR4492" s="466"/>
      <c r="AS4492" s="466"/>
      <c r="AT4492" s="466"/>
      <c r="AU4492" s="466"/>
      <c r="AV4492" s="466"/>
      <c r="AW4492" s="466"/>
      <c r="AX4492" s="466"/>
      <c r="AY4492" s="466"/>
      <c r="AZ4492" s="466"/>
      <c r="BA4492" s="466"/>
      <c r="BB4492" s="466"/>
      <c r="BC4492" s="466"/>
      <c r="BD4492" s="466"/>
      <c r="BE4492" s="467"/>
      <c r="BF4492" s="467"/>
      <c r="BG4492" s="466"/>
      <c r="BH4492" s="466"/>
      <c r="BI4492" s="467"/>
      <c r="BJ4492" s="467"/>
      <c r="BK4492" s="467"/>
      <c r="BL4492" s="467"/>
      <c r="BM4492" s="467"/>
      <c r="BN4492" s="467"/>
      <c r="BO4492" s="467"/>
      <c r="BP4492" s="467"/>
      <c r="BQ4492" s="467"/>
      <c r="BR4492" s="467"/>
      <c r="BS4492" s="467"/>
      <c r="BT4492" s="467"/>
      <c r="BU4492" s="467"/>
      <c r="BV4492" s="467"/>
      <c r="BW4492" s="467"/>
      <c r="BX4492" s="769"/>
      <c r="BY4492" s="769"/>
      <c r="BZ4492" s="769"/>
      <c r="CA4492" s="769"/>
      <c r="CB4492" s="769"/>
      <c r="CC4492" s="769"/>
      <c r="CD4492" s="769"/>
      <c r="CE4492" s="769"/>
      <c r="CF4492" s="769"/>
      <c r="CG4492" s="73"/>
      <c r="CH4492" s="438"/>
      <c r="CI4492" s="416"/>
      <c r="CJ4492" s="73"/>
      <c r="CK4492" s="650"/>
      <c r="CL4492" s="499"/>
      <c r="CM4492" s="650"/>
      <c r="CR4492" s="416"/>
      <c r="CS4492" s="650"/>
      <c r="CU4492" s="73"/>
      <c r="CV4492" s="73"/>
      <c r="CW4492" s="73"/>
      <c r="CX4492" s="73"/>
      <c r="DA4492" s="650"/>
    </row>
    <row r="4493" spans="1:105" s="45" customFormat="1" x14ac:dyDescent="0.2">
      <c r="A4493" s="650"/>
      <c r="B4493" s="438"/>
      <c r="D4493" s="73"/>
      <c r="E4493" s="650"/>
      <c r="F4493" s="650"/>
      <c r="G4493" s="73"/>
      <c r="I4493" s="111"/>
      <c r="J4493" s="81"/>
      <c r="K4493" s="81"/>
      <c r="L4493" s="499"/>
      <c r="M4493" s="73"/>
      <c r="N4493" s="499"/>
      <c r="O4493" s="73"/>
      <c r="P4493" s="73"/>
      <c r="Q4493" s="73"/>
      <c r="R4493" s="176"/>
      <c r="S4493" s="176"/>
      <c r="T4493" s="176"/>
      <c r="U4493" s="400"/>
      <c r="V4493" s="400"/>
      <c r="W4493" s="732"/>
      <c r="X4493" s="167"/>
      <c r="Y4493" s="509"/>
      <c r="Z4493" s="466"/>
      <c r="AA4493" s="466"/>
      <c r="AB4493" s="466"/>
      <c r="AC4493" s="466"/>
      <c r="AD4493" s="466"/>
      <c r="AE4493" s="466"/>
      <c r="AF4493" s="466"/>
      <c r="AG4493" s="466"/>
      <c r="AH4493" s="466"/>
      <c r="AI4493" s="466"/>
      <c r="AJ4493" s="466"/>
      <c r="AK4493" s="466"/>
      <c r="AL4493" s="466"/>
      <c r="AM4493" s="466"/>
      <c r="AN4493" s="466"/>
      <c r="AO4493" s="466"/>
      <c r="AP4493" s="466"/>
      <c r="AQ4493" s="466"/>
      <c r="AR4493" s="466"/>
      <c r="AS4493" s="466"/>
      <c r="AT4493" s="466"/>
      <c r="AU4493" s="466"/>
      <c r="AV4493" s="466"/>
      <c r="AW4493" s="466"/>
      <c r="AX4493" s="466"/>
      <c r="AY4493" s="466"/>
      <c r="AZ4493" s="466"/>
      <c r="BA4493" s="466"/>
      <c r="BB4493" s="466"/>
      <c r="BC4493" s="466"/>
      <c r="BD4493" s="466"/>
      <c r="BE4493" s="467"/>
      <c r="BF4493" s="467"/>
      <c r="BG4493" s="466"/>
      <c r="BH4493" s="466"/>
      <c r="BI4493" s="467"/>
      <c r="BJ4493" s="467"/>
      <c r="BK4493" s="467"/>
      <c r="BL4493" s="467"/>
      <c r="BM4493" s="467"/>
      <c r="BN4493" s="467"/>
      <c r="BO4493" s="467"/>
      <c r="BP4493" s="467"/>
      <c r="BQ4493" s="467"/>
      <c r="BR4493" s="467"/>
      <c r="BS4493" s="467"/>
      <c r="BT4493" s="467"/>
      <c r="BU4493" s="467"/>
      <c r="BV4493" s="467"/>
      <c r="BW4493" s="467"/>
      <c r="BX4493" s="769"/>
      <c r="BY4493" s="769"/>
      <c r="BZ4493" s="769"/>
      <c r="CA4493" s="769"/>
      <c r="CB4493" s="769"/>
      <c r="CC4493" s="769"/>
      <c r="CD4493" s="769"/>
      <c r="CE4493" s="769"/>
      <c r="CF4493" s="769"/>
      <c r="CG4493" s="73"/>
      <c r="CH4493" s="438"/>
      <c r="CI4493" s="416"/>
      <c r="CJ4493" s="73"/>
      <c r="CK4493" s="650"/>
      <c r="CL4493" s="499"/>
      <c r="CM4493" s="650"/>
      <c r="CR4493" s="416"/>
      <c r="CS4493" s="650"/>
      <c r="CU4493" s="73"/>
      <c r="CV4493" s="73"/>
      <c r="CW4493" s="73"/>
      <c r="CX4493" s="73"/>
      <c r="DA4493" s="650"/>
    </row>
    <row r="4494" spans="1:105" s="45" customFormat="1" x14ac:dyDescent="0.2">
      <c r="A4494" s="650"/>
      <c r="B4494" s="438"/>
      <c r="D4494" s="73"/>
      <c r="E4494" s="650"/>
      <c r="F4494" s="650"/>
      <c r="G4494" s="73"/>
      <c r="I4494" s="111"/>
      <c r="J4494" s="81"/>
      <c r="K4494" s="81"/>
      <c r="L4494" s="499"/>
      <c r="M4494" s="73"/>
      <c r="N4494" s="499"/>
      <c r="O4494" s="73"/>
      <c r="P4494" s="73"/>
      <c r="Q4494" s="73"/>
      <c r="R4494" s="176"/>
      <c r="S4494" s="176"/>
      <c r="T4494" s="176"/>
      <c r="U4494" s="400"/>
      <c r="V4494" s="400"/>
      <c r="W4494" s="732"/>
      <c r="X4494" s="167"/>
      <c r="Y4494" s="509"/>
      <c r="Z4494" s="466"/>
      <c r="AA4494" s="466"/>
      <c r="AB4494" s="466"/>
      <c r="AC4494" s="466"/>
      <c r="AD4494" s="466"/>
      <c r="AE4494" s="466"/>
      <c r="AF4494" s="466"/>
      <c r="AG4494" s="466"/>
      <c r="AH4494" s="466"/>
      <c r="AI4494" s="466"/>
      <c r="AJ4494" s="466"/>
      <c r="AK4494" s="466"/>
      <c r="AL4494" s="466"/>
      <c r="AM4494" s="466"/>
      <c r="AN4494" s="466"/>
      <c r="AO4494" s="466"/>
      <c r="AP4494" s="466"/>
      <c r="AQ4494" s="466"/>
      <c r="AR4494" s="466"/>
      <c r="AS4494" s="466"/>
      <c r="AT4494" s="466"/>
      <c r="AU4494" s="466"/>
      <c r="AV4494" s="466"/>
      <c r="AW4494" s="466"/>
      <c r="AX4494" s="466"/>
      <c r="AY4494" s="466"/>
      <c r="AZ4494" s="466"/>
      <c r="BA4494" s="466"/>
      <c r="BB4494" s="466"/>
      <c r="BC4494" s="466"/>
      <c r="BD4494" s="466"/>
      <c r="BE4494" s="467"/>
      <c r="BF4494" s="467"/>
      <c r="BG4494" s="466"/>
      <c r="BH4494" s="466"/>
      <c r="BI4494" s="467"/>
      <c r="BJ4494" s="467"/>
      <c r="BK4494" s="467"/>
      <c r="BL4494" s="467"/>
      <c r="BM4494" s="467"/>
      <c r="BN4494" s="467"/>
      <c r="BO4494" s="467"/>
      <c r="BP4494" s="467"/>
      <c r="BQ4494" s="467"/>
      <c r="BR4494" s="467"/>
      <c r="BS4494" s="467"/>
      <c r="BT4494" s="467"/>
      <c r="BU4494" s="467"/>
      <c r="BV4494" s="467"/>
      <c r="BW4494" s="467"/>
      <c r="BX4494" s="769"/>
      <c r="BY4494" s="769"/>
      <c r="BZ4494" s="769"/>
      <c r="CA4494" s="769"/>
      <c r="CB4494" s="769"/>
      <c r="CC4494" s="769"/>
      <c r="CD4494" s="769"/>
      <c r="CE4494" s="769"/>
      <c r="CF4494" s="769"/>
      <c r="CG4494" s="73"/>
      <c r="CH4494" s="438"/>
      <c r="CI4494" s="416"/>
      <c r="CJ4494" s="73"/>
      <c r="CK4494" s="650"/>
      <c r="CL4494" s="499"/>
      <c r="CM4494" s="650"/>
      <c r="CR4494" s="416"/>
      <c r="CS4494" s="650"/>
      <c r="CU4494" s="73"/>
      <c r="CV4494" s="73"/>
      <c r="CW4494" s="73"/>
      <c r="CX4494" s="73"/>
      <c r="DA4494" s="650"/>
    </row>
    <row r="4495" spans="1:105" s="45" customFormat="1" x14ac:dyDescent="0.2">
      <c r="A4495" s="650"/>
      <c r="B4495" s="438"/>
      <c r="D4495" s="73"/>
      <c r="E4495" s="650"/>
      <c r="F4495" s="650"/>
      <c r="G4495" s="73"/>
      <c r="I4495" s="111"/>
      <c r="J4495" s="81"/>
      <c r="K4495" s="81"/>
      <c r="L4495" s="499"/>
      <c r="M4495" s="73"/>
      <c r="N4495" s="499"/>
      <c r="O4495" s="73"/>
      <c r="P4495" s="73"/>
      <c r="Q4495" s="73"/>
      <c r="R4495" s="176"/>
      <c r="S4495" s="176"/>
      <c r="T4495" s="176"/>
      <c r="U4495" s="400"/>
      <c r="V4495" s="400"/>
      <c r="W4495" s="732"/>
      <c r="X4495" s="167"/>
      <c r="Y4495" s="509"/>
      <c r="Z4495" s="466"/>
      <c r="AA4495" s="466"/>
      <c r="AB4495" s="466"/>
      <c r="AC4495" s="466"/>
      <c r="AD4495" s="466"/>
      <c r="AE4495" s="466"/>
      <c r="AF4495" s="466"/>
      <c r="AG4495" s="466"/>
      <c r="AH4495" s="466"/>
      <c r="AI4495" s="466"/>
      <c r="AJ4495" s="466"/>
      <c r="AK4495" s="466"/>
      <c r="AL4495" s="466"/>
      <c r="AM4495" s="466"/>
      <c r="AN4495" s="466"/>
      <c r="AO4495" s="466"/>
      <c r="AP4495" s="466"/>
      <c r="AQ4495" s="466"/>
      <c r="AR4495" s="466"/>
      <c r="AS4495" s="466"/>
      <c r="AT4495" s="466"/>
      <c r="AU4495" s="466"/>
      <c r="AV4495" s="466"/>
      <c r="AW4495" s="466"/>
      <c r="AX4495" s="466"/>
      <c r="AY4495" s="466"/>
      <c r="AZ4495" s="466"/>
      <c r="BA4495" s="466"/>
      <c r="BB4495" s="466"/>
      <c r="BC4495" s="466"/>
      <c r="BD4495" s="466"/>
      <c r="BE4495" s="467"/>
      <c r="BF4495" s="467"/>
      <c r="BG4495" s="466"/>
      <c r="BH4495" s="466"/>
      <c r="BI4495" s="467"/>
      <c r="BJ4495" s="467"/>
      <c r="BK4495" s="467"/>
      <c r="BL4495" s="467"/>
      <c r="BM4495" s="467"/>
      <c r="BN4495" s="467"/>
      <c r="BO4495" s="467"/>
      <c r="BP4495" s="467"/>
      <c r="BQ4495" s="467"/>
      <c r="BR4495" s="467"/>
      <c r="BS4495" s="467"/>
      <c r="BT4495" s="467"/>
      <c r="BU4495" s="467"/>
      <c r="BV4495" s="467"/>
      <c r="BW4495" s="467"/>
      <c r="BX4495" s="769"/>
      <c r="BY4495" s="769"/>
      <c r="BZ4495" s="769"/>
      <c r="CA4495" s="769"/>
      <c r="CB4495" s="769"/>
      <c r="CC4495" s="769"/>
      <c r="CD4495" s="769"/>
      <c r="CE4495" s="769"/>
      <c r="CF4495" s="769"/>
      <c r="CG4495" s="73"/>
      <c r="CH4495" s="438"/>
      <c r="CI4495" s="416"/>
      <c r="CJ4495" s="73"/>
      <c r="CK4495" s="650"/>
      <c r="CL4495" s="499"/>
      <c r="CM4495" s="650"/>
      <c r="CR4495" s="416"/>
      <c r="CS4495" s="650"/>
      <c r="CU4495" s="73"/>
      <c r="CV4495" s="73"/>
      <c r="CW4495" s="73"/>
      <c r="CX4495" s="73"/>
      <c r="DA4495" s="650"/>
    </row>
    <row r="4496" spans="1:105" s="45" customFormat="1" x14ac:dyDescent="0.2">
      <c r="A4496" s="650"/>
      <c r="B4496" s="438"/>
      <c r="D4496" s="73"/>
      <c r="E4496" s="650"/>
      <c r="F4496" s="650"/>
      <c r="G4496" s="73"/>
      <c r="I4496" s="111"/>
      <c r="J4496" s="81"/>
      <c r="K4496" s="81"/>
      <c r="L4496" s="499"/>
      <c r="M4496" s="73"/>
      <c r="N4496" s="499"/>
      <c r="O4496" s="73"/>
      <c r="P4496" s="73"/>
      <c r="Q4496" s="73"/>
      <c r="R4496" s="176"/>
      <c r="S4496" s="176"/>
      <c r="T4496" s="176"/>
      <c r="U4496" s="400"/>
      <c r="V4496" s="400"/>
      <c r="W4496" s="732"/>
      <c r="X4496" s="167"/>
      <c r="Y4496" s="509"/>
      <c r="Z4496" s="466"/>
      <c r="AA4496" s="466"/>
      <c r="AB4496" s="466"/>
      <c r="AC4496" s="466"/>
      <c r="AD4496" s="466"/>
      <c r="AE4496" s="466"/>
      <c r="AF4496" s="466"/>
      <c r="AG4496" s="466"/>
      <c r="AH4496" s="466"/>
      <c r="AI4496" s="466"/>
      <c r="AJ4496" s="466"/>
      <c r="AK4496" s="466"/>
      <c r="AL4496" s="466"/>
      <c r="AM4496" s="466"/>
      <c r="AN4496" s="466"/>
      <c r="AO4496" s="466"/>
      <c r="AP4496" s="466"/>
      <c r="AQ4496" s="466"/>
      <c r="AR4496" s="466"/>
      <c r="AS4496" s="466"/>
      <c r="AT4496" s="466"/>
      <c r="AU4496" s="466"/>
      <c r="AV4496" s="466"/>
      <c r="AW4496" s="466"/>
      <c r="AX4496" s="466"/>
      <c r="AY4496" s="466"/>
      <c r="AZ4496" s="466"/>
      <c r="BA4496" s="466"/>
      <c r="BB4496" s="466"/>
      <c r="BC4496" s="466"/>
      <c r="BD4496" s="466"/>
      <c r="BE4496" s="467"/>
      <c r="BF4496" s="467"/>
      <c r="BG4496" s="466"/>
      <c r="BH4496" s="466"/>
      <c r="BI4496" s="467"/>
      <c r="BJ4496" s="467"/>
      <c r="BK4496" s="467"/>
      <c r="BL4496" s="467"/>
      <c r="BM4496" s="467"/>
      <c r="BN4496" s="467"/>
      <c r="BO4496" s="467"/>
      <c r="BP4496" s="467"/>
      <c r="BQ4496" s="467"/>
      <c r="BR4496" s="467"/>
      <c r="BS4496" s="467"/>
      <c r="BT4496" s="467"/>
      <c r="BU4496" s="467"/>
      <c r="BV4496" s="467"/>
      <c r="BW4496" s="467"/>
      <c r="BX4496" s="769"/>
      <c r="BY4496" s="769"/>
      <c r="BZ4496" s="769"/>
      <c r="CA4496" s="769"/>
      <c r="CB4496" s="769"/>
      <c r="CC4496" s="769"/>
      <c r="CD4496" s="769"/>
      <c r="CE4496" s="769"/>
      <c r="CF4496" s="769"/>
      <c r="CG4496" s="73"/>
      <c r="CH4496" s="438"/>
      <c r="CI4496" s="416"/>
      <c r="CJ4496" s="73"/>
      <c r="CK4496" s="650"/>
      <c r="CL4496" s="499"/>
      <c r="CM4496" s="650"/>
      <c r="CR4496" s="416"/>
      <c r="CS4496" s="650"/>
      <c r="CU4496" s="73"/>
      <c r="CV4496" s="73"/>
      <c r="CW4496" s="73"/>
      <c r="CX4496" s="73"/>
      <c r="DA4496" s="650"/>
    </row>
    <row r="4497" spans="1:105" s="45" customFormat="1" x14ac:dyDescent="0.2">
      <c r="A4497" s="650"/>
      <c r="B4497" s="438"/>
      <c r="D4497" s="73"/>
      <c r="E4497" s="650"/>
      <c r="F4497" s="650"/>
      <c r="G4497" s="73"/>
      <c r="I4497" s="111"/>
      <c r="J4497" s="81"/>
      <c r="K4497" s="81"/>
      <c r="L4497" s="499"/>
      <c r="M4497" s="73"/>
      <c r="N4497" s="499"/>
      <c r="O4497" s="73"/>
      <c r="P4497" s="73"/>
      <c r="Q4497" s="73"/>
      <c r="R4497" s="176"/>
      <c r="S4497" s="176"/>
      <c r="T4497" s="176"/>
      <c r="U4497" s="400"/>
      <c r="V4497" s="400"/>
      <c r="W4497" s="732"/>
      <c r="X4497" s="167"/>
      <c r="Y4497" s="509"/>
      <c r="Z4497" s="466"/>
      <c r="AA4497" s="466"/>
      <c r="AB4497" s="466"/>
      <c r="AC4497" s="466"/>
      <c r="AD4497" s="466"/>
      <c r="AE4497" s="466"/>
      <c r="AF4497" s="466"/>
      <c r="AG4497" s="466"/>
      <c r="AH4497" s="466"/>
      <c r="AI4497" s="466"/>
      <c r="AJ4497" s="466"/>
      <c r="AK4497" s="466"/>
      <c r="AL4497" s="466"/>
      <c r="AM4497" s="466"/>
      <c r="AN4497" s="466"/>
      <c r="AO4497" s="466"/>
      <c r="AP4497" s="466"/>
      <c r="AQ4497" s="466"/>
      <c r="AR4497" s="466"/>
      <c r="AS4497" s="466"/>
      <c r="AT4497" s="466"/>
      <c r="AU4497" s="466"/>
      <c r="AV4497" s="466"/>
      <c r="AW4497" s="466"/>
      <c r="AX4497" s="466"/>
      <c r="AY4497" s="466"/>
      <c r="AZ4497" s="466"/>
      <c r="BA4497" s="466"/>
      <c r="BB4497" s="466"/>
      <c r="BC4497" s="466"/>
      <c r="BD4497" s="466"/>
      <c r="BE4497" s="467"/>
      <c r="BF4497" s="467"/>
      <c r="BG4497" s="466"/>
      <c r="BH4497" s="466"/>
      <c r="BI4497" s="467"/>
      <c r="BJ4497" s="467"/>
      <c r="BK4497" s="467"/>
      <c r="BL4497" s="467"/>
      <c r="BM4497" s="467"/>
      <c r="BN4497" s="467"/>
      <c r="BO4497" s="467"/>
      <c r="BP4497" s="467"/>
      <c r="BQ4497" s="467"/>
      <c r="BR4497" s="467"/>
      <c r="BS4497" s="467"/>
      <c r="BT4497" s="467"/>
      <c r="BU4497" s="467"/>
      <c r="BV4497" s="467"/>
      <c r="BW4497" s="467"/>
      <c r="BX4497" s="769"/>
      <c r="BY4497" s="769"/>
      <c r="BZ4497" s="769"/>
      <c r="CA4497" s="769"/>
      <c r="CB4497" s="769"/>
      <c r="CC4497" s="769"/>
      <c r="CD4497" s="769"/>
      <c r="CE4497" s="769"/>
      <c r="CF4497" s="769"/>
      <c r="CG4497" s="73"/>
      <c r="CH4497" s="438"/>
      <c r="CI4497" s="416"/>
      <c r="CJ4497" s="73"/>
      <c r="CK4497" s="650"/>
      <c r="CL4497" s="499"/>
      <c r="CM4497" s="650"/>
      <c r="CR4497" s="416"/>
      <c r="CS4497" s="650"/>
      <c r="CU4497" s="73"/>
      <c r="CV4497" s="73"/>
      <c r="CW4497" s="73"/>
      <c r="CX4497" s="73"/>
      <c r="DA4497" s="650"/>
    </row>
    <row r="4498" spans="1:105" s="45" customFormat="1" x14ac:dyDescent="0.2">
      <c r="A4498" s="650"/>
      <c r="B4498" s="438"/>
      <c r="D4498" s="73"/>
      <c r="E4498" s="650"/>
      <c r="F4498" s="650"/>
      <c r="G4498" s="73"/>
      <c r="I4498" s="111"/>
      <c r="J4498" s="81"/>
      <c r="K4498" s="81"/>
      <c r="L4498" s="499"/>
      <c r="M4498" s="73"/>
      <c r="N4498" s="499"/>
      <c r="O4498" s="73"/>
      <c r="P4498" s="73"/>
      <c r="Q4498" s="73"/>
      <c r="R4498" s="176"/>
      <c r="S4498" s="176"/>
      <c r="T4498" s="176"/>
      <c r="U4498" s="400"/>
      <c r="V4498" s="400"/>
      <c r="W4498" s="732"/>
      <c r="X4498" s="167"/>
      <c r="Y4498" s="509"/>
      <c r="Z4498" s="466"/>
      <c r="AA4498" s="466"/>
      <c r="AB4498" s="466"/>
      <c r="AC4498" s="466"/>
      <c r="AD4498" s="466"/>
      <c r="AE4498" s="466"/>
      <c r="AF4498" s="466"/>
      <c r="AG4498" s="466"/>
      <c r="AH4498" s="466"/>
      <c r="AI4498" s="466"/>
      <c r="AJ4498" s="466"/>
      <c r="AK4498" s="466"/>
      <c r="AL4498" s="466"/>
      <c r="AM4498" s="466"/>
      <c r="AN4498" s="466"/>
      <c r="AO4498" s="466"/>
      <c r="AP4498" s="466"/>
      <c r="AQ4498" s="466"/>
      <c r="AR4498" s="466"/>
      <c r="AS4498" s="466"/>
      <c r="AT4498" s="466"/>
      <c r="AU4498" s="466"/>
      <c r="AV4498" s="466"/>
      <c r="AW4498" s="466"/>
      <c r="AX4498" s="466"/>
      <c r="AY4498" s="466"/>
      <c r="AZ4498" s="466"/>
      <c r="BA4498" s="466"/>
      <c r="BB4498" s="466"/>
      <c r="BC4498" s="466"/>
      <c r="BD4498" s="466"/>
      <c r="BE4498" s="467"/>
      <c r="BF4498" s="467"/>
      <c r="BG4498" s="466"/>
      <c r="BH4498" s="466"/>
      <c r="BI4498" s="467"/>
      <c r="BJ4498" s="467"/>
      <c r="BK4498" s="467"/>
      <c r="BL4498" s="467"/>
      <c r="BM4498" s="467"/>
      <c r="BN4498" s="467"/>
      <c r="BO4498" s="467"/>
      <c r="BP4498" s="467"/>
      <c r="BQ4498" s="467"/>
      <c r="BR4498" s="467"/>
      <c r="BS4498" s="467"/>
      <c r="BT4498" s="467"/>
      <c r="BU4498" s="467"/>
      <c r="BV4498" s="467"/>
      <c r="BW4498" s="467"/>
      <c r="BX4498" s="769"/>
      <c r="BY4498" s="769"/>
      <c r="BZ4498" s="769"/>
      <c r="CA4498" s="769"/>
      <c r="CB4498" s="769"/>
      <c r="CC4498" s="769"/>
      <c r="CD4498" s="769"/>
      <c r="CE4498" s="769"/>
      <c r="CF4498" s="769"/>
      <c r="CG4498" s="73"/>
      <c r="CH4498" s="438"/>
      <c r="CI4498" s="416"/>
      <c r="CJ4498" s="73"/>
      <c r="CK4498" s="650"/>
      <c r="CL4498" s="499"/>
      <c r="CM4498" s="650"/>
      <c r="CR4498" s="416"/>
      <c r="CS4498" s="650"/>
      <c r="CU4498" s="73"/>
      <c r="CV4498" s="73"/>
      <c r="CW4498" s="73"/>
      <c r="CX4498" s="73"/>
      <c r="DA4498" s="650"/>
    </row>
    <row r="4499" spans="1:105" s="45" customFormat="1" x14ac:dyDescent="0.2">
      <c r="A4499" s="650"/>
      <c r="B4499" s="438"/>
      <c r="D4499" s="73"/>
      <c r="E4499" s="650"/>
      <c r="F4499" s="650"/>
      <c r="G4499" s="73"/>
      <c r="I4499" s="111"/>
      <c r="J4499" s="81"/>
      <c r="K4499" s="81"/>
      <c r="L4499" s="499"/>
      <c r="M4499" s="73"/>
      <c r="N4499" s="499"/>
      <c r="O4499" s="73"/>
      <c r="P4499" s="73"/>
      <c r="Q4499" s="73"/>
      <c r="R4499" s="176"/>
      <c r="S4499" s="176"/>
      <c r="T4499" s="176"/>
      <c r="U4499" s="400"/>
      <c r="V4499" s="400"/>
      <c r="W4499" s="732"/>
      <c r="X4499" s="167"/>
      <c r="Y4499" s="509"/>
      <c r="Z4499" s="466"/>
      <c r="AA4499" s="466"/>
      <c r="AB4499" s="466"/>
      <c r="AC4499" s="466"/>
      <c r="AD4499" s="466"/>
      <c r="AE4499" s="466"/>
      <c r="AF4499" s="466"/>
      <c r="AG4499" s="466"/>
      <c r="AH4499" s="466"/>
      <c r="AI4499" s="466"/>
      <c r="AJ4499" s="466"/>
      <c r="AK4499" s="466"/>
      <c r="AL4499" s="466"/>
      <c r="AM4499" s="466"/>
      <c r="AN4499" s="466"/>
      <c r="AO4499" s="466"/>
      <c r="AP4499" s="466"/>
      <c r="AQ4499" s="466"/>
      <c r="AR4499" s="466"/>
      <c r="AS4499" s="466"/>
      <c r="AT4499" s="466"/>
      <c r="AU4499" s="466"/>
      <c r="AV4499" s="466"/>
      <c r="AW4499" s="466"/>
      <c r="AX4499" s="466"/>
      <c r="AY4499" s="466"/>
      <c r="AZ4499" s="466"/>
      <c r="BA4499" s="466"/>
      <c r="BB4499" s="466"/>
      <c r="BC4499" s="466"/>
      <c r="BD4499" s="466"/>
      <c r="BE4499" s="467"/>
      <c r="BF4499" s="467"/>
      <c r="BG4499" s="466"/>
      <c r="BH4499" s="466"/>
      <c r="BI4499" s="467"/>
      <c r="BJ4499" s="467"/>
      <c r="BK4499" s="467"/>
      <c r="BL4499" s="467"/>
      <c r="BM4499" s="467"/>
      <c r="BN4499" s="467"/>
      <c r="BO4499" s="467"/>
      <c r="BP4499" s="467"/>
      <c r="BQ4499" s="467"/>
      <c r="BR4499" s="467"/>
      <c r="BS4499" s="467"/>
      <c r="BT4499" s="467"/>
      <c r="BU4499" s="467"/>
      <c r="BV4499" s="467"/>
      <c r="BW4499" s="467"/>
      <c r="BX4499" s="769"/>
      <c r="BY4499" s="769"/>
      <c r="BZ4499" s="769"/>
      <c r="CA4499" s="769"/>
      <c r="CB4499" s="769"/>
      <c r="CC4499" s="769"/>
      <c r="CD4499" s="769"/>
      <c r="CE4499" s="769"/>
      <c r="CF4499" s="769"/>
      <c r="CG4499" s="73"/>
      <c r="CH4499" s="438"/>
      <c r="CI4499" s="416"/>
      <c r="CJ4499" s="73"/>
      <c r="CK4499" s="650"/>
      <c r="CL4499" s="499"/>
      <c r="CM4499" s="650"/>
      <c r="CR4499" s="416"/>
      <c r="CS4499" s="650"/>
      <c r="CU4499" s="73"/>
      <c r="CV4499" s="73"/>
      <c r="CW4499" s="73"/>
      <c r="CX4499" s="73"/>
      <c r="DA4499" s="650"/>
    </row>
    <row r="4500" spans="1:105" s="45" customFormat="1" x14ac:dyDescent="0.2">
      <c r="A4500" s="650"/>
      <c r="B4500" s="438"/>
      <c r="C4500"/>
      <c r="D4500" s="73"/>
      <c r="E4500" s="48"/>
      <c r="F4500" s="48"/>
      <c r="G4500" s="1"/>
      <c r="H4500"/>
      <c r="I4500" s="2"/>
      <c r="J4500" s="72"/>
      <c r="K4500" s="72"/>
      <c r="L4500" s="499"/>
      <c r="M4500" s="1"/>
      <c r="N4500" s="499"/>
      <c r="O4500" s="73"/>
      <c r="P4500" s="73"/>
      <c r="Q4500" s="1"/>
      <c r="R4500" s="3"/>
      <c r="S4500" s="3"/>
      <c r="T4500" s="3"/>
      <c r="U4500" s="400"/>
      <c r="V4500" s="400"/>
      <c r="W4500" s="732"/>
      <c r="X4500" s="24"/>
      <c r="Y4500" s="509"/>
      <c r="Z4500" s="466"/>
      <c r="AA4500" s="466"/>
      <c r="AB4500" s="466"/>
      <c r="AC4500" s="466"/>
      <c r="AD4500" s="466"/>
      <c r="AE4500" s="466"/>
      <c r="AF4500" s="466"/>
      <c r="AG4500" s="466"/>
      <c r="AH4500" s="466"/>
      <c r="AI4500" s="466"/>
      <c r="AJ4500" s="466"/>
      <c r="AK4500" s="466"/>
      <c r="AL4500" s="466"/>
      <c r="AM4500" s="466"/>
      <c r="AN4500" s="466"/>
      <c r="AO4500" s="466"/>
      <c r="AP4500" s="466"/>
      <c r="AQ4500" s="466"/>
      <c r="AR4500" s="466"/>
      <c r="AS4500" s="466"/>
      <c r="AT4500" s="466"/>
      <c r="AU4500" s="466"/>
      <c r="AV4500" s="466"/>
      <c r="AW4500" s="466"/>
      <c r="AX4500" s="466"/>
      <c r="AY4500" s="466"/>
      <c r="AZ4500" s="466"/>
      <c r="BA4500" s="466"/>
      <c r="BB4500" s="466"/>
      <c r="BC4500" s="466"/>
      <c r="BD4500" s="466"/>
      <c r="BE4500" s="467"/>
      <c r="BF4500" s="467"/>
      <c r="BG4500" s="466"/>
      <c r="BH4500" s="466"/>
      <c r="BI4500" s="467"/>
      <c r="BJ4500" s="467"/>
      <c r="BK4500" s="467"/>
      <c r="BL4500" s="467"/>
      <c r="BM4500" s="467"/>
      <c r="BN4500" s="467"/>
      <c r="BO4500" s="467"/>
      <c r="BP4500" s="467"/>
      <c r="BQ4500" s="467"/>
      <c r="BR4500" s="467"/>
      <c r="BS4500" s="467"/>
      <c r="BT4500" s="467"/>
      <c r="BU4500" s="467"/>
      <c r="BV4500" s="467"/>
      <c r="BW4500" s="467"/>
      <c r="BX4500" s="769"/>
      <c r="BY4500" s="769"/>
      <c r="BZ4500" s="769"/>
      <c r="CA4500" s="769"/>
      <c r="CB4500" s="769"/>
      <c r="CC4500" s="769"/>
      <c r="CD4500" s="769"/>
      <c r="CE4500" s="769"/>
      <c r="CF4500" s="769"/>
      <c r="CG4500" s="73"/>
      <c r="CH4500" s="438"/>
      <c r="CI4500" s="416"/>
      <c r="CJ4500" s="73"/>
      <c r="CK4500" s="650"/>
      <c r="CL4500" s="499"/>
      <c r="CM4500" s="650"/>
      <c r="CR4500" s="416"/>
      <c r="CS4500" s="650"/>
      <c r="CU4500" s="73"/>
      <c r="CV4500" s="73"/>
      <c r="CW4500" s="73"/>
      <c r="CX4500" s="73"/>
      <c r="DA4500" s="650"/>
    </row>
    <row r="4501" spans="1:105" s="45" customFormat="1" x14ac:dyDescent="0.2">
      <c r="A4501" s="650"/>
      <c r="B4501" s="438"/>
      <c r="C4501"/>
      <c r="D4501" s="73"/>
      <c r="E4501" s="48"/>
      <c r="F4501" s="48"/>
      <c r="G4501" s="1"/>
      <c r="H4501"/>
      <c r="I4501" s="2"/>
      <c r="J4501" s="72"/>
      <c r="K4501" s="72"/>
      <c r="L4501" s="499"/>
      <c r="M4501" s="1"/>
      <c r="N4501" s="499"/>
      <c r="O4501" s="73"/>
      <c r="P4501" s="73"/>
      <c r="Q4501" s="1"/>
      <c r="R4501" s="3"/>
      <c r="S4501" s="3"/>
      <c r="T4501" s="3"/>
      <c r="U4501" s="400"/>
      <c r="V4501" s="400"/>
      <c r="W4501" s="732"/>
      <c r="X4501" s="24"/>
      <c r="Y4501" s="509"/>
      <c r="Z4501" s="466"/>
      <c r="AA4501" s="466"/>
      <c r="AB4501" s="466"/>
      <c r="AC4501" s="466"/>
      <c r="AD4501" s="466"/>
      <c r="AE4501" s="466"/>
      <c r="AF4501" s="466"/>
      <c r="AG4501" s="466"/>
      <c r="AH4501" s="466"/>
      <c r="AI4501" s="466"/>
      <c r="AJ4501" s="466"/>
      <c r="AK4501" s="466"/>
      <c r="AL4501" s="466"/>
      <c r="AM4501" s="466"/>
      <c r="AN4501" s="466"/>
      <c r="AO4501" s="466"/>
      <c r="AP4501" s="466"/>
      <c r="AQ4501" s="466"/>
      <c r="AR4501" s="466"/>
      <c r="AS4501" s="466"/>
      <c r="AT4501" s="466"/>
      <c r="AU4501" s="466"/>
      <c r="AV4501" s="466"/>
      <c r="AW4501" s="466"/>
      <c r="AX4501" s="466"/>
      <c r="AY4501" s="466"/>
      <c r="AZ4501" s="466"/>
      <c r="BA4501" s="466"/>
      <c r="BB4501" s="466"/>
      <c r="BC4501" s="466"/>
      <c r="BD4501" s="466"/>
      <c r="BE4501" s="467"/>
      <c r="BF4501" s="467"/>
      <c r="BG4501" s="466"/>
      <c r="BH4501" s="466"/>
      <c r="BI4501" s="467"/>
      <c r="BJ4501" s="467"/>
      <c r="BK4501" s="467"/>
      <c r="BL4501" s="467"/>
      <c r="BM4501" s="467"/>
      <c r="BN4501" s="467"/>
      <c r="BO4501" s="467"/>
      <c r="BP4501" s="467"/>
      <c r="BQ4501" s="467"/>
      <c r="BR4501" s="467"/>
      <c r="BS4501" s="467"/>
      <c r="BT4501" s="467"/>
      <c r="BU4501" s="467"/>
      <c r="BV4501" s="467"/>
      <c r="BW4501" s="467"/>
      <c r="BX4501" s="769"/>
      <c r="BY4501" s="769"/>
      <c r="BZ4501" s="769"/>
      <c r="CA4501" s="769"/>
      <c r="CB4501" s="769"/>
      <c r="CC4501" s="769"/>
      <c r="CD4501" s="769"/>
      <c r="CE4501" s="769"/>
      <c r="CF4501" s="769"/>
      <c r="CG4501" s="73"/>
      <c r="CH4501" s="438"/>
      <c r="CI4501" s="416"/>
      <c r="CJ4501" s="73"/>
      <c r="CK4501" s="650"/>
      <c r="CL4501" s="499"/>
      <c r="CM4501" s="650"/>
      <c r="CR4501" s="416"/>
      <c r="CS4501" s="650"/>
      <c r="CU4501" s="73"/>
      <c r="CV4501" s="73"/>
      <c r="CW4501" s="73"/>
      <c r="CX4501" s="73"/>
      <c r="DA4501" s="650"/>
    </row>
    <row r="4502" spans="1:105" s="45" customFormat="1" x14ac:dyDescent="0.2">
      <c r="A4502" s="650"/>
      <c r="B4502" s="438"/>
      <c r="C4502"/>
      <c r="D4502" s="73"/>
      <c r="E4502" s="48"/>
      <c r="F4502" s="48"/>
      <c r="G4502" s="1"/>
      <c r="H4502"/>
      <c r="I4502" s="2"/>
      <c r="J4502" s="72"/>
      <c r="K4502" s="72"/>
      <c r="L4502" s="499"/>
      <c r="M4502" s="1"/>
      <c r="N4502" s="499"/>
      <c r="O4502" s="73"/>
      <c r="P4502" s="73"/>
      <c r="Q4502" s="1"/>
      <c r="R4502" s="3"/>
      <c r="S4502" s="3"/>
      <c r="T4502" s="3"/>
      <c r="U4502" s="400"/>
      <c r="V4502" s="400"/>
      <c r="W4502" s="732"/>
      <c r="X4502" s="24"/>
      <c r="Y4502" s="509"/>
      <c r="Z4502" s="466"/>
      <c r="AA4502" s="466"/>
      <c r="AB4502" s="466"/>
      <c r="AC4502" s="466"/>
      <c r="AD4502" s="466"/>
      <c r="AE4502" s="466"/>
      <c r="AF4502" s="466"/>
      <c r="AG4502" s="466"/>
      <c r="AH4502" s="466"/>
      <c r="AI4502" s="466"/>
      <c r="AJ4502" s="466"/>
      <c r="AK4502" s="466"/>
      <c r="AL4502" s="466"/>
      <c r="AM4502" s="466"/>
      <c r="AN4502" s="466"/>
      <c r="AO4502" s="466"/>
      <c r="AP4502" s="466"/>
      <c r="AQ4502" s="466"/>
      <c r="AR4502" s="466"/>
      <c r="AS4502" s="466"/>
      <c r="AT4502" s="466"/>
      <c r="AU4502" s="466"/>
      <c r="AV4502" s="466"/>
      <c r="AW4502" s="466"/>
      <c r="AX4502" s="466"/>
      <c r="AY4502" s="466"/>
      <c r="AZ4502" s="466"/>
      <c r="BA4502" s="466"/>
      <c r="BB4502" s="466"/>
      <c r="BC4502" s="466"/>
      <c r="BD4502" s="466"/>
      <c r="BE4502" s="467"/>
      <c r="BF4502" s="467"/>
      <c r="BG4502" s="466"/>
      <c r="BH4502" s="466"/>
      <c r="BI4502" s="467"/>
      <c r="BJ4502" s="467"/>
      <c r="BK4502" s="467"/>
      <c r="BL4502" s="467"/>
      <c r="BM4502" s="467"/>
      <c r="BN4502" s="467"/>
      <c r="BO4502" s="467"/>
      <c r="BP4502" s="467"/>
      <c r="BQ4502" s="467"/>
      <c r="BR4502" s="467"/>
      <c r="BS4502" s="467"/>
      <c r="BT4502" s="467"/>
      <c r="BU4502" s="467"/>
      <c r="BV4502" s="467"/>
      <c r="BW4502" s="467"/>
      <c r="BX4502" s="769"/>
      <c r="BY4502" s="769"/>
      <c r="BZ4502" s="769"/>
      <c r="CA4502" s="769"/>
      <c r="CB4502" s="769"/>
      <c r="CC4502" s="769"/>
      <c r="CD4502" s="769"/>
      <c r="CE4502" s="769"/>
      <c r="CF4502" s="769"/>
      <c r="CG4502" s="73"/>
      <c r="CH4502" s="438"/>
      <c r="CI4502" s="416"/>
      <c r="CJ4502" s="73"/>
      <c r="CK4502" s="650"/>
      <c r="CL4502" s="499"/>
      <c r="CM4502" s="650"/>
      <c r="CR4502" s="416"/>
      <c r="CS4502" s="650"/>
      <c r="CU4502" s="73"/>
      <c r="CV4502" s="73"/>
      <c r="CW4502" s="73"/>
      <c r="CX4502" s="73"/>
      <c r="DA4502" s="650"/>
    </row>
    <row r="4503" spans="1:105" s="45" customFormat="1" x14ac:dyDescent="0.2">
      <c r="A4503" s="650"/>
      <c r="B4503" s="438"/>
      <c r="C4503"/>
      <c r="D4503" s="73"/>
      <c r="E4503" s="48"/>
      <c r="F4503" s="48"/>
      <c r="G4503" s="1"/>
      <c r="H4503"/>
      <c r="I4503" s="2"/>
      <c r="J4503" s="72"/>
      <c r="K4503" s="72"/>
      <c r="L4503" s="499"/>
      <c r="M4503" s="1"/>
      <c r="N4503" s="499"/>
      <c r="O4503" s="73"/>
      <c r="P4503" s="73"/>
      <c r="Q4503" s="1"/>
      <c r="R4503" s="3"/>
      <c r="S4503" s="3"/>
      <c r="T4503" s="3"/>
      <c r="U4503" s="400"/>
      <c r="V4503" s="400"/>
      <c r="W4503" s="732"/>
      <c r="X4503" s="24"/>
      <c r="Y4503" s="509"/>
      <c r="Z4503" s="466"/>
      <c r="AA4503" s="466"/>
      <c r="AB4503" s="466"/>
      <c r="AC4503" s="466"/>
      <c r="AD4503" s="466"/>
      <c r="AE4503" s="466"/>
      <c r="AF4503" s="466"/>
      <c r="AG4503" s="466"/>
      <c r="AH4503" s="466"/>
      <c r="AI4503" s="466"/>
      <c r="AJ4503" s="466"/>
      <c r="AK4503" s="466"/>
      <c r="AL4503" s="466"/>
      <c r="AM4503" s="466"/>
      <c r="AN4503" s="466"/>
      <c r="AO4503" s="466"/>
      <c r="AP4503" s="466"/>
      <c r="AQ4503" s="466"/>
      <c r="AR4503" s="466"/>
      <c r="AS4503" s="466"/>
      <c r="AT4503" s="466"/>
      <c r="AU4503" s="466"/>
      <c r="AV4503" s="466"/>
      <c r="AW4503" s="466"/>
      <c r="AX4503" s="466"/>
      <c r="AY4503" s="466"/>
      <c r="AZ4503" s="466"/>
      <c r="BA4503" s="466"/>
      <c r="BB4503" s="466"/>
      <c r="BC4503" s="466"/>
      <c r="BD4503" s="466"/>
      <c r="BE4503" s="467"/>
      <c r="BF4503" s="467"/>
      <c r="BG4503" s="466"/>
      <c r="BH4503" s="466"/>
      <c r="BI4503" s="467"/>
      <c r="BJ4503" s="467"/>
      <c r="BK4503" s="467"/>
      <c r="BL4503" s="467"/>
      <c r="BM4503" s="467"/>
      <c r="BN4503" s="467"/>
      <c r="BO4503" s="467"/>
      <c r="BP4503" s="467"/>
      <c r="BQ4503" s="467"/>
      <c r="BR4503" s="467"/>
      <c r="BS4503" s="467"/>
      <c r="BT4503" s="467"/>
      <c r="BU4503" s="467"/>
      <c r="BV4503" s="467"/>
      <c r="BW4503" s="467"/>
      <c r="BX4503" s="769"/>
      <c r="BY4503" s="769"/>
      <c r="BZ4503" s="769"/>
      <c r="CA4503" s="769"/>
      <c r="CB4503" s="769"/>
      <c r="CC4503" s="769"/>
      <c r="CD4503" s="769"/>
      <c r="CE4503" s="769"/>
      <c r="CF4503" s="769"/>
      <c r="CG4503" s="73"/>
      <c r="CH4503" s="438"/>
      <c r="CI4503" s="416"/>
      <c r="CJ4503" s="73"/>
      <c r="CK4503" s="650"/>
      <c r="CL4503" s="499"/>
      <c r="CM4503" s="650"/>
      <c r="CR4503" s="416"/>
      <c r="CS4503" s="650"/>
      <c r="CU4503" s="73"/>
      <c r="CV4503" s="73"/>
      <c r="CW4503" s="73"/>
      <c r="CX4503" s="73"/>
      <c r="DA4503" s="650"/>
    </row>
    <row r="4504" spans="1:105" s="45" customFormat="1" x14ac:dyDescent="0.2">
      <c r="A4504" s="650"/>
      <c r="B4504" s="438"/>
      <c r="C4504"/>
      <c r="D4504" s="73"/>
      <c r="E4504" s="48"/>
      <c r="F4504" s="48"/>
      <c r="G4504" s="1"/>
      <c r="H4504"/>
      <c r="I4504" s="2"/>
      <c r="J4504" s="72"/>
      <c r="K4504" s="72"/>
      <c r="L4504" s="499"/>
      <c r="M4504" s="1"/>
      <c r="N4504" s="499"/>
      <c r="O4504" s="73"/>
      <c r="P4504" s="73"/>
      <c r="Q4504" s="1"/>
      <c r="R4504" s="3"/>
      <c r="S4504" s="3"/>
      <c r="T4504" s="3"/>
      <c r="U4504" s="400"/>
      <c r="V4504" s="400"/>
      <c r="W4504" s="732"/>
      <c r="X4504" s="24"/>
      <c r="Y4504" s="509"/>
      <c r="Z4504" s="466"/>
      <c r="AA4504" s="466"/>
      <c r="AB4504" s="466"/>
      <c r="AC4504" s="466"/>
      <c r="AD4504" s="466"/>
      <c r="AE4504" s="466"/>
      <c r="AF4504" s="466"/>
      <c r="AG4504" s="466"/>
      <c r="AH4504" s="466"/>
      <c r="AI4504" s="466"/>
      <c r="AJ4504" s="466"/>
      <c r="AK4504" s="466"/>
      <c r="AL4504" s="466"/>
      <c r="AM4504" s="466"/>
      <c r="AN4504" s="466"/>
      <c r="AO4504" s="466"/>
      <c r="AP4504" s="466"/>
      <c r="AQ4504" s="466"/>
      <c r="AR4504" s="466"/>
      <c r="AS4504" s="466"/>
      <c r="AT4504" s="466"/>
      <c r="AU4504" s="466"/>
      <c r="AV4504" s="466"/>
      <c r="AW4504" s="466"/>
      <c r="AX4504" s="466"/>
      <c r="AY4504" s="466"/>
      <c r="AZ4504" s="466"/>
      <c r="BA4504" s="466"/>
      <c r="BB4504" s="466"/>
      <c r="BC4504" s="466"/>
      <c r="BD4504" s="466"/>
      <c r="BE4504" s="467"/>
      <c r="BF4504" s="467"/>
      <c r="BG4504" s="466"/>
      <c r="BH4504" s="466"/>
      <c r="BI4504" s="467"/>
      <c r="BJ4504" s="467"/>
      <c r="BK4504" s="467"/>
      <c r="BL4504" s="467"/>
      <c r="BM4504" s="467"/>
      <c r="BN4504" s="467"/>
      <c r="BO4504" s="467"/>
      <c r="BP4504" s="467"/>
      <c r="BQ4504" s="467"/>
      <c r="BR4504" s="467"/>
      <c r="BS4504" s="467"/>
      <c r="BT4504" s="467"/>
      <c r="BU4504" s="467"/>
      <c r="BV4504" s="467"/>
      <c r="BW4504" s="467"/>
      <c r="BX4504" s="769"/>
      <c r="BY4504" s="769"/>
      <c r="BZ4504" s="769"/>
      <c r="CA4504" s="769"/>
      <c r="CB4504" s="769"/>
      <c r="CC4504" s="769"/>
      <c r="CD4504" s="769"/>
      <c r="CE4504" s="769"/>
      <c r="CF4504" s="769"/>
      <c r="CG4504" s="73"/>
      <c r="CH4504" s="438"/>
      <c r="CI4504" s="416"/>
      <c r="CJ4504" s="73"/>
      <c r="CK4504" s="650"/>
      <c r="CL4504" s="499"/>
      <c r="CM4504" s="650"/>
      <c r="CR4504" s="416"/>
      <c r="CS4504" s="650"/>
      <c r="CU4504" s="73"/>
      <c r="CV4504" s="73"/>
      <c r="CW4504" s="73"/>
      <c r="CX4504" s="73"/>
      <c r="DA4504" s="650"/>
    </row>
    <row r="4505" spans="1:105" s="45" customFormat="1" x14ac:dyDescent="0.2">
      <c r="A4505" s="650"/>
      <c r="B4505" s="438"/>
      <c r="C4505"/>
      <c r="D4505" s="73"/>
      <c r="E4505" s="48"/>
      <c r="F4505" s="48"/>
      <c r="G4505" s="1"/>
      <c r="H4505"/>
      <c r="I4505" s="2"/>
      <c r="J4505" s="72"/>
      <c r="K4505" s="72"/>
      <c r="L4505" s="499"/>
      <c r="M4505" s="1"/>
      <c r="N4505" s="499"/>
      <c r="O4505" s="73"/>
      <c r="P4505" s="73"/>
      <c r="Q4505" s="1"/>
      <c r="R4505" s="3"/>
      <c r="S4505" s="3"/>
      <c r="T4505" s="3"/>
      <c r="U4505" s="400"/>
      <c r="V4505" s="400"/>
      <c r="W4505" s="732"/>
      <c r="X4505" s="24"/>
      <c r="Y4505" s="509"/>
      <c r="Z4505" s="466"/>
      <c r="AA4505" s="466"/>
      <c r="AB4505" s="466"/>
      <c r="AC4505" s="466"/>
      <c r="AD4505" s="466"/>
      <c r="AE4505" s="466"/>
      <c r="AF4505" s="466"/>
      <c r="AG4505" s="466"/>
      <c r="AH4505" s="466"/>
      <c r="AI4505" s="466"/>
      <c r="AJ4505" s="466"/>
      <c r="AK4505" s="466"/>
      <c r="AL4505" s="466"/>
      <c r="AM4505" s="466"/>
      <c r="AN4505" s="466"/>
      <c r="AO4505" s="466"/>
      <c r="AP4505" s="466"/>
      <c r="AQ4505" s="466"/>
      <c r="AR4505" s="466"/>
      <c r="AS4505" s="466"/>
      <c r="AT4505" s="466"/>
      <c r="AU4505" s="466"/>
      <c r="AV4505" s="466"/>
      <c r="AW4505" s="466"/>
      <c r="AX4505" s="466"/>
      <c r="AY4505" s="466"/>
      <c r="AZ4505" s="466"/>
      <c r="BA4505" s="466"/>
      <c r="BB4505" s="466"/>
      <c r="BC4505" s="466"/>
      <c r="BD4505" s="466"/>
      <c r="BE4505" s="467"/>
      <c r="BF4505" s="467"/>
      <c r="BG4505" s="466"/>
      <c r="BH4505" s="466"/>
      <c r="BI4505" s="467"/>
      <c r="BJ4505" s="467"/>
      <c r="BK4505" s="467"/>
      <c r="BL4505" s="467"/>
      <c r="BM4505" s="467"/>
      <c r="BN4505" s="467"/>
      <c r="BO4505" s="467"/>
      <c r="BP4505" s="467"/>
      <c r="BQ4505" s="467"/>
      <c r="BR4505" s="467"/>
      <c r="BS4505" s="467"/>
      <c r="BT4505" s="467"/>
      <c r="BU4505" s="467"/>
      <c r="BV4505" s="467"/>
      <c r="BW4505" s="467"/>
      <c r="BX4505" s="769"/>
      <c r="BY4505" s="769"/>
      <c r="BZ4505" s="769"/>
      <c r="CA4505" s="769"/>
      <c r="CB4505" s="769"/>
      <c r="CC4505" s="769"/>
      <c r="CD4505" s="769"/>
      <c r="CE4505" s="769"/>
      <c r="CF4505" s="769"/>
      <c r="CG4505" s="73"/>
      <c r="CH4505" s="438"/>
      <c r="CI4505" s="416"/>
      <c r="CJ4505" s="73"/>
      <c r="CK4505" s="650"/>
      <c r="CL4505" s="499"/>
      <c r="CM4505" s="650"/>
      <c r="CR4505" s="416"/>
      <c r="CS4505" s="650"/>
      <c r="CU4505" s="73"/>
      <c r="CV4505" s="73"/>
      <c r="CW4505" s="73"/>
      <c r="CX4505" s="73"/>
      <c r="DA4505" s="650"/>
    </row>
    <row r="4506" spans="1:105" s="45" customFormat="1" x14ac:dyDescent="0.2">
      <c r="A4506" s="650"/>
      <c r="B4506" s="438"/>
      <c r="C4506"/>
      <c r="D4506" s="73"/>
      <c r="E4506" s="48"/>
      <c r="F4506" s="48"/>
      <c r="G4506" s="1"/>
      <c r="H4506"/>
      <c r="I4506" s="2"/>
      <c r="J4506" s="72"/>
      <c r="K4506" s="72"/>
      <c r="L4506" s="499"/>
      <c r="M4506" s="1"/>
      <c r="N4506" s="499"/>
      <c r="O4506" s="73"/>
      <c r="P4506" s="73"/>
      <c r="Q4506" s="1"/>
      <c r="R4506" s="3"/>
      <c r="S4506" s="3"/>
      <c r="T4506" s="3"/>
      <c r="U4506" s="400"/>
      <c r="V4506" s="400"/>
      <c r="W4506" s="732"/>
      <c r="X4506" s="24"/>
      <c r="Y4506" s="509"/>
      <c r="Z4506" s="466"/>
      <c r="AA4506" s="466"/>
      <c r="AB4506" s="466"/>
      <c r="AC4506" s="466"/>
      <c r="AD4506" s="466"/>
      <c r="AE4506" s="466"/>
      <c r="AF4506" s="466"/>
      <c r="AG4506" s="466"/>
      <c r="AH4506" s="466"/>
      <c r="AI4506" s="466"/>
      <c r="AJ4506" s="466"/>
      <c r="AK4506" s="466"/>
      <c r="AL4506" s="466"/>
      <c r="AM4506" s="466"/>
      <c r="AN4506" s="466"/>
      <c r="AO4506" s="466"/>
      <c r="AP4506" s="466"/>
      <c r="AQ4506" s="466"/>
      <c r="AR4506" s="466"/>
      <c r="AS4506" s="466"/>
      <c r="AT4506" s="466"/>
      <c r="AU4506" s="466"/>
      <c r="AV4506" s="466"/>
      <c r="AW4506" s="466"/>
      <c r="AX4506" s="466"/>
      <c r="AY4506" s="466"/>
      <c r="AZ4506" s="466"/>
      <c r="BA4506" s="466"/>
      <c r="BB4506" s="466"/>
      <c r="BC4506" s="466"/>
      <c r="BD4506" s="466"/>
      <c r="BE4506" s="467"/>
      <c r="BF4506" s="467"/>
      <c r="BG4506" s="466"/>
      <c r="BH4506" s="466"/>
      <c r="BI4506" s="467"/>
      <c r="BJ4506" s="467"/>
      <c r="BK4506" s="467"/>
      <c r="BL4506" s="467"/>
      <c r="BM4506" s="467"/>
      <c r="BN4506" s="467"/>
      <c r="BO4506" s="467"/>
      <c r="BP4506" s="467"/>
      <c r="BQ4506" s="467"/>
      <c r="BR4506" s="467"/>
      <c r="BS4506" s="467"/>
      <c r="BT4506" s="467"/>
      <c r="BU4506" s="467"/>
      <c r="BV4506" s="467"/>
      <c r="BW4506" s="467"/>
      <c r="BX4506" s="769"/>
      <c r="BY4506" s="769"/>
      <c r="BZ4506" s="769"/>
      <c r="CA4506" s="769"/>
      <c r="CB4506" s="769"/>
      <c r="CC4506" s="769"/>
      <c r="CD4506" s="769"/>
      <c r="CE4506" s="769"/>
      <c r="CF4506" s="769"/>
      <c r="CG4506" s="73"/>
      <c r="CH4506" s="438"/>
      <c r="CI4506" s="416"/>
      <c r="CJ4506" s="73"/>
      <c r="CK4506" s="650"/>
      <c r="CL4506" s="499"/>
      <c r="CM4506" s="650"/>
      <c r="CR4506" s="416"/>
      <c r="CS4506" s="650"/>
      <c r="CU4506" s="73"/>
      <c r="CV4506" s="73"/>
      <c r="CW4506" s="73"/>
      <c r="CX4506" s="73"/>
      <c r="DA4506" s="650"/>
    </row>
    <row r="4507" spans="1:105" s="45" customFormat="1" x14ac:dyDescent="0.2">
      <c r="A4507" s="650"/>
      <c r="B4507" s="438"/>
      <c r="C4507"/>
      <c r="D4507" s="73"/>
      <c r="E4507" s="48"/>
      <c r="F4507" s="48"/>
      <c r="G4507" s="1"/>
      <c r="H4507"/>
      <c r="I4507" s="2"/>
      <c r="J4507" s="72"/>
      <c r="K4507" s="72"/>
      <c r="L4507" s="499"/>
      <c r="M4507" s="1"/>
      <c r="N4507" s="499"/>
      <c r="O4507" s="73"/>
      <c r="P4507" s="73"/>
      <c r="Q4507" s="1"/>
      <c r="R4507" s="3"/>
      <c r="S4507" s="3"/>
      <c r="T4507" s="3"/>
      <c r="U4507" s="400"/>
      <c r="V4507" s="400"/>
      <c r="W4507" s="732"/>
      <c r="X4507" s="24"/>
      <c r="Y4507" s="509"/>
      <c r="Z4507" s="466"/>
      <c r="AA4507" s="466"/>
      <c r="AB4507" s="466"/>
      <c r="AC4507" s="466"/>
      <c r="AD4507" s="466"/>
      <c r="AE4507" s="466"/>
      <c r="AF4507" s="466"/>
      <c r="AG4507" s="466"/>
      <c r="AH4507" s="466"/>
      <c r="AI4507" s="466"/>
      <c r="AJ4507" s="466"/>
      <c r="AK4507" s="466"/>
      <c r="AL4507" s="466"/>
      <c r="AM4507" s="466"/>
      <c r="AN4507" s="466"/>
      <c r="AO4507" s="466"/>
      <c r="AP4507" s="466"/>
      <c r="AQ4507" s="466"/>
      <c r="AR4507" s="466"/>
      <c r="AS4507" s="466"/>
      <c r="AT4507" s="466"/>
      <c r="AU4507" s="466"/>
      <c r="AV4507" s="466"/>
      <c r="AW4507" s="466"/>
      <c r="AX4507" s="466"/>
      <c r="AY4507" s="466"/>
      <c r="AZ4507" s="466"/>
      <c r="BA4507" s="466"/>
      <c r="BB4507" s="466"/>
      <c r="BC4507" s="466"/>
      <c r="BD4507" s="466"/>
      <c r="BE4507" s="467"/>
      <c r="BF4507" s="467"/>
      <c r="BG4507" s="466"/>
      <c r="BH4507" s="466"/>
      <c r="BI4507" s="467"/>
      <c r="BJ4507" s="467"/>
      <c r="BK4507" s="467"/>
      <c r="BL4507" s="467"/>
      <c r="BM4507" s="467"/>
      <c r="BN4507" s="467"/>
      <c r="BO4507" s="467"/>
      <c r="BP4507" s="467"/>
      <c r="BQ4507" s="467"/>
      <c r="BR4507" s="467"/>
      <c r="BS4507" s="467"/>
      <c r="BT4507" s="467"/>
      <c r="BU4507" s="467"/>
      <c r="BV4507" s="467"/>
      <c r="BW4507" s="467"/>
      <c r="BX4507" s="769"/>
      <c r="BY4507" s="769"/>
      <c r="BZ4507" s="769"/>
      <c r="CA4507" s="769"/>
      <c r="CB4507" s="769"/>
      <c r="CC4507" s="769"/>
      <c r="CD4507" s="769"/>
      <c r="CE4507" s="769"/>
      <c r="CF4507" s="769"/>
      <c r="CG4507" s="73"/>
      <c r="CH4507" s="438"/>
      <c r="CI4507" s="416"/>
      <c r="CJ4507" s="73"/>
      <c r="CK4507" s="650"/>
      <c r="CL4507" s="499"/>
      <c r="CM4507" s="650"/>
      <c r="CR4507" s="416"/>
      <c r="CS4507" s="650"/>
      <c r="CU4507" s="73"/>
      <c r="CV4507" s="73"/>
      <c r="CW4507" s="73"/>
      <c r="CX4507" s="73"/>
      <c r="DA4507" s="650"/>
    </row>
    <row r="4508" spans="1:105" s="45" customFormat="1" x14ac:dyDescent="0.2">
      <c r="A4508" s="650"/>
      <c r="B4508" s="438"/>
      <c r="C4508"/>
      <c r="D4508" s="73"/>
      <c r="E4508" s="48"/>
      <c r="F4508" s="48"/>
      <c r="G4508" s="1"/>
      <c r="H4508"/>
      <c r="I4508" s="2"/>
      <c r="J4508" s="72"/>
      <c r="K4508" s="72"/>
      <c r="L4508" s="499"/>
      <c r="M4508" s="1"/>
      <c r="N4508" s="499"/>
      <c r="O4508" s="73"/>
      <c r="P4508" s="73"/>
      <c r="Q4508" s="1"/>
      <c r="R4508" s="3"/>
      <c r="S4508" s="3"/>
      <c r="T4508" s="3"/>
      <c r="U4508" s="400"/>
      <c r="V4508" s="400"/>
      <c r="W4508" s="732"/>
      <c r="X4508" s="24"/>
      <c r="Y4508" s="509"/>
      <c r="Z4508" s="466"/>
      <c r="AA4508" s="466"/>
      <c r="AB4508" s="466"/>
      <c r="AC4508" s="466"/>
      <c r="AD4508" s="466"/>
      <c r="AE4508" s="466"/>
      <c r="AF4508" s="466"/>
      <c r="AG4508" s="466"/>
      <c r="AH4508" s="466"/>
      <c r="AI4508" s="466"/>
      <c r="AJ4508" s="466"/>
      <c r="AK4508" s="466"/>
      <c r="AL4508" s="466"/>
      <c r="AM4508" s="466"/>
      <c r="AN4508" s="466"/>
      <c r="AO4508" s="466"/>
      <c r="AP4508" s="466"/>
      <c r="AQ4508" s="466"/>
      <c r="AR4508" s="466"/>
      <c r="AS4508" s="466"/>
      <c r="AT4508" s="466"/>
      <c r="AU4508" s="466"/>
      <c r="AV4508" s="466"/>
      <c r="AW4508" s="466"/>
      <c r="AX4508" s="466"/>
      <c r="AY4508" s="466"/>
      <c r="AZ4508" s="466"/>
      <c r="BA4508" s="466"/>
      <c r="BB4508" s="466"/>
      <c r="BC4508" s="466"/>
      <c r="BD4508" s="466"/>
      <c r="BE4508" s="467"/>
      <c r="BF4508" s="467"/>
      <c r="BG4508" s="466"/>
      <c r="BH4508" s="466"/>
      <c r="BI4508" s="467"/>
      <c r="BJ4508" s="467"/>
      <c r="BK4508" s="467"/>
      <c r="BL4508" s="467"/>
      <c r="BM4508" s="467"/>
      <c r="BN4508" s="467"/>
      <c r="BO4508" s="467"/>
      <c r="BP4508" s="467"/>
      <c r="BQ4508" s="467"/>
      <c r="BR4508" s="467"/>
      <c r="BS4508" s="467"/>
      <c r="BT4508" s="467"/>
      <c r="BU4508" s="467"/>
      <c r="BV4508" s="467"/>
      <c r="BW4508" s="467"/>
      <c r="BX4508" s="769"/>
      <c r="BY4508" s="769"/>
      <c r="BZ4508" s="769"/>
      <c r="CA4508" s="769"/>
      <c r="CB4508" s="769"/>
      <c r="CC4508" s="769"/>
      <c r="CD4508" s="769"/>
      <c r="CE4508" s="769"/>
      <c r="CF4508" s="769"/>
      <c r="CG4508" s="73"/>
      <c r="CH4508" s="438"/>
      <c r="CI4508" s="416"/>
      <c r="CJ4508" s="73"/>
      <c r="CK4508" s="650"/>
      <c r="CL4508" s="499"/>
      <c r="CM4508" s="650"/>
      <c r="CR4508" s="416"/>
      <c r="CS4508" s="650"/>
      <c r="CU4508" s="73"/>
      <c r="CV4508" s="73"/>
      <c r="CW4508" s="73"/>
      <c r="CX4508" s="73"/>
      <c r="DA4508" s="650"/>
    </row>
    <row r="4509" spans="1:105" s="45" customFormat="1" x14ac:dyDescent="0.2">
      <c r="A4509" s="650"/>
      <c r="B4509" s="438"/>
      <c r="C4509"/>
      <c r="D4509" s="73"/>
      <c r="E4509" s="48"/>
      <c r="F4509" s="48"/>
      <c r="G4509" s="1"/>
      <c r="H4509"/>
      <c r="I4509" s="2"/>
      <c r="J4509" s="72"/>
      <c r="K4509" s="72"/>
      <c r="L4509" s="499"/>
      <c r="M4509" s="1"/>
      <c r="N4509" s="499"/>
      <c r="O4509" s="73"/>
      <c r="P4509" s="73"/>
      <c r="Q4509" s="1"/>
      <c r="R4509" s="3"/>
      <c r="S4509" s="3"/>
      <c r="T4509" s="3"/>
      <c r="U4509" s="400"/>
      <c r="V4509" s="400"/>
      <c r="W4509" s="732"/>
      <c r="X4509" s="24"/>
      <c r="Y4509" s="509"/>
      <c r="Z4509" s="466"/>
      <c r="AA4509" s="466"/>
      <c r="AB4509" s="466"/>
      <c r="AC4509" s="466"/>
      <c r="AD4509" s="466"/>
      <c r="AE4509" s="466"/>
      <c r="AF4509" s="466"/>
      <c r="AG4509" s="466"/>
      <c r="AH4509" s="466"/>
      <c r="AI4509" s="466"/>
      <c r="AJ4509" s="466"/>
      <c r="AK4509" s="466"/>
      <c r="AL4509" s="466"/>
      <c r="AM4509" s="466"/>
      <c r="AN4509" s="466"/>
      <c r="AO4509" s="466"/>
      <c r="AP4509" s="466"/>
      <c r="AQ4509" s="466"/>
      <c r="AR4509" s="466"/>
      <c r="AS4509" s="466"/>
      <c r="AT4509" s="466"/>
      <c r="AU4509" s="466"/>
      <c r="AV4509" s="466"/>
      <c r="AW4509" s="466"/>
      <c r="AX4509" s="466"/>
      <c r="AY4509" s="466"/>
      <c r="AZ4509" s="466"/>
      <c r="BA4509" s="466"/>
      <c r="BB4509" s="466"/>
      <c r="BC4509" s="466"/>
      <c r="BD4509" s="466"/>
      <c r="BE4509" s="467"/>
      <c r="BF4509" s="467"/>
      <c r="BG4509" s="466"/>
      <c r="BH4509" s="466"/>
      <c r="BI4509" s="467"/>
      <c r="BJ4509" s="467"/>
      <c r="BK4509" s="467"/>
      <c r="BL4509" s="467"/>
      <c r="BM4509" s="467"/>
      <c r="BN4509" s="467"/>
      <c r="BO4509" s="467"/>
      <c r="BP4509" s="467"/>
      <c r="BQ4509" s="467"/>
      <c r="BR4509" s="467"/>
      <c r="BS4509" s="467"/>
      <c r="BT4509" s="467"/>
      <c r="BU4509" s="467"/>
      <c r="BV4509" s="467"/>
      <c r="BW4509" s="467"/>
      <c r="BX4509" s="769"/>
      <c r="BY4509" s="769"/>
      <c r="BZ4509" s="769"/>
      <c r="CA4509" s="769"/>
      <c r="CB4509" s="769"/>
      <c r="CC4509" s="769"/>
      <c r="CD4509" s="769"/>
      <c r="CE4509" s="769"/>
      <c r="CF4509" s="769"/>
      <c r="CG4509" s="73"/>
      <c r="CH4509" s="438"/>
      <c r="CI4509" s="416"/>
      <c r="CJ4509" s="73"/>
      <c r="CK4509" s="650"/>
      <c r="CL4509" s="499"/>
      <c r="CM4509" s="650"/>
      <c r="CR4509" s="416"/>
      <c r="CS4509" s="650"/>
      <c r="CU4509" s="73"/>
      <c r="CV4509" s="73"/>
      <c r="CW4509" s="73"/>
      <c r="CX4509" s="73"/>
      <c r="DA4509" s="650"/>
    </row>
    <row r="4510" spans="1:105" s="45" customFormat="1" x14ac:dyDescent="0.2">
      <c r="A4510" s="650"/>
      <c r="B4510" s="438"/>
      <c r="C4510"/>
      <c r="D4510" s="73"/>
      <c r="E4510" s="48"/>
      <c r="F4510" s="48"/>
      <c r="G4510" s="1"/>
      <c r="H4510"/>
      <c r="I4510" s="2"/>
      <c r="J4510" s="72"/>
      <c r="K4510" s="72"/>
      <c r="L4510" s="499"/>
      <c r="M4510" s="1"/>
      <c r="N4510" s="499"/>
      <c r="O4510" s="73"/>
      <c r="P4510" s="73"/>
      <c r="Q4510" s="1"/>
      <c r="R4510" s="3"/>
      <c r="S4510" s="3"/>
      <c r="T4510" s="3"/>
      <c r="U4510" s="400"/>
      <c r="V4510" s="400"/>
      <c r="W4510" s="732"/>
      <c r="X4510" s="24"/>
      <c r="Y4510" s="509"/>
      <c r="Z4510" s="466"/>
      <c r="AA4510" s="466"/>
      <c r="AB4510" s="466"/>
      <c r="AC4510" s="466"/>
      <c r="AD4510" s="466"/>
      <c r="AE4510" s="466"/>
      <c r="AF4510" s="466"/>
      <c r="AG4510" s="466"/>
      <c r="AH4510" s="466"/>
      <c r="AI4510" s="466"/>
      <c r="AJ4510" s="466"/>
      <c r="AK4510" s="466"/>
      <c r="AL4510" s="466"/>
      <c r="AM4510" s="466"/>
      <c r="AN4510" s="466"/>
      <c r="AO4510" s="466"/>
      <c r="AP4510" s="466"/>
      <c r="AQ4510" s="466"/>
      <c r="AR4510" s="466"/>
      <c r="AS4510" s="466"/>
      <c r="AT4510" s="466"/>
      <c r="AU4510" s="466"/>
      <c r="AV4510" s="466"/>
      <c r="AW4510" s="466"/>
      <c r="AX4510" s="466"/>
      <c r="AY4510" s="466"/>
      <c r="AZ4510" s="466"/>
      <c r="BA4510" s="466"/>
      <c r="BB4510" s="466"/>
      <c r="BC4510" s="466"/>
      <c r="BD4510" s="466"/>
      <c r="BE4510" s="467"/>
      <c r="BF4510" s="467"/>
      <c r="BG4510" s="466"/>
      <c r="BH4510" s="466"/>
      <c r="BI4510" s="467"/>
      <c r="BJ4510" s="467"/>
      <c r="BK4510" s="467"/>
      <c r="BL4510" s="467"/>
      <c r="BM4510" s="467"/>
      <c r="BN4510" s="467"/>
      <c r="BO4510" s="467"/>
      <c r="BP4510" s="467"/>
      <c r="BQ4510" s="467"/>
      <c r="BR4510" s="467"/>
      <c r="BS4510" s="467"/>
      <c r="BT4510" s="467"/>
      <c r="BU4510" s="467"/>
      <c r="BV4510" s="467"/>
      <c r="BW4510" s="467"/>
      <c r="BX4510" s="769"/>
      <c r="BY4510" s="769"/>
      <c r="BZ4510" s="769"/>
      <c r="CA4510" s="769"/>
      <c r="CB4510" s="769"/>
      <c r="CC4510" s="769"/>
      <c r="CD4510" s="769"/>
      <c r="CE4510" s="769"/>
      <c r="CF4510" s="769"/>
      <c r="CG4510" s="73"/>
      <c r="CH4510" s="438"/>
      <c r="CI4510" s="416"/>
      <c r="CJ4510" s="73"/>
      <c r="CK4510" s="650"/>
      <c r="CL4510" s="499"/>
      <c r="CM4510" s="650"/>
      <c r="CR4510" s="416"/>
      <c r="CS4510" s="650"/>
      <c r="CU4510" s="73"/>
      <c r="CV4510" s="73"/>
      <c r="CW4510" s="73"/>
      <c r="CX4510" s="73"/>
      <c r="DA4510" s="650"/>
    </row>
    <row r="4511" spans="1:105" s="45" customFormat="1" x14ac:dyDescent="0.2">
      <c r="A4511" s="650"/>
      <c r="B4511" s="438"/>
      <c r="C4511"/>
      <c r="D4511" s="73"/>
      <c r="E4511" s="48"/>
      <c r="F4511" s="48"/>
      <c r="G4511" s="1"/>
      <c r="H4511"/>
      <c r="I4511" s="2"/>
      <c r="J4511" s="72"/>
      <c r="K4511" s="72"/>
      <c r="L4511" s="499"/>
      <c r="M4511" s="1"/>
      <c r="N4511" s="499"/>
      <c r="O4511" s="73"/>
      <c r="P4511" s="73"/>
      <c r="Q4511" s="1"/>
      <c r="R4511" s="3"/>
      <c r="S4511" s="3"/>
      <c r="T4511" s="3"/>
      <c r="U4511" s="400"/>
      <c r="V4511" s="400"/>
      <c r="W4511" s="732"/>
      <c r="X4511" s="24"/>
      <c r="Y4511" s="509"/>
      <c r="Z4511" s="466"/>
      <c r="AA4511" s="466"/>
      <c r="AB4511" s="466"/>
      <c r="AC4511" s="466"/>
      <c r="AD4511" s="466"/>
      <c r="AE4511" s="466"/>
      <c r="AF4511" s="466"/>
      <c r="AG4511" s="466"/>
      <c r="AH4511" s="466"/>
      <c r="AI4511" s="466"/>
      <c r="AJ4511" s="466"/>
      <c r="AK4511" s="466"/>
      <c r="AL4511" s="466"/>
      <c r="AM4511" s="466"/>
      <c r="AN4511" s="466"/>
      <c r="AO4511" s="466"/>
      <c r="AP4511" s="466"/>
      <c r="AQ4511" s="466"/>
      <c r="AR4511" s="466"/>
      <c r="AS4511" s="466"/>
      <c r="AT4511" s="466"/>
      <c r="AU4511" s="466"/>
      <c r="AV4511" s="466"/>
      <c r="AW4511" s="466"/>
      <c r="AX4511" s="466"/>
      <c r="AY4511" s="466"/>
      <c r="AZ4511" s="466"/>
      <c r="BA4511" s="466"/>
      <c r="BB4511" s="466"/>
      <c r="BC4511" s="466"/>
      <c r="BD4511" s="466"/>
      <c r="BE4511" s="467"/>
      <c r="BF4511" s="467"/>
      <c r="BG4511" s="466"/>
      <c r="BH4511" s="466"/>
      <c r="BI4511" s="467"/>
      <c r="BJ4511" s="467"/>
      <c r="BK4511" s="467"/>
      <c r="BL4511" s="467"/>
      <c r="BM4511" s="467"/>
      <c r="BN4511" s="467"/>
      <c r="BO4511" s="467"/>
      <c r="BP4511" s="467"/>
      <c r="BQ4511" s="467"/>
      <c r="BR4511" s="467"/>
      <c r="BS4511" s="467"/>
      <c r="BT4511" s="467"/>
      <c r="BU4511" s="467"/>
      <c r="BV4511" s="467"/>
      <c r="BW4511" s="467"/>
      <c r="BX4511" s="769"/>
      <c r="BY4511" s="769"/>
      <c r="BZ4511" s="769"/>
      <c r="CA4511" s="769"/>
      <c r="CB4511" s="769"/>
      <c r="CC4511" s="769"/>
      <c r="CD4511" s="769"/>
      <c r="CE4511" s="769"/>
      <c r="CF4511" s="769"/>
      <c r="CG4511" s="73"/>
      <c r="CH4511" s="438"/>
      <c r="CI4511" s="416"/>
      <c r="CJ4511" s="73"/>
      <c r="CK4511" s="650"/>
      <c r="CL4511" s="499"/>
      <c r="CM4511" s="650"/>
      <c r="CR4511" s="416"/>
      <c r="CS4511" s="650"/>
      <c r="CU4511" s="73"/>
      <c r="CV4511" s="73"/>
      <c r="CW4511" s="73"/>
      <c r="CX4511" s="73"/>
      <c r="DA4511" s="650"/>
    </row>
    <row r="4512" spans="1:105" s="45" customFormat="1" x14ac:dyDescent="0.2">
      <c r="A4512" s="650"/>
      <c r="B4512" s="438"/>
      <c r="C4512"/>
      <c r="D4512" s="73"/>
      <c r="E4512" s="48"/>
      <c r="F4512" s="48"/>
      <c r="G4512" s="1"/>
      <c r="H4512"/>
      <c r="I4512" s="2"/>
      <c r="J4512" s="72"/>
      <c r="K4512" s="72"/>
      <c r="L4512" s="499"/>
      <c r="M4512" s="1"/>
      <c r="N4512" s="499"/>
      <c r="O4512" s="73"/>
      <c r="P4512" s="73"/>
      <c r="Q4512" s="1"/>
      <c r="R4512" s="3"/>
      <c r="S4512" s="3"/>
      <c r="T4512" s="3"/>
      <c r="U4512" s="400"/>
      <c r="V4512" s="400"/>
      <c r="W4512" s="732"/>
      <c r="X4512" s="24"/>
      <c r="Y4512" s="509"/>
      <c r="Z4512" s="466"/>
      <c r="AA4512" s="466"/>
      <c r="AB4512" s="466"/>
      <c r="AC4512" s="466"/>
      <c r="AD4512" s="466"/>
      <c r="AE4512" s="466"/>
      <c r="AF4512" s="466"/>
      <c r="AG4512" s="466"/>
      <c r="AH4512" s="466"/>
      <c r="AI4512" s="466"/>
      <c r="AJ4512" s="466"/>
      <c r="AK4512" s="466"/>
      <c r="AL4512" s="466"/>
      <c r="AM4512" s="466"/>
      <c r="AN4512" s="466"/>
      <c r="AO4512" s="466"/>
      <c r="AP4512" s="466"/>
      <c r="AQ4512" s="466"/>
      <c r="AR4512" s="466"/>
      <c r="AS4512" s="466"/>
      <c r="AT4512" s="466"/>
      <c r="AU4512" s="466"/>
      <c r="AV4512" s="466"/>
      <c r="AW4512" s="466"/>
      <c r="AX4512" s="466"/>
      <c r="AY4512" s="466"/>
      <c r="AZ4512" s="466"/>
      <c r="BA4512" s="466"/>
      <c r="BB4512" s="466"/>
      <c r="BC4512" s="466"/>
      <c r="BD4512" s="466"/>
      <c r="BE4512" s="467"/>
      <c r="BF4512" s="467"/>
      <c r="BG4512" s="466"/>
      <c r="BH4512" s="466"/>
      <c r="BI4512" s="467"/>
      <c r="BJ4512" s="467"/>
      <c r="BK4512" s="467"/>
      <c r="BL4512" s="467"/>
      <c r="BM4512" s="467"/>
      <c r="BN4512" s="467"/>
      <c r="BO4512" s="467"/>
      <c r="BP4512" s="467"/>
      <c r="BQ4512" s="467"/>
      <c r="BR4512" s="467"/>
      <c r="BS4512" s="467"/>
      <c r="BT4512" s="467"/>
      <c r="BU4512" s="467"/>
      <c r="BV4512" s="467"/>
      <c r="BW4512" s="467"/>
      <c r="BX4512" s="769"/>
      <c r="BY4512" s="769"/>
      <c r="BZ4512" s="769"/>
      <c r="CA4512" s="769"/>
      <c r="CB4512" s="769"/>
      <c r="CC4512" s="769"/>
      <c r="CD4512" s="769"/>
      <c r="CE4512" s="769"/>
      <c r="CF4512" s="769"/>
      <c r="CG4512" s="73"/>
      <c r="CH4512" s="438"/>
      <c r="CI4512" s="416"/>
      <c r="CJ4512" s="73"/>
      <c r="CK4512" s="650"/>
      <c r="CL4512" s="499"/>
      <c r="CM4512" s="650"/>
      <c r="CR4512" s="416"/>
      <c r="CS4512" s="650"/>
      <c r="CU4512" s="73"/>
      <c r="CV4512" s="73"/>
      <c r="CW4512" s="73"/>
      <c r="CX4512" s="73"/>
      <c r="DA4512" s="650"/>
    </row>
    <row r="4513" spans="1:105" s="45" customFormat="1" x14ac:dyDescent="0.2">
      <c r="A4513" s="650"/>
      <c r="B4513" s="438"/>
      <c r="C4513"/>
      <c r="D4513" s="73"/>
      <c r="E4513" s="48"/>
      <c r="F4513" s="48"/>
      <c r="G4513" s="1"/>
      <c r="H4513"/>
      <c r="I4513" s="2"/>
      <c r="J4513" s="72"/>
      <c r="K4513" s="72"/>
      <c r="L4513" s="499"/>
      <c r="M4513" s="1"/>
      <c r="N4513" s="499"/>
      <c r="O4513" s="73"/>
      <c r="P4513" s="73"/>
      <c r="Q4513" s="1"/>
      <c r="R4513" s="3"/>
      <c r="S4513" s="3"/>
      <c r="T4513" s="3"/>
      <c r="U4513" s="400"/>
      <c r="V4513" s="400"/>
      <c r="W4513" s="732"/>
      <c r="X4513" s="24"/>
      <c r="Y4513" s="509"/>
      <c r="Z4513" s="466"/>
      <c r="AA4513" s="466"/>
      <c r="AB4513" s="466"/>
      <c r="AC4513" s="466"/>
      <c r="AD4513" s="466"/>
      <c r="AE4513" s="466"/>
      <c r="AF4513" s="466"/>
      <c r="AG4513" s="466"/>
      <c r="AH4513" s="466"/>
      <c r="AI4513" s="466"/>
      <c r="AJ4513" s="466"/>
      <c r="AK4513" s="466"/>
      <c r="AL4513" s="466"/>
      <c r="AM4513" s="466"/>
      <c r="AN4513" s="466"/>
      <c r="AO4513" s="466"/>
      <c r="AP4513" s="466"/>
      <c r="AQ4513" s="466"/>
      <c r="AR4513" s="466"/>
      <c r="AS4513" s="466"/>
      <c r="AT4513" s="466"/>
      <c r="AU4513" s="466"/>
      <c r="AV4513" s="466"/>
      <c r="AW4513" s="466"/>
      <c r="AX4513" s="466"/>
      <c r="AY4513" s="466"/>
      <c r="AZ4513" s="466"/>
      <c r="BA4513" s="466"/>
      <c r="BB4513" s="466"/>
      <c r="BC4513" s="466"/>
      <c r="BD4513" s="466"/>
      <c r="BE4513" s="467"/>
      <c r="BF4513" s="467"/>
      <c r="BG4513" s="466"/>
      <c r="BH4513" s="466"/>
      <c r="BI4513" s="467"/>
      <c r="BJ4513" s="467"/>
      <c r="BK4513" s="467"/>
      <c r="BL4513" s="467"/>
      <c r="BM4513" s="467"/>
      <c r="BN4513" s="467"/>
      <c r="BO4513" s="467"/>
      <c r="BP4513" s="467"/>
      <c r="BQ4513" s="467"/>
      <c r="BR4513" s="467"/>
      <c r="BS4513" s="467"/>
      <c r="BT4513" s="467"/>
      <c r="BU4513" s="467"/>
      <c r="BV4513" s="467"/>
      <c r="BW4513" s="467"/>
      <c r="BX4513" s="769"/>
      <c r="BY4513" s="769"/>
      <c r="BZ4513" s="769"/>
      <c r="CA4513" s="769"/>
      <c r="CB4513" s="769"/>
      <c r="CC4513" s="769"/>
      <c r="CD4513" s="769"/>
      <c r="CE4513" s="769"/>
      <c r="CF4513" s="769"/>
      <c r="CG4513" s="73"/>
      <c r="CH4513" s="438"/>
      <c r="CI4513" s="416"/>
      <c r="CJ4513" s="73"/>
      <c r="CK4513" s="650"/>
      <c r="CL4513" s="499"/>
      <c r="CM4513" s="650"/>
      <c r="CR4513" s="416"/>
      <c r="CS4513" s="650"/>
      <c r="CU4513" s="73"/>
      <c r="CV4513" s="73"/>
      <c r="CW4513" s="73"/>
      <c r="CX4513" s="73"/>
      <c r="DA4513" s="650"/>
    </row>
    <row r="4514" spans="1:105" s="45" customFormat="1" x14ac:dyDescent="0.2">
      <c r="A4514" s="650"/>
      <c r="B4514" s="438"/>
      <c r="C4514"/>
      <c r="D4514" s="73"/>
      <c r="E4514" s="48"/>
      <c r="F4514" s="48"/>
      <c r="G4514" s="1"/>
      <c r="H4514"/>
      <c r="I4514" s="2"/>
      <c r="J4514" s="72"/>
      <c r="K4514" s="72"/>
      <c r="L4514" s="499"/>
      <c r="M4514" s="1"/>
      <c r="N4514" s="499"/>
      <c r="O4514" s="73"/>
      <c r="P4514" s="73"/>
      <c r="Q4514" s="1"/>
      <c r="R4514" s="3"/>
      <c r="S4514" s="3"/>
      <c r="T4514" s="3"/>
      <c r="U4514" s="400"/>
      <c r="V4514" s="400"/>
      <c r="W4514" s="732"/>
      <c r="X4514" s="24"/>
      <c r="Y4514" s="509"/>
      <c r="Z4514" s="466"/>
      <c r="AA4514" s="466"/>
      <c r="AB4514" s="466"/>
      <c r="AC4514" s="466"/>
      <c r="AD4514" s="466"/>
      <c r="AE4514" s="466"/>
      <c r="AF4514" s="466"/>
      <c r="AG4514" s="466"/>
      <c r="AH4514" s="466"/>
      <c r="AI4514" s="466"/>
      <c r="AJ4514" s="466"/>
      <c r="AK4514" s="466"/>
      <c r="AL4514" s="466"/>
      <c r="AM4514" s="466"/>
      <c r="AN4514" s="466"/>
      <c r="AO4514" s="466"/>
      <c r="AP4514" s="466"/>
      <c r="AQ4514" s="466"/>
      <c r="AR4514" s="466"/>
      <c r="AS4514" s="466"/>
      <c r="AT4514" s="466"/>
      <c r="AU4514" s="466"/>
      <c r="AV4514" s="466"/>
      <c r="AW4514" s="466"/>
      <c r="AX4514" s="466"/>
      <c r="AY4514" s="466"/>
      <c r="AZ4514" s="466"/>
      <c r="BA4514" s="466"/>
      <c r="BB4514" s="466"/>
      <c r="BC4514" s="466"/>
      <c r="BD4514" s="466"/>
      <c r="BE4514" s="467"/>
      <c r="BF4514" s="467"/>
      <c r="BG4514" s="466"/>
      <c r="BH4514" s="466"/>
      <c r="BI4514" s="467"/>
      <c r="BJ4514" s="467"/>
      <c r="BK4514" s="467"/>
      <c r="BL4514" s="467"/>
      <c r="BM4514" s="467"/>
      <c r="BN4514" s="467"/>
      <c r="BO4514" s="467"/>
      <c r="BP4514" s="467"/>
      <c r="BQ4514" s="467"/>
      <c r="BR4514" s="467"/>
      <c r="BS4514" s="467"/>
      <c r="BT4514" s="467"/>
      <c r="BU4514" s="467"/>
      <c r="BV4514" s="467"/>
      <c r="BW4514" s="467"/>
      <c r="BX4514" s="769"/>
      <c r="BY4514" s="769"/>
      <c r="BZ4514" s="769"/>
      <c r="CA4514" s="769"/>
      <c r="CB4514" s="769"/>
      <c r="CC4514" s="769"/>
      <c r="CD4514" s="769"/>
      <c r="CE4514" s="769"/>
      <c r="CF4514" s="769"/>
      <c r="CG4514" s="73"/>
      <c r="CH4514" s="438"/>
      <c r="CI4514" s="416"/>
      <c r="CJ4514" s="73"/>
      <c r="CK4514" s="650"/>
      <c r="CL4514" s="499"/>
      <c r="CM4514" s="650"/>
      <c r="CR4514" s="416"/>
      <c r="CS4514" s="650"/>
      <c r="CU4514" s="73"/>
      <c r="CV4514" s="73"/>
      <c r="CW4514" s="73"/>
      <c r="CX4514" s="73"/>
      <c r="DA4514" s="650"/>
    </row>
    <row r="4515" spans="1:105" s="45" customFormat="1" x14ac:dyDescent="0.2">
      <c r="A4515" s="650"/>
      <c r="B4515" s="438"/>
      <c r="C4515"/>
      <c r="D4515" s="73"/>
      <c r="E4515" s="48"/>
      <c r="F4515" s="48"/>
      <c r="G4515" s="1"/>
      <c r="H4515"/>
      <c r="I4515" s="2"/>
      <c r="J4515" s="72"/>
      <c r="K4515" s="72"/>
      <c r="L4515" s="499"/>
      <c r="M4515" s="1"/>
      <c r="N4515" s="499"/>
      <c r="O4515" s="73"/>
      <c r="P4515" s="73"/>
      <c r="Q4515" s="1"/>
      <c r="R4515" s="3"/>
      <c r="S4515" s="3"/>
      <c r="T4515" s="3"/>
      <c r="U4515" s="400"/>
      <c r="V4515" s="400"/>
      <c r="W4515" s="732"/>
      <c r="X4515" s="24"/>
      <c r="Y4515" s="509"/>
      <c r="Z4515" s="466"/>
      <c r="AA4515" s="466"/>
      <c r="AB4515" s="466"/>
      <c r="AC4515" s="466"/>
      <c r="AD4515" s="466"/>
      <c r="AE4515" s="466"/>
      <c r="AF4515" s="466"/>
      <c r="AG4515" s="466"/>
      <c r="AH4515" s="466"/>
      <c r="AI4515" s="466"/>
      <c r="AJ4515" s="466"/>
      <c r="AK4515" s="466"/>
      <c r="AL4515" s="466"/>
      <c r="AM4515" s="466"/>
      <c r="AN4515" s="466"/>
      <c r="AO4515" s="466"/>
      <c r="AP4515" s="466"/>
      <c r="AQ4515" s="466"/>
      <c r="AR4515" s="466"/>
      <c r="AS4515" s="466"/>
      <c r="AT4515" s="466"/>
      <c r="AU4515" s="466"/>
      <c r="AV4515" s="466"/>
      <c r="AW4515" s="466"/>
      <c r="AX4515" s="466"/>
      <c r="AY4515" s="466"/>
      <c r="AZ4515" s="466"/>
      <c r="BA4515" s="466"/>
      <c r="BB4515" s="466"/>
      <c r="BC4515" s="466"/>
      <c r="BD4515" s="466"/>
      <c r="BE4515" s="467"/>
      <c r="BF4515" s="467"/>
      <c r="BG4515" s="466"/>
      <c r="BH4515" s="466"/>
      <c r="BI4515" s="467"/>
      <c r="BJ4515" s="467"/>
      <c r="BK4515" s="467"/>
      <c r="BL4515" s="467"/>
      <c r="BM4515" s="467"/>
      <c r="BN4515" s="467"/>
      <c r="BO4515" s="467"/>
      <c r="BP4515" s="467"/>
      <c r="BQ4515" s="467"/>
      <c r="BR4515" s="467"/>
      <c r="BS4515" s="467"/>
      <c r="BT4515" s="467"/>
      <c r="BU4515" s="467"/>
      <c r="BV4515" s="467"/>
      <c r="BW4515" s="467"/>
      <c r="BX4515" s="769"/>
      <c r="BY4515" s="769"/>
      <c r="BZ4515" s="769"/>
      <c r="CA4515" s="769"/>
      <c r="CB4515" s="769"/>
      <c r="CC4515" s="769"/>
      <c r="CD4515" s="769"/>
      <c r="CE4515" s="769"/>
      <c r="CF4515" s="769"/>
      <c r="CG4515" s="73"/>
      <c r="CH4515" s="438"/>
      <c r="CI4515" s="416"/>
      <c r="CJ4515" s="73"/>
      <c r="CK4515" s="650"/>
      <c r="CL4515" s="499"/>
      <c r="CM4515" s="650"/>
      <c r="CR4515" s="416"/>
      <c r="CS4515" s="650"/>
      <c r="CU4515" s="73"/>
      <c r="CV4515" s="73"/>
      <c r="CW4515" s="73"/>
      <c r="CX4515" s="73"/>
      <c r="DA4515" s="650"/>
    </row>
    <row r="4516" spans="1:105" s="45" customFormat="1" x14ac:dyDescent="0.2">
      <c r="A4516" s="650"/>
      <c r="B4516" s="438"/>
      <c r="C4516"/>
      <c r="D4516" s="73"/>
      <c r="E4516" s="48"/>
      <c r="F4516" s="48"/>
      <c r="G4516" s="1"/>
      <c r="H4516"/>
      <c r="I4516" s="2"/>
      <c r="J4516" s="72"/>
      <c r="K4516" s="72"/>
      <c r="L4516" s="499"/>
      <c r="M4516" s="1"/>
      <c r="N4516" s="499"/>
      <c r="O4516" s="73"/>
      <c r="P4516" s="73"/>
      <c r="Q4516" s="1"/>
      <c r="R4516" s="3"/>
      <c r="S4516" s="3"/>
      <c r="T4516" s="3"/>
      <c r="U4516" s="400"/>
      <c r="V4516" s="400"/>
      <c r="W4516" s="732"/>
      <c r="X4516" s="24"/>
      <c r="Y4516" s="509"/>
      <c r="Z4516" s="466"/>
      <c r="AA4516" s="466"/>
      <c r="AB4516" s="466"/>
      <c r="AC4516" s="466"/>
      <c r="AD4516" s="466"/>
      <c r="AE4516" s="466"/>
      <c r="AF4516" s="466"/>
      <c r="AG4516" s="466"/>
      <c r="AH4516" s="466"/>
      <c r="AI4516" s="466"/>
      <c r="AJ4516" s="466"/>
      <c r="AK4516" s="466"/>
      <c r="AL4516" s="466"/>
      <c r="AM4516" s="466"/>
      <c r="AN4516" s="466"/>
      <c r="AO4516" s="466"/>
      <c r="AP4516" s="466"/>
      <c r="AQ4516" s="466"/>
      <c r="AR4516" s="466"/>
      <c r="AS4516" s="466"/>
      <c r="AT4516" s="466"/>
      <c r="AU4516" s="466"/>
      <c r="AV4516" s="466"/>
      <c r="AW4516" s="466"/>
      <c r="AX4516" s="466"/>
      <c r="AY4516" s="466"/>
      <c r="AZ4516" s="466"/>
      <c r="BA4516" s="466"/>
      <c r="BB4516" s="466"/>
      <c r="BC4516" s="466"/>
      <c r="BD4516" s="466"/>
      <c r="BE4516" s="467"/>
      <c r="BF4516" s="467"/>
      <c r="BG4516" s="466"/>
      <c r="BH4516" s="466"/>
      <c r="BI4516" s="467"/>
      <c r="BJ4516" s="467"/>
      <c r="BK4516" s="467"/>
      <c r="BL4516" s="467"/>
      <c r="BM4516" s="467"/>
      <c r="BN4516" s="467"/>
      <c r="BO4516" s="467"/>
      <c r="BP4516" s="467"/>
      <c r="BQ4516" s="467"/>
      <c r="BR4516" s="467"/>
      <c r="BS4516" s="467"/>
      <c r="BT4516" s="467"/>
      <c r="BU4516" s="467"/>
      <c r="BV4516" s="467"/>
      <c r="BW4516" s="467"/>
      <c r="BX4516" s="769"/>
      <c r="BY4516" s="769"/>
      <c r="BZ4516" s="769"/>
      <c r="CA4516" s="769"/>
      <c r="CB4516" s="769"/>
      <c r="CC4516" s="769"/>
      <c r="CD4516" s="769"/>
      <c r="CE4516" s="769"/>
      <c r="CF4516" s="769"/>
      <c r="CG4516" s="73"/>
      <c r="CH4516" s="438"/>
      <c r="CI4516" s="416"/>
      <c r="CJ4516" s="73"/>
      <c r="CK4516" s="650"/>
      <c r="CL4516" s="499"/>
      <c r="CM4516" s="650"/>
      <c r="CR4516" s="416"/>
      <c r="CS4516" s="650"/>
      <c r="CU4516" s="73"/>
      <c r="CV4516" s="73"/>
      <c r="CW4516" s="73"/>
      <c r="CX4516" s="73"/>
      <c r="DA4516" s="650"/>
    </row>
    <row r="4517" spans="1:105" s="45" customFormat="1" x14ac:dyDescent="0.2">
      <c r="A4517" s="650"/>
      <c r="B4517" s="438"/>
      <c r="C4517"/>
      <c r="D4517" s="73"/>
      <c r="E4517" s="48"/>
      <c r="F4517" s="48"/>
      <c r="G4517" s="1"/>
      <c r="H4517"/>
      <c r="I4517" s="2"/>
      <c r="J4517" s="72"/>
      <c r="K4517" s="72"/>
      <c r="L4517" s="499"/>
      <c r="M4517" s="1"/>
      <c r="N4517" s="499"/>
      <c r="O4517" s="73"/>
      <c r="P4517" s="73"/>
      <c r="Q4517" s="1"/>
      <c r="R4517" s="3"/>
      <c r="S4517" s="3"/>
      <c r="T4517" s="3"/>
      <c r="U4517" s="400"/>
      <c r="V4517" s="400"/>
      <c r="W4517" s="732"/>
      <c r="X4517" s="24"/>
      <c r="Y4517" s="509"/>
      <c r="Z4517" s="466"/>
      <c r="AA4517" s="466"/>
      <c r="AB4517" s="466"/>
      <c r="AC4517" s="466"/>
      <c r="AD4517" s="466"/>
      <c r="AE4517" s="466"/>
      <c r="AF4517" s="466"/>
      <c r="AG4517" s="466"/>
      <c r="AH4517" s="466"/>
      <c r="AI4517" s="466"/>
      <c r="AJ4517" s="466"/>
      <c r="AK4517" s="466"/>
      <c r="AL4517" s="466"/>
      <c r="AM4517" s="466"/>
      <c r="AN4517" s="466"/>
      <c r="AO4517" s="466"/>
      <c r="AP4517" s="466"/>
      <c r="AQ4517" s="466"/>
      <c r="AR4517" s="466"/>
      <c r="AS4517" s="466"/>
      <c r="AT4517" s="466"/>
      <c r="AU4517" s="466"/>
      <c r="AV4517" s="466"/>
      <c r="AW4517" s="466"/>
      <c r="AX4517" s="466"/>
      <c r="AY4517" s="466"/>
      <c r="AZ4517" s="466"/>
      <c r="BA4517" s="466"/>
      <c r="BB4517" s="466"/>
      <c r="BC4517" s="466"/>
      <c r="BD4517" s="466"/>
      <c r="BE4517" s="467"/>
      <c r="BF4517" s="467"/>
      <c r="BG4517" s="466"/>
      <c r="BH4517" s="466"/>
      <c r="BI4517" s="467"/>
      <c r="BJ4517" s="467"/>
      <c r="BK4517" s="467"/>
      <c r="BL4517" s="467"/>
      <c r="BM4517" s="467"/>
      <c r="BN4517" s="467"/>
      <c r="BO4517" s="467"/>
      <c r="BP4517" s="467"/>
      <c r="BQ4517" s="467"/>
      <c r="BR4517" s="467"/>
      <c r="BS4517" s="467"/>
      <c r="BT4517" s="467"/>
      <c r="BU4517" s="467"/>
      <c r="BV4517" s="467"/>
      <c r="BW4517" s="467"/>
      <c r="BX4517" s="769"/>
      <c r="BY4517" s="769"/>
      <c r="BZ4517" s="769"/>
      <c r="CA4517" s="769"/>
      <c r="CB4517" s="769"/>
      <c r="CC4517" s="769"/>
      <c r="CD4517" s="769"/>
      <c r="CE4517" s="769"/>
      <c r="CF4517" s="769"/>
      <c r="CG4517" s="73"/>
      <c r="CH4517" s="438"/>
      <c r="CI4517" s="416"/>
      <c r="CJ4517" s="73"/>
      <c r="CK4517" s="650"/>
      <c r="CL4517" s="499"/>
      <c r="CM4517" s="650"/>
      <c r="CR4517" s="416"/>
      <c r="CS4517" s="650"/>
      <c r="CU4517" s="73"/>
      <c r="CV4517" s="73"/>
      <c r="CW4517" s="73"/>
      <c r="CX4517" s="73"/>
      <c r="DA4517" s="650"/>
    </row>
    <row r="4518" spans="1:105" s="45" customFormat="1" x14ac:dyDescent="0.2">
      <c r="A4518" s="650"/>
      <c r="B4518" s="438"/>
      <c r="C4518"/>
      <c r="D4518" s="73"/>
      <c r="E4518" s="48"/>
      <c r="F4518" s="48"/>
      <c r="G4518" s="1"/>
      <c r="H4518"/>
      <c r="I4518" s="2"/>
      <c r="J4518" s="72"/>
      <c r="K4518" s="72"/>
      <c r="L4518" s="499"/>
      <c r="M4518" s="1"/>
      <c r="N4518" s="499"/>
      <c r="O4518" s="73"/>
      <c r="P4518" s="73"/>
      <c r="Q4518" s="1"/>
      <c r="R4518" s="3"/>
      <c r="S4518" s="3"/>
      <c r="T4518" s="3"/>
      <c r="U4518" s="400"/>
      <c r="V4518" s="400"/>
      <c r="W4518" s="732"/>
      <c r="X4518" s="24"/>
      <c r="Y4518" s="509"/>
      <c r="Z4518" s="466"/>
      <c r="AA4518" s="466"/>
      <c r="AB4518" s="466"/>
      <c r="AC4518" s="466"/>
      <c r="AD4518" s="466"/>
      <c r="AE4518" s="466"/>
      <c r="AF4518" s="466"/>
      <c r="AG4518" s="466"/>
      <c r="AH4518" s="466"/>
      <c r="AI4518" s="466"/>
      <c r="AJ4518" s="466"/>
      <c r="AK4518" s="466"/>
      <c r="AL4518" s="466"/>
      <c r="AM4518" s="466"/>
      <c r="AN4518" s="466"/>
      <c r="AO4518" s="466"/>
      <c r="AP4518" s="466"/>
      <c r="AQ4518" s="466"/>
      <c r="AR4518" s="466"/>
      <c r="AS4518" s="466"/>
      <c r="AT4518" s="466"/>
      <c r="AU4518" s="466"/>
      <c r="AV4518" s="466"/>
      <c r="AW4518" s="466"/>
      <c r="AX4518" s="466"/>
      <c r="AY4518" s="466"/>
      <c r="AZ4518" s="466"/>
      <c r="BA4518" s="466"/>
      <c r="BB4518" s="466"/>
      <c r="BC4518" s="466"/>
      <c r="BD4518" s="466"/>
      <c r="BE4518" s="467"/>
      <c r="BF4518" s="467"/>
      <c r="BG4518" s="466"/>
      <c r="BH4518" s="466"/>
      <c r="BI4518" s="467"/>
      <c r="BJ4518" s="467"/>
      <c r="BK4518" s="467"/>
      <c r="BL4518" s="467"/>
      <c r="BM4518" s="467"/>
      <c r="BN4518" s="467"/>
      <c r="BO4518" s="467"/>
      <c r="BP4518" s="467"/>
      <c r="BQ4518" s="467"/>
      <c r="BR4518" s="467"/>
      <c r="BS4518" s="467"/>
      <c r="BT4518" s="467"/>
      <c r="BU4518" s="467"/>
      <c r="BV4518" s="467"/>
      <c r="BW4518" s="467"/>
      <c r="BX4518" s="769"/>
      <c r="BY4518" s="769"/>
      <c r="BZ4518" s="769"/>
      <c r="CA4518" s="769"/>
      <c r="CB4518" s="769"/>
      <c r="CC4518" s="769"/>
      <c r="CD4518" s="769"/>
      <c r="CE4518" s="769"/>
      <c r="CF4518" s="769"/>
      <c r="CG4518" s="73"/>
      <c r="CH4518" s="438"/>
      <c r="CI4518" s="416"/>
      <c r="CJ4518" s="73"/>
      <c r="CK4518" s="650"/>
      <c r="CL4518" s="499"/>
      <c r="CM4518" s="650"/>
      <c r="CR4518" s="416"/>
      <c r="CS4518" s="650"/>
      <c r="CU4518" s="73"/>
      <c r="CV4518" s="73"/>
      <c r="CW4518" s="73"/>
      <c r="CX4518" s="73"/>
      <c r="DA4518" s="650"/>
    </row>
    <row r="4519" spans="1:105" s="45" customFormat="1" x14ac:dyDescent="0.2">
      <c r="A4519" s="650"/>
      <c r="B4519" s="438"/>
      <c r="C4519"/>
      <c r="D4519" s="73"/>
      <c r="E4519" s="48"/>
      <c r="F4519" s="48"/>
      <c r="G4519" s="1"/>
      <c r="H4519"/>
      <c r="I4519" s="2"/>
      <c r="J4519" s="72"/>
      <c r="K4519" s="72"/>
      <c r="L4519" s="499"/>
      <c r="M4519" s="1"/>
      <c r="N4519" s="499"/>
      <c r="O4519" s="73"/>
      <c r="P4519" s="73"/>
      <c r="Q4519" s="1"/>
      <c r="R4519" s="3"/>
      <c r="S4519" s="3"/>
      <c r="T4519" s="3"/>
      <c r="U4519" s="400"/>
      <c r="V4519" s="400"/>
      <c r="W4519" s="732"/>
      <c r="X4519" s="24"/>
      <c r="Y4519" s="509"/>
      <c r="Z4519" s="466"/>
      <c r="AA4519" s="466"/>
      <c r="AB4519" s="466"/>
      <c r="AC4519" s="466"/>
      <c r="AD4519" s="466"/>
      <c r="AE4519" s="466"/>
      <c r="AF4519" s="466"/>
      <c r="AG4519" s="466"/>
      <c r="AH4519" s="466"/>
      <c r="AI4519" s="466"/>
      <c r="AJ4519" s="466"/>
      <c r="AK4519" s="466"/>
      <c r="AL4519" s="466"/>
      <c r="AM4519" s="466"/>
      <c r="AN4519" s="466"/>
      <c r="AO4519" s="466"/>
      <c r="AP4519" s="466"/>
      <c r="AQ4519" s="466"/>
      <c r="AR4519" s="466"/>
      <c r="AS4519" s="466"/>
      <c r="AT4519" s="466"/>
      <c r="AU4519" s="466"/>
      <c r="AV4519" s="466"/>
      <c r="AW4519" s="466"/>
      <c r="AX4519" s="466"/>
      <c r="AY4519" s="466"/>
      <c r="AZ4519" s="466"/>
      <c r="BA4519" s="466"/>
      <c r="BB4519" s="466"/>
      <c r="BC4519" s="466"/>
      <c r="BD4519" s="466"/>
      <c r="BE4519" s="467"/>
      <c r="BF4519" s="467"/>
      <c r="BG4519" s="466"/>
      <c r="BH4519" s="466"/>
      <c r="BI4519" s="467"/>
      <c r="BJ4519" s="467"/>
      <c r="BK4519" s="467"/>
      <c r="BL4519" s="467"/>
      <c r="BM4519" s="467"/>
      <c r="BN4519" s="467"/>
      <c r="BO4519" s="467"/>
      <c r="BP4519" s="467"/>
      <c r="BQ4519" s="467"/>
      <c r="BR4519" s="467"/>
      <c r="BS4519" s="467"/>
      <c r="BT4519" s="467"/>
      <c r="BU4519" s="467"/>
      <c r="BV4519" s="467"/>
      <c r="BW4519" s="467"/>
      <c r="BX4519" s="769"/>
      <c r="BY4519" s="769"/>
      <c r="BZ4519" s="769"/>
      <c r="CA4519" s="769"/>
      <c r="CB4519" s="769"/>
      <c r="CC4519" s="769"/>
      <c r="CD4519" s="769"/>
      <c r="CE4519" s="769"/>
      <c r="CF4519" s="769"/>
      <c r="CG4519" s="73"/>
      <c r="CH4519" s="438"/>
      <c r="CI4519" s="416"/>
      <c r="CJ4519" s="73"/>
      <c r="CK4519" s="650"/>
      <c r="CL4519" s="499"/>
      <c r="CM4519" s="650"/>
      <c r="CR4519" s="416"/>
      <c r="CS4519" s="650"/>
      <c r="CU4519" s="73"/>
      <c r="CV4519" s="73"/>
      <c r="CW4519" s="73"/>
      <c r="CX4519" s="73"/>
      <c r="DA4519" s="650"/>
    </row>
    <row r="4520" spans="1:105" s="45" customFormat="1" x14ac:dyDescent="0.2">
      <c r="A4520" s="650"/>
      <c r="B4520" s="438"/>
      <c r="C4520"/>
      <c r="D4520" s="73"/>
      <c r="E4520" s="48"/>
      <c r="F4520" s="48"/>
      <c r="G4520" s="1"/>
      <c r="H4520"/>
      <c r="I4520" s="2"/>
      <c r="J4520" s="72"/>
      <c r="K4520" s="72"/>
      <c r="L4520" s="499"/>
      <c r="M4520" s="1"/>
      <c r="N4520" s="499"/>
      <c r="O4520" s="73"/>
      <c r="P4520" s="73"/>
      <c r="Q4520" s="1"/>
      <c r="R4520" s="3"/>
      <c r="S4520" s="3"/>
      <c r="T4520" s="3"/>
      <c r="U4520" s="400"/>
      <c r="V4520" s="400"/>
      <c r="W4520" s="732"/>
      <c r="X4520" s="24"/>
      <c r="Y4520" s="509"/>
      <c r="Z4520" s="466"/>
      <c r="AA4520" s="466"/>
      <c r="AB4520" s="466"/>
      <c r="AC4520" s="466"/>
      <c r="AD4520" s="466"/>
      <c r="AE4520" s="466"/>
      <c r="AF4520" s="466"/>
      <c r="AG4520" s="466"/>
      <c r="AH4520" s="466"/>
      <c r="AI4520" s="466"/>
      <c r="AJ4520" s="466"/>
      <c r="AK4520" s="466"/>
      <c r="AL4520" s="466"/>
      <c r="AM4520" s="466"/>
      <c r="AN4520" s="466"/>
      <c r="AO4520" s="466"/>
      <c r="AP4520" s="466"/>
      <c r="AQ4520" s="466"/>
      <c r="AR4520" s="466"/>
      <c r="AS4520" s="466"/>
      <c r="AT4520" s="466"/>
      <c r="AU4520" s="466"/>
      <c r="AV4520" s="466"/>
      <c r="AW4520" s="466"/>
      <c r="AX4520" s="466"/>
      <c r="AY4520" s="466"/>
      <c r="AZ4520" s="466"/>
      <c r="BA4520" s="466"/>
      <c r="BB4520" s="466"/>
      <c r="BC4520" s="466"/>
      <c r="BD4520" s="466"/>
      <c r="BE4520" s="467"/>
      <c r="BF4520" s="467"/>
      <c r="BG4520" s="466"/>
      <c r="BH4520" s="466"/>
      <c r="BI4520" s="467"/>
      <c r="BJ4520" s="467"/>
      <c r="BK4520" s="467"/>
      <c r="BL4520" s="467"/>
      <c r="BM4520" s="467"/>
      <c r="BN4520" s="467"/>
      <c r="BO4520" s="467"/>
      <c r="BP4520" s="467"/>
      <c r="BQ4520" s="467"/>
      <c r="BR4520" s="467"/>
      <c r="BS4520" s="467"/>
      <c r="BT4520" s="467"/>
      <c r="BU4520" s="467"/>
      <c r="BV4520" s="467"/>
      <c r="BW4520" s="467"/>
      <c r="BX4520" s="769"/>
      <c r="BY4520" s="769"/>
      <c r="BZ4520" s="769"/>
      <c r="CA4520" s="769"/>
      <c r="CB4520" s="769"/>
      <c r="CC4520" s="769"/>
      <c r="CD4520" s="769"/>
      <c r="CE4520" s="769"/>
      <c r="CF4520" s="769"/>
      <c r="CG4520" s="73"/>
      <c r="CH4520" s="438"/>
      <c r="CI4520" s="416"/>
      <c r="CJ4520" s="73"/>
      <c r="CK4520" s="650"/>
      <c r="CL4520" s="499"/>
      <c r="CM4520" s="650"/>
      <c r="CR4520" s="416"/>
      <c r="CS4520" s="650"/>
      <c r="CU4520" s="73"/>
      <c r="CV4520" s="73"/>
      <c r="CW4520" s="73"/>
      <c r="CX4520" s="73"/>
      <c r="DA4520" s="650"/>
    </row>
    <row r="4521" spans="1:105" s="45" customFormat="1" x14ac:dyDescent="0.2">
      <c r="A4521" s="650"/>
      <c r="B4521" s="438"/>
      <c r="C4521"/>
      <c r="D4521" s="73"/>
      <c r="E4521" s="48"/>
      <c r="F4521" s="48"/>
      <c r="G4521" s="1"/>
      <c r="H4521"/>
      <c r="I4521" s="2"/>
      <c r="J4521" s="72"/>
      <c r="K4521" s="72"/>
      <c r="L4521" s="499"/>
      <c r="M4521" s="1"/>
      <c r="N4521" s="499"/>
      <c r="O4521" s="73"/>
      <c r="P4521" s="73"/>
      <c r="Q4521" s="1"/>
      <c r="R4521" s="3"/>
      <c r="S4521" s="3"/>
      <c r="T4521" s="3"/>
      <c r="U4521" s="400"/>
      <c r="V4521" s="400"/>
      <c r="W4521" s="732"/>
      <c r="X4521" s="24"/>
      <c r="Y4521" s="509"/>
      <c r="Z4521" s="466"/>
      <c r="AA4521" s="466"/>
      <c r="AB4521" s="466"/>
      <c r="AC4521" s="466"/>
      <c r="AD4521" s="466"/>
      <c r="AE4521" s="466"/>
      <c r="AF4521" s="466"/>
      <c r="AG4521" s="466"/>
      <c r="AH4521" s="466"/>
      <c r="AI4521" s="466"/>
      <c r="AJ4521" s="466"/>
      <c r="AK4521" s="466"/>
      <c r="AL4521" s="466"/>
      <c r="AM4521" s="466"/>
      <c r="AN4521" s="466"/>
      <c r="AO4521" s="466"/>
      <c r="AP4521" s="466"/>
      <c r="AQ4521" s="466"/>
      <c r="AR4521" s="466"/>
      <c r="AS4521" s="466"/>
      <c r="AT4521" s="466"/>
      <c r="AU4521" s="466"/>
      <c r="AV4521" s="466"/>
      <c r="AW4521" s="466"/>
      <c r="AX4521" s="466"/>
      <c r="AY4521" s="466"/>
      <c r="AZ4521" s="466"/>
      <c r="BA4521" s="466"/>
      <c r="BB4521" s="466"/>
      <c r="BC4521" s="466"/>
      <c r="BD4521" s="466"/>
      <c r="BE4521" s="467"/>
      <c r="BF4521" s="467"/>
      <c r="BG4521" s="466"/>
      <c r="BH4521" s="466"/>
      <c r="BI4521" s="467"/>
      <c r="BJ4521" s="467"/>
      <c r="BK4521" s="467"/>
      <c r="BL4521" s="467"/>
      <c r="BM4521" s="467"/>
      <c r="BN4521" s="467"/>
      <c r="BO4521" s="467"/>
      <c r="BP4521" s="467"/>
      <c r="BQ4521" s="467"/>
      <c r="BR4521" s="467"/>
      <c r="BS4521" s="467"/>
      <c r="BT4521" s="467"/>
      <c r="BU4521" s="467"/>
      <c r="BV4521" s="467"/>
      <c r="BW4521" s="467"/>
      <c r="BX4521" s="769"/>
      <c r="BY4521" s="769"/>
      <c r="BZ4521" s="769"/>
      <c r="CA4521" s="769"/>
      <c r="CB4521" s="769"/>
      <c r="CC4521" s="769"/>
      <c r="CD4521" s="769"/>
      <c r="CE4521" s="769"/>
      <c r="CF4521" s="769"/>
      <c r="CG4521" s="73"/>
      <c r="CH4521" s="438"/>
      <c r="CI4521" s="416"/>
      <c r="CJ4521" s="73"/>
      <c r="CK4521" s="650"/>
      <c r="CL4521" s="499"/>
      <c r="CM4521" s="650"/>
      <c r="CR4521" s="416"/>
      <c r="CS4521" s="650"/>
      <c r="CU4521" s="73"/>
      <c r="CV4521" s="73"/>
      <c r="CW4521" s="73"/>
      <c r="CX4521" s="73"/>
      <c r="DA4521" s="650"/>
    </row>
    <row r="4522" spans="1:105" s="45" customFormat="1" x14ac:dyDescent="0.2">
      <c r="A4522" s="650"/>
      <c r="B4522" s="438"/>
      <c r="C4522"/>
      <c r="D4522" s="73"/>
      <c r="E4522" s="48"/>
      <c r="F4522" s="48"/>
      <c r="G4522" s="1"/>
      <c r="H4522"/>
      <c r="I4522" s="2"/>
      <c r="J4522" s="72"/>
      <c r="K4522" s="72"/>
      <c r="L4522" s="499"/>
      <c r="M4522" s="1"/>
      <c r="N4522" s="499"/>
      <c r="O4522" s="73"/>
      <c r="P4522" s="73"/>
      <c r="Q4522" s="1"/>
      <c r="R4522" s="3"/>
      <c r="S4522" s="3"/>
      <c r="T4522" s="3"/>
      <c r="U4522" s="400"/>
      <c r="V4522" s="400"/>
      <c r="W4522" s="732"/>
      <c r="X4522" s="24"/>
      <c r="Y4522" s="509"/>
      <c r="Z4522" s="466"/>
      <c r="AA4522" s="466"/>
      <c r="AB4522" s="466"/>
      <c r="AC4522" s="466"/>
      <c r="AD4522" s="466"/>
      <c r="AE4522" s="466"/>
      <c r="AF4522" s="466"/>
      <c r="AG4522" s="466"/>
      <c r="AH4522" s="466"/>
      <c r="AI4522" s="466"/>
      <c r="AJ4522" s="466"/>
      <c r="AK4522" s="466"/>
      <c r="AL4522" s="466"/>
      <c r="AM4522" s="466"/>
      <c r="AN4522" s="466"/>
      <c r="AO4522" s="466"/>
      <c r="AP4522" s="466"/>
      <c r="AQ4522" s="466"/>
      <c r="AR4522" s="466"/>
      <c r="AS4522" s="466"/>
      <c r="AT4522" s="466"/>
      <c r="AU4522" s="466"/>
      <c r="AV4522" s="466"/>
      <c r="AW4522" s="466"/>
      <c r="AX4522" s="466"/>
      <c r="AY4522" s="466"/>
      <c r="AZ4522" s="466"/>
      <c r="BA4522" s="466"/>
      <c r="BB4522" s="466"/>
      <c r="BC4522" s="466"/>
      <c r="BD4522" s="466"/>
      <c r="BE4522" s="467"/>
      <c r="BF4522" s="467"/>
      <c r="BG4522" s="466"/>
      <c r="BH4522" s="466"/>
      <c r="BI4522" s="467"/>
      <c r="BJ4522" s="467"/>
      <c r="BK4522" s="467"/>
      <c r="BL4522" s="467"/>
      <c r="BM4522" s="467"/>
      <c r="BN4522" s="467"/>
      <c r="BO4522" s="467"/>
      <c r="BP4522" s="467"/>
      <c r="BQ4522" s="467"/>
      <c r="BR4522" s="467"/>
      <c r="BS4522" s="467"/>
      <c r="BT4522" s="467"/>
      <c r="BU4522" s="467"/>
      <c r="BV4522" s="467"/>
      <c r="BW4522" s="467"/>
      <c r="BX4522" s="769"/>
      <c r="BY4522" s="769"/>
      <c r="BZ4522" s="769"/>
      <c r="CA4522" s="769"/>
      <c r="CB4522" s="769"/>
      <c r="CC4522" s="769"/>
      <c r="CD4522" s="769"/>
      <c r="CE4522" s="769"/>
      <c r="CF4522" s="769"/>
      <c r="CG4522" s="73"/>
      <c r="CH4522" s="438"/>
      <c r="CI4522" s="416"/>
      <c r="CJ4522" s="73"/>
      <c r="CK4522" s="650"/>
      <c r="CL4522" s="499"/>
      <c r="CM4522" s="650"/>
      <c r="CR4522" s="416"/>
      <c r="CS4522" s="650"/>
      <c r="CU4522" s="73"/>
      <c r="CV4522" s="73"/>
      <c r="CW4522" s="73"/>
      <c r="CX4522" s="73"/>
      <c r="DA4522" s="650"/>
    </row>
    <row r="4523" spans="1:105" s="45" customFormat="1" x14ac:dyDescent="0.2">
      <c r="A4523" s="650"/>
      <c r="B4523" s="438"/>
      <c r="C4523"/>
      <c r="D4523" s="73"/>
      <c r="E4523" s="48"/>
      <c r="F4523" s="48"/>
      <c r="G4523" s="1"/>
      <c r="H4523"/>
      <c r="I4523" s="2"/>
      <c r="J4523" s="72"/>
      <c r="K4523" s="72"/>
      <c r="L4523" s="499"/>
      <c r="M4523" s="1"/>
      <c r="N4523" s="499"/>
      <c r="O4523" s="73"/>
      <c r="P4523" s="73"/>
      <c r="Q4523" s="1"/>
      <c r="R4523" s="3"/>
      <c r="S4523" s="3"/>
      <c r="T4523" s="3"/>
      <c r="U4523" s="400"/>
      <c r="V4523" s="400"/>
      <c r="W4523" s="732"/>
      <c r="X4523" s="24"/>
      <c r="Y4523" s="509"/>
      <c r="Z4523" s="466"/>
      <c r="AA4523" s="466"/>
      <c r="AB4523" s="466"/>
      <c r="AC4523" s="466"/>
      <c r="AD4523" s="466"/>
      <c r="AE4523" s="466"/>
      <c r="AF4523" s="466"/>
      <c r="AG4523" s="466"/>
      <c r="AH4523" s="466"/>
      <c r="AI4523" s="466"/>
      <c r="AJ4523" s="466"/>
      <c r="AK4523" s="466"/>
      <c r="AL4523" s="466"/>
      <c r="AM4523" s="466"/>
      <c r="AN4523" s="466"/>
      <c r="AO4523" s="466"/>
      <c r="AP4523" s="466"/>
      <c r="AQ4523" s="466"/>
      <c r="AR4523" s="466"/>
      <c r="AS4523" s="466"/>
      <c r="AT4523" s="466"/>
      <c r="AU4523" s="466"/>
      <c r="AV4523" s="466"/>
      <c r="AW4523" s="466"/>
      <c r="AX4523" s="466"/>
      <c r="AY4523" s="466"/>
      <c r="AZ4523" s="466"/>
      <c r="BA4523" s="466"/>
      <c r="BB4523" s="466"/>
      <c r="BC4523" s="466"/>
      <c r="BD4523" s="466"/>
      <c r="BE4523" s="467"/>
      <c r="BF4523" s="467"/>
      <c r="BG4523" s="466"/>
      <c r="BH4523" s="466"/>
      <c r="BI4523" s="467"/>
      <c r="BJ4523" s="467"/>
      <c r="BK4523" s="467"/>
      <c r="BL4523" s="467"/>
      <c r="BM4523" s="467"/>
      <c r="BN4523" s="467"/>
      <c r="BO4523" s="467"/>
      <c r="BP4523" s="467"/>
      <c r="BQ4523" s="467"/>
      <c r="BR4523" s="467"/>
      <c r="BS4523" s="467"/>
      <c r="BT4523" s="467"/>
      <c r="BU4523" s="467"/>
      <c r="BV4523" s="467"/>
      <c r="BW4523" s="467"/>
      <c r="BX4523" s="769"/>
      <c r="BY4523" s="769"/>
      <c r="BZ4523" s="769"/>
      <c r="CA4523" s="769"/>
      <c r="CB4523" s="769"/>
      <c r="CC4523" s="769"/>
      <c r="CD4523" s="769"/>
      <c r="CE4523" s="769"/>
      <c r="CF4523" s="769"/>
      <c r="CG4523" s="73"/>
      <c r="CH4523" s="438"/>
      <c r="CI4523" s="416"/>
      <c r="CJ4523" s="73"/>
      <c r="CK4523" s="650"/>
      <c r="CL4523" s="499"/>
      <c r="CM4523" s="650"/>
      <c r="CR4523" s="416"/>
      <c r="CS4523" s="650"/>
      <c r="CU4523" s="73"/>
      <c r="CV4523" s="73"/>
      <c r="CW4523" s="73"/>
      <c r="CX4523" s="73"/>
      <c r="DA4523" s="650"/>
    </row>
    <row r="4524" spans="1:105" s="45" customFormat="1" x14ac:dyDescent="0.2">
      <c r="A4524" s="650"/>
      <c r="B4524" s="438"/>
      <c r="C4524"/>
      <c r="D4524" s="73"/>
      <c r="E4524" s="48"/>
      <c r="F4524" s="48"/>
      <c r="G4524" s="1"/>
      <c r="H4524"/>
      <c r="I4524" s="2"/>
      <c r="J4524" s="72"/>
      <c r="K4524" s="72"/>
      <c r="L4524" s="499"/>
      <c r="M4524" s="1"/>
      <c r="N4524" s="499"/>
      <c r="O4524" s="73"/>
      <c r="P4524" s="73"/>
      <c r="Q4524" s="1"/>
      <c r="R4524" s="3"/>
      <c r="S4524" s="3"/>
      <c r="T4524" s="3"/>
      <c r="U4524" s="400"/>
      <c r="V4524" s="400"/>
      <c r="W4524" s="732"/>
      <c r="X4524" s="24"/>
      <c r="Y4524" s="509"/>
      <c r="Z4524" s="466"/>
      <c r="AA4524" s="466"/>
      <c r="AB4524" s="466"/>
      <c r="AC4524" s="466"/>
      <c r="AD4524" s="466"/>
      <c r="AE4524" s="466"/>
      <c r="AF4524" s="466"/>
      <c r="AG4524" s="466"/>
      <c r="AH4524" s="466"/>
      <c r="AI4524" s="466"/>
      <c r="AJ4524" s="466"/>
      <c r="AK4524" s="466"/>
      <c r="AL4524" s="466"/>
      <c r="AM4524" s="466"/>
      <c r="AN4524" s="466"/>
      <c r="AO4524" s="466"/>
      <c r="AP4524" s="466"/>
      <c r="AQ4524" s="466"/>
      <c r="AR4524" s="466"/>
      <c r="AS4524" s="466"/>
      <c r="AT4524" s="466"/>
      <c r="AU4524" s="466"/>
      <c r="AV4524" s="466"/>
      <c r="AW4524" s="466"/>
      <c r="AX4524" s="466"/>
      <c r="AY4524" s="466"/>
      <c r="AZ4524" s="466"/>
      <c r="BA4524" s="466"/>
      <c r="BB4524" s="466"/>
      <c r="BC4524" s="466"/>
      <c r="BD4524" s="466"/>
      <c r="BE4524" s="467"/>
      <c r="BF4524" s="467"/>
      <c r="BG4524" s="466"/>
      <c r="BH4524" s="466"/>
      <c r="BI4524" s="467"/>
      <c r="BJ4524" s="467"/>
      <c r="BK4524" s="467"/>
      <c r="BL4524" s="467"/>
      <c r="BM4524" s="467"/>
      <c r="BN4524" s="467"/>
      <c r="BO4524" s="467"/>
      <c r="BP4524" s="467"/>
      <c r="BQ4524" s="467"/>
      <c r="BR4524" s="467"/>
      <c r="BS4524" s="467"/>
      <c r="BT4524" s="467"/>
      <c r="BU4524" s="467"/>
      <c r="BV4524" s="467"/>
      <c r="BW4524" s="467"/>
      <c r="BX4524" s="769"/>
      <c r="BY4524" s="769"/>
      <c r="BZ4524" s="769"/>
      <c r="CA4524" s="769"/>
      <c r="CB4524" s="769"/>
      <c r="CC4524" s="769"/>
      <c r="CD4524" s="769"/>
      <c r="CE4524" s="769"/>
      <c r="CF4524" s="769"/>
      <c r="CG4524" s="73"/>
      <c r="CH4524" s="438"/>
      <c r="CI4524" s="416"/>
      <c r="CJ4524" s="73"/>
      <c r="CK4524" s="650"/>
      <c r="CL4524" s="499"/>
      <c r="CM4524" s="650"/>
      <c r="CR4524" s="416"/>
      <c r="CS4524" s="650"/>
      <c r="CU4524" s="73"/>
      <c r="CV4524" s="73"/>
      <c r="CW4524" s="73"/>
      <c r="CX4524" s="73"/>
      <c r="DA4524" s="650"/>
    </row>
    <row r="4525" spans="1:105" s="45" customFormat="1" x14ac:dyDescent="0.2">
      <c r="A4525" s="650"/>
      <c r="B4525" s="438"/>
      <c r="C4525"/>
      <c r="D4525" s="73"/>
      <c r="E4525" s="48"/>
      <c r="F4525" s="48"/>
      <c r="G4525" s="1"/>
      <c r="H4525"/>
      <c r="I4525" s="2"/>
      <c r="J4525" s="72"/>
      <c r="K4525" s="72"/>
      <c r="L4525" s="499"/>
      <c r="M4525" s="1"/>
      <c r="N4525" s="499"/>
      <c r="O4525" s="73"/>
      <c r="P4525" s="73"/>
      <c r="Q4525" s="1"/>
      <c r="R4525" s="3"/>
      <c r="S4525" s="3"/>
      <c r="T4525" s="3"/>
      <c r="U4525" s="400"/>
      <c r="V4525" s="400"/>
      <c r="W4525" s="732"/>
      <c r="X4525" s="24"/>
      <c r="Y4525" s="509"/>
      <c r="Z4525" s="466"/>
      <c r="AA4525" s="466"/>
      <c r="AB4525" s="466"/>
      <c r="AC4525" s="466"/>
      <c r="AD4525" s="466"/>
      <c r="AE4525" s="466"/>
      <c r="AF4525" s="466"/>
      <c r="AG4525" s="466"/>
      <c r="AH4525" s="466"/>
      <c r="AI4525" s="466"/>
      <c r="AJ4525" s="466"/>
      <c r="AK4525" s="466"/>
      <c r="AL4525" s="466"/>
      <c r="AM4525" s="466"/>
      <c r="AN4525" s="466"/>
      <c r="AO4525" s="466"/>
      <c r="AP4525" s="466"/>
      <c r="AQ4525" s="466"/>
      <c r="AR4525" s="466"/>
      <c r="AS4525" s="466"/>
      <c r="AT4525" s="466"/>
      <c r="AU4525" s="466"/>
      <c r="AV4525" s="466"/>
      <c r="AW4525" s="466"/>
      <c r="AX4525" s="466"/>
      <c r="AY4525" s="466"/>
      <c r="AZ4525" s="466"/>
      <c r="BA4525" s="466"/>
      <c r="BB4525" s="466"/>
      <c r="BC4525" s="466"/>
      <c r="BD4525" s="466"/>
      <c r="BE4525" s="467"/>
      <c r="BF4525" s="467"/>
      <c r="BG4525" s="466"/>
      <c r="BH4525" s="466"/>
      <c r="BI4525" s="467"/>
      <c r="BJ4525" s="467"/>
      <c r="BK4525" s="467"/>
      <c r="BL4525" s="467"/>
      <c r="BM4525" s="467"/>
      <c r="BN4525" s="467"/>
      <c r="BO4525" s="467"/>
      <c r="BP4525" s="467"/>
      <c r="BQ4525" s="467"/>
      <c r="BR4525" s="467"/>
      <c r="BS4525" s="467"/>
      <c r="BT4525" s="467"/>
      <c r="BU4525" s="467"/>
      <c r="BV4525" s="467"/>
      <c r="BW4525" s="467"/>
      <c r="BX4525" s="769"/>
      <c r="BY4525" s="769"/>
      <c r="BZ4525" s="769"/>
      <c r="CA4525" s="769"/>
      <c r="CB4525" s="769"/>
      <c r="CC4525" s="769"/>
      <c r="CD4525" s="769"/>
      <c r="CE4525" s="769"/>
      <c r="CF4525" s="769"/>
      <c r="CG4525" s="73"/>
      <c r="CH4525" s="438"/>
      <c r="CI4525" s="416"/>
      <c r="CJ4525" s="73"/>
      <c r="CK4525" s="650"/>
      <c r="CL4525" s="499"/>
      <c r="CM4525" s="650"/>
      <c r="CR4525" s="416"/>
      <c r="CS4525" s="650"/>
      <c r="CU4525" s="73"/>
      <c r="CV4525" s="73"/>
      <c r="CW4525" s="73"/>
      <c r="CX4525" s="73"/>
      <c r="DA4525" s="650"/>
    </row>
    <row r="4526" spans="1:105" s="45" customFormat="1" x14ac:dyDescent="0.2">
      <c r="A4526" s="650"/>
      <c r="B4526" s="438"/>
      <c r="C4526"/>
      <c r="D4526" s="73"/>
      <c r="E4526" s="48"/>
      <c r="F4526" s="48"/>
      <c r="G4526" s="1"/>
      <c r="H4526"/>
      <c r="I4526" s="2"/>
      <c r="J4526" s="72"/>
      <c r="K4526" s="72"/>
      <c r="L4526" s="499"/>
      <c r="M4526" s="1"/>
      <c r="N4526" s="499"/>
      <c r="O4526" s="73"/>
      <c r="P4526" s="73"/>
      <c r="Q4526" s="1"/>
      <c r="R4526" s="3"/>
      <c r="S4526" s="3"/>
      <c r="T4526" s="3"/>
      <c r="U4526" s="400"/>
      <c r="V4526" s="400"/>
      <c r="W4526" s="732"/>
      <c r="X4526" s="24"/>
      <c r="Y4526" s="509"/>
      <c r="Z4526" s="466"/>
      <c r="AA4526" s="466"/>
      <c r="AB4526" s="466"/>
      <c r="AC4526" s="466"/>
      <c r="AD4526" s="466"/>
      <c r="AE4526" s="466"/>
      <c r="AF4526" s="466"/>
      <c r="AG4526" s="466"/>
      <c r="AH4526" s="466"/>
      <c r="AI4526" s="466"/>
      <c r="AJ4526" s="466"/>
      <c r="AK4526" s="466"/>
      <c r="AL4526" s="466"/>
      <c r="AM4526" s="466"/>
      <c r="AN4526" s="466"/>
      <c r="AO4526" s="466"/>
      <c r="AP4526" s="466"/>
      <c r="AQ4526" s="466"/>
      <c r="AR4526" s="466"/>
      <c r="AS4526" s="466"/>
      <c r="AT4526" s="466"/>
      <c r="AU4526" s="466"/>
      <c r="AV4526" s="466"/>
      <c r="AW4526" s="466"/>
      <c r="AX4526" s="466"/>
      <c r="AY4526" s="466"/>
      <c r="AZ4526" s="466"/>
      <c r="BA4526" s="466"/>
      <c r="BB4526" s="466"/>
      <c r="BC4526" s="466"/>
      <c r="BD4526" s="466"/>
      <c r="BE4526" s="467"/>
      <c r="BF4526" s="467"/>
      <c r="BG4526" s="466"/>
      <c r="BH4526" s="466"/>
      <c r="BI4526" s="467"/>
      <c r="BJ4526" s="467"/>
      <c r="BK4526" s="467"/>
      <c r="BL4526" s="467"/>
      <c r="BM4526" s="467"/>
      <c r="BN4526" s="467"/>
      <c r="BO4526" s="467"/>
      <c r="BP4526" s="467"/>
      <c r="BQ4526" s="467"/>
      <c r="BR4526" s="467"/>
      <c r="BS4526" s="467"/>
      <c r="BT4526" s="467"/>
      <c r="BU4526" s="467"/>
      <c r="BV4526" s="467"/>
      <c r="BW4526" s="467"/>
      <c r="BX4526" s="769"/>
      <c r="BY4526" s="769"/>
      <c r="BZ4526" s="769"/>
      <c r="CA4526" s="769"/>
      <c r="CB4526" s="769"/>
      <c r="CC4526" s="769"/>
      <c r="CD4526" s="769"/>
      <c r="CE4526" s="769"/>
      <c r="CF4526" s="769"/>
      <c r="CG4526" s="73"/>
      <c r="CH4526" s="438"/>
      <c r="CI4526" s="416"/>
      <c r="CJ4526" s="73"/>
      <c r="CK4526" s="650"/>
      <c r="CL4526" s="499"/>
      <c r="CM4526" s="650"/>
      <c r="CR4526" s="416"/>
      <c r="CS4526" s="650"/>
      <c r="CU4526" s="73"/>
      <c r="CV4526" s="73"/>
      <c r="CW4526" s="73"/>
      <c r="CX4526" s="73"/>
      <c r="DA4526" s="650"/>
    </row>
    <row r="4527" spans="1:105" s="45" customFormat="1" x14ac:dyDescent="0.2">
      <c r="A4527" s="650"/>
      <c r="B4527" s="438"/>
      <c r="C4527"/>
      <c r="D4527" s="73"/>
      <c r="E4527" s="48"/>
      <c r="F4527" s="48"/>
      <c r="G4527" s="1"/>
      <c r="H4527"/>
      <c r="I4527" s="2"/>
      <c r="J4527" s="72"/>
      <c r="K4527" s="72"/>
      <c r="L4527" s="499"/>
      <c r="M4527" s="1"/>
      <c r="N4527" s="499"/>
      <c r="O4527" s="73"/>
      <c r="P4527" s="73"/>
      <c r="Q4527" s="1"/>
      <c r="R4527" s="3"/>
      <c r="S4527" s="3"/>
      <c r="T4527" s="3"/>
      <c r="U4527" s="400"/>
      <c r="V4527" s="400"/>
      <c r="W4527" s="732"/>
      <c r="X4527" s="24"/>
      <c r="Y4527" s="509"/>
      <c r="Z4527" s="466"/>
      <c r="AA4527" s="466"/>
      <c r="AB4527" s="466"/>
      <c r="AC4527" s="466"/>
      <c r="AD4527" s="466"/>
      <c r="AE4527" s="466"/>
      <c r="AF4527" s="466"/>
      <c r="AG4527" s="466"/>
      <c r="AH4527" s="466"/>
      <c r="AI4527" s="466"/>
      <c r="AJ4527" s="466"/>
      <c r="AK4527" s="466"/>
      <c r="AL4527" s="466"/>
      <c r="AM4527" s="466"/>
      <c r="AN4527" s="466"/>
      <c r="AO4527" s="466"/>
      <c r="AP4527" s="466"/>
      <c r="AQ4527" s="466"/>
      <c r="AR4527" s="466"/>
      <c r="AS4527" s="466"/>
      <c r="AT4527" s="466"/>
      <c r="AU4527" s="466"/>
      <c r="AV4527" s="466"/>
      <c r="AW4527" s="466"/>
      <c r="AX4527" s="466"/>
      <c r="AY4527" s="466"/>
      <c r="AZ4527" s="466"/>
      <c r="BA4527" s="466"/>
      <c r="BB4527" s="466"/>
      <c r="BC4527" s="466"/>
      <c r="BD4527" s="466"/>
      <c r="BE4527" s="467"/>
      <c r="BF4527" s="467"/>
      <c r="BG4527" s="466"/>
      <c r="BH4527" s="466"/>
      <c r="BI4527" s="467"/>
      <c r="BJ4527" s="467"/>
      <c r="BK4527" s="467"/>
      <c r="BL4527" s="467"/>
      <c r="BM4527" s="467"/>
      <c r="BN4527" s="467"/>
      <c r="BO4527" s="467"/>
      <c r="BP4527" s="467"/>
      <c r="BQ4527" s="467"/>
      <c r="BR4527" s="467"/>
      <c r="BS4527" s="467"/>
      <c r="BT4527" s="467"/>
      <c r="BU4527" s="467"/>
      <c r="BV4527" s="467"/>
      <c r="BW4527" s="467"/>
      <c r="BX4527" s="769"/>
      <c r="BY4527" s="769"/>
      <c r="BZ4527" s="769"/>
      <c r="CA4527" s="769"/>
      <c r="CB4527" s="769"/>
      <c r="CC4527" s="769"/>
      <c r="CD4527" s="769"/>
      <c r="CE4527" s="769"/>
      <c r="CF4527" s="769"/>
      <c r="CG4527" s="73"/>
      <c r="CH4527" s="438"/>
      <c r="CI4527" s="416"/>
      <c r="CJ4527" s="73"/>
      <c r="CK4527" s="650"/>
      <c r="CL4527" s="499"/>
      <c r="CM4527" s="650"/>
      <c r="CR4527" s="416"/>
      <c r="CS4527" s="650"/>
      <c r="CU4527" s="73"/>
      <c r="CV4527" s="73"/>
      <c r="CW4527" s="73"/>
      <c r="CX4527" s="73"/>
      <c r="DA4527" s="650"/>
    </row>
    <row r="4528" spans="1:105" s="45" customFormat="1" x14ac:dyDescent="0.2">
      <c r="A4528" s="650"/>
      <c r="B4528" s="438"/>
      <c r="C4528"/>
      <c r="D4528" s="73"/>
      <c r="E4528" s="48"/>
      <c r="F4528" s="48"/>
      <c r="G4528" s="1"/>
      <c r="H4528"/>
      <c r="I4528" s="2"/>
      <c r="J4528" s="72"/>
      <c r="K4528" s="72"/>
      <c r="L4528" s="499"/>
      <c r="M4528" s="1"/>
      <c r="N4528" s="499"/>
      <c r="O4528" s="73"/>
      <c r="P4528" s="73"/>
      <c r="Q4528" s="1"/>
      <c r="R4528" s="3"/>
      <c r="S4528" s="3"/>
      <c r="T4528" s="3"/>
      <c r="U4528" s="400"/>
      <c r="V4528" s="400"/>
      <c r="W4528" s="732"/>
      <c r="X4528" s="24"/>
      <c r="Y4528" s="509"/>
      <c r="Z4528" s="466"/>
      <c r="AA4528" s="466"/>
      <c r="AB4528" s="466"/>
      <c r="AC4528" s="466"/>
      <c r="AD4528" s="466"/>
      <c r="AE4528" s="466"/>
      <c r="AF4528" s="466"/>
      <c r="AG4528" s="466"/>
      <c r="AH4528" s="466"/>
      <c r="AI4528" s="466"/>
      <c r="AJ4528" s="466"/>
      <c r="AK4528" s="466"/>
      <c r="AL4528" s="466"/>
      <c r="AM4528" s="466"/>
      <c r="AN4528" s="466"/>
      <c r="AO4528" s="466"/>
      <c r="AP4528" s="466"/>
      <c r="AQ4528" s="466"/>
      <c r="AR4528" s="466"/>
      <c r="AS4528" s="466"/>
      <c r="AT4528" s="466"/>
      <c r="AU4528" s="466"/>
      <c r="AV4528" s="466"/>
      <c r="AW4528" s="466"/>
      <c r="AX4528" s="466"/>
      <c r="AY4528" s="466"/>
      <c r="AZ4528" s="466"/>
      <c r="BA4528" s="466"/>
      <c r="BB4528" s="466"/>
      <c r="BC4528" s="466"/>
      <c r="BD4528" s="466"/>
      <c r="BE4528" s="467"/>
      <c r="BF4528" s="467"/>
      <c r="BG4528" s="466"/>
      <c r="BH4528" s="466"/>
      <c r="BI4528" s="467"/>
      <c r="BJ4528" s="467"/>
      <c r="BK4528" s="467"/>
      <c r="BL4528" s="467"/>
      <c r="BM4528" s="467"/>
      <c r="BN4528" s="467"/>
      <c r="BO4528" s="467"/>
      <c r="BP4528" s="467"/>
      <c r="BQ4528" s="467"/>
      <c r="BR4528" s="467"/>
      <c r="BS4528" s="467"/>
      <c r="BT4528" s="467"/>
      <c r="BU4528" s="467"/>
      <c r="BV4528" s="467"/>
      <c r="BW4528" s="467"/>
      <c r="BX4528" s="769"/>
      <c r="BY4528" s="769"/>
      <c r="BZ4528" s="769"/>
      <c r="CA4528" s="769"/>
      <c r="CB4528" s="769"/>
      <c r="CC4528" s="769"/>
      <c r="CD4528" s="769"/>
      <c r="CE4528" s="769"/>
      <c r="CF4528" s="769"/>
      <c r="CG4528" s="73"/>
      <c r="CH4528" s="438"/>
      <c r="CI4528" s="416"/>
      <c r="CJ4528" s="73"/>
      <c r="CK4528" s="650"/>
      <c r="CL4528" s="499"/>
      <c r="CM4528" s="650"/>
      <c r="CR4528" s="416"/>
      <c r="CS4528" s="650"/>
      <c r="CU4528" s="73"/>
      <c r="CV4528" s="73"/>
      <c r="CW4528" s="73"/>
      <c r="CX4528" s="73"/>
      <c r="DA4528" s="650"/>
    </row>
    <row r="4529" spans="1:105" s="45" customFormat="1" x14ac:dyDescent="0.2">
      <c r="A4529" s="650"/>
      <c r="B4529" s="438"/>
      <c r="C4529"/>
      <c r="D4529" s="73"/>
      <c r="E4529" s="48"/>
      <c r="F4529" s="48"/>
      <c r="G4529" s="1"/>
      <c r="H4529"/>
      <c r="I4529" s="2"/>
      <c r="J4529" s="72"/>
      <c r="K4529" s="72"/>
      <c r="L4529" s="499"/>
      <c r="M4529" s="1"/>
      <c r="N4529" s="499"/>
      <c r="O4529" s="73"/>
      <c r="P4529" s="73"/>
      <c r="Q4529" s="1"/>
      <c r="R4529" s="3"/>
      <c r="S4529" s="3"/>
      <c r="T4529" s="3"/>
      <c r="U4529" s="400"/>
      <c r="V4529" s="400"/>
      <c r="W4529" s="732"/>
      <c r="X4529" s="24"/>
      <c r="Y4529" s="509"/>
      <c r="Z4529" s="466"/>
      <c r="AA4529" s="466"/>
      <c r="AB4529" s="466"/>
      <c r="AC4529" s="466"/>
      <c r="AD4529" s="466"/>
      <c r="AE4529" s="466"/>
      <c r="AF4529" s="466"/>
      <c r="AG4529" s="466"/>
      <c r="AH4529" s="466"/>
      <c r="AI4529" s="466"/>
      <c r="AJ4529" s="466"/>
      <c r="AK4529" s="466"/>
      <c r="AL4529" s="466"/>
      <c r="AM4529" s="466"/>
      <c r="AN4529" s="466"/>
      <c r="AO4529" s="466"/>
      <c r="AP4529" s="466"/>
      <c r="AQ4529" s="466"/>
      <c r="AR4529" s="466"/>
      <c r="AS4529" s="466"/>
      <c r="AT4529" s="466"/>
      <c r="AU4529" s="466"/>
      <c r="AV4529" s="466"/>
      <c r="AW4529" s="466"/>
      <c r="AX4529" s="466"/>
      <c r="AY4529" s="466"/>
      <c r="AZ4529" s="466"/>
      <c r="BA4529" s="466"/>
      <c r="BB4529" s="466"/>
      <c r="BC4529" s="466"/>
      <c r="BD4529" s="466"/>
      <c r="BE4529" s="467"/>
      <c r="BF4529" s="467"/>
      <c r="BG4529" s="466"/>
      <c r="BH4529" s="466"/>
      <c r="BI4529" s="467"/>
      <c r="BJ4529" s="467"/>
      <c r="BK4529" s="467"/>
      <c r="BL4529" s="467"/>
      <c r="BM4529" s="467"/>
      <c r="BN4529" s="467"/>
      <c r="BO4529" s="467"/>
      <c r="BP4529" s="467"/>
      <c r="BQ4529" s="467"/>
      <c r="BR4529" s="467"/>
      <c r="BS4529" s="467"/>
      <c r="BT4529" s="467"/>
      <c r="BU4529" s="467"/>
      <c r="BV4529" s="467"/>
      <c r="BW4529" s="467"/>
      <c r="BX4529" s="769"/>
      <c r="BY4529" s="769"/>
      <c r="BZ4529" s="769"/>
      <c r="CA4529" s="769"/>
      <c r="CB4529" s="769"/>
      <c r="CC4529" s="769"/>
      <c r="CD4529" s="769"/>
      <c r="CE4529" s="769"/>
      <c r="CF4529" s="769"/>
      <c r="CG4529" s="73"/>
      <c r="CH4529" s="438"/>
      <c r="CI4529" s="416"/>
      <c r="CJ4529" s="73"/>
      <c r="CK4529" s="650"/>
      <c r="CL4529" s="499"/>
      <c r="CM4529" s="650"/>
      <c r="CR4529" s="416"/>
      <c r="CS4529" s="650"/>
      <c r="CU4529" s="73"/>
      <c r="CV4529" s="73"/>
      <c r="CW4529" s="73"/>
      <c r="CX4529" s="73"/>
      <c r="DA4529" s="650"/>
    </row>
    <row r="4530" spans="1:105" s="45" customFormat="1" x14ac:dyDescent="0.2">
      <c r="A4530" s="650"/>
      <c r="B4530" s="438"/>
      <c r="C4530"/>
      <c r="D4530" s="73"/>
      <c r="E4530" s="48"/>
      <c r="F4530" s="48"/>
      <c r="G4530" s="1"/>
      <c r="H4530"/>
      <c r="I4530" s="2"/>
      <c r="J4530" s="72"/>
      <c r="K4530" s="72"/>
      <c r="L4530" s="499"/>
      <c r="M4530" s="1"/>
      <c r="N4530" s="499"/>
      <c r="O4530" s="73"/>
      <c r="P4530" s="73"/>
      <c r="Q4530" s="1"/>
      <c r="R4530" s="3"/>
      <c r="S4530" s="3"/>
      <c r="T4530" s="3"/>
      <c r="U4530" s="400"/>
      <c r="V4530" s="400"/>
      <c r="W4530" s="732"/>
      <c r="X4530" s="24"/>
      <c r="Y4530" s="509"/>
      <c r="Z4530" s="466"/>
      <c r="AA4530" s="466"/>
      <c r="AB4530" s="466"/>
      <c r="AC4530" s="466"/>
      <c r="AD4530" s="466"/>
      <c r="AE4530" s="466"/>
      <c r="AF4530" s="466"/>
      <c r="AG4530" s="466"/>
      <c r="AH4530" s="466"/>
      <c r="AI4530" s="466"/>
      <c r="AJ4530" s="466"/>
      <c r="AK4530" s="466"/>
      <c r="AL4530" s="466"/>
      <c r="AM4530" s="466"/>
      <c r="AN4530" s="466"/>
      <c r="AO4530" s="466"/>
      <c r="AP4530" s="466"/>
      <c r="AQ4530" s="466"/>
      <c r="AR4530" s="466"/>
      <c r="AS4530" s="466"/>
      <c r="AT4530" s="466"/>
      <c r="AU4530" s="466"/>
      <c r="AV4530" s="466"/>
      <c r="AW4530" s="466"/>
      <c r="AX4530" s="466"/>
      <c r="AY4530" s="466"/>
      <c r="AZ4530" s="466"/>
      <c r="BA4530" s="466"/>
      <c r="BB4530" s="466"/>
      <c r="BC4530" s="466"/>
      <c r="BD4530" s="466"/>
      <c r="BE4530" s="467"/>
      <c r="BF4530" s="467"/>
      <c r="BG4530" s="466"/>
      <c r="BH4530" s="466"/>
      <c r="BI4530" s="467"/>
      <c r="BJ4530" s="467"/>
      <c r="BK4530" s="467"/>
      <c r="BL4530" s="467"/>
      <c r="BM4530" s="467"/>
      <c r="BN4530" s="467"/>
      <c r="BO4530" s="467"/>
      <c r="BP4530" s="467"/>
      <c r="BQ4530" s="467"/>
      <c r="BR4530" s="467"/>
      <c r="BS4530" s="467"/>
      <c r="BT4530" s="467"/>
      <c r="BU4530" s="467"/>
      <c r="BV4530" s="467"/>
      <c r="BW4530" s="467"/>
      <c r="BX4530" s="769"/>
      <c r="BY4530" s="769"/>
      <c r="BZ4530" s="769"/>
      <c r="CA4530" s="769"/>
      <c r="CB4530" s="769"/>
      <c r="CC4530" s="769"/>
      <c r="CD4530" s="769"/>
      <c r="CE4530" s="769"/>
      <c r="CF4530" s="769"/>
      <c r="CG4530" s="73"/>
      <c r="CH4530" s="438"/>
      <c r="CI4530" s="416"/>
      <c r="CJ4530" s="73"/>
      <c r="CK4530" s="650"/>
      <c r="CL4530" s="499"/>
      <c r="CM4530" s="650"/>
      <c r="CR4530" s="416"/>
      <c r="CS4530" s="650"/>
      <c r="CU4530" s="73"/>
      <c r="CV4530" s="73"/>
      <c r="CW4530" s="73"/>
      <c r="CX4530" s="73"/>
      <c r="DA4530" s="650"/>
    </row>
    <row r="4531" spans="1:105" s="45" customFormat="1" x14ac:dyDescent="0.2">
      <c r="A4531" s="650"/>
      <c r="B4531" s="438"/>
      <c r="C4531"/>
      <c r="D4531" s="73"/>
      <c r="E4531" s="48"/>
      <c r="F4531" s="48"/>
      <c r="G4531" s="1"/>
      <c r="H4531"/>
      <c r="I4531" s="2"/>
      <c r="J4531" s="72"/>
      <c r="K4531" s="72"/>
      <c r="L4531" s="499"/>
      <c r="M4531" s="1"/>
      <c r="N4531" s="499"/>
      <c r="O4531" s="73"/>
      <c r="P4531" s="73"/>
      <c r="Q4531" s="1"/>
      <c r="R4531" s="3"/>
      <c r="S4531" s="3"/>
      <c r="T4531" s="3"/>
      <c r="U4531" s="400"/>
      <c r="V4531" s="400"/>
      <c r="W4531" s="732"/>
      <c r="X4531" s="24"/>
      <c r="Y4531" s="509"/>
      <c r="Z4531" s="466"/>
      <c r="AA4531" s="466"/>
      <c r="AB4531" s="466"/>
      <c r="AC4531" s="466"/>
      <c r="AD4531" s="466"/>
      <c r="AE4531" s="466"/>
      <c r="AF4531" s="466"/>
      <c r="AG4531" s="466"/>
      <c r="AH4531" s="466"/>
      <c r="AI4531" s="466"/>
      <c r="AJ4531" s="466"/>
      <c r="AK4531" s="466"/>
      <c r="AL4531" s="466"/>
      <c r="AM4531" s="466"/>
      <c r="AN4531" s="466"/>
      <c r="AO4531" s="466"/>
      <c r="AP4531" s="466"/>
      <c r="AQ4531" s="466"/>
      <c r="AR4531" s="466"/>
      <c r="AS4531" s="466"/>
      <c r="AT4531" s="466"/>
      <c r="AU4531" s="466"/>
      <c r="AV4531" s="466"/>
      <c r="AW4531" s="466"/>
      <c r="AX4531" s="466"/>
      <c r="AY4531" s="466"/>
      <c r="AZ4531" s="466"/>
      <c r="BA4531" s="466"/>
      <c r="BB4531" s="466"/>
      <c r="BC4531" s="466"/>
      <c r="BD4531" s="466"/>
      <c r="BE4531" s="467"/>
      <c r="BF4531" s="467"/>
      <c r="BG4531" s="466"/>
      <c r="BH4531" s="466"/>
      <c r="BI4531" s="467"/>
      <c r="BJ4531" s="467"/>
      <c r="BK4531" s="467"/>
      <c r="BL4531" s="467"/>
      <c r="BM4531" s="467"/>
      <c r="BN4531" s="467"/>
      <c r="BO4531" s="467"/>
      <c r="BP4531" s="467"/>
      <c r="BQ4531" s="467"/>
      <c r="BR4531" s="467"/>
      <c r="BS4531" s="467"/>
      <c r="BT4531" s="467"/>
      <c r="BU4531" s="467"/>
      <c r="BV4531" s="467"/>
      <c r="BW4531" s="467"/>
      <c r="BX4531" s="769"/>
      <c r="BY4531" s="769"/>
      <c r="BZ4531" s="769"/>
      <c r="CA4531" s="769"/>
      <c r="CB4531" s="769"/>
      <c r="CC4531" s="769"/>
      <c r="CD4531" s="769"/>
      <c r="CE4531" s="769"/>
      <c r="CF4531" s="769"/>
      <c r="CG4531" s="73"/>
      <c r="CH4531" s="438"/>
      <c r="CI4531" s="416"/>
      <c r="CJ4531" s="73"/>
      <c r="CK4531" s="650"/>
      <c r="CL4531" s="499"/>
      <c r="CM4531" s="650"/>
      <c r="CR4531" s="416"/>
      <c r="CS4531" s="650"/>
      <c r="CU4531" s="73"/>
      <c r="CV4531" s="73"/>
      <c r="CW4531" s="73"/>
      <c r="CX4531" s="73"/>
      <c r="DA4531" s="650"/>
    </row>
    <row r="4532" spans="1:105" s="45" customFormat="1" x14ac:dyDescent="0.2">
      <c r="A4532" s="650"/>
      <c r="B4532" s="438"/>
      <c r="C4532"/>
      <c r="D4532" s="73"/>
      <c r="E4532" s="48"/>
      <c r="F4532" s="48"/>
      <c r="G4532" s="1"/>
      <c r="H4532"/>
      <c r="I4532" s="2"/>
      <c r="J4532" s="72"/>
      <c r="K4532" s="72"/>
      <c r="L4532" s="499"/>
      <c r="M4532" s="1"/>
      <c r="N4532" s="499"/>
      <c r="O4532" s="73"/>
      <c r="P4532" s="73"/>
      <c r="Q4532" s="1"/>
      <c r="R4532" s="3"/>
      <c r="S4532" s="3"/>
      <c r="T4532" s="3"/>
      <c r="U4532" s="400"/>
      <c r="V4532" s="400"/>
      <c r="W4532" s="732"/>
      <c r="X4532" s="24"/>
      <c r="Y4532" s="509"/>
      <c r="Z4532" s="466"/>
      <c r="AA4532" s="466"/>
      <c r="AB4532" s="466"/>
      <c r="AC4532" s="466"/>
      <c r="AD4532" s="466"/>
      <c r="AE4532" s="466"/>
      <c r="AF4532" s="466"/>
      <c r="AG4532" s="466"/>
      <c r="AH4532" s="466"/>
      <c r="AI4532" s="466"/>
      <c r="AJ4532" s="466"/>
      <c r="AK4532" s="466"/>
      <c r="AL4532" s="466"/>
      <c r="AM4532" s="466"/>
      <c r="AN4532" s="466"/>
      <c r="AO4532" s="466"/>
      <c r="AP4532" s="466"/>
      <c r="AQ4532" s="466"/>
      <c r="AR4532" s="466"/>
      <c r="AS4532" s="466"/>
      <c r="AT4532" s="466"/>
      <c r="AU4532" s="466"/>
      <c r="AV4532" s="466"/>
      <c r="AW4532" s="466"/>
      <c r="AX4532" s="466"/>
      <c r="AY4532" s="466"/>
      <c r="AZ4532" s="466"/>
      <c r="BA4532" s="466"/>
      <c r="BB4532" s="466"/>
      <c r="BC4532" s="466"/>
      <c r="BD4532" s="466"/>
      <c r="BE4532" s="467"/>
      <c r="BF4532" s="467"/>
      <c r="BG4532" s="466"/>
      <c r="BH4532" s="466"/>
      <c r="BI4532" s="467"/>
      <c r="BJ4532" s="467"/>
      <c r="BK4532" s="467"/>
      <c r="BL4532" s="467"/>
      <c r="BM4532" s="467"/>
      <c r="BN4532" s="467"/>
      <c r="BO4532" s="467"/>
      <c r="BP4532" s="467"/>
      <c r="BQ4532" s="467"/>
      <c r="BR4532" s="467"/>
      <c r="BS4532" s="467"/>
      <c r="BT4532" s="467"/>
      <c r="BU4532" s="467"/>
      <c r="BV4532" s="467"/>
      <c r="BW4532" s="467"/>
      <c r="BX4532" s="769"/>
      <c r="BY4532" s="769"/>
      <c r="BZ4532" s="769"/>
      <c r="CA4532" s="769"/>
      <c r="CB4532" s="769"/>
      <c r="CC4532" s="769"/>
      <c r="CD4532" s="769"/>
      <c r="CE4532" s="769"/>
      <c r="CF4532" s="769"/>
      <c r="CG4532" s="73"/>
      <c r="CH4532" s="438"/>
      <c r="CI4532" s="416"/>
      <c r="CJ4532" s="73"/>
      <c r="CK4532" s="650"/>
      <c r="CL4532" s="499"/>
      <c r="CM4532" s="650"/>
      <c r="CR4532" s="416"/>
      <c r="CS4532" s="650"/>
      <c r="CU4532" s="73"/>
      <c r="CV4532" s="73"/>
      <c r="CW4532" s="73"/>
      <c r="CX4532" s="73"/>
      <c r="DA4532" s="650"/>
    </row>
    <row r="4533" spans="1:105" s="45" customFormat="1" x14ac:dyDescent="0.2">
      <c r="A4533" s="650"/>
      <c r="B4533" s="438"/>
      <c r="C4533"/>
      <c r="D4533" s="73"/>
      <c r="E4533" s="48"/>
      <c r="F4533" s="48"/>
      <c r="G4533" s="1"/>
      <c r="H4533"/>
      <c r="I4533" s="2"/>
      <c r="J4533" s="72"/>
      <c r="K4533" s="72"/>
      <c r="L4533" s="499"/>
      <c r="M4533" s="1"/>
      <c r="N4533" s="499"/>
      <c r="O4533" s="73"/>
      <c r="P4533" s="73"/>
      <c r="Q4533" s="1"/>
      <c r="R4533" s="3"/>
      <c r="S4533" s="3"/>
      <c r="T4533" s="3"/>
      <c r="U4533" s="400"/>
      <c r="V4533" s="400"/>
      <c r="W4533" s="732"/>
      <c r="X4533" s="24"/>
      <c r="Y4533" s="509"/>
      <c r="Z4533" s="466"/>
      <c r="AA4533" s="466"/>
      <c r="AB4533" s="466"/>
      <c r="AC4533" s="466"/>
      <c r="AD4533" s="466"/>
      <c r="AE4533" s="466"/>
      <c r="AF4533" s="466"/>
      <c r="AG4533" s="466"/>
      <c r="AH4533" s="466"/>
      <c r="AI4533" s="466"/>
      <c r="AJ4533" s="466"/>
      <c r="AK4533" s="466"/>
      <c r="AL4533" s="466"/>
      <c r="AM4533" s="466"/>
      <c r="AN4533" s="466"/>
      <c r="AO4533" s="466"/>
      <c r="AP4533" s="466"/>
      <c r="AQ4533" s="466"/>
      <c r="AR4533" s="466"/>
      <c r="AS4533" s="466"/>
      <c r="AT4533" s="466"/>
      <c r="AU4533" s="466"/>
      <c r="AV4533" s="466"/>
      <c r="AW4533" s="466"/>
      <c r="AX4533" s="466"/>
      <c r="AY4533" s="466"/>
      <c r="AZ4533" s="466"/>
      <c r="BA4533" s="466"/>
      <c r="BB4533" s="466"/>
      <c r="BC4533" s="466"/>
      <c r="BD4533" s="466"/>
      <c r="BE4533" s="467"/>
      <c r="BF4533" s="467"/>
      <c r="BG4533" s="466"/>
      <c r="BH4533" s="466"/>
      <c r="BI4533" s="467"/>
      <c r="BJ4533" s="467"/>
      <c r="BK4533" s="467"/>
      <c r="BL4533" s="467"/>
      <c r="BM4533" s="467"/>
      <c r="BN4533" s="467"/>
      <c r="BO4533" s="467"/>
      <c r="BP4533" s="467"/>
      <c r="BQ4533" s="467"/>
      <c r="BR4533" s="467"/>
      <c r="BS4533" s="467"/>
      <c r="BT4533" s="467"/>
      <c r="BU4533" s="467"/>
      <c r="BV4533" s="467"/>
      <c r="BW4533" s="467"/>
      <c r="BX4533" s="769"/>
      <c r="BY4533" s="769"/>
      <c r="BZ4533" s="769"/>
      <c r="CA4533" s="769"/>
      <c r="CB4533" s="769"/>
      <c r="CC4533" s="769"/>
      <c r="CD4533" s="769"/>
      <c r="CE4533" s="769"/>
      <c r="CF4533" s="769"/>
      <c r="CG4533" s="73"/>
      <c r="CH4533" s="438"/>
      <c r="CI4533" s="416"/>
      <c r="CJ4533" s="73"/>
      <c r="CK4533" s="650"/>
      <c r="CL4533" s="499"/>
      <c r="CM4533" s="650"/>
      <c r="CR4533" s="416"/>
      <c r="CS4533" s="650"/>
      <c r="CU4533" s="73"/>
      <c r="CV4533" s="73"/>
      <c r="CW4533" s="73"/>
      <c r="CX4533" s="73"/>
      <c r="DA4533" s="650"/>
    </row>
    <row r="4534" spans="1:105" s="45" customFormat="1" x14ac:dyDescent="0.2">
      <c r="A4534" s="650"/>
      <c r="B4534" s="438"/>
      <c r="C4534"/>
      <c r="D4534" s="73"/>
      <c r="E4534" s="48"/>
      <c r="F4534" s="48"/>
      <c r="G4534" s="1"/>
      <c r="H4534"/>
      <c r="I4534" s="2"/>
      <c r="J4534" s="72"/>
      <c r="K4534" s="72"/>
      <c r="L4534" s="499"/>
      <c r="M4534" s="1"/>
      <c r="N4534" s="499"/>
      <c r="O4534" s="73"/>
      <c r="P4534" s="73"/>
      <c r="Q4534" s="1"/>
      <c r="R4534" s="3"/>
      <c r="S4534" s="3"/>
      <c r="T4534" s="3"/>
      <c r="U4534" s="400"/>
      <c r="V4534" s="400"/>
      <c r="W4534" s="732"/>
      <c r="X4534" s="24"/>
      <c r="Y4534" s="509"/>
      <c r="Z4534" s="466"/>
      <c r="AA4534" s="466"/>
      <c r="AB4534" s="466"/>
      <c r="AC4534" s="466"/>
      <c r="AD4534" s="466"/>
      <c r="AE4534" s="466"/>
      <c r="AF4534" s="466"/>
      <c r="AG4534" s="466"/>
      <c r="AH4534" s="466"/>
      <c r="AI4534" s="466"/>
      <c r="AJ4534" s="466"/>
      <c r="AK4534" s="466"/>
      <c r="AL4534" s="466"/>
      <c r="AM4534" s="466"/>
      <c r="AN4534" s="466"/>
      <c r="AO4534" s="466"/>
      <c r="AP4534" s="466"/>
      <c r="AQ4534" s="466"/>
      <c r="AR4534" s="466"/>
      <c r="AS4534" s="466"/>
      <c r="AT4534" s="466"/>
      <c r="AU4534" s="466"/>
      <c r="AV4534" s="466"/>
      <c r="AW4534" s="466"/>
      <c r="AX4534" s="466"/>
      <c r="AY4534" s="466"/>
      <c r="AZ4534" s="466"/>
      <c r="BA4534" s="466"/>
      <c r="BB4534" s="466"/>
      <c r="BC4534" s="466"/>
      <c r="BD4534" s="466"/>
      <c r="BE4534" s="467"/>
      <c r="BF4534" s="467"/>
      <c r="BG4534" s="466"/>
      <c r="BH4534" s="466"/>
      <c r="BI4534" s="467"/>
      <c r="BJ4534" s="467"/>
      <c r="BK4534" s="467"/>
      <c r="BL4534" s="467"/>
      <c r="BM4534" s="467"/>
      <c r="BN4534" s="467"/>
      <c r="BO4534" s="467"/>
      <c r="BP4534" s="467"/>
      <c r="BQ4534" s="467"/>
      <c r="BR4534" s="467"/>
      <c r="BS4534" s="467"/>
      <c r="BT4534" s="467"/>
      <c r="BU4534" s="467"/>
      <c r="BV4534" s="467"/>
      <c r="BW4534" s="467"/>
      <c r="BX4534" s="769"/>
      <c r="BY4534" s="769"/>
      <c r="BZ4534" s="769"/>
      <c r="CA4534" s="769"/>
      <c r="CB4534" s="769"/>
      <c r="CC4534" s="769"/>
      <c r="CD4534" s="769"/>
      <c r="CE4534" s="769"/>
      <c r="CF4534" s="769"/>
      <c r="CG4534" s="73"/>
      <c r="CH4534" s="438"/>
      <c r="CI4534" s="416"/>
      <c r="CJ4534" s="73"/>
      <c r="CK4534" s="650"/>
      <c r="CL4534" s="499"/>
      <c r="CM4534" s="650"/>
      <c r="CR4534" s="416"/>
      <c r="CS4534" s="650"/>
      <c r="CU4534" s="73"/>
      <c r="CV4534" s="73"/>
      <c r="CW4534" s="73"/>
      <c r="CX4534" s="73"/>
      <c r="DA4534" s="650"/>
    </row>
    <row r="4535" spans="1:105" s="45" customFormat="1" x14ac:dyDescent="0.2">
      <c r="A4535" s="650"/>
      <c r="B4535" s="438"/>
      <c r="C4535"/>
      <c r="D4535" s="73"/>
      <c r="E4535" s="48"/>
      <c r="F4535" s="48"/>
      <c r="G4535" s="1"/>
      <c r="H4535"/>
      <c r="I4535" s="2"/>
      <c r="J4535" s="72"/>
      <c r="K4535" s="72"/>
      <c r="L4535" s="499"/>
      <c r="M4535" s="1"/>
      <c r="N4535" s="499"/>
      <c r="O4535" s="73"/>
      <c r="P4535" s="73"/>
      <c r="Q4535" s="1"/>
      <c r="R4535" s="3"/>
      <c r="S4535" s="3"/>
      <c r="T4535" s="3"/>
      <c r="U4535" s="400"/>
      <c r="V4535" s="400"/>
      <c r="W4535" s="732"/>
      <c r="X4535" s="24"/>
      <c r="Y4535" s="509"/>
      <c r="Z4535" s="466"/>
      <c r="AA4535" s="466"/>
      <c r="AB4535" s="466"/>
      <c r="AC4535" s="466"/>
      <c r="AD4535" s="466"/>
      <c r="AE4535" s="466"/>
      <c r="AF4535" s="466"/>
      <c r="AG4535" s="466"/>
      <c r="AH4535" s="466"/>
      <c r="AI4535" s="466"/>
      <c r="AJ4535" s="466"/>
      <c r="AK4535" s="466"/>
      <c r="AL4535" s="466"/>
      <c r="AM4535" s="466"/>
      <c r="AN4535" s="466"/>
      <c r="AO4535" s="466"/>
      <c r="AP4535" s="466"/>
      <c r="AQ4535" s="466"/>
      <c r="AR4535" s="466"/>
      <c r="AS4535" s="466"/>
      <c r="AT4535" s="466"/>
      <c r="AU4535" s="466"/>
      <c r="AV4535" s="466"/>
      <c r="AW4535" s="466"/>
      <c r="AX4535" s="466"/>
      <c r="AY4535" s="466"/>
      <c r="AZ4535" s="466"/>
      <c r="BA4535" s="466"/>
      <c r="BB4535" s="466"/>
      <c r="BC4535" s="466"/>
      <c r="BD4535" s="466"/>
      <c r="BE4535" s="467"/>
      <c r="BF4535" s="467"/>
      <c r="BG4535" s="466"/>
      <c r="BH4535" s="466"/>
      <c r="BI4535" s="467"/>
      <c r="BJ4535" s="467"/>
      <c r="BK4535" s="467"/>
      <c r="BL4535" s="467"/>
      <c r="BM4535" s="467"/>
      <c r="BN4535" s="467"/>
      <c r="BO4535" s="467"/>
      <c r="BP4535" s="467"/>
      <c r="BQ4535" s="467"/>
      <c r="BR4535" s="467"/>
      <c r="BS4535" s="467"/>
      <c r="BT4535" s="467"/>
      <c r="BU4535" s="467"/>
      <c r="BV4535" s="467"/>
      <c r="BW4535" s="467"/>
      <c r="BX4535" s="769"/>
      <c r="BY4535" s="769"/>
      <c r="BZ4535" s="769"/>
      <c r="CA4535" s="769"/>
      <c r="CB4535" s="769"/>
      <c r="CC4535" s="769"/>
      <c r="CD4535" s="769"/>
      <c r="CE4535" s="769"/>
      <c r="CF4535" s="769"/>
      <c r="CG4535" s="73"/>
      <c r="CH4535" s="438"/>
      <c r="CI4535" s="416"/>
      <c r="CJ4535" s="73"/>
      <c r="CK4535" s="650"/>
      <c r="CL4535" s="499"/>
      <c r="CM4535" s="650"/>
      <c r="CR4535" s="416"/>
      <c r="CS4535" s="650"/>
      <c r="CU4535" s="73"/>
      <c r="CV4535" s="73"/>
      <c r="CW4535" s="73"/>
      <c r="CX4535" s="73"/>
      <c r="DA4535" s="650"/>
    </row>
    <row r="4536" spans="1:105" s="45" customFormat="1" x14ac:dyDescent="0.2">
      <c r="A4536" s="650"/>
      <c r="B4536" s="438"/>
      <c r="C4536"/>
      <c r="D4536" s="73"/>
      <c r="E4536" s="48"/>
      <c r="F4536" s="48"/>
      <c r="G4536" s="1"/>
      <c r="H4536"/>
      <c r="I4536" s="2"/>
      <c r="J4536" s="72"/>
      <c r="K4536" s="72"/>
      <c r="L4536" s="499"/>
      <c r="M4536" s="1"/>
      <c r="N4536" s="499"/>
      <c r="O4536" s="73"/>
      <c r="P4536" s="73"/>
      <c r="Q4536" s="1"/>
      <c r="R4536" s="3"/>
      <c r="S4536" s="3"/>
      <c r="T4536" s="3"/>
      <c r="U4536" s="400"/>
      <c r="V4536" s="400"/>
      <c r="W4536" s="732"/>
      <c r="X4536" s="24"/>
      <c r="Y4536" s="509"/>
      <c r="Z4536" s="466"/>
      <c r="AA4536" s="466"/>
      <c r="AB4536" s="466"/>
      <c r="AC4536" s="466"/>
      <c r="AD4536" s="466"/>
      <c r="AE4536" s="466"/>
      <c r="AF4536" s="466"/>
      <c r="AG4536" s="466"/>
      <c r="AH4536" s="466"/>
      <c r="AI4536" s="466"/>
      <c r="AJ4536" s="466"/>
      <c r="AK4536" s="466"/>
      <c r="AL4536" s="466"/>
      <c r="AM4536" s="466"/>
      <c r="AN4536" s="466"/>
      <c r="AO4536" s="466"/>
      <c r="AP4536" s="466"/>
      <c r="AQ4536" s="466"/>
      <c r="AR4536" s="466"/>
      <c r="AS4536" s="466"/>
      <c r="AT4536" s="466"/>
      <c r="AU4536" s="466"/>
      <c r="AV4536" s="466"/>
      <c r="AW4536" s="466"/>
      <c r="AX4536" s="466"/>
      <c r="AY4536" s="466"/>
      <c r="AZ4536" s="466"/>
      <c r="BA4536" s="466"/>
      <c r="BB4536" s="466"/>
      <c r="BC4536" s="466"/>
      <c r="BD4536" s="466"/>
      <c r="BE4536" s="467"/>
      <c r="BF4536" s="467"/>
      <c r="BG4536" s="466"/>
      <c r="BH4536" s="466"/>
      <c r="BI4536" s="467"/>
      <c r="BJ4536" s="467"/>
      <c r="BK4536" s="467"/>
      <c r="BL4536" s="467"/>
      <c r="BM4536" s="467"/>
      <c r="BN4536" s="467"/>
      <c r="BO4536" s="467"/>
      <c r="BP4536" s="467"/>
      <c r="BQ4536" s="467"/>
      <c r="BR4536" s="467"/>
      <c r="BS4536" s="467"/>
      <c r="BT4536" s="467"/>
      <c r="BU4536" s="467"/>
      <c r="BV4536" s="467"/>
      <c r="BW4536" s="467"/>
      <c r="BX4536" s="769"/>
      <c r="BY4536" s="769"/>
      <c r="BZ4536" s="769"/>
      <c r="CA4536" s="769"/>
      <c r="CB4536" s="769"/>
      <c r="CC4536" s="769"/>
      <c r="CD4536" s="769"/>
      <c r="CE4536" s="769"/>
      <c r="CF4536" s="769"/>
      <c r="CG4536" s="73"/>
      <c r="CH4536" s="438"/>
      <c r="CI4536" s="416"/>
      <c r="CJ4536" s="73"/>
      <c r="CK4536" s="650"/>
      <c r="CL4536" s="499"/>
      <c r="CM4536" s="650"/>
      <c r="CR4536" s="416"/>
      <c r="CS4536" s="650"/>
      <c r="CU4536" s="73"/>
      <c r="CV4536" s="73"/>
      <c r="CW4536" s="73"/>
      <c r="CX4536" s="73"/>
      <c r="DA4536" s="650"/>
    </row>
    <row r="4537" spans="1:105" s="45" customFormat="1" x14ac:dyDescent="0.2">
      <c r="A4537" s="650"/>
      <c r="B4537" s="438"/>
      <c r="C4537"/>
      <c r="D4537" s="73"/>
      <c r="E4537" s="48"/>
      <c r="F4537" s="48"/>
      <c r="G4537" s="1"/>
      <c r="H4537"/>
      <c r="I4537" s="2"/>
      <c r="J4537" s="72"/>
      <c r="K4537" s="72"/>
      <c r="L4537" s="499"/>
      <c r="M4537" s="1"/>
      <c r="N4537" s="499"/>
      <c r="O4537" s="73"/>
      <c r="P4537" s="73"/>
      <c r="Q4537" s="1"/>
      <c r="R4537" s="3"/>
      <c r="S4537" s="3"/>
      <c r="T4537" s="3"/>
      <c r="U4537" s="400"/>
      <c r="V4537" s="400"/>
      <c r="W4537" s="732"/>
      <c r="X4537" s="24"/>
      <c r="Y4537" s="509"/>
      <c r="Z4537" s="466"/>
      <c r="AA4537" s="466"/>
      <c r="AB4537" s="466"/>
      <c r="AC4537" s="466"/>
      <c r="AD4537" s="466"/>
      <c r="AE4537" s="466"/>
      <c r="AF4537" s="466"/>
      <c r="AG4537" s="466"/>
      <c r="AH4537" s="466"/>
      <c r="AI4537" s="466"/>
      <c r="AJ4537" s="466"/>
      <c r="AK4537" s="466"/>
      <c r="AL4537" s="466"/>
      <c r="AM4537" s="466"/>
      <c r="AN4537" s="466"/>
      <c r="AO4537" s="466"/>
      <c r="AP4537" s="466"/>
      <c r="AQ4537" s="466"/>
      <c r="AR4537" s="466"/>
      <c r="AS4537" s="466"/>
      <c r="AT4537" s="466"/>
      <c r="AU4537" s="466"/>
      <c r="AV4537" s="466"/>
      <c r="AW4537" s="466"/>
      <c r="AX4537" s="466"/>
      <c r="AY4537" s="466"/>
      <c r="AZ4537" s="466"/>
      <c r="BA4537" s="466"/>
      <c r="BB4537" s="466"/>
      <c r="BC4537" s="466"/>
      <c r="BD4537" s="466"/>
      <c r="BE4537" s="467"/>
      <c r="BF4537" s="467"/>
      <c r="BG4537" s="466"/>
      <c r="BH4537" s="466"/>
      <c r="BI4537" s="467"/>
      <c r="BJ4537" s="467"/>
      <c r="BK4537" s="467"/>
      <c r="BL4537" s="467"/>
      <c r="BM4537" s="467"/>
      <c r="BN4537" s="467"/>
      <c r="BO4537" s="467"/>
      <c r="BP4537" s="467"/>
      <c r="BQ4537" s="467"/>
      <c r="BR4537" s="467"/>
      <c r="BS4537" s="467"/>
      <c r="BT4537" s="467"/>
      <c r="BU4537" s="467"/>
      <c r="BV4537" s="467"/>
      <c r="BW4537" s="467"/>
      <c r="BX4537" s="769"/>
      <c r="BY4537" s="769"/>
      <c r="BZ4537" s="769"/>
      <c r="CA4537" s="769"/>
      <c r="CB4537" s="769"/>
      <c r="CC4537" s="769"/>
      <c r="CD4537" s="769"/>
      <c r="CE4537" s="769"/>
      <c r="CF4537" s="769"/>
      <c r="CG4537" s="73"/>
      <c r="CH4537" s="438"/>
      <c r="CI4537" s="416"/>
      <c r="CJ4537" s="73"/>
      <c r="CK4537" s="650"/>
      <c r="CL4537" s="499"/>
      <c r="CM4537" s="650"/>
      <c r="CR4537" s="416"/>
      <c r="CS4537" s="650"/>
      <c r="CU4537" s="73"/>
      <c r="CV4537" s="73"/>
      <c r="CW4537" s="73"/>
      <c r="CX4537" s="73"/>
      <c r="DA4537" s="650"/>
    </row>
    <row r="4538" spans="1:105" s="45" customFormat="1" x14ac:dyDescent="0.2">
      <c r="A4538" s="650"/>
      <c r="B4538" s="438"/>
      <c r="C4538"/>
      <c r="D4538" s="73"/>
      <c r="E4538" s="48"/>
      <c r="F4538" s="48"/>
      <c r="G4538" s="1"/>
      <c r="H4538"/>
      <c r="I4538" s="2"/>
      <c r="J4538" s="72"/>
      <c r="K4538" s="72"/>
      <c r="L4538" s="499"/>
      <c r="M4538" s="1"/>
      <c r="N4538" s="499"/>
      <c r="O4538" s="73"/>
      <c r="P4538" s="73"/>
      <c r="Q4538" s="1"/>
      <c r="R4538" s="3"/>
      <c r="S4538" s="3"/>
      <c r="T4538" s="3"/>
      <c r="U4538" s="400"/>
      <c r="V4538" s="400"/>
      <c r="W4538" s="732"/>
      <c r="X4538" s="24"/>
      <c r="Y4538" s="509"/>
      <c r="Z4538" s="466"/>
      <c r="AA4538" s="466"/>
      <c r="AB4538" s="466"/>
      <c r="AC4538" s="466"/>
      <c r="AD4538" s="466"/>
      <c r="AE4538" s="466"/>
      <c r="AF4538" s="466"/>
      <c r="AG4538" s="466"/>
      <c r="AH4538" s="466"/>
      <c r="AI4538" s="466"/>
      <c r="AJ4538" s="466"/>
      <c r="AK4538" s="466"/>
      <c r="AL4538" s="466"/>
      <c r="AM4538" s="466"/>
      <c r="AN4538" s="466"/>
      <c r="AO4538" s="466"/>
      <c r="AP4538" s="466"/>
      <c r="AQ4538" s="466"/>
      <c r="AR4538" s="466"/>
      <c r="AS4538" s="466"/>
      <c r="AT4538" s="466"/>
      <c r="AU4538" s="466"/>
      <c r="AV4538" s="466"/>
      <c r="AW4538" s="466"/>
      <c r="AX4538" s="466"/>
      <c r="AY4538" s="466"/>
      <c r="AZ4538" s="466"/>
      <c r="BA4538" s="466"/>
      <c r="BB4538" s="466"/>
      <c r="BC4538" s="466"/>
      <c r="BD4538" s="466"/>
      <c r="BE4538" s="467"/>
      <c r="BF4538" s="467"/>
      <c r="BG4538" s="466"/>
      <c r="BH4538" s="466"/>
      <c r="BI4538" s="467"/>
      <c r="BJ4538" s="467"/>
      <c r="BK4538" s="467"/>
      <c r="BL4538" s="467"/>
      <c r="BM4538" s="467"/>
      <c r="BN4538" s="467"/>
      <c r="BO4538" s="467"/>
      <c r="BP4538" s="467"/>
      <c r="BQ4538" s="467"/>
      <c r="BR4538" s="467"/>
      <c r="BS4538" s="467"/>
      <c r="BT4538" s="467"/>
      <c r="BU4538" s="467"/>
      <c r="BV4538" s="467"/>
      <c r="BW4538" s="467"/>
      <c r="BX4538" s="769"/>
      <c r="BY4538" s="769"/>
      <c r="BZ4538" s="769"/>
      <c r="CA4538" s="769"/>
      <c r="CB4538" s="769"/>
      <c r="CC4538" s="769"/>
      <c r="CD4538" s="769"/>
      <c r="CE4538" s="769"/>
      <c r="CF4538" s="769"/>
      <c r="CG4538" s="73"/>
      <c r="CH4538" s="438"/>
      <c r="CI4538" s="416"/>
      <c r="CJ4538" s="73"/>
      <c r="CK4538" s="650"/>
      <c r="CL4538" s="499"/>
      <c r="CM4538" s="650"/>
      <c r="CR4538" s="416"/>
      <c r="CS4538" s="650"/>
      <c r="CU4538" s="73"/>
      <c r="CV4538" s="73"/>
      <c r="CW4538" s="73"/>
      <c r="CX4538" s="73"/>
      <c r="DA4538" s="650"/>
    </row>
    <row r="4539" spans="1:105" s="45" customFormat="1" x14ac:dyDescent="0.2">
      <c r="A4539" s="650"/>
      <c r="B4539" s="438"/>
      <c r="C4539"/>
      <c r="D4539" s="73"/>
      <c r="E4539" s="48"/>
      <c r="F4539" s="48"/>
      <c r="G4539" s="1"/>
      <c r="H4539"/>
      <c r="I4539" s="2"/>
      <c r="J4539" s="72"/>
      <c r="K4539" s="72"/>
      <c r="L4539" s="499"/>
      <c r="M4539" s="1"/>
      <c r="N4539" s="499"/>
      <c r="O4539" s="73"/>
      <c r="P4539" s="73"/>
      <c r="Q4539" s="1"/>
      <c r="R4539" s="3"/>
      <c r="S4539" s="3"/>
      <c r="T4539" s="3"/>
      <c r="U4539" s="400"/>
      <c r="V4539" s="400"/>
      <c r="W4539" s="732"/>
      <c r="X4539" s="24"/>
      <c r="Y4539" s="509"/>
      <c r="Z4539" s="466"/>
      <c r="AA4539" s="466"/>
      <c r="AB4539" s="466"/>
      <c r="AC4539" s="466"/>
      <c r="AD4539" s="466"/>
      <c r="AE4539" s="466"/>
      <c r="AF4539" s="466"/>
      <c r="AG4539" s="466"/>
      <c r="AH4539" s="466"/>
      <c r="AI4539" s="466"/>
      <c r="AJ4539" s="466"/>
      <c r="AK4539" s="466"/>
      <c r="AL4539" s="466"/>
      <c r="AM4539" s="466"/>
      <c r="AN4539" s="466"/>
      <c r="AO4539" s="466"/>
      <c r="AP4539" s="466"/>
      <c r="AQ4539" s="466"/>
      <c r="AR4539" s="466"/>
      <c r="AS4539" s="466"/>
      <c r="AT4539" s="466"/>
      <c r="AU4539" s="466"/>
      <c r="AV4539" s="466"/>
      <c r="AW4539" s="466"/>
      <c r="AX4539" s="466"/>
      <c r="AY4539" s="466"/>
      <c r="AZ4539" s="466"/>
      <c r="BA4539" s="466"/>
      <c r="BB4539" s="466"/>
      <c r="BC4539" s="466"/>
      <c r="BD4539" s="466"/>
      <c r="BE4539" s="467"/>
      <c r="BF4539" s="467"/>
      <c r="BG4539" s="466"/>
      <c r="BH4539" s="466"/>
      <c r="BI4539" s="467"/>
      <c r="BJ4539" s="467"/>
      <c r="BK4539" s="467"/>
      <c r="BL4539" s="467"/>
      <c r="BM4539" s="467"/>
      <c r="BN4539" s="467"/>
      <c r="BO4539" s="467"/>
      <c r="BP4539" s="467"/>
      <c r="BQ4539" s="467"/>
      <c r="BR4539" s="467"/>
      <c r="BS4539" s="467"/>
      <c r="BT4539" s="467"/>
      <c r="BU4539" s="467"/>
      <c r="BV4539" s="467"/>
      <c r="BW4539" s="467"/>
      <c r="BX4539" s="769"/>
      <c r="BY4539" s="769"/>
      <c r="BZ4539" s="769"/>
      <c r="CA4539" s="769"/>
      <c r="CB4539" s="769"/>
      <c r="CC4539" s="769"/>
      <c r="CD4539" s="769"/>
      <c r="CE4539" s="769"/>
      <c r="CF4539" s="769"/>
      <c r="CG4539" s="73"/>
      <c r="CH4539" s="438"/>
      <c r="CI4539" s="416"/>
      <c r="CJ4539" s="73"/>
      <c r="CK4539" s="650"/>
      <c r="CL4539" s="499"/>
      <c r="CM4539" s="650"/>
      <c r="CR4539" s="416"/>
      <c r="CS4539" s="650"/>
      <c r="CU4539" s="73"/>
      <c r="CV4539" s="73"/>
      <c r="CW4539" s="73"/>
      <c r="CX4539" s="73"/>
      <c r="DA4539" s="650"/>
    </row>
    <row r="4540" spans="1:105" s="45" customFormat="1" x14ac:dyDescent="0.2">
      <c r="A4540" s="650"/>
      <c r="B4540" s="438"/>
      <c r="C4540"/>
      <c r="D4540" s="73"/>
      <c r="E4540" s="48"/>
      <c r="F4540" s="48"/>
      <c r="G4540" s="1"/>
      <c r="H4540"/>
      <c r="I4540" s="2"/>
      <c r="J4540" s="72"/>
      <c r="K4540" s="72"/>
      <c r="L4540" s="499"/>
      <c r="M4540" s="1"/>
      <c r="N4540" s="499"/>
      <c r="O4540" s="73"/>
      <c r="P4540" s="73"/>
      <c r="Q4540" s="1"/>
      <c r="R4540" s="3"/>
      <c r="S4540" s="3"/>
      <c r="T4540" s="3"/>
      <c r="U4540" s="400"/>
      <c r="V4540" s="400"/>
      <c r="W4540" s="732"/>
      <c r="X4540" s="24"/>
      <c r="Y4540" s="509"/>
      <c r="Z4540" s="466"/>
      <c r="AA4540" s="466"/>
      <c r="AB4540" s="466"/>
      <c r="AC4540" s="466"/>
      <c r="AD4540" s="466"/>
      <c r="AE4540" s="466"/>
      <c r="AF4540" s="466"/>
      <c r="AG4540" s="466"/>
      <c r="AH4540" s="466"/>
      <c r="AI4540" s="466"/>
      <c r="AJ4540" s="466"/>
      <c r="AK4540" s="466"/>
      <c r="AL4540" s="466"/>
      <c r="AM4540" s="466"/>
      <c r="AN4540" s="466"/>
      <c r="AO4540" s="466"/>
      <c r="AP4540" s="466"/>
      <c r="AQ4540" s="466"/>
      <c r="AR4540" s="466"/>
      <c r="AS4540" s="466"/>
      <c r="AT4540" s="466"/>
      <c r="AU4540" s="466"/>
      <c r="AV4540" s="466"/>
      <c r="AW4540" s="466"/>
      <c r="AX4540" s="466"/>
      <c r="AY4540" s="466"/>
      <c r="AZ4540" s="466"/>
      <c r="BA4540" s="466"/>
      <c r="BB4540" s="466"/>
      <c r="BC4540" s="466"/>
      <c r="BD4540" s="466"/>
      <c r="BE4540" s="467"/>
      <c r="BF4540" s="467"/>
      <c r="BG4540" s="466"/>
      <c r="BH4540" s="466"/>
      <c r="BI4540" s="467"/>
      <c r="BJ4540" s="467"/>
      <c r="BK4540" s="467"/>
      <c r="BL4540" s="467"/>
      <c r="BM4540" s="467"/>
      <c r="BN4540" s="467"/>
      <c r="BO4540" s="467"/>
      <c r="BP4540" s="467"/>
      <c r="BQ4540" s="467"/>
      <c r="BR4540" s="467"/>
      <c r="BS4540" s="467"/>
      <c r="BT4540" s="467"/>
      <c r="BU4540" s="467"/>
      <c r="BV4540" s="467"/>
      <c r="BW4540" s="467"/>
      <c r="BX4540" s="769"/>
      <c r="BY4540" s="769"/>
      <c r="BZ4540" s="769"/>
      <c r="CA4540" s="769"/>
      <c r="CB4540" s="769"/>
      <c r="CC4540" s="769"/>
      <c r="CD4540" s="769"/>
      <c r="CE4540" s="769"/>
      <c r="CF4540" s="769"/>
      <c r="CG4540" s="73"/>
      <c r="CH4540" s="438"/>
      <c r="CI4540" s="416"/>
      <c r="CJ4540" s="73"/>
      <c r="CK4540" s="650"/>
      <c r="CL4540" s="499"/>
      <c r="CM4540" s="650"/>
      <c r="CR4540" s="416"/>
      <c r="CS4540" s="650"/>
      <c r="CU4540" s="73"/>
      <c r="CV4540" s="73"/>
      <c r="CW4540" s="73"/>
      <c r="CX4540" s="73"/>
      <c r="DA4540" s="650"/>
    </row>
    <row r="4541" spans="1:105" s="45" customFormat="1" x14ac:dyDescent="0.2">
      <c r="A4541" s="650"/>
      <c r="B4541" s="438"/>
      <c r="C4541"/>
      <c r="D4541" s="73"/>
      <c r="E4541" s="48"/>
      <c r="F4541" s="48"/>
      <c r="G4541" s="1"/>
      <c r="H4541"/>
      <c r="I4541" s="2"/>
      <c r="J4541" s="72"/>
      <c r="K4541" s="72"/>
      <c r="L4541" s="499"/>
      <c r="M4541" s="1"/>
      <c r="N4541" s="499"/>
      <c r="O4541" s="73"/>
      <c r="P4541" s="73"/>
      <c r="Q4541" s="1"/>
      <c r="R4541" s="3"/>
      <c r="S4541" s="3"/>
      <c r="T4541" s="3"/>
      <c r="U4541" s="400"/>
      <c r="V4541" s="400"/>
      <c r="W4541" s="732"/>
      <c r="X4541" s="24"/>
      <c r="Y4541" s="509"/>
      <c r="Z4541" s="466"/>
      <c r="AA4541" s="466"/>
      <c r="AB4541" s="466"/>
      <c r="AC4541" s="466"/>
      <c r="AD4541" s="466"/>
      <c r="AE4541" s="466"/>
      <c r="AF4541" s="466"/>
      <c r="AG4541" s="466"/>
      <c r="AH4541" s="466"/>
      <c r="AI4541" s="466"/>
      <c r="AJ4541" s="466"/>
      <c r="AK4541" s="466"/>
      <c r="AL4541" s="466"/>
      <c r="AM4541" s="466"/>
      <c r="AN4541" s="466"/>
      <c r="AO4541" s="466"/>
      <c r="AP4541" s="466"/>
      <c r="AQ4541" s="466"/>
      <c r="AR4541" s="466"/>
      <c r="AS4541" s="466"/>
      <c r="AT4541" s="466"/>
      <c r="AU4541" s="466"/>
      <c r="AV4541" s="466"/>
      <c r="AW4541" s="466"/>
      <c r="AX4541" s="466"/>
      <c r="AY4541" s="466"/>
      <c r="AZ4541" s="466"/>
      <c r="BA4541" s="466"/>
      <c r="BB4541" s="466"/>
      <c r="BC4541" s="466"/>
      <c r="BD4541" s="466"/>
      <c r="BE4541" s="467"/>
      <c r="BF4541" s="467"/>
      <c r="BG4541" s="466"/>
      <c r="BH4541" s="466"/>
      <c r="BI4541" s="467"/>
      <c r="BJ4541" s="467"/>
      <c r="BK4541" s="467"/>
      <c r="BL4541" s="467"/>
      <c r="BM4541" s="467"/>
      <c r="BN4541" s="467"/>
      <c r="BO4541" s="467"/>
      <c r="BP4541" s="467"/>
      <c r="BQ4541" s="467"/>
      <c r="BR4541" s="467"/>
      <c r="BS4541" s="467"/>
      <c r="BT4541" s="467"/>
      <c r="BU4541" s="467"/>
      <c r="BV4541" s="467"/>
      <c r="BW4541" s="467"/>
      <c r="BX4541" s="769"/>
      <c r="BY4541" s="769"/>
      <c r="BZ4541" s="769"/>
      <c r="CA4541" s="769"/>
      <c r="CB4541" s="769"/>
      <c r="CC4541" s="769"/>
      <c r="CD4541" s="769"/>
      <c r="CE4541" s="769"/>
      <c r="CF4541" s="769"/>
      <c r="CG4541" s="73"/>
      <c r="CH4541" s="438"/>
      <c r="CI4541" s="416"/>
      <c r="CJ4541" s="73"/>
      <c r="CK4541" s="650"/>
      <c r="CL4541" s="499"/>
      <c r="CM4541" s="650"/>
      <c r="CR4541" s="416"/>
      <c r="CS4541" s="650"/>
      <c r="CU4541" s="73"/>
      <c r="CV4541" s="73"/>
      <c r="CW4541" s="73"/>
      <c r="CX4541" s="73"/>
      <c r="DA4541" s="650"/>
    </row>
    <row r="4542" spans="1:105" s="45" customFormat="1" x14ac:dyDescent="0.2">
      <c r="A4542" s="650"/>
      <c r="B4542" s="438"/>
      <c r="C4542"/>
      <c r="D4542" s="73"/>
      <c r="E4542" s="48"/>
      <c r="F4542" s="48"/>
      <c r="G4542" s="1"/>
      <c r="H4542"/>
      <c r="I4542" s="2"/>
      <c r="J4542" s="72"/>
      <c r="K4542" s="72"/>
      <c r="L4542" s="499"/>
      <c r="M4542" s="1"/>
      <c r="N4542" s="499"/>
      <c r="O4542" s="73"/>
      <c r="P4542" s="73"/>
      <c r="Q4542" s="1"/>
      <c r="R4542" s="3"/>
      <c r="S4542" s="3"/>
      <c r="T4542" s="3"/>
      <c r="U4542" s="400"/>
      <c r="V4542" s="400"/>
      <c r="W4542" s="732"/>
      <c r="X4542" s="24"/>
      <c r="Y4542" s="509"/>
      <c r="Z4542" s="466"/>
      <c r="AA4542" s="466"/>
      <c r="AB4542" s="466"/>
      <c r="AC4542" s="466"/>
      <c r="AD4542" s="466"/>
      <c r="AE4542" s="466"/>
      <c r="AF4542" s="466"/>
      <c r="AG4542" s="466"/>
      <c r="AH4542" s="466"/>
      <c r="AI4542" s="466"/>
      <c r="AJ4542" s="466"/>
      <c r="AK4542" s="466"/>
      <c r="AL4542" s="466"/>
      <c r="AM4542" s="466"/>
      <c r="AN4542" s="466"/>
      <c r="AO4542" s="466"/>
      <c r="AP4542" s="466"/>
      <c r="AQ4542" s="466"/>
      <c r="AR4542" s="466"/>
      <c r="AS4542" s="466"/>
      <c r="AT4542" s="466"/>
      <c r="AU4542" s="466"/>
      <c r="AV4542" s="466"/>
      <c r="AW4542" s="466"/>
      <c r="AX4542" s="466"/>
      <c r="AY4542" s="466"/>
      <c r="AZ4542" s="466"/>
      <c r="BA4542" s="466"/>
      <c r="BB4542" s="466"/>
      <c r="BC4542" s="466"/>
      <c r="BD4542" s="466"/>
      <c r="BE4542" s="467"/>
      <c r="BF4542" s="467"/>
      <c r="BG4542" s="466"/>
      <c r="BH4542" s="466"/>
      <c r="BI4542" s="467"/>
      <c r="BJ4542" s="467"/>
      <c r="BK4542" s="467"/>
      <c r="BL4542" s="467"/>
      <c r="BM4542" s="467"/>
      <c r="BN4542" s="467"/>
      <c r="BO4542" s="467"/>
      <c r="BP4542" s="467"/>
      <c r="BQ4542" s="467"/>
      <c r="BR4542" s="467"/>
      <c r="BS4542" s="467"/>
      <c r="BT4542" s="467"/>
      <c r="BU4542" s="467"/>
      <c r="BV4542" s="467"/>
      <c r="BW4542" s="467"/>
      <c r="BX4542" s="769"/>
      <c r="BY4542" s="769"/>
      <c r="BZ4542" s="769"/>
      <c r="CA4542" s="769"/>
      <c r="CB4542" s="769"/>
      <c r="CC4542" s="769"/>
      <c r="CD4542" s="769"/>
      <c r="CE4542" s="769"/>
      <c r="CF4542" s="769"/>
      <c r="CG4542" s="73"/>
      <c r="CH4542" s="438"/>
      <c r="CI4542" s="416"/>
      <c r="CJ4542" s="73"/>
      <c r="CK4542" s="650"/>
      <c r="CL4542" s="499"/>
      <c r="CM4542" s="650"/>
      <c r="CR4542" s="416"/>
      <c r="CS4542" s="650"/>
      <c r="CU4542" s="73"/>
      <c r="CV4542" s="73"/>
      <c r="CW4542" s="73"/>
      <c r="CX4542" s="73"/>
      <c r="DA4542" s="650"/>
    </row>
    <row r="4543" spans="1:105" s="45" customFormat="1" x14ac:dyDescent="0.2">
      <c r="A4543" s="650"/>
      <c r="B4543" s="438"/>
      <c r="C4543"/>
      <c r="D4543" s="73"/>
      <c r="E4543" s="48"/>
      <c r="F4543" s="48"/>
      <c r="G4543" s="1"/>
      <c r="H4543"/>
      <c r="I4543" s="2"/>
      <c r="J4543" s="72"/>
      <c r="K4543" s="72"/>
      <c r="L4543" s="499"/>
      <c r="M4543" s="1"/>
      <c r="N4543" s="499"/>
      <c r="O4543" s="73"/>
      <c r="P4543" s="73"/>
      <c r="Q4543" s="1"/>
      <c r="R4543" s="3"/>
      <c r="S4543" s="3"/>
      <c r="T4543" s="3"/>
      <c r="U4543" s="400"/>
      <c r="V4543" s="400"/>
      <c r="W4543" s="732"/>
      <c r="X4543" s="24"/>
      <c r="Y4543" s="509"/>
      <c r="Z4543" s="466"/>
      <c r="AA4543" s="466"/>
      <c r="AB4543" s="466"/>
      <c r="AC4543" s="466"/>
      <c r="AD4543" s="466"/>
      <c r="AE4543" s="466"/>
      <c r="AF4543" s="466"/>
      <c r="AG4543" s="466"/>
      <c r="AH4543" s="466"/>
      <c r="AI4543" s="466"/>
      <c r="AJ4543" s="466"/>
      <c r="AK4543" s="466"/>
      <c r="AL4543" s="466"/>
      <c r="AM4543" s="466"/>
      <c r="AN4543" s="466"/>
      <c r="AO4543" s="466"/>
      <c r="AP4543" s="466"/>
      <c r="AQ4543" s="466"/>
      <c r="AR4543" s="466"/>
      <c r="AS4543" s="466"/>
      <c r="AT4543" s="466"/>
      <c r="AU4543" s="466"/>
      <c r="AV4543" s="466"/>
      <c r="AW4543" s="466"/>
      <c r="AX4543" s="466"/>
      <c r="AY4543" s="466"/>
      <c r="AZ4543" s="466"/>
      <c r="BA4543" s="466"/>
      <c r="BB4543" s="466"/>
      <c r="BC4543" s="466"/>
      <c r="BD4543" s="466"/>
      <c r="BE4543" s="467"/>
      <c r="BF4543" s="467"/>
      <c r="BG4543" s="466"/>
      <c r="BH4543" s="466"/>
      <c r="BI4543" s="467"/>
      <c r="BJ4543" s="467"/>
      <c r="BK4543" s="467"/>
      <c r="BL4543" s="467"/>
      <c r="BM4543" s="467"/>
      <c r="BN4543" s="467"/>
      <c r="BO4543" s="467"/>
      <c r="BP4543" s="467"/>
      <c r="BQ4543" s="467"/>
      <c r="BR4543" s="467"/>
      <c r="BS4543" s="467"/>
      <c r="BT4543" s="467"/>
      <c r="BU4543" s="467"/>
      <c r="BV4543" s="467"/>
      <c r="BW4543" s="467"/>
      <c r="BX4543" s="769"/>
      <c r="BY4543" s="769"/>
      <c r="BZ4543" s="769"/>
      <c r="CA4543" s="769"/>
      <c r="CB4543" s="769"/>
      <c r="CC4543" s="769"/>
      <c r="CD4543" s="769"/>
      <c r="CE4543" s="769"/>
      <c r="CF4543" s="769"/>
      <c r="CG4543" s="73"/>
      <c r="CH4543" s="438"/>
      <c r="CI4543" s="416"/>
      <c r="CJ4543" s="73"/>
      <c r="CK4543" s="650"/>
      <c r="CL4543" s="499"/>
      <c r="CM4543" s="650"/>
      <c r="CR4543" s="416"/>
      <c r="CS4543" s="650"/>
      <c r="CU4543" s="73"/>
      <c r="CV4543" s="73"/>
      <c r="CW4543" s="73"/>
      <c r="CX4543" s="73"/>
      <c r="DA4543" s="650"/>
    </row>
    <row r="4544" spans="1:105" s="45" customFormat="1" x14ac:dyDescent="0.2">
      <c r="A4544" s="650"/>
      <c r="B4544" s="438"/>
      <c r="C4544"/>
      <c r="D4544" s="73"/>
      <c r="E4544" s="48"/>
      <c r="F4544" s="48"/>
      <c r="G4544" s="1"/>
      <c r="H4544"/>
      <c r="I4544" s="2"/>
      <c r="J4544" s="72"/>
      <c r="K4544" s="72"/>
      <c r="L4544" s="499"/>
      <c r="M4544" s="1"/>
      <c r="N4544" s="499"/>
      <c r="O4544" s="73"/>
      <c r="P4544" s="73"/>
      <c r="Q4544" s="1"/>
      <c r="R4544" s="3"/>
      <c r="S4544" s="3"/>
      <c r="T4544" s="3"/>
      <c r="U4544" s="400"/>
      <c r="V4544" s="400"/>
      <c r="W4544" s="732"/>
      <c r="X4544" s="24"/>
      <c r="Y4544" s="509"/>
      <c r="Z4544" s="466"/>
      <c r="AA4544" s="466"/>
      <c r="AB4544" s="466"/>
      <c r="AC4544" s="466"/>
      <c r="AD4544" s="466"/>
      <c r="AE4544" s="466"/>
      <c r="AF4544" s="466"/>
      <c r="AG4544" s="466"/>
      <c r="AH4544" s="466"/>
      <c r="AI4544" s="466"/>
      <c r="AJ4544" s="466"/>
      <c r="AK4544" s="466"/>
      <c r="AL4544" s="466"/>
      <c r="AM4544" s="466"/>
      <c r="AN4544" s="466"/>
      <c r="AO4544" s="466"/>
      <c r="AP4544" s="466"/>
      <c r="AQ4544" s="466"/>
      <c r="AR4544" s="466"/>
      <c r="AS4544" s="466"/>
      <c r="AT4544" s="466"/>
      <c r="AU4544" s="466"/>
      <c r="AV4544" s="466"/>
      <c r="AW4544" s="466"/>
      <c r="AX4544" s="466"/>
      <c r="AY4544" s="466"/>
      <c r="AZ4544" s="466"/>
      <c r="BA4544" s="466"/>
      <c r="BB4544" s="466"/>
      <c r="BC4544" s="466"/>
      <c r="BD4544" s="466"/>
      <c r="BE4544" s="467"/>
      <c r="BF4544" s="467"/>
      <c r="BG4544" s="466"/>
      <c r="BH4544" s="466"/>
      <c r="BI4544" s="467"/>
      <c r="BJ4544" s="467"/>
      <c r="BK4544" s="467"/>
      <c r="BL4544" s="467"/>
      <c r="BM4544" s="467"/>
      <c r="BN4544" s="467"/>
      <c r="BO4544" s="467"/>
      <c r="BP4544" s="467"/>
      <c r="BQ4544" s="467"/>
      <c r="BR4544" s="467"/>
      <c r="BS4544" s="467"/>
      <c r="BT4544" s="467"/>
      <c r="BU4544" s="467"/>
      <c r="BV4544" s="467"/>
      <c r="BW4544" s="467"/>
      <c r="BX4544" s="769"/>
      <c r="BY4544" s="769"/>
      <c r="BZ4544" s="769"/>
      <c r="CA4544" s="769"/>
      <c r="CB4544" s="769"/>
      <c r="CC4544" s="769"/>
      <c r="CD4544" s="769"/>
      <c r="CE4544" s="769"/>
      <c r="CF4544" s="769"/>
      <c r="CG4544" s="73"/>
      <c r="CH4544" s="438"/>
      <c r="CI4544" s="416"/>
      <c r="CJ4544" s="73"/>
      <c r="CK4544" s="650"/>
      <c r="CL4544" s="499"/>
      <c r="CM4544" s="650"/>
      <c r="CR4544" s="416"/>
      <c r="CS4544" s="650"/>
      <c r="CU4544" s="73"/>
      <c r="CV4544" s="73"/>
      <c r="CW4544" s="73"/>
      <c r="CX4544" s="73"/>
      <c r="DA4544" s="650"/>
    </row>
    <row r="4545" spans="1:105" s="45" customFormat="1" x14ac:dyDescent="0.2">
      <c r="A4545" s="650"/>
      <c r="B4545" s="438"/>
      <c r="C4545"/>
      <c r="D4545" s="73"/>
      <c r="E4545" s="48"/>
      <c r="F4545" s="48"/>
      <c r="G4545" s="1"/>
      <c r="H4545"/>
      <c r="I4545" s="2"/>
      <c r="J4545" s="72"/>
      <c r="K4545" s="72"/>
      <c r="L4545" s="499"/>
      <c r="M4545" s="1"/>
      <c r="N4545" s="499"/>
      <c r="O4545" s="73"/>
      <c r="P4545" s="73"/>
      <c r="Q4545" s="1"/>
      <c r="R4545" s="3"/>
      <c r="S4545" s="3"/>
      <c r="T4545" s="3"/>
      <c r="U4545" s="400"/>
      <c r="V4545" s="400"/>
      <c r="W4545" s="732"/>
      <c r="X4545" s="24"/>
      <c r="Y4545" s="509"/>
      <c r="Z4545" s="466"/>
      <c r="AA4545" s="466"/>
      <c r="AB4545" s="466"/>
      <c r="AC4545" s="466"/>
      <c r="AD4545" s="466"/>
      <c r="AE4545" s="466"/>
      <c r="AF4545" s="466"/>
      <c r="AG4545" s="466"/>
      <c r="AH4545" s="466"/>
      <c r="AI4545" s="466"/>
      <c r="AJ4545" s="466"/>
      <c r="AK4545" s="466"/>
      <c r="AL4545" s="466"/>
      <c r="AM4545" s="466"/>
      <c r="AN4545" s="466"/>
      <c r="AO4545" s="466"/>
      <c r="AP4545" s="466"/>
      <c r="AQ4545" s="466"/>
      <c r="AR4545" s="466"/>
      <c r="AS4545" s="466"/>
      <c r="AT4545" s="466"/>
      <c r="AU4545" s="466"/>
      <c r="AV4545" s="466"/>
      <c r="AW4545" s="466"/>
      <c r="AX4545" s="466"/>
      <c r="AY4545" s="466"/>
      <c r="AZ4545" s="466"/>
      <c r="BA4545" s="466"/>
      <c r="BB4545" s="466"/>
      <c r="BC4545" s="466"/>
      <c r="BD4545" s="466"/>
      <c r="BE4545" s="467"/>
      <c r="BF4545" s="467"/>
      <c r="BG4545" s="466"/>
      <c r="BH4545" s="466"/>
      <c r="BI4545" s="467"/>
      <c r="BJ4545" s="467"/>
      <c r="BK4545" s="467"/>
      <c r="BL4545" s="467"/>
      <c r="BM4545" s="467"/>
      <c r="BN4545" s="467"/>
      <c r="BO4545" s="467"/>
      <c r="BP4545" s="467"/>
      <c r="BQ4545" s="467"/>
      <c r="BR4545" s="467"/>
      <c r="BS4545" s="467"/>
      <c r="BT4545" s="467"/>
      <c r="BU4545" s="467"/>
      <c r="BV4545" s="467"/>
      <c r="BW4545" s="467"/>
      <c r="BX4545" s="769"/>
      <c r="BY4545" s="769"/>
      <c r="BZ4545" s="769"/>
      <c r="CA4545" s="769"/>
      <c r="CB4545" s="769"/>
      <c r="CC4545" s="769"/>
      <c r="CD4545" s="769"/>
      <c r="CE4545" s="769"/>
      <c r="CF4545" s="769"/>
      <c r="CG4545" s="73"/>
      <c r="CH4545" s="438"/>
      <c r="CI4545" s="416"/>
      <c r="CJ4545" s="73"/>
      <c r="CK4545" s="650"/>
      <c r="CL4545" s="499"/>
      <c r="CM4545" s="650"/>
      <c r="CR4545" s="416"/>
      <c r="CS4545" s="650"/>
      <c r="CU4545" s="73"/>
      <c r="CV4545" s="73"/>
      <c r="CW4545" s="73"/>
      <c r="CX4545" s="73"/>
      <c r="DA4545" s="650"/>
    </row>
    <row r="4546" spans="1:105" s="45" customFormat="1" x14ac:dyDescent="0.2">
      <c r="A4546" s="650"/>
      <c r="B4546" s="438"/>
      <c r="C4546"/>
      <c r="D4546" s="73"/>
      <c r="E4546" s="48"/>
      <c r="F4546" s="48"/>
      <c r="G4546" s="1"/>
      <c r="H4546"/>
      <c r="I4546" s="2"/>
      <c r="J4546" s="72"/>
      <c r="K4546" s="72"/>
      <c r="L4546" s="499"/>
      <c r="M4546" s="1"/>
      <c r="N4546" s="499"/>
      <c r="O4546" s="73"/>
      <c r="P4546" s="73"/>
      <c r="Q4546" s="1"/>
      <c r="R4546" s="3"/>
      <c r="S4546" s="3"/>
      <c r="T4546" s="3"/>
      <c r="U4546" s="400"/>
      <c r="V4546" s="400"/>
      <c r="W4546" s="732"/>
      <c r="X4546" s="24"/>
      <c r="Y4546" s="509"/>
      <c r="Z4546" s="466"/>
      <c r="AA4546" s="466"/>
      <c r="AB4546" s="466"/>
      <c r="AC4546" s="466"/>
      <c r="AD4546" s="466"/>
      <c r="AE4546" s="466"/>
      <c r="AF4546" s="466"/>
      <c r="AG4546" s="466"/>
      <c r="AH4546" s="466"/>
      <c r="AI4546" s="466"/>
      <c r="AJ4546" s="466"/>
      <c r="AK4546" s="466"/>
      <c r="AL4546" s="466"/>
      <c r="AM4546" s="466"/>
      <c r="AN4546" s="466"/>
      <c r="AO4546" s="466"/>
      <c r="AP4546" s="466"/>
      <c r="AQ4546" s="466"/>
      <c r="AR4546" s="466"/>
      <c r="AS4546" s="466"/>
      <c r="AT4546" s="466"/>
      <c r="AU4546" s="466"/>
      <c r="AV4546" s="466"/>
      <c r="AW4546" s="466"/>
      <c r="AX4546" s="466"/>
      <c r="AY4546" s="466"/>
      <c r="AZ4546" s="466"/>
      <c r="BA4546" s="466"/>
      <c r="BB4546" s="466"/>
      <c r="BC4546" s="466"/>
      <c r="BD4546" s="466"/>
      <c r="BE4546" s="467"/>
      <c r="BF4546" s="467"/>
      <c r="BG4546" s="466"/>
      <c r="BH4546" s="466"/>
      <c r="BI4546" s="467"/>
      <c r="BJ4546" s="467"/>
      <c r="BK4546" s="467"/>
      <c r="BL4546" s="467"/>
      <c r="BM4546" s="467"/>
      <c r="BN4546" s="467"/>
      <c r="BO4546" s="467"/>
      <c r="BP4546" s="467"/>
      <c r="BQ4546" s="467"/>
      <c r="BR4546" s="467"/>
      <c r="BS4546" s="467"/>
      <c r="BT4546" s="467"/>
      <c r="BU4546" s="467"/>
      <c r="BV4546" s="467"/>
      <c r="BW4546" s="467"/>
      <c r="BX4546" s="769"/>
      <c r="BY4546" s="769"/>
      <c r="BZ4546" s="769"/>
      <c r="CA4546" s="769"/>
      <c r="CB4546" s="769"/>
      <c r="CC4546" s="769"/>
      <c r="CD4546" s="769"/>
      <c r="CE4546" s="769"/>
      <c r="CF4546" s="769"/>
      <c r="CG4546" s="73"/>
      <c r="CH4546" s="438"/>
      <c r="CI4546" s="416"/>
      <c r="CJ4546" s="73"/>
      <c r="CK4546" s="650"/>
      <c r="CL4546" s="499"/>
      <c r="CM4546" s="650"/>
      <c r="CR4546" s="416"/>
      <c r="CS4546" s="650"/>
      <c r="CU4546" s="73"/>
      <c r="CV4546" s="73"/>
      <c r="CW4546" s="73"/>
      <c r="CX4546" s="73"/>
      <c r="DA4546" s="650"/>
    </row>
    <row r="4547" spans="1:105" s="45" customFormat="1" x14ac:dyDescent="0.2">
      <c r="A4547" s="650"/>
      <c r="B4547" s="438"/>
      <c r="C4547"/>
      <c r="D4547" s="73"/>
      <c r="E4547" s="48"/>
      <c r="F4547" s="48"/>
      <c r="G4547" s="1"/>
      <c r="H4547"/>
      <c r="I4547" s="2"/>
      <c r="J4547" s="72"/>
      <c r="K4547" s="72"/>
      <c r="L4547" s="499"/>
      <c r="M4547" s="1"/>
      <c r="N4547" s="499"/>
      <c r="O4547" s="73"/>
      <c r="P4547" s="73"/>
      <c r="Q4547" s="1"/>
      <c r="R4547" s="3"/>
      <c r="S4547" s="3"/>
      <c r="T4547" s="3"/>
      <c r="U4547" s="400"/>
      <c r="V4547" s="400"/>
      <c r="W4547" s="732"/>
      <c r="X4547" s="24"/>
      <c r="Y4547" s="509"/>
      <c r="Z4547" s="466"/>
      <c r="AA4547" s="466"/>
      <c r="AB4547" s="466"/>
      <c r="AC4547" s="466"/>
      <c r="AD4547" s="466"/>
      <c r="AE4547" s="466"/>
      <c r="AF4547" s="466"/>
      <c r="AG4547" s="466"/>
      <c r="AH4547" s="466"/>
      <c r="AI4547" s="466"/>
      <c r="AJ4547" s="466"/>
      <c r="AK4547" s="466"/>
      <c r="AL4547" s="466"/>
      <c r="AM4547" s="466"/>
      <c r="AN4547" s="466"/>
      <c r="AO4547" s="466"/>
      <c r="AP4547" s="466"/>
      <c r="AQ4547" s="466"/>
      <c r="AR4547" s="466"/>
      <c r="AS4547" s="466"/>
      <c r="AT4547" s="466"/>
      <c r="AU4547" s="466"/>
      <c r="AV4547" s="466"/>
      <c r="AW4547" s="466"/>
      <c r="AX4547" s="466"/>
      <c r="AY4547" s="466"/>
      <c r="AZ4547" s="466"/>
      <c r="BA4547" s="466"/>
      <c r="BB4547" s="466"/>
      <c r="BC4547" s="466"/>
      <c r="BD4547" s="466"/>
      <c r="BE4547" s="467"/>
      <c r="BF4547" s="467"/>
      <c r="BG4547" s="466"/>
      <c r="BH4547" s="466"/>
      <c r="BI4547" s="467"/>
      <c r="BJ4547" s="467"/>
      <c r="BK4547" s="467"/>
      <c r="BL4547" s="467"/>
      <c r="BM4547" s="467"/>
      <c r="BN4547" s="467"/>
      <c r="BO4547" s="467"/>
      <c r="BP4547" s="467"/>
      <c r="BQ4547" s="467"/>
      <c r="BR4547" s="467"/>
      <c r="BS4547" s="467"/>
      <c r="BT4547" s="467"/>
      <c r="BU4547" s="467"/>
      <c r="BV4547" s="467"/>
      <c r="BW4547" s="467"/>
      <c r="BX4547" s="769"/>
      <c r="BY4547" s="769"/>
      <c r="BZ4547" s="769"/>
      <c r="CA4547" s="769"/>
      <c r="CB4547" s="769"/>
      <c r="CC4547" s="769"/>
      <c r="CD4547" s="769"/>
      <c r="CE4547" s="769"/>
      <c r="CF4547" s="769"/>
      <c r="CG4547" s="73"/>
      <c r="CH4547" s="438"/>
      <c r="CI4547" s="416"/>
      <c r="CJ4547" s="73"/>
      <c r="CK4547" s="650"/>
      <c r="CL4547" s="499"/>
      <c r="CM4547" s="650"/>
      <c r="CR4547" s="416"/>
      <c r="CS4547" s="650"/>
      <c r="CU4547" s="73"/>
      <c r="CV4547" s="73"/>
      <c r="CW4547" s="73"/>
      <c r="CX4547" s="73"/>
      <c r="DA4547" s="650"/>
    </row>
    <row r="4548" spans="1:105" s="45" customFormat="1" x14ac:dyDescent="0.2">
      <c r="A4548" s="650"/>
      <c r="B4548" s="438"/>
      <c r="C4548"/>
      <c r="D4548" s="73"/>
      <c r="E4548" s="48"/>
      <c r="F4548" s="48"/>
      <c r="G4548" s="1"/>
      <c r="H4548"/>
      <c r="I4548" s="2"/>
      <c r="J4548" s="72"/>
      <c r="K4548" s="72"/>
      <c r="L4548" s="499"/>
      <c r="M4548" s="1"/>
      <c r="N4548" s="499"/>
      <c r="O4548" s="73"/>
      <c r="P4548" s="73"/>
      <c r="Q4548" s="1"/>
      <c r="R4548" s="3"/>
      <c r="S4548" s="3"/>
      <c r="T4548" s="3"/>
      <c r="U4548" s="400"/>
      <c r="V4548" s="400"/>
      <c r="W4548" s="732"/>
      <c r="X4548" s="24"/>
      <c r="Y4548" s="509"/>
      <c r="Z4548" s="466"/>
      <c r="AA4548" s="466"/>
      <c r="AB4548" s="466"/>
      <c r="AC4548" s="466"/>
      <c r="AD4548" s="466"/>
      <c r="AE4548" s="466"/>
      <c r="AF4548" s="466"/>
      <c r="AG4548" s="466"/>
      <c r="AH4548" s="466"/>
      <c r="AI4548" s="466"/>
      <c r="AJ4548" s="466"/>
      <c r="AK4548" s="466"/>
      <c r="AL4548" s="466"/>
      <c r="AM4548" s="466"/>
      <c r="AN4548" s="466"/>
      <c r="AO4548" s="466"/>
      <c r="AP4548" s="466"/>
      <c r="AQ4548" s="466"/>
      <c r="AR4548" s="466"/>
      <c r="AS4548" s="466"/>
      <c r="AT4548" s="466"/>
      <c r="AU4548" s="466"/>
      <c r="AV4548" s="466"/>
      <c r="AW4548" s="466"/>
      <c r="AX4548" s="466"/>
      <c r="AY4548" s="466"/>
      <c r="AZ4548" s="466"/>
      <c r="BA4548" s="466"/>
      <c r="BB4548" s="466"/>
      <c r="BC4548" s="466"/>
      <c r="BD4548" s="466"/>
      <c r="BE4548" s="467"/>
      <c r="BF4548" s="467"/>
      <c r="BG4548" s="466"/>
      <c r="BH4548" s="466"/>
      <c r="BI4548" s="467"/>
      <c r="BJ4548" s="467"/>
      <c r="BK4548" s="467"/>
      <c r="BL4548" s="467"/>
      <c r="BM4548" s="467"/>
      <c r="BN4548" s="467"/>
      <c r="BO4548" s="467"/>
      <c r="BP4548" s="467"/>
      <c r="BQ4548" s="467"/>
      <c r="BR4548" s="467"/>
      <c r="BS4548" s="467"/>
      <c r="BT4548" s="467"/>
      <c r="BU4548" s="467"/>
      <c r="BV4548" s="467"/>
      <c r="BW4548" s="467"/>
      <c r="BX4548" s="769"/>
      <c r="BY4548" s="769"/>
      <c r="BZ4548" s="769"/>
      <c r="CA4548" s="769"/>
      <c r="CB4548" s="769"/>
      <c r="CC4548" s="769"/>
      <c r="CD4548" s="769"/>
      <c r="CE4548" s="769"/>
      <c r="CF4548" s="769"/>
      <c r="CG4548" s="73"/>
      <c r="CH4548" s="438"/>
      <c r="CI4548" s="416"/>
      <c r="CJ4548" s="73"/>
      <c r="CK4548" s="650"/>
      <c r="CL4548" s="499"/>
      <c r="CM4548" s="650"/>
      <c r="CR4548" s="416"/>
      <c r="CS4548" s="650"/>
      <c r="CU4548" s="73"/>
      <c r="CV4548" s="73"/>
      <c r="CW4548" s="73"/>
      <c r="CX4548" s="73"/>
      <c r="DA4548" s="650"/>
    </row>
    <row r="4549" spans="1:105" s="45" customFormat="1" x14ac:dyDescent="0.2">
      <c r="A4549" s="650"/>
      <c r="B4549" s="438"/>
      <c r="C4549"/>
      <c r="D4549" s="73"/>
      <c r="E4549" s="48"/>
      <c r="F4549" s="48"/>
      <c r="G4549" s="1"/>
      <c r="H4549"/>
      <c r="I4549" s="2"/>
      <c r="J4549" s="72"/>
      <c r="K4549" s="72"/>
      <c r="L4549" s="499"/>
      <c r="M4549" s="1"/>
      <c r="N4549" s="499"/>
      <c r="O4549" s="73"/>
      <c r="P4549" s="73"/>
      <c r="Q4549" s="1"/>
      <c r="R4549" s="3"/>
      <c r="S4549" s="3"/>
      <c r="T4549" s="3"/>
      <c r="U4549" s="400"/>
      <c r="V4549" s="400"/>
      <c r="W4549" s="732"/>
      <c r="X4549" s="24"/>
      <c r="Y4549" s="509"/>
      <c r="Z4549" s="466"/>
      <c r="AA4549" s="466"/>
      <c r="AB4549" s="466"/>
      <c r="AC4549" s="466"/>
      <c r="AD4549" s="466"/>
      <c r="AE4549" s="466"/>
      <c r="AF4549" s="466"/>
      <c r="AG4549" s="466"/>
      <c r="AH4549" s="466"/>
      <c r="AI4549" s="466"/>
      <c r="AJ4549" s="466"/>
      <c r="AK4549" s="466"/>
      <c r="AL4549" s="466"/>
      <c r="AM4549" s="466"/>
      <c r="AN4549" s="466"/>
      <c r="AO4549" s="466"/>
      <c r="AP4549" s="466"/>
      <c r="AQ4549" s="466"/>
      <c r="AR4549" s="466"/>
      <c r="AS4549" s="466"/>
      <c r="AT4549" s="466"/>
      <c r="AU4549" s="466"/>
      <c r="AV4549" s="466"/>
      <c r="AW4549" s="466"/>
      <c r="AX4549" s="466"/>
      <c r="AY4549" s="466"/>
      <c r="AZ4549" s="466"/>
      <c r="BA4549" s="466"/>
      <c r="BB4549" s="466"/>
      <c r="BC4549" s="466"/>
      <c r="BD4549" s="466"/>
      <c r="BE4549" s="467"/>
      <c r="BF4549" s="467"/>
      <c r="BG4549" s="466"/>
      <c r="BH4549" s="466"/>
      <c r="BI4549" s="467"/>
      <c r="BJ4549" s="467"/>
      <c r="BK4549" s="467"/>
      <c r="BL4549" s="467"/>
      <c r="BM4549" s="467"/>
      <c r="BN4549" s="467"/>
      <c r="BO4549" s="467"/>
      <c r="BP4549" s="467"/>
      <c r="BQ4549" s="467"/>
      <c r="BR4549" s="467"/>
      <c r="BS4549" s="467"/>
      <c r="BT4549" s="467"/>
      <c r="BU4549" s="467"/>
      <c r="BV4549" s="467"/>
      <c r="BW4549" s="467"/>
      <c r="BX4549" s="769"/>
      <c r="BY4549" s="769"/>
      <c r="BZ4549" s="769"/>
      <c r="CA4549" s="769"/>
      <c r="CB4549" s="769"/>
      <c r="CC4549" s="769"/>
      <c r="CD4549" s="769"/>
      <c r="CE4549" s="769"/>
      <c r="CF4549" s="769"/>
      <c r="CG4549" s="73"/>
      <c r="CH4549" s="438"/>
      <c r="CI4549" s="416"/>
      <c r="CJ4549" s="73"/>
      <c r="CK4549" s="650"/>
      <c r="CL4549" s="499"/>
      <c r="CM4549" s="650"/>
      <c r="CR4549" s="416"/>
      <c r="CS4549" s="650"/>
      <c r="CU4549" s="73"/>
      <c r="CV4549" s="73"/>
      <c r="CW4549" s="73"/>
      <c r="CX4549" s="73"/>
      <c r="DA4549" s="650"/>
    </row>
    <row r="4550" spans="1:105" s="45" customFormat="1" x14ac:dyDescent="0.2">
      <c r="A4550" s="650"/>
      <c r="B4550" s="438"/>
      <c r="C4550"/>
      <c r="D4550" s="73"/>
      <c r="E4550" s="48"/>
      <c r="F4550" s="48"/>
      <c r="G4550" s="1"/>
      <c r="H4550"/>
      <c r="I4550" s="2"/>
      <c r="J4550" s="72"/>
      <c r="K4550" s="72"/>
      <c r="L4550" s="499"/>
      <c r="M4550" s="1"/>
      <c r="N4550" s="499"/>
      <c r="O4550" s="73"/>
      <c r="P4550" s="73"/>
      <c r="Q4550" s="1"/>
      <c r="R4550" s="3"/>
      <c r="S4550" s="3"/>
      <c r="T4550" s="3"/>
      <c r="U4550" s="400"/>
      <c r="V4550" s="400"/>
      <c r="W4550" s="732"/>
      <c r="X4550" s="24"/>
      <c r="Y4550" s="509"/>
      <c r="Z4550" s="466"/>
      <c r="AA4550" s="466"/>
      <c r="AB4550" s="466"/>
      <c r="AC4550" s="466"/>
      <c r="AD4550" s="466"/>
      <c r="AE4550" s="466"/>
      <c r="AF4550" s="466"/>
      <c r="AG4550" s="466"/>
      <c r="AH4550" s="466"/>
      <c r="AI4550" s="466"/>
      <c r="AJ4550" s="466"/>
      <c r="AK4550" s="466"/>
      <c r="AL4550" s="466"/>
      <c r="AM4550" s="466"/>
      <c r="AN4550" s="466"/>
      <c r="AO4550" s="466"/>
      <c r="AP4550" s="466"/>
      <c r="AQ4550" s="466"/>
      <c r="AR4550" s="466"/>
      <c r="AS4550" s="466"/>
      <c r="AT4550" s="466"/>
      <c r="AU4550" s="466"/>
      <c r="AV4550" s="466"/>
      <c r="AW4550" s="466"/>
      <c r="AX4550" s="466"/>
      <c r="AY4550" s="466"/>
      <c r="AZ4550" s="466"/>
      <c r="BA4550" s="466"/>
      <c r="BB4550" s="466"/>
      <c r="BC4550" s="466"/>
      <c r="BD4550" s="466"/>
      <c r="BE4550" s="467"/>
      <c r="BF4550" s="467"/>
      <c r="BG4550" s="466"/>
      <c r="BH4550" s="466"/>
      <c r="BI4550" s="467"/>
      <c r="BJ4550" s="467"/>
      <c r="BK4550" s="467"/>
      <c r="BL4550" s="467"/>
      <c r="BM4550" s="467"/>
      <c r="BN4550" s="467"/>
      <c r="BO4550" s="467"/>
      <c r="BP4550" s="467"/>
      <c r="BQ4550" s="467"/>
      <c r="BR4550" s="467"/>
      <c r="BS4550" s="467"/>
      <c r="BT4550" s="467"/>
      <c r="BU4550" s="467"/>
      <c r="BV4550" s="467"/>
      <c r="BW4550" s="467"/>
      <c r="BX4550" s="769"/>
      <c r="BY4550" s="769"/>
      <c r="BZ4550" s="769"/>
      <c r="CA4550" s="769"/>
      <c r="CB4550" s="769"/>
      <c r="CC4550" s="769"/>
      <c r="CD4550" s="769"/>
      <c r="CE4550" s="769"/>
      <c r="CF4550" s="769"/>
      <c r="CG4550" s="73"/>
      <c r="CH4550" s="438"/>
      <c r="CI4550" s="416"/>
      <c r="CJ4550" s="73"/>
      <c r="CK4550" s="650"/>
      <c r="CL4550" s="499"/>
      <c r="CM4550" s="650"/>
      <c r="CR4550" s="416"/>
      <c r="CS4550" s="650"/>
      <c r="CU4550" s="73"/>
      <c r="CV4550" s="73"/>
      <c r="CW4550" s="73"/>
      <c r="CX4550" s="73"/>
      <c r="DA4550" s="650"/>
    </row>
    <row r="4551" spans="1:105" s="45" customFormat="1" x14ac:dyDescent="0.2">
      <c r="A4551" s="650"/>
      <c r="B4551" s="438"/>
      <c r="C4551"/>
      <c r="D4551" s="73"/>
      <c r="E4551" s="48"/>
      <c r="F4551" s="48"/>
      <c r="G4551" s="1"/>
      <c r="H4551"/>
      <c r="I4551" s="2"/>
      <c r="J4551" s="72"/>
      <c r="K4551" s="72"/>
      <c r="L4551" s="499"/>
      <c r="M4551" s="1"/>
      <c r="N4551" s="499"/>
      <c r="O4551" s="73"/>
      <c r="P4551" s="73"/>
      <c r="Q4551" s="1"/>
      <c r="R4551" s="3"/>
      <c r="S4551" s="3"/>
      <c r="T4551" s="3"/>
      <c r="U4551" s="400"/>
      <c r="V4551" s="400"/>
      <c r="W4551" s="732"/>
      <c r="X4551" s="24"/>
      <c r="Y4551" s="509"/>
      <c r="Z4551" s="466"/>
      <c r="AA4551" s="466"/>
      <c r="AB4551" s="466"/>
      <c r="AC4551" s="466"/>
      <c r="AD4551" s="466"/>
      <c r="AE4551" s="466"/>
      <c r="AF4551" s="466"/>
      <c r="AG4551" s="466"/>
      <c r="AH4551" s="466"/>
      <c r="AI4551" s="466"/>
      <c r="AJ4551" s="466"/>
      <c r="AK4551" s="466"/>
      <c r="AL4551" s="466"/>
      <c r="AM4551" s="466"/>
      <c r="AN4551" s="466"/>
      <c r="AO4551" s="466"/>
      <c r="AP4551" s="466"/>
      <c r="AQ4551" s="466"/>
      <c r="AR4551" s="466"/>
      <c r="AS4551" s="466"/>
      <c r="AT4551" s="466"/>
      <c r="AU4551" s="466"/>
      <c r="AV4551" s="466"/>
      <c r="AW4551" s="466"/>
      <c r="AX4551" s="466"/>
      <c r="AY4551" s="466"/>
      <c r="AZ4551" s="466"/>
      <c r="BA4551" s="466"/>
      <c r="BB4551" s="466"/>
      <c r="BC4551" s="466"/>
      <c r="BD4551" s="466"/>
      <c r="BE4551" s="467"/>
      <c r="BF4551" s="467"/>
      <c r="BG4551" s="466"/>
      <c r="BH4551" s="466"/>
      <c r="BI4551" s="467"/>
      <c r="BJ4551" s="467"/>
      <c r="BK4551" s="467"/>
      <c r="BL4551" s="467"/>
      <c r="BM4551" s="467"/>
      <c r="BN4551" s="467"/>
      <c r="BO4551" s="467"/>
      <c r="BP4551" s="467"/>
      <c r="BQ4551" s="467"/>
      <c r="BR4551" s="467"/>
      <c r="BS4551" s="467"/>
      <c r="BT4551" s="467"/>
      <c r="BU4551" s="467"/>
      <c r="BV4551" s="467"/>
      <c r="BW4551" s="467"/>
      <c r="BX4551" s="769"/>
      <c r="BY4551" s="769"/>
      <c r="BZ4551" s="769"/>
      <c r="CA4551" s="769"/>
      <c r="CB4551" s="769"/>
      <c r="CC4551" s="769"/>
      <c r="CD4551" s="769"/>
      <c r="CE4551" s="769"/>
      <c r="CF4551" s="769"/>
      <c r="CG4551" s="73"/>
      <c r="CH4551" s="438"/>
      <c r="CI4551" s="416"/>
      <c r="CJ4551" s="73"/>
      <c r="CK4551" s="650"/>
      <c r="CL4551" s="499"/>
      <c r="CM4551" s="650"/>
      <c r="CR4551" s="416"/>
      <c r="CS4551" s="650"/>
      <c r="CU4551" s="73"/>
      <c r="CV4551" s="73"/>
      <c r="CW4551" s="73"/>
      <c r="CX4551" s="73"/>
      <c r="DA4551" s="650"/>
    </row>
    <row r="4552" spans="1:105" s="45" customFormat="1" x14ac:dyDescent="0.2">
      <c r="A4552" s="650"/>
      <c r="B4552" s="438"/>
      <c r="C4552"/>
      <c r="D4552" s="73"/>
      <c r="E4552" s="48"/>
      <c r="F4552" s="48"/>
      <c r="G4552" s="1"/>
      <c r="H4552"/>
      <c r="I4552" s="2"/>
      <c r="J4552" s="72"/>
      <c r="K4552" s="72"/>
      <c r="L4552" s="499"/>
      <c r="M4552" s="1"/>
      <c r="N4552" s="499"/>
      <c r="O4552" s="73"/>
      <c r="P4552" s="73"/>
      <c r="Q4552" s="1"/>
      <c r="R4552" s="3"/>
      <c r="S4552" s="3"/>
      <c r="T4552" s="3"/>
      <c r="U4552" s="400"/>
      <c r="V4552" s="400"/>
      <c r="W4552" s="732"/>
      <c r="X4552" s="24"/>
      <c r="Y4552" s="509"/>
      <c r="Z4552" s="466"/>
      <c r="AA4552" s="466"/>
      <c r="AB4552" s="466"/>
      <c r="AC4552" s="466"/>
      <c r="AD4552" s="466"/>
      <c r="AE4552" s="466"/>
      <c r="AF4552" s="466"/>
      <c r="AG4552" s="466"/>
      <c r="AH4552" s="466"/>
      <c r="AI4552" s="466"/>
      <c r="AJ4552" s="466"/>
      <c r="AK4552" s="466"/>
      <c r="AL4552" s="466"/>
      <c r="AM4552" s="466"/>
      <c r="AN4552" s="466"/>
      <c r="AO4552" s="466"/>
      <c r="AP4552" s="466"/>
      <c r="AQ4552" s="466"/>
      <c r="AR4552" s="466"/>
      <c r="AS4552" s="466"/>
      <c r="AT4552" s="466"/>
      <c r="AU4552" s="466"/>
      <c r="AV4552" s="466"/>
      <c r="AW4552" s="466"/>
      <c r="AX4552" s="466"/>
      <c r="AY4552" s="466"/>
      <c r="AZ4552" s="466"/>
      <c r="BA4552" s="466"/>
      <c r="BB4552" s="466"/>
      <c r="BC4552" s="466"/>
      <c r="BD4552" s="466"/>
      <c r="BE4552" s="467"/>
      <c r="BF4552" s="467"/>
      <c r="BG4552" s="466"/>
      <c r="BH4552" s="466"/>
      <c r="BI4552" s="467"/>
      <c r="BJ4552" s="467"/>
      <c r="BK4552" s="467"/>
      <c r="BL4552" s="467"/>
      <c r="BM4552" s="467"/>
      <c r="BN4552" s="467"/>
      <c r="BO4552" s="467"/>
      <c r="BP4552" s="467"/>
      <c r="BQ4552" s="467"/>
      <c r="BR4552" s="467"/>
      <c r="BS4552" s="467"/>
      <c r="BT4552" s="467"/>
      <c r="BU4552" s="467"/>
      <c r="BV4552" s="467"/>
      <c r="BW4552" s="467"/>
      <c r="BX4552" s="769"/>
      <c r="BY4552" s="769"/>
      <c r="BZ4552" s="769"/>
      <c r="CA4552" s="769"/>
      <c r="CB4552" s="769"/>
      <c r="CC4552" s="769"/>
      <c r="CD4552" s="769"/>
      <c r="CE4552" s="769"/>
      <c r="CF4552" s="769"/>
      <c r="CG4552" s="73"/>
      <c r="CH4552" s="438"/>
      <c r="CI4552" s="416"/>
      <c r="CJ4552" s="73"/>
      <c r="CK4552" s="650"/>
      <c r="CL4552" s="499"/>
      <c r="CM4552" s="650"/>
      <c r="CR4552" s="416"/>
      <c r="CS4552" s="650"/>
      <c r="CU4552" s="73"/>
      <c r="CV4552" s="73"/>
      <c r="CW4552" s="73"/>
      <c r="CX4552" s="73"/>
      <c r="DA4552" s="650"/>
    </row>
    <row r="4553" spans="1:105" s="45" customFormat="1" x14ac:dyDescent="0.2">
      <c r="A4553" s="650"/>
      <c r="B4553" s="438"/>
      <c r="C4553"/>
      <c r="D4553" s="73"/>
      <c r="E4553" s="48"/>
      <c r="F4553" s="48"/>
      <c r="G4553" s="1"/>
      <c r="H4553"/>
      <c r="I4553" s="2"/>
      <c r="J4553" s="72"/>
      <c r="K4553" s="72"/>
      <c r="L4553" s="499"/>
      <c r="M4553" s="1"/>
      <c r="N4553" s="499"/>
      <c r="O4553" s="73"/>
      <c r="P4553" s="73"/>
      <c r="Q4553" s="1"/>
      <c r="R4553" s="3"/>
      <c r="S4553" s="3"/>
      <c r="T4553" s="3"/>
      <c r="U4553" s="400"/>
      <c r="V4553" s="400"/>
      <c r="W4553" s="732"/>
      <c r="X4553" s="24"/>
      <c r="Y4553" s="509"/>
      <c r="Z4553" s="466"/>
      <c r="AA4553" s="466"/>
      <c r="AB4553" s="466"/>
      <c r="AC4553" s="466"/>
      <c r="AD4553" s="466"/>
      <c r="AE4553" s="466"/>
      <c r="AF4553" s="466"/>
      <c r="AG4553" s="466"/>
      <c r="AH4553" s="466"/>
      <c r="AI4553" s="466"/>
      <c r="AJ4553" s="466"/>
      <c r="AK4553" s="466"/>
      <c r="AL4553" s="466"/>
      <c r="AM4553" s="466"/>
      <c r="AN4553" s="466"/>
      <c r="AO4553" s="466"/>
      <c r="AP4553" s="466"/>
      <c r="AQ4553" s="466"/>
      <c r="AR4553" s="466"/>
      <c r="AS4553" s="466"/>
      <c r="AT4553" s="466"/>
      <c r="AU4553" s="466"/>
      <c r="AV4553" s="466"/>
      <c r="AW4553" s="466"/>
      <c r="AX4553" s="466"/>
      <c r="AY4553" s="466"/>
      <c r="AZ4553" s="466"/>
      <c r="BA4553" s="466"/>
      <c r="BB4553" s="466"/>
      <c r="BC4553" s="466"/>
      <c r="BD4553" s="466"/>
      <c r="BE4553" s="467"/>
      <c r="BF4553" s="467"/>
      <c r="BG4553" s="466"/>
      <c r="BH4553" s="466"/>
      <c r="BI4553" s="467"/>
      <c r="BJ4553" s="467"/>
      <c r="BK4553" s="467"/>
      <c r="BL4553" s="467"/>
      <c r="BM4553" s="467"/>
      <c r="BN4553" s="467"/>
      <c r="BO4553" s="467"/>
      <c r="BP4553" s="467"/>
      <c r="BQ4553" s="467"/>
      <c r="BR4553" s="467"/>
      <c r="BS4553" s="467"/>
      <c r="BT4553" s="467"/>
      <c r="BU4553" s="467"/>
      <c r="BV4553" s="467"/>
      <c r="BW4553" s="467"/>
      <c r="BX4553" s="769"/>
      <c r="BY4553" s="769"/>
      <c r="BZ4553" s="769"/>
      <c r="CA4553" s="769"/>
      <c r="CB4553" s="769"/>
      <c r="CC4553" s="769"/>
      <c r="CD4553" s="769"/>
      <c r="CE4553" s="769"/>
      <c r="CF4553" s="769"/>
      <c r="CG4553" s="73"/>
      <c r="CH4553" s="438"/>
      <c r="CI4553" s="416"/>
      <c r="CJ4553" s="73"/>
      <c r="CK4553" s="650"/>
      <c r="CL4553" s="499"/>
      <c r="CM4553" s="650"/>
      <c r="CR4553" s="416"/>
      <c r="CS4553" s="650"/>
      <c r="CU4553" s="73"/>
      <c r="CV4553" s="73"/>
      <c r="CW4553" s="73"/>
      <c r="CX4553" s="73"/>
      <c r="DA4553" s="650"/>
    </row>
    <row r="4554" spans="1:105" s="45" customFormat="1" x14ac:dyDescent="0.2">
      <c r="A4554" s="650"/>
      <c r="B4554" s="438"/>
      <c r="C4554"/>
      <c r="D4554" s="73"/>
      <c r="E4554" s="48"/>
      <c r="F4554" s="48"/>
      <c r="G4554" s="1"/>
      <c r="H4554"/>
      <c r="I4554" s="2"/>
      <c r="J4554" s="72"/>
      <c r="K4554" s="72"/>
      <c r="L4554" s="499"/>
      <c r="M4554" s="1"/>
      <c r="N4554" s="499"/>
      <c r="O4554" s="73"/>
      <c r="P4554" s="73"/>
      <c r="Q4554" s="1"/>
      <c r="R4554" s="3"/>
      <c r="S4554" s="3"/>
      <c r="T4554" s="3"/>
      <c r="U4554" s="400"/>
      <c r="V4554" s="400"/>
      <c r="W4554" s="732"/>
      <c r="X4554" s="24"/>
      <c r="Y4554" s="509"/>
      <c r="Z4554" s="466"/>
      <c r="AA4554" s="466"/>
      <c r="AB4554" s="466"/>
      <c r="AC4554" s="466"/>
      <c r="AD4554" s="466"/>
      <c r="AE4554" s="466"/>
      <c r="AF4554" s="466"/>
      <c r="AG4554" s="466"/>
      <c r="AH4554" s="466"/>
      <c r="AI4554" s="466"/>
      <c r="AJ4554" s="466"/>
      <c r="AK4554" s="466"/>
      <c r="AL4554" s="466"/>
      <c r="AM4554" s="466"/>
      <c r="AN4554" s="466"/>
      <c r="AO4554" s="466"/>
      <c r="AP4554" s="466"/>
      <c r="AQ4554" s="466"/>
      <c r="AR4554" s="466"/>
      <c r="AS4554" s="466"/>
      <c r="AT4554" s="466"/>
      <c r="AU4554" s="466"/>
      <c r="AV4554" s="466"/>
      <c r="AW4554" s="466"/>
      <c r="AX4554" s="466"/>
      <c r="AY4554" s="466"/>
      <c r="AZ4554" s="466"/>
      <c r="BA4554" s="466"/>
      <c r="BB4554" s="466"/>
      <c r="BC4554" s="466"/>
      <c r="BD4554" s="466"/>
      <c r="BE4554" s="467"/>
      <c r="BF4554" s="467"/>
      <c r="BG4554" s="466"/>
      <c r="BH4554" s="466"/>
      <c r="BI4554" s="467"/>
      <c r="BJ4554" s="467"/>
      <c r="BK4554" s="467"/>
      <c r="BL4554" s="467"/>
      <c r="BM4554" s="467"/>
      <c r="BN4554" s="467"/>
      <c r="BO4554" s="467"/>
      <c r="BP4554" s="467"/>
      <c r="BQ4554" s="467"/>
      <c r="BR4554" s="467"/>
      <c r="BS4554" s="467"/>
      <c r="BT4554" s="467"/>
      <c r="BU4554" s="467"/>
      <c r="BV4554" s="467"/>
      <c r="BW4554" s="467"/>
      <c r="BX4554" s="769"/>
      <c r="BY4554" s="769"/>
      <c r="BZ4554" s="769"/>
      <c r="CA4554" s="769"/>
      <c r="CB4554" s="769"/>
      <c r="CC4554" s="769"/>
      <c r="CD4554" s="769"/>
      <c r="CE4554" s="769"/>
      <c r="CF4554" s="769"/>
      <c r="CG4554" s="73"/>
      <c r="CH4554" s="438"/>
      <c r="CI4554" s="416"/>
      <c r="CJ4554" s="73"/>
      <c r="CK4554" s="650"/>
      <c r="CL4554" s="499"/>
      <c r="CM4554" s="650"/>
      <c r="CR4554" s="416"/>
      <c r="CS4554" s="650"/>
      <c r="CU4554" s="73"/>
      <c r="CV4554" s="73"/>
      <c r="CW4554" s="73"/>
      <c r="CX4554" s="73"/>
      <c r="DA4554" s="650"/>
    </row>
    <row r="4555" spans="1:105" s="45" customFormat="1" x14ac:dyDescent="0.2">
      <c r="A4555" s="650"/>
      <c r="B4555" s="438"/>
      <c r="C4555"/>
      <c r="D4555" s="73"/>
      <c r="E4555" s="48"/>
      <c r="F4555" s="48"/>
      <c r="G4555" s="1"/>
      <c r="H4555"/>
      <c r="I4555" s="2"/>
      <c r="J4555" s="72"/>
      <c r="K4555" s="72"/>
      <c r="L4555" s="499"/>
      <c r="M4555" s="1"/>
      <c r="N4555" s="499"/>
      <c r="O4555" s="73"/>
      <c r="P4555" s="73"/>
      <c r="Q4555" s="1"/>
      <c r="R4555" s="3"/>
      <c r="S4555" s="3"/>
      <c r="T4555" s="3"/>
      <c r="U4555" s="400"/>
      <c r="V4555" s="400"/>
      <c r="W4555" s="732"/>
      <c r="X4555" s="24"/>
      <c r="Y4555" s="509"/>
      <c r="Z4555" s="466"/>
      <c r="AA4555" s="466"/>
      <c r="AB4555" s="466"/>
      <c r="AC4555" s="466"/>
      <c r="AD4555" s="466"/>
      <c r="AE4555" s="466"/>
      <c r="AF4555" s="466"/>
      <c r="AG4555" s="466"/>
      <c r="AH4555" s="466"/>
      <c r="AI4555" s="466"/>
      <c r="AJ4555" s="466"/>
      <c r="AK4555" s="466"/>
      <c r="AL4555" s="466"/>
      <c r="AM4555" s="466"/>
      <c r="AN4555" s="466"/>
      <c r="AO4555" s="466"/>
      <c r="AP4555" s="466"/>
      <c r="AQ4555" s="466"/>
      <c r="AR4555" s="466"/>
      <c r="AS4555" s="466"/>
      <c r="AT4555" s="466"/>
      <c r="AU4555" s="466"/>
      <c r="AV4555" s="466"/>
      <c r="AW4555" s="466"/>
      <c r="AX4555" s="466"/>
      <c r="AY4555" s="466"/>
      <c r="AZ4555" s="466"/>
      <c r="BA4555" s="466"/>
      <c r="BB4555" s="466"/>
      <c r="BC4555" s="466"/>
      <c r="BD4555" s="466"/>
      <c r="BE4555" s="467"/>
      <c r="BF4555" s="467"/>
      <c r="BG4555" s="466"/>
      <c r="BH4555" s="466"/>
      <c r="BI4555" s="467"/>
      <c r="BJ4555" s="467"/>
      <c r="BK4555" s="467"/>
      <c r="BL4555" s="467"/>
      <c r="BM4555" s="467"/>
      <c r="BN4555" s="467"/>
      <c r="BO4555" s="467"/>
      <c r="BP4555" s="467"/>
      <c r="BQ4555" s="467"/>
      <c r="BR4555" s="467"/>
      <c r="BS4555" s="467"/>
      <c r="BT4555" s="467"/>
      <c r="BU4555" s="467"/>
      <c r="BV4555" s="467"/>
      <c r="BW4555" s="467"/>
      <c r="BX4555" s="769"/>
      <c r="BY4555" s="769"/>
      <c r="BZ4555" s="769"/>
      <c r="CA4555" s="769"/>
      <c r="CB4555" s="769"/>
      <c r="CC4555" s="769"/>
      <c r="CD4555" s="769"/>
      <c r="CE4555" s="769"/>
      <c r="CF4555" s="769"/>
      <c r="CG4555" s="73"/>
      <c r="CH4555" s="438"/>
      <c r="CI4555" s="416"/>
      <c r="CJ4555" s="73"/>
      <c r="CK4555" s="650"/>
      <c r="CL4555" s="499"/>
      <c r="CM4555" s="650"/>
      <c r="CR4555" s="416"/>
      <c r="CS4555" s="650"/>
      <c r="CU4555" s="73"/>
      <c r="CV4555" s="73"/>
      <c r="CW4555" s="73"/>
      <c r="CX4555" s="73"/>
      <c r="DA4555" s="650"/>
    </row>
    <row r="4556" spans="1:105" s="45" customFormat="1" x14ac:dyDescent="0.2">
      <c r="A4556" s="650"/>
      <c r="B4556" s="438"/>
      <c r="C4556"/>
      <c r="D4556" s="73"/>
      <c r="E4556" s="48"/>
      <c r="F4556" s="48"/>
      <c r="G4556" s="1"/>
      <c r="H4556"/>
      <c r="I4556" s="2"/>
      <c r="J4556" s="72"/>
      <c r="K4556" s="72"/>
      <c r="L4556" s="499"/>
      <c r="M4556" s="1"/>
      <c r="N4556" s="499"/>
      <c r="O4556" s="73"/>
      <c r="P4556" s="73"/>
      <c r="Q4556" s="1"/>
      <c r="R4556" s="3"/>
      <c r="S4556" s="3"/>
      <c r="T4556" s="3"/>
      <c r="U4556" s="400"/>
      <c r="V4556" s="400"/>
      <c r="W4556" s="732"/>
      <c r="X4556" s="24"/>
      <c r="Y4556" s="509"/>
      <c r="Z4556" s="466"/>
      <c r="AA4556" s="466"/>
      <c r="AB4556" s="466"/>
      <c r="AC4556" s="466"/>
      <c r="AD4556" s="466"/>
      <c r="AE4556" s="466"/>
      <c r="AF4556" s="466"/>
      <c r="AG4556" s="466"/>
      <c r="AH4556" s="466"/>
      <c r="AI4556" s="466"/>
      <c r="AJ4556" s="466"/>
      <c r="AK4556" s="466"/>
      <c r="AL4556" s="466"/>
      <c r="AM4556" s="466"/>
      <c r="AN4556" s="466"/>
      <c r="AO4556" s="466"/>
      <c r="AP4556" s="466"/>
      <c r="AQ4556" s="466"/>
      <c r="AR4556" s="466"/>
      <c r="AS4556" s="466"/>
      <c r="AT4556" s="466"/>
      <c r="AU4556" s="466"/>
      <c r="AV4556" s="466"/>
      <c r="AW4556" s="466"/>
      <c r="AX4556" s="466"/>
      <c r="AY4556" s="466"/>
      <c r="AZ4556" s="466"/>
      <c r="BA4556" s="466"/>
      <c r="BB4556" s="466"/>
      <c r="BC4556" s="466"/>
      <c r="BD4556" s="466"/>
      <c r="BE4556" s="467"/>
      <c r="BF4556" s="467"/>
      <c r="BG4556" s="466"/>
      <c r="BH4556" s="466"/>
      <c r="BI4556" s="467"/>
      <c r="BJ4556" s="467"/>
      <c r="BK4556" s="467"/>
      <c r="BL4556" s="467"/>
      <c r="BM4556" s="467"/>
      <c r="BN4556" s="467"/>
      <c r="BO4556" s="467"/>
      <c r="BP4556" s="467"/>
      <c r="BQ4556" s="467"/>
      <c r="BR4556" s="467"/>
      <c r="BS4556" s="467"/>
      <c r="BT4556" s="467"/>
      <c r="BU4556" s="467"/>
      <c r="BV4556" s="467"/>
      <c r="BW4556" s="467"/>
      <c r="BX4556" s="769"/>
      <c r="BY4556" s="769"/>
      <c r="BZ4556" s="769"/>
      <c r="CA4556" s="769"/>
      <c r="CB4556" s="769"/>
      <c r="CC4556" s="769"/>
      <c r="CD4556" s="769"/>
      <c r="CE4556" s="769"/>
      <c r="CF4556" s="769"/>
      <c r="CG4556" s="73"/>
      <c r="CH4556" s="438"/>
      <c r="CI4556" s="416"/>
      <c r="CJ4556" s="73"/>
      <c r="CK4556" s="650"/>
      <c r="CL4556" s="499"/>
      <c r="CM4556" s="650"/>
      <c r="CR4556" s="416"/>
      <c r="CS4556" s="650"/>
      <c r="CU4556" s="73"/>
      <c r="CV4556" s="73"/>
      <c r="CW4556" s="73"/>
      <c r="CX4556" s="73"/>
      <c r="DA4556" s="650"/>
    </row>
    <row r="4557" spans="1:105" s="45" customFormat="1" x14ac:dyDescent="0.2">
      <c r="A4557" s="650"/>
      <c r="B4557" s="438"/>
      <c r="C4557"/>
      <c r="D4557" s="73"/>
      <c r="E4557" s="48"/>
      <c r="F4557" s="48"/>
      <c r="G4557" s="1"/>
      <c r="H4557"/>
      <c r="I4557" s="2"/>
      <c r="J4557" s="72"/>
      <c r="K4557" s="72"/>
      <c r="L4557" s="499"/>
      <c r="M4557" s="1"/>
      <c r="N4557" s="499"/>
      <c r="O4557" s="73"/>
      <c r="P4557" s="73"/>
      <c r="Q4557" s="1"/>
      <c r="R4557" s="3"/>
      <c r="S4557" s="3"/>
      <c r="T4557" s="3"/>
      <c r="U4557" s="400"/>
      <c r="V4557" s="400"/>
      <c r="W4557" s="732"/>
      <c r="X4557" s="24"/>
      <c r="Y4557" s="509"/>
      <c r="Z4557" s="466"/>
      <c r="AA4557" s="466"/>
      <c r="AB4557" s="466"/>
      <c r="AC4557" s="466"/>
      <c r="AD4557" s="466"/>
      <c r="AE4557" s="466"/>
      <c r="AF4557" s="466"/>
      <c r="AG4557" s="466"/>
      <c r="AH4557" s="466"/>
      <c r="AI4557" s="466"/>
      <c r="AJ4557" s="466"/>
      <c r="AK4557" s="466"/>
      <c r="AL4557" s="466"/>
      <c r="AM4557" s="466"/>
      <c r="AN4557" s="466"/>
      <c r="AO4557" s="466"/>
      <c r="AP4557" s="466"/>
      <c r="AQ4557" s="466"/>
      <c r="AR4557" s="466"/>
      <c r="AS4557" s="466"/>
      <c r="AT4557" s="466"/>
      <c r="AU4557" s="466"/>
      <c r="AV4557" s="466"/>
      <c r="AW4557" s="466"/>
      <c r="AX4557" s="466"/>
      <c r="AY4557" s="466"/>
      <c r="AZ4557" s="466"/>
      <c r="BA4557" s="466"/>
      <c r="BB4557" s="466"/>
      <c r="BC4557" s="466"/>
      <c r="BD4557" s="466"/>
      <c r="BE4557" s="467"/>
      <c r="BF4557" s="467"/>
      <c r="BG4557" s="466"/>
      <c r="BH4557" s="466"/>
      <c r="BI4557" s="467"/>
      <c r="BJ4557" s="467"/>
      <c r="BK4557" s="467"/>
      <c r="BL4557" s="467"/>
      <c r="BM4557" s="467"/>
      <c r="BN4557" s="467"/>
      <c r="BO4557" s="467"/>
      <c r="BP4557" s="467"/>
      <c r="BQ4557" s="467"/>
      <c r="BR4557" s="467"/>
      <c r="BS4557" s="467"/>
      <c r="BT4557" s="467"/>
      <c r="BU4557" s="467"/>
      <c r="BV4557" s="467"/>
      <c r="BW4557" s="467"/>
      <c r="BX4557" s="769"/>
      <c r="BY4557" s="769"/>
      <c r="BZ4557" s="769"/>
      <c r="CA4557" s="769"/>
      <c r="CB4557" s="769"/>
      <c r="CC4557" s="769"/>
      <c r="CD4557" s="769"/>
      <c r="CE4557" s="769"/>
      <c r="CF4557" s="769"/>
      <c r="CG4557" s="73"/>
      <c r="CH4557" s="438"/>
      <c r="CI4557" s="416"/>
      <c r="CJ4557" s="73"/>
      <c r="CK4557" s="650"/>
      <c r="CL4557" s="499"/>
      <c r="CM4557" s="650"/>
      <c r="CR4557" s="416"/>
      <c r="CS4557" s="650"/>
      <c r="CU4557" s="73"/>
      <c r="CV4557" s="73"/>
      <c r="CW4557" s="73"/>
      <c r="CX4557" s="73"/>
      <c r="DA4557" s="650"/>
    </row>
    <row r="4558" spans="1:105" s="45" customFormat="1" x14ac:dyDescent="0.2">
      <c r="A4558" s="650"/>
      <c r="B4558" s="438"/>
      <c r="C4558"/>
      <c r="D4558" s="73"/>
      <c r="E4558" s="48"/>
      <c r="F4558" s="48"/>
      <c r="G4558" s="1"/>
      <c r="H4558"/>
      <c r="I4558" s="2"/>
      <c r="J4558" s="72"/>
      <c r="K4558" s="72"/>
      <c r="L4558" s="499"/>
      <c r="M4558" s="1"/>
      <c r="N4558" s="499"/>
      <c r="O4558" s="73"/>
      <c r="P4558" s="73"/>
      <c r="Q4558" s="1"/>
      <c r="R4558" s="3"/>
      <c r="S4558" s="3"/>
      <c r="T4558" s="3"/>
      <c r="U4558" s="400"/>
      <c r="V4558" s="400"/>
      <c r="W4558" s="732"/>
      <c r="X4558" s="24"/>
      <c r="Y4558" s="509"/>
      <c r="Z4558" s="466"/>
      <c r="AA4558" s="466"/>
      <c r="AB4558" s="466"/>
      <c r="AC4558" s="466"/>
      <c r="AD4558" s="466"/>
      <c r="AE4558" s="466"/>
      <c r="AF4558" s="466"/>
      <c r="AG4558" s="466"/>
      <c r="AH4558" s="466"/>
      <c r="AI4558" s="466"/>
      <c r="AJ4558" s="466"/>
      <c r="AK4558" s="466"/>
      <c r="AL4558" s="466"/>
      <c r="AM4558" s="466"/>
      <c r="AN4558" s="466"/>
      <c r="AO4558" s="466"/>
      <c r="AP4558" s="466"/>
      <c r="AQ4558" s="466"/>
      <c r="AR4558" s="466"/>
      <c r="AS4558" s="466"/>
      <c r="AT4558" s="466"/>
      <c r="AU4558" s="466"/>
      <c r="AV4558" s="466"/>
      <c r="AW4558" s="466"/>
      <c r="AX4558" s="466"/>
      <c r="AY4558" s="466"/>
      <c r="AZ4558" s="466"/>
      <c r="BA4558" s="466"/>
      <c r="BB4558" s="466"/>
      <c r="BC4558" s="466"/>
      <c r="BD4558" s="466"/>
      <c r="BE4558" s="467"/>
      <c r="BF4558" s="467"/>
      <c r="BG4558" s="466"/>
      <c r="BH4558" s="466"/>
      <c r="BI4558" s="467"/>
      <c r="BJ4558" s="467"/>
      <c r="BK4558" s="467"/>
      <c r="BL4558" s="467"/>
      <c r="BM4558" s="467"/>
      <c r="BN4558" s="467"/>
      <c r="BO4558" s="467"/>
      <c r="BP4558" s="467"/>
      <c r="BQ4558" s="467"/>
      <c r="BR4558" s="467"/>
      <c r="BS4558" s="467"/>
      <c r="BT4558" s="467"/>
      <c r="BU4558" s="467"/>
      <c r="BV4558" s="467"/>
      <c r="BW4558" s="467"/>
      <c r="BX4558" s="769"/>
      <c r="BY4558" s="769"/>
      <c r="BZ4558" s="769"/>
      <c r="CA4558" s="769"/>
      <c r="CB4558" s="769"/>
      <c r="CC4558" s="769"/>
      <c r="CD4558" s="769"/>
      <c r="CE4558" s="769"/>
      <c r="CF4558" s="769"/>
      <c r="CG4558" s="73"/>
      <c r="CH4558" s="438"/>
      <c r="CI4558" s="416"/>
      <c r="CJ4558" s="73"/>
      <c r="CK4558" s="650"/>
      <c r="CL4558" s="499"/>
      <c r="CM4558" s="650"/>
      <c r="CR4558" s="416"/>
      <c r="CS4558" s="650"/>
      <c r="CU4558" s="73"/>
      <c r="CV4558" s="73"/>
      <c r="CW4558" s="73"/>
      <c r="CX4558" s="73"/>
      <c r="DA4558" s="650"/>
    </row>
    <row r="4559" spans="1:105" s="45" customFormat="1" x14ac:dyDescent="0.2">
      <c r="A4559" s="650"/>
      <c r="B4559" s="438"/>
      <c r="C4559"/>
      <c r="D4559" s="73"/>
      <c r="E4559" s="48"/>
      <c r="F4559" s="48"/>
      <c r="G4559" s="1"/>
      <c r="H4559"/>
      <c r="I4559" s="2"/>
      <c r="J4559" s="72"/>
      <c r="K4559" s="72"/>
      <c r="L4559" s="499"/>
      <c r="M4559" s="1"/>
      <c r="N4559" s="499"/>
      <c r="O4559" s="73"/>
      <c r="P4559" s="73"/>
      <c r="Q4559" s="1"/>
      <c r="R4559" s="3"/>
      <c r="S4559" s="3"/>
      <c r="T4559" s="3"/>
      <c r="U4559" s="400"/>
      <c r="V4559" s="400"/>
      <c r="W4559" s="732"/>
      <c r="X4559" s="24"/>
      <c r="Y4559" s="509"/>
      <c r="Z4559" s="466"/>
      <c r="AA4559" s="466"/>
      <c r="AB4559" s="466"/>
      <c r="AC4559" s="466"/>
      <c r="AD4559" s="466"/>
      <c r="AE4559" s="466"/>
      <c r="AF4559" s="466"/>
      <c r="AG4559" s="466"/>
      <c r="AH4559" s="466"/>
      <c r="AI4559" s="466"/>
      <c r="AJ4559" s="466"/>
      <c r="AK4559" s="466"/>
      <c r="AL4559" s="466"/>
      <c r="AM4559" s="466"/>
      <c r="AN4559" s="466"/>
      <c r="AO4559" s="466"/>
      <c r="AP4559" s="466"/>
      <c r="AQ4559" s="466"/>
      <c r="AR4559" s="466"/>
      <c r="AS4559" s="466"/>
      <c r="AT4559" s="466"/>
      <c r="AU4559" s="466"/>
      <c r="AV4559" s="466"/>
      <c r="AW4559" s="466"/>
      <c r="AX4559" s="466"/>
      <c r="AY4559" s="466"/>
      <c r="AZ4559" s="466"/>
      <c r="BA4559" s="466"/>
      <c r="BB4559" s="466"/>
      <c r="BC4559" s="466"/>
      <c r="BD4559" s="466"/>
      <c r="BE4559" s="467"/>
      <c r="BF4559" s="467"/>
      <c r="BG4559" s="466"/>
      <c r="BH4559" s="466"/>
      <c r="BI4559" s="467"/>
      <c r="BJ4559" s="467"/>
      <c r="BK4559" s="467"/>
      <c r="BL4559" s="467"/>
      <c r="BM4559" s="467"/>
      <c r="BN4559" s="467"/>
      <c r="BO4559" s="467"/>
      <c r="BP4559" s="467"/>
      <c r="BQ4559" s="467"/>
      <c r="BR4559" s="467"/>
      <c r="BS4559" s="467"/>
      <c r="BT4559" s="467"/>
      <c r="BU4559" s="467"/>
      <c r="BV4559" s="467"/>
      <c r="BW4559" s="467"/>
      <c r="BX4559" s="769"/>
      <c r="BY4559" s="769"/>
      <c r="BZ4559" s="769"/>
      <c r="CA4559" s="769"/>
      <c r="CB4559" s="769"/>
      <c r="CC4559" s="769"/>
      <c r="CD4559" s="769"/>
      <c r="CE4559" s="769"/>
      <c r="CF4559" s="769"/>
      <c r="CG4559" s="73"/>
      <c r="CH4559" s="438"/>
      <c r="CI4559" s="416"/>
      <c r="CJ4559" s="73"/>
      <c r="CK4559" s="650"/>
      <c r="CL4559" s="499"/>
      <c r="CM4559" s="650"/>
      <c r="CR4559" s="416"/>
      <c r="CS4559" s="650"/>
      <c r="CU4559" s="73"/>
      <c r="CV4559" s="73"/>
      <c r="CW4559" s="73"/>
      <c r="CX4559" s="73"/>
      <c r="DA4559" s="650"/>
    </row>
    <row r="4560" spans="1:105" s="45" customFormat="1" x14ac:dyDescent="0.2">
      <c r="A4560" s="650"/>
      <c r="B4560" s="438"/>
      <c r="C4560"/>
      <c r="D4560" s="73"/>
      <c r="E4560" s="48"/>
      <c r="F4560" s="48"/>
      <c r="G4560" s="1"/>
      <c r="H4560"/>
      <c r="I4560" s="2"/>
      <c r="J4560" s="72"/>
      <c r="K4560" s="72"/>
      <c r="L4560" s="499"/>
      <c r="M4560" s="1"/>
      <c r="N4560" s="499"/>
      <c r="O4560" s="73"/>
      <c r="P4560" s="73"/>
      <c r="Q4560" s="1"/>
      <c r="R4560" s="3"/>
      <c r="S4560" s="3"/>
      <c r="T4560" s="3"/>
      <c r="U4560" s="400"/>
      <c r="V4560" s="400"/>
      <c r="W4560" s="732"/>
      <c r="X4560" s="24"/>
      <c r="Y4560" s="509"/>
      <c r="Z4560" s="466"/>
      <c r="AA4560" s="466"/>
      <c r="AB4560" s="466"/>
      <c r="AC4560" s="466"/>
      <c r="AD4560" s="466"/>
      <c r="AE4560" s="466"/>
      <c r="AF4560" s="466"/>
      <c r="AG4560" s="466"/>
      <c r="AH4560" s="466"/>
      <c r="AI4560" s="466"/>
      <c r="AJ4560" s="466"/>
      <c r="AK4560" s="466"/>
      <c r="AL4560" s="466"/>
      <c r="AM4560" s="466"/>
      <c r="AN4560" s="466"/>
      <c r="AO4560" s="466"/>
      <c r="AP4560" s="466"/>
      <c r="AQ4560" s="466"/>
      <c r="AR4560" s="466"/>
      <c r="AS4560" s="466"/>
      <c r="AT4560" s="466"/>
      <c r="AU4560" s="466"/>
      <c r="AV4560" s="466"/>
      <c r="AW4560" s="466"/>
      <c r="AX4560" s="466"/>
      <c r="AY4560" s="466"/>
      <c r="AZ4560" s="466"/>
      <c r="BA4560" s="466"/>
      <c r="BB4560" s="466"/>
      <c r="BC4560" s="466"/>
      <c r="BD4560" s="466"/>
      <c r="BE4560" s="467"/>
      <c r="BF4560" s="467"/>
      <c r="BG4560" s="466"/>
      <c r="BH4560" s="466"/>
      <c r="BI4560" s="467"/>
      <c r="BJ4560" s="467"/>
      <c r="BK4560" s="467"/>
      <c r="BL4560" s="467"/>
      <c r="BM4560" s="467"/>
      <c r="BN4560" s="467"/>
      <c r="BO4560" s="467"/>
      <c r="BP4560" s="467"/>
      <c r="BQ4560" s="467"/>
      <c r="BR4560" s="467"/>
      <c r="BS4560" s="467"/>
      <c r="BT4560" s="467"/>
      <c r="BU4560" s="467"/>
      <c r="BV4560" s="467"/>
      <c r="BW4560" s="467"/>
      <c r="BX4560" s="769"/>
      <c r="BY4560" s="769"/>
      <c r="BZ4560" s="769"/>
      <c r="CA4560" s="769"/>
      <c r="CB4560" s="769"/>
      <c r="CC4560" s="769"/>
      <c r="CD4560" s="769"/>
      <c r="CE4560" s="769"/>
      <c r="CF4560" s="769"/>
      <c r="CG4560" s="73"/>
      <c r="CH4560" s="438"/>
      <c r="CI4560" s="416"/>
      <c r="CJ4560" s="73"/>
      <c r="CK4560" s="650"/>
      <c r="CL4560" s="499"/>
      <c r="CM4560" s="650"/>
      <c r="CR4560" s="416"/>
      <c r="CS4560" s="650"/>
      <c r="CU4560" s="73"/>
      <c r="CV4560" s="73"/>
      <c r="CW4560" s="73"/>
      <c r="CX4560" s="73"/>
      <c r="DA4560" s="650"/>
    </row>
    <row r="4561" spans="1:105" s="45" customFormat="1" x14ac:dyDescent="0.2">
      <c r="A4561" s="650"/>
      <c r="B4561" s="438"/>
      <c r="C4561"/>
      <c r="D4561" s="73"/>
      <c r="E4561" s="48"/>
      <c r="F4561" s="48"/>
      <c r="G4561" s="1"/>
      <c r="H4561"/>
      <c r="I4561" s="2"/>
      <c r="J4561" s="72"/>
      <c r="K4561" s="72"/>
      <c r="L4561" s="499"/>
      <c r="M4561" s="1"/>
      <c r="N4561" s="499"/>
      <c r="O4561" s="73"/>
      <c r="P4561" s="73"/>
      <c r="Q4561" s="1"/>
      <c r="R4561" s="3"/>
      <c r="S4561" s="3"/>
      <c r="T4561" s="3"/>
      <c r="U4561" s="400"/>
      <c r="V4561" s="400"/>
      <c r="W4561" s="732"/>
      <c r="X4561" s="24"/>
      <c r="Y4561" s="509"/>
      <c r="Z4561" s="466"/>
      <c r="AA4561" s="466"/>
      <c r="AB4561" s="466"/>
      <c r="AC4561" s="466"/>
      <c r="AD4561" s="466"/>
      <c r="AE4561" s="466"/>
      <c r="AF4561" s="466"/>
      <c r="AG4561" s="466"/>
      <c r="AH4561" s="466"/>
      <c r="AI4561" s="466"/>
      <c r="AJ4561" s="466"/>
      <c r="AK4561" s="466"/>
      <c r="AL4561" s="466"/>
      <c r="AM4561" s="466"/>
      <c r="AN4561" s="466"/>
      <c r="AO4561" s="466"/>
      <c r="AP4561" s="466"/>
      <c r="AQ4561" s="466"/>
      <c r="AR4561" s="466"/>
      <c r="AS4561" s="466"/>
      <c r="AT4561" s="466"/>
      <c r="AU4561" s="466"/>
      <c r="AV4561" s="466"/>
      <c r="AW4561" s="466"/>
      <c r="AX4561" s="466"/>
      <c r="AY4561" s="466"/>
      <c r="AZ4561" s="466"/>
      <c r="BA4561" s="466"/>
      <c r="BB4561" s="466"/>
      <c r="BC4561" s="466"/>
      <c r="BD4561" s="466"/>
      <c r="BE4561" s="467"/>
      <c r="BF4561" s="467"/>
      <c r="BG4561" s="466"/>
      <c r="BH4561" s="466"/>
      <c r="BI4561" s="467"/>
      <c r="BJ4561" s="467"/>
      <c r="BK4561" s="467"/>
      <c r="BL4561" s="467"/>
      <c r="BM4561" s="467"/>
      <c r="BN4561" s="467"/>
      <c r="BO4561" s="467"/>
      <c r="BP4561" s="467"/>
      <c r="BQ4561" s="467"/>
      <c r="BR4561" s="467"/>
      <c r="BS4561" s="467"/>
      <c r="BT4561" s="467"/>
      <c r="BU4561" s="467"/>
      <c r="BV4561" s="467"/>
      <c r="BW4561" s="467"/>
      <c r="BX4561" s="769"/>
      <c r="BY4561" s="769"/>
      <c r="BZ4561" s="769"/>
      <c r="CA4561" s="769"/>
      <c r="CB4561" s="769"/>
      <c r="CC4561" s="769"/>
      <c r="CD4561" s="769"/>
      <c r="CE4561" s="769"/>
      <c r="CF4561" s="769"/>
      <c r="CG4561" s="73"/>
      <c r="CH4561" s="438"/>
      <c r="CI4561" s="416"/>
      <c r="CJ4561" s="73"/>
      <c r="CK4561" s="650"/>
      <c r="CL4561" s="499"/>
      <c r="CM4561" s="650"/>
      <c r="CR4561" s="416"/>
      <c r="CS4561" s="650"/>
      <c r="CU4561" s="73"/>
      <c r="CV4561" s="73"/>
      <c r="CW4561" s="73"/>
      <c r="CX4561" s="73"/>
      <c r="DA4561" s="650"/>
    </row>
    <row r="4562" spans="1:105" s="45" customFormat="1" x14ac:dyDescent="0.2">
      <c r="A4562" s="650"/>
      <c r="B4562" s="438"/>
      <c r="C4562"/>
      <c r="D4562" s="73"/>
      <c r="E4562" s="48"/>
      <c r="F4562" s="48"/>
      <c r="G4562" s="1"/>
      <c r="H4562"/>
      <c r="I4562" s="2"/>
      <c r="J4562" s="72"/>
      <c r="K4562" s="72"/>
      <c r="L4562" s="499"/>
      <c r="M4562" s="1"/>
      <c r="N4562" s="499"/>
      <c r="O4562" s="73"/>
      <c r="P4562" s="73"/>
      <c r="Q4562" s="1"/>
      <c r="R4562" s="3"/>
      <c r="S4562" s="3"/>
      <c r="T4562" s="3"/>
      <c r="U4562" s="400"/>
      <c r="V4562" s="400"/>
      <c r="W4562" s="732"/>
      <c r="X4562" s="24"/>
      <c r="Y4562" s="509"/>
      <c r="Z4562" s="466"/>
      <c r="AA4562" s="466"/>
      <c r="AB4562" s="466"/>
      <c r="AC4562" s="466"/>
      <c r="AD4562" s="466"/>
      <c r="AE4562" s="466"/>
      <c r="AF4562" s="466"/>
      <c r="AG4562" s="466"/>
      <c r="AH4562" s="466"/>
      <c r="AI4562" s="466"/>
      <c r="AJ4562" s="466"/>
      <c r="AK4562" s="466"/>
      <c r="AL4562" s="466"/>
      <c r="AM4562" s="466"/>
      <c r="AN4562" s="466"/>
      <c r="AO4562" s="466"/>
      <c r="AP4562" s="466"/>
      <c r="AQ4562" s="466"/>
      <c r="AR4562" s="466"/>
      <c r="AS4562" s="466"/>
      <c r="AT4562" s="466"/>
      <c r="AU4562" s="466"/>
      <c r="AV4562" s="466"/>
      <c r="AW4562" s="466"/>
      <c r="AX4562" s="466"/>
      <c r="AY4562" s="466"/>
      <c r="AZ4562" s="466"/>
      <c r="BA4562" s="466"/>
      <c r="BB4562" s="466"/>
      <c r="BC4562" s="466"/>
      <c r="BD4562" s="466"/>
      <c r="BE4562" s="467"/>
      <c r="BF4562" s="467"/>
      <c r="BG4562" s="466"/>
      <c r="BH4562" s="466"/>
      <c r="BI4562" s="467"/>
      <c r="BJ4562" s="467"/>
      <c r="BK4562" s="467"/>
      <c r="BL4562" s="467"/>
      <c r="BM4562" s="467"/>
      <c r="BN4562" s="467"/>
      <c r="BO4562" s="467"/>
      <c r="BP4562" s="467"/>
      <c r="BQ4562" s="467"/>
      <c r="BR4562" s="467"/>
      <c r="BS4562" s="467"/>
      <c r="BT4562" s="467"/>
      <c r="BU4562" s="467"/>
      <c r="BV4562" s="467"/>
      <c r="BW4562" s="467"/>
      <c r="BX4562" s="769"/>
      <c r="BY4562" s="769"/>
      <c r="BZ4562" s="769"/>
      <c r="CA4562" s="769"/>
      <c r="CB4562" s="769"/>
      <c r="CC4562" s="769"/>
      <c r="CD4562" s="769"/>
      <c r="CE4562" s="769"/>
      <c r="CF4562" s="769"/>
      <c r="CG4562" s="73"/>
      <c r="CH4562" s="438"/>
      <c r="CI4562" s="416"/>
      <c r="CJ4562" s="73"/>
      <c r="CK4562" s="650"/>
      <c r="CL4562" s="499"/>
      <c r="CM4562" s="650"/>
      <c r="CR4562" s="416"/>
      <c r="CS4562" s="650"/>
      <c r="CU4562" s="73"/>
      <c r="CV4562" s="73"/>
      <c r="CW4562" s="73"/>
      <c r="CX4562" s="73"/>
      <c r="DA4562" s="650"/>
    </row>
    <row r="4563" spans="1:105" s="45" customFormat="1" x14ac:dyDescent="0.2">
      <c r="A4563" s="650"/>
      <c r="B4563" s="438"/>
      <c r="C4563"/>
      <c r="D4563" s="73"/>
      <c r="E4563" s="48"/>
      <c r="F4563" s="48"/>
      <c r="G4563" s="1"/>
      <c r="H4563"/>
      <c r="I4563" s="2"/>
      <c r="J4563" s="72"/>
      <c r="K4563" s="72"/>
      <c r="L4563" s="499"/>
      <c r="M4563" s="1"/>
      <c r="N4563" s="499"/>
      <c r="O4563" s="73"/>
      <c r="P4563" s="73"/>
      <c r="Q4563" s="1"/>
      <c r="R4563" s="3"/>
      <c r="S4563" s="3"/>
      <c r="T4563" s="3"/>
      <c r="U4563" s="400"/>
      <c r="V4563" s="400"/>
      <c r="W4563" s="732"/>
      <c r="X4563" s="24"/>
      <c r="Y4563" s="509"/>
      <c r="Z4563" s="466"/>
      <c r="AA4563" s="466"/>
      <c r="AB4563" s="466"/>
      <c r="AC4563" s="466"/>
      <c r="AD4563" s="466"/>
      <c r="AE4563" s="466"/>
      <c r="AF4563" s="466"/>
      <c r="AG4563" s="466"/>
      <c r="AH4563" s="466"/>
      <c r="AI4563" s="466"/>
      <c r="AJ4563" s="466"/>
      <c r="AK4563" s="466"/>
      <c r="AL4563" s="466"/>
      <c r="AM4563" s="466"/>
      <c r="AN4563" s="466"/>
      <c r="AO4563" s="466"/>
      <c r="AP4563" s="466"/>
      <c r="AQ4563" s="466"/>
      <c r="AR4563" s="466"/>
      <c r="AS4563" s="466"/>
      <c r="AT4563" s="466"/>
      <c r="AU4563" s="466"/>
      <c r="AV4563" s="466"/>
      <c r="AW4563" s="466"/>
      <c r="AX4563" s="466"/>
      <c r="AY4563" s="466"/>
      <c r="AZ4563" s="466"/>
      <c r="BA4563" s="466"/>
      <c r="BB4563" s="466"/>
      <c r="BC4563" s="466"/>
      <c r="BD4563" s="466"/>
      <c r="BE4563" s="467"/>
      <c r="BF4563" s="467"/>
      <c r="BG4563" s="466"/>
      <c r="BH4563" s="466"/>
      <c r="BI4563" s="467"/>
      <c r="BJ4563" s="467"/>
      <c r="BK4563" s="467"/>
      <c r="BL4563" s="467"/>
      <c r="BM4563" s="467"/>
      <c r="BN4563" s="467"/>
      <c r="BO4563" s="467"/>
      <c r="BP4563" s="467"/>
      <c r="BQ4563" s="467"/>
      <c r="BR4563" s="467"/>
      <c r="BS4563" s="467"/>
      <c r="BT4563" s="467"/>
      <c r="BU4563" s="467"/>
      <c r="BV4563" s="467"/>
      <c r="BW4563" s="467"/>
      <c r="BX4563" s="769"/>
      <c r="BY4563" s="769"/>
      <c r="BZ4563" s="769"/>
      <c r="CA4563" s="769"/>
      <c r="CB4563" s="769"/>
      <c r="CC4563" s="769"/>
      <c r="CD4563" s="769"/>
      <c r="CE4563" s="769"/>
      <c r="CF4563" s="769"/>
      <c r="CG4563" s="73"/>
      <c r="CH4563" s="438"/>
      <c r="CI4563" s="416"/>
      <c r="CJ4563" s="73"/>
      <c r="CK4563" s="650"/>
      <c r="CL4563" s="499"/>
      <c r="CM4563" s="650"/>
      <c r="CR4563" s="416"/>
      <c r="CS4563" s="650"/>
      <c r="CU4563" s="73"/>
      <c r="CV4563" s="73"/>
      <c r="CW4563" s="73"/>
      <c r="CX4563" s="73"/>
      <c r="DA4563" s="650"/>
    </row>
    <row r="4564" spans="1:105" s="45" customFormat="1" x14ac:dyDescent="0.2">
      <c r="A4564" s="650"/>
      <c r="B4564" s="438"/>
      <c r="C4564"/>
      <c r="D4564" s="73"/>
      <c r="E4564" s="48"/>
      <c r="F4564" s="48"/>
      <c r="G4564" s="1"/>
      <c r="H4564"/>
      <c r="I4564" s="2"/>
      <c r="J4564" s="72"/>
      <c r="K4564" s="72"/>
      <c r="L4564" s="499"/>
      <c r="M4564" s="1"/>
      <c r="N4564" s="499"/>
      <c r="O4564" s="73"/>
      <c r="P4564" s="73"/>
      <c r="Q4564" s="1"/>
      <c r="R4564" s="3"/>
      <c r="S4564" s="3"/>
      <c r="T4564" s="3"/>
      <c r="U4564" s="400"/>
      <c r="V4564" s="400"/>
      <c r="W4564" s="732"/>
      <c r="X4564" s="24"/>
      <c r="Y4564" s="509"/>
      <c r="Z4564" s="466"/>
      <c r="AA4564" s="466"/>
      <c r="AB4564" s="466"/>
      <c r="AC4564" s="466"/>
      <c r="AD4564" s="466"/>
      <c r="AE4564" s="466"/>
      <c r="AF4564" s="466"/>
      <c r="AG4564" s="466"/>
      <c r="AH4564" s="466"/>
      <c r="AI4564" s="466"/>
      <c r="AJ4564" s="466"/>
      <c r="AK4564" s="466"/>
      <c r="AL4564" s="466"/>
      <c r="AM4564" s="466"/>
      <c r="AN4564" s="466"/>
      <c r="AO4564" s="466"/>
      <c r="AP4564" s="466"/>
      <c r="AQ4564" s="466"/>
      <c r="AR4564" s="466"/>
      <c r="AS4564" s="466"/>
      <c r="AT4564" s="466"/>
      <c r="AU4564" s="466"/>
      <c r="AV4564" s="466"/>
      <c r="AW4564" s="466"/>
      <c r="AX4564" s="466"/>
      <c r="AY4564" s="466"/>
      <c r="AZ4564" s="466"/>
      <c r="BA4564" s="466"/>
      <c r="BB4564" s="466"/>
      <c r="BC4564" s="466"/>
      <c r="BD4564" s="466"/>
      <c r="BE4564" s="467"/>
      <c r="BF4564" s="467"/>
      <c r="BG4564" s="466"/>
      <c r="BH4564" s="466"/>
      <c r="BI4564" s="467"/>
      <c r="BJ4564" s="467"/>
      <c r="BK4564" s="467"/>
      <c r="BL4564" s="467"/>
      <c r="BM4564" s="467"/>
      <c r="BN4564" s="467"/>
      <c r="BO4564" s="467"/>
      <c r="BP4564" s="467"/>
      <c r="BQ4564" s="467"/>
      <c r="BR4564" s="467"/>
      <c r="BS4564" s="467"/>
      <c r="BT4564" s="467"/>
      <c r="BU4564" s="467"/>
      <c r="BV4564" s="467"/>
      <c r="BW4564" s="467"/>
      <c r="BX4564" s="769"/>
      <c r="BY4564" s="769"/>
      <c r="BZ4564" s="769"/>
      <c r="CA4564" s="769"/>
      <c r="CB4564" s="769"/>
      <c r="CC4564" s="769"/>
      <c r="CD4564" s="769"/>
      <c r="CE4564" s="769"/>
      <c r="CF4564" s="769"/>
      <c r="CG4564" s="73"/>
      <c r="CH4564" s="438"/>
      <c r="CI4564" s="416"/>
      <c r="CJ4564" s="73"/>
      <c r="CK4564" s="650"/>
      <c r="CL4564" s="499"/>
      <c r="CM4564" s="650"/>
      <c r="CR4564" s="416"/>
      <c r="CS4564" s="650"/>
      <c r="CU4564" s="73"/>
      <c r="CV4564" s="73"/>
      <c r="CW4564" s="73"/>
      <c r="CX4564" s="73"/>
      <c r="DA4564" s="650"/>
    </row>
    <row r="4565" spans="1:105" s="45" customFormat="1" x14ac:dyDescent="0.2">
      <c r="A4565" s="650"/>
      <c r="B4565" s="438"/>
      <c r="C4565"/>
      <c r="D4565" s="73"/>
      <c r="E4565" s="48"/>
      <c r="F4565" s="48"/>
      <c r="G4565" s="1"/>
      <c r="H4565"/>
      <c r="I4565" s="2"/>
      <c r="J4565" s="72"/>
      <c r="K4565" s="72"/>
      <c r="L4565" s="499"/>
      <c r="M4565" s="1"/>
      <c r="N4565" s="499"/>
      <c r="O4565" s="73"/>
      <c r="P4565" s="73"/>
      <c r="Q4565" s="1"/>
      <c r="R4565" s="3"/>
      <c r="S4565" s="3"/>
      <c r="T4565" s="3"/>
      <c r="U4565" s="400"/>
      <c r="V4565" s="400"/>
      <c r="W4565" s="732"/>
      <c r="X4565" s="24"/>
      <c r="Y4565" s="509"/>
      <c r="Z4565" s="466"/>
      <c r="AA4565" s="466"/>
      <c r="AB4565" s="466"/>
      <c r="AC4565" s="466"/>
      <c r="AD4565" s="466"/>
      <c r="AE4565" s="466"/>
      <c r="AF4565" s="466"/>
      <c r="AG4565" s="466"/>
      <c r="AH4565" s="466"/>
      <c r="AI4565" s="466"/>
      <c r="AJ4565" s="466"/>
      <c r="AK4565" s="466"/>
      <c r="AL4565" s="466"/>
      <c r="AM4565" s="466"/>
      <c r="AN4565" s="466"/>
      <c r="AO4565" s="466"/>
      <c r="AP4565" s="466"/>
      <c r="AQ4565" s="466"/>
      <c r="AR4565" s="466"/>
      <c r="AS4565" s="466"/>
      <c r="AT4565" s="466"/>
      <c r="AU4565" s="466"/>
      <c r="AV4565" s="466"/>
      <c r="AW4565" s="466"/>
      <c r="AX4565" s="466"/>
      <c r="AY4565" s="466"/>
      <c r="AZ4565" s="466"/>
      <c r="BA4565" s="466"/>
      <c r="BB4565" s="466"/>
      <c r="BC4565" s="466"/>
      <c r="BD4565" s="466"/>
      <c r="BE4565" s="467"/>
      <c r="BF4565" s="467"/>
      <c r="BG4565" s="466"/>
      <c r="BH4565" s="466"/>
      <c r="BI4565" s="467"/>
      <c r="BJ4565" s="467"/>
      <c r="BK4565" s="467"/>
      <c r="BL4565" s="467"/>
      <c r="BM4565" s="467"/>
      <c r="BN4565" s="467"/>
      <c r="BO4565" s="467"/>
      <c r="BP4565" s="467"/>
      <c r="BQ4565" s="467"/>
      <c r="BR4565" s="467"/>
      <c r="BS4565" s="467"/>
      <c r="BT4565" s="467"/>
      <c r="BU4565" s="467"/>
      <c r="BV4565" s="467"/>
      <c r="BW4565" s="467"/>
      <c r="BX4565" s="769"/>
      <c r="BY4565" s="769"/>
      <c r="BZ4565" s="769"/>
      <c r="CA4565" s="769"/>
      <c r="CB4565" s="769"/>
      <c r="CC4565" s="769"/>
      <c r="CD4565" s="769"/>
      <c r="CE4565" s="769"/>
      <c r="CF4565" s="769"/>
      <c r="CG4565" s="73"/>
      <c r="CH4565" s="438"/>
      <c r="CI4565" s="416"/>
      <c r="CJ4565" s="73"/>
      <c r="CK4565" s="650"/>
      <c r="CL4565" s="499"/>
      <c r="CM4565" s="650"/>
      <c r="CR4565" s="416"/>
      <c r="CS4565" s="650"/>
      <c r="CU4565" s="73"/>
      <c r="CV4565" s="73"/>
      <c r="CW4565" s="73"/>
      <c r="CX4565" s="73"/>
      <c r="DA4565" s="650"/>
    </row>
    <row r="4566" spans="1:105" s="45" customFormat="1" x14ac:dyDescent="0.2">
      <c r="A4566" s="650"/>
      <c r="B4566" s="438"/>
      <c r="C4566"/>
      <c r="D4566" s="73"/>
      <c r="E4566" s="48"/>
      <c r="F4566" s="48"/>
      <c r="G4566" s="1"/>
      <c r="H4566"/>
      <c r="I4566" s="2"/>
      <c r="J4566" s="72"/>
      <c r="K4566" s="72"/>
      <c r="L4566" s="499"/>
      <c r="M4566" s="1"/>
      <c r="N4566" s="499"/>
      <c r="O4566" s="73"/>
      <c r="P4566" s="73"/>
      <c r="Q4566" s="1"/>
      <c r="R4566" s="3"/>
      <c r="S4566" s="3"/>
      <c r="T4566" s="3"/>
      <c r="U4566" s="400"/>
      <c r="V4566" s="400"/>
      <c r="W4566" s="732"/>
      <c r="X4566" s="24"/>
      <c r="Y4566" s="509"/>
      <c r="Z4566" s="466"/>
      <c r="AA4566" s="466"/>
      <c r="AB4566" s="466"/>
      <c r="AC4566" s="466"/>
      <c r="AD4566" s="466"/>
      <c r="AE4566" s="466"/>
      <c r="AF4566" s="466"/>
      <c r="AG4566" s="466"/>
      <c r="AH4566" s="466"/>
      <c r="AI4566" s="466"/>
      <c r="AJ4566" s="466"/>
      <c r="AK4566" s="466"/>
      <c r="AL4566" s="466"/>
      <c r="AM4566" s="466"/>
      <c r="AN4566" s="466"/>
      <c r="AO4566" s="466"/>
      <c r="AP4566" s="466"/>
      <c r="AQ4566" s="466"/>
      <c r="AR4566" s="466"/>
      <c r="AS4566" s="466"/>
      <c r="AT4566" s="466"/>
      <c r="AU4566" s="466"/>
      <c r="AV4566" s="466"/>
      <c r="AW4566" s="466"/>
      <c r="AX4566" s="466"/>
      <c r="AY4566" s="466"/>
      <c r="AZ4566" s="466"/>
      <c r="BA4566" s="466"/>
      <c r="BB4566" s="466"/>
      <c r="BC4566" s="466"/>
      <c r="BD4566" s="466"/>
      <c r="BE4566" s="467"/>
      <c r="BF4566" s="467"/>
      <c r="BG4566" s="466"/>
      <c r="BH4566" s="466"/>
      <c r="BI4566" s="467"/>
      <c r="BJ4566" s="467"/>
      <c r="BK4566" s="467"/>
      <c r="BL4566" s="467"/>
      <c r="BM4566" s="467"/>
      <c r="BN4566" s="467"/>
      <c r="BO4566" s="467"/>
      <c r="BP4566" s="467"/>
      <c r="BQ4566" s="467"/>
      <c r="BR4566" s="467"/>
      <c r="BS4566" s="467"/>
      <c r="BT4566" s="467"/>
      <c r="BU4566" s="467"/>
      <c r="BV4566" s="467"/>
      <c r="BW4566" s="467"/>
      <c r="BX4566" s="769"/>
      <c r="BY4566" s="769"/>
      <c r="BZ4566" s="769"/>
      <c r="CA4566" s="769"/>
      <c r="CB4566" s="769"/>
      <c r="CC4566" s="769"/>
      <c r="CD4566" s="769"/>
      <c r="CE4566" s="769"/>
      <c r="CF4566" s="769"/>
      <c r="CG4566" s="73"/>
      <c r="CH4566" s="438"/>
      <c r="CI4566" s="416"/>
      <c r="CJ4566" s="73"/>
      <c r="CK4566" s="650"/>
      <c r="CL4566" s="499"/>
      <c r="CM4566" s="650"/>
      <c r="CR4566" s="416"/>
      <c r="CS4566" s="650"/>
      <c r="CU4566" s="73"/>
      <c r="CV4566" s="73"/>
      <c r="CW4566" s="73"/>
      <c r="CX4566" s="73"/>
      <c r="DA4566" s="650"/>
    </row>
    <row r="4567" spans="1:105" s="45" customFormat="1" x14ac:dyDescent="0.2">
      <c r="A4567" s="650"/>
      <c r="B4567" s="438"/>
      <c r="C4567"/>
      <c r="D4567" s="73"/>
      <c r="E4567" s="48"/>
      <c r="F4567" s="48"/>
      <c r="G4567" s="1"/>
      <c r="H4567"/>
      <c r="I4567" s="2"/>
      <c r="J4567" s="72"/>
      <c r="K4567" s="72"/>
      <c r="L4567" s="499"/>
      <c r="M4567" s="1"/>
      <c r="N4567" s="499"/>
      <c r="O4567" s="73"/>
      <c r="P4567" s="73"/>
      <c r="Q4567" s="1"/>
      <c r="R4567" s="3"/>
      <c r="S4567" s="3"/>
      <c r="T4567" s="3"/>
      <c r="U4567" s="400"/>
      <c r="V4567" s="400"/>
      <c r="W4567" s="732"/>
      <c r="X4567" s="24"/>
      <c r="Y4567" s="509"/>
      <c r="Z4567" s="466"/>
      <c r="AA4567" s="466"/>
      <c r="AB4567" s="466"/>
      <c r="AC4567" s="466"/>
      <c r="AD4567" s="466"/>
      <c r="AE4567" s="466"/>
      <c r="AF4567" s="466"/>
      <c r="AG4567" s="466"/>
      <c r="AH4567" s="466"/>
      <c r="AI4567" s="466"/>
      <c r="AJ4567" s="466"/>
      <c r="AK4567" s="466"/>
      <c r="AL4567" s="466"/>
      <c r="AM4567" s="466"/>
      <c r="AN4567" s="466"/>
      <c r="AO4567" s="466"/>
      <c r="AP4567" s="466"/>
      <c r="AQ4567" s="466"/>
      <c r="AR4567" s="466"/>
      <c r="AS4567" s="466"/>
      <c r="AT4567" s="466"/>
      <c r="AU4567" s="466"/>
      <c r="AV4567" s="466"/>
      <c r="AW4567" s="466"/>
      <c r="AX4567" s="466"/>
      <c r="AY4567" s="466"/>
      <c r="AZ4567" s="466"/>
      <c r="BA4567" s="466"/>
      <c r="BB4567" s="466"/>
      <c r="BC4567" s="466"/>
      <c r="BD4567" s="466"/>
      <c r="BE4567" s="467"/>
      <c r="BF4567" s="467"/>
      <c r="BG4567" s="466"/>
      <c r="BH4567" s="466"/>
      <c r="BI4567" s="467"/>
      <c r="BJ4567" s="467"/>
      <c r="BK4567" s="467"/>
      <c r="BL4567" s="467"/>
      <c r="BM4567" s="467"/>
      <c r="BN4567" s="467"/>
      <c r="BO4567" s="467"/>
      <c r="BP4567" s="467"/>
      <c r="BQ4567" s="467"/>
      <c r="BR4567" s="467"/>
      <c r="BS4567" s="467"/>
      <c r="BT4567" s="467"/>
      <c r="BU4567" s="467"/>
      <c r="BV4567" s="467"/>
      <c r="BW4567" s="467"/>
      <c r="BX4567" s="769"/>
      <c r="BY4567" s="769"/>
      <c r="BZ4567" s="769"/>
      <c r="CA4567" s="769"/>
      <c r="CB4567" s="769"/>
      <c r="CC4567" s="769"/>
      <c r="CD4567" s="769"/>
      <c r="CE4567" s="769"/>
      <c r="CF4567" s="769"/>
      <c r="CG4567" s="73"/>
      <c r="CH4567" s="438"/>
      <c r="CI4567" s="416"/>
      <c r="CJ4567" s="73"/>
      <c r="CK4567" s="650"/>
      <c r="CL4567" s="499"/>
      <c r="CM4567" s="650"/>
      <c r="CR4567" s="416"/>
      <c r="CS4567" s="650"/>
      <c r="CU4567" s="73"/>
      <c r="CV4567" s="73"/>
      <c r="CW4567" s="73"/>
      <c r="CX4567" s="73"/>
      <c r="DA4567" s="650"/>
    </row>
    <row r="4568" spans="1:105" s="45" customFormat="1" x14ac:dyDescent="0.2">
      <c r="A4568" s="650"/>
      <c r="B4568" s="438"/>
      <c r="C4568"/>
      <c r="D4568" s="73"/>
      <c r="E4568" s="48"/>
      <c r="F4568" s="48"/>
      <c r="G4568" s="1"/>
      <c r="H4568"/>
      <c r="I4568" s="2"/>
      <c r="J4568" s="72"/>
      <c r="K4568" s="72"/>
      <c r="L4568" s="499"/>
      <c r="M4568" s="1"/>
      <c r="N4568" s="499"/>
      <c r="O4568" s="1"/>
      <c r="P4568" s="1"/>
      <c r="Q4568" s="1"/>
      <c r="R4568" s="3"/>
      <c r="S4568" s="3"/>
      <c r="T4568" s="3"/>
      <c r="U4568" s="400"/>
      <c r="V4568" s="400"/>
      <c r="W4568" s="732"/>
      <c r="X4568" s="24"/>
      <c r="Y4568" s="509"/>
      <c r="Z4568" s="466"/>
      <c r="AA4568" s="466"/>
      <c r="AB4568" s="466"/>
      <c r="AC4568" s="466"/>
      <c r="AD4568" s="466"/>
      <c r="AE4568" s="466"/>
      <c r="AF4568" s="466"/>
      <c r="AG4568" s="466"/>
      <c r="AH4568" s="466"/>
      <c r="AI4568" s="466"/>
      <c r="AJ4568" s="466"/>
      <c r="AK4568" s="466"/>
      <c r="AL4568" s="466"/>
      <c r="AM4568" s="466"/>
      <c r="AN4568" s="466"/>
      <c r="AO4568" s="466"/>
      <c r="AP4568" s="466"/>
      <c r="AQ4568" s="466"/>
      <c r="AR4568" s="466"/>
      <c r="AS4568" s="466"/>
      <c r="AT4568" s="466"/>
      <c r="AU4568" s="466"/>
      <c r="AV4568" s="466"/>
      <c r="AW4568" s="466"/>
      <c r="AX4568" s="466"/>
      <c r="AY4568" s="466"/>
      <c r="AZ4568" s="466"/>
      <c r="BA4568" s="466"/>
      <c r="BB4568" s="466"/>
      <c r="BC4568" s="466"/>
      <c r="BD4568" s="466"/>
      <c r="BE4568" s="467"/>
      <c r="BF4568" s="467"/>
      <c r="BG4568" s="466"/>
      <c r="BH4568" s="466"/>
      <c r="BI4568" s="467"/>
      <c r="BJ4568" s="467"/>
      <c r="BK4568" s="467"/>
      <c r="BL4568" s="467"/>
      <c r="BM4568" s="467"/>
      <c r="BN4568" s="467"/>
      <c r="BO4568" s="467"/>
      <c r="BP4568" s="467"/>
      <c r="BQ4568" s="467"/>
      <c r="BR4568" s="467"/>
      <c r="BS4568" s="467"/>
      <c r="BT4568" s="467"/>
      <c r="BU4568" s="467"/>
      <c r="BV4568" s="467"/>
      <c r="BW4568" s="467"/>
      <c r="BX4568" s="769"/>
      <c r="BY4568" s="769"/>
      <c r="BZ4568" s="769"/>
      <c r="CA4568" s="769"/>
      <c r="CB4568" s="769"/>
      <c r="CC4568" s="769"/>
      <c r="CD4568" s="769"/>
      <c r="CE4568" s="769"/>
      <c r="CF4568" s="769"/>
      <c r="CG4568" s="73"/>
      <c r="CH4568" s="438"/>
      <c r="CI4568" s="416"/>
      <c r="CJ4568" s="73"/>
      <c r="CK4568" s="650"/>
      <c r="CL4568" s="499"/>
      <c r="CM4568" s="650"/>
      <c r="CR4568" s="416"/>
      <c r="CS4568" s="650"/>
      <c r="CU4568" s="73"/>
      <c r="CV4568" s="73"/>
      <c r="CW4568" s="73"/>
      <c r="CX4568" s="73"/>
      <c r="DA4568" s="650"/>
    </row>
    <row r="4569" spans="1:105" s="45" customFormat="1" x14ac:dyDescent="0.2">
      <c r="A4569" s="650"/>
      <c r="B4569" s="438"/>
      <c r="C4569"/>
      <c r="D4569" s="73"/>
      <c r="E4569" s="48"/>
      <c r="F4569" s="48"/>
      <c r="G4569" s="1"/>
      <c r="H4569"/>
      <c r="I4569" s="2"/>
      <c r="J4569" s="72"/>
      <c r="K4569" s="72"/>
      <c r="L4569" s="499"/>
      <c r="M4569" s="1"/>
      <c r="N4569" s="499"/>
      <c r="O4569" s="1"/>
      <c r="P4569" s="1"/>
      <c r="Q4569" s="1"/>
      <c r="R4569" s="3"/>
      <c r="S4569" s="3"/>
      <c r="T4569" s="3"/>
      <c r="U4569" s="400"/>
      <c r="V4569" s="400"/>
      <c r="W4569" s="732"/>
      <c r="X4569" s="24"/>
      <c r="Y4569" s="509"/>
      <c r="Z4569" s="466"/>
      <c r="AA4569" s="466"/>
      <c r="AB4569" s="466"/>
      <c r="AC4569" s="466"/>
      <c r="AD4569" s="466"/>
      <c r="AE4569" s="466"/>
      <c r="AF4569" s="466"/>
      <c r="AG4569" s="466"/>
      <c r="AH4569" s="466"/>
      <c r="AI4569" s="466"/>
      <c r="AJ4569" s="466"/>
      <c r="AK4569" s="466"/>
      <c r="AL4569" s="466"/>
      <c r="AM4569" s="466"/>
      <c r="AN4569" s="466"/>
      <c r="AO4569" s="466"/>
      <c r="AP4569" s="466"/>
      <c r="AQ4569" s="466"/>
      <c r="AR4569" s="466"/>
      <c r="AS4569" s="466"/>
      <c r="AT4569" s="466"/>
      <c r="AU4569" s="466"/>
      <c r="AV4569" s="466"/>
      <c r="AW4569" s="466"/>
      <c r="AX4569" s="466"/>
      <c r="AY4569" s="466"/>
      <c r="AZ4569" s="466"/>
      <c r="BA4569" s="466"/>
      <c r="BB4569" s="466"/>
      <c r="BC4569" s="466"/>
      <c r="BD4569" s="466"/>
      <c r="BE4569" s="467"/>
      <c r="BF4569" s="467"/>
      <c r="BG4569" s="466"/>
      <c r="BH4569" s="466"/>
      <c r="BI4569" s="467"/>
      <c r="BJ4569" s="467"/>
      <c r="BK4569" s="467"/>
      <c r="BL4569" s="467"/>
      <c r="BM4569" s="467"/>
      <c r="BN4569" s="467"/>
      <c r="BO4569" s="467"/>
      <c r="BP4569" s="467"/>
      <c r="BQ4569" s="467"/>
      <c r="BR4569" s="467"/>
      <c r="BS4569" s="467"/>
      <c r="BT4569" s="467"/>
      <c r="BU4569" s="467"/>
      <c r="BV4569" s="467"/>
      <c r="BW4569" s="467"/>
      <c r="BX4569" s="769"/>
      <c r="BY4569" s="769"/>
      <c r="BZ4569" s="769"/>
      <c r="CA4569" s="769"/>
      <c r="CB4569" s="769"/>
      <c r="CC4569" s="769"/>
      <c r="CD4569" s="769"/>
      <c r="CE4569" s="769"/>
      <c r="CF4569" s="769"/>
      <c r="CG4569" s="73"/>
      <c r="CH4569" s="438"/>
      <c r="CI4569" s="416"/>
      <c r="CJ4569" s="73"/>
      <c r="CK4569" s="650"/>
      <c r="CL4569" s="499"/>
      <c r="CM4569" s="650"/>
      <c r="CR4569" s="416"/>
      <c r="CS4569" s="650"/>
      <c r="CU4569" s="73"/>
      <c r="CV4569" s="73"/>
      <c r="CW4569" s="73"/>
      <c r="CX4569" s="73"/>
      <c r="DA4569" s="650"/>
    </row>
    <row r="4570" spans="1:105" s="45" customFormat="1" x14ac:dyDescent="0.2">
      <c r="A4570" s="650"/>
      <c r="B4570" s="438"/>
      <c r="C4570"/>
      <c r="D4570" s="73"/>
      <c r="E4570" s="48"/>
      <c r="F4570" s="48"/>
      <c r="G4570" s="1"/>
      <c r="H4570"/>
      <c r="I4570" s="2"/>
      <c r="J4570" s="72"/>
      <c r="K4570" s="72"/>
      <c r="L4570" s="499"/>
      <c r="M4570" s="1"/>
      <c r="N4570" s="499"/>
      <c r="O4570" s="1"/>
      <c r="P4570" s="1"/>
      <c r="Q4570" s="1"/>
      <c r="R4570" s="3"/>
      <c r="S4570" s="3"/>
      <c r="T4570" s="3"/>
      <c r="U4570" s="400"/>
      <c r="V4570" s="400"/>
      <c r="W4570" s="732"/>
      <c r="X4570" s="24"/>
      <c r="Y4570" s="509"/>
      <c r="Z4570" s="466"/>
      <c r="AA4570" s="466"/>
      <c r="AB4570" s="466"/>
      <c r="AC4570" s="466"/>
      <c r="AD4570" s="466"/>
      <c r="AE4570" s="466"/>
      <c r="AF4570" s="466"/>
      <c r="AG4570" s="466"/>
      <c r="AH4570" s="466"/>
      <c r="AI4570" s="466"/>
      <c r="AJ4570" s="466"/>
      <c r="AK4570" s="466"/>
      <c r="AL4570" s="466"/>
      <c r="AM4570" s="466"/>
      <c r="AN4570" s="466"/>
      <c r="AO4570" s="466"/>
      <c r="AP4570" s="466"/>
      <c r="AQ4570" s="466"/>
      <c r="AR4570" s="466"/>
      <c r="AS4570" s="466"/>
      <c r="AT4570" s="466"/>
      <c r="AU4570" s="466"/>
      <c r="AV4570" s="466"/>
      <c r="AW4570" s="466"/>
      <c r="AX4570" s="466"/>
      <c r="AY4570" s="466"/>
      <c r="AZ4570" s="466"/>
      <c r="BA4570" s="466"/>
      <c r="BB4570" s="466"/>
      <c r="BC4570" s="466"/>
      <c r="BD4570" s="466"/>
      <c r="BE4570" s="467"/>
      <c r="BF4570" s="467"/>
      <c r="BG4570" s="466"/>
      <c r="BH4570" s="466"/>
      <c r="BI4570" s="467"/>
      <c r="BJ4570" s="467"/>
      <c r="BK4570" s="467"/>
      <c r="BL4570" s="467"/>
      <c r="BM4570" s="467"/>
      <c r="BN4570" s="467"/>
      <c r="BO4570" s="467"/>
      <c r="BP4570" s="467"/>
      <c r="BQ4570" s="467"/>
      <c r="BR4570" s="467"/>
      <c r="BS4570" s="467"/>
      <c r="BT4570" s="467"/>
      <c r="BU4570" s="467"/>
      <c r="BV4570" s="467"/>
      <c r="BW4570" s="467"/>
      <c r="BX4570" s="769"/>
      <c r="BY4570" s="769"/>
      <c r="BZ4570" s="769"/>
      <c r="CA4570" s="769"/>
      <c r="CB4570" s="769"/>
      <c r="CC4570" s="769"/>
      <c r="CD4570" s="769"/>
      <c r="CE4570" s="769"/>
      <c r="CF4570" s="769"/>
      <c r="CG4570" s="73"/>
      <c r="CH4570" s="438"/>
      <c r="CI4570" s="416"/>
      <c r="CJ4570" s="73"/>
      <c r="CK4570" s="650"/>
      <c r="CL4570" s="499"/>
      <c r="CM4570" s="650"/>
      <c r="CR4570" s="416"/>
      <c r="CS4570" s="650"/>
      <c r="CU4570" s="73"/>
      <c r="CV4570" s="73"/>
      <c r="CW4570" s="73"/>
      <c r="CX4570" s="73"/>
      <c r="DA4570" s="650"/>
    </row>
    <row r="4571" spans="1:105" s="45" customFormat="1" x14ac:dyDescent="0.2">
      <c r="A4571" s="650"/>
      <c r="B4571" s="438"/>
      <c r="C4571"/>
      <c r="D4571" s="73"/>
      <c r="E4571" s="48"/>
      <c r="F4571" s="48"/>
      <c r="G4571" s="1"/>
      <c r="H4571"/>
      <c r="I4571" s="2"/>
      <c r="J4571" s="72"/>
      <c r="K4571" s="72"/>
      <c r="L4571" s="499"/>
      <c r="M4571" s="1"/>
      <c r="N4571" s="499"/>
      <c r="O4571" s="1"/>
      <c r="P4571" s="1"/>
      <c r="Q4571" s="1"/>
      <c r="R4571" s="3"/>
      <c r="S4571" s="3"/>
      <c r="T4571" s="3"/>
      <c r="U4571" s="400"/>
      <c r="V4571" s="400"/>
      <c r="W4571" s="732"/>
      <c r="X4571" s="24"/>
      <c r="Y4571" s="509"/>
      <c r="Z4571" s="466"/>
      <c r="AA4571" s="466"/>
      <c r="AB4571" s="466"/>
      <c r="AC4571" s="466"/>
      <c r="AD4571" s="466"/>
      <c r="AE4571" s="466"/>
      <c r="AF4571" s="466"/>
      <c r="AG4571" s="466"/>
      <c r="AH4571" s="466"/>
      <c r="AI4571" s="466"/>
      <c r="AJ4571" s="466"/>
      <c r="AK4571" s="466"/>
      <c r="AL4571" s="466"/>
      <c r="AM4571" s="466"/>
      <c r="AN4571" s="466"/>
      <c r="AO4571" s="466"/>
      <c r="AP4571" s="466"/>
      <c r="AQ4571" s="466"/>
      <c r="AR4571" s="466"/>
      <c r="AS4571" s="466"/>
      <c r="AT4571" s="466"/>
      <c r="AU4571" s="466"/>
      <c r="AV4571" s="466"/>
      <c r="AW4571" s="466"/>
      <c r="AX4571" s="466"/>
      <c r="AY4571" s="466"/>
      <c r="AZ4571" s="466"/>
      <c r="BA4571" s="466"/>
      <c r="BB4571" s="466"/>
      <c r="BC4571" s="466"/>
      <c r="BD4571" s="466"/>
      <c r="BE4571" s="467"/>
      <c r="BF4571" s="467"/>
      <c r="BG4571" s="466"/>
      <c r="BH4571" s="466"/>
      <c r="BI4571" s="467"/>
      <c r="BJ4571" s="467"/>
      <c r="BK4571" s="467"/>
      <c r="BL4571" s="467"/>
      <c r="BM4571" s="467"/>
      <c r="BN4571" s="467"/>
      <c r="BO4571" s="467"/>
      <c r="BP4571" s="467"/>
      <c r="BQ4571" s="467"/>
      <c r="BR4571" s="467"/>
      <c r="BS4571" s="467"/>
      <c r="BT4571" s="467"/>
      <c r="BU4571" s="467"/>
      <c r="BV4571" s="467"/>
      <c r="BW4571" s="467"/>
      <c r="BX4571" s="769"/>
      <c r="BY4571" s="769"/>
      <c r="BZ4571" s="769"/>
      <c r="CA4571" s="769"/>
      <c r="CB4571" s="769"/>
      <c r="CC4571" s="769"/>
      <c r="CD4571" s="769"/>
      <c r="CE4571" s="769"/>
      <c r="CF4571" s="769"/>
      <c r="CG4571" s="73"/>
      <c r="CH4571" s="438"/>
      <c r="CI4571" s="416"/>
      <c r="CJ4571" s="73"/>
      <c r="CK4571" s="650"/>
      <c r="CL4571" s="499"/>
      <c r="CM4571" s="650"/>
      <c r="CR4571" s="416"/>
      <c r="CS4571" s="650"/>
      <c r="CU4571" s="73"/>
      <c r="CV4571" s="73"/>
      <c r="CW4571" s="73"/>
      <c r="CX4571" s="73"/>
      <c r="DA4571" s="650"/>
    </row>
    <row r="4572" spans="1:105" s="45" customFormat="1" x14ac:dyDescent="0.2">
      <c r="A4572" s="650"/>
      <c r="B4572" s="438"/>
      <c r="C4572"/>
      <c r="D4572" s="73"/>
      <c r="E4572" s="48"/>
      <c r="F4572" s="48"/>
      <c r="G4572" s="1"/>
      <c r="H4572"/>
      <c r="I4572" s="2"/>
      <c r="J4572" s="72"/>
      <c r="K4572" s="72"/>
      <c r="L4572" s="499"/>
      <c r="M4572" s="1"/>
      <c r="N4572" s="499"/>
      <c r="O4572" s="1"/>
      <c r="P4572" s="1"/>
      <c r="Q4572" s="1"/>
      <c r="R4572" s="3"/>
      <c r="S4572" s="3"/>
      <c r="T4572" s="3"/>
      <c r="U4572" s="400"/>
      <c r="V4572" s="400"/>
      <c r="W4572" s="732"/>
      <c r="X4572" s="24"/>
      <c r="Y4572" s="509"/>
      <c r="Z4572" s="466"/>
      <c r="AA4572" s="466"/>
      <c r="AB4572" s="466"/>
      <c r="AC4572" s="466"/>
      <c r="AD4572" s="466"/>
      <c r="AE4572" s="466"/>
      <c r="AF4572" s="466"/>
      <c r="AG4572" s="466"/>
      <c r="AH4572" s="466"/>
      <c r="AI4572" s="466"/>
      <c r="AJ4572" s="466"/>
      <c r="AK4572" s="466"/>
      <c r="AL4572" s="466"/>
      <c r="AM4572" s="466"/>
      <c r="AN4572" s="466"/>
      <c r="AO4572" s="466"/>
      <c r="AP4572" s="466"/>
      <c r="AQ4572" s="466"/>
      <c r="AR4572" s="466"/>
      <c r="AS4572" s="466"/>
      <c r="AT4572" s="466"/>
      <c r="AU4572" s="466"/>
      <c r="AV4572" s="466"/>
      <c r="AW4572" s="466"/>
      <c r="AX4572" s="466"/>
      <c r="AY4572" s="466"/>
      <c r="AZ4572" s="466"/>
      <c r="BA4572" s="466"/>
      <c r="BB4572" s="466"/>
      <c r="BC4572" s="466"/>
      <c r="BD4572" s="466"/>
      <c r="BE4572" s="467"/>
      <c r="BF4572" s="467"/>
      <c r="BG4572" s="466"/>
      <c r="BH4572" s="466"/>
      <c r="BI4572" s="467"/>
      <c r="BJ4572" s="467"/>
      <c r="BK4572" s="467"/>
      <c r="BL4572" s="467"/>
      <c r="BM4572" s="467"/>
      <c r="BN4572" s="467"/>
      <c r="BO4572" s="467"/>
      <c r="BP4572" s="467"/>
      <c r="BQ4572" s="467"/>
      <c r="BR4572" s="467"/>
      <c r="BS4572" s="467"/>
      <c r="BT4572" s="467"/>
      <c r="BU4572" s="467"/>
      <c r="BV4572" s="467"/>
      <c r="BW4572" s="467"/>
      <c r="BX4572" s="769"/>
      <c r="BY4572" s="769"/>
      <c r="BZ4572" s="769"/>
      <c r="CA4572" s="769"/>
      <c r="CB4572" s="769"/>
      <c r="CC4572" s="769"/>
      <c r="CD4572" s="769"/>
      <c r="CE4572" s="769"/>
      <c r="CF4572" s="769"/>
      <c r="CG4572" s="73"/>
      <c r="CH4572" s="438"/>
      <c r="CI4572" s="416"/>
      <c r="CJ4572" s="73"/>
      <c r="CK4572" s="650"/>
      <c r="CL4572" s="499"/>
      <c r="CM4572" s="650"/>
      <c r="CR4572" s="416"/>
      <c r="CS4572" s="650"/>
      <c r="CU4572" s="73"/>
      <c r="CV4572" s="73"/>
      <c r="CW4572" s="73"/>
      <c r="CX4572" s="73"/>
      <c r="DA4572" s="650"/>
    </row>
    <row r="4573" spans="1:105" s="45" customFormat="1" x14ac:dyDescent="0.2">
      <c r="A4573" s="650"/>
      <c r="B4573" s="438"/>
      <c r="C4573"/>
      <c r="D4573" s="73"/>
      <c r="E4573" s="48"/>
      <c r="F4573" s="48"/>
      <c r="G4573" s="1"/>
      <c r="H4573"/>
      <c r="I4573" s="2"/>
      <c r="J4573" s="72"/>
      <c r="K4573" s="72"/>
      <c r="L4573" s="499"/>
      <c r="M4573" s="1"/>
      <c r="N4573" s="499"/>
      <c r="O4573" s="1"/>
      <c r="P4573" s="1"/>
      <c r="Q4573" s="1"/>
      <c r="R4573" s="3"/>
      <c r="S4573" s="3"/>
      <c r="T4573" s="3"/>
      <c r="U4573" s="400"/>
      <c r="V4573" s="400"/>
      <c r="W4573" s="732"/>
      <c r="X4573" s="24"/>
      <c r="Y4573" s="509"/>
      <c r="Z4573" s="466"/>
      <c r="AA4573" s="466"/>
      <c r="AB4573" s="466"/>
      <c r="AC4573" s="466"/>
      <c r="AD4573" s="466"/>
      <c r="AE4573" s="466"/>
      <c r="AF4573" s="466"/>
      <c r="AG4573" s="466"/>
      <c r="AH4573" s="466"/>
      <c r="AI4573" s="466"/>
      <c r="AJ4573" s="466"/>
      <c r="AK4573" s="466"/>
      <c r="AL4573" s="466"/>
      <c r="AM4573" s="466"/>
      <c r="AN4573" s="466"/>
      <c r="AO4573" s="466"/>
      <c r="AP4573" s="466"/>
      <c r="AQ4573" s="466"/>
      <c r="AR4573" s="466"/>
      <c r="AS4573" s="466"/>
      <c r="AT4573" s="466"/>
      <c r="AU4573" s="466"/>
      <c r="AV4573" s="466"/>
      <c r="AW4573" s="466"/>
      <c r="AX4573" s="466"/>
      <c r="AY4573" s="466"/>
      <c r="AZ4573" s="466"/>
      <c r="BA4573" s="466"/>
      <c r="BB4573" s="466"/>
      <c r="BC4573" s="466"/>
      <c r="BD4573" s="466"/>
      <c r="BE4573" s="467"/>
      <c r="BF4573" s="467"/>
      <c r="BG4573" s="466"/>
      <c r="BH4573" s="466"/>
      <c r="BI4573" s="467"/>
      <c r="BJ4573" s="467"/>
      <c r="BK4573" s="467"/>
      <c r="BL4573" s="467"/>
      <c r="BM4573" s="467"/>
      <c r="BN4573" s="467"/>
      <c r="BO4573" s="467"/>
      <c r="BP4573" s="467"/>
      <c r="BQ4573" s="467"/>
      <c r="BR4573" s="467"/>
      <c r="BS4573" s="467"/>
      <c r="BT4573" s="467"/>
      <c r="BU4573" s="467"/>
      <c r="BV4573" s="467"/>
      <c r="BW4573" s="467"/>
      <c r="BX4573" s="769"/>
      <c r="BY4573" s="769"/>
      <c r="BZ4573" s="769"/>
      <c r="CA4573" s="769"/>
      <c r="CB4573" s="769"/>
      <c r="CC4573" s="769"/>
      <c r="CD4573" s="769"/>
      <c r="CE4573" s="769"/>
      <c r="CF4573" s="769"/>
      <c r="CG4573" s="73"/>
      <c r="CH4573" s="438"/>
      <c r="CI4573" s="416"/>
      <c r="CJ4573" s="73"/>
      <c r="CK4573" s="650"/>
      <c r="CL4573" s="499"/>
      <c r="CM4573" s="650"/>
      <c r="CR4573" s="416"/>
      <c r="CS4573" s="650"/>
      <c r="CU4573" s="73"/>
      <c r="CV4573" s="73"/>
      <c r="CW4573" s="73"/>
      <c r="CX4573" s="73"/>
      <c r="DA4573" s="650"/>
    </row>
    <row r="4574" spans="1:105" s="45" customFormat="1" x14ac:dyDescent="0.2">
      <c r="A4574" s="650"/>
      <c r="B4574" s="438"/>
      <c r="C4574"/>
      <c r="D4574" s="73"/>
      <c r="E4574" s="48"/>
      <c r="F4574" s="48"/>
      <c r="G4574" s="1"/>
      <c r="H4574"/>
      <c r="I4574" s="2"/>
      <c r="J4574" s="72"/>
      <c r="K4574" s="72"/>
      <c r="L4574" s="499"/>
      <c r="M4574" s="1"/>
      <c r="N4574" s="499"/>
      <c r="O4574" s="1"/>
      <c r="P4574" s="1"/>
      <c r="Q4574" s="1"/>
      <c r="R4574" s="3"/>
      <c r="S4574" s="3"/>
      <c r="T4574" s="3"/>
      <c r="U4574" s="400"/>
      <c r="V4574" s="400"/>
      <c r="W4574" s="732"/>
      <c r="X4574" s="24"/>
      <c r="Y4574" s="509"/>
      <c r="Z4574" s="466"/>
      <c r="AA4574" s="466"/>
      <c r="AB4574" s="466"/>
      <c r="AC4574" s="466"/>
      <c r="AD4574" s="466"/>
      <c r="AE4574" s="466"/>
      <c r="AF4574" s="466"/>
      <c r="AG4574" s="466"/>
      <c r="AH4574" s="466"/>
      <c r="AI4574" s="466"/>
      <c r="AJ4574" s="466"/>
      <c r="AK4574" s="466"/>
      <c r="AL4574" s="466"/>
      <c r="AM4574" s="466"/>
      <c r="AN4574" s="466"/>
      <c r="AO4574" s="466"/>
      <c r="AP4574" s="466"/>
      <c r="AQ4574" s="466"/>
      <c r="AR4574" s="466"/>
      <c r="AS4574" s="466"/>
      <c r="AT4574" s="466"/>
      <c r="AU4574" s="466"/>
      <c r="AV4574" s="466"/>
      <c r="AW4574" s="466"/>
      <c r="AX4574" s="466"/>
      <c r="AY4574" s="466"/>
      <c r="AZ4574" s="466"/>
      <c r="BA4574" s="466"/>
      <c r="BB4574" s="466"/>
      <c r="BC4574" s="466"/>
      <c r="BD4574" s="466"/>
      <c r="BE4574" s="467"/>
      <c r="BF4574" s="467"/>
      <c r="BG4574" s="466"/>
      <c r="BH4574" s="466"/>
      <c r="BI4574" s="467"/>
      <c r="BJ4574" s="467"/>
      <c r="BK4574" s="467"/>
      <c r="BL4574" s="467"/>
      <c r="BM4574" s="467"/>
      <c r="BN4574" s="467"/>
      <c r="BO4574" s="467"/>
      <c r="BP4574" s="467"/>
      <c r="BQ4574" s="467"/>
      <c r="BR4574" s="467"/>
      <c r="BS4574" s="467"/>
      <c r="BT4574" s="467"/>
      <c r="BU4574" s="467"/>
      <c r="BV4574" s="467"/>
      <c r="BW4574" s="467"/>
      <c r="BX4574" s="769"/>
      <c r="BY4574" s="769"/>
      <c r="BZ4574" s="769"/>
      <c r="CA4574" s="769"/>
      <c r="CB4574" s="769"/>
      <c r="CC4574" s="769"/>
      <c r="CD4574" s="769"/>
      <c r="CE4574" s="769"/>
      <c r="CF4574" s="769"/>
      <c r="CG4574" s="73"/>
      <c r="CH4574" s="438"/>
      <c r="CI4574" s="416"/>
      <c r="CJ4574" s="73"/>
      <c r="CK4574" s="650"/>
      <c r="CL4574" s="499"/>
      <c r="CM4574" s="650"/>
      <c r="CR4574" s="416"/>
      <c r="CS4574" s="650"/>
      <c r="CU4574" s="73"/>
      <c r="CV4574" s="73"/>
      <c r="CW4574" s="73"/>
      <c r="CX4574" s="73"/>
      <c r="DA4574" s="650"/>
    </row>
    <row r="4575" spans="1:105" s="45" customFormat="1" x14ac:dyDescent="0.2">
      <c r="A4575" s="650"/>
      <c r="B4575" s="438"/>
      <c r="C4575"/>
      <c r="D4575" s="73"/>
      <c r="E4575" s="48"/>
      <c r="F4575" s="48"/>
      <c r="G4575" s="1"/>
      <c r="H4575"/>
      <c r="I4575" s="2"/>
      <c r="J4575" s="72"/>
      <c r="K4575" s="72"/>
      <c r="L4575" s="499"/>
      <c r="M4575" s="1"/>
      <c r="N4575" s="499"/>
      <c r="O4575" s="1"/>
      <c r="P4575" s="1"/>
      <c r="Q4575" s="1"/>
      <c r="R4575" s="3"/>
      <c r="S4575" s="3"/>
      <c r="T4575" s="3"/>
      <c r="U4575" s="400"/>
      <c r="V4575" s="400"/>
      <c r="W4575" s="732"/>
      <c r="X4575" s="24"/>
      <c r="Y4575" s="509"/>
      <c r="Z4575" s="466"/>
      <c r="AA4575" s="466"/>
      <c r="AB4575" s="466"/>
      <c r="AC4575" s="466"/>
      <c r="AD4575" s="466"/>
      <c r="AE4575" s="466"/>
      <c r="AF4575" s="466"/>
      <c r="AG4575" s="466"/>
      <c r="AH4575" s="466"/>
      <c r="AI4575" s="466"/>
      <c r="AJ4575" s="466"/>
      <c r="AK4575" s="466"/>
      <c r="AL4575" s="466"/>
      <c r="AM4575" s="466"/>
      <c r="AN4575" s="466"/>
      <c r="AO4575" s="466"/>
      <c r="AP4575" s="466"/>
      <c r="AQ4575" s="466"/>
      <c r="AR4575" s="466"/>
      <c r="AS4575" s="466"/>
      <c r="AT4575" s="466"/>
      <c r="AU4575" s="466"/>
      <c r="AV4575" s="466"/>
      <c r="AW4575" s="466"/>
      <c r="AX4575" s="466"/>
      <c r="AY4575" s="466"/>
      <c r="AZ4575" s="466"/>
      <c r="BA4575" s="466"/>
      <c r="BB4575" s="466"/>
      <c r="BC4575" s="466"/>
      <c r="BD4575" s="466"/>
      <c r="BE4575" s="467"/>
      <c r="BF4575" s="467"/>
      <c r="BG4575" s="466"/>
      <c r="BH4575" s="466"/>
      <c r="BI4575" s="467"/>
      <c r="BJ4575" s="467"/>
      <c r="BK4575" s="467"/>
      <c r="BL4575" s="467"/>
      <c r="BM4575" s="467"/>
      <c r="BN4575" s="467"/>
      <c r="BO4575" s="467"/>
      <c r="BP4575" s="467"/>
      <c r="BQ4575" s="467"/>
      <c r="BR4575" s="467"/>
      <c r="BS4575" s="467"/>
      <c r="BT4575" s="467"/>
      <c r="BU4575" s="467"/>
      <c r="BV4575" s="467"/>
      <c r="BW4575" s="467"/>
      <c r="BX4575" s="769"/>
      <c r="BY4575" s="769"/>
      <c r="BZ4575" s="769"/>
      <c r="CA4575" s="769"/>
      <c r="CB4575" s="769"/>
      <c r="CC4575" s="769"/>
      <c r="CD4575" s="769"/>
      <c r="CE4575" s="769"/>
      <c r="CF4575" s="769"/>
      <c r="CG4575" s="73"/>
      <c r="CH4575" s="438"/>
      <c r="CI4575" s="416"/>
      <c r="CJ4575" s="73"/>
      <c r="CK4575" s="650"/>
      <c r="CL4575" s="499"/>
      <c r="CM4575" s="650"/>
      <c r="CR4575" s="416"/>
      <c r="CS4575" s="650"/>
      <c r="CU4575" s="73"/>
      <c r="CV4575" s="73"/>
      <c r="CW4575" s="73"/>
      <c r="CX4575" s="73"/>
      <c r="DA4575" s="650"/>
    </row>
    <row r="4576" spans="1:105" s="45" customFormat="1" x14ac:dyDescent="0.2">
      <c r="A4576" s="650"/>
      <c r="B4576" s="438"/>
      <c r="C4576"/>
      <c r="D4576" s="73"/>
      <c r="E4576" s="48"/>
      <c r="F4576" s="48"/>
      <c r="G4576" s="1"/>
      <c r="H4576"/>
      <c r="I4576" s="2"/>
      <c r="J4576" s="72"/>
      <c r="K4576" s="72"/>
      <c r="L4576" s="499"/>
      <c r="M4576" s="1"/>
      <c r="N4576" s="499"/>
      <c r="O4576" s="1"/>
      <c r="P4576" s="1"/>
      <c r="Q4576" s="1"/>
      <c r="R4576" s="3"/>
      <c r="S4576" s="3"/>
      <c r="T4576" s="3"/>
      <c r="U4576" s="400"/>
      <c r="V4576" s="400"/>
      <c r="W4576" s="732"/>
      <c r="X4576" s="24"/>
      <c r="Y4576" s="509"/>
      <c r="Z4576" s="466"/>
      <c r="AA4576" s="466"/>
      <c r="AB4576" s="466"/>
      <c r="AC4576" s="466"/>
      <c r="AD4576" s="466"/>
      <c r="AE4576" s="466"/>
      <c r="AF4576" s="466"/>
      <c r="AG4576" s="466"/>
      <c r="AH4576" s="466"/>
      <c r="AI4576" s="466"/>
      <c r="AJ4576" s="466"/>
      <c r="AK4576" s="466"/>
      <c r="AL4576" s="466"/>
      <c r="AM4576" s="466"/>
      <c r="AN4576" s="466"/>
      <c r="AO4576" s="466"/>
      <c r="AP4576" s="466"/>
      <c r="AQ4576" s="466"/>
      <c r="AR4576" s="466"/>
      <c r="AS4576" s="466"/>
      <c r="AT4576" s="466"/>
      <c r="AU4576" s="466"/>
      <c r="AV4576" s="466"/>
      <c r="AW4576" s="466"/>
      <c r="AX4576" s="466"/>
      <c r="AY4576" s="466"/>
      <c r="AZ4576" s="466"/>
      <c r="BA4576" s="466"/>
      <c r="BB4576" s="466"/>
      <c r="BC4576" s="466"/>
      <c r="BD4576" s="466"/>
      <c r="BE4576" s="467"/>
      <c r="BF4576" s="467"/>
      <c r="BG4576" s="466"/>
      <c r="BH4576" s="466"/>
      <c r="BI4576" s="467"/>
      <c r="BJ4576" s="467"/>
      <c r="BK4576" s="467"/>
      <c r="BL4576" s="467"/>
      <c r="BM4576" s="467"/>
      <c r="BN4576" s="467"/>
      <c r="BO4576" s="467"/>
      <c r="BP4576" s="467"/>
      <c r="BQ4576" s="467"/>
      <c r="BR4576" s="467"/>
      <c r="BS4576" s="467"/>
      <c r="BT4576" s="467"/>
      <c r="BU4576" s="467"/>
      <c r="BV4576" s="467"/>
      <c r="BW4576" s="467"/>
      <c r="BX4576" s="769"/>
      <c r="BY4576" s="769"/>
      <c r="BZ4576" s="769"/>
      <c r="CA4576" s="769"/>
      <c r="CB4576" s="769"/>
      <c r="CC4576" s="769"/>
      <c r="CD4576" s="769"/>
      <c r="CE4576" s="769"/>
      <c r="CF4576" s="769"/>
      <c r="CG4576" s="73"/>
      <c r="CH4576" s="438"/>
      <c r="CI4576" s="416"/>
      <c r="CJ4576" s="73"/>
      <c r="CK4576" s="650"/>
      <c r="CL4576" s="499"/>
      <c r="CM4576" s="650"/>
      <c r="CR4576" s="416"/>
      <c r="CS4576" s="650"/>
      <c r="CU4576" s="73"/>
      <c r="CV4576" s="73"/>
      <c r="CW4576" s="73"/>
      <c r="CX4576" s="73"/>
      <c r="DA4576" s="650"/>
    </row>
    <row r="4577" spans="1:105" s="45" customFormat="1" x14ac:dyDescent="0.2">
      <c r="A4577" s="650"/>
      <c r="B4577" s="438"/>
      <c r="C4577"/>
      <c r="D4577" s="73"/>
      <c r="E4577" s="48"/>
      <c r="F4577" s="48"/>
      <c r="G4577" s="1"/>
      <c r="H4577"/>
      <c r="I4577" s="2"/>
      <c r="J4577" s="72"/>
      <c r="K4577" s="72"/>
      <c r="L4577" s="499"/>
      <c r="M4577" s="1"/>
      <c r="N4577" s="499"/>
      <c r="O4577" s="1"/>
      <c r="P4577" s="1"/>
      <c r="Q4577" s="1"/>
      <c r="R4577" s="3"/>
      <c r="S4577" s="3"/>
      <c r="T4577" s="3"/>
      <c r="U4577" s="400"/>
      <c r="V4577" s="400"/>
      <c r="W4577" s="732"/>
      <c r="X4577" s="24"/>
      <c r="Y4577" s="509"/>
      <c r="Z4577" s="466"/>
      <c r="AA4577" s="466"/>
      <c r="AB4577" s="466"/>
      <c r="AC4577" s="466"/>
      <c r="AD4577" s="466"/>
      <c r="AE4577" s="466"/>
      <c r="AF4577" s="466"/>
      <c r="AG4577" s="466"/>
      <c r="AH4577" s="466"/>
      <c r="AI4577" s="466"/>
      <c r="AJ4577" s="466"/>
      <c r="AK4577" s="466"/>
      <c r="AL4577" s="466"/>
      <c r="AM4577" s="466"/>
      <c r="AN4577" s="466"/>
      <c r="AO4577" s="466"/>
      <c r="AP4577" s="466"/>
      <c r="AQ4577" s="466"/>
      <c r="AR4577" s="466"/>
      <c r="AS4577" s="466"/>
      <c r="AT4577" s="466"/>
      <c r="AU4577" s="466"/>
      <c r="AV4577" s="466"/>
      <c r="AW4577" s="466"/>
      <c r="AX4577" s="466"/>
      <c r="AY4577" s="466"/>
      <c r="AZ4577" s="466"/>
      <c r="BA4577" s="466"/>
      <c r="BB4577" s="466"/>
      <c r="BC4577" s="466"/>
      <c r="BD4577" s="466"/>
      <c r="BE4577" s="467"/>
      <c r="BF4577" s="467"/>
      <c r="BG4577" s="466"/>
      <c r="BH4577" s="466"/>
      <c r="BI4577" s="467"/>
      <c r="BJ4577" s="467"/>
      <c r="BK4577" s="467"/>
      <c r="BL4577" s="467"/>
      <c r="BM4577" s="467"/>
      <c r="BN4577" s="467"/>
      <c r="BO4577" s="467"/>
      <c r="BP4577" s="467"/>
      <c r="BQ4577" s="467"/>
      <c r="BR4577" s="467"/>
      <c r="BS4577" s="467"/>
      <c r="BT4577" s="467"/>
      <c r="BU4577" s="467"/>
      <c r="BV4577" s="467"/>
      <c r="BW4577" s="467"/>
      <c r="BX4577" s="769"/>
      <c r="BY4577" s="769"/>
      <c r="BZ4577" s="769"/>
      <c r="CA4577" s="769"/>
      <c r="CB4577" s="769"/>
      <c r="CC4577" s="769"/>
      <c r="CD4577" s="769"/>
      <c r="CE4577" s="769"/>
      <c r="CF4577" s="769"/>
      <c r="CG4577" s="73"/>
      <c r="CH4577" s="438"/>
      <c r="CI4577" s="416"/>
      <c r="CJ4577" s="73"/>
      <c r="CK4577" s="650"/>
      <c r="CL4577" s="499"/>
      <c r="CM4577" s="650"/>
      <c r="CR4577" s="416"/>
      <c r="CS4577" s="650"/>
      <c r="CU4577" s="73"/>
      <c r="CV4577" s="73"/>
      <c r="CW4577" s="73"/>
      <c r="CX4577" s="73"/>
      <c r="DA4577" s="650"/>
    </row>
    <row r="4578" spans="1:105" s="45" customFormat="1" x14ac:dyDescent="0.2">
      <c r="A4578" s="650"/>
      <c r="B4578" s="438"/>
      <c r="C4578"/>
      <c r="D4578" s="73"/>
      <c r="E4578" s="48"/>
      <c r="F4578" s="48"/>
      <c r="G4578" s="1"/>
      <c r="H4578"/>
      <c r="I4578" s="2"/>
      <c r="J4578" s="72"/>
      <c r="K4578" s="72"/>
      <c r="L4578" s="499"/>
      <c r="M4578" s="1"/>
      <c r="N4578" s="499"/>
      <c r="O4578" s="1"/>
      <c r="P4578" s="1"/>
      <c r="Q4578" s="1"/>
      <c r="R4578" s="3"/>
      <c r="S4578" s="3"/>
      <c r="T4578" s="3"/>
      <c r="U4578" s="400"/>
      <c r="V4578" s="400"/>
      <c r="W4578" s="732"/>
      <c r="X4578" s="24"/>
      <c r="Y4578" s="509"/>
      <c r="Z4578" s="466"/>
      <c r="AA4578" s="466"/>
      <c r="AB4578" s="466"/>
      <c r="AC4578" s="466"/>
      <c r="AD4578" s="466"/>
      <c r="AE4578" s="466"/>
      <c r="AF4578" s="466"/>
      <c r="AG4578" s="466"/>
      <c r="AH4578" s="466"/>
      <c r="AI4578" s="466"/>
      <c r="AJ4578" s="466"/>
      <c r="AK4578" s="466"/>
      <c r="AL4578" s="466"/>
      <c r="AM4578" s="466"/>
      <c r="AN4578" s="466"/>
      <c r="AO4578" s="466"/>
      <c r="AP4578" s="466"/>
      <c r="AQ4578" s="466"/>
      <c r="AR4578" s="466"/>
      <c r="AS4578" s="466"/>
      <c r="AT4578" s="466"/>
      <c r="AU4578" s="466"/>
      <c r="AV4578" s="466"/>
      <c r="AW4578" s="466"/>
      <c r="AX4578" s="466"/>
      <c r="AY4578" s="466"/>
      <c r="AZ4578" s="466"/>
      <c r="BA4578" s="466"/>
      <c r="BB4578" s="466"/>
      <c r="BC4578" s="466"/>
      <c r="BD4578" s="466"/>
      <c r="BE4578" s="467"/>
      <c r="BF4578" s="467"/>
      <c r="BG4578" s="466"/>
      <c r="BH4578" s="466"/>
      <c r="BI4578" s="467"/>
      <c r="BJ4578" s="467"/>
      <c r="BK4578" s="467"/>
      <c r="BL4578" s="467"/>
      <c r="BM4578" s="467"/>
      <c r="BN4578" s="467"/>
      <c r="BO4578" s="467"/>
      <c r="BP4578" s="467"/>
      <c r="BQ4578" s="467"/>
      <c r="BR4578" s="467"/>
      <c r="BS4578" s="467"/>
      <c r="BT4578" s="467"/>
      <c r="BU4578" s="467"/>
      <c r="BV4578" s="467"/>
      <c r="BW4578" s="467"/>
      <c r="BX4578" s="769"/>
      <c r="BY4578" s="769"/>
      <c r="BZ4578" s="769"/>
      <c r="CA4578" s="769"/>
      <c r="CB4578" s="769"/>
      <c r="CC4578" s="769"/>
      <c r="CD4578" s="769"/>
      <c r="CE4578" s="769"/>
      <c r="CF4578" s="769"/>
      <c r="CG4578" s="73"/>
      <c r="CH4578" s="438"/>
      <c r="CI4578" s="416"/>
      <c r="CJ4578" s="73"/>
      <c r="CK4578" s="650"/>
      <c r="CL4578" s="499"/>
      <c r="CM4578" s="650"/>
      <c r="CR4578" s="416"/>
      <c r="CS4578" s="650"/>
      <c r="CU4578" s="73"/>
      <c r="CV4578" s="73"/>
      <c r="CW4578" s="73"/>
      <c r="CX4578" s="73"/>
      <c r="DA4578" s="650"/>
    </row>
    <row r="4579" spans="1:105" s="45" customFormat="1" x14ac:dyDescent="0.2">
      <c r="A4579" s="650"/>
      <c r="B4579" s="438"/>
      <c r="C4579"/>
      <c r="D4579" s="73"/>
      <c r="E4579" s="48"/>
      <c r="F4579" s="48"/>
      <c r="G4579" s="1"/>
      <c r="H4579"/>
      <c r="I4579" s="2"/>
      <c r="J4579" s="72"/>
      <c r="K4579" s="72"/>
      <c r="L4579" s="499"/>
      <c r="M4579" s="1"/>
      <c r="N4579" s="499"/>
      <c r="O4579" s="1"/>
      <c r="P4579" s="1"/>
      <c r="Q4579" s="1"/>
      <c r="R4579" s="3"/>
      <c r="S4579" s="3"/>
      <c r="T4579" s="3"/>
      <c r="U4579" s="400"/>
      <c r="V4579" s="400"/>
      <c r="W4579" s="732"/>
      <c r="X4579" s="24"/>
      <c r="Y4579" s="509"/>
      <c r="Z4579" s="466"/>
      <c r="AA4579" s="466"/>
      <c r="AB4579" s="466"/>
      <c r="AC4579" s="466"/>
      <c r="AD4579" s="466"/>
      <c r="AE4579" s="466"/>
      <c r="AF4579" s="466"/>
      <c r="AG4579" s="466"/>
      <c r="AH4579" s="466"/>
      <c r="AI4579" s="466"/>
      <c r="AJ4579" s="466"/>
      <c r="AK4579" s="466"/>
      <c r="AL4579" s="466"/>
      <c r="AM4579" s="466"/>
      <c r="AN4579" s="466"/>
      <c r="AO4579" s="466"/>
      <c r="AP4579" s="466"/>
      <c r="AQ4579" s="466"/>
      <c r="AR4579" s="466"/>
      <c r="AS4579" s="466"/>
      <c r="AT4579" s="466"/>
      <c r="AU4579" s="466"/>
      <c r="AV4579" s="466"/>
      <c r="AW4579" s="466"/>
      <c r="AX4579" s="466"/>
      <c r="AY4579" s="466"/>
      <c r="AZ4579" s="466"/>
      <c r="BA4579" s="466"/>
      <c r="BB4579" s="466"/>
      <c r="BC4579" s="466"/>
      <c r="BD4579" s="466"/>
      <c r="BE4579" s="467"/>
      <c r="BF4579" s="467"/>
      <c r="BG4579" s="466"/>
      <c r="BH4579" s="466"/>
      <c r="BI4579" s="467"/>
      <c r="BJ4579" s="467"/>
      <c r="BK4579" s="467"/>
      <c r="BL4579" s="467"/>
      <c r="BM4579" s="467"/>
      <c r="BN4579" s="467"/>
      <c r="BO4579" s="467"/>
      <c r="BP4579" s="467"/>
      <c r="BQ4579" s="467"/>
      <c r="BR4579" s="467"/>
      <c r="BS4579" s="467"/>
      <c r="BT4579" s="467"/>
      <c r="BU4579" s="467"/>
      <c r="BV4579" s="467"/>
      <c r="BW4579" s="467"/>
      <c r="BX4579" s="769"/>
      <c r="BY4579" s="769"/>
      <c r="BZ4579" s="769"/>
      <c r="CA4579" s="769"/>
      <c r="CB4579" s="769"/>
      <c r="CC4579" s="769"/>
      <c r="CD4579" s="769"/>
      <c r="CE4579" s="769"/>
      <c r="CF4579" s="769"/>
      <c r="CG4579" s="73"/>
      <c r="CH4579" s="438"/>
      <c r="CI4579" s="416"/>
      <c r="CJ4579" s="73"/>
      <c r="CK4579" s="650"/>
      <c r="CL4579" s="499"/>
      <c r="CM4579" s="650"/>
      <c r="CR4579" s="416"/>
      <c r="CS4579" s="650"/>
      <c r="CU4579" s="73"/>
      <c r="CV4579" s="73"/>
      <c r="CW4579" s="73"/>
      <c r="CX4579" s="73"/>
      <c r="DA4579" s="650"/>
    </row>
    <row r="4580" spans="1:105" s="45" customFormat="1" x14ac:dyDescent="0.2">
      <c r="A4580" s="650"/>
      <c r="B4580" s="438"/>
      <c r="C4580"/>
      <c r="D4580" s="73"/>
      <c r="E4580" s="48"/>
      <c r="F4580" s="48"/>
      <c r="G4580" s="1"/>
      <c r="H4580"/>
      <c r="I4580" s="2"/>
      <c r="J4580" s="72"/>
      <c r="K4580" s="72"/>
      <c r="L4580" s="499"/>
      <c r="M4580" s="1"/>
      <c r="N4580" s="499"/>
      <c r="O4580" s="1"/>
      <c r="P4580" s="1"/>
      <c r="Q4580" s="1"/>
      <c r="R4580" s="3"/>
      <c r="S4580" s="3"/>
      <c r="T4580" s="3"/>
      <c r="U4580" s="400"/>
      <c r="V4580" s="400"/>
      <c r="W4580" s="732"/>
      <c r="X4580" s="24"/>
      <c r="Y4580" s="509"/>
      <c r="Z4580" s="466"/>
      <c r="AA4580" s="466"/>
      <c r="AB4580" s="466"/>
      <c r="AC4580" s="466"/>
      <c r="AD4580" s="466"/>
      <c r="AE4580" s="466"/>
      <c r="AF4580" s="466"/>
      <c r="AG4580" s="466"/>
      <c r="AH4580" s="466"/>
      <c r="AI4580" s="466"/>
      <c r="AJ4580" s="466"/>
      <c r="AK4580" s="466"/>
      <c r="AL4580" s="466"/>
      <c r="AM4580" s="466"/>
      <c r="AN4580" s="466"/>
      <c r="AO4580" s="466"/>
      <c r="AP4580" s="466"/>
      <c r="AQ4580" s="466"/>
      <c r="AR4580" s="466"/>
      <c r="AS4580" s="466"/>
      <c r="AT4580" s="466"/>
      <c r="AU4580" s="466"/>
      <c r="AV4580" s="466"/>
      <c r="AW4580" s="466"/>
      <c r="AX4580" s="466"/>
      <c r="AY4580" s="466"/>
      <c r="AZ4580" s="466"/>
      <c r="BA4580" s="466"/>
      <c r="BB4580" s="466"/>
      <c r="BC4580" s="466"/>
      <c r="BD4580" s="466"/>
      <c r="BE4580" s="467"/>
      <c r="BF4580" s="467"/>
      <c r="BG4580" s="466"/>
      <c r="BH4580" s="466"/>
      <c r="BI4580" s="467"/>
      <c r="BJ4580" s="467"/>
      <c r="BK4580" s="467"/>
      <c r="BL4580" s="467"/>
      <c r="BM4580" s="467"/>
      <c r="BN4580" s="467"/>
      <c r="BO4580" s="467"/>
      <c r="BP4580" s="467"/>
      <c r="BQ4580" s="467"/>
      <c r="BR4580" s="467"/>
      <c r="BS4580" s="467"/>
      <c r="BT4580" s="467"/>
      <c r="BU4580" s="467"/>
      <c r="BV4580" s="467"/>
      <c r="BW4580" s="467"/>
      <c r="BX4580" s="769"/>
      <c r="BY4580" s="769"/>
      <c r="BZ4580" s="769"/>
      <c r="CA4580" s="769"/>
      <c r="CB4580" s="769"/>
      <c r="CC4580" s="769"/>
      <c r="CD4580" s="769"/>
      <c r="CE4580" s="769"/>
      <c r="CF4580" s="769"/>
      <c r="CG4580" s="73"/>
      <c r="CH4580" s="438"/>
      <c r="CI4580" s="416"/>
      <c r="CJ4580" s="73"/>
      <c r="CK4580" s="650"/>
      <c r="CL4580" s="499"/>
      <c r="CM4580" s="650"/>
      <c r="CR4580" s="416"/>
      <c r="CS4580" s="650"/>
      <c r="CU4580" s="73"/>
      <c r="CV4580" s="73"/>
      <c r="CW4580" s="73"/>
      <c r="CX4580" s="73"/>
      <c r="DA4580" s="650"/>
    </row>
    <row r="4581" spans="1:105" s="45" customFormat="1" x14ac:dyDescent="0.2">
      <c r="A4581" s="650"/>
      <c r="B4581" s="438"/>
      <c r="C4581"/>
      <c r="D4581" s="73"/>
      <c r="E4581" s="48"/>
      <c r="F4581" s="48"/>
      <c r="G4581" s="1"/>
      <c r="H4581"/>
      <c r="I4581" s="2"/>
      <c r="J4581" s="72"/>
      <c r="K4581" s="72"/>
      <c r="L4581" s="499"/>
      <c r="M4581" s="1"/>
      <c r="N4581" s="499"/>
      <c r="O4581" s="1"/>
      <c r="P4581" s="1"/>
      <c r="Q4581" s="1"/>
      <c r="R4581" s="3"/>
      <c r="S4581" s="3"/>
      <c r="T4581" s="3"/>
      <c r="U4581" s="400"/>
      <c r="V4581" s="400"/>
      <c r="W4581" s="732"/>
      <c r="X4581" s="24"/>
      <c r="Y4581" s="509"/>
      <c r="Z4581" s="466"/>
      <c r="AA4581" s="466"/>
      <c r="AB4581" s="466"/>
      <c r="AC4581" s="466"/>
      <c r="AD4581" s="466"/>
      <c r="AE4581" s="466"/>
      <c r="AF4581" s="466"/>
      <c r="AG4581" s="466"/>
      <c r="AH4581" s="466"/>
      <c r="AI4581" s="466"/>
      <c r="AJ4581" s="466"/>
      <c r="AK4581" s="466"/>
      <c r="AL4581" s="466"/>
      <c r="AM4581" s="466"/>
      <c r="AN4581" s="466"/>
      <c r="AO4581" s="466"/>
      <c r="AP4581" s="466"/>
      <c r="AQ4581" s="466"/>
      <c r="AR4581" s="466"/>
      <c r="AS4581" s="466"/>
      <c r="AT4581" s="466"/>
      <c r="AU4581" s="466"/>
      <c r="AV4581" s="466"/>
      <c r="AW4581" s="466"/>
      <c r="AX4581" s="466"/>
      <c r="AY4581" s="466"/>
      <c r="AZ4581" s="466"/>
      <c r="BA4581" s="466"/>
      <c r="BB4581" s="466"/>
      <c r="BC4581" s="466"/>
      <c r="BD4581" s="466"/>
      <c r="BE4581" s="467"/>
      <c r="BF4581" s="467"/>
      <c r="BG4581" s="466"/>
      <c r="BH4581" s="466"/>
      <c r="BI4581" s="467"/>
      <c r="BJ4581" s="467"/>
      <c r="BK4581" s="467"/>
      <c r="BL4581" s="467"/>
      <c r="BM4581" s="467"/>
      <c r="BN4581" s="467"/>
      <c r="BO4581" s="467"/>
      <c r="BP4581" s="467"/>
      <c r="BQ4581" s="467"/>
      <c r="BR4581" s="467"/>
      <c r="BS4581" s="467"/>
      <c r="BT4581" s="467"/>
      <c r="BU4581" s="467"/>
      <c r="BV4581" s="467"/>
      <c r="BW4581" s="467"/>
      <c r="BX4581" s="769"/>
      <c r="BY4581" s="769"/>
      <c r="BZ4581" s="769"/>
      <c r="CA4581" s="769"/>
      <c r="CB4581" s="769"/>
      <c r="CC4581" s="769"/>
      <c r="CD4581" s="769"/>
      <c r="CE4581" s="769"/>
      <c r="CF4581" s="769"/>
      <c r="CG4581" s="73"/>
      <c r="CH4581" s="438"/>
      <c r="CI4581" s="416"/>
      <c r="CJ4581" s="73"/>
      <c r="CK4581" s="650"/>
      <c r="CL4581" s="499"/>
      <c r="CM4581" s="650"/>
      <c r="CR4581" s="416"/>
      <c r="CS4581" s="650"/>
      <c r="CU4581" s="73"/>
      <c r="CV4581" s="73"/>
      <c r="CW4581" s="73"/>
      <c r="CX4581" s="73"/>
      <c r="DA4581" s="650"/>
    </row>
    <row r="4582" spans="1:105" s="45" customFormat="1" x14ac:dyDescent="0.2">
      <c r="A4582" s="650"/>
      <c r="B4582" s="438"/>
      <c r="C4582"/>
      <c r="D4582" s="73"/>
      <c r="E4582" s="48"/>
      <c r="F4582" s="48"/>
      <c r="G4582" s="1"/>
      <c r="H4582"/>
      <c r="I4582" s="2"/>
      <c r="J4582" s="72"/>
      <c r="K4582" s="72"/>
      <c r="L4582" s="499"/>
      <c r="M4582" s="1"/>
      <c r="N4582" s="499"/>
      <c r="O4582" s="1"/>
      <c r="P4582" s="1"/>
      <c r="Q4582" s="1"/>
      <c r="R4582" s="3"/>
      <c r="S4582" s="3"/>
      <c r="T4582" s="3"/>
      <c r="U4582" s="400"/>
      <c r="V4582" s="400"/>
      <c r="W4582" s="732"/>
      <c r="X4582" s="24"/>
      <c r="Y4582" s="509"/>
      <c r="Z4582" s="466"/>
      <c r="AA4582" s="466"/>
      <c r="AB4582" s="466"/>
      <c r="AC4582" s="466"/>
      <c r="AD4582" s="466"/>
      <c r="AE4582" s="466"/>
      <c r="AF4582" s="466"/>
      <c r="AG4582" s="466"/>
      <c r="AH4582" s="466"/>
      <c r="AI4582" s="466"/>
      <c r="AJ4582" s="466"/>
      <c r="AK4582" s="466"/>
      <c r="AL4582" s="466"/>
      <c r="AM4582" s="466"/>
      <c r="AN4582" s="466"/>
      <c r="AO4582" s="466"/>
      <c r="AP4582" s="466"/>
      <c r="AQ4582" s="466"/>
      <c r="AR4582" s="466"/>
      <c r="AS4582" s="466"/>
      <c r="AT4582" s="466"/>
      <c r="AU4582" s="466"/>
      <c r="AV4582" s="466"/>
      <c r="AW4582" s="466"/>
      <c r="AX4582" s="466"/>
      <c r="AY4582" s="466"/>
      <c r="AZ4582" s="466"/>
      <c r="BA4582" s="466"/>
      <c r="BB4582" s="466"/>
      <c r="BC4582" s="466"/>
      <c r="BD4582" s="466"/>
      <c r="BE4582" s="467"/>
      <c r="BF4582" s="467"/>
      <c r="BG4582" s="466"/>
      <c r="BH4582" s="466"/>
      <c r="BI4582" s="467"/>
      <c r="BJ4582" s="467"/>
      <c r="BK4582" s="467"/>
      <c r="BL4582" s="467"/>
      <c r="BM4582" s="467"/>
      <c r="BN4582" s="467"/>
      <c r="BO4582" s="467"/>
      <c r="BP4582" s="467"/>
      <c r="BQ4582" s="467"/>
      <c r="BR4582" s="467"/>
      <c r="BS4582" s="467"/>
      <c r="BT4582" s="467"/>
      <c r="BU4582" s="467"/>
      <c r="BV4582" s="467"/>
      <c r="BW4582" s="467"/>
      <c r="BX4582" s="769"/>
      <c r="BY4582" s="769"/>
      <c r="BZ4582" s="769"/>
      <c r="CA4582" s="769"/>
      <c r="CB4582" s="769"/>
      <c r="CC4582" s="769"/>
      <c r="CD4582" s="769"/>
      <c r="CE4582" s="769"/>
      <c r="CF4582" s="769"/>
      <c r="CG4582" s="73"/>
      <c r="CH4582" s="438"/>
      <c r="CI4582" s="416"/>
      <c r="CJ4582" s="73"/>
      <c r="CK4582" s="650"/>
      <c r="CL4582" s="499"/>
      <c r="CM4582" s="650"/>
      <c r="CR4582" s="416"/>
      <c r="CS4582" s="650"/>
      <c r="CU4582" s="73"/>
      <c r="CV4582" s="73"/>
      <c r="CW4582" s="73"/>
      <c r="CX4582" s="73"/>
      <c r="DA4582" s="650"/>
    </row>
    <row r="4583" spans="1:105" s="45" customFormat="1" x14ac:dyDescent="0.2">
      <c r="A4583" s="650"/>
      <c r="B4583" s="438"/>
      <c r="C4583"/>
      <c r="D4583" s="73"/>
      <c r="E4583" s="48"/>
      <c r="F4583" s="48"/>
      <c r="G4583" s="1"/>
      <c r="H4583"/>
      <c r="I4583" s="2"/>
      <c r="J4583" s="72"/>
      <c r="K4583" s="72"/>
      <c r="L4583" s="499"/>
      <c r="M4583" s="1"/>
      <c r="N4583" s="499"/>
      <c r="O4583" s="1"/>
      <c r="P4583" s="1"/>
      <c r="Q4583" s="1"/>
      <c r="R4583" s="3"/>
      <c r="S4583" s="3"/>
      <c r="T4583" s="3"/>
      <c r="U4583" s="400"/>
      <c r="V4583" s="400"/>
      <c r="W4583" s="732"/>
      <c r="X4583" s="24"/>
      <c r="Y4583" s="509"/>
      <c r="Z4583" s="466"/>
      <c r="AA4583" s="466"/>
      <c r="AB4583" s="466"/>
      <c r="AC4583" s="466"/>
      <c r="AD4583" s="466"/>
      <c r="AE4583" s="466"/>
      <c r="AF4583" s="466"/>
      <c r="AG4583" s="466"/>
      <c r="AH4583" s="466"/>
      <c r="AI4583" s="466"/>
      <c r="AJ4583" s="466"/>
      <c r="AK4583" s="466"/>
      <c r="AL4583" s="466"/>
      <c r="AM4583" s="466"/>
      <c r="AN4583" s="466"/>
      <c r="AO4583" s="466"/>
      <c r="AP4583" s="466"/>
      <c r="AQ4583" s="466"/>
      <c r="AR4583" s="466"/>
      <c r="AS4583" s="466"/>
      <c r="AT4583" s="466"/>
      <c r="AU4583" s="466"/>
      <c r="AV4583" s="466"/>
      <c r="AW4583" s="466"/>
      <c r="AX4583" s="466"/>
      <c r="AY4583" s="466"/>
      <c r="AZ4583" s="466"/>
      <c r="BA4583" s="466"/>
      <c r="BB4583" s="466"/>
      <c r="BC4583" s="466"/>
      <c r="BD4583" s="466"/>
      <c r="BE4583" s="467"/>
      <c r="BF4583" s="467"/>
      <c r="BG4583" s="466"/>
      <c r="BH4583" s="466"/>
      <c r="BI4583" s="467"/>
      <c r="BJ4583" s="467"/>
      <c r="BK4583" s="467"/>
      <c r="BL4583" s="467"/>
      <c r="BM4583" s="467"/>
      <c r="BN4583" s="467"/>
      <c r="BO4583" s="467"/>
      <c r="BP4583" s="467"/>
      <c r="BQ4583" s="467"/>
      <c r="BR4583" s="467"/>
      <c r="BS4583" s="467"/>
      <c r="BT4583" s="467"/>
      <c r="BU4583" s="467"/>
      <c r="BV4583" s="467"/>
      <c r="BW4583" s="467"/>
      <c r="BX4583" s="769"/>
      <c r="BY4583" s="769"/>
      <c r="BZ4583" s="769"/>
      <c r="CA4583" s="769"/>
      <c r="CB4583" s="769"/>
      <c r="CC4583" s="769"/>
      <c r="CD4583" s="769"/>
      <c r="CE4583" s="769"/>
      <c r="CF4583" s="769"/>
      <c r="CG4583" s="73"/>
      <c r="CH4583" s="438"/>
      <c r="CI4583" s="416"/>
      <c r="CJ4583" s="73"/>
      <c r="CK4583" s="650"/>
      <c r="CL4583" s="499"/>
      <c r="CM4583" s="650"/>
      <c r="CR4583" s="416"/>
      <c r="CS4583" s="650"/>
      <c r="CU4583" s="73"/>
      <c r="CV4583" s="73"/>
      <c r="CW4583" s="73"/>
      <c r="CX4583" s="73"/>
      <c r="DA4583" s="650"/>
    </row>
    <row r="4584" spans="1:105" s="45" customFormat="1" x14ac:dyDescent="0.2">
      <c r="A4584" s="650"/>
      <c r="B4584" s="438"/>
      <c r="C4584"/>
      <c r="D4584" s="73"/>
      <c r="E4584" s="48"/>
      <c r="F4584" s="48"/>
      <c r="G4584" s="1"/>
      <c r="H4584"/>
      <c r="I4584" s="2"/>
      <c r="J4584" s="72"/>
      <c r="K4584" s="72"/>
      <c r="L4584" s="499"/>
      <c r="M4584" s="1"/>
      <c r="N4584" s="499"/>
      <c r="O4584" s="1"/>
      <c r="P4584" s="1"/>
      <c r="Q4584" s="1"/>
      <c r="R4584" s="3"/>
      <c r="S4584" s="3"/>
      <c r="T4584" s="3"/>
      <c r="U4584" s="400"/>
      <c r="V4584" s="400"/>
      <c r="W4584" s="732"/>
      <c r="X4584" s="24"/>
      <c r="Y4584" s="509"/>
      <c r="Z4584" s="466"/>
      <c r="AA4584" s="466"/>
      <c r="AB4584" s="466"/>
      <c r="AC4584" s="466"/>
      <c r="AD4584" s="466"/>
      <c r="AE4584" s="466"/>
      <c r="AF4584" s="466"/>
      <c r="AG4584" s="466"/>
      <c r="AH4584" s="466"/>
      <c r="AI4584" s="466"/>
      <c r="AJ4584" s="466"/>
      <c r="AK4584" s="466"/>
      <c r="AL4584" s="466"/>
      <c r="AM4584" s="466"/>
      <c r="AN4584" s="466"/>
      <c r="AO4584" s="466"/>
      <c r="AP4584" s="466"/>
      <c r="AQ4584" s="466"/>
      <c r="AR4584" s="466"/>
      <c r="AS4584" s="466"/>
      <c r="AT4584" s="466"/>
      <c r="AU4584" s="466"/>
      <c r="AV4584" s="466"/>
      <c r="AW4584" s="466"/>
      <c r="AX4584" s="466"/>
      <c r="AY4584" s="466"/>
      <c r="AZ4584" s="466"/>
      <c r="BA4584" s="466"/>
      <c r="BB4584" s="466"/>
      <c r="BC4584" s="466"/>
      <c r="BD4584" s="466"/>
      <c r="BE4584" s="467"/>
      <c r="BF4584" s="467"/>
      <c r="BG4584" s="466"/>
      <c r="BH4584" s="466"/>
      <c r="BI4584" s="467"/>
      <c r="BJ4584" s="467"/>
      <c r="BK4584" s="467"/>
      <c r="BL4584" s="467"/>
      <c r="BM4584" s="467"/>
      <c r="BN4584" s="467"/>
      <c r="BO4584" s="467"/>
      <c r="BP4584" s="467"/>
      <c r="BQ4584" s="467"/>
      <c r="BR4584" s="467"/>
      <c r="BS4584" s="467"/>
      <c r="BT4584" s="467"/>
      <c r="BU4584" s="467"/>
      <c r="BV4584" s="467"/>
      <c r="BW4584" s="467"/>
      <c r="BX4584" s="769"/>
      <c r="BY4584" s="769"/>
      <c r="BZ4584" s="769"/>
      <c r="CA4584" s="769"/>
      <c r="CB4584" s="769"/>
      <c r="CC4584" s="769"/>
      <c r="CD4584" s="769"/>
      <c r="CE4584" s="769"/>
      <c r="CF4584" s="769"/>
      <c r="CG4584" s="73"/>
      <c r="CH4584" s="438"/>
      <c r="CI4584" s="416"/>
      <c r="CJ4584" s="73"/>
      <c r="CK4584" s="650"/>
      <c r="CL4584" s="499"/>
      <c r="CM4584" s="650"/>
      <c r="CR4584" s="416"/>
      <c r="CS4584" s="650"/>
      <c r="CU4584" s="73"/>
      <c r="CV4584" s="73"/>
      <c r="CW4584" s="73"/>
      <c r="CX4584" s="73"/>
      <c r="DA4584" s="650"/>
    </row>
    <row r="4585" spans="1:105" s="45" customFormat="1" x14ac:dyDescent="0.2">
      <c r="A4585" s="650"/>
      <c r="B4585" s="438"/>
      <c r="C4585"/>
      <c r="D4585" s="73"/>
      <c r="E4585" s="48"/>
      <c r="F4585" s="48"/>
      <c r="G4585" s="1"/>
      <c r="H4585"/>
      <c r="I4585" s="2"/>
      <c r="J4585" s="72"/>
      <c r="K4585" s="72"/>
      <c r="L4585" s="499"/>
      <c r="M4585" s="1"/>
      <c r="N4585" s="499"/>
      <c r="O4585" s="1"/>
      <c r="P4585" s="1"/>
      <c r="Q4585" s="1"/>
      <c r="R4585" s="3"/>
      <c r="S4585" s="3"/>
      <c r="T4585" s="3"/>
      <c r="U4585" s="400"/>
      <c r="V4585" s="400"/>
      <c r="W4585" s="732"/>
      <c r="X4585" s="24"/>
      <c r="Y4585" s="509"/>
      <c r="Z4585" s="466"/>
      <c r="AA4585" s="466"/>
      <c r="AB4585" s="466"/>
      <c r="AC4585" s="466"/>
      <c r="AD4585" s="466"/>
      <c r="AE4585" s="466"/>
      <c r="AF4585" s="466"/>
      <c r="AG4585" s="466"/>
      <c r="AH4585" s="466"/>
      <c r="AI4585" s="466"/>
      <c r="AJ4585" s="466"/>
      <c r="AK4585" s="466"/>
      <c r="AL4585" s="466"/>
      <c r="AM4585" s="466"/>
      <c r="AN4585" s="466"/>
      <c r="AO4585" s="466"/>
      <c r="AP4585" s="466"/>
      <c r="AQ4585" s="466"/>
      <c r="AR4585" s="466"/>
      <c r="AS4585" s="466"/>
      <c r="AT4585" s="466"/>
      <c r="AU4585" s="466"/>
      <c r="AV4585" s="466"/>
      <c r="AW4585" s="466"/>
      <c r="AX4585" s="466"/>
      <c r="AY4585" s="466"/>
      <c r="AZ4585" s="466"/>
      <c r="BA4585" s="466"/>
      <c r="BB4585" s="466"/>
      <c r="BC4585" s="466"/>
      <c r="BD4585" s="466"/>
      <c r="BE4585" s="467"/>
      <c r="BF4585" s="467"/>
      <c r="BG4585" s="466"/>
      <c r="BH4585" s="466"/>
      <c r="BI4585" s="467"/>
      <c r="BJ4585" s="467"/>
      <c r="BK4585" s="467"/>
      <c r="BL4585" s="467"/>
      <c r="BM4585" s="467"/>
      <c r="BN4585" s="467"/>
      <c r="BO4585" s="467"/>
      <c r="BP4585" s="467"/>
      <c r="BQ4585" s="467"/>
      <c r="BR4585" s="467"/>
      <c r="BS4585" s="467"/>
      <c r="BT4585" s="467"/>
      <c r="BU4585" s="467"/>
      <c r="BV4585" s="467"/>
      <c r="BW4585" s="467"/>
      <c r="BX4585" s="769"/>
      <c r="BY4585" s="769"/>
      <c r="BZ4585" s="769"/>
      <c r="CA4585" s="769"/>
      <c r="CB4585" s="769"/>
      <c r="CC4585" s="769"/>
      <c r="CD4585" s="769"/>
      <c r="CE4585" s="769"/>
      <c r="CF4585" s="769"/>
      <c r="CG4585" s="73"/>
      <c r="CH4585" s="438"/>
      <c r="CI4585" s="416"/>
      <c r="CJ4585" s="73"/>
      <c r="CK4585" s="650"/>
      <c r="CL4585" s="499"/>
      <c r="CM4585" s="650"/>
      <c r="CR4585" s="416"/>
      <c r="CS4585" s="650"/>
      <c r="CU4585" s="73"/>
      <c r="CV4585" s="73"/>
      <c r="CW4585" s="73"/>
      <c r="CX4585" s="73"/>
      <c r="DA4585" s="650"/>
    </row>
    <row r="4586" spans="1:105" s="45" customFormat="1" x14ac:dyDescent="0.2">
      <c r="A4586" s="650"/>
      <c r="B4586" s="438"/>
      <c r="C4586"/>
      <c r="D4586" s="73"/>
      <c r="E4586" s="48"/>
      <c r="F4586" s="48"/>
      <c r="G4586" s="1"/>
      <c r="H4586"/>
      <c r="I4586" s="2"/>
      <c r="J4586" s="72"/>
      <c r="K4586" s="72"/>
      <c r="L4586" s="499"/>
      <c r="M4586" s="1"/>
      <c r="N4586" s="499"/>
      <c r="O4586" s="1"/>
      <c r="P4586" s="1"/>
      <c r="Q4586" s="1"/>
      <c r="R4586" s="3"/>
      <c r="S4586" s="3"/>
      <c r="T4586" s="3"/>
      <c r="U4586" s="400"/>
      <c r="V4586" s="400"/>
      <c r="W4586" s="732"/>
      <c r="X4586" s="24"/>
      <c r="Y4586" s="509"/>
      <c r="Z4586" s="466"/>
      <c r="AA4586" s="466"/>
      <c r="AB4586" s="466"/>
      <c r="AC4586" s="466"/>
      <c r="AD4586" s="466"/>
      <c r="AE4586" s="466"/>
      <c r="AF4586" s="466"/>
      <c r="AG4586" s="466"/>
      <c r="AH4586" s="466"/>
      <c r="AI4586" s="466"/>
      <c r="AJ4586" s="466"/>
      <c r="AK4586" s="466"/>
      <c r="AL4586" s="466"/>
      <c r="AM4586" s="466"/>
      <c r="AN4586" s="466"/>
      <c r="AO4586" s="466"/>
      <c r="AP4586" s="466"/>
      <c r="AQ4586" s="466"/>
      <c r="AR4586" s="466"/>
      <c r="AS4586" s="466"/>
      <c r="AT4586" s="466"/>
      <c r="AU4586" s="466"/>
      <c r="AV4586" s="466"/>
      <c r="AW4586" s="466"/>
      <c r="AX4586" s="466"/>
      <c r="AY4586" s="466"/>
      <c r="AZ4586" s="466"/>
      <c r="BA4586" s="466"/>
      <c r="BB4586" s="466"/>
      <c r="BC4586" s="466"/>
      <c r="BD4586" s="466"/>
      <c r="BE4586" s="467"/>
      <c r="BF4586" s="467"/>
      <c r="BG4586" s="466"/>
      <c r="BH4586" s="466"/>
      <c r="BI4586" s="467"/>
      <c r="BJ4586" s="467"/>
      <c r="BK4586" s="467"/>
      <c r="BL4586" s="467"/>
      <c r="BM4586" s="467"/>
      <c r="BN4586" s="467"/>
      <c r="BO4586" s="467"/>
      <c r="BP4586" s="467"/>
      <c r="BQ4586" s="467"/>
      <c r="BR4586" s="467"/>
      <c r="BS4586" s="467"/>
      <c r="BT4586" s="467"/>
      <c r="BU4586" s="467"/>
      <c r="BV4586" s="467"/>
      <c r="BW4586" s="467"/>
      <c r="BX4586" s="769"/>
      <c r="BY4586" s="769"/>
      <c r="BZ4586" s="769"/>
      <c r="CA4586" s="769"/>
      <c r="CB4586" s="769"/>
      <c r="CC4586" s="769"/>
      <c r="CD4586" s="769"/>
      <c r="CE4586" s="769"/>
      <c r="CF4586" s="769"/>
      <c r="CG4586" s="73"/>
      <c r="CH4586" s="438"/>
      <c r="CI4586" s="416"/>
      <c r="CJ4586" s="73"/>
      <c r="CK4586" s="650"/>
      <c r="CL4586" s="499"/>
      <c r="CM4586" s="650"/>
      <c r="CR4586" s="416"/>
      <c r="CS4586" s="650"/>
      <c r="CU4586" s="73"/>
      <c r="CV4586" s="73"/>
      <c r="CW4586" s="73"/>
      <c r="CX4586" s="73"/>
      <c r="DA4586" s="650"/>
    </row>
    <row r="4587" spans="1:105" s="45" customFormat="1" x14ac:dyDescent="0.2">
      <c r="A4587" s="650"/>
      <c r="B4587" s="438"/>
      <c r="C4587"/>
      <c r="D4587" s="73"/>
      <c r="E4587" s="48"/>
      <c r="F4587" s="48"/>
      <c r="G4587" s="1"/>
      <c r="H4587"/>
      <c r="I4587" s="2"/>
      <c r="J4587" s="72"/>
      <c r="K4587" s="72"/>
      <c r="L4587" s="499"/>
      <c r="M4587" s="1"/>
      <c r="N4587" s="499"/>
      <c r="O4587" s="1"/>
      <c r="P4587" s="1"/>
      <c r="Q4587" s="1"/>
      <c r="R4587" s="3"/>
      <c r="S4587" s="3"/>
      <c r="T4587" s="3"/>
      <c r="U4587" s="400"/>
      <c r="V4587" s="400"/>
      <c r="W4587" s="732"/>
      <c r="X4587" s="24"/>
      <c r="Y4587" s="509"/>
      <c r="Z4587" s="466"/>
      <c r="AA4587" s="466"/>
      <c r="AB4587" s="466"/>
      <c r="AC4587" s="466"/>
      <c r="AD4587" s="466"/>
      <c r="AE4587" s="466"/>
      <c r="AF4587" s="466"/>
      <c r="AG4587" s="466"/>
      <c r="AH4587" s="466"/>
      <c r="AI4587" s="466"/>
      <c r="AJ4587" s="466"/>
      <c r="AK4587" s="466"/>
      <c r="AL4587" s="466"/>
      <c r="AM4587" s="466"/>
      <c r="AN4587" s="466"/>
      <c r="AO4587" s="466"/>
      <c r="AP4587" s="466"/>
      <c r="AQ4587" s="466"/>
      <c r="AR4587" s="466"/>
      <c r="AS4587" s="466"/>
      <c r="AT4587" s="466"/>
      <c r="AU4587" s="466"/>
      <c r="AV4587" s="466"/>
      <c r="AW4587" s="466"/>
      <c r="AX4587" s="466"/>
      <c r="AY4587" s="466"/>
      <c r="AZ4587" s="466"/>
      <c r="BA4587" s="466"/>
      <c r="BB4587" s="466"/>
      <c r="BC4587" s="466"/>
      <c r="BD4587" s="466"/>
      <c r="BE4587" s="467"/>
      <c r="BF4587" s="467"/>
      <c r="BG4587" s="466"/>
      <c r="BH4587" s="466"/>
      <c r="BI4587" s="467"/>
      <c r="BJ4587" s="467"/>
      <c r="BK4587" s="467"/>
      <c r="BL4587" s="467"/>
      <c r="BM4587" s="467"/>
      <c r="BN4587" s="467"/>
      <c r="BO4587" s="467"/>
      <c r="BP4587" s="467"/>
      <c r="BQ4587" s="467"/>
      <c r="BR4587" s="467"/>
      <c r="BS4587" s="467"/>
      <c r="BT4587" s="467"/>
      <c r="BU4587" s="467"/>
      <c r="BV4587" s="467"/>
      <c r="BW4587" s="467"/>
      <c r="BX4587" s="769"/>
      <c r="BY4587" s="769"/>
      <c r="BZ4587" s="769"/>
      <c r="CA4587" s="769"/>
      <c r="CB4587" s="769"/>
      <c r="CC4587" s="769"/>
      <c r="CD4587" s="769"/>
      <c r="CE4587" s="769"/>
      <c r="CF4587" s="769"/>
      <c r="CG4587" s="73"/>
      <c r="CH4587" s="438"/>
      <c r="CI4587" s="416"/>
      <c r="CJ4587" s="73"/>
      <c r="CK4587" s="650"/>
      <c r="CL4587" s="499"/>
      <c r="CM4587" s="650"/>
      <c r="CR4587" s="416"/>
      <c r="CS4587" s="650"/>
      <c r="CU4587" s="73"/>
      <c r="CV4587" s="73"/>
      <c r="CW4587" s="73"/>
      <c r="CX4587" s="73"/>
      <c r="DA4587" s="650"/>
    </row>
    <row r="4588" spans="1:105" s="45" customFormat="1" x14ac:dyDescent="0.2">
      <c r="A4588" s="650"/>
      <c r="B4588" s="438"/>
      <c r="C4588"/>
      <c r="D4588" s="73"/>
      <c r="E4588" s="48"/>
      <c r="F4588" s="48"/>
      <c r="G4588" s="1"/>
      <c r="H4588"/>
      <c r="I4588" s="2"/>
      <c r="J4588" s="72"/>
      <c r="K4588" s="72"/>
      <c r="L4588" s="499"/>
      <c r="M4588" s="1"/>
      <c r="N4588" s="499"/>
      <c r="O4588" s="1"/>
      <c r="P4588" s="1"/>
      <c r="Q4588" s="1"/>
      <c r="R4588" s="3"/>
      <c r="S4588" s="3"/>
      <c r="T4588" s="3"/>
      <c r="U4588" s="400"/>
      <c r="V4588" s="400"/>
      <c r="W4588" s="732"/>
      <c r="X4588" s="24"/>
      <c r="Y4588" s="509"/>
      <c r="Z4588" s="466"/>
      <c r="AA4588" s="466"/>
      <c r="AB4588" s="466"/>
      <c r="AC4588" s="466"/>
      <c r="AD4588" s="466"/>
      <c r="AE4588" s="466"/>
      <c r="AF4588" s="466"/>
      <c r="AG4588" s="466"/>
      <c r="AH4588" s="466"/>
      <c r="AI4588" s="466"/>
      <c r="AJ4588" s="466"/>
      <c r="AK4588" s="466"/>
      <c r="AL4588" s="466"/>
      <c r="AM4588" s="466"/>
      <c r="AN4588" s="466"/>
      <c r="AO4588" s="466"/>
      <c r="AP4588" s="466"/>
      <c r="AQ4588" s="466"/>
      <c r="AR4588" s="466"/>
      <c r="AS4588" s="466"/>
      <c r="AT4588" s="466"/>
      <c r="AU4588" s="466"/>
      <c r="AV4588" s="466"/>
      <c r="AW4588" s="466"/>
      <c r="AX4588" s="466"/>
      <c r="AY4588" s="466"/>
      <c r="AZ4588" s="466"/>
      <c r="BA4588" s="466"/>
      <c r="BB4588" s="466"/>
      <c r="BC4588" s="466"/>
      <c r="BD4588" s="466"/>
      <c r="BE4588" s="467"/>
      <c r="BF4588" s="467"/>
      <c r="BG4588" s="466"/>
      <c r="BH4588" s="466"/>
      <c r="BI4588" s="467"/>
      <c r="BJ4588" s="467"/>
      <c r="BK4588" s="467"/>
      <c r="BL4588" s="467"/>
      <c r="BM4588" s="467"/>
      <c r="BN4588" s="467"/>
      <c r="BO4588" s="467"/>
      <c r="BP4588" s="467"/>
      <c r="BQ4588" s="467"/>
      <c r="BR4588" s="467"/>
      <c r="BS4588" s="467"/>
      <c r="BT4588" s="467"/>
      <c r="BU4588" s="467"/>
      <c r="BV4588" s="467"/>
      <c r="BW4588" s="467"/>
      <c r="BX4588" s="769"/>
      <c r="BY4588" s="769"/>
      <c r="BZ4588" s="769"/>
      <c r="CA4588" s="769"/>
      <c r="CB4588" s="769"/>
      <c r="CC4588" s="769"/>
      <c r="CD4588" s="769"/>
      <c r="CE4588" s="769"/>
      <c r="CF4588" s="769"/>
      <c r="CG4588" s="73"/>
      <c r="CH4588" s="438"/>
      <c r="CI4588" s="416"/>
      <c r="CJ4588" s="73"/>
      <c r="CK4588" s="650"/>
      <c r="CL4588" s="499"/>
      <c r="CM4588" s="650"/>
      <c r="CR4588" s="416"/>
      <c r="CS4588" s="650"/>
      <c r="CU4588" s="73"/>
      <c r="CV4588" s="73"/>
      <c r="CW4588" s="73"/>
      <c r="CX4588" s="73"/>
      <c r="DA4588" s="650"/>
    </row>
    <row r="4589" spans="1:105" s="45" customFormat="1" x14ac:dyDescent="0.2">
      <c r="A4589" s="650"/>
      <c r="B4589" s="438"/>
      <c r="C4589"/>
      <c r="D4589" s="73"/>
      <c r="E4589" s="48"/>
      <c r="F4589" s="48"/>
      <c r="G4589" s="1"/>
      <c r="H4589"/>
      <c r="I4589" s="2"/>
      <c r="J4589" s="72"/>
      <c r="K4589" s="72"/>
      <c r="L4589" s="499"/>
      <c r="M4589" s="1"/>
      <c r="N4589" s="499"/>
      <c r="O4589" s="1"/>
      <c r="P4589" s="1"/>
      <c r="Q4589" s="1"/>
      <c r="R4589" s="3"/>
      <c r="S4589" s="3"/>
      <c r="T4589" s="3"/>
      <c r="U4589" s="400"/>
      <c r="V4589" s="400"/>
      <c r="W4589" s="732"/>
      <c r="X4589" s="24"/>
      <c r="Y4589" s="509"/>
      <c r="Z4589" s="466"/>
      <c r="AA4589" s="466"/>
      <c r="AB4589" s="466"/>
      <c r="AC4589" s="466"/>
      <c r="AD4589" s="466"/>
      <c r="AE4589" s="466"/>
      <c r="AF4589" s="466"/>
      <c r="AG4589" s="466"/>
      <c r="AH4589" s="466"/>
      <c r="AI4589" s="466"/>
      <c r="AJ4589" s="466"/>
      <c r="AK4589" s="466"/>
      <c r="AL4589" s="466"/>
      <c r="AM4589" s="466"/>
      <c r="AN4589" s="466"/>
      <c r="AO4589" s="466"/>
      <c r="AP4589" s="466"/>
      <c r="AQ4589" s="466"/>
      <c r="AR4589" s="466"/>
      <c r="AS4589" s="466"/>
      <c r="AT4589" s="466"/>
      <c r="AU4589" s="466"/>
      <c r="AV4589" s="466"/>
      <c r="AW4589" s="466"/>
      <c r="AX4589" s="466"/>
      <c r="AY4589" s="466"/>
      <c r="AZ4589" s="466"/>
      <c r="BA4589" s="466"/>
      <c r="BB4589" s="466"/>
      <c r="BC4589" s="466"/>
      <c r="BD4589" s="466"/>
      <c r="BE4589" s="467"/>
      <c r="BF4589" s="467"/>
      <c r="BG4589" s="466"/>
      <c r="BH4589" s="466"/>
      <c r="BI4589" s="467"/>
      <c r="BJ4589" s="467"/>
      <c r="BK4589" s="467"/>
      <c r="BL4589" s="467"/>
      <c r="BM4589" s="467"/>
      <c r="BN4589" s="467"/>
      <c r="BO4589" s="467"/>
      <c r="BP4589" s="467"/>
      <c r="BQ4589" s="467"/>
      <c r="BR4589" s="467"/>
      <c r="BS4589" s="467"/>
      <c r="BT4589" s="467"/>
      <c r="BU4589" s="467"/>
      <c r="BV4589" s="467"/>
      <c r="BW4589" s="467"/>
      <c r="BX4589" s="769"/>
      <c r="BY4589" s="769"/>
      <c r="BZ4589" s="769"/>
      <c r="CA4589" s="769"/>
      <c r="CB4589" s="769"/>
      <c r="CC4589" s="769"/>
      <c r="CD4589" s="769"/>
      <c r="CE4589" s="769"/>
      <c r="CF4589" s="769"/>
      <c r="CG4589" s="73"/>
      <c r="CH4589" s="438"/>
      <c r="CI4589" s="416"/>
      <c r="CJ4589" s="73"/>
      <c r="CK4589" s="650"/>
      <c r="CL4589" s="499"/>
      <c r="CM4589" s="650"/>
      <c r="CR4589" s="416"/>
      <c r="CS4589" s="650"/>
      <c r="CU4589" s="73"/>
      <c r="CV4589" s="73"/>
      <c r="CW4589" s="73"/>
      <c r="CX4589" s="73"/>
      <c r="DA4589" s="650"/>
    </row>
    <row r="4590" spans="1:105" s="45" customFormat="1" x14ac:dyDescent="0.2">
      <c r="A4590" s="650"/>
      <c r="B4590" s="438"/>
      <c r="C4590"/>
      <c r="D4590" s="73"/>
      <c r="E4590" s="48"/>
      <c r="F4590" s="48"/>
      <c r="G4590" s="1"/>
      <c r="H4590"/>
      <c r="I4590" s="2"/>
      <c r="J4590" s="72"/>
      <c r="K4590" s="72"/>
      <c r="L4590" s="499"/>
      <c r="M4590" s="1"/>
      <c r="N4590" s="499"/>
      <c r="O4590" s="1"/>
      <c r="P4590" s="1"/>
      <c r="Q4590" s="1"/>
      <c r="R4590" s="3"/>
      <c r="S4590" s="3"/>
      <c r="T4590" s="3"/>
      <c r="U4590" s="400"/>
      <c r="V4590" s="400"/>
      <c r="W4590" s="732"/>
      <c r="X4590" s="24"/>
      <c r="Y4590" s="509"/>
      <c r="Z4590" s="466"/>
      <c r="AA4590" s="466"/>
      <c r="AB4590" s="466"/>
      <c r="AC4590" s="466"/>
      <c r="AD4590" s="466"/>
      <c r="AE4590" s="466"/>
      <c r="AF4590" s="466"/>
      <c r="AG4590" s="466"/>
      <c r="AH4590" s="466"/>
      <c r="AI4590" s="466"/>
      <c r="AJ4590" s="466"/>
      <c r="AK4590" s="466"/>
      <c r="AL4590" s="466"/>
      <c r="AM4590" s="466"/>
      <c r="AN4590" s="466"/>
      <c r="AO4590" s="466"/>
      <c r="AP4590" s="466"/>
      <c r="AQ4590" s="466"/>
      <c r="AR4590" s="466"/>
      <c r="AS4590" s="466"/>
      <c r="AT4590" s="466"/>
      <c r="AU4590" s="466"/>
      <c r="AV4590" s="466"/>
      <c r="AW4590" s="466"/>
      <c r="AX4590" s="466"/>
      <c r="AY4590" s="466"/>
      <c r="AZ4590" s="466"/>
      <c r="BA4590" s="466"/>
      <c r="BB4590" s="466"/>
      <c r="BC4590" s="466"/>
      <c r="BD4590" s="466"/>
      <c r="BE4590" s="467"/>
      <c r="BF4590" s="467"/>
      <c r="BG4590" s="466"/>
      <c r="BH4590" s="466"/>
      <c r="BI4590" s="467"/>
      <c r="BJ4590" s="467"/>
      <c r="BK4590" s="467"/>
      <c r="BL4590" s="467"/>
      <c r="BM4590" s="467"/>
      <c r="BN4590" s="467"/>
      <c r="BO4590" s="467"/>
      <c r="BP4590" s="467"/>
      <c r="BQ4590" s="467"/>
      <c r="BR4590" s="467"/>
      <c r="BS4590" s="467"/>
      <c r="BT4590" s="467"/>
      <c r="BU4590" s="467"/>
      <c r="BV4590" s="467"/>
      <c r="BW4590" s="467"/>
      <c r="BX4590" s="769"/>
      <c r="BY4590" s="769"/>
      <c r="BZ4590" s="769"/>
      <c r="CA4590" s="769"/>
      <c r="CB4590" s="769"/>
      <c r="CC4590" s="769"/>
      <c r="CD4590" s="769"/>
      <c r="CE4590" s="769"/>
      <c r="CF4590" s="769"/>
      <c r="CG4590" s="73"/>
      <c r="CH4590" s="438"/>
      <c r="CI4590" s="416"/>
      <c r="CJ4590" s="73"/>
      <c r="CK4590" s="650"/>
      <c r="CL4590" s="499"/>
      <c r="CM4590" s="650"/>
      <c r="CR4590" s="416"/>
      <c r="CS4590" s="650"/>
      <c r="CU4590" s="73"/>
      <c r="CV4590" s="73"/>
      <c r="CW4590" s="73"/>
      <c r="CX4590" s="73"/>
      <c r="DA4590" s="650"/>
    </row>
    <row r="4591" spans="1:105" s="45" customFormat="1" x14ac:dyDescent="0.2">
      <c r="A4591" s="650"/>
      <c r="B4591" s="438"/>
      <c r="C4591"/>
      <c r="D4591" s="73"/>
      <c r="E4591" s="48"/>
      <c r="F4591" s="48"/>
      <c r="G4591" s="1"/>
      <c r="H4591"/>
      <c r="I4591" s="2"/>
      <c r="J4591" s="72"/>
      <c r="K4591" s="72"/>
      <c r="L4591" s="499"/>
      <c r="M4591" s="1"/>
      <c r="N4591" s="499"/>
      <c r="O4591" s="1"/>
      <c r="P4591" s="1"/>
      <c r="Q4591" s="1"/>
      <c r="R4591" s="3"/>
      <c r="S4591" s="3"/>
      <c r="T4591" s="3"/>
      <c r="U4591" s="400"/>
      <c r="V4591" s="400"/>
      <c r="W4591" s="732"/>
      <c r="X4591" s="24"/>
      <c r="Y4591" s="509"/>
      <c r="Z4591" s="466"/>
      <c r="AA4591" s="466"/>
      <c r="AB4591" s="466"/>
      <c r="AC4591" s="466"/>
      <c r="AD4591" s="466"/>
      <c r="AE4591" s="466"/>
      <c r="AF4591" s="466"/>
      <c r="AG4591" s="466"/>
      <c r="AH4591" s="466"/>
      <c r="AI4591" s="466"/>
      <c r="AJ4591" s="466"/>
      <c r="AK4591" s="466"/>
      <c r="AL4591" s="466"/>
      <c r="AM4591" s="466"/>
      <c r="AN4591" s="466"/>
      <c r="AO4591" s="466"/>
      <c r="AP4591" s="466"/>
      <c r="AQ4591" s="466"/>
      <c r="AR4591" s="466"/>
      <c r="AS4591" s="466"/>
      <c r="AT4591" s="466"/>
      <c r="AU4591" s="466"/>
      <c r="AV4591" s="466"/>
      <c r="AW4591" s="466"/>
      <c r="AX4591" s="466"/>
      <c r="AY4591" s="466"/>
      <c r="AZ4591" s="466"/>
      <c r="BA4591" s="466"/>
      <c r="BB4591" s="466"/>
      <c r="BC4591" s="466"/>
      <c r="BD4591" s="466"/>
      <c r="BE4591" s="467"/>
      <c r="BF4591" s="467"/>
      <c r="BG4591" s="466"/>
      <c r="BH4591" s="466"/>
      <c r="BI4591" s="467"/>
      <c r="BJ4591" s="467"/>
      <c r="BK4591" s="467"/>
      <c r="BL4591" s="467"/>
      <c r="BM4591" s="467"/>
      <c r="BN4591" s="467"/>
      <c r="BO4591" s="467"/>
      <c r="BP4591" s="467"/>
      <c r="BQ4591" s="467"/>
      <c r="BR4591" s="467"/>
      <c r="BS4591" s="467"/>
      <c r="BT4591" s="467"/>
      <c r="BU4591" s="467"/>
      <c r="BV4591" s="467"/>
      <c r="BW4591" s="467"/>
      <c r="BX4591" s="769"/>
      <c r="BY4591" s="769"/>
      <c r="BZ4591" s="769"/>
      <c r="CA4591" s="769"/>
      <c r="CB4591" s="769"/>
      <c r="CC4591" s="769"/>
      <c r="CD4591" s="769"/>
      <c r="CE4591" s="769"/>
      <c r="CF4591" s="769"/>
      <c r="CG4591" s="73"/>
      <c r="CH4591" s="438"/>
      <c r="CI4591" s="416"/>
      <c r="CJ4591" s="73"/>
      <c r="CK4591" s="650"/>
      <c r="CL4591" s="499"/>
      <c r="CM4591" s="650"/>
      <c r="CR4591" s="416"/>
      <c r="CS4591" s="650"/>
      <c r="CU4591" s="73"/>
      <c r="CV4591" s="73"/>
      <c r="CW4591" s="73"/>
      <c r="CX4591" s="73"/>
      <c r="DA4591" s="650"/>
    </row>
    <row r="4592" spans="1:105" s="45" customFormat="1" x14ac:dyDescent="0.2">
      <c r="A4592" s="650"/>
      <c r="B4592" s="438"/>
      <c r="C4592"/>
      <c r="D4592" s="73"/>
      <c r="E4592" s="48"/>
      <c r="F4592" s="48"/>
      <c r="G4592" s="1"/>
      <c r="H4592"/>
      <c r="I4592" s="2"/>
      <c r="J4592" s="72"/>
      <c r="K4592" s="72"/>
      <c r="L4592" s="499"/>
      <c r="M4592" s="1"/>
      <c r="N4592" s="499"/>
      <c r="O4592" s="1"/>
      <c r="P4592" s="1"/>
      <c r="Q4592" s="1"/>
      <c r="R4592" s="3"/>
      <c r="S4592" s="3"/>
      <c r="T4592" s="3"/>
      <c r="U4592" s="400"/>
      <c r="V4592" s="400"/>
      <c r="W4592" s="732"/>
      <c r="X4592" s="24"/>
      <c r="Y4592" s="509"/>
      <c r="Z4592" s="466"/>
      <c r="AA4592" s="466"/>
      <c r="AB4592" s="466"/>
      <c r="AC4592" s="466"/>
      <c r="AD4592" s="466"/>
      <c r="AE4592" s="466"/>
      <c r="AF4592" s="466"/>
      <c r="AG4592" s="466"/>
      <c r="AH4592" s="466"/>
      <c r="AI4592" s="466"/>
      <c r="AJ4592" s="466"/>
      <c r="AK4592" s="466"/>
      <c r="AL4592" s="466"/>
      <c r="AM4592" s="466"/>
      <c r="AN4592" s="466"/>
      <c r="AO4592" s="466"/>
      <c r="AP4592" s="466"/>
      <c r="AQ4592" s="466"/>
      <c r="AR4592" s="466"/>
      <c r="AS4592" s="466"/>
      <c r="AT4592" s="466"/>
      <c r="AU4592" s="466"/>
      <c r="AV4592" s="466"/>
      <c r="AW4592" s="466"/>
      <c r="AX4592" s="466"/>
      <c r="AY4592" s="466"/>
      <c r="AZ4592" s="466"/>
      <c r="BA4592" s="466"/>
      <c r="BB4592" s="466"/>
      <c r="BC4592" s="466"/>
      <c r="BD4592" s="466"/>
      <c r="BE4592" s="467"/>
      <c r="BF4592" s="467"/>
      <c r="BG4592" s="466"/>
      <c r="BH4592" s="466"/>
      <c r="BI4592" s="467"/>
      <c r="BJ4592" s="467"/>
      <c r="BK4592" s="467"/>
      <c r="BL4592" s="467"/>
      <c r="BM4592" s="467"/>
      <c r="BN4592" s="467"/>
      <c r="BO4592" s="467"/>
      <c r="BP4592" s="467"/>
      <c r="BQ4592" s="467"/>
      <c r="BR4592" s="467"/>
      <c r="BS4592" s="467"/>
      <c r="BT4592" s="467"/>
      <c r="BU4592" s="467"/>
      <c r="BV4592" s="467"/>
      <c r="BW4592" s="467"/>
      <c r="BX4592" s="769"/>
      <c r="BY4592" s="769"/>
      <c r="BZ4592" s="769"/>
      <c r="CA4592" s="769"/>
      <c r="CB4592" s="769"/>
      <c r="CC4592" s="769"/>
      <c r="CD4592" s="769"/>
      <c r="CE4592" s="769"/>
      <c r="CF4592" s="769"/>
      <c r="CG4592" s="73"/>
      <c r="CH4592" s="438"/>
      <c r="CI4592" s="416"/>
      <c r="CJ4592" s="73"/>
      <c r="CK4592" s="650"/>
      <c r="CL4592" s="499"/>
      <c r="CM4592" s="650"/>
      <c r="CR4592" s="416"/>
      <c r="CS4592" s="650"/>
      <c r="CU4592" s="73"/>
      <c r="CV4592" s="73"/>
      <c r="CW4592" s="73"/>
      <c r="CX4592" s="73"/>
      <c r="DA4592" s="650"/>
    </row>
    <row r="4593" spans="1:109" s="45" customFormat="1" x14ac:dyDescent="0.2">
      <c r="A4593" s="650"/>
      <c r="B4593" s="438"/>
      <c r="C4593"/>
      <c r="D4593" s="73"/>
      <c r="E4593" s="48"/>
      <c r="F4593" s="48"/>
      <c r="G4593" s="1"/>
      <c r="H4593"/>
      <c r="I4593" s="2"/>
      <c r="J4593" s="72"/>
      <c r="K4593" s="72"/>
      <c r="L4593" s="499"/>
      <c r="M4593" s="1"/>
      <c r="N4593" s="499"/>
      <c r="O4593" s="1"/>
      <c r="P4593" s="1"/>
      <c r="Q4593" s="1"/>
      <c r="R4593" s="3"/>
      <c r="S4593" s="3"/>
      <c r="T4593" s="3"/>
      <c r="U4593" s="400"/>
      <c r="V4593" s="400"/>
      <c r="W4593" s="732"/>
      <c r="X4593" s="24"/>
      <c r="Y4593" s="509"/>
      <c r="Z4593" s="466"/>
      <c r="AA4593" s="466"/>
      <c r="AB4593" s="466"/>
      <c r="AC4593" s="466"/>
      <c r="AD4593" s="466"/>
      <c r="AE4593" s="466"/>
      <c r="AF4593" s="466"/>
      <c r="AG4593" s="466"/>
      <c r="AH4593" s="466"/>
      <c r="AI4593" s="466"/>
      <c r="AJ4593" s="466"/>
      <c r="AK4593" s="466"/>
      <c r="AL4593" s="466"/>
      <c r="AM4593" s="466"/>
      <c r="AN4593" s="466"/>
      <c r="AO4593" s="466"/>
      <c r="AP4593" s="466"/>
      <c r="AQ4593" s="466"/>
      <c r="AR4593" s="466"/>
      <c r="AS4593" s="466"/>
      <c r="AT4593" s="466"/>
      <c r="AU4593" s="466"/>
      <c r="AV4593" s="466"/>
      <c r="AW4593" s="466"/>
      <c r="AX4593" s="466"/>
      <c r="AY4593" s="466"/>
      <c r="AZ4593" s="466"/>
      <c r="BA4593" s="466"/>
      <c r="BB4593" s="466"/>
      <c r="BC4593" s="466"/>
      <c r="BD4593" s="466"/>
      <c r="BE4593" s="467"/>
      <c r="BF4593" s="467"/>
      <c r="BG4593" s="466"/>
      <c r="BH4593" s="466"/>
      <c r="BI4593" s="467"/>
      <c r="BJ4593" s="467"/>
      <c r="BK4593" s="467"/>
      <c r="BL4593" s="467"/>
      <c r="BM4593" s="467"/>
      <c r="BN4593" s="467"/>
      <c r="BO4593" s="467"/>
      <c r="BP4593" s="467"/>
      <c r="BQ4593" s="467"/>
      <c r="BR4593" s="467"/>
      <c r="BS4593" s="467"/>
      <c r="BT4593" s="467"/>
      <c r="BU4593" s="467"/>
      <c r="BV4593" s="467"/>
      <c r="BW4593" s="467"/>
      <c r="BX4593" s="769"/>
      <c r="BY4593" s="769"/>
      <c r="BZ4593" s="769"/>
      <c r="CA4593" s="769"/>
      <c r="CB4593" s="769"/>
      <c r="CC4593" s="769"/>
      <c r="CD4593" s="769"/>
      <c r="CE4593" s="769"/>
      <c r="CF4593" s="769"/>
      <c r="CG4593" s="73"/>
      <c r="CH4593" s="438"/>
      <c r="CI4593" s="416"/>
      <c r="CJ4593" s="73"/>
      <c r="CK4593" s="650"/>
      <c r="CL4593" s="499"/>
      <c r="CM4593" s="650"/>
      <c r="CR4593" s="416"/>
      <c r="CS4593" s="650"/>
      <c r="CU4593" s="73"/>
      <c r="CV4593" s="73"/>
      <c r="CW4593" s="73"/>
      <c r="CX4593" s="73"/>
      <c r="DA4593" s="650"/>
    </row>
    <row r="4594" spans="1:109" s="45" customFormat="1" x14ac:dyDescent="0.2">
      <c r="A4594" s="650"/>
      <c r="B4594" s="438"/>
      <c r="C4594"/>
      <c r="D4594" s="73"/>
      <c r="E4594" s="48"/>
      <c r="F4594" s="48"/>
      <c r="G4594" s="1"/>
      <c r="H4594"/>
      <c r="I4594" s="2"/>
      <c r="J4594" s="72"/>
      <c r="K4594" s="72"/>
      <c r="L4594" s="499"/>
      <c r="M4594" s="1"/>
      <c r="N4594" s="499"/>
      <c r="O4594" s="1"/>
      <c r="P4594" s="1"/>
      <c r="Q4594" s="1"/>
      <c r="R4594" s="3"/>
      <c r="S4594" s="3"/>
      <c r="T4594" s="3"/>
      <c r="U4594" s="400"/>
      <c r="V4594" s="400"/>
      <c r="W4594" s="732"/>
      <c r="X4594" s="24"/>
      <c r="Y4594" s="509"/>
      <c r="Z4594" s="466"/>
      <c r="AA4594" s="466"/>
      <c r="AB4594" s="466"/>
      <c r="AC4594" s="466"/>
      <c r="AD4594" s="466"/>
      <c r="AE4594" s="466"/>
      <c r="AF4594" s="466"/>
      <c r="AG4594" s="466"/>
      <c r="AH4594" s="466"/>
      <c r="AI4594" s="466"/>
      <c r="AJ4594" s="466"/>
      <c r="AK4594" s="466"/>
      <c r="AL4594" s="466"/>
      <c r="AM4594" s="466"/>
      <c r="AN4594" s="466"/>
      <c r="AO4594" s="466"/>
      <c r="AP4594" s="466"/>
      <c r="AQ4594" s="466"/>
      <c r="AR4594" s="466"/>
      <c r="AS4594" s="466"/>
      <c r="AT4594" s="466"/>
      <c r="AU4594" s="466"/>
      <c r="AV4594" s="466"/>
      <c r="AW4594" s="466"/>
      <c r="AX4594" s="466"/>
      <c r="AY4594" s="466"/>
      <c r="AZ4594" s="466"/>
      <c r="BA4594" s="466"/>
      <c r="BB4594" s="466"/>
      <c r="BC4594" s="466"/>
      <c r="BD4594" s="466"/>
      <c r="BE4594" s="467"/>
      <c r="BF4594" s="467"/>
      <c r="BG4594" s="466"/>
      <c r="BH4594" s="466"/>
      <c r="BI4594" s="467"/>
      <c r="BJ4594" s="467"/>
      <c r="BK4594" s="467"/>
      <c r="BL4594" s="467"/>
      <c r="BM4594" s="467"/>
      <c r="BN4594" s="467"/>
      <c r="BO4594" s="467"/>
      <c r="BP4594" s="467"/>
      <c r="BQ4594" s="467"/>
      <c r="BR4594" s="467"/>
      <c r="BS4594" s="467"/>
      <c r="BT4594" s="467"/>
      <c r="BU4594" s="467"/>
      <c r="BV4594" s="467"/>
      <c r="BW4594" s="467"/>
      <c r="BX4594" s="769"/>
      <c r="BY4594" s="769"/>
      <c r="BZ4594" s="769"/>
      <c r="CA4594" s="769"/>
      <c r="CB4594" s="769"/>
      <c r="CC4594" s="769"/>
      <c r="CD4594" s="769"/>
      <c r="CE4594" s="769"/>
      <c r="CF4594" s="769"/>
      <c r="CG4594" s="73"/>
      <c r="CH4594" s="438"/>
      <c r="CI4594" s="416"/>
      <c r="CJ4594" s="73"/>
      <c r="CK4594" s="650"/>
      <c r="CL4594" s="499"/>
      <c r="CM4594" s="650"/>
      <c r="CR4594" s="416"/>
      <c r="CS4594" s="650"/>
      <c r="CU4594" s="73"/>
      <c r="CV4594" s="73"/>
      <c r="CW4594" s="73"/>
      <c r="CX4594" s="73"/>
      <c r="DA4594" s="650"/>
    </row>
    <row r="4595" spans="1:109" s="45" customFormat="1" x14ac:dyDescent="0.2">
      <c r="A4595" s="650"/>
      <c r="B4595" s="438"/>
      <c r="C4595"/>
      <c r="D4595" s="73"/>
      <c r="E4595" s="48"/>
      <c r="F4595" s="48"/>
      <c r="G4595" s="1"/>
      <c r="H4595"/>
      <c r="I4595" s="2"/>
      <c r="J4595" s="72"/>
      <c r="K4595" s="72"/>
      <c r="L4595" s="499"/>
      <c r="M4595" s="1"/>
      <c r="N4595" s="499"/>
      <c r="O4595" s="1"/>
      <c r="P4595" s="1"/>
      <c r="Q4595" s="1"/>
      <c r="R4595" s="3"/>
      <c r="S4595" s="3"/>
      <c r="T4595" s="3"/>
      <c r="U4595" s="400"/>
      <c r="V4595" s="400"/>
      <c r="W4595" s="732"/>
      <c r="X4595" s="24"/>
      <c r="Y4595" s="509"/>
      <c r="Z4595" s="466"/>
      <c r="AA4595" s="466"/>
      <c r="AB4595" s="466"/>
      <c r="AC4595" s="466"/>
      <c r="AD4595" s="466"/>
      <c r="AE4595" s="466"/>
      <c r="AF4595" s="466"/>
      <c r="AG4595" s="466"/>
      <c r="AH4595" s="466"/>
      <c r="AI4595" s="466"/>
      <c r="AJ4595" s="466"/>
      <c r="AK4595" s="466"/>
      <c r="AL4595" s="466"/>
      <c r="AM4595" s="466"/>
      <c r="AN4595" s="466"/>
      <c r="AO4595" s="466"/>
      <c r="AP4595" s="466"/>
      <c r="AQ4595" s="466"/>
      <c r="AR4595" s="466"/>
      <c r="AS4595" s="466"/>
      <c r="AT4595" s="466"/>
      <c r="AU4595" s="466"/>
      <c r="AV4595" s="466"/>
      <c r="AW4595" s="466"/>
      <c r="AX4595" s="466"/>
      <c r="AY4595" s="466"/>
      <c r="AZ4595" s="466"/>
      <c r="BA4595" s="466"/>
      <c r="BB4595" s="466"/>
      <c r="BC4595" s="466"/>
      <c r="BD4595" s="466"/>
      <c r="BE4595" s="467"/>
      <c r="BF4595" s="467"/>
      <c r="BG4595" s="466"/>
      <c r="BH4595" s="466"/>
      <c r="BI4595" s="467"/>
      <c r="BJ4595" s="467"/>
      <c r="BK4595" s="467"/>
      <c r="BL4595" s="467"/>
      <c r="BM4595" s="467"/>
      <c r="BN4595" s="467"/>
      <c r="BO4595" s="467"/>
      <c r="BP4595" s="467"/>
      <c r="BQ4595" s="467"/>
      <c r="BR4595" s="467"/>
      <c r="BS4595" s="467"/>
      <c r="BT4595" s="467"/>
      <c r="BU4595" s="467"/>
      <c r="BV4595" s="467"/>
      <c r="BW4595" s="467"/>
      <c r="BX4595" s="769"/>
      <c r="BY4595" s="769"/>
      <c r="BZ4595" s="769"/>
      <c r="CA4595" s="769"/>
      <c r="CB4595" s="769"/>
      <c r="CC4595" s="769"/>
      <c r="CD4595" s="769"/>
      <c r="CE4595" s="769"/>
      <c r="CF4595" s="769"/>
      <c r="CG4595" s="73"/>
      <c r="CH4595" s="438"/>
      <c r="CI4595" s="416"/>
      <c r="CJ4595" s="73"/>
      <c r="CK4595" s="650"/>
      <c r="CL4595" s="499"/>
      <c r="CM4595" s="650"/>
      <c r="CR4595" s="416"/>
      <c r="CS4595" s="650"/>
      <c r="CU4595" s="73"/>
      <c r="CV4595" s="73"/>
      <c r="CW4595" s="73"/>
      <c r="CX4595" s="73"/>
      <c r="DA4595" s="650"/>
    </row>
    <row r="4596" spans="1:109" s="45" customFormat="1" x14ac:dyDescent="0.2">
      <c r="A4596" s="650"/>
      <c r="B4596" s="438"/>
      <c r="C4596"/>
      <c r="D4596" s="73"/>
      <c r="E4596" s="48"/>
      <c r="F4596" s="48"/>
      <c r="G4596" s="1"/>
      <c r="H4596"/>
      <c r="I4596" s="2"/>
      <c r="J4596" s="72"/>
      <c r="K4596" s="72"/>
      <c r="L4596" s="499"/>
      <c r="M4596" s="1"/>
      <c r="N4596" s="499"/>
      <c r="O4596" s="1"/>
      <c r="P4596" s="1"/>
      <c r="Q4596" s="1"/>
      <c r="R4596" s="3"/>
      <c r="S4596" s="3"/>
      <c r="T4596" s="3"/>
      <c r="U4596" s="400"/>
      <c r="V4596" s="400"/>
      <c r="W4596" s="732"/>
      <c r="X4596" s="24"/>
      <c r="Y4596" s="509"/>
      <c r="Z4596" s="466"/>
      <c r="AA4596" s="466"/>
      <c r="AB4596" s="466"/>
      <c r="AC4596" s="466"/>
      <c r="AD4596" s="466"/>
      <c r="AE4596" s="466"/>
      <c r="AF4596" s="466"/>
      <c r="AG4596" s="466"/>
      <c r="AH4596" s="466"/>
      <c r="AI4596" s="466"/>
      <c r="AJ4596" s="466"/>
      <c r="AK4596" s="466"/>
      <c r="AL4596" s="466"/>
      <c r="AM4596" s="466"/>
      <c r="AN4596" s="466"/>
      <c r="AO4596" s="466"/>
      <c r="AP4596" s="466"/>
      <c r="AQ4596" s="466"/>
      <c r="AR4596" s="466"/>
      <c r="AS4596" s="466"/>
      <c r="AT4596" s="466"/>
      <c r="AU4596" s="466"/>
      <c r="AV4596" s="466"/>
      <c r="AW4596" s="466"/>
      <c r="AX4596" s="466"/>
      <c r="AY4596" s="466"/>
      <c r="AZ4596" s="466"/>
      <c r="BA4596" s="466"/>
      <c r="BB4596" s="466"/>
      <c r="BC4596" s="466"/>
      <c r="BD4596" s="466"/>
      <c r="BE4596" s="467"/>
      <c r="BF4596" s="467"/>
      <c r="BG4596" s="466"/>
      <c r="BH4596" s="466"/>
      <c r="BI4596" s="467"/>
      <c r="BJ4596" s="467"/>
      <c r="BK4596" s="467"/>
      <c r="BL4596" s="467"/>
      <c r="BM4596" s="467"/>
      <c r="BN4596" s="467"/>
      <c r="BO4596" s="467"/>
      <c r="BP4596" s="467"/>
      <c r="BQ4596" s="467"/>
      <c r="BR4596" s="467"/>
      <c r="BS4596" s="467"/>
      <c r="BT4596" s="467"/>
      <c r="BU4596" s="467"/>
      <c r="BV4596" s="467"/>
      <c r="BW4596" s="467"/>
      <c r="BX4596" s="769"/>
      <c r="BY4596" s="769"/>
      <c r="BZ4596" s="769"/>
      <c r="CA4596" s="769"/>
      <c r="CB4596" s="769"/>
      <c r="CC4596" s="769"/>
      <c r="CD4596" s="769"/>
      <c r="CE4596" s="769"/>
      <c r="CF4596" s="769"/>
      <c r="CG4596" s="73"/>
      <c r="CH4596" s="438"/>
      <c r="CI4596" s="416"/>
      <c r="CJ4596" s="73"/>
      <c r="CK4596" s="650"/>
      <c r="CL4596" s="499"/>
      <c r="CM4596" s="650"/>
      <c r="CR4596" s="416"/>
      <c r="CS4596" s="650"/>
      <c r="CU4596" s="73"/>
      <c r="CV4596" s="73"/>
      <c r="CW4596" s="73"/>
      <c r="CX4596" s="73"/>
      <c r="DA4596" s="650"/>
    </row>
    <row r="4597" spans="1:109" s="45" customFormat="1" x14ac:dyDescent="0.2">
      <c r="A4597" s="650"/>
      <c r="B4597" s="438"/>
      <c r="C4597"/>
      <c r="D4597" s="73"/>
      <c r="E4597" s="48"/>
      <c r="F4597" s="48"/>
      <c r="G4597" s="1"/>
      <c r="H4597"/>
      <c r="I4597" s="2"/>
      <c r="J4597" s="72"/>
      <c r="K4597" s="72"/>
      <c r="L4597" s="499"/>
      <c r="M4597" s="1"/>
      <c r="N4597" s="499"/>
      <c r="O4597" s="1"/>
      <c r="P4597" s="1"/>
      <c r="Q4597" s="1"/>
      <c r="R4597" s="3"/>
      <c r="S4597" s="3"/>
      <c r="T4597" s="3"/>
      <c r="U4597" s="400"/>
      <c r="V4597" s="400"/>
      <c r="W4597" s="732"/>
      <c r="X4597" s="24"/>
      <c r="Y4597" s="509"/>
      <c r="Z4597" s="466"/>
      <c r="AA4597" s="466"/>
      <c r="AB4597" s="466"/>
      <c r="AC4597" s="466"/>
      <c r="AD4597" s="466"/>
      <c r="AE4597" s="466"/>
      <c r="AF4597" s="466"/>
      <c r="AG4597" s="466"/>
      <c r="AH4597" s="466"/>
      <c r="AI4597" s="466"/>
      <c r="AJ4597" s="466"/>
      <c r="AK4597" s="466"/>
      <c r="AL4597" s="466"/>
      <c r="AM4597" s="466"/>
      <c r="AN4597" s="466"/>
      <c r="AO4597" s="466"/>
      <c r="AP4597" s="466"/>
      <c r="AQ4597" s="466"/>
      <c r="AR4597" s="466"/>
      <c r="AS4597" s="466"/>
      <c r="AT4597" s="466"/>
      <c r="AU4597" s="466"/>
      <c r="AV4597" s="466"/>
      <c r="AW4597" s="466"/>
      <c r="AX4597" s="466"/>
      <c r="AY4597" s="466"/>
      <c r="AZ4597" s="466"/>
      <c r="BA4597" s="466"/>
      <c r="BB4597" s="466"/>
      <c r="BC4597" s="466"/>
      <c r="BD4597" s="466"/>
      <c r="BE4597" s="467"/>
      <c r="BF4597" s="467"/>
      <c r="BG4597" s="466"/>
      <c r="BH4597" s="466"/>
      <c r="BI4597" s="467"/>
      <c r="BJ4597" s="467"/>
      <c r="BK4597" s="467"/>
      <c r="BL4597" s="467"/>
      <c r="BM4597" s="467"/>
      <c r="BN4597" s="467"/>
      <c r="BO4597" s="467"/>
      <c r="BP4597" s="467"/>
      <c r="BQ4597" s="467"/>
      <c r="BR4597" s="467"/>
      <c r="BS4597" s="467"/>
      <c r="BT4597" s="467"/>
      <c r="BU4597" s="467"/>
      <c r="BV4597" s="467"/>
      <c r="BW4597" s="467"/>
      <c r="BX4597" s="769"/>
      <c r="BY4597" s="769"/>
      <c r="BZ4597" s="769"/>
      <c r="CA4597" s="769"/>
      <c r="CB4597" s="769"/>
      <c r="CC4597" s="769"/>
      <c r="CD4597" s="769"/>
      <c r="CE4597" s="769"/>
      <c r="CF4597" s="769"/>
      <c r="CG4597" s="73"/>
      <c r="CH4597" s="438"/>
      <c r="CI4597" s="416"/>
      <c r="CJ4597" s="73"/>
      <c r="CK4597" s="650"/>
      <c r="CL4597" s="499"/>
      <c r="CM4597" s="650"/>
      <c r="CR4597" s="416"/>
      <c r="CS4597" s="650"/>
      <c r="CU4597" s="73"/>
      <c r="CV4597" s="73"/>
      <c r="CW4597" s="73"/>
      <c r="CX4597" s="73"/>
      <c r="DA4597" s="650"/>
    </row>
    <row r="4598" spans="1:109" s="45" customFormat="1" x14ac:dyDescent="0.2">
      <c r="A4598" s="650"/>
      <c r="B4598" s="438"/>
      <c r="C4598"/>
      <c r="D4598" s="73"/>
      <c r="E4598" s="48"/>
      <c r="F4598" s="48"/>
      <c r="G4598" s="1"/>
      <c r="H4598"/>
      <c r="I4598" s="2"/>
      <c r="J4598" s="72"/>
      <c r="K4598" s="72"/>
      <c r="L4598" s="499"/>
      <c r="M4598" s="1"/>
      <c r="N4598" s="499"/>
      <c r="O4598" s="1"/>
      <c r="P4598" s="1"/>
      <c r="Q4598" s="1"/>
      <c r="R4598" s="3"/>
      <c r="S4598" s="3"/>
      <c r="T4598" s="3"/>
      <c r="U4598" s="400"/>
      <c r="V4598" s="400"/>
      <c r="W4598" s="732"/>
      <c r="X4598" s="24"/>
      <c r="Y4598" s="509"/>
      <c r="Z4598" s="466"/>
      <c r="AA4598" s="466"/>
      <c r="AB4598" s="466"/>
      <c r="AC4598" s="466"/>
      <c r="AD4598" s="466"/>
      <c r="AE4598" s="466"/>
      <c r="AF4598" s="466"/>
      <c r="AG4598" s="466"/>
      <c r="AH4598" s="466"/>
      <c r="AI4598" s="466"/>
      <c r="AJ4598" s="466"/>
      <c r="AK4598" s="466"/>
      <c r="AL4598" s="466"/>
      <c r="AM4598" s="466"/>
      <c r="AN4598" s="466"/>
      <c r="AO4598" s="466"/>
      <c r="AP4598" s="466"/>
      <c r="AQ4598" s="466"/>
      <c r="AR4598" s="466"/>
      <c r="AS4598" s="466"/>
      <c r="AT4598" s="466"/>
      <c r="AU4598" s="466"/>
      <c r="AV4598" s="466"/>
      <c r="AW4598" s="466"/>
      <c r="AX4598" s="466"/>
      <c r="AY4598" s="466"/>
      <c r="AZ4598" s="466"/>
      <c r="BA4598" s="466"/>
      <c r="BB4598" s="466"/>
      <c r="BC4598" s="466"/>
      <c r="BD4598" s="466"/>
      <c r="BE4598" s="467"/>
      <c r="BF4598" s="467"/>
      <c r="BG4598" s="466"/>
      <c r="BH4598" s="466"/>
      <c r="BI4598" s="467"/>
      <c r="BJ4598" s="467"/>
      <c r="BK4598" s="467"/>
      <c r="BL4598" s="467"/>
      <c r="BM4598" s="467"/>
      <c r="BN4598" s="467"/>
      <c r="BO4598" s="467"/>
      <c r="BP4598" s="467"/>
      <c r="BQ4598" s="467"/>
      <c r="BR4598" s="467"/>
      <c r="BS4598" s="467"/>
      <c r="BT4598" s="467"/>
      <c r="BU4598" s="467"/>
      <c r="BV4598" s="467"/>
      <c r="BW4598" s="467"/>
      <c r="BX4598" s="769"/>
      <c r="BY4598" s="769"/>
      <c r="BZ4598" s="769"/>
      <c r="CA4598" s="769"/>
      <c r="CB4598" s="769"/>
      <c r="CC4598" s="769"/>
      <c r="CD4598" s="769"/>
      <c r="CE4598" s="769"/>
      <c r="CF4598" s="769"/>
      <c r="CG4598" s="73"/>
      <c r="CH4598" s="438"/>
      <c r="CI4598" s="416"/>
      <c r="CJ4598" s="73"/>
      <c r="CK4598" s="650"/>
      <c r="CL4598" s="499"/>
      <c r="CM4598" s="650"/>
      <c r="CR4598" s="416"/>
      <c r="CS4598" s="650"/>
      <c r="CU4598" s="73"/>
      <c r="CV4598" s="73"/>
      <c r="CW4598" s="73"/>
      <c r="CX4598" s="73"/>
      <c r="DA4598" s="650"/>
    </row>
    <row r="4599" spans="1:109" s="45" customFormat="1" x14ac:dyDescent="0.2">
      <c r="A4599" s="650"/>
      <c r="B4599" s="438"/>
      <c r="C4599"/>
      <c r="D4599" s="73"/>
      <c r="E4599" s="48"/>
      <c r="F4599" s="48"/>
      <c r="G4599" s="1"/>
      <c r="H4599"/>
      <c r="I4599" s="2"/>
      <c r="J4599" s="72"/>
      <c r="K4599" s="72"/>
      <c r="L4599" s="499"/>
      <c r="M4599" s="1"/>
      <c r="N4599" s="499"/>
      <c r="O4599" s="1"/>
      <c r="P4599" s="1"/>
      <c r="Q4599" s="1"/>
      <c r="R4599" s="3"/>
      <c r="S4599" s="3"/>
      <c r="T4599" s="3"/>
      <c r="U4599" s="400"/>
      <c r="V4599" s="400"/>
      <c r="W4599" s="732"/>
      <c r="X4599" s="24"/>
      <c r="Y4599" s="509"/>
      <c r="Z4599" s="466"/>
      <c r="AA4599" s="466"/>
      <c r="AB4599" s="466"/>
      <c r="AC4599" s="466"/>
      <c r="AD4599" s="466"/>
      <c r="AE4599" s="466"/>
      <c r="AF4599" s="466"/>
      <c r="AG4599" s="466"/>
      <c r="AH4599" s="466"/>
      <c r="AI4599" s="466"/>
      <c r="AJ4599" s="466"/>
      <c r="AK4599" s="466"/>
      <c r="AL4599" s="466"/>
      <c r="AM4599" s="466"/>
      <c r="AN4599" s="466"/>
      <c r="AO4599" s="466"/>
      <c r="AP4599" s="466"/>
      <c r="AQ4599" s="466"/>
      <c r="AR4599" s="466"/>
      <c r="AS4599" s="466"/>
      <c r="AT4599" s="466"/>
      <c r="AU4599" s="466"/>
      <c r="AV4599" s="466"/>
      <c r="AW4599" s="466"/>
      <c r="AX4599" s="466"/>
      <c r="AY4599" s="466"/>
      <c r="AZ4599" s="466"/>
      <c r="BA4599" s="466"/>
      <c r="BB4599" s="466"/>
      <c r="BC4599" s="466"/>
      <c r="BD4599" s="466"/>
      <c r="BE4599" s="467"/>
      <c r="BF4599" s="467"/>
      <c r="BG4599" s="466"/>
      <c r="BH4599" s="466"/>
      <c r="BI4599" s="467"/>
      <c r="BJ4599" s="467"/>
      <c r="BK4599" s="467"/>
      <c r="BL4599" s="467"/>
      <c r="BM4599" s="467"/>
      <c r="BN4599" s="467"/>
      <c r="BO4599" s="467"/>
      <c r="BP4599" s="467"/>
      <c r="BQ4599" s="467"/>
      <c r="BR4599" s="467"/>
      <c r="BS4599" s="467"/>
      <c r="BT4599" s="467"/>
      <c r="BU4599" s="467"/>
      <c r="BV4599" s="467"/>
      <c r="BW4599" s="467"/>
      <c r="BX4599" s="769"/>
      <c r="BY4599" s="769"/>
      <c r="BZ4599" s="769"/>
      <c r="CA4599" s="769"/>
      <c r="CB4599" s="769"/>
      <c r="CC4599" s="769"/>
      <c r="CD4599" s="769"/>
      <c r="CE4599" s="769"/>
      <c r="CF4599" s="769"/>
      <c r="CG4599" s="73"/>
      <c r="CH4599" s="438"/>
      <c r="CI4599" s="416"/>
      <c r="CJ4599" s="73"/>
      <c r="CK4599" s="650"/>
      <c r="CL4599" s="499"/>
      <c r="CM4599" s="650"/>
      <c r="CR4599" s="416"/>
      <c r="CS4599" s="48"/>
      <c r="CT4599"/>
      <c r="CU4599" s="1"/>
      <c r="CV4599" s="1"/>
      <c r="CW4599" s="1"/>
      <c r="CX4599" s="1"/>
      <c r="CY4599"/>
      <c r="CZ4599"/>
      <c r="DA4599" s="48"/>
    </row>
    <row r="4600" spans="1:109" s="45" customFormat="1" x14ac:dyDescent="0.2">
      <c r="A4600" s="650"/>
      <c r="B4600" s="438"/>
      <c r="C4600"/>
      <c r="D4600" s="73"/>
      <c r="E4600" s="48"/>
      <c r="F4600" s="48"/>
      <c r="G4600" s="1"/>
      <c r="H4600"/>
      <c r="I4600" s="2"/>
      <c r="J4600" s="72"/>
      <c r="K4600" s="72"/>
      <c r="L4600" s="499"/>
      <c r="M4600" s="1"/>
      <c r="N4600" s="499"/>
      <c r="O4600" s="1"/>
      <c r="P4600" s="1"/>
      <c r="Q4600" s="1"/>
      <c r="R4600" s="3"/>
      <c r="S4600" s="3"/>
      <c r="T4600" s="3"/>
      <c r="U4600" s="400"/>
      <c r="V4600" s="400"/>
      <c r="W4600" s="732"/>
      <c r="X4600" s="24"/>
      <c r="Y4600" s="509"/>
      <c r="Z4600" s="466"/>
      <c r="AA4600" s="466"/>
      <c r="AB4600" s="466"/>
      <c r="AC4600" s="466"/>
      <c r="AD4600" s="466"/>
      <c r="AE4600" s="466"/>
      <c r="AF4600" s="466"/>
      <c r="AG4600" s="466"/>
      <c r="AH4600" s="466"/>
      <c r="AI4600" s="466"/>
      <c r="AJ4600" s="466"/>
      <c r="AK4600" s="466"/>
      <c r="AL4600" s="466"/>
      <c r="AM4600" s="466"/>
      <c r="AN4600" s="466"/>
      <c r="AO4600" s="466"/>
      <c r="AP4600" s="466"/>
      <c r="AQ4600" s="466"/>
      <c r="AR4600" s="466"/>
      <c r="AS4600" s="466"/>
      <c r="AT4600" s="466"/>
      <c r="AU4600" s="466"/>
      <c r="AV4600" s="466"/>
      <c r="AW4600" s="466"/>
      <c r="AX4600" s="466"/>
      <c r="AY4600" s="466"/>
      <c r="AZ4600" s="466"/>
      <c r="BA4600" s="466"/>
      <c r="BB4600" s="466"/>
      <c r="BC4600" s="466"/>
      <c r="BD4600" s="466"/>
      <c r="BE4600" s="467"/>
      <c r="BF4600" s="467"/>
      <c r="BG4600" s="466"/>
      <c r="BH4600" s="466"/>
      <c r="BI4600" s="467"/>
      <c r="BJ4600" s="467"/>
      <c r="BK4600" s="467"/>
      <c r="BL4600" s="467"/>
      <c r="BM4600" s="467"/>
      <c r="BN4600" s="467"/>
      <c r="BO4600" s="467"/>
      <c r="BP4600" s="467"/>
      <c r="BQ4600" s="467"/>
      <c r="BR4600" s="467"/>
      <c r="BS4600" s="467"/>
      <c r="BT4600" s="467"/>
      <c r="BU4600" s="467"/>
      <c r="BV4600" s="467"/>
      <c r="BW4600" s="467"/>
      <c r="BX4600" s="769"/>
      <c r="BY4600" s="769"/>
      <c r="BZ4600" s="769"/>
      <c r="CA4600" s="769"/>
      <c r="CB4600" s="769"/>
      <c r="CC4600" s="769"/>
      <c r="CD4600" s="769"/>
      <c r="CE4600" s="769"/>
      <c r="CF4600" s="769"/>
      <c r="CG4600" s="73"/>
      <c r="CH4600" s="438"/>
      <c r="CI4600" s="416"/>
      <c r="CJ4600" s="73"/>
      <c r="CK4600" s="650"/>
      <c r="CL4600" s="499"/>
      <c r="CM4600" s="650"/>
      <c r="CR4600" s="416"/>
      <c r="CS4600" s="48"/>
      <c r="CT4600"/>
      <c r="CU4600" s="1"/>
      <c r="CV4600" s="1"/>
      <c r="CW4600" s="1"/>
      <c r="CX4600" s="1"/>
      <c r="CY4600"/>
      <c r="CZ4600"/>
      <c r="DA4600" s="48"/>
    </row>
    <row r="4601" spans="1:109" s="45" customFormat="1" x14ac:dyDescent="0.2">
      <c r="A4601" s="650"/>
      <c r="B4601" s="438"/>
      <c r="C4601"/>
      <c r="D4601" s="73"/>
      <c r="E4601" s="48"/>
      <c r="F4601" s="48"/>
      <c r="G4601" s="1"/>
      <c r="H4601"/>
      <c r="I4601" s="2"/>
      <c r="J4601" s="72"/>
      <c r="K4601" s="72"/>
      <c r="L4601" s="499"/>
      <c r="M4601" s="1"/>
      <c r="N4601" s="499"/>
      <c r="O4601" s="1"/>
      <c r="P4601" s="1"/>
      <c r="Q4601" s="1"/>
      <c r="R4601" s="3"/>
      <c r="S4601" s="3"/>
      <c r="T4601" s="3"/>
      <c r="U4601" s="400"/>
      <c r="V4601" s="400"/>
      <c r="W4601" s="732"/>
      <c r="X4601" s="24"/>
      <c r="Y4601" s="509"/>
      <c r="Z4601" s="466"/>
      <c r="AA4601" s="466"/>
      <c r="AB4601" s="466"/>
      <c r="AC4601" s="466"/>
      <c r="AD4601" s="466"/>
      <c r="AE4601" s="466"/>
      <c r="AF4601" s="466"/>
      <c r="AG4601" s="466"/>
      <c r="AH4601" s="466"/>
      <c r="AI4601" s="466"/>
      <c r="AJ4601" s="466"/>
      <c r="AK4601" s="466"/>
      <c r="AL4601" s="466"/>
      <c r="AM4601" s="466"/>
      <c r="AN4601" s="466"/>
      <c r="AO4601" s="466"/>
      <c r="AP4601" s="466"/>
      <c r="AQ4601" s="466"/>
      <c r="AR4601" s="466"/>
      <c r="AS4601" s="466"/>
      <c r="AT4601" s="466"/>
      <c r="AU4601" s="466"/>
      <c r="AV4601" s="466"/>
      <c r="AW4601" s="466"/>
      <c r="AX4601" s="466"/>
      <c r="AY4601" s="466"/>
      <c r="AZ4601" s="466"/>
      <c r="BA4601" s="466"/>
      <c r="BB4601" s="466"/>
      <c r="BC4601" s="466"/>
      <c r="BD4601" s="466"/>
      <c r="BE4601" s="467"/>
      <c r="BF4601" s="467"/>
      <c r="BG4601" s="466"/>
      <c r="BH4601" s="466"/>
      <c r="BI4601" s="467"/>
      <c r="BJ4601" s="467"/>
      <c r="BK4601" s="467"/>
      <c r="BL4601" s="467"/>
      <c r="BM4601" s="467"/>
      <c r="BN4601" s="467"/>
      <c r="BO4601" s="467"/>
      <c r="BP4601" s="467"/>
      <c r="BQ4601" s="467"/>
      <c r="BR4601" s="467"/>
      <c r="BS4601" s="467"/>
      <c r="BT4601" s="467"/>
      <c r="BU4601" s="467"/>
      <c r="BV4601" s="467"/>
      <c r="BW4601" s="467"/>
      <c r="BX4601" s="769"/>
      <c r="BY4601" s="769"/>
      <c r="BZ4601" s="769"/>
      <c r="CA4601" s="769"/>
      <c r="CB4601" s="769"/>
      <c r="CC4601" s="769"/>
      <c r="CD4601" s="769"/>
      <c r="CE4601" s="769"/>
      <c r="CF4601" s="769"/>
      <c r="CG4601" s="73"/>
      <c r="CH4601" s="438"/>
      <c r="CI4601" s="416"/>
      <c r="CJ4601" s="73"/>
      <c r="CK4601" s="650"/>
      <c r="CL4601" s="499"/>
      <c r="CM4601" s="650"/>
      <c r="CR4601" s="416"/>
      <c r="CS4601" s="48"/>
      <c r="CT4601"/>
      <c r="CU4601" s="1"/>
      <c r="CV4601" s="1"/>
      <c r="CW4601" s="1"/>
      <c r="CX4601" s="1"/>
      <c r="CY4601"/>
      <c r="CZ4601"/>
      <c r="DA4601" s="48"/>
      <c r="DB4601"/>
    </row>
    <row r="4602" spans="1:109" s="45" customFormat="1" x14ac:dyDescent="0.2">
      <c r="A4602" s="650"/>
      <c r="B4602" s="438"/>
      <c r="C4602"/>
      <c r="D4602" s="73"/>
      <c r="E4602" s="48"/>
      <c r="F4602" s="48"/>
      <c r="G4602" s="1"/>
      <c r="H4602"/>
      <c r="I4602" s="2"/>
      <c r="J4602" s="72"/>
      <c r="K4602" s="72"/>
      <c r="L4602" s="499"/>
      <c r="M4602" s="1"/>
      <c r="N4602" s="499"/>
      <c r="O4602" s="1"/>
      <c r="P4602" s="1"/>
      <c r="Q4602" s="1"/>
      <c r="R4602" s="3"/>
      <c r="S4602" s="3"/>
      <c r="T4602" s="3"/>
      <c r="U4602" s="400"/>
      <c r="V4602" s="400"/>
      <c r="W4602" s="732"/>
      <c r="X4602" s="24"/>
      <c r="Y4602" s="509"/>
      <c r="Z4602" s="466"/>
      <c r="AA4602" s="466"/>
      <c r="AB4602" s="466"/>
      <c r="AC4602" s="466"/>
      <c r="AD4602" s="466"/>
      <c r="AE4602" s="466"/>
      <c r="AF4602" s="466"/>
      <c r="AG4602" s="466"/>
      <c r="AH4602" s="466"/>
      <c r="AI4602" s="466"/>
      <c r="AJ4602" s="466"/>
      <c r="AK4602" s="466"/>
      <c r="AL4602" s="466"/>
      <c r="AM4602" s="466"/>
      <c r="AN4602" s="466"/>
      <c r="AO4602" s="466"/>
      <c r="AP4602" s="466"/>
      <c r="AQ4602" s="466"/>
      <c r="AR4602" s="466"/>
      <c r="AS4602" s="466"/>
      <c r="AT4602" s="466"/>
      <c r="AU4602" s="466"/>
      <c r="AV4602" s="466"/>
      <c r="AW4602" s="466"/>
      <c r="AX4602" s="466"/>
      <c r="AY4602" s="466"/>
      <c r="AZ4602" s="466"/>
      <c r="BA4602" s="466"/>
      <c r="BB4602" s="466"/>
      <c r="BC4602" s="466"/>
      <c r="BD4602" s="466"/>
      <c r="BE4602" s="467"/>
      <c r="BF4602" s="467"/>
      <c r="BG4602" s="466"/>
      <c r="BH4602" s="466"/>
      <c r="BI4602" s="467"/>
      <c r="BJ4602" s="467"/>
      <c r="BK4602" s="467"/>
      <c r="BL4602" s="467"/>
      <c r="BM4602" s="467"/>
      <c r="BN4602" s="467"/>
      <c r="BO4602" s="467"/>
      <c r="BP4602" s="467"/>
      <c r="BQ4602" s="467"/>
      <c r="BR4602" s="467"/>
      <c r="BS4602" s="467"/>
      <c r="BT4602" s="467"/>
      <c r="BU4602" s="467"/>
      <c r="BV4602" s="467"/>
      <c r="BW4602" s="467"/>
      <c r="BX4602" s="769"/>
      <c r="BY4602" s="769"/>
      <c r="BZ4602" s="769"/>
      <c r="CA4602" s="769"/>
      <c r="CB4602" s="769"/>
      <c r="CC4602" s="769"/>
      <c r="CD4602" s="769"/>
      <c r="CE4602" s="769"/>
      <c r="CF4602" s="769"/>
      <c r="CG4602" s="73"/>
      <c r="CH4602" s="438"/>
      <c r="CI4602" s="416"/>
      <c r="CJ4602" s="73"/>
      <c r="CK4602" s="650"/>
      <c r="CL4602" s="499"/>
      <c r="CM4602" s="650"/>
      <c r="CR4602" s="403"/>
      <c r="CS4602" s="48"/>
      <c r="CT4602"/>
      <c r="CU4602" s="1"/>
      <c r="CV4602" s="1"/>
      <c r="CW4602" s="1"/>
      <c r="CX4602" s="1"/>
      <c r="CY4602"/>
      <c r="CZ4602"/>
      <c r="DA4602" s="48"/>
      <c r="DB4602"/>
      <c r="DC4602"/>
    </row>
    <row r="4603" spans="1:109" s="45" customFormat="1" x14ac:dyDescent="0.2">
      <c r="A4603" s="650"/>
      <c r="B4603" s="438"/>
      <c r="C4603"/>
      <c r="D4603" s="73"/>
      <c r="E4603" s="48"/>
      <c r="F4603" s="48"/>
      <c r="G4603" s="1"/>
      <c r="H4603"/>
      <c r="I4603" s="2"/>
      <c r="J4603" s="72"/>
      <c r="K4603" s="72"/>
      <c r="L4603" s="499"/>
      <c r="M4603" s="1"/>
      <c r="N4603" s="499"/>
      <c r="O4603" s="1"/>
      <c r="P4603" s="1"/>
      <c r="Q4603" s="1"/>
      <c r="R4603" s="3"/>
      <c r="S4603" s="3"/>
      <c r="T4603" s="3"/>
      <c r="U4603" s="400"/>
      <c r="V4603" s="400"/>
      <c r="W4603" s="732"/>
      <c r="X4603" s="24"/>
      <c r="Y4603" s="509"/>
      <c r="Z4603" s="466"/>
      <c r="AA4603" s="466"/>
      <c r="AB4603" s="466"/>
      <c r="AC4603" s="466"/>
      <c r="AD4603" s="466"/>
      <c r="AE4603" s="466"/>
      <c r="AF4603" s="466"/>
      <c r="AG4603" s="466"/>
      <c r="AH4603" s="466"/>
      <c r="AI4603" s="466"/>
      <c r="AJ4603" s="466"/>
      <c r="AK4603" s="466"/>
      <c r="AL4603" s="466"/>
      <c r="AM4603" s="466"/>
      <c r="AN4603" s="466"/>
      <c r="AO4603" s="466"/>
      <c r="AP4603" s="466"/>
      <c r="AQ4603" s="466"/>
      <c r="AR4603" s="466"/>
      <c r="AS4603" s="466"/>
      <c r="AT4603" s="466"/>
      <c r="AU4603" s="466"/>
      <c r="AV4603" s="466"/>
      <c r="AW4603" s="466"/>
      <c r="AX4603" s="466"/>
      <c r="AY4603" s="466"/>
      <c r="AZ4603" s="466"/>
      <c r="BA4603" s="466"/>
      <c r="BB4603" s="466"/>
      <c r="BC4603" s="466"/>
      <c r="BD4603" s="466"/>
      <c r="BE4603" s="467"/>
      <c r="BF4603" s="467"/>
      <c r="BG4603" s="466"/>
      <c r="BH4603" s="466"/>
      <c r="BI4603" s="467"/>
      <c r="BJ4603" s="467"/>
      <c r="BK4603" s="467"/>
      <c r="BL4603" s="467"/>
      <c r="BM4603" s="467"/>
      <c r="BN4603" s="467"/>
      <c r="BO4603" s="467"/>
      <c r="BP4603" s="467"/>
      <c r="BQ4603" s="467"/>
      <c r="BR4603" s="467"/>
      <c r="BS4603" s="467"/>
      <c r="BT4603" s="467"/>
      <c r="BU4603" s="467"/>
      <c r="BV4603" s="467"/>
      <c r="BW4603" s="467"/>
      <c r="BX4603" s="769"/>
      <c r="BY4603" s="769"/>
      <c r="BZ4603" s="769"/>
      <c r="CA4603" s="769"/>
      <c r="CB4603" s="769"/>
      <c r="CC4603" s="769"/>
      <c r="CD4603" s="769"/>
      <c r="CE4603" s="769"/>
      <c r="CF4603" s="769"/>
      <c r="CG4603" s="73"/>
      <c r="CH4603" s="438"/>
      <c r="CI4603" s="416"/>
      <c r="CJ4603" s="73"/>
      <c r="CK4603" s="650"/>
      <c r="CL4603" s="499"/>
      <c r="CM4603" s="650"/>
      <c r="CR4603" s="403"/>
      <c r="CS4603" s="48"/>
      <c r="CT4603"/>
      <c r="CU4603" s="1"/>
      <c r="CV4603" s="1"/>
      <c r="CW4603" s="1"/>
      <c r="CX4603" s="1"/>
      <c r="CY4603"/>
      <c r="CZ4603"/>
      <c r="DA4603" s="48"/>
      <c r="DB4603"/>
      <c r="DC4603"/>
    </row>
    <row r="4604" spans="1:109" s="45" customFormat="1" x14ac:dyDescent="0.2">
      <c r="A4604" s="650"/>
      <c r="B4604" s="438"/>
      <c r="C4604"/>
      <c r="D4604" s="73"/>
      <c r="E4604" s="48"/>
      <c r="F4604" s="48"/>
      <c r="G4604" s="1"/>
      <c r="H4604"/>
      <c r="I4604" s="2"/>
      <c r="J4604" s="72"/>
      <c r="K4604" s="72"/>
      <c r="L4604" s="499"/>
      <c r="M4604" s="1"/>
      <c r="N4604" s="499"/>
      <c r="O4604" s="1"/>
      <c r="P4604" s="1"/>
      <c r="Q4604" s="1"/>
      <c r="R4604" s="3"/>
      <c r="S4604" s="3"/>
      <c r="T4604" s="3"/>
      <c r="U4604" s="400"/>
      <c r="V4604" s="400"/>
      <c r="W4604" s="732"/>
      <c r="X4604" s="24"/>
      <c r="Y4604" s="509"/>
      <c r="Z4604" s="466"/>
      <c r="AA4604" s="466"/>
      <c r="AB4604" s="466"/>
      <c r="AC4604" s="466"/>
      <c r="AD4604" s="466"/>
      <c r="AE4604" s="466"/>
      <c r="AF4604" s="466"/>
      <c r="AG4604" s="466"/>
      <c r="AH4604" s="466"/>
      <c r="AI4604" s="466"/>
      <c r="AJ4604" s="466"/>
      <c r="AK4604" s="466"/>
      <c r="AL4604" s="466"/>
      <c r="AM4604" s="466"/>
      <c r="AN4604" s="466"/>
      <c r="AO4604" s="466"/>
      <c r="AP4604" s="466"/>
      <c r="AQ4604" s="466"/>
      <c r="AR4604" s="466"/>
      <c r="AS4604" s="466"/>
      <c r="AT4604" s="466"/>
      <c r="AU4604" s="466"/>
      <c r="AV4604" s="466"/>
      <c r="AW4604" s="466"/>
      <c r="AX4604" s="466"/>
      <c r="AY4604" s="466"/>
      <c r="AZ4604" s="466"/>
      <c r="BA4604" s="466"/>
      <c r="BB4604" s="466"/>
      <c r="BC4604" s="466"/>
      <c r="BD4604" s="466"/>
      <c r="BE4604" s="467"/>
      <c r="BF4604" s="467"/>
      <c r="BG4604" s="466"/>
      <c r="BH4604" s="466"/>
      <c r="BI4604" s="467"/>
      <c r="BJ4604" s="467"/>
      <c r="BK4604" s="467"/>
      <c r="BL4604" s="467"/>
      <c r="BM4604" s="467"/>
      <c r="BN4604" s="467"/>
      <c r="BO4604" s="467"/>
      <c r="BP4604" s="467"/>
      <c r="BQ4604" s="467"/>
      <c r="BR4604" s="467"/>
      <c r="BS4604" s="467"/>
      <c r="BT4604" s="467"/>
      <c r="BU4604" s="467"/>
      <c r="BV4604" s="467"/>
      <c r="BW4604" s="467"/>
      <c r="BX4604" s="769"/>
      <c r="BY4604" s="769"/>
      <c r="BZ4604" s="769"/>
      <c r="CA4604" s="769"/>
      <c r="CB4604" s="769"/>
      <c r="CC4604" s="769"/>
      <c r="CD4604" s="769"/>
      <c r="CE4604" s="769"/>
      <c r="CF4604" s="769"/>
      <c r="CG4604" s="73"/>
      <c r="CH4604" s="438"/>
      <c r="CI4604" s="416"/>
      <c r="CJ4604" s="73"/>
      <c r="CK4604" s="650"/>
      <c r="CL4604" s="499"/>
      <c r="CM4604" s="650"/>
      <c r="CR4604" s="403"/>
      <c r="CS4604" s="48"/>
      <c r="CT4604"/>
      <c r="CU4604" s="1"/>
      <c r="CV4604" s="1"/>
      <c r="CW4604" s="1"/>
      <c r="CX4604" s="1"/>
      <c r="CY4604"/>
      <c r="CZ4604"/>
      <c r="DA4604" s="48"/>
      <c r="DB4604"/>
      <c r="DC4604"/>
    </row>
    <row r="4605" spans="1:109" s="45" customFormat="1" x14ac:dyDescent="0.2">
      <c r="A4605" s="650"/>
      <c r="B4605" s="438"/>
      <c r="C4605"/>
      <c r="D4605" s="73"/>
      <c r="E4605" s="48"/>
      <c r="F4605" s="48"/>
      <c r="G4605" s="1"/>
      <c r="H4605"/>
      <c r="I4605" s="2"/>
      <c r="J4605" s="72"/>
      <c r="K4605" s="72"/>
      <c r="L4605" s="499"/>
      <c r="M4605" s="1"/>
      <c r="N4605" s="499"/>
      <c r="O4605" s="1"/>
      <c r="P4605" s="1"/>
      <c r="Q4605" s="1"/>
      <c r="R4605" s="3"/>
      <c r="S4605" s="3"/>
      <c r="T4605" s="3"/>
      <c r="U4605" s="400"/>
      <c r="V4605" s="400"/>
      <c r="W4605" s="732"/>
      <c r="X4605" s="24"/>
      <c r="Y4605" s="509"/>
      <c r="Z4605" s="466"/>
      <c r="AA4605" s="466"/>
      <c r="AB4605" s="466"/>
      <c r="AC4605" s="466"/>
      <c r="AD4605" s="466"/>
      <c r="AE4605" s="466"/>
      <c r="AF4605" s="466"/>
      <c r="AG4605" s="466"/>
      <c r="AH4605" s="466"/>
      <c r="AI4605" s="466"/>
      <c r="AJ4605" s="466"/>
      <c r="AK4605" s="466"/>
      <c r="AL4605" s="466"/>
      <c r="AM4605" s="466"/>
      <c r="AN4605" s="466"/>
      <c r="AO4605" s="466"/>
      <c r="AP4605" s="466"/>
      <c r="AQ4605" s="466"/>
      <c r="AR4605" s="466"/>
      <c r="AS4605" s="466"/>
      <c r="AT4605" s="466"/>
      <c r="AU4605" s="466"/>
      <c r="AV4605" s="466"/>
      <c r="AW4605" s="466"/>
      <c r="AX4605" s="466"/>
      <c r="AY4605" s="466"/>
      <c r="AZ4605" s="466"/>
      <c r="BA4605" s="466"/>
      <c r="BB4605" s="466"/>
      <c r="BC4605" s="466"/>
      <c r="BD4605" s="466"/>
      <c r="BE4605" s="467"/>
      <c r="BF4605" s="467"/>
      <c r="BG4605" s="466"/>
      <c r="BH4605" s="466"/>
      <c r="BI4605" s="467"/>
      <c r="BJ4605" s="467"/>
      <c r="BK4605" s="467"/>
      <c r="BL4605" s="467"/>
      <c r="BM4605" s="467"/>
      <c r="BN4605" s="467"/>
      <c r="BO4605" s="467"/>
      <c r="BP4605" s="467"/>
      <c r="BQ4605" s="467"/>
      <c r="BR4605" s="467"/>
      <c r="BS4605" s="467"/>
      <c r="BT4605" s="467"/>
      <c r="BU4605" s="467"/>
      <c r="BV4605" s="467"/>
      <c r="BW4605" s="467"/>
      <c r="BX4605" s="769"/>
      <c r="BY4605" s="769"/>
      <c r="BZ4605" s="769"/>
      <c r="CA4605" s="769"/>
      <c r="CB4605" s="769"/>
      <c r="CC4605" s="769"/>
      <c r="CD4605" s="769"/>
      <c r="CE4605" s="769"/>
      <c r="CF4605" s="769"/>
      <c r="CG4605" s="73"/>
      <c r="CH4605" s="438"/>
      <c r="CI4605" s="416"/>
      <c r="CJ4605" s="73"/>
      <c r="CK4605" s="650"/>
      <c r="CL4605" s="499"/>
      <c r="CM4605" s="650"/>
      <c r="CR4605" s="403"/>
      <c r="CS4605" s="48"/>
      <c r="CT4605"/>
      <c r="CU4605" s="1"/>
      <c r="CV4605" s="1"/>
      <c r="CW4605" s="1"/>
      <c r="CX4605" s="1"/>
      <c r="CY4605"/>
      <c r="CZ4605"/>
      <c r="DA4605" s="48"/>
      <c r="DB4605"/>
      <c r="DC4605"/>
    </row>
    <row r="4606" spans="1:109" s="45" customFormat="1" x14ac:dyDescent="0.2">
      <c r="A4606" s="650"/>
      <c r="B4606" s="438"/>
      <c r="C4606"/>
      <c r="D4606" s="73"/>
      <c r="E4606" s="48"/>
      <c r="F4606" s="48"/>
      <c r="G4606" s="1"/>
      <c r="H4606"/>
      <c r="I4606" s="2"/>
      <c r="J4606" s="72"/>
      <c r="K4606" s="72"/>
      <c r="L4606" s="499"/>
      <c r="M4606" s="1"/>
      <c r="N4606" s="499"/>
      <c r="O4606" s="1"/>
      <c r="P4606" s="1"/>
      <c r="Q4606" s="1"/>
      <c r="R4606" s="3"/>
      <c r="S4606" s="3"/>
      <c r="T4606" s="3"/>
      <c r="U4606" s="400"/>
      <c r="V4606" s="400"/>
      <c r="W4606" s="732"/>
      <c r="X4606" s="24"/>
      <c r="Y4606" s="509"/>
      <c r="Z4606" s="466"/>
      <c r="AA4606" s="466"/>
      <c r="AB4606" s="466"/>
      <c r="AC4606" s="466"/>
      <c r="AD4606" s="466"/>
      <c r="AE4606" s="466"/>
      <c r="AF4606" s="466"/>
      <c r="AG4606" s="466"/>
      <c r="AH4606" s="466"/>
      <c r="AI4606" s="466"/>
      <c r="AJ4606" s="466"/>
      <c r="AK4606" s="466"/>
      <c r="AL4606" s="466"/>
      <c r="AM4606" s="466"/>
      <c r="AN4606" s="466"/>
      <c r="AO4606" s="466"/>
      <c r="AP4606" s="466"/>
      <c r="AQ4606" s="466"/>
      <c r="AR4606" s="466"/>
      <c r="AS4606" s="466"/>
      <c r="AT4606" s="466"/>
      <c r="AU4606" s="466"/>
      <c r="AV4606" s="466"/>
      <c r="AW4606" s="466"/>
      <c r="AX4606" s="466"/>
      <c r="AY4606" s="466"/>
      <c r="AZ4606" s="466"/>
      <c r="BA4606" s="466"/>
      <c r="BB4606" s="466"/>
      <c r="BC4606" s="466"/>
      <c r="BD4606" s="466"/>
      <c r="BE4606" s="467"/>
      <c r="BF4606" s="467"/>
      <c r="BG4606" s="466"/>
      <c r="BH4606" s="466"/>
      <c r="BI4606" s="467"/>
      <c r="BJ4606" s="467"/>
      <c r="BK4606" s="467"/>
      <c r="BL4606" s="467"/>
      <c r="BM4606" s="467"/>
      <c r="BN4606" s="467"/>
      <c r="BO4606" s="467"/>
      <c r="BP4606" s="467"/>
      <c r="BQ4606" s="467"/>
      <c r="BR4606" s="467"/>
      <c r="BS4606" s="467"/>
      <c r="BT4606" s="467"/>
      <c r="BU4606" s="467"/>
      <c r="BV4606" s="467"/>
      <c r="BW4606" s="467"/>
      <c r="BX4606" s="769"/>
      <c r="BY4606" s="769"/>
      <c r="BZ4606" s="769"/>
      <c r="CA4606" s="769"/>
      <c r="CB4606" s="769"/>
      <c r="CC4606" s="769"/>
      <c r="CD4606" s="769"/>
      <c r="CE4606" s="769"/>
      <c r="CF4606" s="769"/>
      <c r="CG4606" s="73"/>
      <c r="CH4606" s="438"/>
      <c r="CI4606" s="416"/>
      <c r="CJ4606" s="73"/>
      <c r="CK4606" s="650"/>
      <c r="CL4606" s="499"/>
      <c r="CM4606" s="650"/>
      <c r="CR4606" s="403"/>
      <c r="CS4606" s="48"/>
      <c r="CT4606"/>
      <c r="CU4606" s="1"/>
      <c r="CV4606" s="1"/>
      <c r="CW4606" s="1"/>
      <c r="CX4606" s="1"/>
      <c r="CY4606"/>
      <c r="CZ4606"/>
      <c r="DA4606" s="48"/>
      <c r="DB4606"/>
      <c r="DC4606"/>
      <c r="DD4606"/>
    </row>
    <row r="4607" spans="1:109" s="45" customFormat="1" x14ac:dyDescent="0.2">
      <c r="A4607" s="650"/>
      <c r="B4607" s="438"/>
      <c r="C4607"/>
      <c r="D4607" s="73"/>
      <c r="E4607" s="48"/>
      <c r="F4607" s="48"/>
      <c r="G4607" s="1"/>
      <c r="H4607"/>
      <c r="I4607" s="2"/>
      <c r="J4607" s="72"/>
      <c r="K4607" s="72"/>
      <c r="L4607" s="499"/>
      <c r="M4607" s="1"/>
      <c r="N4607" s="499"/>
      <c r="O4607" s="1"/>
      <c r="P4607" s="1"/>
      <c r="Q4607" s="1"/>
      <c r="R4607" s="3"/>
      <c r="S4607" s="3"/>
      <c r="T4607" s="3"/>
      <c r="U4607" s="400"/>
      <c r="V4607" s="400"/>
      <c r="W4607" s="732"/>
      <c r="X4607" s="24"/>
      <c r="Y4607" s="509"/>
      <c r="Z4607" s="466"/>
      <c r="AA4607" s="466"/>
      <c r="AB4607" s="466"/>
      <c r="AC4607" s="466"/>
      <c r="AD4607" s="466"/>
      <c r="AE4607" s="466"/>
      <c r="AF4607" s="466"/>
      <c r="AG4607" s="466"/>
      <c r="AH4607" s="466"/>
      <c r="AI4607" s="466"/>
      <c r="AJ4607" s="466"/>
      <c r="AK4607" s="466"/>
      <c r="AL4607" s="466"/>
      <c r="AM4607" s="466"/>
      <c r="AN4607" s="466"/>
      <c r="AO4607" s="466"/>
      <c r="AP4607" s="466"/>
      <c r="AQ4607" s="466"/>
      <c r="AR4607" s="466"/>
      <c r="AS4607" s="466"/>
      <c r="AT4607" s="466"/>
      <c r="AU4607" s="466"/>
      <c r="AV4607" s="466"/>
      <c r="AW4607" s="466"/>
      <c r="AX4607" s="466"/>
      <c r="AY4607" s="466"/>
      <c r="AZ4607" s="466"/>
      <c r="BA4607" s="466"/>
      <c r="BB4607" s="466"/>
      <c r="BC4607" s="466"/>
      <c r="BD4607" s="466"/>
      <c r="BE4607" s="467"/>
      <c r="BF4607" s="467"/>
      <c r="BG4607" s="466"/>
      <c r="BH4607" s="466"/>
      <c r="BI4607" s="467"/>
      <c r="BJ4607" s="467"/>
      <c r="BK4607" s="467"/>
      <c r="BL4607" s="467"/>
      <c r="BM4607" s="467"/>
      <c r="BN4607" s="467"/>
      <c r="BO4607" s="467"/>
      <c r="BP4607" s="467"/>
      <c r="BQ4607" s="467"/>
      <c r="BR4607" s="467"/>
      <c r="BS4607" s="467"/>
      <c r="BT4607" s="467"/>
      <c r="BU4607" s="467"/>
      <c r="BV4607" s="467"/>
      <c r="BW4607" s="467"/>
      <c r="BX4607" s="769"/>
      <c r="BY4607" s="769"/>
      <c r="BZ4607" s="769"/>
      <c r="CA4607" s="769"/>
      <c r="CB4607" s="769"/>
      <c r="CC4607" s="769"/>
      <c r="CD4607" s="769"/>
      <c r="CE4607" s="769"/>
      <c r="CF4607" s="769"/>
      <c r="CG4607" s="73"/>
      <c r="CH4607" s="438"/>
      <c r="CI4607" s="416"/>
      <c r="CJ4607" s="73"/>
      <c r="CK4607" s="650"/>
      <c r="CL4607" s="499"/>
      <c r="CM4607" s="650"/>
      <c r="CR4607" s="403"/>
      <c r="CS4607" s="48"/>
      <c r="CT4607"/>
      <c r="CU4607" s="1"/>
      <c r="CV4607" s="1"/>
      <c r="CW4607" s="1"/>
      <c r="CX4607" s="1"/>
      <c r="CY4607"/>
      <c r="CZ4607"/>
      <c r="DA4607" s="48"/>
      <c r="DB4607"/>
      <c r="DC4607"/>
      <c r="DD4607"/>
      <c r="DE4607"/>
    </row>
    <row r="4608" spans="1:109" s="45" customFormat="1" x14ac:dyDescent="0.2">
      <c r="A4608" s="650"/>
      <c r="B4608" s="438"/>
      <c r="C4608"/>
      <c r="D4608" s="73"/>
      <c r="E4608" s="48"/>
      <c r="F4608" s="48"/>
      <c r="G4608" s="1"/>
      <c r="H4608"/>
      <c r="I4608" s="2"/>
      <c r="J4608" s="72"/>
      <c r="K4608" s="72"/>
      <c r="L4608" s="499"/>
      <c r="M4608" s="1"/>
      <c r="N4608" s="499"/>
      <c r="O4608" s="1"/>
      <c r="P4608" s="1"/>
      <c r="Q4608" s="1"/>
      <c r="R4608" s="3"/>
      <c r="S4608" s="3"/>
      <c r="T4608" s="3"/>
      <c r="U4608" s="400"/>
      <c r="V4608" s="400"/>
      <c r="W4608" s="732"/>
      <c r="X4608" s="24"/>
      <c r="Y4608" s="509"/>
      <c r="Z4608" s="466"/>
      <c r="AA4608" s="466"/>
      <c r="AB4608" s="466"/>
      <c r="AC4608" s="466"/>
      <c r="AD4608" s="466"/>
      <c r="AE4608" s="466"/>
      <c r="AF4608" s="466"/>
      <c r="AG4608" s="466"/>
      <c r="AH4608" s="466"/>
      <c r="AI4608" s="466"/>
      <c r="AJ4608" s="466"/>
      <c r="AK4608" s="466"/>
      <c r="AL4608" s="466"/>
      <c r="AM4608" s="466"/>
      <c r="AN4608" s="466"/>
      <c r="AO4608" s="466"/>
      <c r="AP4608" s="466"/>
      <c r="AQ4608" s="466"/>
      <c r="AR4608" s="466"/>
      <c r="AS4608" s="466"/>
      <c r="AT4608" s="466"/>
      <c r="AU4608" s="466"/>
      <c r="AV4608" s="466"/>
      <c r="AW4608" s="466"/>
      <c r="AX4608" s="466"/>
      <c r="AY4608" s="466"/>
      <c r="AZ4608" s="466"/>
      <c r="BA4608" s="466"/>
      <c r="BB4608" s="466"/>
      <c r="BC4608" s="466"/>
      <c r="BD4608" s="466"/>
      <c r="BE4608" s="467"/>
      <c r="BF4608" s="467"/>
      <c r="BG4608" s="466"/>
      <c r="BH4608" s="466"/>
      <c r="BI4608" s="467"/>
      <c r="BJ4608" s="467"/>
      <c r="BK4608" s="467"/>
      <c r="BL4608" s="467"/>
      <c r="BM4608" s="467"/>
      <c r="BN4608" s="467"/>
      <c r="BO4608" s="467"/>
      <c r="BP4608" s="467"/>
      <c r="BQ4608" s="467"/>
      <c r="BR4608" s="467"/>
      <c r="BS4608" s="467"/>
      <c r="BT4608" s="467"/>
      <c r="BU4608" s="467"/>
      <c r="BV4608" s="467"/>
      <c r="BW4608" s="467"/>
      <c r="BX4608" s="769"/>
      <c r="BY4608" s="769"/>
      <c r="BZ4608" s="769"/>
      <c r="CA4608" s="769"/>
      <c r="CB4608" s="769"/>
      <c r="CC4608" s="769"/>
      <c r="CD4608" s="769"/>
      <c r="CE4608" s="769"/>
      <c r="CF4608" s="769"/>
      <c r="CG4608" s="73"/>
      <c r="CH4608" s="438"/>
      <c r="CI4608" s="416"/>
      <c r="CJ4608" s="73"/>
      <c r="CK4608" s="650"/>
      <c r="CL4608" s="499"/>
      <c r="CM4608" s="650"/>
      <c r="CR4608" s="403"/>
      <c r="CS4608" s="48"/>
      <c r="CT4608"/>
      <c r="CU4608" s="1"/>
      <c r="CV4608" s="1"/>
      <c r="CW4608" s="1"/>
      <c r="CX4608" s="1"/>
      <c r="CY4608"/>
      <c r="CZ4608"/>
      <c r="DA4608" s="48"/>
      <c r="DB4608"/>
      <c r="DC4608"/>
      <c r="DD4608"/>
      <c r="DE4608"/>
    </row>
    <row r="4609" spans="1:109" s="45" customFormat="1" x14ac:dyDescent="0.2">
      <c r="A4609" s="650"/>
      <c r="B4609" s="438"/>
      <c r="C4609"/>
      <c r="D4609" s="73"/>
      <c r="E4609" s="48"/>
      <c r="F4609" s="48"/>
      <c r="G4609" s="1"/>
      <c r="H4609"/>
      <c r="I4609" s="2"/>
      <c r="J4609" s="72"/>
      <c r="K4609" s="72"/>
      <c r="L4609" s="499"/>
      <c r="M4609" s="1"/>
      <c r="N4609" s="499"/>
      <c r="O4609" s="1"/>
      <c r="P4609" s="1"/>
      <c r="Q4609" s="1"/>
      <c r="R4609" s="3"/>
      <c r="S4609" s="3"/>
      <c r="T4609" s="3"/>
      <c r="U4609" s="400"/>
      <c r="V4609" s="400"/>
      <c r="W4609" s="732"/>
      <c r="X4609" s="24"/>
      <c r="Y4609" s="509"/>
      <c r="Z4609" s="466"/>
      <c r="AA4609" s="466"/>
      <c r="AB4609" s="466"/>
      <c r="AC4609" s="466"/>
      <c r="AD4609" s="466"/>
      <c r="AE4609" s="466"/>
      <c r="AF4609" s="466"/>
      <c r="AG4609" s="466"/>
      <c r="AH4609" s="466"/>
      <c r="AI4609" s="466"/>
      <c r="AJ4609" s="466"/>
      <c r="AK4609" s="466"/>
      <c r="AL4609" s="466"/>
      <c r="AM4609" s="466"/>
      <c r="AN4609" s="466"/>
      <c r="AO4609" s="466"/>
      <c r="AP4609" s="466"/>
      <c r="AQ4609" s="466"/>
      <c r="AR4609" s="466"/>
      <c r="AS4609" s="466"/>
      <c r="AT4609" s="466"/>
      <c r="AU4609" s="466"/>
      <c r="AV4609" s="466"/>
      <c r="AW4609" s="466"/>
      <c r="AX4609" s="466"/>
      <c r="AY4609" s="466"/>
      <c r="AZ4609" s="466"/>
      <c r="BA4609" s="466"/>
      <c r="BB4609" s="466"/>
      <c r="BC4609" s="466"/>
      <c r="BD4609" s="466"/>
      <c r="BE4609" s="467"/>
      <c r="BF4609" s="467"/>
      <c r="BG4609" s="466"/>
      <c r="BH4609" s="466"/>
      <c r="BI4609" s="467"/>
      <c r="BJ4609" s="467"/>
      <c r="BK4609" s="467"/>
      <c r="BL4609" s="467"/>
      <c r="BM4609" s="467"/>
      <c r="BN4609" s="467"/>
      <c r="BO4609" s="467"/>
      <c r="BP4609" s="467"/>
      <c r="BQ4609" s="467"/>
      <c r="BR4609" s="467"/>
      <c r="BS4609" s="467"/>
      <c r="BT4609" s="467"/>
      <c r="BU4609" s="467"/>
      <c r="BV4609" s="467"/>
      <c r="BW4609" s="467"/>
      <c r="BX4609" s="769"/>
      <c r="BY4609" s="769"/>
      <c r="BZ4609" s="769"/>
      <c r="CA4609" s="769"/>
      <c r="CB4609" s="769"/>
      <c r="CC4609" s="769"/>
      <c r="CD4609" s="769"/>
      <c r="CE4609" s="769"/>
      <c r="CF4609" s="769"/>
      <c r="CG4609" s="73"/>
      <c r="CH4609" s="438"/>
      <c r="CI4609" s="416"/>
      <c r="CJ4609" s="73"/>
      <c r="CK4609" s="650"/>
      <c r="CL4609" s="499"/>
      <c r="CM4609" s="650"/>
      <c r="CR4609" s="403"/>
      <c r="CS4609" s="48"/>
      <c r="CT4609"/>
      <c r="CU4609" s="1"/>
      <c r="CV4609" s="1"/>
      <c r="CW4609" s="1"/>
      <c r="CX4609" s="1"/>
      <c r="CY4609"/>
      <c r="CZ4609"/>
      <c r="DA4609" s="48"/>
      <c r="DB4609"/>
      <c r="DC4609"/>
      <c r="DD4609"/>
      <c r="DE4609"/>
    </row>
    <row r="4610" spans="1:109" s="45" customFormat="1" x14ac:dyDescent="0.2">
      <c r="A4610" s="650"/>
      <c r="B4610" s="438"/>
      <c r="C4610"/>
      <c r="D4610" s="73"/>
      <c r="E4610" s="48"/>
      <c r="F4610" s="48"/>
      <c r="G4610" s="1"/>
      <c r="H4610"/>
      <c r="I4610" s="2"/>
      <c r="J4610" s="72"/>
      <c r="K4610" s="72"/>
      <c r="L4610" s="499"/>
      <c r="M4610" s="1"/>
      <c r="N4610" s="499"/>
      <c r="O4610" s="1"/>
      <c r="P4610" s="1"/>
      <c r="Q4610" s="1"/>
      <c r="R4610" s="3"/>
      <c r="S4610" s="3"/>
      <c r="T4610" s="3"/>
      <c r="U4610" s="400"/>
      <c r="V4610" s="400"/>
      <c r="W4610" s="732"/>
      <c r="X4610" s="24"/>
      <c r="Y4610" s="509"/>
      <c r="Z4610" s="466"/>
      <c r="AA4610" s="466"/>
      <c r="AB4610" s="466"/>
      <c r="AC4610" s="466"/>
      <c r="AD4610" s="466"/>
      <c r="AE4610" s="466"/>
      <c r="AF4610" s="466"/>
      <c r="AG4610" s="466"/>
      <c r="AH4610" s="466"/>
      <c r="AI4610" s="466"/>
      <c r="AJ4610" s="466"/>
      <c r="AK4610" s="466"/>
      <c r="AL4610" s="466"/>
      <c r="AM4610" s="466"/>
      <c r="AN4610" s="466"/>
      <c r="AO4610" s="466"/>
      <c r="AP4610" s="466"/>
      <c r="AQ4610" s="466"/>
      <c r="AR4610" s="466"/>
      <c r="AS4610" s="466"/>
      <c r="AT4610" s="466"/>
      <c r="AU4610" s="466"/>
      <c r="AV4610" s="466"/>
      <c r="AW4610" s="466"/>
      <c r="AX4610" s="466"/>
      <c r="AY4610" s="466"/>
      <c r="AZ4610" s="466"/>
      <c r="BA4610" s="466"/>
      <c r="BB4610" s="466"/>
      <c r="BC4610" s="466"/>
      <c r="BD4610" s="466"/>
      <c r="BE4610" s="467"/>
      <c r="BF4610" s="467"/>
      <c r="BG4610" s="466"/>
      <c r="BH4610" s="466"/>
      <c r="BI4610" s="467"/>
      <c r="BJ4610" s="467"/>
      <c r="BK4610" s="467"/>
      <c r="BL4610" s="467"/>
      <c r="BM4610" s="467"/>
      <c r="BN4610" s="467"/>
      <c r="BO4610" s="467"/>
      <c r="BP4610" s="467"/>
      <c r="BQ4610" s="467"/>
      <c r="BR4610" s="467"/>
      <c r="BS4610" s="467"/>
      <c r="BT4610" s="467"/>
      <c r="BU4610" s="467"/>
      <c r="BV4610" s="467"/>
      <c r="BW4610" s="467"/>
      <c r="BX4610" s="769"/>
      <c r="BY4610" s="769"/>
      <c r="BZ4610" s="769"/>
      <c r="CA4610" s="769"/>
      <c r="CB4610" s="769"/>
      <c r="CC4610" s="769"/>
      <c r="CD4610" s="769"/>
      <c r="CE4610" s="769"/>
      <c r="CF4610" s="769"/>
      <c r="CG4610" s="73"/>
      <c r="CH4610" s="438"/>
      <c r="CI4610" s="416"/>
      <c r="CJ4610" s="73"/>
      <c r="CK4610" s="650"/>
      <c r="CL4610" s="499"/>
      <c r="CM4610" s="650"/>
      <c r="CR4610" s="403"/>
      <c r="CS4610" s="48"/>
      <c r="CT4610"/>
      <c r="CU4610" s="1"/>
      <c r="CV4610" s="1"/>
      <c r="CW4610" s="1"/>
      <c r="CX4610" s="1"/>
      <c r="CY4610"/>
      <c r="CZ4610"/>
      <c r="DA4610" s="48"/>
      <c r="DB4610"/>
      <c r="DC4610"/>
      <c r="DD4610"/>
      <c r="DE4610"/>
    </row>
    <row r="4611" spans="1:109" s="45" customFormat="1" x14ac:dyDescent="0.2">
      <c r="A4611" s="650"/>
      <c r="B4611" s="438"/>
      <c r="C4611"/>
      <c r="D4611" s="73"/>
      <c r="E4611" s="48"/>
      <c r="F4611" s="48"/>
      <c r="G4611" s="1"/>
      <c r="H4611"/>
      <c r="I4611" s="2"/>
      <c r="J4611" s="72"/>
      <c r="K4611" s="72"/>
      <c r="L4611" s="499"/>
      <c r="M4611" s="1"/>
      <c r="N4611" s="499"/>
      <c r="O4611" s="1"/>
      <c r="P4611" s="1"/>
      <c r="Q4611" s="1"/>
      <c r="R4611" s="3"/>
      <c r="S4611" s="3"/>
      <c r="T4611" s="3"/>
      <c r="U4611" s="400"/>
      <c r="V4611" s="400"/>
      <c r="W4611" s="732"/>
      <c r="X4611" s="24"/>
      <c r="Y4611" s="509"/>
      <c r="Z4611" s="466"/>
      <c r="AA4611" s="466"/>
      <c r="AB4611" s="466"/>
      <c r="AC4611" s="466"/>
      <c r="AD4611" s="466"/>
      <c r="AE4611" s="466"/>
      <c r="AF4611" s="466"/>
      <c r="AG4611" s="466"/>
      <c r="AH4611" s="466"/>
      <c r="AI4611" s="466"/>
      <c r="AJ4611" s="466"/>
      <c r="AK4611" s="466"/>
      <c r="AL4611" s="466"/>
      <c r="AM4611" s="466"/>
      <c r="AN4611" s="466"/>
      <c r="AO4611" s="466"/>
      <c r="AP4611" s="466"/>
      <c r="AQ4611" s="466"/>
      <c r="AR4611" s="466"/>
      <c r="AS4611" s="466"/>
      <c r="AT4611" s="466"/>
      <c r="AU4611" s="466"/>
      <c r="AV4611" s="466"/>
      <c r="AW4611" s="466"/>
      <c r="AX4611" s="466"/>
      <c r="AY4611" s="466"/>
      <c r="AZ4611" s="466"/>
      <c r="BA4611" s="466"/>
      <c r="BB4611" s="466"/>
      <c r="BC4611" s="466"/>
      <c r="BD4611" s="466"/>
      <c r="BE4611" s="467"/>
      <c r="BF4611" s="467"/>
      <c r="BG4611" s="466"/>
      <c r="BH4611" s="466"/>
      <c r="BI4611" s="467"/>
      <c r="BJ4611" s="467"/>
      <c r="BK4611" s="467"/>
      <c r="BL4611" s="467"/>
      <c r="BM4611" s="467"/>
      <c r="BN4611" s="467"/>
      <c r="BO4611" s="467"/>
      <c r="BP4611" s="467"/>
      <c r="BQ4611" s="467"/>
      <c r="BR4611" s="467"/>
      <c r="BS4611" s="467"/>
      <c r="BT4611" s="467"/>
      <c r="BU4611" s="467"/>
      <c r="BV4611" s="467"/>
      <c r="BW4611" s="467"/>
      <c r="BX4611" s="769"/>
      <c r="BY4611" s="769"/>
      <c r="BZ4611" s="769"/>
      <c r="CA4611" s="769"/>
      <c r="CB4611" s="769"/>
      <c r="CC4611" s="769"/>
      <c r="CD4611" s="769"/>
      <c r="CE4611" s="769"/>
      <c r="CF4611" s="769"/>
      <c r="CG4611" s="73"/>
      <c r="CH4611" s="438"/>
      <c r="CI4611" s="416"/>
      <c r="CJ4611" s="73"/>
      <c r="CK4611" s="650"/>
      <c r="CL4611" s="499"/>
      <c r="CM4611" s="650"/>
      <c r="CR4611" s="403"/>
      <c r="CS4611" s="48"/>
      <c r="CT4611"/>
      <c r="CU4611" s="1"/>
      <c r="CV4611" s="1"/>
      <c r="CW4611" s="1"/>
      <c r="CX4611" s="1"/>
      <c r="CY4611"/>
      <c r="CZ4611"/>
      <c r="DA4611" s="48"/>
      <c r="DB4611"/>
      <c r="DC4611"/>
      <c r="DD4611"/>
      <c r="DE4611"/>
    </row>
    <row r="4612" spans="1:109" s="45" customFormat="1" x14ac:dyDescent="0.2">
      <c r="A4612" s="650"/>
      <c r="B4612" s="438"/>
      <c r="C4612"/>
      <c r="D4612" s="73"/>
      <c r="E4612" s="48"/>
      <c r="F4612" s="48"/>
      <c r="G4612" s="1"/>
      <c r="H4612"/>
      <c r="I4612" s="2"/>
      <c r="J4612" s="72"/>
      <c r="K4612" s="72"/>
      <c r="L4612" s="499"/>
      <c r="M4612" s="1"/>
      <c r="N4612" s="499"/>
      <c r="O4612" s="1"/>
      <c r="P4612" s="1"/>
      <c r="Q4612" s="1"/>
      <c r="R4612" s="3"/>
      <c r="S4612" s="3"/>
      <c r="T4612" s="3"/>
      <c r="U4612" s="400"/>
      <c r="V4612" s="400"/>
      <c r="W4612" s="732"/>
      <c r="X4612" s="24"/>
      <c r="Y4612" s="509"/>
      <c r="Z4612" s="466"/>
      <c r="AA4612" s="466"/>
      <c r="AB4612" s="466"/>
      <c r="AC4612" s="466"/>
      <c r="AD4612" s="466"/>
      <c r="AE4612" s="466"/>
      <c r="AF4612" s="466"/>
      <c r="AG4612" s="466"/>
      <c r="AH4612" s="466"/>
      <c r="AI4612" s="466"/>
      <c r="AJ4612" s="466"/>
      <c r="AK4612" s="466"/>
      <c r="AL4612" s="466"/>
      <c r="AM4612" s="466"/>
      <c r="AN4612" s="466"/>
      <c r="AO4612" s="466"/>
      <c r="AP4612" s="466"/>
      <c r="AQ4612" s="466"/>
      <c r="AR4612" s="466"/>
      <c r="AS4612" s="466"/>
      <c r="AT4612" s="466"/>
      <c r="AU4612" s="466"/>
      <c r="AV4612" s="466"/>
      <c r="AW4612" s="466"/>
      <c r="AX4612" s="466"/>
      <c r="AY4612" s="466"/>
      <c r="AZ4612" s="466"/>
      <c r="BA4612" s="466"/>
      <c r="BB4612" s="466"/>
      <c r="BC4612" s="466"/>
      <c r="BD4612" s="466"/>
      <c r="BE4612" s="467"/>
      <c r="BF4612" s="467"/>
      <c r="BG4612" s="466"/>
      <c r="BH4612" s="466"/>
      <c r="BI4612" s="467"/>
      <c r="BJ4612" s="467"/>
      <c r="BK4612" s="467"/>
      <c r="BL4612" s="467"/>
      <c r="BM4612" s="467"/>
      <c r="BN4612" s="467"/>
      <c r="BO4612" s="467"/>
      <c r="BP4612" s="467"/>
      <c r="BQ4612" s="467"/>
      <c r="BR4612" s="467"/>
      <c r="BS4612" s="467"/>
      <c r="BT4612" s="467"/>
      <c r="BU4612" s="467"/>
      <c r="BV4612" s="467"/>
      <c r="BW4612" s="467"/>
      <c r="BX4612" s="769"/>
      <c r="BY4612" s="769"/>
      <c r="BZ4612" s="769"/>
      <c r="CA4612" s="769"/>
      <c r="CB4612" s="769"/>
      <c r="CC4612" s="769"/>
      <c r="CD4612" s="769"/>
      <c r="CE4612" s="769"/>
      <c r="CF4612" s="769"/>
      <c r="CG4612" s="73"/>
      <c r="CH4612" s="438"/>
      <c r="CI4612" s="416"/>
      <c r="CJ4612" s="73"/>
      <c r="CK4612" s="650"/>
      <c r="CL4612" s="499"/>
      <c r="CM4612" s="650"/>
      <c r="CR4612" s="403"/>
      <c r="CS4612" s="48"/>
      <c r="CT4612"/>
      <c r="CU4612" s="1"/>
      <c r="CV4612" s="1"/>
      <c r="CW4612" s="1"/>
      <c r="CX4612" s="1"/>
      <c r="CY4612"/>
      <c r="CZ4612"/>
      <c r="DA4612" s="48"/>
      <c r="DB4612"/>
      <c r="DC4612"/>
      <c r="DD4612"/>
      <c r="DE4612"/>
    </row>
    <row r="4613" spans="1:109" s="45" customFormat="1" x14ac:dyDescent="0.2">
      <c r="A4613" s="650"/>
      <c r="B4613" s="438"/>
      <c r="C4613"/>
      <c r="D4613" s="73"/>
      <c r="E4613" s="48"/>
      <c r="F4613" s="48"/>
      <c r="G4613" s="1"/>
      <c r="H4613"/>
      <c r="I4613" s="2"/>
      <c r="J4613" s="72"/>
      <c r="K4613" s="72"/>
      <c r="L4613" s="499"/>
      <c r="M4613" s="1"/>
      <c r="N4613" s="499"/>
      <c r="O4613" s="1"/>
      <c r="P4613" s="1"/>
      <c r="Q4613" s="1"/>
      <c r="R4613" s="3"/>
      <c r="S4613" s="3"/>
      <c r="T4613" s="3"/>
      <c r="U4613" s="400"/>
      <c r="V4613" s="400"/>
      <c r="W4613" s="732"/>
      <c r="X4613" s="24"/>
      <c r="Y4613" s="509"/>
      <c r="Z4613" s="466"/>
      <c r="AA4613" s="466"/>
      <c r="AB4613" s="466"/>
      <c r="AC4613" s="466"/>
      <c r="AD4613" s="466"/>
      <c r="AE4613" s="466"/>
      <c r="AF4613" s="466"/>
      <c r="AG4613" s="466"/>
      <c r="AH4613" s="466"/>
      <c r="AI4613" s="466"/>
      <c r="AJ4613" s="466"/>
      <c r="AK4613" s="466"/>
      <c r="AL4613" s="466"/>
      <c r="AM4613" s="466"/>
      <c r="AN4613" s="466"/>
      <c r="AO4613" s="466"/>
      <c r="AP4613" s="466"/>
      <c r="AQ4613" s="466"/>
      <c r="AR4613" s="466"/>
      <c r="AS4613" s="466"/>
      <c r="AT4613" s="466"/>
      <c r="AU4613" s="466"/>
      <c r="AV4613" s="466"/>
      <c r="AW4613" s="466"/>
      <c r="AX4613" s="466"/>
      <c r="AY4613" s="466"/>
      <c r="AZ4613" s="466"/>
      <c r="BA4613" s="466"/>
      <c r="BB4613" s="466"/>
      <c r="BC4613" s="466"/>
      <c r="BD4613" s="466"/>
      <c r="BE4613" s="467"/>
      <c r="BF4613" s="467"/>
      <c r="BG4613" s="466"/>
      <c r="BH4613" s="466"/>
      <c r="BI4613" s="467"/>
      <c r="BJ4613" s="467"/>
      <c r="BK4613" s="467"/>
      <c r="BL4613" s="467"/>
      <c r="BM4613" s="467"/>
      <c r="BN4613" s="467"/>
      <c r="BO4613" s="467"/>
      <c r="BP4613" s="467"/>
      <c r="BQ4613" s="467"/>
      <c r="BR4613" s="467"/>
      <c r="BS4613" s="467"/>
      <c r="BT4613" s="467"/>
      <c r="BU4613" s="467"/>
      <c r="BV4613" s="467"/>
      <c r="BW4613" s="467"/>
      <c r="BX4613" s="769"/>
      <c r="BY4613" s="769"/>
      <c r="BZ4613" s="769"/>
      <c r="CA4613" s="769"/>
      <c r="CB4613" s="769"/>
      <c r="CC4613" s="769"/>
      <c r="CD4613" s="769"/>
      <c r="CE4613" s="769"/>
      <c r="CF4613" s="769"/>
      <c r="CG4613" s="73"/>
      <c r="CH4613" s="438"/>
      <c r="CI4613" s="416"/>
      <c r="CJ4613" s="73"/>
      <c r="CK4613" s="650"/>
      <c r="CL4613" s="499"/>
      <c r="CM4613" s="650"/>
      <c r="CR4613" s="403"/>
      <c r="CS4613" s="48"/>
      <c r="CT4613"/>
      <c r="CU4613" s="1"/>
      <c r="CV4613" s="1"/>
      <c r="CW4613" s="1"/>
      <c r="CX4613" s="1"/>
      <c r="CY4613"/>
      <c r="CZ4613"/>
      <c r="DA4613" s="48"/>
      <c r="DB4613"/>
      <c r="DC4613"/>
      <c r="DD4613"/>
      <c r="DE4613"/>
    </row>
    <row r="4614" spans="1:109" s="45" customFormat="1" x14ac:dyDescent="0.2">
      <c r="A4614" s="650"/>
      <c r="B4614" s="438"/>
      <c r="C4614"/>
      <c r="D4614" s="73"/>
      <c r="E4614" s="48"/>
      <c r="F4614" s="48"/>
      <c r="G4614" s="1"/>
      <c r="H4614"/>
      <c r="I4614" s="2"/>
      <c r="J4614" s="72"/>
      <c r="K4614" s="72"/>
      <c r="L4614" s="499"/>
      <c r="M4614" s="1"/>
      <c r="N4614" s="499"/>
      <c r="O4614" s="1"/>
      <c r="P4614" s="1"/>
      <c r="Q4614" s="1"/>
      <c r="R4614" s="3"/>
      <c r="S4614" s="3"/>
      <c r="T4614" s="3"/>
      <c r="U4614" s="400"/>
      <c r="V4614" s="400"/>
      <c r="W4614" s="732"/>
      <c r="X4614" s="24"/>
      <c r="Y4614" s="509"/>
      <c r="Z4614" s="466"/>
      <c r="AA4614" s="466"/>
      <c r="AB4614" s="466"/>
      <c r="AC4614" s="466"/>
      <c r="AD4614" s="466"/>
      <c r="AE4614" s="466"/>
      <c r="AF4614" s="466"/>
      <c r="AG4614" s="466"/>
      <c r="AH4614" s="466"/>
      <c r="AI4614" s="466"/>
      <c r="AJ4614" s="466"/>
      <c r="AK4614" s="466"/>
      <c r="AL4614" s="466"/>
      <c r="AM4614" s="466"/>
      <c r="AN4614" s="466"/>
      <c r="AO4614" s="466"/>
      <c r="AP4614" s="466"/>
      <c r="AQ4614" s="466"/>
      <c r="AR4614" s="466"/>
      <c r="AS4614" s="466"/>
      <c r="AT4614" s="466"/>
      <c r="AU4614" s="466"/>
      <c r="AV4614" s="466"/>
      <c r="AW4614" s="466"/>
      <c r="AX4614" s="466"/>
      <c r="AY4614" s="466"/>
      <c r="AZ4614" s="466"/>
      <c r="BA4614" s="466"/>
      <c r="BB4614" s="466"/>
      <c r="BC4614" s="466"/>
      <c r="BD4614" s="466"/>
      <c r="BE4614" s="467"/>
      <c r="BF4614" s="467"/>
      <c r="BG4614" s="466"/>
      <c r="BH4614" s="466"/>
      <c r="BI4614" s="467"/>
      <c r="BJ4614" s="467"/>
      <c r="BK4614" s="467"/>
      <c r="BL4614" s="467"/>
      <c r="BM4614" s="467"/>
      <c r="BN4614" s="467"/>
      <c r="BO4614" s="467"/>
      <c r="BP4614" s="467"/>
      <c r="BQ4614" s="467"/>
      <c r="BR4614" s="467"/>
      <c r="BS4614" s="467"/>
      <c r="BT4614" s="467"/>
      <c r="BU4614" s="467"/>
      <c r="BV4614" s="467"/>
      <c r="BW4614" s="467"/>
      <c r="BX4614" s="769"/>
      <c r="BY4614" s="769"/>
      <c r="BZ4614" s="769"/>
      <c r="CA4614" s="769"/>
      <c r="CB4614" s="769"/>
      <c r="CC4614" s="769"/>
      <c r="CD4614" s="769"/>
      <c r="CE4614" s="769"/>
      <c r="CF4614" s="769"/>
      <c r="CG4614" s="73"/>
      <c r="CH4614" s="438"/>
      <c r="CI4614" s="416"/>
      <c r="CJ4614" s="73"/>
      <c r="CK4614" s="650"/>
      <c r="CL4614" s="499"/>
      <c r="CM4614" s="650"/>
      <c r="CR4614" s="403"/>
      <c r="CS4614" s="48"/>
      <c r="CT4614"/>
      <c r="CU4614" s="1"/>
      <c r="CV4614" s="1"/>
      <c r="CW4614" s="1"/>
      <c r="CX4614" s="1"/>
      <c r="CY4614"/>
      <c r="CZ4614"/>
      <c r="DA4614" s="48"/>
      <c r="DB4614"/>
      <c r="DC4614"/>
      <c r="DD4614"/>
      <c r="DE4614"/>
    </row>
    <row r="4615" spans="1:109" s="45" customFormat="1" x14ac:dyDescent="0.2">
      <c r="A4615" s="650"/>
      <c r="B4615" s="438"/>
      <c r="C4615"/>
      <c r="D4615" s="73"/>
      <c r="E4615" s="48"/>
      <c r="F4615" s="48"/>
      <c r="G4615" s="1"/>
      <c r="H4615"/>
      <c r="I4615" s="2"/>
      <c r="J4615" s="72"/>
      <c r="K4615" s="72"/>
      <c r="L4615" s="499"/>
      <c r="M4615" s="1"/>
      <c r="N4615" s="499"/>
      <c r="O4615" s="1"/>
      <c r="P4615" s="1"/>
      <c r="Q4615" s="1"/>
      <c r="R4615" s="3"/>
      <c r="S4615" s="3"/>
      <c r="T4615" s="3"/>
      <c r="U4615" s="400"/>
      <c r="V4615" s="400"/>
      <c r="W4615" s="732"/>
      <c r="X4615" s="24"/>
      <c r="Y4615" s="509"/>
      <c r="Z4615" s="466"/>
      <c r="AA4615" s="466"/>
      <c r="AB4615" s="466"/>
      <c r="AC4615" s="466"/>
      <c r="AD4615" s="466"/>
      <c r="AE4615" s="466"/>
      <c r="AF4615" s="466"/>
      <c r="AG4615" s="466"/>
      <c r="AH4615" s="466"/>
      <c r="AI4615" s="466"/>
      <c r="AJ4615" s="466"/>
      <c r="AK4615" s="466"/>
      <c r="AL4615" s="466"/>
      <c r="AM4615" s="466"/>
      <c r="AN4615" s="466"/>
      <c r="AO4615" s="466"/>
      <c r="AP4615" s="466"/>
      <c r="AQ4615" s="466"/>
      <c r="AR4615" s="466"/>
      <c r="AS4615" s="466"/>
      <c r="AT4615" s="466"/>
      <c r="AU4615" s="466"/>
      <c r="AV4615" s="466"/>
      <c r="AW4615" s="466"/>
      <c r="AX4615" s="466"/>
      <c r="AY4615" s="466"/>
      <c r="AZ4615" s="466"/>
      <c r="BA4615" s="466"/>
      <c r="BB4615" s="466"/>
      <c r="BC4615" s="466"/>
      <c r="BD4615" s="466"/>
      <c r="BE4615" s="467"/>
      <c r="BF4615" s="467"/>
      <c r="BG4615" s="466"/>
      <c r="BH4615" s="466"/>
      <c r="BI4615" s="467"/>
      <c r="BJ4615" s="467"/>
      <c r="BK4615" s="467"/>
      <c r="BL4615" s="467"/>
      <c r="BM4615" s="467"/>
      <c r="BN4615" s="467"/>
      <c r="BO4615" s="467"/>
      <c r="BP4615" s="467"/>
      <c r="BQ4615" s="467"/>
      <c r="BR4615" s="467"/>
      <c r="BS4615" s="467"/>
      <c r="BT4615" s="467"/>
      <c r="BU4615" s="467"/>
      <c r="BV4615" s="467"/>
      <c r="BW4615" s="467"/>
      <c r="BX4615" s="769"/>
      <c r="BY4615" s="769"/>
      <c r="BZ4615" s="769"/>
      <c r="CA4615" s="769"/>
      <c r="CB4615" s="769"/>
      <c r="CC4615" s="769"/>
      <c r="CD4615" s="769"/>
      <c r="CE4615" s="769"/>
      <c r="CF4615" s="769"/>
      <c r="CG4615" s="73"/>
      <c r="CH4615" s="438"/>
      <c r="CI4615" s="416"/>
      <c r="CJ4615" s="73"/>
      <c r="CK4615" s="650"/>
      <c r="CL4615" s="499"/>
      <c r="CM4615" s="650"/>
      <c r="CR4615" s="403"/>
      <c r="CS4615" s="48"/>
      <c r="CT4615"/>
      <c r="CU4615" s="1"/>
      <c r="CV4615" s="1"/>
      <c r="CW4615" s="1"/>
      <c r="CX4615" s="1"/>
      <c r="CY4615"/>
      <c r="CZ4615"/>
      <c r="DA4615" s="48"/>
      <c r="DB4615"/>
      <c r="DC4615"/>
      <c r="DD4615"/>
      <c r="DE4615"/>
    </row>
    <row r="4616" spans="1:109" s="45" customFormat="1" x14ac:dyDescent="0.2">
      <c r="A4616" s="650"/>
      <c r="B4616" s="438"/>
      <c r="C4616"/>
      <c r="D4616" s="73"/>
      <c r="E4616" s="48"/>
      <c r="F4616" s="48"/>
      <c r="G4616" s="1"/>
      <c r="H4616"/>
      <c r="I4616" s="2"/>
      <c r="J4616" s="72"/>
      <c r="K4616" s="72"/>
      <c r="L4616" s="499"/>
      <c r="M4616" s="1"/>
      <c r="N4616" s="499"/>
      <c r="O4616" s="1"/>
      <c r="P4616" s="1"/>
      <c r="Q4616" s="1"/>
      <c r="R4616" s="3"/>
      <c r="S4616" s="3"/>
      <c r="T4616" s="3"/>
      <c r="U4616" s="400"/>
      <c r="V4616" s="400"/>
      <c r="W4616" s="732"/>
      <c r="X4616" s="24"/>
      <c r="Y4616" s="509"/>
      <c r="Z4616" s="466"/>
      <c r="AA4616" s="466"/>
      <c r="AB4616" s="466"/>
      <c r="AC4616" s="466"/>
      <c r="AD4616" s="466"/>
      <c r="AE4616" s="466"/>
      <c r="AF4616" s="466"/>
      <c r="AG4616" s="466"/>
      <c r="AH4616" s="466"/>
      <c r="AI4616" s="466"/>
      <c r="AJ4616" s="466"/>
      <c r="AK4616" s="466"/>
      <c r="AL4616" s="466"/>
      <c r="AM4616" s="466"/>
      <c r="AN4616" s="466"/>
      <c r="AO4616" s="466"/>
      <c r="AP4616" s="466"/>
      <c r="AQ4616" s="466"/>
      <c r="AR4616" s="466"/>
      <c r="AS4616" s="466"/>
      <c r="AT4616" s="466"/>
      <c r="AU4616" s="466"/>
      <c r="AV4616" s="466"/>
      <c r="AW4616" s="466"/>
      <c r="AX4616" s="466"/>
      <c r="AY4616" s="466"/>
      <c r="AZ4616" s="466"/>
      <c r="BA4616" s="466"/>
      <c r="BB4616" s="466"/>
      <c r="BC4616" s="466"/>
      <c r="BD4616" s="466"/>
      <c r="BE4616" s="467"/>
      <c r="BF4616" s="467"/>
      <c r="BG4616" s="466"/>
      <c r="BH4616" s="466"/>
      <c r="BI4616" s="467"/>
      <c r="BJ4616" s="467"/>
      <c r="BK4616" s="467"/>
      <c r="BL4616" s="467"/>
      <c r="BM4616" s="467"/>
      <c r="BN4616" s="467"/>
      <c r="BO4616" s="467"/>
      <c r="BP4616" s="467"/>
      <c r="BQ4616" s="467"/>
      <c r="BR4616" s="467"/>
      <c r="BS4616" s="467"/>
      <c r="BT4616" s="467"/>
      <c r="BU4616" s="467"/>
      <c r="BV4616" s="467"/>
      <c r="BW4616" s="467"/>
      <c r="BX4616" s="769"/>
      <c r="BY4616" s="769"/>
      <c r="BZ4616" s="769"/>
      <c r="CA4616" s="769"/>
      <c r="CB4616" s="769"/>
      <c r="CC4616" s="769"/>
      <c r="CD4616" s="769"/>
      <c r="CE4616" s="769"/>
      <c r="CF4616" s="769"/>
      <c r="CG4616" s="73"/>
      <c r="CH4616" s="438"/>
      <c r="CI4616" s="416"/>
      <c r="CJ4616" s="73"/>
      <c r="CK4616" s="650"/>
      <c r="CL4616" s="499"/>
      <c r="CM4616" s="650"/>
      <c r="CR4616" s="403"/>
      <c r="CS4616" s="48"/>
      <c r="CT4616"/>
      <c r="CU4616" s="1"/>
      <c r="CV4616" s="1"/>
      <c r="CW4616" s="1"/>
      <c r="CX4616" s="1"/>
      <c r="CY4616"/>
      <c r="CZ4616"/>
      <c r="DA4616" s="48"/>
      <c r="DB4616"/>
      <c r="DC4616"/>
      <c r="DD4616"/>
      <c r="DE4616"/>
    </row>
    <row r="4617" spans="1:109" s="45" customFormat="1" x14ac:dyDescent="0.2">
      <c r="A4617" s="650"/>
      <c r="B4617" s="438"/>
      <c r="C4617"/>
      <c r="D4617" s="73"/>
      <c r="E4617" s="48"/>
      <c r="F4617" s="48"/>
      <c r="G4617" s="1"/>
      <c r="H4617"/>
      <c r="I4617" s="2"/>
      <c r="J4617" s="72"/>
      <c r="K4617" s="72"/>
      <c r="L4617" s="499"/>
      <c r="M4617" s="1"/>
      <c r="N4617" s="499"/>
      <c r="O4617" s="1"/>
      <c r="P4617" s="1"/>
      <c r="Q4617" s="1"/>
      <c r="R4617" s="3"/>
      <c r="S4617" s="3"/>
      <c r="T4617" s="3"/>
      <c r="U4617" s="400"/>
      <c r="V4617" s="400"/>
      <c r="W4617" s="732"/>
      <c r="X4617" s="24"/>
      <c r="Y4617" s="509"/>
      <c r="Z4617" s="466"/>
      <c r="AA4617" s="466"/>
      <c r="AB4617" s="466"/>
      <c r="AC4617" s="466"/>
      <c r="AD4617" s="466"/>
      <c r="AE4617" s="466"/>
      <c r="AF4617" s="466"/>
      <c r="AG4617" s="466"/>
      <c r="AH4617" s="466"/>
      <c r="AI4617" s="466"/>
      <c r="AJ4617" s="466"/>
      <c r="AK4617" s="466"/>
      <c r="AL4617" s="466"/>
      <c r="AM4617" s="466"/>
      <c r="AN4617" s="466"/>
      <c r="AO4617" s="466"/>
      <c r="AP4617" s="466"/>
      <c r="AQ4617" s="466"/>
      <c r="AR4617" s="466"/>
      <c r="AS4617" s="466"/>
      <c r="AT4617" s="466"/>
      <c r="AU4617" s="466"/>
      <c r="AV4617" s="466"/>
      <c r="AW4617" s="466"/>
      <c r="AX4617" s="466"/>
      <c r="AY4617" s="466"/>
      <c r="AZ4617" s="466"/>
      <c r="BA4617" s="466"/>
      <c r="BB4617" s="466"/>
      <c r="BC4617" s="466"/>
      <c r="BD4617" s="466"/>
      <c r="BE4617" s="467"/>
      <c r="BF4617" s="467"/>
      <c r="BG4617" s="466"/>
      <c r="BH4617" s="466"/>
      <c r="BI4617" s="467"/>
      <c r="BJ4617" s="467"/>
      <c r="BK4617" s="467"/>
      <c r="BL4617" s="467"/>
      <c r="BM4617" s="467"/>
      <c r="BN4617" s="467"/>
      <c r="BO4617" s="467"/>
      <c r="BP4617" s="467"/>
      <c r="BQ4617" s="467"/>
      <c r="BR4617" s="467"/>
      <c r="BS4617" s="467"/>
      <c r="BT4617" s="467"/>
      <c r="BU4617" s="467"/>
      <c r="BV4617" s="467"/>
      <c r="BW4617" s="467"/>
      <c r="BX4617" s="769"/>
      <c r="BY4617" s="769"/>
      <c r="BZ4617" s="769"/>
      <c r="CA4617" s="769"/>
      <c r="CB4617" s="769"/>
      <c r="CC4617" s="769"/>
      <c r="CD4617" s="769"/>
      <c r="CE4617" s="769"/>
      <c r="CF4617" s="769"/>
      <c r="CG4617" s="73"/>
      <c r="CH4617" s="438"/>
      <c r="CI4617" s="416"/>
      <c r="CJ4617" s="73"/>
      <c r="CK4617" s="650"/>
      <c r="CL4617" s="499"/>
      <c r="CM4617" s="650"/>
      <c r="CR4617" s="403"/>
      <c r="CS4617" s="48"/>
      <c r="CT4617"/>
      <c r="CU4617" s="1"/>
      <c r="CV4617" s="1"/>
      <c r="CW4617" s="1"/>
      <c r="CX4617" s="1"/>
      <c r="CY4617"/>
      <c r="CZ4617"/>
      <c r="DA4617" s="48"/>
      <c r="DB4617"/>
      <c r="DC4617"/>
      <c r="DD4617"/>
      <c r="DE4617"/>
    </row>
    <row r="4618" spans="1:109" s="45" customFormat="1" x14ac:dyDescent="0.2">
      <c r="A4618" s="650"/>
      <c r="B4618" s="438"/>
      <c r="C4618"/>
      <c r="D4618" s="73"/>
      <c r="E4618" s="48"/>
      <c r="F4618" s="48"/>
      <c r="G4618" s="1"/>
      <c r="H4618"/>
      <c r="I4618" s="2"/>
      <c r="J4618" s="72"/>
      <c r="K4618" s="72"/>
      <c r="L4618" s="499"/>
      <c r="M4618" s="1"/>
      <c r="N4618" s="499"/>
      <c r="O4618" s="1"/>
      <c r="P4618" s="1"/>
      <c r="Q4618" s="1"/>
      <c r="R4618" s="3"/>
      <c r="S4618" s="3"/>
      <c r="T4618" s="3"/>
      <c r="U4618" s="400"/>
      <c r="V4618" s="400"/>
      <c r="W4618" s="732"/>
      <c r="X4618" s="24"/>
      <c r="Y4618" s="509"/>
      <c r="Z4618" s="466"/>
      <c r="AA4618" s="466"/>
      <c r="AB4618" s="466"/>
      <c r="AC4618" s="466"/>
      <c r="AD4618" s="466"/>
      <c r="AE4618" s="466"/>
      <c r="AF4618" s="466"/>
      <c r="AG4618" s="466"/>
      <c r="AH4618" s="466"/>
      <c r="AI4618" s="466"/>
      <c r="AJ4618" s="466"/>
      <c r="AK4618" s="466"/>
      <c r="AL4618" s="466"/>
      <c r="AM4618" s="466"/>
      <c r="AN4618" s="466"/>
      <c r="AO4618" s="466"/>
      <c r="AP4618" s="466"/>
      <c r="AQ4618" s="466"/>
      <c r="AR4618" s="466"/>
      <c r="AS4618" s="466"/>
      <c r="AT4618" s="466"/>
      <c r="AU4618" s="466"/>
      <c r="AV4618" s="466"/>
      <c r="AW4618" s="466"/>
      <c r="AX4618" s="466"/>
      <c r="AY4618" s="466"/>
      <c r="AZ4618" s="466"/>
      <c r="BA4618" s="466"/>
      <c r="BB4618" s="466"/>
      <c r="BC4618" s="466"/>
      <c r="BD4618" s="466"/>
      <c r="BE4618" s="467"/>
      <c r="BF4618" s="467"/>
      <c r="BG4618" s="466"/>
      <c r="BH4618" s="466"/>
      <c r="BI4618" s="467"/>
      <c r="BJ4618" s="467"/>
      <c r="BK4618" s="467"/>
      <c r="BL4618" s="467"/>
      <c r="BM4618" s="467"/>
      <c r="BN4618" s="467"/>
      <c r="BO4618" s="467"/>
      <c r="BP4618" s="467"/>
      <c r="BQ4618" s="467"/>
      <c r="BR4618" s="467"/>
      <c r="BS4618" s="467"/>
      <c r="BT4618" s="467"/>
      <c r="BU4618" s="467"/>
      <c r="BV4618" s="467"/>
      <c r="BW4618" s="467"/>
      <c r="BX4618" s="769"/>
      <c r="BY4618" s="769"/>
      <c r="BZ4618" s="769"/>
      <c r="CA4618" s="769"/>
      <c r="CB4618" s="769"/>
      <c r="CC4618" s="769"/>
      <c r="CD4618" s="769"/>
      <c r="CE4618" s="769"/>
      <c r="CF4618" s="769"/>
      <c r="CG4618" s="73"/>
      <c r="CH4618" s="438"/>
      <c r="CI4618" s="416"/>
      <c r="CJ4618" s="73"/>
      <c r="CK4618" s="650"/>
      <c r="CL4618" s="499"/>
      <c r="CM4618" s="650"/>
      <c r="CR4618" s="403"/>
      <c r="CS4618" s="48"/>
      <c r="CT4618"/>
      <c r="CU4618" s="1"/>
      <c r="CV4618" s="1"/>
      <c r="CW4618" s="1"/>
      <c r="CX4618" s="1"/>
      <c r="CY4618"/>
      <c r="CZ4618"/>
      <c r="DA4618" s="48"/>
      <c r="DB4618"/>
      <c r="DC4618"/>
      <c r="DD4618"/>
      <c r="DE4618"/>
    </row>
    <row r="4619" spans="1:109" s="45" customFormat="1" x14ac:dyDescent="0.2">
      <c r="A4619" s="650"/>
      <c r="B4619" s="438"/>
      <c r="C4619"/>
      <c r="D4619" s="73"/>
      <c r="E4619" s="48"/>
      <c r="F4619" s="48"/>
      <c r="G4619" s="1"/>
      <c r="H4619"/>
      <c r="I4619" s="2"/>
      <c r="J4619" s="72"/>
      <c r="K4619" s="72"/>
      <c r="L4619" s="499"/>
      <c r="M4619" s="1"/>
      <c r="N4619" s="499"/>
      <c r="O4619" s="1"/>
      <c r="P4619" s="1"/>
      <c r="Q4619" s="1"/>
      <c r="R4619" s="3"/>
      <c r="S4619" s="3"/>
      <c r="T4619" s="3"/>
      <c r="U4619" s="400"/>
      <c r="V4619" s="400"/>
      <c r="W4619" s="732"/>
      <c r="X4619" s="24"/>
      <c r="Y4619" s="509"/>
      <c r="Z4619" s="466"/>
      <c r="AA4619" s="466"/>
      <c r="AB4619" s="466"/>
      <c r="AC4619" s="466"/>
      <c r="AD4619" s="466"/>
      <c r="AE4619" s="466"/>
      <c r="AF4619" s="466"/>
      <c r="AG4619" s="466"/>
      <c r="AH4619" s="466"/>
      <c r="AI4619" s="466"/>
      <c r="AJ4619" s="466"/>
      <c r="AK4619" s="466"/>
      <c r="AL4619" s="466"/>
      <c r="AM4619" s="466"/>
      <c r="AN4619" s="466"/>
      <c r="AO4619" s="466"/>
      <c r="AP4619" s="466"/>
      <c r="AQ4619" s="466"/>
      <c r="AR4619" s="466"/>
      <c r="AS4619" s="466"/>
      <c r="AT4619" s="466"/>
      <c r="AU4619" s="466"/>
      <c r="AV4619" s="466"/>
      <c r="AW4619" s="466"/>
      <c r="AX4619" s="466"/>
      <c r="AY4619" s="466"/>
      <c r="AZ4619" s="466"/>
      <c r="BA4619" s="466"/>
      <c r="BB4619" s="466"/>
      <c r="BC4619" s="466"/>
      <c r="BD4619" s="466"/>
      <c r="BE4619" s="467"/>
      <c r="BF4619" s="467"/>
      <c r="BG4619" s="466"/>
      <c r="BH4619" s="466"/>
      <c r="BI4619" s="467"/>
      <c r="BJ4619" s="467"/>
      <c r="BK4619" s="467"/>
      <c r="BL4619" s="467"/>
      <c r="BM4619" s="467"/>
      <c r="BN4619" s="467"/>
      <c r="BO4619" s="467"/>
      <c r="BP4619" s="467"/>
      <c r="BQ4619" s="467"/>
      <c r="BR4619" s="467"/>
      <c r="BS4619" s="467"/>
      <c r="BT4619" s="467"/>
      <c r="BU4619" s="467"/>
      <c r="BV4619" s="467"/>
      <c r="BW4619" s="467"/>
      <c r="BX4619" s="769"/>
      <c r="BY4619" s="769"/>
      <c r="BZ4619" s="769"/>
      <c r="CA4619" s="769"/>
      <c r="CB4619" s="769"/>
      <c r="CC4619" s="769"/>
      <c r="CD4619" s="769"/>
      <c r="CE4619" s="769"/>
      <c r="CF4619" s="769"/>
      <c r="CG4619" s="73"/>
      <c r="CH4619" s="438"/>
      <c r="CI4619" s="416"/>
      <c r="CJ4619" s="73"/>
      <c r="CK4619" s="650"/>
      <c r="CL4619" s="499"/>
      <c r="CM4619" s="650"/>
      <c r="CR4619" s="403"/>
      <c r="CS4619" s="48"/>
      <c r="CT4619"/>
      <c r="CU4619" s="1"/>
      <c r="CV4619" s="1"/>
      <c r="CW4619" s="1"/>
      <c r="CX4619" s="1"/>
      <c r="CY4619"/>
      <c r="CZ4619"/>
      <c r="DA4619" s="48"/>
      <c r="DB4619"/>
      <c r="DC4619"/>
      <c r="DD4619"/>
      <c r="DE4619"/>
    </row>
    <row r="4620" spans="1:109" s="45" customFormat="1" x14ac:dyDescent="0.2">
      <c r="A4620" s="650"/>
      <c r="B4620" s="438"/>
      <c r="C4620"/>
      <c r="D4620" s="73"/>
      <c r="E4620" s="48"/>
      <c r="F4620" s="48"/>
      <c r="G4620" s="1"/>
      <c r="H4620"/>
      <c r="I4620" s="2"/>
      <c r="J4620" s="72"/>
      <c r="K4620" s="72"/>
      <c r="L4620" s="499"/>
      <c r="M4620" s="1"/>
      <c r="N4620" s="499"/>
      <c r="O4620" s="1"/>
      <c r="P4620" s="1"/>
      <c r="Q4620" s="1"/>
      <c r="R4620" s="3"/>
      <c r="S4620" s="3"/>
      <c r="T4620" s="3"/>
      <c r="U4620" s="400"/>
      <c r="V4620" s="400"/>
      <c r="W4620" s="732"/>
      <c r="X4620" s="24"/>
      <c r="Y4620" s="509"/>
      <c r="Z4620" s="466"/>
      <c r="AA4620" s="466"/>
      <c r="AB4620" s="466"/>
      <c r="AC4620" s="466"/>
      <c r="AD4620" s="466"/>
      <c r="AE4620" s="466"/>
      <c r="AF4620" s="466"/>
      <c r="AG4620" s="466"/>
      <c r="AH4620" s="466"/>
      <c r="AI4620" s="466"/>
      <c r="AJ4620" s="466"/>
      <c r="AK4620" s="466"/>
      <c r="AL4620" s="466"/>
      <c r="AM4620" s="466"/>
      <c r="AN4620" s="466"/>
      <c r="AO4620" s="466"/>
      <c r="AP4620" s="466"/>
      <c r="AQ4620" s="466"/>
      <c r="AR4620" s="466"/>
      <c r="AS4620" s="466"/>
      <c r="AT4620" s="466"/>
      <c r="AU4620" s="466"/>
      <c r="AV4620" s="466"/>
      <c r="AW4620" s="466"/>
      <c r="AX4620" s="466"/>
      <c r="AY4620" s="466"/>
      <c r="AZ4620" s="466"/>
      <c r="BA4620" s="466"/>
      <c r="BB4620" s="466"/>
      <c r="BC4620" s="466"/>
      <c r="BD4620" s="466"/>
      <c r="BE4620" s="467"/>
      <c r="BF4620" s="467"/>
      <c r="BG4620" s="466"/>
      <c r="BH4620" s="466"/>
      <c r="BI4620" s="467"/>
      <c r="BJ4620" s="467"/>
      <c r="BK4620" s="467"/>
      <c r="BL4620" s="467"/>
      <c r="BM4620" s="467"/>
      <c r="BN4620" s="467"/>
      <c r="BO4620" s="467"/>
      <c r="BP4620" s="467"/>
      <c r="BQ4620" s="467"/>
      <c r="BR4620" s="467"/>
      <c r="BS4620" s="467"/>
      <c r="BT4620" s="467"/>
      <c r="BU4620" s="467"/>
      <c r="BV4620" s="467"/>
      <c r="BW4620" s="467"/>
      <c r="BX4620" s="769"/>
      <c r="BY4620" s="769"/>
      <c r="BZ4620" s="769"/>
      <c r="CA4620" s="769"/>
      <c r="CB4620" s="769"/>
      <c r="CC4620" s="769"/>
      <c r="CD4620" s="769"/>
      <c r="CE4620" s="769"/>
      <c r="CF4620" s="769"/>
      <c r="CG4620" s="73"/>
      <c r="CH4620" s="438"/>
      <c r="CI4620" s="416"/>
      <c r="CJ4620" s="73"/>
      <c r="CK4620" s="650"/>
      <c r="CL4620" s="499"/>
      <c r="CM4620" s="650"/>
      <c r="CR4620" s="403"/>
      <c r="CS4620" s="48"/>
      <c r="CT4620"/>
      <c r="CU4620" s="1"/>
      <c r="CV4620" s="1"/>
      <c r="CW4620" s="1"/>
      <c r="CX4620" s="1"/>
      <c r="CY4620"/>
      <c r="CZ4620"/>
      <c r="DA4620" s="48"/>
      <c r="DB4620"/>
      <c r="DC4620"/>
      <c r="DD4620"/>
      <c r="DE4620"/>
    </row>
    <row r="4621" spans="1:109" s="45" customFormat="1" x14ac:dyDescent="0.2">
      <c r="A4621" s="650"/>
      <c r="B4621" s="438"/>
      <c r="C4621"/>
      <c r="D4621" s="73"/>
      <c r="E4621" s="48"/>
      <c r="F4621" s="48"/>
      <c r="G4621" s="1"/>
      <c r="H4621"/>
      <c r="I4621" s="2"/>
      <c r="J4621" s="72"/>
      <c r="K4621" s="72"/>
      <c r="L4621" s="499"/>
      <c r="M4621" s="1"/>
      <c r="N4621" s="499"/>
      <c r="O4621" s="1"/>
      <c r="P4621" s="1"/>
      <c r="Q4621" s="1"/>
      <c r="R4621" s="3"/>
      <c r="S4621" s="3"/>
      <c r="T4621" s="3"/>
      <c r="U4621" s="400"/>
      <c r="V4621" s="400"/>
      <c r="W4621" s="732"/>
      <c r="X4621" s="24"/>
      <c r="Y4621" s="509"/>
      <c r="Z4621" s="466"/>
      <c r="AA4621" s="466"/>
      <c r="AB4621" s="466"/>
      <c r="AC4621" s="466"/>
      <c r="AD4621" s="466"/>
      <c r="AE4621" s="466"/>
      <c r="AF4621" s="466"/>
      <c r="AG4621" s="466"/>
      <c r="AH4621" s="466"/>
      <c r="AI4621" s="466"/>
      <c r="AJ4621" s="466"/>
      <c r="AK4621" s="466"/>
      <c r="AL4621" s="466"/>
      <c r="AM4621" s="466"/>
      <c r="AN4621" s="466"/>
      <c r="AO4621" s="466"/>
      <c r="AP4621" s="466"/>
      <c r="AQ4621" s="466"/>
      <c r="AR4621" s="466"/>
      <c r="AS4621" s="466"/>
      <c r="AT4621" s="466"/>
      <c r="AU4621" s="466"/>
      <c r="AV4621" s="466"/>
      <c r="AW4621" s="466"/>
      <c r="AX4621" s="466"/>
      <c r="AY4621" s="466"/>
      <c r="AZ4621" s="466"/>
      <c r="BA4621" s="466"/>
      <c r="BB4621" s="466"/>
      <c r="BC4621" s="466"/>
      <c r="BD4621" s="466"/>
      <c r="BE4621" s="467"/>
      <c r="BF4621" s="467"/>
      <c r="BG4621" s="466"/>
      <c r="BH4621" s="466"/>
      <c r="BI4621" s="467"/>
      <c r="BJ4621" s="467"/>
      <c r="BK4621" s="467"/>
      <c r="BL4621" s="467"/>
      <c r="BM4621" s="467"/>
      <c r="BN4621" s="467"/>
      <c r="BO4621" s="467"/>
      <c r="BP4621" s="467"/>
      <c r="BQ4621" s="467"/>
      <c r="BR4621" s="467"/>
      <c r="BS4621" s="467"/>
      <c r="BT4621" s="467"/>
      <c r="BU4621" s="467"/>
      <c r="BV4621" s="467"/>
      <c r="BW4621" s="467"/>
      <c r="BX4621" s="769"/>
      <c r="BY4621" s="769"/>
      <c r="BZ4621" s="769"/>
      <c r="CA4621" s="769"/>
      <c r="CB4621" s="769"/>
      <c r="CC4621" s="769"/>
      <c r="CD4621" s="769"/>
      <c r="CE4621" s="769"/>
      <c r="CF4621" s="769"/>
      <c r="CG4621" s="73"/>
      <c r="CH4621" s="438"/>
      <c r="CI4621" s="416"/>
      <c r="CJ4621" s="73"/>
      <c r="CK4621" s="650"/>
      <c r="CL4621" s="499"/>
      <c r="CM4621" s="650"/>
      <c r="CR4621" s="403"/>
      <c r="CS4621" s="48"/>
      <c r="CT4621"/>
      <c r="CU4621" s="1"/>
      <c r="CV4621" s="1"/>
      <c r="CW4621" s="1"/>
      <c r="CX4621" s="1"/>
      <c r="CY4621"/>
      <c r="CZ4621"/>
      <c r="DA4621" s="48"/>
      <c r="DB4621"/>
      <c r="DC4621"/>
      <c r="DD4621"/>
      <c r="DE4621"/>
    </row>
    <row r="4622" spans="1:109" s="45" customFormat="1" x14ac:dyDescent="0.2">
      <c r="A4622" s="650"/>
      <c r="B4622" s="438"/>
      <c r="C4622"/>
      <c r="D4622" s="73"/>
      <c r="E4622" s="48"/>
      <c r="F4622" s="48"/>
      <c r="G4622" s="1"/>
      <c r="H4622"/>
      <c r="I4622" s="2"/>
      <c r="J4622" s="72"/>
      <c r="K4622" s="72"/>
      <c r="L4622" s="499"/>
      <c r="M4622" s="1"/>
      <c r="N4622" s="499"/>
      <c r="O4622" s="1"/>
      <c r="P4622" s="1"/>
      <c r="Q4622" s="1"/>
      <c r="R4622" s="3"/>
      <c r="S4622" s="3"/>
      <c r="T4622" s="3"/>
      <c r="U4622" s="400"/>
      <c r="V4622" s="400"/>
      <c r="W4622" s="732"/>
      <c r="X4622" s="24"/>
      <c r="Y4622" s="509"/>
      <c r="Z4622" s="466"/>
      <c r="AA4622" s="466"/>
      <c r="AB4622" s="466"/>
      <c r="AC4622" s="466"/>
      <c r="AD4622" s="466"/>
      <c r="AE4622" s="466"/>
      <c r="AF4622" s="466"/>
      <c r="AG4622" s="466"/>
      <c r="AH4622" s="466"/>
      <c r="AI4622" s="466"/>
      <c r="AJ4622" s="466"/>
      <c r="AK4622" s="466"/>
      <c r="AL4622" s="466"/>
      <c r="AM4622" s="466"/>
      <c r="AN4622" s="466"/>
      <c r="AO4622" s="466"/>
      <c r="AP4622" s="466"/>
      <c r="AQ4622" s="466"/>
      <c r="AR4622" s="466"/>
      <c r="AS4622" s="466"/>
      <c r="AT4622" s="466"/>
      <c r="AU4622" s="466"/>
      <c r="AV4622" s="466"/>
      <c r="AW4622" s="466"/>
      <c r="AX4622" s="466"/>
      <c r="AY4622" s="466"/>
      <c r="AZ4622" s="466"/>
      <c r="BA4622" s="466"/>
      <c r="BB4622" s="466"/>
      <c r="BC4622" s="466"/>
      <c r="BD4622" s="466"/>
      <c r="BE4622" s="467"/>
      <c r="BF4622" s="467"/>
      <c r="BG4622" s="466"/>
      <c r="BH4622" s="466"/>
      <c r="BI4622" s="467"/>
      <c r="BJ4622" s="467"/>
      <c r="BK4622" s="467"/>
      <c r="BL4622" s="467"/>
      <c r="BM4622" s="467"/>
      <c r="BN4622" s="467"/>
      <c r="BO4622" s="467"/>
      <c r="BP4622" s="467"/>
      <c r="BQ4622" s="467"/>
      <c r="BR4622" s="467"/>
      <c r="BS4622" s="467"/>
      <c r="BT4622" s="467"/>
      <c r="BU4622" s="467"/>
      <c r="BV4622" s="467"/>
      <c r="BW4622" s="467"/>
      <c r="BX4622" s="769"/>
      <c r="BY4622" s="769"/>
      <c r="BZ4622" s="769"/>
      <c r="CA4622" s="769"/>
      <c r="CB4622" s="769"/>
      <c r="CC4622" s="769"/>
      <c r="CD4622" s="769"/>
      <c r="CE4622" s="769"/>
      <c r="CF4622" s="769"/>
      <c r="CG4622" s="73"/>
      <c r="CH4622" s="438"/>
      <c r="CI4622" s="416"/>
      <c r="CJ4622" s="73"/>
      <c r="CK4622" s="650"/>
      <c r="CL4622" s="499"/>
      <c r="CM4622" s="650"/>
      <c r="CR4622" s="403"/>
      <c r="CS4622" s="48"/>
      <c r="CT4622"/>
      <c r="CU4622" s="1"/>
      <c r="CV4622" s="1"/>
      <c r="CW4622" s="1"/>
      <c r="CX4622" s="1"/>
      <c r="CY4622"/>
      <c r="CZ4622"/>
      <c r="DA4622" s="48"/>
      <c r="DB4622"/>
      <c r="DC4622"/>
      <c r="DD4622"/>
      <c r="DE4622"/>
    </row>
    <row r="4623" spans="1:109" s="45" customFormat="1" x14ac:dyDescent="0.2">
      <c r="A4623" s="650"/>
      <c r="B4623" s="438"/>
      <c r="C4623"/>
      <c r="D4623" s="73"/>
      <c r="E4623" s="48"/>
      <c r="F4623" s="48"/>
      <c r="G4623" s="1"/>
      <c r="H4623"/>
      <c r="I4623" s="2"/>
      <c r="J4623" s="72"/>
      <c r="K4623" s="72"/>
      <c r="L4623" s="499"/>
      <c r="M4623" s="1"/>
      <c r="N4623" s="499"/>
      <c r="O4623" s="1"/>
      <c r="P4623" s="1"/>
      <c r="Q4623" s="1"/>
      <c r="R4623" s="3"/>
      <c r="S4623" s="3"/>
      <c r="T4623" s="3"/>
      <c r="U4623" s="400"/>
      <c r="V4623" s="400"/>
      <c r="W4623" s="732"/>
      <c r="X4623" s="24"/>
      <c r="Y4623" s="509"/>
      <c r="Z4623" s="466"/>
      <c r="AA4623" s="466"/>
      <c r="AB4623" s="466"/>
      <c r="AC4623" s="466"/>
      <c r="AD4623" s="466"/>
      <c r="AE4623" s="466"/>
      <c r="AF4623" s="466"/>
      <c r="AG4623" s="466"/>
      <c r="AH4623" s="466"/>
      <c r="AI4623" s="466"/>
      <c r="AJ4623" s="466"/>
      <c r="AK4623" s="466"/>
      <c r="AL4623" s="466"/>
      <c r="AM4623" s="466"/>
      <c r="AN4623" s="466"/>
      <c r="AO4623" s="466"/>
      <c r="AP4623" s="466"/>
      <c r="AQ4623" s="466"/>
      <c r="AR4623" s="466"/>
      <c r="AS4623" s="466"/>
      <c r="AT4623" s="466"/>
      <c r="AU4623" s="466"/>
      <c r="AV4623" s="466"/>
      <c r="AW4623" s="466"/>
      <c r="AX4623" s="466"/>
      <c r="AY4623" s="466"/>
      <c r="AZ4623" s="466"/>
      <c r="BA4623" s="466"/>
      <c r="BB4623" s="466"/>
      <c r="BC4623" s="466"/>
      <c r="BD4623" s="466"/>
      <c r="BE4623" s="467"/>
      <c r="BF4623" s="467"/>
      <c r="BG4623" s="466"/>
      <c r="BH4623" s="466"/>
      <c r="BI4623" s="467"/>
      <c r="BJ4623" s="467"/>
      <c r="BK4623" s="467"/>
      <c r="BL4623" s="467"/>
      <c r="BM4623" s="467"/>
      <c r="BN4623" s="467"/>
      <c r="BO4623" s="467"/>
      <c r="BP4623" s="467"/>
      <c r="BQ4623" s="467"/>
      <c r="BR4623" s="467"/>
      <c r="BS4623" s="467"/>
      <c r="BT4623" s="467"/>
      <c r="BU4623" s="467"/>
      <c r="BV4623" s="467"/>
      <c r="BW4623" s="467"/>
      <c r="BX4623" s="769"/>
      <c r="BY4623" s="769"/>
      <c r="BZ4623" s="769"/>
      <c r="CA4623" s="769"/>
      <c r="CB4623" s="769"/>
      <c r="CC4623" s="769"/>
      <c r="CD4623" s="769"/>
      <c r="CE4623" s="769"/>
      <c r="CF4623" s="769"/>
      <c r="CG4623" s="73"/>
      <c r="CH4623" s="438"/>
      <c r="CI4623" s="416"/>
      <c r="CJ4623" s="73"/>
      <c r="CK4623" s="650"/>
      <c r="CL4623" s="499"/>
      <c r="CM4623" s="650"/>
      <c r="CR4623" s="403"/>
      <c r="CS4623" s="48"/>
      <c r="CT4623"/>
      <c r="CU4623" s="1"/>
      <c r="CV4623" s="1"/>
      <c r="CW4623" s="1"/>
      <c r="CX4623" s="1"/>
      <c r="CY4623"/>
      <c r="CZ4623"/>
      <c r="DA4623" s="48"/>
      <c r="DB4623"/>
      <c r="DC4623"/>
      <c r="DD4623"/>
      <c r="DE4623"/>
    </row>
    <row r="4624" spans="1:109" s="45" customFormat="1" x14ac:dyDescent="0.2">
      <c r="A4624" s="650"/>
      <c r="B4624" s="438"/>
      <c r="C4624"/>
      <c r="D4624" s="73"/>
      <c r="E4624" s="48"/>
      <c r="F4624" s="48"/>
      <c r="G4624" s="1"/>
      <c r="H4624"/>
      <c r="I4624" s="2"/>
      <c r="J4624" s="72"/>
      <c r="K4624" s="72"/>
      <c r="L4624" s="499"/>
      <c r="M4624" s="1"/>
      <c r="N4624" s="499"/>
      <c r="O4624" s="1"/>
      <c r="P4624" s="1"/>
      <c r="Q4624" s="1"/>
      <c r="R4624" s="3"/>
      <c r="S4624" s="3"/>
      <c r="T4624" s="3"/>
      <c r="U4624" s="400"/>
      <c r="V4624" s="400"/>
      <c r="W4624" s="732"/>
      <c r="X4624" s="24"/>
      <c r="Y4624" s="509"/>
      <c r="Z4624" s="466"/>
      <c r="AA4624" s="466"/>
      <c r="AB4624" s="466"/>
      <c r="AC4624" s="466"/>
      <c r="AD4624" s="466"/>
      <c r="AE4624" s="466"/>
      <c r="AF4624" s="466"/>
      <c r="AG4624" s="466"/>
      <c r="AH4624" s="466"/>
      <c r="AI4624" s="466"/>
      <c r="AJ4624" s="466"/>
      <c r="AK4624" s="466"/>
      <c r="AL4624" s="466"/>
      <c r="AM4624" s="466"/>
      <c r="AN4624" s="466"/>
      <c r="AO4624" s="466"/>
      <c r="AP4624" s="466"/>
      <c r="AQ4624" s="466"/>
      <c r="AR4624" s="466"/>
      <c r="AS4624" s="466"/>
      <c r="AT4624" s="466"/>
      <c r="AU4624" s="466"/>
      <c r="AV4624" s="466"/>
      <c r="AW4624" s="466"/>
      <c r="AX4624" s="466"/>
      <c r="AY4624" s="466"/>
      <c r="AZ4624" s="466"/>
      <c r="BA4624" s="466"/>
      <c r="BB4624" s="466"/>
      <c r="BC4624" s="466"/>
      <c r="BD4624" s="466"/>
      <c r="BE4624" s="467"/>
      <c r="BF4624" s="467"/>
      <c r="BG4624" s="466"/>
      <c r="BH4624" s="466"/>
      <c r="BI4624" s="467"/>
      <c r="BJ4624" s="467"/>
      <c r="BK4624" s="467"/>
      <c r="BL4624" s="467"/>
      <c r="BM4624" s="467"/>
      <c r="BN4624" s="467"/>
      <c r="BO4624" s="467"/>
      <c r="BP4624" s="467"/>
      <c r="BQ4624" s="467"/>
      <c r="BR4624" s="467"/>
      <c r="BS4624" s="467"/>
      <c r="BT4624" s="467"/>
      <c r="BU4624" s="467"/>
      <c r="BV4624" s="467"/>
      <c r="BW4624" s="467"/>
      <c r="BX4624" s="769"/>
      <c r="BY4624" s="769"/>
      <c r="BZ4624" s="769"/>
      <c r="CA4624" s="769"/>
      <c r="CB4624" s="769"/>
      <c r="CC4624" s="769"/>
      <c r="CD4624" s="769"/>
      <c r="CE4624" s="769"/>
      <c r="CF4624" s="769"/>
      <c r="CG4624" s="73"/>
      <c r="CH4624" s="438"/>
      <c r="CI4624" s="416"/>
      <c r="CJ4624" s="73"/>
      <c r="CK4624" s="650"/>
      <c r="CL4624" s="499"/>
      <c r="CM4624" s="650"/>
      <c r="CR4624" s="403"/>
      <c r="CS4624" s="48"/>
      <c r="CT4624"/>
      <c r="CU4624" s="1"/>
      <c r="CV4624" s="1"/>
      <c r="CW4624" s="1"/>
      <c r="CX4624" s="1"/>
      <c r="CY4624"/>
      <c r="CZ4624"/>
      <c r="DA4624" s="48"/>
      <c r="DB4624"/>
      <c r="DC4624"/>
      <c r="DD4624"/>
      <c r="DE4624"/>
    </row>
    <row r="4625" spans="1:115" s="45" customFormat="1" x14ac:dyDescent="0.2">
      <c r="A4625" s="650"/>
      <c r="B4625" s="438"/>
      <c r="C4625"/>
      <c r="D4625" s="73"/>
      <c r="E4625" s="48"/>
      <c r="F4625" s="48"/>
      <c r="G4625" s="1"/>
      <c r="H4625"/>
      <c r="I4625" s="2"/>
      <c r="J4625" s="72"/>
      <c r="K4625" s="72"/>
      <c r="L4625" s="499"/>
      <c r="M4625" s="1"/>
      <c r="N4625" s="499"/>
      <c r="O4625" s="1"/>
      <c r="P4625" s="1"/>
      <c r="Q4625" s="1"/>
      <c r="R4625" s="3"/>
      <c r="S4625" s="3"/>
      <c r="T4625" s="3"/>
      <c r="U4625" s="400"/>
      <c r="V4625" s="400"/>
      <c r="W4625" s="732"/>
      <c r="X4625" s="24"/>
      <c r="Y4625" s="509"/>
      <c r="Z4625" s="466"/>
      <c r="AA4625" s="466"/>
      <c r="AB4625" s="466"/>
      <c r="AC4625" s="466"/>
      <c r="AD4625" s="466"/>
      <c r="AE4625" s="466"/>
      <c r="AF4625" s="466"/>
      <c r="AG4625" s="466"/>
      <c r="AH4625" s="466"/>
      <c r="AI4625" s="466"/>
      <c r="AJ4625" s="466"/>
      <c r="AK4625" s="466"/>
      <c r="AL4625" s="466"/>
      <c r="AM4625" s="466"/>
      <c r="AN4625" s="466"/>
      <c r="AO4625" s="466"/>
      <c r="AP4625" s="466"/>
      <c r="AQ4625" s="466"/>
      <c r="AR4625" s="466"/>
      <c r="AS4625" s="466"/>
      <c r="AT4625" s="466"/>
      <c r="AU4625" s="466"/>
      <c r="AV4625" s="466"/>
      <c r="AW4625" s="466"/>
      <c r="AX4625" s="466"/>
      <c r="AY4625" s="466"/>
      <c r="AZ4625" s="466"/>
      <c r="BA4625" s="466"/>
      <c r="BB4625" s="466"/>
      <c r="BC4625" s="466"/>
      <c r="BD4625" s="466"/>
      <c r="BE4625" s="467"/>
      <c r="BF4625" s="467"/>
      <c r="BG4625" s="466"/>
      <c r="BH4625" s="466"/>
      <c r="BI4625" s="467"/>
      <c r="BJ4625" s="467"/>
      <c r="BK4625" s="467"/>
      <c r="BL4625" s="467"/>
      <c r="BM4625" s="467"/>
      <c r="BN4625" s="467"/>
      <c r="BO4625" s="467"/>
      <c r="BP4625" s="467"/>
      <c r="BQ4625" s="467"/>
      <c r="BR4625" s="467"/>
      <c r="BS4625" s="467"/>
      <c r="BT4625" s="467"/>
      <c r="BU4625" s="467"/>
      <c r="BV4625" s="467"/>
      <c r="BW4625" s="467"/>
      <c r="BX4625" s="769"/>
      <c r="BY4625" s="769"/>
      <c r="BZ4625" s="769"/>
      <c r="CA4625" s="769"/>
      <c r="CB4625" s="769"/>
      <c r="CC4625" s="769"/>
      <c r="CD4625" s="769"/>
      <c r="CE4625" s="769"/>
      <c r="CF4625" s="769"/>
      <c r="CG4625" s="73"/>
      <c r="CH4625" s="438"/>
      <c r="CI4625" s="416"/>
      <c r="CJ4625" s="73"/>
      <c r="CK4625" s="650"/>
      <c r="CL4625" s="499"/>
      <c r="CM4625" s="650"/>
      <c r="CR4625" s="403"/>
      <c r="CS4625" s="48"/>
      <c r="CT4625"/>
      <c r="CU4625" s="1"/>
      <c r="CV4625" s="1"/>
      <c r="CW4625" s="1"/>
      <c r="CX4625" s="1"/>
      <c r="CY4625"/>
      <c r="CZ4625"/>
      <c r="DA4625" s="48"/>
      <c r="DB4625"/>
      <c r="DC4625"/>
      <c r="DD4625"/>
      <c r="DE4625"/>
    </row>
    <row r="4626" spans="1:115" s="45" customFormat="1" x14ac:dyDescent="0.2">
      <c r="A4626" s="650"/>
      <c r="B4626" s="438"/>
      <c r="C4626"/>
      <c r="D4626" s="73"/>
      <c r="E4626" s="48"/>
      <c r="F4626" s="48"/>
      <c r="G4626" s="1"/>
      <c r="H4626"/>
      <c r="I4626" s="2"/>
      <c r="J4626" s="72"/>
      <c r="K4626" s="72"/>
      <c r="L4626" s="499"/>
      <c r="M4626" s="1"/>
      <c r="N4626" s="499"/>
      <c r="O4626" s="1"/>
      <c r="P4626" s="1"/>
      <c r="Q4626" s="1"/>
      <c r="R4626" s="3"/>
      <c r="S4626" s="3"/>
      <c r="T4626" s="3"/>
      <c r="U4626" s="400"/>
      <c r="V4626" s="400"/>
      <c r="W4626" s="732"/>
      <c r="X4626" s="24"/>
      <c r="Y4626" s="509"/>
      <c r="Z4626" s="466"/>
      <c r="AA4626" s="466"/>
      <c r="AB4626" s="466"/>
      <c r="AC4626" s="466"/>
      <c r="AD4626" s="466"/>
      <c r="AE4626" s="466"/>
      <c r="AF4626" s="466"/>
      <c r="AG4626" s="466"/>
      <c r="AH4626" s="466"/>
      <c r="AI4626" s="466"/>
      <c r="AJ4626" s="466"/>
      <c r="AK4626" s="466"/>
      <c r="AL4626" s="466"/>
      <c r="AM4626" s="466"/>
      <c r="AN4626" s="466"/>
      <c r="AO4626" s="466"/>
      <c r="AP4626" s="466"/>
      <c r="AQ4626" s="466"/>
      <c r="AR4626" s="466"/>
      <c r="AS4626" s="466"/>
      <c r="AT4626" s="466"/>
      <c r="AU4626" s="466"/>
      <c r="AV4626" s="466"/>
      <c r="AW4626" s="466"/>
      <c r="AX4626" s="466"/>
      <c r="AY4626" s="466"/>
      <c r="AZ4626" s="466"/>
      <c r="BA4626" s="466"/>
      <c r="BB4626" s="466"/>
      <c r="BC4626" s="466"/>
      <c r="BD4626" s="466"/>
      <c r="BE4626" s="467"/>
      <c r="BF4626" s="467"/>
      <c r="BG4626" s="466"/>
      <c r="BH4626" s="466"/>
      <c r="BI4626" s="467"/>
      <c r="BJ4626" s="467"/>
      <c r="BK4626" s="467"/>
      <c r="BL4626" s="467"/>
      <c r="BM4626" s="467"/>
      <c r="BN4626" s="467"/>
      <c r="BO4626" s="467"/>
      <c r="BP4626" s="467"/>
      <c r="BQ4626" s="467"/>
      <c r="BR4626" s="467"/>
      <c r="BS4626" s="467"/>
      <c r="BT4626" s="467"/>
      <c r="BU4626" s="467"/>
      <c r="BV4626" s="467"/>
      <c r="BW4626" s="467"/>
      <c r="BX4626" s="769"/>
      <c r="BY4626" s="769"/>
      <c r="BZ4626" s="769"/>
      <c r="CA4626" s="769"/>
      <c r="CB4626" s="769"/>
      <c r="CC4626" s="769"/>
      <c r="CD4626" s="769"/>
      <c r="CE4626" s="769"/>
      <c r="CF4626" s="769"/>
      <c r="CG4626" s="73"/>
      <c r="CH4626" s="438"/>
      <c r="CI4626" s="416"/>
      <c r="CJ4626" s="73"/>
      <c r="CK4626" s="650"/>
      <c r="CL4626" s="499"/>
      <c r="CM4626" s="650"/>
      <c r="CR4626" s="403"/>
      <c r="CS4626" s="48"/>
      <c r="CT4626"/>
      <c r="CU4626" s="1"/>
      <c r="CV4626" s="1"/>
      <c r="CW4626" s="1"/>
      <c r="CX4626" s="1"/>
      <c r="CY4626"/>
      <c r="CZ4626"/>
      <c r="DA4626" s="48"/>
      <c r="DB4626"/>
      <c r="DC4626"/>
      <c r="DD4626"/>
      <c r="DE4626"/>
    </row>
    <row r="4627" spans="1:115" s="45" customFormat="1" x14ac:dyDescent="0.2">
      <c r="A4627" s="650"/>
      <c r="B4627" s="438"/>
      <c r="C4627"/>
      <c r="D4627" s="73"/>
      <c r="E4627" s="48"/>
      <c r="F4627" s="48"/>
      <c r="G4627" s="1"/>
      <c r="H4627"/>
      <c r="I4627" s="2"/>
      <c r="J4627" s="72"/>
      <c r="K4627" s="72"/>
      <c r="L4627" s="499"/>
      <c r="M4627" s="1"/>
      <c r="N4627" s="499"/>
      <c r="O4627" s="1"/>
      <c r="P4627" s="1"/>
      <c r="Q4627" s="1"/>
      <c r="R4627" s="3"/>
      <c r="S4627" s="3"/>
      <c r="T4627" s="3"/>
      <c r="U4627" s="400"/>
      <c r="V4627" s="400"/>
      <c r="W4627" s="732"/>
      <c r="X4627" s="24"/>
      <c r="Y4627" s="509"/>
      <c r="Z4627" s="466"/>
      <c r="AA4627" s="466"/>
      <c r="AB4627" s="466"/>
      <c r="AC4627" s="466"/>
      <c r="AD4627" s="466"/>
      <c r="AE4627" s="466"/>
      <c r="AF4627" s="466"/>
      <c r="AG4627" s="466"/>
      <c r="AH4627" s="466"/>
      <c r="AI4627" s="466"/>
      <c r="AJ4627" s="466"/>
      <c r="AK4627" s="466"/>
      <c r="AL4627" s="466"/>
      <c r="AM4627" s="466"/>
      <c r="AN4627" s="466"/>
      <c r="AO4627" s="466"/>
      <c r="AP4627" s="466"/>
      <c r="AQ4627" s="466"/>
      <c r="AR4627" s="466"/>
      <c r="AS4627" s="466"/>
      <c r="AT4627" s="466"/>
      <c r="AU4627" s="466"/>
      <c r="AV4627" s="466"/>
      <c r="AW4627" s="466"/>
      <c r="AX4627" s="466"/>
      <c r="AY4627" s="466"/>
      <c r="AZ4627" s="466"/>
      <c r="BA4627" s="466"/>
      <c r="BB4627" s="466"/>
      <c r="BC4627" s="466"/>
      <c r="BD4627" s="466"/>
      <c r="BE4627" s="467"/>
      <c r="BF4627" s="467"/>
      <c r="BG4627" s="466"/>
      <c r="BH4627" s="466"/>
      <c r="BI4627" s="467"/>
      <c r="BJ4627" s="467"/>
      <c r="BK4627" s="467"/>
      <c r="BL4627" s="467"/>
      <c r="BM4627" s="467"/>
      <c r="BN4627" s="467"/>
      <c r="BO4627" s="467"/>
      <c r="BP4627" s="467"/>
      <c r="BQ4627" s="467"/>
      <c r="BR4627" s="467"/>
      <c r="BS4627" s="467"/>
      <c r="BT4627" s="467"/>
      <c r="BU4627" s="467"/>
      <c r="BV4627" s="467"/>
      <c r="BW4627" s="467"/>
      <c r="BX4627" s="769"/>
      <c r="BY4627" s="769"/>
      <c r="BZ4627" s="769"/>
      <c r="CA4627" s="769"/>
      <c r="CB4627" s="769"/>
      <c r="CC4627" s="769"/>
      <c r="CD4627" s="769"/>
      <c r="CE4627" s="769"/>
      <c r="CF4627" s="769"/>
      <c r="CG4627" s="73"/>
      <c r="CH4627" s="438"/>
      <c r="CI4627" s="416"/>
      <c r="CJ4627" s="73"/>
      <c r="CK4627" s="650"/>
      <c r="CL4627" s="499"/>
      <c r="CM4627" s="650"/>
      <c r="CR4627" s="403"/>
      <c r="CS4627" s="48"/>
      <c r="CT4627"/>
      <c r="CU4627" s="1"/>
      <c r="CV4627" s="1"/>
      <c r="CW4627" s="1"/>
      <c r="CX4627" s="1"/>
      <c r="CY4627"/>
      <c r="CZ4627"/>
      <c r="DA4627" s="48"/>
      <c r="DB4627"/>
      <c r="DC4627"/>
      <c r="DD4627"/>
      <c r="DE4627"/>
    </row>
    <row r="4628" spans="1:115" s="45" customFormat="1" x14ac:dyDescent="0.2">
      <c r="A4628" s="650"/>
      <c r="B4628" s="438"/>
      <c r="C4628"/>
      <c r="D4628" s="73"/>
      <c r="E4628" s="48"/>
      <c r="F4628" s="48"/>
      <c r="G4628" s="1"/>
      <c r="H4628"/>
      <c r="I4628" s="2"/>
      <c r="J4628" s="72"/>
      <c r="K4628" s="72"/>
      <c r="L4628" s="499"/>
      <c r="M4628" s="1"/>
      <c r="N4628" s="499"/>
      <c r="O4628" s="1"/>
      <c r="P4628" s="1"/>
      <c r="Q4628" s="1"/>
      <c r="R4628" s="3"/>
      <c r="S4628" s="3"/>
      <c r="T4628" s="3"/>
      <c r="U4628" s="400"/>
      <c r="V4628" s="400"/>
      <c r="W4628" s="732"/>
      <c r="X4628" s="24"/>
      <c r="Y4628" s="509"/>
      <c r="Z4628" s="466"/>
      <c r="AA4628" s="466"/>
      <c r="AB4628" s="466"/>
      <c r="AC4628" s="466"/>
      <c r="AD4628" s="466"/>
      <c r="AE4628" s="466"/>
      <c r="AF4628" s="466"/>
      <c r="AG4628" s="466"/>
      <c r="AH4628" s="466"/>
      <c r="AI4628" s="466"/>
      <c r="AJ4628" s="466"/>
      <c r="AK4628" s="466"/>
      <c r="AL4628" s="466"/>
      <c r="AM4628" s="466"/>
      <c r="AN4628" s="466"/>
      <c r="AO4628" s="466"/>
      <c r="AP4628" s="466"/>
      <c r="AQ4628" s="466"/>
      <c r="AR4628" s="466"/>
      <c r="AS4628" s="466"/>
      <c r="AT4628" s="466"/>
      <c r="AU4628" s="466"/>
      <c r="AV4628" s="466"/>
      <c r="AW4628" s="466"/>
      <c r="AX4628" s="466"/>
      <c r="AY4628" s="466"/>
      <c r="AZ4628" s="466"/>
      <c r="BA4628" s="466"/>
      <c r="BB4628" s="466"/>
      <c r="BC4628" s="466"/>
      <c r="BD4628" s="466"/>
      <c r="BE4628" s="467"/>
      <c r="BF4628" s="467"/>
      <c r="BG4628" s="466"/>
      <c r="BH4628" s="466"/>
      <c r="BI4628" s="467"/>
      <c r="BJ4628" s="467"/>
      <c r="BK4628" s="467"/>
      <c r="BL4628" s="467"/>
      <c r="BM4628" s="467"/>
      <c r="BN4628" s="467"/>
      <c r="BO4628" s="467"/>
      <c r="BP4628" s="467"/>
      <c r="BQ4628" s="467"/>
      <c r="BR4628" s="467"/>
      <c r="BS4628" s="467"/>
      <c r="BT4628" s="467"/>
      <c r="BU4628" s="467"/>
      <c r="BV4628" s="467"/>
      <c r="BW4628" s="467"/>
      <c r="BX4628" s="769"/>
      <c r="BY4628" s="769"/>
      <c r="BZ4628" s="769"/>
      <c r="CA4628" s="769"/>
      <c r="CB4628" s="769"/>
      <c r="CC4628" s="769"/>
      <c r="CD4628" s="769"/>
      <c r="CE4628" s="769"/>
      <c r="CF4628" s="769"/>
      <c r="CG4628" s="73"/>
      <c r="CH4628" s="438"/>
      <c r="CI4628" s="416"/>
      <c r="CJ4628" s="73"/>
      <c r="CK4628" s="650"/>
      <c r="CL4628" s="499"/>
      <c r="CM4628" s="650"/>
      <c r="CR4628" s="403"/>
      <c r="CS4628" s="48"/>
      <c r="CT4628"/>
      <c r="CU4628" s="1"/>
      <c r="CV4628" s="1"/>
      <c r="CW4628" s="1"/>
      <c r="CX4628" s="1"/>
      <c r="CY4628"/>
      <c r="CZ4628"/>
      <c r="DA4628" s="48"/>
      <c r="DB4628"/>
      <c r="DC4628"/>
      <c r="DD4628"/>
      <c r="DE4628"/>
    </row>
    <row r="4629" spans="1:115" s="45" customFormat="1" x14ac:dyDescent="0.2">
      <c r="A4629" s="650"/>
      <c r="B4629" s="438"/>
      <c r="C4629"/>
      <c r="D4629" s="73"/>
      <c r="E4629" s="48"/>
      <c r="F4629" s="48"/>
      <c r="G4629" s="1"/>
      <c r="H4629"/>
      <c r="I4629" s="2"/>
      <c r="J4629" s="72"/>
      <c r="K4629" s="72"/>
      <c r="L4629" s="499"/>
      <c r="M4629" s="1"/>
      <c r="N4629" s="499"/>
      <c r="O4629" s="1"/>
      <c r="P4629" s="1"/>
      <c r="Q4629" s="1"/>
      <c r="R4629" s="3"/>
      <c r="S4629" s="3"/>
      <c r="T4629" s="3"/>
      <c r="U4629" s="400"/>
      <c r="V4629" s="400"/>
      <c r="W4629" s="732"/>
      <c r="X4629" s="24"/>
      <c r="Y4629" s="509"/>
      <c r="Z4629" s="466"/>
      <c r="AA4629" s="466"/>
      <c r="AB4629" s="466"/>
      <c r="AC4629" s="466"/>
      <c r="AD4629" s="466"/>
      <c r="AE4629" s="466"/>
      <c r="AF4629" s="466"/>
      <c r="AG4629" s="466"/>
      <c r="AH4629" s="466"/>
      <c r="AI4629" s="466"/>
      <c r="AJ4629" s="466"/>
      <c r="AK4629" s="466"/>
      <c r="AL4629" s="466"/>
      <c r="AM4629" s="466"/>
      <c r="AN4629" s="466"/>
      <c r="AO4629" s="466"/>
      <c r="AP4629" s="466"/>
      <c r="AQ4629" s="466"/>
      <c r="AR4629" s="466"/>
      <c r="AS4629" s="466"/>
      <c r="AT4629" s="466"/>
      <c r="AU4629" s="466"/>
      <c r="AV4629" s="466"/>
      <c r="AW4629" s="466"/>
      <c r="AX4629" s="466"/>
      <c r="AY4629" s="466"/>
      <c r="AZ4629" s="466"/>
      <c r="BA4629" s="466"/>
      <c r="BB4629" s="466"/>
      <c r="BC4629" s="466"/>
      <c r="BD4629" s="466"/>
      <c r="BE4629" s="467"/>
      <c r="BF4629" s="467"/>
      <c r="BG4629" s="466"/>
      <c r="BH4629" s="466"/>
      <c r="BI4629" s="467"/>
      <c r="BJ4629" s="467"/>
      <c r="BK4629" s="467"/>
      <c r="BL4629" s="467"/>
      <c r="BM4629" s="467"/>
      <c r="BN4629" s="467"/>
      <c r="BO4629" s="467"/>
      <c r="BP4629" s="467"/>
      <c r="BQ4629" s="467"/>
      <c r="BR4629" s="467"/>
      <c r="BS4629" s="467"/>
      <c r="BT4629" s="467"/>
      <c r="BU4629" s="467"/>
      <c r="BV4629" s="467"/>
      <c r="BW4629" s="467"/>
      <c r="BX4629" s="769"/>
      <c r="BY4629" s="769"/>
      <c r="BZ4629" s="769"/>
      <c r="CA4629" s="769"/>
      <c r="CB4629" s="769"/>
      <c r="CC4629" s="769"/>
      <c r="CD4629" s="769"/>
      <c r="CE4629" s="769"/>
      <c r="CF4629" s="769"/>
      <c r="CG4629" s="73"/>
      <c r="CH4629" s="438"/>
      <c r="CI4629" s="416"/>
      <c r="CJ4629" s="73"/>
      <c r="CK4629" s="650"/>
      <c r="CL4629" s="499"/>
      <c r="CM4629" s="650"/>
      <c r="CR4629" s="403"/>
      <c r="CS4629" s="48"/>
      <c r="CT4629"/>
      <c r="CU4629" s="1"/>
      <c r="CV4629" s="1"/>
      <c r="CW4629" s="1"/>
      <c r="CX4629" s="1"/>
      <c r="CY4629"/>
      <c r="CZ4629"/>
      <c r="DA4629" s="48"/>
      <c r="DB4629"/>
      <c r="DC4629"/>
      <c r="DD4629"/>
      <c r="DE4629"/>
    </row>
    <row r="4630" spans="1:115" s="45" customFormat="1" x14ac:dyDescent="0.2">
      <c r="A4630" s="650"/>
      <c r="B4630" s="438"/>
      <c r="C4630"/>
      <c r="D4630" s="73"/>
      <c r="E4630" s="48"/>
      <c r="F4630" s="48"/>
      <c r="G4630" s="1"/>
      <c r="H4630"/>
      <c r="I4630" s="2"/>
      <c r="J4630" s="72"/>
      <c r="K4630" s="72"/>
      <c r="L4630" s="499"/>
      <c r="M4630" s="1"/>
      <c r="N4630" s="499"/>
      <c r="O4630" s="1"/>
      <c r="P4630" s="1"/>
      <c r="Q4630" s="1"/>
      <c r="R4630" s="3"/>
      <c r="S4630" s="3"/>
      <c r="T4630" s="3"/>
      <c r="U4630" s="400"/>
      <c r="V4630" s="400"/>
      <c r="W4630" s="732"/>
      <c r="X4630" s="24"/>
      <c r="Y4630" s="509"/>
      <c r="Z4630" s="466"/>
      <c r="AA4630" s="466"/>
      <c r="AB4630" s="466"/>
      <c r="AC4630" s="466"/>
      <c r="AD4630" s="466"/>
      <c r="AE4630" s="466"/>
      <c r="AF4630" s="466"/>
      <c r="AG4630" s="466"/>
      <c r="AH4630" s="466"/>
      <c r="AI4630" s="466"/>
      <c r="AJ4630" s="466"/>
      <c r="AK4630" s="466"/>
      <c r="AL4630" s="466"/>
      <c r="AM4630" s="466"/>
      <c r="AN4630" s="466"/>
      <c r="AO4630" s="466"/>
      <c r="AP4630" s="466"/>
      <c r="AQ4630" s="466"/>
      <c r="AR4630" s="466"/>
      <c r="AS4630" s="466"/>
      <c r="AT4630" s="466"/>
      <c r="AU4630" s="466"/>
      <c r="AV4630" s="466"/>
      <c r="AW4630" s="466"/>
      <c r="AX4630" s="466"/>
      <c r="AY4630" s="466"/>
      <c r="AZ4630" s="466"/>
      <c r="BA4630" s="466"/>
      <c r="BB4630" s="466"/>
      <c r="BC4630" s="466"/>
      <c r="BD4630" s="466"/>
      <c r="BE4630" s="467"/>
      <c r="BF4630" s="467"/>
      <c r="BG4630" s="466"/>
      <c r="BH4630" s="466"/>
      <c r="BI4630" s="467"/>
      <c r="BJ4630" s="467"/>
      <c r="BK4630" s="467"/>
      <c r="BL4630" s="467"/>
      <c r="BM4630" s="467"/>
      <c r="BN4630" s="467"/>
      <c r="BO4630" s="467"/>
      <c r="BP4630" s="467"/>
      <c r="BQ4630" s="467"/>
      <c r="BR4630" s="467"/>
      <c r="BS4630" s="467"/>
      <c r="BT4630" s="467"/>
      <c r="BU4630" s="467"/>
      <c r="BV4630" s="467"/>
      <c r="BW4630" s="467"/>
      <c r="BX4630" s="769"/>
      <c r="BY4630" s="769"/>
      <c r="BZ4630" s="769"/>
      <c r="CA4630" s="769"/>
      <c r="CB4630" s="769"/>
      <c r="CC4630" s="769"/>
      <c r="CD4630" s="769"/>
      <c r="CE4630" s="769"/>
      <c r="CF4630" s="769"/>
      <c r="CG4630" s="73"/>
      <c r="CH4630" s="438"/>
      <c r="CI4630" s="416"/>
      <c r="CJ4630" s="73"/>
      <c r="CK4630" s="650"/>
      <c r="CL4630" s="499"/>
      <c r="CM4630" s="650"/>
      <c r="CR4630" s="403"/>
      <c r="CS4630" s="48"/>
      <c r="CT4630"/>
      <c r="CU4630" s="1"/>
      <c r="CV4630" s="1"/>
      <c r="CW4630" s="1"/>
      <c r="CX4630" s="1"/>
      <c r="CY4630"/>
      <c r="CZ4630"/>
      <c r="DA4630" s="48"/>
      <c r="DB4630"/>
      <c r="DC4630"/>
      <c r="DD4630"/>
      <c r="DE4630"/>
    </row>
    <row r="4631" spans="1:115" s="45" customFormat="1" x14ac:dyDescent="0.2">
      <c r="A4631" s="650"/>
      <c r="B4631" s="438"/>
      <c r="C4631"/>
      <c r="D4631" s="73"/>
      <c r="E4631" s="48"/>
      <c r="F4631" s="48"/>
      <c r="G4631" s="1"/>
      <c r="H4631"/>
      <c r="I4631" s="2"/>
      <c r="J4631" s="72"/>
      <c r="K4631" s="72"/>
      <c r="L4631" s="499"/>
      <c r="M4631" s="1"/>
      <c r="N4631" s="499"/>
      <c r="O4631" s="1"/>
      <c r="P4631" s="1"/>
      <c r="Q4631" s="1"/>
      <c r="R4631" s="3"/>
      <c r="S4631" s="3"/>
      <c r="T4631" s="3"/>
      <c r="U4631" s="400"/>
      <c r="V4631" s="400"/>
      <c r="W4631" s="732"/>
      <c r="X4631" s="24"/>
      <c r="Y4631" s="509"/>
      <c r="Z4631" s="466"/>
      <c r="AA4631" s="466"/>
      <c r="AB4631" s="466"/>
      <c r="AC4631" s="466"/>
      <c r="AD4631" s="466"/>
      <c r="AE4631" s="466"/>
      <c r="AF4631" s="466"/>
      <c r="AG4631" s="466"/>
      <c r="AH4631" s="466"/>
      <c r="AI4631" s="466"/>
      <c r="AJ4631" s="466"/>
      <c r="AK4631" s="466"/>
      <c r="AL4631" s="466"/>
      <c r="AM4631" s="466"/>
      <c r="AN4631" s="466"/>
      <c r="AO4631" s="466"/>
      <c r="AP4631" s="466"/>
      <c r="AQ4631" s="466"/>
      <c r="AR4631" s="466"/>
      <c r="AS4631" s="466"/>
      <c r="AT4631" s="466"/>
      <c r="AU4631" s="466"/>
      <c r="AV4631" s="466"/>
      <c r="AW4631" s="466"/>
      <c r="AX4631" s="466"/>
      <c r="AY4631" s="466"/>
      <c r="AZ4631" s="466"/>
      <c r="BA4631" s="466"/>
      <c r="BB4631" s="466"/>
      <c r="BC4631" s="466"/>
      <c r="BD4631" s="466"/>
      <c r="BE4631" s="467"/>
      <c r="BF4631" s="467"/>
      <c r="BG4631" s="466"/>
      <c r="BH4631" s="466"/>
      <c r="BI4631" s="467"/>
      <c r="BJ4631" s="467"/>
      <c r="BK4631" s="467"/>
      <c r="BL4631" s="467"/>
      <c r="BM4631" s="467"/>
      <c r="BN4631" s="467"/>
      <c r="BO4631" s="467"/>
      <c r="BP4631" s="467"/>
      <c r="BQ4631" s="467"/>
      <c r="BR4631" s="467"/>
      <c r="BS4631" s="467"/>
      <c r="BT4631" s="467"/>
      <c r="BU4631" s="467"/>
      <c r="BV4631" s="467"/>
      <c r="BW4631" s="467"/>
      <c r="BX4631" s="769"/>
      <c r="BY4631" s="769"/>
      <c r="BZ4631" s="769"/>
      <c r="CA4631" s="769"/>
      <c r="CB4631" s="769"/>
      <c r="CC4631" s="769"/>
      <c r="CD4631" s="769"/>
      <c r="CE4631" s="769"/>
      <c r="CF4631" s="769"/>
      <c r="CG4631" s="73"/>
      <c r="CH4631" s="438"/>
      <c r="CI4631" s="416"/>
      <c r="CJ4631" s="73"/>
      <c r="CK4631" s="650"/>
      <c r="CL4631" s="499"/>
      <c r="CM4631" s="650"/>
      <c r="CR4631" s="403"/>
      <c r="CS4631" s="48"/>
      <c r="CT4631"/>
      <c r="CU4631" s="1"/>
      <c r="CV4631" s="1"/>
      <c r="CW4631" s="1"/>
      <c r="CX4631" s="1"/>
      <c r="CY4631"/>
      <c r="CZ4631"/>
      <c r="DA4631" s="48"/>
      <c r="DB4631"/>
      <c r="DC4631"/>
      <c r="DD4631"/>
      <c r="DE4631"/>
    </row>
    <row r="4632" spans="1:115" s="45" customFormat="1" x14ac:dyDescent="0.2">
      <c r="A4632" s="650"/>
      <c r="B4632" s="438"/>
      <c r="C4632"/>
      <c r="D4632" s="73"/>
      <c r="E4632" s="48"/>
      <c r="F4632" s="48"/>
      <c r="G4632" s="1"/>
      <c r="H4632"/>
      <c r="I4632" s="2"/>
      <c r="J4632" s="72"/>
      <c r="K4632" s="72"/>
      <c r="L4632" s="499"/>
      <c r="M4632" s="1"/>
      <c r="N4632" s="499"/>
      <c r="O4632" s="1"/>
      <c r="P4632" s="1"/>
      <c r="Q4632" s="1"/>
      <c r="R4632" s="3"/>
      <c r="S4632" s="3"/>
      <c r="T4632" s="3"/>
      <c r="U4632" s="400"/>
      <c r="V4632" s="400"/>
      <c r="W4632" s="732"/>
      <c r="X4632" s="24"/>
      <c r="Y4632" s="509"/>
      <c r="Z4632" s="466"/>
      <c r="AA4632" s="466"/>
      <c r="AB4632" s="466"/>
      <c r="AC4632" s="466"/>
      <c r="AD4632" s="466"/>
      <c r="AE4632" s="466"/>
      <c r="AF4632" s="466"/>
      <c r="AG4632" s="466"/>
      <c r="AH4632" s="466"/>
      <c r="AI4632" s="466"/>
      <c r="AJ4632" s="466"/>
      <c r="AK4632" s="466"/>
      <c r="AL4632" s="466"/>
      <c r="AM4632" s="466"/>
      <c r="AN4632" s="466"/>
      <c r="AO4632" s="466"/>
      <c r="AP4632" s="466"/>
      <c r="AQ4632" s="466"/>
      <c r="AR4632" s="466"/>
      <c r="AS4632" s="466"/>
      <c r="AT4632" s="466"/>
      <c r="AU4632" s="466"/>
      <c r="AV4632" s="466"/>
      <c r="AW4632" s="466"/>
      <c r="AX4632" s="466"/>
      <c r="AY4632" s="466"/>
      <c r="AZ4632" s="466"/>
      <c r="BA4632" s="466"/>
      <c r="BB4632" s="466"/>
      <c r="BC4632" s="466"/>
      <c r="BD4632" s="466"/>
      <c r="BE4632" s="467"/>
      <c r="BF4632" s="467"/>
      <c r="BG4632" s="466"/>
      <c r="BH4632" s="466"/>
      <c r="BI4632" s="467"/>
      <c r="BJ4632" s="467"/>
      <c r="BK4632" s="467"/>
      <c r="BL4632" s="467"/>
      <c r="BM4632" s="467"/>
      <c r="BN4632" s="467"/>
      <c r="BO4632" s="467"/>
      <c r="BP4632" s="467"/>
      <c r="BQ4632" s="467"/>
      <c r="BR4632" s="467"/>
      <c r="BS4632" s="467"/>
      <c r="BT4632" s="467"/>
      <c r="BU4632" s="467"/>
      <c r="BV4632" s="467"/>
      <c r="BW4632" s="467"/>
      <c r="BX4632" s="769"/>
      <c r="BY4632" s="769"/>
      <c r="BZ4632" s="769"/>
      <c r="CA4632" s="769"/>
      <c r="CB4632" s="769"/>
      <c r="CC4632" s="769"/>
      <c r="CD4632" s="769"/>
      <c r="CE4632" s="769"/>
      <c r="CF4632" s="769"/>
      <c r="CG4632" s="73"/>
      <c r="CH4632" s="438"/>
      <c r="CI4632" s="416"/>
      <c r="CJ4632" s="73"/>
      <c r="CK4632" s="650"/>
      <c r="CL4632" s="499"/>
      <c r="CM4632" s="650"/>
      <c r="CR4632" s="403"/>
      <c r="CS4632" s="48"/>
      <c r="CT4632"/>
      <c r="CU4632" s="1"/>
      <c r="CV4632" s="1"/>
      <c r="CW4632" s="1"/>
      <c r="CX4632" s="1"/>
      <c r="CY4632"/>
      <c r="CZ4632"/>
      <c r="DA4632" s="48"/>
      <c r="DB4632"/>
      <c r="DC4632"/>
      <c r="DD4632"/>
      <c r="DE4632"/>
    </row>
    <row r="4633" spans="1:115" s="45" customFormat="1" x14ac:dyDescent="0.2">
      <c r="A4633" s="650"/>
      <c r="B4633" s="438"/>
      <c r="C4633"/>
      <c r="D4633" s="73"/>
      <c r="E4633" s="48"/>
      <c r="F4633" s="48"/>
      <c r="G4633" s="1"/>
      <c r="H4633"/>
      <c r="I4633" s="2"/>
      <c r="J4633" s="72"/>
      <c r="K4633" s="72"/>
      <c r="L4633" s="499"/>
      <c r="M4633" s="1"/>
      <c r="N4633" s="499"/>
      <c r="O4633" s="1"/>
      <c r="P4633" s="1"/>
      <c r="Q4633" s="1"/>
      <c r="R4633" s="3"/>
      <c r="S4633" s="3"/>
      <c r="T4633" s="3"/>
      <c r="U4633" s="400"/>
      <c r="V4633" s="400"/>
      <c r="W4633" s="732"/>
      <c r="X4633" s="24"/>
      <c r="Y4633" s="509"/>
      <c r="Z4633" s="466"/>
      <c r="AA4633" s="466"/>
      <c r="AB4633" s="466"/>
      <c r="AC4633" s="466"/>
      <c r="AD4633" s="466"/>
      <c r="AE4633" s="466"/>
      <c r="AF4633" s="466"/>
      <c r="AG4633" s="466"/>
      <c r="AH4633" s="466"/>
      <c r="AI4633" s="466"/>
      <c r="AJ4633" s="466"/>
      <c r="AK4633" s="466"/>
      <c r="AL4633" s="466"/>
      <c r="AM4633" s="466"/>
      <c r="AN4633" s="466"/>
      <c r="AO4633" s="466"/>
      <c r="AP4633" s="466"/>
      <c r="AQ4633" s="466"/>
      <c r="AR4633" s="466"/>
      <c r="AS4633" s="466"/>
      <c r="AT4633" s="466"/>
      <c r="AU4633" s="466"/>
      <c r="AV4633" s="466"/>
      <c r="AW4633" s="466"/>
      <c r="AX4633" s="466"/>
      <c r="AY4633" s="466"/>
      <c r="AZ4633" s="466"/>
      <c r="BA4633" s="466"/>
      <c r="BB4633" s="466"/>
      <c r="BC4633" s="466"/>
      <c r="BD4633" s="466"/>
      <c r="BE4633" s="467"/>
      <c r="BF4633" s="467"/>
      <c r="BG4633" s="466"/>
      <c r="BH4633" s="466"/>
      <c r="BI4633" s="467"/>
      <c r="BJ4633" s="467"/>
      <c r="BK4633" s="467"/>
      <c r="BL4633" s="467"/>
      <c r="BM4633" s="467"/>
      <c r="BN4633" s="467"/>
      <c r="BO4633" s="467"/>
      <c r="BP4633" s="467"/>
      <c r="BQ4633" s="467"/>
      <c r="BR4633" s="467"/>
      <c r="BS4633" s="467"/>
      <c r="BT4633" s="467"/>
      <c r="BU4633" s="467"/>
      <c r="BV4633" s="467"/>
      <c r="BW4633" s="467"/>
      <c r="BX4633" s="769"/>
      <c r="BY4633" s="769"/>
      <c r="BZ4633" s="769"/>
      <c r="CA4633" s="769"/>
      <c r="CB4633" s="769"/>
      <c r="CC4633" s="769"/>
      <c r="CD4633" s="769"/>
      <c r="CE4633" s="769"/>
      <c r="CF4633" s="769"/>
      <c r="CG4633" s="73"/>
      <c r="CH4633" s="438"/>
      <c r="CI4633" s="416"/>
      <c r="CJ4633" s="73"/>
      <c r="CK4633" s="650"/>
      <c r="CL4633" s="499"/>
      <c r="CM4633" s="650"/>
      <c r="CR4633" s="403"/>
      <c r="CS4633" s="48"/>
      <c r="CT4633"/>
      <c r="CU4633" s="1"/>
      <c r="CV4633" s="1"/>
      <c r="CW4633" s="1"/>
      <c r="CX4633" s="1"/>
      <c r="CY4633"/>
      <c r="CZ4633"/>
      <c r="DA4633" s="48"/>
      <c r="DB4633"/>
      <c r="DC4633"/>
      <c r="DD4633"/>
      <c r="DE4633"/>
    </row>
    <row r="4634" spans="1:115" s="45" customFormat="1" x14ac:dyDescent="0.2">
      <c r="A4634" s="650"/>
      <c r="B4634" s="438"/>
      <c r="C4634"/>
      <c r="D4634" s="73"/>
      <c r="E4634" s="48"/>
      <c r="F4634" s="48"/>
      <c r="G4634" s="1"/>
      <c r="H4634"/>
      <c r="I4634" s="2"/>
      <c r="J4634" s="72"/>
      <c r="K4634" s="72"/>
      <c r="L4634" s="499"/>
      <c r="M4634" s="1"/>
      <c r="N4634" s="499"/>
      <c r="O4634" s="1"/>
      <c r="P4634" s="1"/>
      <c r="Q4634" s="1"/>
      <c r="R4634" s="3"/>
      <c r="S4634" s="3"/>
      <c r="T4634" s="3"/>
      <c r="U4634" s="400"/>
      <c r="V4634" s="400"/>
      <c r="W4634" s="732"/>
      <c r="X4634" s="24"/>
      <c r="Y4634" s="509"/>
      <c r="Z4634" s="466"/>
      <c r="AA4634" s="466"/>
      <c r="AB4634" s="466"/>
      <c r="AC4634" s="466"/>
      <c r="AD4634" s="466"/>
      <c r="AE4634" s="466"/>
      <c r="AF4634" s="466"/>
      <c r="AG4634" s="466"/>
      <c r="AH4634" s="466"/>
      <c r="AI4634" s="466"/>
      <c r="AJ4634" s="466"/>
      <c r="AK4634" s="466"/>
      <c r="AL4634" s="466"/>
      <c r="AM4634" s="466"/>
      <c r="AN4634" s="466"/>
      <c r="AO4634" s="466"/>
      <c r="AP4634" s="466"/>
      <c r="AQ4634" s="466"/>
      <c r="AR4634" s="466"/>
      <c r="AS4634" s="466"/>
      <c r="AT4634" s="466"/>
      <c r="AU4634" s="466"/>
      <c r="AV4634" s="466"/>
      <c r="AW4634" s="466"/>
      <c r="AX4634" s="466"/>
      <c r="AY4634" s="466"/>
      <c r="AZ4634" s="466"/>
      <c r="BA4634" s="466"/>
      <c r="BB4634" s="466"/>
      <c r="BC4634" s="466"/>
      <c r="BD4634" s="466"/>
      <c r="BE4634" s="467"/>
      <c r="BF4634" s="467"/>
      <c r="BG4634" s="466"/>
      <c r="BH4634" s="466"/>
      <c r="BI4634" s="467"/>
      <c r="BJ4634" s="467"/>
      <c r="BK4634" s="467"/>
      <c r="BL4634" s="467"/>
      <c r="BM4634" s="467"/>
      <c r="BN4634" s="467"/>
      <c r="BO4634" s="467"/>
      <c r="BP4634" s="467"/>
      <c r="BQ4634" s="467"/>
      <c r="BR4634" s="467"/>
      <c r="BS4634" s="467"/>
      <c r="BT4634" s="467"/>
      <c r="BU4634" s="467"/>
      <c r="BV4634" s="467"/>
      <c r="BW4634" s="467"/>
      <c r="BX4634" s="769"/>
      <c r="BY4634" s="769"/>
      <c r="BZ4634" s="769"/>
      <c r="CA4634" s="769"/>
      <c r="CB4634" s="769"/>
      <c r="CC4634" s="769"/>
      <c r="CD4634" s="769"/>
      <c r="CE4634" s="769"/>
      <c r="CF4634" s="769"/>
      <c r="CG4634" s="73"/>
      <c r="CH4634" s="438"/>
      <c r="CI4634" s="416"/>
      <c r="CJ4634" s="73"/>
      <c r="CK4634" s="650"/>
      <c r="CL4634" s="499"/>
      <c r="CM4634" s="650"/>
      <c r="CR4634" s="403"/>
      <c r="CS4634" s="48"/>
      <c r="CT4634"/>
      <c r="CU4634" s="1"/>
      <c r="CV4634" s="1"/>
      <c r="CW4634" s="1"/>
      <c r="CX4634" s="1"/>
      <c r="CY4634"/>
      <c r="CZ4634"/>
      <c r="DA4634" s="48"/>
      <c r="DB4634"/>
      <c r="DC4634"/>
      <c r="DD4634"/>
      <c r="DE4634"/>
      <c r="DF4634"/>
    </row>
    <row r="4635" spans="1:115" s="45" customFormat="1" x14ac:dyDescent="0.2">
      <c r="A4635" s="650"/>
      <c r="B4635" s="438"/>
      <c r="C4635"/>
      <c r="D4635" s="73"/>
      <c r="E4635" s="48"/>
      <c r="F4635" s="48"/>
      <c r="G4635" s="1"/>
      <c r="H4635"/>
      <c r="I4635" s="2"/>
      <c r="J4635" s="72"/>
      <c r="K4635" s="72"/>
      <c r="L4635" s="499"/>
      <c r="M4635" s="1"/>
      <c r="N4635" s="499"/>
      <c r="O4635" s="1"/>
      <c r="P4635" s="1"/>
      <c r="Q4635" s="1"/>
      <c r="R4635" s="3"/>
      <c r="S4635" s="3"/>
      <c r="T4635" s="3"/>
      <c r="U4635" s="400"/>
      <c r="V4635" s="400"/>
      <c r="W4635" s="732"/>
      <c r="X4635" s="24"/>
      <c r="Y4635" s="509"/>
      <c r="Z4635" s="466"/>
      <c r="AA4635" s="466"/>
      <c r="AB4635" s="466"/>
      <c r="AC4635" s="466"/>
      <c r="AD4635" s="466"/>
      <c r="AE4635" s="466"/>
      <c r="AF4635" s="466"/>
      <c r="AG4635" s="466"/>
      <c r="AH4635" s="466"/>
      <c r="AI4635" s="466"/>
      <c r="AJ4635" s="466"/>
      <c r="AK4635" s="466"/>
      <c r="AL4635" s="466"/>
      <c r="AM4635" s="466"/>
      <c r="AN4635" s="466"/>
      <c r="AO4635" s="466"/>
      <c r="AP4635" s="466"/>
      <c r="AQ4635" s="466"/>
      <c r="AR4635" s="466"/>
      <c r="AS4635" s="466"/>
      <c r="AT4635" s="466"/>
      <c r="AU4635" s="466"/>
      <c r="AV4635" s="466"/>
      <c r="AW4635" s="466"/>
      <c r="AX4635" s="466"/>
      <c r="AY4635" s="466"/>
      <c r="AZ4635" s="466"/>
      <c r="BA4635" s="466"/>
      <c r="BB4635" s="466"/>
      <c r="BC4635" s="466"/>
      <c r="BD4635" s="466"/>
      <c r="BE4635" s="467"/>
      <c r="BF4635" s="467"/>
      <c r="BG4635" s="466"/>
      <c r="BH4635" s="466"/>
      <c r="BI4635" s="467"/>
      <c r="BJ4635" s="467"/>
      <c r="BK4635" s="467"/>
      <c r="BL4635" s="467"/>
      <c r="BM4635" s="467"/>
      <c r="BN4635" s="467"/>
      <c r="BO4635" s="467"/>
      <c r="BP4635" s="467"/>
      <c r="BQ4635" s="467"/>
      <c r="BR4635" s="467"/>
      <c r="BS4635" s="467"/>
      <c r="BT4635" s="467"/>
      <c r="BU4635" s="467"/>
      <c r="BV4635" s="467"/>
      <c r="BW4635" s="467"/>
      <c r="BX4635" s="769"/>
      <c r="BY4635" s="769"/>
      <c r="BZ4635" s="769"/>
      <c r="CA4635" s="769"/>
      <c r="CB4635" s="769"/>
      <c r="CC4635" s="769"/>
      <c r="CD4635" s="769"/>
      <c r="CE4635" s="769"/>
      <c r="CF4635" s="769"/>
      <c r="CG4635" s="73"/>
      <c r="CH4635" s="438"/>
      <c r="CI4635" s="416"/>
      <c r="CJ4635" s="73"/>
      <c r="CK4635" s="650"/>
      <c r="CL4635" s="499"/>
      <c r="CM4635" s="650"/>
      <c r="CR4635" s="403"/>
      <c r="CS4635" s="48"/>
      <c r="CT4635"/>
      <c r="CU4635" s="1"/>
      <c r="CV4635" s="1"/>
      <c r="CW4635" s="1"/>
      <c r="CX4635" s="1"/>
      <c r="CY4635"/>
      <c r="CZ4635"/>
      <c r="DA4635" s="48"/>
      <c r="DB4635"/>
      <c r="DC4635"/>
      <c r="DD4635"/>
      <c r="DE4635"/>
      <c r="DF4635"/>
      <c r="DG4635"/>
      <c r="DH4635"/>
    </row>
    <row r="4636" spans="1:115" s="45" customFormat="1" x14ac:dyDescent="0.2">
      <c r="A4636" s="650"/>
      <c r="B4636" s="438"/>
      <c r="C4636"/>
      <c r="D4636" s="73"/>
      <c r="E4636" s="48"/>
      <c r="F4636" s="48"/>
      <c r="G4636" s="1"/>
      <c r="H4636"/>
      <c r="I4636" s="2"/>
      <c r="J4636" s="72"/>
      <c r="K4636" s="72"/>
      <c r="L4636" s="499"/>
      <c r="M4636" s="1"/>
      <c r="N4636" s="499"/>
      <c r="O4636" s="1"/>
      <c r="P4636" s="1"/>
      <c r="Q4636" s="1"/>
      <c r="R4636" s="3"/>
      <c r="S4636" s="3"/>
      <c r="T4636" s="3"/>
      <c r="U4636" s="400"/>
      <c r="V4636" s="400"/>
      <c r="W4636" s="732"/>
      <c r="X4636" s="24"/>
      <c r="Y4636" s="509"/>
      <c r="Z4636" s="466"/>
      <c r="AA4636" s="466"/>
      <c r="AB4636" s="466"/>
      <c r="AC4636" s="466"/>
      <c r="AD4636" s="466"/>
      <c r="AE4636" s="466"/>
      <c r="AF4636" s="466"/>
      <c r="AG4636" s="466"/>
      <c r="AH4636" s="466"/>
      <c r="AI4636" s="466"/>
      <c r="AJ4636" s="466"/>
      <c r="AK4636" s="466"/>
      <c r="AL4636" s="466"/>
      <c r="AM4636" s="466"/>
      <c r="AN4636" s="466"/>
      <c r="AO4636" s="466"/>
      <c r="AP4636" s="466"/>
      <c r="AQ4636" s="466"/>
      <c r="AR4636" s="466"/>
      <c r="AS4636" s="466"/>
      <c r="AT4636" s="466"/>
      <c r="AU4636" s="466"/>
      <c r="AV4636" s="466"/>
      <c r="AW4636" s="466"/>
      <c r="AX4636" s="466"/>
      <c r="AY4636" s="466"/>
      <c r="AZ4636" s="466"/>
      <c r="BA4636" s="466"/>
      <c r="BB4636" s="466"/>
      <c r="BC4636" s="466"/>
      <c r="BD4636" s="466"/>
      <c r="BE4636" s="467"/>
      <c r="BF4636" s="467"/>
      <c r="BG4636" s="466"/>
      <c r="BH4636" s="466"/>
      <c r="BI4636" s="467"/>
      <c r="BJ4636" s="467"/>
      <c r="BK4636" s="467"/>
      <c r="BL4636" s="467"/>
      <c r="BM4636" s="467"/>
      <c r="BN4636" s="467"/>
      <c r="BO4636" s="467"/>
      <c r="BP4636" s="467"/>
      <c r="BQ4636" s="467"/>
      <c r="BR4636" s="467"/>
      <c r="BS4636" s="467"/>
      <c r="BT4636" s="467"/>
      <c r="BU4636" s="467"/>
      <c r="BV4636" s="467"/>
      <c r="BW4636" s="467"/>
      <c r="BX4636" s="769"/>
      <c r="BY4636" s="769"/>
      <c r="BZ4636" s="769"/>
      <c r="CA4636" s="769"/>
      <c r="CB4636" s="769"/>
      <c r="CC4636" s="769"/>
      <c r="CD4636" s="769"/>
      <c r="CE4636" s="769"/>
      <c r="CF4636" s="769"/>
      <c r="CG4636" s="73"/>
      <c r="CH4636" s="438"/>
      <c r="CI4636" s="416"/>
      <c r="CJ4636" s="73"/>
      <c r="CK4636" s="650"/>
      <c r="CL4636" s="499"/>
      <c r="CM4636" s="650"/>
      <c r="CR4636" s="403"/>
      <c r="CS4636" s="48"/>
      <c r="CT4636"/>
      <c r="CU4636" s="1"/>
      <c r="CV4636" s="1"/>
      <c r="CW4636" s="1"/>
      <c r="CX4636" s="1"/>
      <c r="CY4636"/>
      <c r="CZ4636"/>
      <c r="DA4636" s="48"/>
      <c r="DB4636"/>
      <c r="DC4636"/>
      <c r="DD4636"/>
      <c r="DE4636"/>
      <c r="DF4636"/>
      <c r="DG4636"/>
      <c r="DH4636"/>
      <c r="DI4636"/>
    </row>
    <row r="4637" spans="1:115" s="45" customFormat="1" x14ac:dyDescent="0.2">
      <c r="A4637" s="650"/>
      <c r="B4637" s="438"/>
      <c r="C4637"/>
      <c r="D4637" s="73"/>
      <c r="E4637" s="48"/>
      <c r="F4637" s="48"/>
      <c r="G4637" s="1"/>
      <c r="H4637"/>
      <c r="I4637" s="2"/>
      <c r="J4637" s="72"/>
      <c r="K4637" s="72"/>
      <c r="L4637" s="499"/>
      <c r="M4637" s="1"/>
      <c r="N4637" s="499"/>
      <c r="O4637" s="1"/>
      <c r="P4637" s="1"/>
      <c r="Q4637" s="1"/>
      <c r="R4637" s="3"/>
      <c r="S4637" s="3"/>
      <c r="T4637" s="3"/>
      <c r="U4637" s="400"/>
      <c r="V4637" s="400"/>
      <c r="W4637" s="732"/>
      <c r="X4637" s="24"/>
      <c r="Y4637" s="509"/>
      <c r="Z4637" s="466"/>
      <c r="AA4637" s="466"/>
      <c r="AB4637" s="466"/>
      <c r="AC4637" s="466"/>
      <c r="AD4637" s="466"/>
      <c r="AE4637" s="466"/>
      <c r="AF4637" s="466"/>
      <c r="AG4637" s="466"/>
      <c r="AH4637" s="466"/>
      <c r="AI4637" s="466"/>
      <c r="AJ4637" s="466"/>
      <c r="AK4637" s="466"/>
      <c r="AL4637" s="466"/>
      <c r="AM4637" s="466"/>
      <c r="AN4637" s="466"/>
      <c r="AO4637" s="466"/>
      <c r="AP4637" s="466"/>
      <c r="AQ4637" s="466"/>
      <c r="AR4637" s="466"/>
      <c r="AS4637" s="466"/>
      <c r="AT4637" s="466"/>
      <c r="AU4637" s="466"/>
      <c r="AV4637" s="466"/>
      <c r="AW4637" s="466"/>
      <c r="AX4637" s="466"/>
      <c r="AY4637" s="466"/>
      <c r="AZ4637" s="466"/>
      <c r="BA4637" s="466"/>
      <c r="BB4637" s="466"/>
      <c r="BC4637" s="466"/>
      <c r="BD4637" s="466"/>
      <c r="BE4637" s="467"/>
      <c r="BF4637" s="467"/>
      <c r="BG4637" s="466"/>
      <c r="BH4637" s="466"/>
      <c r="BI4637" s="467"/>
      <c r="BJ4637" s="467"/>
      <c r="BK4637" s="467"/>
      <c r="BL4637" s="467"/>
      <c r="BM4637" s="467"/>
      <c r="BN4637" s="467"/>
      <c r="BO4637" s="467"/>
      <c r="BP4637" s="467"/>
      <c r="BQ4637" s="467"/>
      <c r="BR4637" s="467"/>
      <c r="BS4637" s="467"/>
      <c r="BT4637" s="467"/>
      <c r="BU4637" s="467"/>
      <c r="BV4637" s="467"/>
      <c r="BW4637" s="467"/>
      <c r="BX4637" s="769"/>
      <c r="BY4637" s="769"/>
      <c r="BZ4637" s="769"/>
      <c r="CA4637" s="769"/>
      <c r="CB4637" s="769"/>
      <c r="CC4637" s="769"/>
      <c r="CD4637" s="769"/>
      <c r="CE4637" s="769"/>
      <c r="CF4637" s="769"/>
      <c r="CG4637" s="73"/>
      <c r="CH4637" s="438"/>
      <c r="CI4637" s="416"/>
      <c r="CJ4637" s="73"/>
      <c r="CK4637" s="650"/>
      <c r="CL4637" s="499"/>
      <c r="CM4637" s="650"/>
      <c r="CR4637" s="403"/>
      <c r="CS4637" s="48"/>
      <c r="CT4637"/>
      <c r="CU4637" s="1"/>
      <c r="CV4637" s="1"/>
      <c r="CW4637" s="1"/>
      <c r="CX4637" s="1"/>
      <c r="CY4637"/>
      <c r="CZ4637"/>
      <c r="DA4637" s="48"/>
      <c r="DB4637"/>
      <c r="DC4637"/>
      <c r="DD4637"/>
      <c r="DE4637"/>
      <c r="DF4637"/>
      <c r="DG4637"/>
      <c r="DH4637"/>
      <c r="DI4637"/>
      <c r="DJ4637"/>
    </row>
    <row r="4638" spans="1:115" s="45" customFormat="1" x14ac:dyDescent="0.2">
      <c r="A4638" s="650"/>
      <c r="B4638" s="438"/>
      <c r="C4638"/>
      <c r="D4638" s="73"/>
      <c r="E4638" s="48"/>
      <c r="F4638" s="48"/>
      <c r="G4638" s="1"/>
      <c r="H4638"/>
      <c r="I4638" s="2"/>
      <c r="J4638" s="72"/>
      <c r="K4638" s="72"/>
      <c r="L4638" s="499"/>
      <c r="M4638" s="1"/>
      <c r="N4638" s="499"/>
      <c r="O4638" s="1"/>
      <c r="P4638" s="1"/>
      <c r="Q4638" s="1"/>
      <c r="R4638" s="3"/>
      <c r="S4638" s="3"/>
      <c r="T4638" s="3"/>
      <c r="U4638" s="400"/>
      <c r="V4638" s="400"/>
      <c r="W4638" s="732"/>
      <c r="X4638" s="24"/>
      <c r="Y4638" s="509"/>
      <c r="Z4638" s="466"/>
      <c r="AA4638" s="466"/>
      <c r="AB4638" s="466"/>
      <c r="AC4638" s="466"/>
      <c r="AD4638" s="466"/>
      <c r="AE4638" s="466"/>
      <c r="AF4638" s="466"/>
      <c r="AG4638" s="466"/>
      <c r="AH4638" s="466"/>
      <c r="AI4638" s="466"/>
      <c r="AJ4638" s="466"/>
      <c r="AK4638" s="466"/>
      <c r="AL4638" s="466"/>
      <c r="AM4638" s="466"/>
      <c r="AN4638" s="466"/>
      <c r="AO4638" s="466"/>
      <c r="AP4638" s="466"/>
      <c r="AQ4638" s="466"/>
      <c r="AR4638" s="466"/>
      <c r="AS4638" s="466"/>
      <c r="AT4638" s="466"/>
      <c r="AU4638" s="466"/>
      <c r="AV4638" s="466"/>
      <c r="AW4638" s="466"/>
      <c r="AX4638" s="466"/>
      <c r="AY4638" s="466"/>
      <c r="AZ4638" s="466"/>
      <c r="BA4638" s="466"/>
      <c r="BB4638" s="466"/>
      <c r="BC4638" s="466"/>
      <c r="BD4638" s="466"/>
      <c r="BE4638" s="467"/>
      <c r="BF4638" s="467"/>
      <c r="BG4638" s="466"/>
      <c r="BH4638" s="466"/>
      <c r="BI4638" s="467"/>
      <c r="BJ4638" s="467"/>
      <c r="BK4638" s="467"/>
      <c r="BL4638" s="467"/>
      <c r="BM4638" s="467"/>
      <c r="BN4638" s="467"/>
      <c r="BO4638" s="467"/>
      <c r="BP4638" s="467"/>
      <c r="BQ4638" s="467"/>
      <c r="BR4638" s="467"/>
      <c r="BS4638" s="467"/>
      <c r="BT4638" s="467"/>
      <c r="BU4638" s="467"/>
      <c r="BV4638" s="467"/>
      <c r="BW4638" s="467"/>
      <c r="BX4638" s="769"/>
      <c r="BY4638" s="769"/>
      <c r="BZ4638" s="769"/>
      <c r="CA4638" s="769"/>
      <c r="CB4638" s="769"/>
      <c r="CC4638" s="769"/>
      <c r="CD4638" s="769"/>
      <c r="CE4638" s="769"/>
      <c r="CF4638" s="769"/>
      <c r="CG4638" s="73"/>
      <c r="CH4638" s="438"/>
      <c r="CI4638" s="416"/>
      <c r="CJ4638" s="73"/>
      <c r="CK4638" s="650"/>
      <c r="CL4638" s="499"/>
      <c r="CM4638" s="650"/>
      <c r="CR4638" s="403"/>
      <c r="CS4638" s="48"/>
      <c r="CT4638"/>
      <c r="CU4638" s="1"/>
      <c r="CV4638" s="1"/>
      <c r="CW4638" s="1"/>
      <c r="CX4638" s="1"/>
      <c r="CY4638"/>
      <c r="CZ4638"/>
      <c r="DA4638" s="48"/>
      <c r="DB4638"/>
      <c r="DC4638"/>
      <c r="DD4638"/>
      <c r="DE4638"/>
      <c r="DF4638"/>
      <c r="DG4638"/>
      <c r="DH4638"/>
      <c r="DI4638"/>
      <c r="DJ4638"/>
      <c r="DK4638"/>
    </row>
    <row r="4639" spans="1:115" s="45" customFormat="1" x14ac:dyDescent="0.2">
      <c r="A4639" s="650"/>
      <c r="B4639" s="438"/>
      <c r="C4639"/>
      <c r="D4639" s="73"/>
      <c r="E4639" s="48"/>
      <c r="F4639" s="48"/>
      <c r="G4639" s="1"/>
      <c r="H4639"/>
      <c r="I4639" s="2"/>
      <c r="J4639" s="72"/>
      <c r="K4639" s="72"/>
      <c r="L4639" s="499"/>
      <c r="M4639" s="1"/>
      <c r="N4639" s="499"/>
      <c r="O4639" s="1"/>
      <c r="P4639" s="1"/>
      <c r="Q4639" s="1"/>
      <c r="R4639" s="3"/>
      <c r="S4639" s="3"/>
      <c r="T4639" s="3"/>
      <c r="U4639" s="400"/>
      <c r="V4639" s="400"/>
      <c r="W4639" s="732"/>
      <c r="X4639" s="24"/>
      <c r="Y4639" s="509"/>
      <c r="Z4639" s="466"/>
      <c r="AA4639" s="466"/>
      <c r="AB4639" s="466"/>
      <c r="AC4639" s="466"/>
      <c r="AD4639" s="466"/>
      <c r="AE4639" s="466"/>
      <c r="AF4639" s="466"/>
      <c r="AG4639" s="466"/>
      <c r="AH4639" s="466"/>
      <c r="AI4639" s="466"/>
      <c r="AJ4639" s="466"/>
      <c r="AK4639" s="466"/>
      <c r="AL4639" s="466"/>
      <c r="AM4639" s="466"/>
      <c r="AN4639" s="466"/>
      <c r="AO4639" s="466"/>
      <c r="AP4639" s="466"/>
      <c r="AQ4639" s="466"/>
      <c r="AR4639" s="466"/>
      <c r="AS4639" s="466"/>
      <c r="AT4639" s="466"/>
      <c r="AU4639" s="466"/>
      <c r="AV4639" s="466"/>
      <c r="AW4639" s="466"/>
      <c r="AX4639" s="466"/>
      <c r="AY4639" s="466"/>
      <c r="AZ4639" s="466"/>
      <c r="BA4639" s="466"/>
      <c r="BB4639" s="466"/>
      <c r="BC4639" s="466"/>
      <c r="BD4639" s="466"/>
      <c r="BE4639" s="467"/>
      <c r="BF4639" s="467"/>
      <c r="BG4639" s="466"/>
      <c r="BH4639" s="466"/>
      <c r="BI4639" s="467"/>
      <c r="BJ4639" s="467"/>
      <c r="BK4639" s="467"/>
      <c r="BL4639" s="467"/>
      <c r="BM4639" s="467"/>
      <c r="BN4639" s="467"/>
      <c r="BO4639" s="467"/>
      <c r="BP4639" s="467"/>
      <c r="BQ4639" s="467"/>
      <c r="BR4639" s="467"/>
      <c r="BS4639" s="467"/>
      <c r="BT4639" s="467"/>
      <c r="BU4639" s="467"/>
      <c r="BV4639" s="467"/>
      <c r="BW4639" s="467"/>
      <c r="BX4639" s="769"/>
      <c r="BY4639" s="769"/>
      <c r="BZ4639" s="769"/>
      <c r="CA4639" s="769"/>
      <c r="CB4639" s="769"/>
      <c r="CC4639" s="769"/>
      <c r="CD4639" s="769"/>
      <c r="CE4639" s="769"/>
      <c r="CF4639" s="769"/>
      <c r="CG4639" s="73"/>
      <c r="CH4639" s="438"/>
      <c r="CI4639" s="416"/>
      <c r="CJ4639" s="73"/>
      <c r="CK4639" s="650"/>
      <c r="CL4639" s="499"/>
      <c r="CM4639" s="650"/>
      <c r="CR4639" s="403"/>
      <c r="CS4639" s="48"/>
      <c r="CT4639"/>
      <c r="CU4639" s="1"/>
      <c r="CV4639" s="1"/>
      <c r="CW4639" s="1"/>
      <c r="CX4639" s="1"/>
      <c r="CY4639"/>
      <c r="CZ4639"/>
      <c r="DA4639" s="48"/>
      <c r="DB4639"/>
      <c r="DC4639"/>
      <c r="DD4639"/>
      <c r="DE4639"/>
      <c r="DF4639"/>
      <c r="DG4639"/>
      <c r="DH4639"/>
      <c r="DI4639"/>
      <c r="DJ4639"/>
      <c r="DK4639"/>
    </row>
    <row r="4640" spans="1:115" s="45" customFormat="1" x14ac:dyDescent="0.2">
      <c r="A4640" s="650"/>
      <c r="B4640" s="438"/>
      <c r="C4640"/>
      <c r="D4640" s="73"/>
      <c r="E4640" s="48"/>
      <c r="F4640" s="48"/>
      <c r="G4640" s="1"/>
      <c r="H4640"/>
      <c r="I4640" s="2"/>
      <c r="J4640" s="72"/>
      <c r="K4640" s="72"/>
      <c r="L4640" s="499"/>
      <c r="M4640" s="1"/>
      <c r="N4640" s="499"/>
      <c r="O4640" s="1"/>
      <c r="P4640" s="1"/>
      <c r="Q4640" s="1"/>
      <c r="R4640" s="3"/>
      <c r="S4640" s="3"/>
      <c r="T4640" s="3"/>
      <c r="U4640" s="400"/>
      <c r="V4640" s="400"/>
      <c r="W4640" s="732"/>
      <c r="X4640" s="24"/>
      <c r="Y4640" s="509"/>
      <c r="Z4640" s="466"/>
      <c r="AA4640" s="466"/>
      <c r="AB4640" s="466"/>
      <c r="AC4640" s="466"/>
      <c r="AD4640" s="466"/>
      <c r="AE4640" s="466"/>
      <c r="AF4640" s="466"/>
      <c r="AG4640" s="466"/>
      <c r="AH4640" s="466"/>
      <c r="AI4640" s="466"/>
      <c r="AJ4640" s="466"/>
      <c r="AK4640" s="466"/>
      <c r="AL4640" s="466"/>
      <c r="AM4640" s="466"/>
      <c r="AN4640" s="466"/>
      <c r="AO4640" s="466"/>
      <c r="AP4640" s="466"/>
      <c r="AQ4640" s="466"/>
      <c r="AR4640" s="466"/>
      <c r="AS4640" s="466"/>
      <c r="AT4640" s="466"/>
      <c r="AU4640" s="466"/>
      <c r="AV4640" s="466"/>
      <c r="AW4640" s="466"/>
      <c r="AX4640" s="466"/>
      <c r="AY4640" s="466"/>
      <c r="AZ4640" s="466"/>
      <c r="BA4640" s="466"/>
      <c r="BB4640" s="466"/>
      <c r="BC4640" s="466"/>
      <c r="BD4640" s="466"/>
      <c r="BE4640" s="467"/>
      <c r="BF4640" s="467"/>
      <c r="BG4640" s="466"/>
      <c r="BH4640" s="466"/>
      <c r="BI4640" s="467"/>
      <c r="BJ4640" s="467"/>
      <c r="BK4640" s="467"/>
      <c r="BL4640" s="467"/>
      <c r="BM4640" s="467"/>
      <c r="BN4640" s="467"/>
      <c r="BO4640" s="467"/>
      <c r="BP4640" s="467"/>
      <c r="BQ4640" s="467"/>
      <c r="BR4640" s="467"/>
      <c r="BS4640" s="467"/>
      <c r="BT4640" s="467"/>
      <c r="BU4640" s="467"/>
      <c r="BV4640" s="467"/>
      <c r="BW4640" s="467"/>
      <c r="BX4640" s="769"/>
      <c r="BY4640" s="769"/>
      <c r="BZ4640" s="769"/>
      <c r="CA4640" s="769"/>
      <c r="CB4640" s="769"/>
      <c r="CC4640" s="769"/>
      <c r="CD4640" s="769"/>
      <c r="CE4640" s="769"/>
      <c r="CF4640" s="769"/>
      <c r="CG4640" s="73"/>
      <c r="CH4640" s="438"/>
      <c r="CI4640" s="416"/>
      <c r="CJ4640" s="73"/>
      <c r="CK4640" s="650"/>
      <c r="CL4640" s="499"/>
      <c r="CM4640" s="650"/>
      <c r="CR4640" s="403"/>
      <c r="CS4640" s="48"/>
      <c r="CT4640"/>
      <c r="CU4640" s="1"/>
      <c r="CV4640" s="1"/>
      <c r="CW4640" s="1"/>
      <c r="CX4640" s="1"/>
      <c r="CY4640"/>
      <c r="CZ4640"/>
      <c r="DA4640" s="48"/>
      <c r="DB4640"/>
      <c r="DC4640"/>
      <c r="DD4640"/>
      <c r="DE4640"/>
      <c r="DF4640"/>
      <c r="DG4640"/>
      <c r="DH4640"/>
      <c r="DI4640"/>
      <c r="DJ4640"/>
      <c r="DK4640"/>
    </row>
    <row r="4641" spans="1:126" s="45" customFormat="1" x14ac:dyDescent="0.2">
      <c r="A4641" s="650"/>
      <c r="B4641" s="438"/>
      <c r="C4641"/>
      <c r="D4641" s="73"/>
      <c r="E4641" s="48"/>
      <c r="F4641" s="48"/>
      <c r="G4641" s="1"/>
      <c r="H4641"/>
      <c r="I4641" s="2"/>
      <c r="J4641" s="72"/>
      <c r="K4641" s="72"/>
      <c r="L4641" s="499"/>
      <c r="M4641" s="1"/>
      <c r="N4641" s="499"/>
      <c r="O4641" s="1"/>
      <c r="P4641" s="1"/>
      <c r="Q4641" s="1"/>
      <c r="R4641" s="3"/>
      <c r="S4641" s="3"/>
      <c r="T4641" s="3"/>
      <c r="U4641" s="400"/>
      <c r="V4641" s="400"/>
      <c r="W4641" s="732"/>
      <c r="X4641" s="24"/>
      <c r="Y4641" s="509"/>
      <c r="Z4641" s="466"/>
      <c r="AA4641" s="466"/>
      <c r="AB4641" s="466"/>
      <c r="AC4641" s="466"/>
      <c r="AD4641" s="466"/>
      <c r="AE4641" s="466"/>
      <c r="AF4641" s="466"/>
      <c r="AG4641" s="466"/>
      <c r="AH4641" s="466"/>
      <c r="AI4641" s="466"/>
      <c r="AJ4641" s="466"/>
      <c r="AK4641" s="466"/>
      <c r="AL4641" s="466"/>
      <c r="AM4641" s="466"/>
      <c r="AN4641" s="466"/>
      <c r="AO4641" s="466"/>
      <c r="AP4641" s="466"/>
      <c r="AQ4641" s="466"/>
      <c r="AR4641" s="466"/>
      <c r="AS4641" s="466"/>
      <c r="AT4641" s="466"/>
      <c r="AU4641" s="466"/>
      <c r="AV4641" s="466"/>
      <c r="AW4641" s="466"/>
      <c r="AX4641" s="466"/>
      <c r="AY4641" s="466"/>
      <c r="AZ4641" s="466"/>
      <c r="BA4641" s="466"/>
      <c r="BB4641" s="466"/>
      <c r="BC4641" s="466"/>
      <c r="BD4641" s="466"/>
      <c r="BE4641" s="467"/>
      <c r="BF4641" s="467"/>
      <c r="BG4641" s="466"/>
      <c r="BH4641" s="466"/>
      <c r="BI4641" s="467"/>
      <c r="BJ4641" s="467"/>
      <c r="BK4641" s="467"/>
      <c r="BL4641" s="467"/>
      <c r="BM4641" s="467"/>
      <c r="BN4641" s="467"/>
      <c r="BO4641" s="467"/>
      <c r="BP4641" s="467"/>
      <c r="BQ4641" s="467"/>
      <c r="BR4641" s="467"/>
      <c r="BS4641" s="467"/>
      <c r="BT4641" s="467"/>
      <c r="BU4641" s="467"/>
      <c r="BV4641" s="467"/>
      <c r="BW4641" s="467"/>
      <c r="BX4641" s="769"/>
      <c r="BY4641" s="769"/>
      <c r="BZ4641" s="769"/>
      <c r="CA4641" s="769"/>
      <c r="CB4641" s="769"/>
      <c r="CC4641" s="769"/>
      <c r="CD4641" s="769"/>
      <c r="CE4641" s="769"/>
      <c r="CF4641" s="769"/>
      <c r="CG4641" s="73"/>
      <c r="CH4641" s="438"/>
      <c r="CI4641" s="416"/>
      <c r="CJ4641" s="73"/>
      <c r="CK4641" s="650"/>
      <c r="CL4641" s="499"/>
      <c r="CM4641" s="650"/>
      <c r="CR4641" s="403"/>
      <c r="CS4641" s="48"/>
      <c r="CT4641"/>
      <c r="CU4641" s="1"/>
      <c r="CV4641" s="1"/>
      <c r="CW4641" s="1"/>
      <c r="CX4641" s="1"/>
      <c r="CY4641"/>
      <c r="CZ4641"/>
      <c r="DA4641" s="48"/>
      <c r="DB4641"/>
      <c r="DC4641"/>
      <c r="DD4641"/>
      <c r="DE4641"/>
      <c r="DF4641"/>
      <c r="DG4641"/>
      <c r="DH4641"/>
      <c r="DI4641"/>
      <c r="DJ4641"/>
      <c r="DK4641"/>
      <c r="DL4641"/>
    </row>
    <row r="4642" spans="1:126" s="45" customFormat="1" x14ac:dyDescent="0.2">
      <c r="A4642" s="650"/>
      <c r="B4642" s="438"/>
      <c r="C4642"/>
      <c r="D4642" s="73"/>
      <c r="E4642" s="48"/>
      <c r="F4642" s="48"/>
      <c r="G4642" s="1"/>
      <c r="H4642"/>
      <c r="I4642" s="2"/>
      <c r="J4642" s="72"/>
      <c r="K4642" s="72"/>
      <c r="L4642" s="499"/>
      <c r="M4642" s="1"/>
      <c r="N4642" s="499"/>
      <c r="O4642" s="1"/>
      <c r="P4642" s="1"/>
      <c r="Q4642" s="1"/>
      <c r="R4642" s="3"/>
      <c r="S4642" s="3"/>
      <c r="T4642" s="3"/>
      <c r="U4642" s="400"/>
      <c r="V4642" s="400"/>
      <c r="W4642" s="732"/>
      <c r="X4642" s="24"/>
      <c r="Y4642" s="509"/>
      <c r="Z4642" s="466"/>
      <c r="AA4642" s="466"/>
      <c r="AB4642" s="466"/>
      <c r="AC4642" s="466"/>
      <c r="AD4642" s="466"/>
      <c r="AE4642" s="466"/>
      <c r="AF4642" s="466"/>
      <c r="AG4642" s="466"/>
      <c r="AH4642" s="466"/>
      <c r="AI4642" s="466"/>
      <c r="AJ4642" s="466"/>
      <c r="AK4642" s="466"/>
      <c r="AL4642" s="466"/>
      <c r="AM4642" s="466"/>
      <c r="AN4642" s="466"/>
      <c r="AO4642" s="466"/>
      <c r="AP4642" s="466"/>
      <c r="AQ4642" s="466"/>
      <c r="AR4642" s="466"/>
      <c r="AS4642" s="466"/>
      <c r="AT4642" s="466"/>
      <c r="AU4642" s="466"/>
      <c r="AV4642" s="466"/>
      <c r="AW4642" s="466"/>
      <c r="AX4642" s="466"/>
      <c r="AY4642" s="466"/>
      <c r="AZ4642" s="466"/>
      <c r="BA4642" s="466"/>
      <c r="BB4642" s="466"/>
      <c r="BC4642" s="466"/>
      <c r="BD4642" s="466"/>
      <c r="BE4642" s="467"/>
      <c r="BF4642" s="467"/>
      <c r="BG4642" s="466"/>
      <c r="BH4642" s="466"/>
      <c r="BI4642" s="467"/>
      <c r="BJ4642" s="467"/>
      <c r="BK4642" s="467"/>
      <c r="BL4642" s="467"/>
      <c r="BM4642" s="467"/>
      <c r="BN4642" s="467"/>
      <c r="BO4642" s="467"/>
      <c r="BP4642" s="467"/>
      <c r="BQ4642" s="467"/>
      <c r="BR4642" s="467"/>
      <c r="BS4642" s="467"/>
      <c r="BT4642" s="467"/>
      <c r="BU4642" s="467"/>
      <c r="BV4642" s="467"/>
      <c r="BW4642" s="467"/>
      <c r="BX4642" s="769"/>
      <c r="BY4642" s="769"/>
      <c r="BZ4642" s="769"/>
      <c r="CA4642" s="769"/>
      <c r="CB4642" s="769"/>
      <c r="CC4642" s="769"/>
      <c r="CD4642" s="769"/>
      <c r="CE4642" s="769"/>
      <c r="CF4642" s="769"/>
      <c r="CG4642" s="73"/>
      <c r="CH4642" s="438"/>
      <c r="CI4642" s="416"/>
      <c r="CJ4642" s="73"/>
      <c r="CK4642" s="650"/>
      <c r="CL4642" s="499"/>
      <c r="CM4642" s="650"/>
      <c r="CR4642" s="403"/>
      <c r="CS4642" s="48"/>
      <c r="CT4642"/>
      <c r="CU4642" s="1"/>
      <c r="CV4642" s="1"/>
      <c r="CW4642" s="1"/>
      <c r="CX4642" s="1"/>
      <c r="CY4642"/>
      <c r="CZ4642"/>
      <c r="DA4642" s="48"/>
      <c r="DB4642"/>
      <c r="DC4642"/>
      <c r="DD4642"/>
      <c r="DE4642"/>
      <c r="DF4642"/>
      <c r="DG4642"/>
      <c r="DH4642"/>
      <c r="DI4642"/>
      <c r="DJ4642"/>
      <c r="DK4642"/>
      <c r="DL4642"/>
    </row>
    <row r="4643" spans="1:126" s="45" customFormat="1" x14ac:dyDescent="0.2">
      <c r="A4643" s="650"/>
      <c r="B4643" s="438"/>
      <c r="C4643"/>
      <c r="D4643" s="73"/>
      <c r="E4643" s="48"/>
      <c r="F4643" s="48"/>
      <c r="G4643" s="1"/>
      <c r="H4643"/>
      <c r="I4643" s="2"/>
      <c r="J4643" s="72"/>
      <c r="K4643" s="72"/>
      <c r="L4643" s="499"/>
      <c r="M4643" s="1"/>
      <c r="N4643" s="499"/>
      <c r="O4643" s="1"/>
      <c r="P4643" s="1"/>
      <c r="Q4643" s="1"/>
      <c r="R4643" s="3"/>
      <c r="S4643" s="3"/>
      <c r="T4643" s="3"/>
      <c r="U4643" s="400"/>
      <c r="V4643" s="400"/>
      <c r="W4643" s="732"/>
      <c r="X4643" s="24"/>
      <c r="Y4643" s="509"/>
      <c r="Z4643" s="466"/>
      <c r="AA4643" s="466"/>
      <c r="AB4643" s="466"/>
      <c r="AC4643" s="466"/>
      <c r="AD4643" s="466"/>
      <c r="AE4643" s="466"/>
      <c r="AF4643" s="466"/>
      <c r="AG4643" s="466"/>
      <c r="AH4643" s="466"/>
      <c r="AI4643" s="466"/>
      <c r="AJ4643" s="466"/>
      <c r="AK4643" s="466"/>
      <c r="AL4643" s="466"/>
      <c r="AM4643" s="466"/>
      <c r="AN4643" s="466"/>
      <c r="AO4643" s="466"/>
      <c r="AP4643" s="466"/>
      <c r="AQ4643" s="466"/>
      <c r="AR4643" s="466"/>
      <c r="AS4643" s="466"/>
      <c r="AT4643" s="466"/>
      <c r="AU4643" s="466"/>
      <c r="AV4643" s="466"/>
      <c r="AW4643" s="466"/>
      <c r="AX4643" s="466"/>
      <c r="AY4643" s="466"/>
      <c r="AZ4643" s="466"/>
      <c r="BA4643" s="466"/>
      <c r="BB4643" s="466"/>
      <c r="BC4643" s="466"/>
      <c r="BD4643" s="466"/>
      <c r="BE4643" s="467"/>
      <c r="BF4643" s="467"/>
      <c r="BG4643" s="466"/>
      <c r="BH4643" s="466"/>
      <c r="BI4643" s="467"/>
      <c r="BJ4643" s="467"/>
      <c r="BK4643" s="467"/>
      <c r="BL4643" s="467"/>
      <c r="BM4643" s="467"/>
      <c r="BN4643" s="467"/>
      <c r="BO4643" s="467"/>
      <c r="BP4643" s="467"/>
      <c r="BQ4643" s="467"/>
      <c r="BR4643" s="467"/>
      <c r="BS4643" s="467"/>
      <c r="BT4643" s="467"/>
      <c r="BU4643" s="467"/>
      <c r="BV4643" s="467"/>
      <c r="BW4643" s="467"/>
      <c r="BX4643" s="769"/>
      <c r="BY4643" s="769"/>
      <c r="BZ4643" s="769"/>
      <c r="CA4643" s="769"/>
      <c r="CB4643" s="769"/>
      <c r="CC4643" s="769"/>
      <c r="CD4643" s="769"/>
      <c r="CE4643" s="769"/>
      <c r="CF4643" s="769"/>
      <c r="CG4643" s="73"/>
      <c r="CH4643" s="438"/>
      <c r="CI4643" s="416"/>
      <c r="CJ4643" s="73"/>
      <c r="CK4643" s="650"/>
      <c r="CL4643" s="499"/>
      <c r="CM4643" s="650"/>
      <c r="CR4643" s="403"/>
      <c r="CS4643" s="48"/>
      <c r="CT4643"/>
      <c r="CU4643" s="1"/>
      <c r="CV4643" s="1"/>
      <c r="CW4643" s="1"/>
      <c r="CX4643" s="1"/>
      <c r="CY4643"/>
      <c r="CZ4643"/>
      <c r="DA4643" s="48"/>
      <c r="DB4643"/>
      <c r="DC4643"/>
      <c r="DD4643"/>
      <c r="DE4643"/>
      <c r="DF4643"/>
      <c r="DG4643"/>
      <c r="DH4643"/>
      <c r="DI4643"/>
      <c r="DJ4643"/>
      <c r="DK4643"/>
      <c r="DL4643"/>
      <c r="DM4643"/>
    </row>
    <row r="4644" spans="1:126" s="45" customFormat="1" x14ac:dyDescent="0.2">
      <c r="A4644" s="650"/>
      <c r="B4644" s="438"/>
      <c r="C4644"/>
      <c r="D4644" s="73"/>
      <c r="E4644" s="48"/>
      <c r="F4644" s="48"/>
      <c r="G4644" s="1"/>
      <c r="H4644"/>
      <c r="I4644" s="2"/>
      <c r="J4644" s="72"/>
      <c r="K4644" s="72"/>
      <c r="L4644" s="499"/>
      <c r="M4644" s="1"/>
      <c r="N4644" s="499"/>
      <c r="O4644" s="1"/>
      <c r="P4644" s="1"/>
      <c r="Q4644" s="1"/>
      <c r="R4644" s="3"/>
      <c r="S4644" s="3"/>
      <c r="T4644" s="3"/>
      <c r="U4644" s="400"/>
      <c r="V4644" s="400"/>
      <c r="W4644" s="732"/>
      <c r="X4644" s="24"/>
      <c r="Y4644" s="509"/>
      <c r="Z4644" s="466"/>
      <c r="AA4644" s="466"/>
      <c r="AB4644" s="466"/>
      <c r="AC4644" s="466"/>
      <c r="AD4644" s="466"/>
      <c r="AE4644" s="466"/>
      <c r="AF4644" s="466"/>
      <c r="AG4644" s="466"/>
      <c r="AH4644" s="466"/>
      <c r="AI4644" s="466"/>
      <c r="AJ4644" s="466"/>
      <c r="AK4644" s="466"/>
      <c r="AL4644" s="466"/>
      <c r="AM4644" s="466"/>
      <c r="AN4644" s="466"/>
      <c r="AO4644" s="466"/>
      <c r="AP4644" s="466"/>
      <c r="AQ4644" s="466"/>
      <c r="AR4644" s="466"/>
      <c r="AS4644" s="466"/>
      <c r="AT4644" s="466"/>
      <c r="AU4644" s="466"/>
      <c r="AV4644" s="466"/>
      <c r="AW4644" s="466"/>
      <c r="AX4644" s="466"/>
      <c r="AY4644" s="466"/>
      <c r="AZ4644" s="466"/>
      <c r="BA4644" s="466"/>
      <c r="BB4644" s="466"/>
      <c r="BC4644" s="466"/>
      <c r="BD4644" s="466"/>
      <c r="BE4644" s="467"/>
      <c r="BF4644" s="467"/>
      <c r="BG4644" s="466"/>
      <c r="BH4644" s="466"/>
      <c r="BI4644" s="467"/>
      <c r="BJ4644" s="467"/>
      <c r="BK4644" s="467"/>
      <c r="BL4644" s="467"/>
      <c r="BM4644" s="467"/>
      <c r="BN4644" s="467"/>
      <c r="BO4644" s="467"/>
      <c r="BP4644" s="467"/>
      <c r="BQ4644" s="467"/>
      <c r="BR4644" s="467"/>
      <c r="BS4644" s="467"/>
      <c r="BT4644" s="467"/>
      <c r="BU4644" s="467"/>
      <c r="BV4644" s="467"/>
      <c r="BW4644" s="467"/>
      <c r="BX4644" s="769"/>
      <c r="BY4644" s="769"/>
      <c r="BZ4644" s="769"/>
      <c r="CA4644" s="769"/>
      <c r="CB4644" s="769"/>
      <c r="CC4644" s="769"/>
      <c r="CD4644" s="769"/>
      <c r="CE4644" s="769"/>
      <c r="CF4644" s="769"/>
      <c r="CG4644" s="73"/>
      <c r="CH4644" s="438"/>
      <c r="CI4644" s="416"/>
      <c r="CJ4644" s="73"/>
      <c r="CK4644" s="650"/>
      <c r="CL4644" s="499"/>
      <c r="CM4644" s="650"/>
      <c r="CR4644" s="403"/>
      <c r="CS4644" s="48"/>
      <c r="CT4644"/>
      <c r="CU4644" s="1"/>
      <c r="CV4644" s="1"/>
      <c r="CW4644" s="1"/>
      <c r="CX4644" s="1"/>
      <c r="CY4644"/>
      <c r="CZ4644"/>
      <c r="DA4644" s="48"/>
      <c r="DB4644"/>
      <c r="DC4644"/>
      <c r="DD4644"/>
      <c r="DE4644"/>
      <c r="DF4644"/>
      <c r="DG4644"/>
      <c r="DH4644"/>
      <c r="DI4644"/>
      <c r="DJ4644"/>
      <c r="DK4644"/>
      <c r="DL4644"/>
      <c r="DM4644"/>
    </row>
    <row r="4645" spans="1:126" s="45" customFormat="1" x14ac:dyDescent="0.2">
      <c r="A4645" s="650"/>
      <c r="B4645" s="438"/>
      <c r="C4645"/>
      <c r="D4645" s="73"/>
      <c r="E4645" s="48"/>
      <c r="F4645" s="48"/>
      <c r="G4645" s="1"/>
      <c r="H4645"/>
      <c r="I4645" s="2"/>
      <c r="J4645" s="72"/>
      <c r="K4645" s="72"/>
      <c r="L4645" s="499"/>
      <c r="M4645" s="1"/>
      <c r="N4645" s="499"/>
      <c r="O4645" s="1"/>
      <c r="P4645" s="1"/>
      <c r="Q4645" s="1"/>
      <c r="R4645" s="3"/>
      <c r="S4645" s="3"/>
      <c r="T4645" s="3"/>
      <c r="U4645" s="400"/>
      <c r="V4645" s="400"/>
      <c r="W4645" s="732"/>
      <c r="X4645" s="24"/>
      <c r="Y4645" s="509"/>
      <c r="Z4645" s="466"/>
      <c r="AA4645" s="466"/>
      <c r="AB4645" s="466"/>
      <c r="AC4645" s="466"/>
      <c r="AD4645" s="466"/>
      <c r="AE4645" s="466"/>
      <c r="AF4645" s="466"/>
      <c r="AG4645" s="466"/>
      <c r="AH4645" s="466"/>
      <c r="AI4645" s="466"/>
      <c r="AJ4645" s="466"/>
      <c r="AK4645" s="466"/>
      <c r="AL4645" s="466"/>
      <c r="AM4645" s="466"/>
      <c r="AN4645" s="466"/>
      <c r="AO4645" s="466"/>
      <c r="AP4645" s="466"/>
      <c r="AQ4645" s="466"/>
      <c r="AR4645" s="466"/>
      <c r="AS4645" s="466"/>
      <c r="AT4645" s="466"/>
      <c r="AU4645" s="466"/>
      <c r="AV4645" s="466"/>
      <c r="AW4645" s="466"/>
      <c r="AX4645" s="466"/>
      <c r="AY4645" s="466"/>
      <c r="AZ4645" s="466"/>
      <c r="BA4645" s="466"/>
      <c r="BB4645" s="466"/>
      <c r="BC4645" s="466"/>
      <c r="BD4645" s="466"/>
      <c r="BE4645" s="467"/>
      <c r="BF4645" s="467"/>
      <c r="BG4645" s="466"/>
      <c r="BH4645" s="466"/>
      <c r="BI4645" s="467"/>
      <c r="BJ4645" s="467"/>
      <c r="BK4645" s="467"/>
      <c r="BL4645" s="467"/>
      <c r="BM4645" s="467"/>
      <c r="BN4645" s="467"/>
      <c r="BO4645" s="467"/>
      <c r="BP4645" s="467"/>
      <c r="BQ4645" s="467"/>
      <c r="BR4645" s="467"/>
      <c r="BS4645" s="467"/>
      <c r="BT4645" s="467"/>
      <c r="BU4645" s="467"/>
      <c r="BV4645" s="467"/>
      <c r="BW4645" s="467"/>
      <c r="BX4645" s="769"/>
      <c r="BY4645" s="769"/>
      <c r="BZ4645" s="769"/>
      <c r="CA4645" s="769"/>
      <c r="CB4645" s="769"/>
      <c r="CC4645" s="769"/>
      <c r="CD4645" s="769"/>
      <c r="CE4645" s="769"/>
      <c r="CF4645" s="769"/>
      <c r="CG4645" s="73"/>
      <c r="CH4645" s="438"/>
      <c r="CI4645" s="416"/>
      <c r="CJ4645" s="73"/>
      <c r="CK4645" s="650"/>
      <c r="CL4645" s="499"/>
      <c r="CM4645" s="650"/>
      <c r="CR4645" s="403"/>
      <c r="CS4645" s="48"/>
      <c r="CT4645"/>
      <c r="CU4645" s="1"/>
      <c r="CV4645" s="1"/>
      <c r="CW4645" s="1"/>
      <c r="CX4645" s="1"/>
      <c r="CY4645"/>
      <c r="CZ4645"/>
      <c r="DA4645" s="48"/>
      <c r="DB4645"/>
      <c r="DC4645"/>
      <c r="DD4645"/>
      <c r="DE4645"/>
      <c r="DF4645"/>
      <c r="DG4645"/>
      <c r="DH4645"/>
      <c r="DI4645"/>
      <c r="DJ4645"/>
      <c r="DK4645"/>
      <c r="DL4645"/>
      <c r="DM4645"/>
      <c r="DN4645"/>
    </row>
    <row r="4646" spans="1:126" s="45" customFormat="1" x14ac:dyDescent="0.2">
      <c r="A4646" s="650"/>
      <c r="B4646" s="438"/>
      <c r="C4646"/>
      <c r="D4646" s="73"/>
      <c r="E4646" s="48"/>
      <c r="F4646" s="48"/>
      <c r="G4646" s="1"/>
      <c r="H4646"/>
      <c r="I4646" s="2"/>
      <c r="J4646" s="72"/>
      <c r="K4646" s="72"/>
      <c r="L4646" s="499"/>
      <c r="M4646" s="1"/>
      <c r="N4646" s="499"/>
      <c r="O4646" s="1"/>
      <c r="P4646" s="1"/>
      <c r="Q4646" s="1"/>
      <c r="R4646" s="3"/>
      <c r="S4646" s="3"/>
      <c r="T4646" s="3"/>
      <c r="U4646" s="400"/>
      <c r="V4646" s="400"/>
      <c r="W4646" s="732"/>
      <c r="X4646" s="24"/>
      <c r="Y4646" s="509"/>
      <c r="Z4646" s="466"/>
      <c r="AA4646" s="466"/>
      <c r="AB4646" s="466"/>
      <c r="AC4646" s="466"/>
      <c r="AD4646" s="466"/>
      <c r="AE4646" s="466"/>
      <c r="AF4646" s="466"/>
      <c r="AG4646" s="466"/>
      <c r="AH4646" s="466"/>
      <c r="AI4646" s="466"/>
      <c r="AJ4646" s="466"/>
      <c r="AK4646" s="466"/>
      <c r="AL4646" s="466"/>
      <c r="AM4646" s="466"/>
      <c r="AN4646" s="466"/>
      <c r="AO4646" s="466"/>
      <c r="AP4646" s="466"/>
      <c r="AQ4646" s="466"/>
      <c r="AR4646" s="466"/>
      <c r="AS4646" s="466"/>
      <c r="AT4646" s="466"/>
      <c r="AU4646" s="466"/>
      <c r="AV4646" s="466"/>
      <c r="AW4646" s="466"/>
      <c r="AX4646" s="466"/>
      <c r="AY4646" s="466"/>
      <c r="AZ4646" s="466"/>
      <c r="BA4646" s="466"/>
      <c r="BB4646" s="466"/>
      <c r="BC4646" s="466"/>
      <c r="BD4646" s="466"/>
      <c r="BE4646" s="467"/>
      <c r="BF4646" s="467"/>
      <c r="BG4646" s="466"/>
      <c r="BH4646" s="466"/>
      <c r="BI4646" s="467"/>
      <c r="BJ4646" s="467"/>
      <c r="BK4646" s="467"/>
      <c r="BL4646" s="467"/>
      <c r="BM4646" s="467"/>
      <c r="BN4646" s="467"/>
      <c r="BO4646" s="467"/>
      <c r="BP4646" s="467"/>
      <c r="BQ4646" s="467"/>
      <c r="BR4646" s="467"/>
      <c r="BS4646" s="467"/>
      <c r="BT4646" s="467"/>
      <c r="BU4646" s="467"/>
      <c r="BV4646" s="467"/>
      <c r="BW4646" s="467"/>
      <c r="BX4646" s="769"/>
      <c r="BY4646" s="769"/>
      <c r="BZ4646" s="769"/>
      <c r="CA4646" s="769"/>
      <c r="CB4646" s="769"/>
      <c r="CC4646" s="769"/>
      <c r="CD4646" s="769"/>
      <c r="CE4646" s="769"/>
      <c r="CF4646" s="769"/>
      <c r="CG4646" s="73"/>
      <c r="CH4646" s="438"/>
      <c r="CI4646" s="416"/>
      <c r="CJ4646" s="73"/>
      <c r="CK4646" s="650"/>
      <c r="CL4646" s="499"/>
      <c r="CM4646" s="650"/>
      <c r="CR4646" s="403"/>
      <c r="CS4646" s="48"/>
      <c r="CT4646"/>
      <c r="CU4646" s="1"/>
      <c r="CV4646" s="1"/>
      <c r="CW4646" s="1"/>
      <c r="CX4646" s="1"/>
      <c r="CY4646"/>
      <c r="CZ4646"/>
      <c r="DA4646" s="48"/>
      <c r="DB4646"/>
      <c r="DC4646"/>
      <c r="DD4646"/>
      <c r="DE4646"/>
      <c r="DF4646"/>
      <c r="DG4646"/>
      <c r="DH4646"/>
      <c r="DI4646"/>
      <c r="DJ4646"/>
      <c r="DK4646"/>
      <c r="DL4646"/>
      <c r="DM4646"/>
      <c r="DN4646"/>
      <c r="DO4646"/>
    </row>
    <row r="4647" spans="1:126" s="45" customFormat="1" x14ac:dyDescent="0.2">
      <c r="A4647" s="650"/>
      <c r="B4647" s="438"/>
      <c r="C4647"/>
      <c r="D4647" s="73"/>
      <c r="E4647" s="48"/>
      <c r="F4647" s="48"/>
      <c r="G4647" s="1"/>
      <c r="H4647"/>
      <c r="I4647" s="2"/>
      <c r="J4647" s="72"/>
      <c r="K4647" s="72"/>
      <c r="L4647" s="499"/>
      <c r="M4647" s="1"/>
      <c r="N4647" s="499"/>
      <c r="O4647" s="1"/>
      <c r="P4647" s="1"/>
      <c r="Q4647" s="1"/>
      <c r="R4647" s="3"/>
      <c r="S4647" s="3"/>
      <c r="T4647" s="3"/>
      <c r="U4647" s="400"/>
      <c r="V4647" s="400"/>
      <c r="W4647" s="732"/>
      <c r="X4647" s="24"/>
      <c r="Y4647" s="509"/>
      <c r="Z4647" s="466"/>
      <c r="AA4647" s="466"/>
      <c r="AB4647" s="466"/>
      <c r="AC4647" s="466"/>
      <c r="AD4647" s="466"/>
      <c r="AE4647" s="466"/>
      <c r="AF4647" s="466"/>
      <c r="AG4647" s="466"/>
      <c r="AH4647" s="466"/>
      <c r="AI4647" s="466"/>
      <c r="AJ4647" s="466"/>
      <c r="AK4647" s="466"/>
      <c r="AL4647" s="466"/>
      <c r="AM4647" s="466"/>
      <c r="AN4647" s="466"/>
      <c r="AO4647" s="466"/>
      <c r="AP4647" s="466"/>
      <c r="AQ4647" s="466"/>
      <c r="AR4647" s="466"/>
      <c r="AS4647" s="466"/>
      <c r="AT4647" s="466"/>
      <c r="AU4647" s="466"/>
      <c r="AV4647" s="466"/>
      <c r="AW4647" s="466"/>
      <c r="AX4647" s="466"/>
      <c r="AY4647" s="466"/>
      <c r="AZ4647" s="466"/>
      <c r="BA4647" s="466"/>
      <c r="BB4647" s="466"/>
      <c r="BC4647" s="466"/>
      <c r="BD4647" s="466"/>
      <c r="BE4647" s="467"/>
      <c r="BF4647" s="467"/>
      <c r="BG4647" s="466"/>
      <c r="BH4647" s="466"/>
      <c r="BI4647" s="467"/>
      <c r="BJ4647" s="467"/>
      <c r="BK4647" s="467"/>
      <c r="BL4647" s="467"/>
      <c r="BM4647" s="467"/>
      <c r="BN4647" s="467"/>
      <c r="BO4647" s="467"/>
      <c r="BP4647" s="467"/>
      <c r="BQ4647" s="467"/>
      <c r="BR4647" s="467"/>
      <c r="BS4647" s="467"/>
      <c r="BT4647" s="467"/>
      <c r="BU4647" s="467"/>
      <c r="BV4647" s="467"/>
      <c r="BW4647" s="467"/>
      <c r="BX4647" s="769"/>
      <c r="BY4647" s="769"/>
      <c r="BZ4647" s="769"/>
      <c r="CA4647" s="769"/>
      <c r="CB4647" s="769"/>
      <c r="CC4647" s="769"/>
      <c r="CD4647" s="769"/>
      <c r="CE4647" s="769"/>
      <c r="CF4647" s="769"/>
      <c r="CG4647" s="73"/>
      <c r="CH4647" s="438"/>
      <c r="CI4647" s="416"/>
      <c r="CJ4647" s="73"/>
      <c r="CK4647" s="650"/>
      <c r="CL4647" s="499"/>
      <c r="CM4647" s="650"/>
      <c r="CR4647" s="403"/>
      <c r="CS4647" s="48"/>
      <c r="CT4647"/>
      <c r="CU4647" s="1"/>
      <c r="CV4647" s="1"/>
      <c r="CW4647" s="1"/>
      <c r="CX4647" s="1"/>
      <c r="CY4647"/>
      <c r="CZ4647"/>
      <c r="DA4647" s="48"/>
      <c r="DB4647"/>
      <c r="DC4647"/>
      <c r="DD4647"/>
      <c r="DE4647"/>
      <c r="DF4647"/>
      <c r="DG4647"/>
      <c r="DH4647"/>
      <c r="DI4647"/>
      <c r="DJ4647"/>
      <c r="DK4647"/>
      <c r="DL4647"/>
      <c r="DM4647"/>
      <c r="DN4647"/>
      <c r="DO4647"/>
      <c r="DP4647"/>
      <c r="DQ4647"/>
    </row>
    <row r="4648" spans="1:126" s="45" customFormat="1" x14ac:dyDescent="0.2">
      <c r="A4648" s="650"/>
      <c r="B4648" s="438"/>
      <c r="C4648"/>
      <c r="D4648" s="73"/>
      <c r="E4648" s="48"/>
      <c r="F4648" s="48"/>
      <c r="G4648" s="1"/>
      <c r="H4648"/>
      <c r="I4648" s="2"/>
      <c r="J4648" s="72"/>
      <c r="K4648" s="72"/>
      <c r="L4648" s="499"/>
      <c r="M4648" s="1"/>
      <c r="N4648" s="499"/>
      <c r="O4648" s="1"/>
      <c r="P4648" s="1"/>
      <c r="Q4648" s="1"/>
      <c r="R4648" s="3"/>
      <c r="S4648" s="3"/>
      <c r="T4648" s="3"/>
      <c r="U4648" s="400"/>
      <c r="V4648" s="400"/>
      <c r="W4648" s="732"/>
      <c r="X4648" s="24"/>
      <c r="Y4648" s="509"/>
      <c r="Z4648" s="466"/>
      <c r="AA4648" s="466"/>
      <c r="AB4648" s="466"/>
      <c r="AC4648" s="466"/>
      <c r="AD4648" s="466"/>
      <c r="AE4648" s="466"/>
      <c r="AF4648" s="466"/>
      <c r="AG4648" s="466"/>
      <c r="AH4648" s="466"/>
      <c r="AI4648" s="466"/>
      <c r="AJ4648" s="466"/>
      <c r="AK4648" s="466"/>
      <c r="AL4648" s="466"/>
      <c r="AM4648" s="466"/>
      <c r="AN4648" s="466"/>
      <c r="AO4648" s="466"/>
      <c r="AP4648" s="466"/>
      <c r="AQ4648" s="466"/>
      <c r="AR4648" s="466"/>
      <c r="AS4648" s="466"/>
      <c r="AT4648" s="466"/>
      <c r="AU4648" s="466"/>
      <c r="AV4648" s="466"/>
      <c r="AW4648" s="466"/>
      <c r="AX4648" s="466"/>
      <c r="AY4648" s="466"/>
      <c r="AZ4648" s="466"/>
      <c r="BA4648" s="466"/>
      <c r="BB4648" s="466"/>
      <c r="BC4648" s="466"/>
      <c r="BD4648" s="466"/>
      <c r="BE4648" s="467"/>
      <c r="BF4648" s="467"/>
      <c r="BG4648" s="466"/>
      <c r="BH4648" s="466"/>
      <c r="BI4648" s="467"/>
      <c r="BJ4648" s="467"/>
      <c r="BK4648" s="467"/>
      <c r="BL4648" s="467"/>
      <c r="BM4648" s="467"/>
      <c r="BN4648" s="467"/>
      <c r="BO4648" s="467"/>
      <c r="BP4648" s="467"/>
      <c r="BQ4648" s="467"/>
      <c r="BR4648" s="467"/>
      <c r="BS4648" s="467"/>
      <c r="BT4648" s="467"/>
      <c r="BU4648" s="467"/>
      <c r="BV4648" s="467"/>
      <c r="BW4648" s="467"/>
      <c r="BX4648" s="769"/>
      <c r="BY4648" s="769"/>
      <c r="BZ4648" s="769"/>
      <c r="CA4648" s="769"/>
      <c r="CB4648" s="769"/>
      <c r="CC4648" s="769"/>
      <c r="CD4648" s="769"/>
      <c r="CE4648" s="769"/>
      <c r="CF4648" s="769"/>
      <c r="CG4648" s="73"/>
      <c r="CH4648" s="438"/>
      <c r="CI4648" s="416"/>
      <c r="CJ4648" s="73"/>
      <c r="CK4648" s="650"/>
      <c r="CL4648" s="499"/>
      <c r="CM4648" s="650"/>
      <c r="CR4648" s="403"/>
      <c r="CS4648" s="48"/>
      <c r="CT4648"/>
      <c r="CU4648" s="1"/>
      <c r="CV4648" s="1"/>
      <c r="CW4648" s="1"/>
      <c r="CX4648" s="1"/>
      <c r="CY4648"/>
      <c r="CZ4648"/>
      <c r="DA4648" s="48"/>
      <c r="DB4648"/>
      <c r="DC4648"/>
      <c r="DD4648"/>
      <c r="DE4648"/>
      <c r="DF4648"/>
      <c r="DG4648"/>
      <c r="DH4648"/>
      <c r="DI4648"/>
      <c r="DJ4648"/>
      <c r="DK4648"/>
      <c r="DL4648"/>
      <c r="DM4648"/>
      <c r="DN4648"/>
      <c r="DO4648"/>
      <c r="DP4648"/>
      <c r="DQ4648"/>
    </row>
    <row r="4649" spans="1:126" s="45" customFormat="1" x14ac:dyDescent="0.2">
      <c r="A4649" s="650"/>
      <c r="B4649" s="438"/>
      <c r="C4649"/>
      <c r="D4649" s="73"/>
      <c r="E4649" s="48"/>
      <c r="F4649" s="48"/>
      <c r="G4649" s="1"/>
      <c r="H4649"/>
      <c r="I4649" s="2"/>
      <c r="J4649" s="72"/>
      <c r="K4649" s="72"/>
      <c r="L4649" s="499"/>
      <c r="M4649" s="1"/>
      <c r="N4649" s="499"/>
      <c r="O4649" s="1"/>
      <c r="P4649" s="1"/>
      <c r="Q4649" s="1"/>
      <c r="R4649" s="3"/>
      <c r="S4649" s="3"/>
      <c r="T4649" s="3"/>
      <c r="U4649" s="400"/>
      <c r="V4649" s="400"/>
      <c r="W4649" s="732"/>
      <c r="X4649" s="24"/>
      <c r="Y4649" s="509"/>
      <c r="Z4649" s="466"/>
      <c r="AA4649" s="466"/>
      <c r="AB4649" s="466"/>
      <c r="AC4649" s="466"/>
      <c r="AD4649" s="466"/>
      <c r="AE4649" s="466"/>
      <c r="AF4649" s="466"/>
      <c r="AG4649" s="466"/>
      <c r="AH4649" s="466"/>
      <c r="AI4649" s="466"/>
      <c r="AJ4649" s="466"/>
      <c r="AK4649" s="466"/>
      <c r="AL4649" s="466"/>
      <c r="AM4649" s="466"/>
      <c r="AN4649" s="466"/>
      <c r="AO4649" s="466"/>
      <c r="AP4649" s="466"/>
      <c r="AQ4649" s="466"/>
      <c r="AR4649" s="466"/>
      <c r="AS4649" s="466"/>
      <c r="AT4649" s="466"/>
      <c r="AU4649" s="466"/>
      <c r="AV4649" s="466"/>
      <c r="AW4649" s="466"/>
      <c r="AX4649" s="466"/>
      <c r="AY4649" s="466"/>
      <c r="AZ4649" s="466"/>
      <c r="BA4649" s="466"/>
      <c r="BB4649" s="466"/>
      <c r="BC4649" s="466"/>
      <c r="BD4649" s="466"/>
      <c r="BE4649" s="467"/>
      <c r="BF4649" s="467"/>
      <c r="BG4649" s="466"/>
      <c r="BH4649" s="466"/>
      <c r="BI4649" s="467"/>
      <c r="BJ4649" s="467"/>
      <c r="BK4649" s="467"/>
      <c r="BL4649" s="467"/>
      <c r="BM4649" s="467"/>
      <c r="BN4649" s="467"/>
      <c r="BO4649" s="467"/>
      <c r="BP4649" s="467"/>
      <c r="BQ4649" s="467"/>
      <c r="BR4649" s="467"/>
      <c r="BS4649" s="467"/>
      <c r="BT4649" s="467"/>
      <c r="BU4649" s="467"/>
      <c r="BV4649" s="467"/>
      <c r="BW4649" s="467"/>
      <c r="BX4649" s="769"/>
      <c r="BY4649" s="769"/>
      <c r="BZ4649" s="769"/>
      <c r="CA4649" s="769"/>
      <c r="CB4649" s="769"/>
      <c r="CC4649" s="769"/>
      <c r="CD4649" s="769"/>
      <c r="CE4649" s="769"/>
      <c r="CF4649" s="769"/>
      <c r="CG4649" s="73"/>
      <c r="CH4649" s="438"/>
      <c r="CI4649" s="416"/>
      <c r="CJ4649" s="73"/>
      <c r="CK4649" s="650"/>
      <c r="CL4649" s="499"/>
      <c r="CM4649" s="650"/>
      <c r="CR4649" s="403"/>
      <c r="CS4649" s="48"/>
      <c r="CT4649"/>
      <c r="CU4649" s="1"/>
      <c r="CV4649" s="1"/>
      <c r="CW4649" s="1"/>
      <c r="CX4649" s="1"/>
      <c r="CY4649"/>
      <c r="CZ4649"/>
      <c r="DA4649" s="48"/>
      <c r="DB4649"/>
      <c r="DC4649"/>
      <c r="DD4649"/>
      <c r="DE4649"/>
      <c r="DF4649"/>
      <c r="DG4649"/>
      <c r="DH4649"/>
      <c r="DI4649"/>
      <c r="DJ4649"/>
      <c r="DK4649"/>
      <c r="DL4649"/>
      <c r="DM4649"/>
      <c r="DN4649"/>
      <c r="DO4649"/>
      <c r="DP4649"/>
      <c r="DQ4649"/>
      <c r="DR4649"/>
      <c r="DS4649"/>
      <c r="DT4649"/>
      <c r="DU4649"/>
      <c r="DV4649"/>
    </row>
    <row r="4650" spans="1:126" s="45" customFormat="1" x14ac:dyDescent="0.2">
      <c r="A4650" s="48"/>
      <c r="B4650" s="418"/>
      <c r="C4650"/>
      <c r="D4650" s="73"/>
      <c r="E4650" s="48"/>
      <c r="F4650" s="48"/>
      <c r="G4650" s="1"/>
      <c r="H4650"/>
      <c r="I4650" s="2"/>
      <c r="J4650" s="72"/>
      <c r="K4650" s="72"/>
      <c r="L4650" s="490"/>
      <c r="M4650" s="1"/>
      <c r="N4650" s="499"/>
      <c r="O4650" s="1"/>
      <c r="P4650" s="1"/>
      <c r="Q4650" s="1"/>
      <c r="R4650" s="3"/>
      <c r="S4650" s="3"/>
      <c r="T4650" s="3"/>
      <c r="U4650" s="400"/>
      <c r="V4650" s="400"/>
      <c r="W4650" s="732"/>
      <c r="X4650" s="24"/>
      <c r="Y4650" s="509"/>
      <c r="Z4650" s="466"/>
      <c r="AA4650" s="466"/>
      <c r="AB4650" s="466"/>
      <c r="AC4650" s="466"/>
      <c r="AD4650" s="466"/>
      <c r="AE4650" s="466"/>
      <c r="AF4650" s="466"/>
      <c r="AG4650" s="466"/>
      <c r="AH4650" s="466"/>
      <c r="AI4650" s="466"/>
      <c r="AJ4650" s="466"/>
      <c r="AK4650" s="466"/>
      <c r="AL4650" s="466"/>
      <c r="AM4650" s="466"/>
      <c r="AN4650" s="466"/>
      <c r="AO4650" s="466"/>
      <c r="AP4650" s="466"/>
      <c r="AQ4650" s="466"/>
      <c r="AR4650" s="466"/>
      <c r="AS4650" s="466"/>
      <c r="AT4650" s="466"/>
      <c r="AU4650" s="466"/>
      <c r="AV4650" s="466"/>
      <c r="AW4650" s="466"/>
      <c r="AX4650" s="466"/>
      <c r="AY4650" s="466"/>
      <c r="AZ4650" s="466"/>
      <c r="BA4650" s="466"/>
      <c r="BB4650" s="466"/>
      <c r="BC4650" s="466"/>
      <c r="BD4650" s="466"/>
      <c r="BE4650" s="467"/>
      <c r="BF4650" s="467"/>
      <c r="BG4650" s="466"/>
      <c r="BH4650" s="466"/>
      <c r="BI4650" s="467"/>
      <c r="BJ4650" s="467"/>
      <c r="BK4650" s="467"/>
      <c r="BL4650" s="467"/>
      <c r="BM4650" s="467"/>
      <c r="BN4650" s="467"/>
      <c r="BO4650" s="467"/>
      <c r="BP4650" s="467"/>
      <c r="BQ4650" s="467"/>
      <c r="BR4650" s="467"/>
      <c r="BS4650" s="467"/>
      <c r="BT4650" s="467"/>
      <c r="BU4650" s="467"/>
      <c r="BV4650" s="467"/>
      <c r="BW4650" s="467"/>
      <c r="BX4650" s="766"/>
      <c r="BY4650" s="769"/>
      <c r="BZ4650" s="769"/>
      <c r="CA4650" s="769"/>
      <c r="CB4650" s="769"/>
      <c r="CC4650" s="769"/>
      <c r="CD4650" s="769"/>
      <c r="CE4650" s="769"/>
      <c r="CF4650" s="769"/>
      <c r="CG4650" s="73"/>
      <c r="CH4650" s="438"/>
      <c r="CI4650" s="416"/>
      <c r="CJ4650" s="73"/>
      <c r="CK4650" s="650"/>
      <c r="CL4650" s="499"/>
      <c r="CM4650" s="650"/>
      <c r="CR4650" s="403"/>
      <c r="CS4650" s="48"/>
      <c r="CT4650"/>
      <c r="CU4650" s="1"/>
      <c r="CV4650" s="1"/>
      <c r="CW4650" s="1"/>
      <c r="CX4650" s="1"/>
      <c r="CY4650"/>
      <c r="CZ4650"/>
      <c r="DA4650" s="48"/>
      <c r="DB4650"/>
      <c r="DC4650"/>
      <c r="DD4650"/>
      <c r="DE4650"/>
      <c r="DF4650"/>
      <c r="DG4650"/>
      <c r="DH4650"/>
      <c r="DI4650"/>
      <c r="DJ4650"/>
      <c r="DK4650"/>
      <c r="DL4650"/>
      <c r="DM4650"/>
      <c r="DN4650"/>
      <c r="DO4650"/>
      <c r="DP4650"/>
      <c r="DQ4650"/>
      <c r="DR4650"/>
      <c r="DS4650"/>
      <c r="DT4650"/>
      <c r="DU4650"/>
      <c r="DV4650"/>
    </row>
    <row r="4651" spans="1:126" x14ac:dyDescent="0.2">
      <c r="D4651" s="73"/>
      <c r="CG4651" s="73"/>
      <c r="CH4651" s="438"/>
      <c r="CI4651" s="416"/>
      <c r="CJ4651" s="73"/>
      <c r="CK4651" s="650"/>
      <c r="CL4651" s="499"/>
    </row>
    <row r="4652" spans="1:126" x14ac:dyDescent="0.2">
      <c r="D4652" s="73"/>
      <c r="CG4652" s="73"/>
      <c r="CH4652" s="438"/>
      <c r="CI4652" s="416"/>
      <c r="CJ4652" s="73"/>
      <c r="CK4652" s="650"/>
      <c r="CL4652" s="499"/>
    </row>
  </sheetData>
  <sortState ref="CR626:DA770">
    <sortCondition ref="CT626:CT770"/>
    <sortCondition ref="CS626:CS770"/>
    <sortCondition ref="CR626:CR770"/>
  </sortState>
  <mergeCells count="27">
    <mergeCell ref="O2:R2"/>
    <mergeCell ref="BA2:BB2"/>
    <mergeCell ref="AW2:AX2"/>
    <mergeCell ref="BI2:BJ2"/>
    <mergeCell ref="BQ2:BR2"/>
    <mergeCell ref="AI2:AJ2"/>
    <mergeCell ref="BC2:BD2"/>
    <mergeCell ref="BE2:BF2"/>
    <mergeCell ref="BK2:BL2"/>
    <mergeCell ref="AY2:AZ2"/>
    <mergeCell ref="BG2:BH2"/>
    <mergeCell ref="BV2:BW2"/>
    <mergeCell ref="AA2:AB2"/>
    <mergeCell ref="N1:X1"/>
    <mergeCell ref="Y2:Z2"/>
    <mergeCell ref="AE2:AF2"/>
    <mergeCell ref="AK2:AL2"/>
    <mergeCell ref="AG2:AH2"/>
    <mergeCell ref="AC2:AD2"/>
    <mergeCell ref="AQ2:AR2"/>
    <mergeCell ref="AM2:AN2"/>
    <mergeCell ref="AO2:AP2"/>
    <mergeCell ref="BS2:BT2"/>
    <mergeCell ref="BM2:BN2"/>
    <mergeCell ref="BO2:BP2"/>
    <mergeCell ref="AS2:AT2"/>
    <mergeCell ref="AU2:AV2"/>
  </mergeCells>
  <hyperlinks>
    <hyperlink ref="CH633" r:id="rId1" xr:uid="{00000000-0004-0000-0000-000000000000}"/>
    <hyperlink ref="CH414" r:id="rId2" location="stdy" xr:uid="{00000000-0004-0000-0000-000001000000}"/>
    <hyperlink ref="CH329" r:id="rId3" xr:uid="{00000000-0004-0000-0000-000002000000}"/>
    <hyperlink ref="CH474" r:id="rId4" xr:uid="{00000000-0004-0000-0000-000003000000}"/>
    <hyperlink ref="CH502" r:id="rId5" xr:uid="{00000000-0004-0000-0000-000004000000}"/>
    <hyperlink ref="CH532" r:id="rId6" xr:uid="{00000000-0004-0000-0000-000005000000}"/>
    <hyperlink ref="CH116" r:id="rId7" xr:uid="{00000000-0004-0000-0000-000006000000}"/>
    <hyperlink ref="CH272" r:id="rId8" xr:uid="{00000000-0004-0000-0000-000007000000}"/>
    <hyperlink ref="CH524" r:id="rId9" xr:uid="{00000000-0004-0000-0000-000008000000}"/>
    <hyperlink ref="CH270" r:id="rId10" xr:uid="{00000000-0004-0000-0000-000009000000}"/>
    <hyperlink ref="CH269" r:id="rId11" xr:uid="{00000000-0004-0000-0000-00000A000000}"/>
    <hyperlink ref="CH430" r:id="rId12" xr:uid="{00000000-0004-0000-0000-00000B000000}"/>
    <hyperlink ref="CH429" r:id="rId13" xr:uid="{00000000-0004-0000-0000-00000C000000}"/>
    <hyperlink ref="CH428" r:id="rId14" xr:uid="{00000000-0004-0000-0000-00000D000000}"/>
    <hyperlink ref="CH351" r:id="rId15" xr:uid="{00000000-0004-0000-0000-00000E000000}"/>
    <hyperlink ref="CH668" r:id="rId16" display="http://webapps01.un.org/vawdatabase/searchDetail.action?measureId=27929" xr:uid="{00000000-0004-0000-0000-00000F000000}"/>
    <hyperlink ref="CH105" r:id="rId17" display="http://td.rsmjournals.com/cgi/content/abstract/38/1/52" xr:uid="{00000000-0004-0000-0000-000010000000}"/>
    <hyperlink ref="CH49" r:id="rId18" xr:uid="{00000000-0004-0000-0000-000011000000}"/>
    <hyperlink ref="CH647" r:id="rId19" xr:uid="{00000000-0004-0000-0000-000012000000}"/>
    <hyperlink ref="CH649" r:id="rId20" xr:uid="{00000000-0004-0000-0000-000013000000}"/>
    <hyperlink ref="CH650" r:id="rId21" xr:uid="{00000000-0004-0000-0000-000014000000}"/>
    <hyperlink ref="CH451" r:id="rId22" xr:uid="{00000000-0004-0000-0000-000015000000}"/>
    <hyperlink ref="CH658" r:id="rId23" xr:uid="{00000000-0004-0000-0000-000016000000}"/>
    <hyperlink ref="CH646" r:id="rId24" xr:uid="{00000000-0004-0000-0000-000017000000}"/>
    <hyperlink ref="CH648" r:id="rId25" xr:uid="{00000000-0004-0000-0000-000018000000}"/>
    <hyperlink ref="CH63" r:id="rId26" xr:uid="{00000000-0004-0000-0000-000019000000}"/>
    <hyperlink ref="CH642" r:id="rId27" xr:uid="{00000000-0004-0000-0000-00001A000000}"/>
    <hyperlink ref="CH644" r:id="rId28" xr:uid="{00000000-0004-0000-0000-00001B000000}"/>
    <hyperlink ref="CH12" r:id="rId29" xr:uid="{00000000-0004-0000-0000-00001C000000}"/>
    <hyperlink ref="CH638" r:id="rId30" xr:uid="{00000000-0004-0000-0000-00001D000000}"/>
    <hyperlink ref="CH635" r:id="rId31" xr:uid="{00000000-0004-0000-0000-00001E000000}"/>
    <hyperlink ref="CH637" r:id="rId32" xr:uid="{00000000-0004-0000-0000-00001F000000}"/>
    <hyperlink ref="CH667" r:id="rId33" xr:uid="{00000000-0004-0000-0000-000020000000}"/>
    <hyperlink ref="CH666" r:id="rId34" xr:uid="{00000000-0004-0000-0000-000021000000}"/>
    <hyperlink ref="CH663" r:id="rId35" xr:uid="{00000000-0004-0000-0000-000022000000}"/>
    <hyperlink ref="CH661" r:id="rId36" xr:uid="{00000000-0004-0000-0000-000023000000}"/>
    <hyperlink ref="CH660" r:id="rId37" xr:uid="{00000000-0004-0000-0000-000024000000}"/>
    <hyperlink ref="CH659" r:id="rId38" xr:uid="{00000000-0004-0000-0000-000025000000}"/>
    <hyperlink ref="CH657" r:id="rId39" xr:uid="{00000000-0004-0000-0000-000026000000}"/>
    <hyperlink ref="CH656" r:id="rId40" xr:uid="{00000000-0004-0000-0000-000027000000}"/>
    <hyperlink ref="CH655" r:id="rId41" xr:uid="{00000000-0004-0000-0000-000028000000}"/>
    <hyperlink ref="CH653" r:id="rId42" xr:uid="{00000000-0004-0000-0000-000029000000}"/>
    <hyperlink ref="CH628" r:id="rId43" xr:uid="{00000000-0004-0000-0000-00002A000000}"/>
    <hyperlink ref="CH629" r:id="rId44" location="top" display="www.infoforhealth.org/pr/l11/l11tables.shtml#top" xr:uid="{00000000-0004-0000-0000-00002B000000}"/>
    <hyperlink ref="CH634" r:id="rId45" xr:uid="{00000000-0004-0000-0000-00002C000000}"/>
    <hyperlink ref="CH639" r:id="rId46" location="internatsurvey" xr:uid="{00000000-0004-0000-0000-00002D000000}"/>
    <hyperlink ref="CH467" r:id="rId47" xr:uid="{00000000-0004-0000-0000-00002E000000}"/>
    <hyperlink ref="CH652" r:id="rId48" location="00000386.htm" xr:uid="{00000000-0004-0000-0000-00002F000000}"/>
    <hyperlink ref="CH636" r:id="rId49" xr:uid="{00000000-0004-0000-0000-000030000000}"/>
    <hyperlink ref="CH737" r:id="rId50" display="http://www.eclac.org/publicaciones/xml/4/32194/Nomore.pdf" xr:uid="{00000000-0004-0000-0000-000031000000}"/>
    <hyperlink ref="CH631" r:id="rId51" xr:uid="{00000000-0004-0000-0000-000032000000}"/>
    <hyperlink ref="CH632" r:id="rId52" xr:uid="{00000000-0004-0000-0000-000033000000}"/>
    <hyperlink ref="CH418" r:id="rId53" display="http://aje.oxfordjournals.org/cgi/reprint/160/3/230" xr:uid="{00000000-0004-0000-0000-000034000000}"/>
    <hyperlink ref="CH643" r:id="rId54" display="http://webapps01.un.org/vawdatabase/searchDetail.action?measureId=17400" xr:uid="{00000000-0004-0000-0000-000035000000}"/>
    <hyperlink ref="CH415" r:id="rId55" location="stdy" xr:uid="{00000000-0004-0000-0000-000036000000}"/>
    <hyperlink ref="CH416" r:id="rId56" location="stdy" xr:uid="{00000000-0004-0000-0000-000037000000}"/>
    <hyperlink ref="CH664" r:id="rId57" xr:uid="{00000000-0004-0000-0000-000038000000}"/>
    <hyperlink ref="CH640" r:id="rId58" xr:uid="{00000000-0004-0000-0000-000039000000}"/>
    <hyperlink ref="CH355" r:id="rId59" xr:uid="{00000000-0004-0000-0000-00003A000000}"/>
    <hyperlink ref="CH480" r:id="rId60" xr:uid="{00000000-0004-0000-0000-00003B000000}"/>
    <hyperlink ref="CH390" r:id="rId61" xr:uid="{00000000-0004-0000-0000-00003C000000}"/>
    <hyperlink ref="CH673" r:id="rId62" xr:uid="{00000000-0004-0000-0000-00003D000000}"/>
    <hyperlink ref="CH325" r:id="rId63" xr:uid="{00000000-0004-0000-0000-00003E000000}"/>
    <hyperlink ref="CH678" r:id="rId64" xr:uid="{00000000-0004-0000-0000-00003F000000}"/>
    <hyperlink ref="CH679" r:id="rId65" xr:uid="{00000000-0004-0000-0000-000040000000}"/>
    <hyperlink ref="CH680" r:id="rId66" xr:uid="{00000000-0004-0000-0000-000041000000}"/>
    <hyperlink ref="CH681" r:id="rId67" xr:uid="{00000000-0004-0000-0000-000042000000}"/>
    <hyperlink ref="CH682" r:id="rId68" xr:uid="{00000000-0004-0000-0000-000043000000}"/>
    <hyperlink ref="CH683" r:id="rId69" xr:uid="{00000000-0004-0000-0000-000044000000}"/>
    <hyperlink ref="CH630" r:id="rId70" xr:uid="{00000000-0004-0000-0000-000045000000}"/>
    <hyperlink ref="CH684" r:id="rId71" xr:uid="{00000000-0004-0000-0000-000046000000}"/>
    <hyperlink ref="CK629" r:id="rId72" location="top" display="www.infoforhealth.org/pr/l11/l11tables.shtml#top" xr:uid="{00000000-0004-0000-0000-000047000000}"/>
    <hyperlink ref="CH665" r:id="rId73" xr:uid="{00000000-0004-0000-0000-000048000000}"/>
    <hyperlink ref="CH515" r:id="rId74" xr:uid="{00000000-0004-0000-0000-000049000000}"/>
    <hyperlink ref="CH511" r:id="rId75" xr:uid="{00000000-0004-0000-0000-00004A000000}"/>
    <hyperlink ref="CH431" r:id="rId76" xr:uid="{00000000-0004-0000-0000-00004B000000}"/>
    <hyperlink ref="CH333" r:id="rId77" xr:uid="{00000000-0004-0000-0000-00004C000000}"/>
    <hyperlink ref="CH337" r:id="rId78" xr:uid="{00000000-0004-0000-0000-00004D000000}"/>
    <hyperlink ref="CH313" r:id="rId79" xr:uid="{00000000-0004-0000-0000-00004E000000}"/>
    <hyperlink ref="CH303" r:id="rId80" xr:uid="{00000000-0004-0000-0000-00004F000000}"/>
    <hyperlink ref="CH13" r:id="rId81" xr:uid="{00000000-0004-0000-0000-000050000000}"/>
    <hyperlink ref="CH14" r:id="rId82" xr:uid="{00000000-0004-0000-0000-000051000000}"/>
    <hyperlink ref="CK22" r:id="rId83" xr:uid="{00000000-0004-0000-0000-000052000000}"/>
    <hyperlink ref="CH688" r:id="rId84" display="http://www.usaid.gov/locations/europe_eurasia/dem_gov/docs/domestic_violence_study_final.pdf" xr:uid="{00000000-0004-0000-0000-000053000000}"/>
    <hyperlink ref="CH43" r:id="rId85" xr:uid="{00000000-0004-0000-0000-000054000000}"/>
    <hyperlink ref="CH45" r:id="rId86" xr:uid="{00000000-0004-0000-0000-000055000000}"/>
    <hyperlink ref="CH48" r:id="rId87" xr:uid="{00000000-0004-0000-0000-000056000000}"/>
    <hyperlink ref="CH65" r:id="rId88" xr:uid="{00000000-0004-0000-0000-000057000000}"/>
    <hyperlink ref="CH79" r:id="rId89" xr:uid="{00000000-0004-0000-0000-000058000000}"/>
    <hyperlink ref="CH293" r:id="rId90" xr:uid="{00000000-0004-0000-0000-000059000000}"/>
    <hyperlink ref="CH82" r:id="rId91" xr:uid="{00000000-0004-0000-0000-00005A000000}"/>
    <hyperlink ref="CH436" r:id="rId92" xr:uid="{00000000-0004-0000-0000-00005B000000}"/>
    <hyperlink ref="CH385" r:id="rId93" xr:uid="{00000000-0004-0000-0000-00005C000000}"/>
    <hyperlink ref="CH83" r:id="rId94" xr:uid="{00000000-0004-0000-0000-00005D000000}"/>
    <hyperlink ref="CH85" r:id="rId95" xr:uid="{00000000-0004-0000-0000-00005E000000}"/>
    <hyperlink ref="CM89" r:id="rId96" xr:uid="{00000000-0004-0000-0000-00005F000000}"/>
    <hyperlink ref="CK661" r:id="rId97" display="www.cahrv.uni-osnabrueck.de/conference/SummaryGermanVAWstudy.pdf" xr:uid="{00000000-0004-0000-0000-000060000000}"/>
    <hyperlink ref="CH129" r:id="rId98" xr:uid="{00000000-0004-0000-0000-000061000000}"/>
    <hyperlink ref="CH273" r:id="rId99" xr:uid="{00000000-0004-0000-0000-000062000000}"/>
    <hyperlink ref="CH279" r:id="rId100" xr:uid="{00000000-0004-0000-0000-000063000000}"/>
    <hyperlink ref="CH282" r:id="rId101" xr:uid="{00000000-0004-0000-0000-000064000000}"/>
    <hyperlink ref="CH421" r:id="rId102" xr:uid="{00000000-0004-0000-0000-000065000000}"/>
    <hyperlink ref="CH362" r:id="rId103" xr:uid="{00000000-0004-0000-0000-000066000000}"/>
    <hyperlink ref="CH301" r:id="rId104" xr:uid="{00000000-0004-0000-0000-000067000000}"/>
    <hyperlink ref="CH305" r:id="rId105" location="internatsurvey" xr:uid="{00000000-0004-0000-0000-000068000000}"/>
    <hyperlink ref="CH500" r:id="rId106" xr:uid="{00000000-0004-0000-0000-000069000000}"/>
    <hyperlink ref="CK452" r:id="rId107" xr:uid="{00000000-0004-0000-0000-00006A000000}"/>
    <hyperlink ref="CH450" r:id="rId108" xr:uid="{00000000-0004-0000-0000-00006B000000}"/>
    <hyperlink ref="CH728" r:id="rId109" xr:uid="{00000000-0004-0000-0000-00006C000000}"/>
    <hyperlink ref="CH408" r:id="rId110" xr:uid="{00000000-0004-0000-0000-00006D000000}"/>
    <hyperlink ref="CH404" r:id="rId111" xr:uid="{00000000-0004-0000-0000-00006E000000}"/>
    <hyperlink ref="CH727" r:id="rId112" xr:uid="{00000000-0004-0000-0000-00006F000000}"/>
    <hyperlink ref="CH400" r:id="rId113" xr:uid="{00000000-0004-0000-0000-000070000000}"/>
    <hyperlink ref="CH393" r:id="rId114" xr:uid="{00000000-0004-0000-0000-000071000000}"/>
    <hyperlink ref="CH342" r:id="rId115" xr:uid="{00000000-0004-0000-0000-000072000000}"/>
    <hyperlink ref="CH726" r:id="rId116" xr:uid="{00000000-0004-0000-0000-000073000000}"/>
    <hyperlink ref="CH328" r:id="rId117" xr:uid="{00000000-0004-0000-0000-000074000000}"/>
    <hyperlink ref="CH315" r:id="rId118" xr:uid="{00000000-0004-0000-0000-000075000000}"/>
    <hyperlink ref="CH725" r:id="rId119" xr:uid="{00000000-0004-0000-0000-000076000000}"/>
    <hyperlink ref="CH479" r:id="rId120" xr:uid="{00000000-0004-0000-0000-000077000000}"/>
    <hyperlink ref="CH11" r:id="rId121" xr:uid="{00000000-0004-0000-0000-000078000000}"/>
    <hyperlink ref="CH36" r:id="rId122" xr:uid="{00000000-0004-0000-0000-000079000000}"/>
    <hyperlink ref="CH102" r:id="rId123" xr:uid="{00000000-0004-0000-0000-00007A000000}"/>
    <hyperlink ref="CH52" r:id="rId124" xr:uid="{00000000-0004-0000-0000-00007B000000}"/>
    <hyperlink ref="CH407" r:id="rId125" xr:uid="{00000000-0004-0000-0000-00007C000000}"/>
    <hyperlink ref="CH106" r:id="rId126" xr:uid="{00000000-0004-0000-0000-00007D000000}"/>
    <hyperlink ref="CH730" r:id="rId127" xr:uid="{00000000-0004-0000-0000-00007E000000}"/>
    <hyperlink ref="CH9" r:id="rId128" xr:uid="{00000000-0004-0000-0000-00007F000000}"/>
    <hyperlink ref="CH10" r:id="rId129" xr:uid="{00000000-0004-0000-0000-000080000000}"/>
    <hyperlink ref="CH44" r:id="rId130" xr:uid="{00000000-0004-0000-0000-000081000000}"/>
    <hyperlink ref="CH104" r:id="rId131" xr:uid="{00000000-0004-0000-0000-000082000000}"/>
    <hyperlink ref="CH297" r:id="rId132" xr:uid="{00000000-0004-0000-0000-000083000000}"/>
    <hyperlink ref="CH338" r:id="rId133" xr:uid="{00000000-0004-0000-0000-000084000000}"/>
    <hyperlink ref="CH444" r:id="rId134" xr:uid="{00000000-0004-0000-0000-000085000000}"/>
    <hyperlink ref="CH445" r:id="rId135" xr:uid="{00000000-0004-0000-0000-000086000000}"/>
    <hyperlink ref="CH468" r:id="rId136" xr:uid="{00000000-0004-0000-0000-000087000000}"/>
    <hyperlink ref="CH77" r:id="rId137" xr:uid="{00000000-0004-0000-0000-000088000000}"/>
    <hyperlink ref="CH92" r:id="rId138" xr:uid="{00000000-0004-0000-0000-000089000000}"/>
    <hyperlink ref="CH22" r:id="rId139" xr:uid="{00000000-0004-0000-0000-00008A000000}"/>
    <hyperlink ref="CM26" r:id="rId140" xr:uid="{00000000-0004-0000-0000-00008B000000}"/>
    <hyperlink ref="CH35" r:id="rId141" xr:uid="{00000000-0004-0000-0000-00008C000000}"/>
    <hyperlink ref="CH58" r:id="rId142" xr:uid="{00000000-0004-0000-0000-00008D000000}"/>
    <hyperlink ref="CH8" r:id="rId143" xr:uid="{00000000-0004-0000-0000-00008E000000}"/>
    <hyperlink ref="CH38" r:id="rId144" xr:uid="{00000000-0004-0000-0000-00008F000000}"/>
    <hyperlink ref="CM51" r:id="rId145" xr:uid="{00000000-0004-0000-0000-000090000000}"/>
    <hyperlink ref="CH55" r:id="rId146" xr:uid="{00000000-0004-0000-0000-000091000000}"/>
    <hyperlink ref="CH60" r:id="rId147" xr:uid="{00000000-0004-0000-0000-000092000000}"/>
    <hyperlink ref="CM88" r:id="rId148" xr:uid="{00000000-0004-0000-0000-000093000000}"/>
    <hyperlink ref="CH110" r:id="rId149" xr:uid="{00000000-0004-0000-0000-000094000000}"/>
    <hyperlink ref="CH154:CH155" r:id="rId150" display="www.endvawnow.org/uploads/browser/files/vawprevalence_matrix_june2013.pdf" xr:uid="{00000000-0004-0000-0000-000095000000}"/>
    <hyperlink ref="CH120" r:id="rId151" xr:uid="{00000000-0004-0000-0000-000096000000}"/>
    <hyperlink ref="CM124" r:id="rId152" xr:uid="{00000000-0004-0000-0000-000097000000}"/>
    <hyperlink ref="CH131" r:id="rId153" xr:uid="{00000000-0004-0000-0000-000098000000}"/>
    <hyperlink ref="CH130" r:id="rId154" xr:uid="{00000000-0004-0000-0000-000099000000}"/>
    <hyperlink ref="CM188" r:id="rId155" xr:uid="{00000000-0004-0000-0000-00009A000000}"/>
    <hyperlink ref="CH286" r:id="rId156" xr:uid="{00000000-0004-0000-0000-00009B000000}"/>
    <hyperlink ref="CH309" r:id="rId157" xr:uid="{00000000-0004-0000-0000-00009C000000}"/>
    <hyperlink ref="CH308" r:id="rId158" xr:uid="{00000000-0004-0000-0000-00009D000000}"/>
    <hyperlink ref="CH319" r:id="rId159" xr:uid="{00000000-0004-0000-0000-00009E000000}"/>
    <hyperlink ref="CH320" r:id="rId160" xr:uid="{00000000-0004-0000-0000-00009F000000}"/>
    <hyperlink ref="CH335" r:id="rId161" xr:uid="{00000000-0004-0000-0000-0000A0000000}"/>
    <hyperlink ref="CH487" r:id="rId162" xr:uid="{00000000-0004-0000-0000-0000A1000000}"/>
    <hyperlink ref="CK85" r:id="rId163" xr:uid="{00000000-0004-0000-0000-0000A2000000}"/>
    <hyperlink ref="CM87" r:id="rId164" xr:uid="{00000000-0004-0000-0000-0000A3000000}"/>
    <hyperlink ref="CM95" r:id="rId165" xr:uid="{00000000-0004-0000-0000-0000A4000000}"/>
    <hyperlink ref="CH370" r:id="rId166" xr:uid="{00000000-0004-0000-0000-0000A5000000}"/>
    <hyperlink ref="CH387" r:id="rId167" xr:uid="{00000000-0004-0000-0000-0000A6000000}"/>
    <hyperlink ref="CH441" r:id="rId168" xr:uid="{00000000-0004-0000-0000-0000A7000000}"/>
    <hyperlink ref="CH452" r:id="rId169" xr:uid="{00000000-0004-0000-0000-0000A8000000}"/>
    <hyperlink ref="CH459" r:id="rId170" xr:uid="{00000000-0004-0000-0000-0000A9000000}"/>
    <hyperlink ref="CH461" r:id="rId171" xr:uid="{00000000-0004-0000-0000-0000AA000000}"/>
    <hyperlink ref="CH476" r:id="rId172" xr:uid="{00000000-0004-0000-0000-0000AB000000}"/>
    <hyperlink ref="CH504" r:id="rId173" xr:uid="{00000000-0004-0000-0000-0000AC000000}"/>
    <hyperlink ref="CH23" r:id="rId174" xr:uid="{00000000-0004-0000-0000-0000AD000000}"/>
    <hyperlink ref="CH30" r:id="rId175" xr:uid="{00000000-0004-0000-0000-0000AE000000}"/>
    <hyperlink ref="CH68" r:id="rId176" xr:uid="{00000000-0004-0000-0000-0000AF000000}"/>
    <hyperlink ref="CH90" r:id="rId177" xr:uid="{00000000-0004-0000-0000-0000B0000000}"/>
    <hyperlink ref="CH100" r:id="rId178" xr:uid="{00000000-0004-0000-0000-0000B1000000}"/>
    <hyperlink ref="CH108" r:id="rId179" xr:uid="{00000000-0004-0000-0000-0000B2000000}"/>
    <hyperlink ref="CH276" r:id="rId180" xr:uid="{00000000-0004-0000-0000-0000B3000000}"/>
    <hyperlink ref="CH363" r:id="rId181" xr:uid="{00000000-0004-0000-0000-0000B4000000}"/>
    <hyperlink ref="CH298" r:id="rId182" xr:uid="{00000000-0004-0000-0000-0000B5000000}"/>
    <hyperlink ref="CH358" r:id="rId183" xr:uid="{00000000-0004-0000-0000-0000B6000000}"/>
    <hyperlink ref="CH98" r:id="rId184" xr:uid="{00000000-0004-0000-0000-0000B7000000}"/>
    <hyperlink ref="CH64" r:id="rId185" xr:uid="{00000000-0004-0000-0000-0000B8000000}"/>
    <hyperlink ref="CH54" r:id="rId186" xr:uid="{00000000-0004-0000-0000-0000B9000000}"/>
    <hyperlink ref="CH392" r:id="rId187" xr:uid="{00000000-0004-0000-0000-0000BA000000}"/>
    <hyperlink ref="CH267" r:id="rId188" xr:uid="{00000000-0004-0000-0000-0000BB000000}"/>
    <hyperlink ref="CH268" r:id="rId189" xr:uid="{00000000-0004-0000-0000-0000BC000000}"/>
    <hyperlink ref="CH192" r:id="rId190" xr:uid="{00000000-0004-0000-0000-0000BD000000}"/>
    <hyperlink ref="CH194" r:id="rId191" xr:uid="{00000000-0004-0000-0000-0000BE000000}"/>
    <hyperlink ref="CH136" r:id="rId192" xr:uid="{00000000-0004-0000-0000-0000BF000000}"/>
    <hyperlink ref="CH187" r:id="rId193" xr:uid="{00000000-0004-0000-0000-0000C0000000}"/>
    <hyperlink ref="CH132" r:id="rId194" xr:uid="{00000000-0004-0000-0000-0000C1000000}"/>
    <hyperlink ref="CH149" r:id="rId195" xr:uid="{00000000-0004-0000-0000-0000C2000000}"/>
    <hyperlink ref="CH154" r:id="rId196" xr:uid="{00000000-0004-0000-0000-0000C3000000}"/>
    <hyperlink ref="CH568" r:id="rId197" xr:uid="{00000000-0004-0000-0000-0000C4000000}"/>
    <hyperlink ref="CH567" r:id="rId198" xr:uid="{00000000-0004-0000-0000-0000C5000000}"/>
    <hyperlink ref="CH570" r:id="rId199" xr:uid="{00000000-0004-0000-0000-0000C6000000}"/>
    <hyperlink ref="CH571" r:id="rId200" xr:uid="{00000000-0004-0000-0000-0000C7000000}"/>
    <hyperlink ref="CH572" r:id="rId201" xr:uid="{00000000-0004-0000-0000-0000C8000000}"/>
    <hyperlink ref="CH573" r:id="rId202" xr:uid="{00000000-0004-0000-0000-0000C9000000}"/>
    <hyperlink ref="CH574" r:id="rId203" xr:uid="{00000000-0004-0000-0000-0000CA000000}"/>
    <hyperlink ref="CH180" r:id="rId204" xr:uid="{00000000-0004-0000-0000-0000CB000000}"/>
    <hyperlink ref="CH181" r:id="rId205" xr:uid="{00000000-0004-0000-0000-0000CC000000}"/>
    <hyperlink ref="CH148" r:id="rId206" xr:uid="{00000000-0004-0000-0000-0000CD000000}"/>
    <hyperlink ref="CH575" r:id="rId207" xr:uid="{00000000-0004-0000-0000-0000CE000000}"/>
    <hyperlink ref="CH189" r:id="rId208" xr:uid="{00000000-0004-0000-0000-0000CF000000}"/>
    <hyperlink ref="CH178" r:id="rId209" xr:uid="{00000000-0004-0000-0000-0000D0000000}"/>
    <hyperlink ref="CH179" r:id="rId210" xr:uid="{00000000-0004-0000-0000-0000D1000000}"/>
    <hyperlink ref="CH207" r:id="rId211" xr:uid="{00000000-0004-0000-0000-0000D2000000}"/>
    <hyperlink ref="CH196" r:id="rId212" xr:uid="{00000000-0004-0000-0000-0000D3000000}"/>
    <hyperlink ref="CH140" r:id="rId213" xr:uid="{00000000-0004-0000-0000-0000D4000000}"/>
    <hyperlink ref="CH205" r:id="rId214" xr:uid="{00000000-0004-0000-0000-0000D5000000}"/>
    <hyperlink ref="CH210" r:id="rId215" xr:uid="{00000000-0004-0000-0000-0000D6000000}"/>
    <hyperlink ref="CH172" r:id="rId216" xr:uid="{00000000-0004-0000-0000-0000D7000000}"/>
    <hyperlink ref="CH162" r:id="rId217" xr:uid="{00000000-0004-0000-0000-0000D8000000}"/>
    <hyperlink ref="CH155" r:id="rId218" xr:uid="{00000000-0004-0000-0000-0000D9000000}"/>
    <hyperlink ref="CH153" r:id="rId219" xr:uid="{00000000-0004-0000-0000-0000DA000000}"/>
    <hyperlink ref="CH156" r:id="rId220" xr:uid="{00000000-0004-0000-0000-0000DB000000}"/>
    <hyperlink ref="CH211" r:id="rId221" xr:uid="{00000000-0004-0000-0000-0000DC000000}"/>
    <hyperlink ref="CH193" r:id="rId222" xr:uid="{00000000-0004-0000-0000-0000DD000000}"/>
    <hyperlink ref="CH173" r:id="rId223" xr:uid="{00000000-0004-0000-0000-0000DE000000}"/>
    <hyperlink ref="CH141" r:id="rId224" xr:uid="{00000000-0004-0000-0000-0000DF000000}"/>
    <hyperlink ref="CH152" r:id="rId225" xr:uid="{00000000-0004-0000-0000-0000E0000000}"/>
    <hyperlink ref="CM74" r:id="rId226" xr:uid="{00000000-0004-0000-0000-0000E1000000}"/>
    <hyperlink ref="CH235" r:id="rId227" xr:uid="{00000000-0004-0000-0000-0000E2000000}"/>
    <hyperlink ref="CH213" r:id="rId228" xr:uid="{00000000-0004-0000-0000-0000E3000000}"/>
    <hyperlink ref="CH621" r:id="rId229" xr:uid="{00000000-0004-0000-0000-0000E4000000}"/>
    <hyperlink ref="CH166" r:id="rId230" xr:uid="{00000000-0004-0000-0000-0000E5000000}"/>
    <hyperlink ref="CM173" r:id="rId231" xr:uid="{00000000-0004-0000-0000-0000E6000000}"/>
    <hyperlink ref="CH175" r:id="rId232" xr:uid="{00000000-0004-0000-0000-0000E7000000}"/>
    <hyperlink ref="CH176" r:id="rId233" xr:uid="{00000000-0004-0000-0000-0000E8000000}"/>
    <hyperlink ref="CH143" r:id="rId234" xr:uid="{00000000-0004-0000-0000-0000E9000000}"/>
    <hyperlink ref="CH157" r:id="rId235" xr:uid="{00000000-0004-0000-0000-0000EA000000}"/>
    <hyperlink ref="CH209" r:id="rId236" xr:uid="{00000000-0004-0000-0000-0000EB000000}"/>
    <hyperlink ref="CH228" r:id="rId237" xr:uid="{00000000-0004-0000-0000-0000EC000000}"/>
    <hyperlink ref="CH135" r:id="rId238" xr:uid="{00000000-0004-0000-0000-0000ED000000}"/>
    <hyperlink ref="CH606" r:id="rId239" xr:uid="{00000000-0004-0000-0000-0000EE000000}"/>
    <hyperlink ref="CH133" r:id="rId240" xr:uid="{00000000-0004-0000-0000-0000EF000000}"/>
    <hyperlink ref="CH134" r:id="rId241" xr:uid="{00000000-0004-0000-0000-0000F0000000}"/>
    <hyperlink ref="CH171" r:id="rId242" xr:uid="{00000000-0004-0000-0000-0000F1000000}"/>
    <hyperlink ref="CH138" r:id="rId243" xr:uid="{00000000-0004-0000-0000-0000F2000000}"/>
    <hyperlink ref="CH139" r:id="rId244" xr:uid="{00000000-0004-0000-0000-0000F3000000}"/>
    <hyperlink ref="CH184" r:id="rId245" xr:uid="{00000000-0004-0000-0000-0000F4000000}"/>
    <hyperlink ref="CH185" r:id="rId246" xr:uid="{00000000-0004-0000-0000-0000F5000000}"/>
    <hyperlink ref="CH186" r:id="rId247" xr:uid="{00000000-0004-0000-0000-0000F6000000}"/>
    <hyperlink ref="CH150" r:id="rId248" xr:uid="{00000000-0004-0000-0000-0000F7000000}"/>
    <hyperlink ref="CH198" r:id="rId249" xr:uid="{00000000-0004-0000-0000-0000F8000000}"/>
    <hyperlink ref="CH212" r:id="rId250" xr:uid="{00000000-0004-0000-0000-0000F9000000}"/>
    <hyperlink ref="CH204" r:id="rId251" xr:uid="{00000000-0004-0000-0000-0000FA000000}"/>
    <hyperlink ref="CH208" r:id="rId252" xr:uid="{00000000-0004-0000-0000-0000FB000000}"/>
    <hyperlink ref="CM196" r:id="rId253" xr:uid="{00000000-0004-0000-0000-0000FC000000}"/>
    <hyperlink ref="CM235" r:id="rId254" xr:uid="{00000000-0004-0000-0000-0000FD000000}"/>
    <hyperlink ref="CH206" r:id="rId255" xr:uid="{00000000-0004-0000-0000-0000FE000000}"/>
    <hyperlink ref="CH577" r:id="rId256" xr:uid="{00000000-0004-0000-0000-0000FF000000}"/>
    <hyperlink ref="CH616" r:id="rId257" xr:uid="{00000000-0004-0000-0000-000000010000}"/>
    <hyperlink ref="CH583" r:id="rId258" xr:uid="{00000000-0004-0000-0000-000001010000}"/>
    <hyperlink ref="CH260" r:id="rId259" xr:uid="{00000000-0004-0000-0000-000002010000}"/>
    <hyperlink ref="CH223" r:id="rId260" xr:uid="{00000000-0004-0000-0000-000003010000}"/>
    <hyperlink ref="CH219" r:id="rId261" xr:uid="{00000000-0004-0000-0000-000004010000}"/>
    <hyperlink ref="CH262" r:id="rId262" xr:uid="{00000000-0004-0000-0000-000005010000}"/>
    <hyperlink ref="CH611" r:id="rId263" xr:uid="{00000000-0004-0000-0000-000006010000}"/>
    <hyperlink ref="CH226" r:id="rId264" xr:uid="{00000000-0004-0000-0000-000007010000}"/>
    <hyperlink ref="CH230" r:id="rId265" xr:uid="{00000000-0004-0000-0000-000008010000}"/>
    <hyperlink ref="CH584" r:id="rId266" xr:uid="{00000000-0004-0000-0000-000009010000}"/>
    <hyperlink ref="CH229" r:id="rId267" xr:uid="{00000000-0004-0000-0000-00000A010000}"/>
    <hyperlink ref="CH617" r:id="rId268" xr:uid="{00000000-0004-0000-0000-00000B010000}"/>
    <hyperlink ref="CH586" r:id="rId269" xr:uid="{00000000-0004-0000-0000-00000C010000}"/>
    <hyperlink ref="CH246" r:id="rId270" xr:uid="{00000000-0004-0000-0000-00000D010000}"/>
    <hyperlink ref="CH612" r:id="rId271" xr:uid="{00000000-0004-0000-0000-00000E010000}"/>
    <hyperlink ref="CH247" r:id="rId272" xr:uid="{00000000-0004-0000-0000-00000F010000}"/>
    <hyperlink ref="CM617" r:id="rId273" xr:uid="{00000000-0004-0000-0000-000010010000}"/>
    <hyperlink ref="CH614" r:id="rId274" xr:uid="{00000000-0004-0000-0000-000011010000}"/>
    <hyperlink ref="CH220" r:id="rId275" xr:uid="{00000000-0004-0000-0000-000012010000}"/>
    <hyperlink ref="CH587" r:id="rId276" xr:uid="{00000000-0004-0000-0000-000013010000}"/>
    <hyperlink ref="CH588" r:id="rId277" xr:uid="{00000000-0004-0000-0000-000014010000}"/>
    <hyperlink ref="CH227" r:id="rId278" xr:uid="{00000000-0004-0000-0000-000015010000}"/>
    <hyperlink ref="CH589" r:id="rId279" xr:uid="{00000000-0004-0000-0000-000016010000}"/>
    <hyperlink ref="CH609" r:id="rId280" xr:uid="{00000000-0004-0000-0000-000017010000}"/>
    <hyperlink ref="CH243" r:id="rId281" xr:uid="{00000000-0004-0000-0000-000018010000}"/>
    <hyperlink ref="CH602" r:id="rId282" xr:uid="{00000000-0004-0000-0000-000019010000}"/>
    <hyperlink ref="CH216" r:id="rId283" xr:uid="{00000000-0004-0000-0000-00001A010000}"/>
    <hyperlink ref="CH257" r:id="rId284" xr:uid="{00000000-0004-0000-0000-00001B010000}"/>
    <hyperlink ref="CH252" r:id="rId285" xr:uid="{00000000-0004-0000-0000-00001C010000}"/>
    <hyperlink ref="CH258" r:id="rId286" xr:uid="{00000000-0004-0000-0000-00001D010000}"/>
    <hyperlink ref="CH618" r:id="rId287" xr:uid="{00000000-0004-0000-0000-00001E010000}"/>
    <hyperlink ref="CH217" r:id="rId288" xr:uid="{00000000-0004-0000-0000-00001F010000}"/>
    <hyperlink ref="CH590" r:id="rId289" xr:uid="{00000000-0004-0000-0000-000020010000}"/>
    <hyperlink ref="CH248" r:id="rId290" xr:uid="{00000000-0004-0000-0000-000021010000}"/>
    <hyperlink ref="CH158" r:id="rId291" xr:uid="{00000000-0004-0000-0000-000022010000}"/>
    <hyperlink ref="CH182" r:id="rId292" xr:uid="{00000000-0004-0000-0000-000023010000}"/>
    <hyperlink ref="CH144" r:id="rId293" xr:uid="{00000000-0004-0000-0000-000024010000}"/>
    <hyperlink ref="CH261" r:id="rId294" xr:uid="{00000000-0004-0000-0000-000025010000}"/>
    <hyperlink ref="CH597" r:id="rId295" xr:uid="{00000000-0004-0000-0000-000026010000}"/>
    <hyperlink ref="CH164" r:id="rId296" xr:uid="{00000000-0004-0000-0000-000027010000}"/>
    <hyperlink ref="CM157" r:id="rId297" xr:uid="{00000000-0004-0000-0000-000028010000}"/>
    <hyperlink ref="CH605" r:id="rId298" xr:uid="{00000000-0004-0000-0000-000029010000}"/>
    <hyperlink ref="CH221" r:id="rId299" xr:uid="{00000000-0004-0000-0000-00002A010000}"/>
    <hyperlink ref="CH236" r:id="rId300" xr:uid="{00000000-0004-0000-0000-00002B010000}"/>
    <hyperlink ref="CH183" r:id="rId301" xr:uid="{00000000-0004-0000-0000-00002C010000}"/>
    <hyperlink ref="CH167" r:id="rId302" xr:uid="{00000000-0004-0000-0000-00002D010000}"/>
    <hyperlink ref="CH168" r:id="rId303" xr:uid="{00000000-0004-0000-0000-00002E010000}"/>
    <hyperlink ref="CH201" r:id="rId304" xr:uid="{00000000-0004-0000-0000-00002F010000}"/>
    <hyperlink ref="CM180" r:id="rId305" xr:uid="{00000000-0004-0000-0000-000030010000}"/>
    <hyperlink ref="CH151" r:id="rId306" xr:uid="{00000000-0004-0000-0000-000031010000}"/>
    <hyperlink ref="CH137" r:id="rId307" xr:uid="{00000000-0004-0000-0000-000032010000}"/>
    <hyperlink ref="CH218" r:id="rId308" xr:uid="{00000000-0004-0000-0000-000033010000}"/>
    <hyperlink ref="CH581" r:id="rId309" xr:uid="{00000000-0004-0000-0000-000034010000}"/>
    <hyperlink ref="CH598" display="https://www.researchgate.net/profile/Pradeep_Panda10/publication/317166393_ROLE_OF_MICRO_FINANCE_IN_REDUCTION_OF_DOMESTIC_VIOLENCE_AGAINST_WOMEN_AN_ECONOMIC_ANALYSIS/links/5927d69b0f7e9b99799ef424/ROLE-OF-MICRO-FINANCE-IN-REDUCTION-OF-DOMESTIC-VIOLENCE-AG" xr:uid="{00000000-0004-0000-0000-000035010000}"/>
    <hyperlink ref="CH600" r:id="rId310" xr:uid="{00000000-0004-0000-0000-000036010000}"/>
    <hyperlink ref="CM240" r:id="rId311" xr:uid="{00000000-0004-0000-0000-000037010000}"/>
    <hyperlink ref="CH251" r:id="rId312" xr:uid="{00000000-0004-0000-0000-000038010000}"/>
    <hyperlink ref="CH263" r:id="rId313" xr:uid="{00000000-0004-0000-0000-000039010000}"/>
    <hyperlink ref="CH232" display="https://www.google.co.in/url?sa=t&amp;rct=j&amp;q=&amp;esrc=s&amp;source=web&amp;cd=142&amp;ved=0ahUKEwj9o_z41JvVAhWHI8AKHZ6_CSk4jAEQFggnMAE&amp;url=http%3A%2F%2Fwww.researchpublish.com%2Fdownload.php%3Ffile%3DEXTENT%2520AND%2520CAUSES-2170.pdf%26act%3Dbook&amp;usg=AFQjCNFgmqJEYlp6Zu1pJ" xr:uid="{00000000-0004-0000-0000-00003A010000}"/>
    <hyperlink ref="CH190" r:id="rId314" xr:uid="{00000000-0004-0000-0000-00003B010000}"/>
    <hyperlink ref="CH191" r:id="rId315" display="http://www.popcouncil.org/uploads/pdfs/2010PGY_YouthInIndiaReport.pdf" xr:uid="{00000000-0004-0000-0000-00003C010000}"/>
    <hyperlink ref="CH170" r:id="rId316" xr:uid="{00000000-0004-0000-0000-00003D010000}"/>
    <hyperlink ref="CH615" r:id="rId317" display="https://www.google.co.in/url?sa=t&amp;rct=j&amp;q=&amp;esrc=s&amp;source=web&amp;cd=54&amp;ved=0ahUKEwjD_7_Vop7VAhXnAcAKHTQtAaw4MhAWCDgwAw&amp;url=http%3A%2F%2Faimdrjournal.com%2Fpdf%2Fvol2Issue6%2FCM2_OA_Bishwalata.pdf&amp;usg=AFQjCNE_XeyyCGS-o5tok5ZnBP1qZRUqVQ&amp;cad=rja" xr:uid="{00000000-0004-0000-0000-00003E010000}"/>
    <hyperlink ref="CH237" r:id="rId318" xr:uid="{00000000-0004-0000-0000-00003F010000}"/>
    <hyperlink ref="CH161" r:id="rId319" xr:uid="{00000000-0004-0000-0000-000040010000}"/>
    <hyperlink ref="CH596" r:id="rId320" xr:uid="{00000000-0004-0000-0000-000041010000}"/>
    <hyperlink ref="CH145" r:id="rId321" xr:uid="{00000000-0004-0000-0000-000042010000}"/>
    <hyperlink ref="CH604" r:id="rId322" xr:uid="{00000000-0004-0000-0000-000043010000}"/>
    <hyperlink ref="CM602" r:id="rId323" xr:uid="{00000000-0004-0000-0000-000044010000}"/>
    <hyperlink ref="CH241" r:id="rId324" xr:uid="{00000000-0004-0000-0000-000045010000}"/>
    <hyperlink ref="CH242" r:id="rId325" xr:uid="{00000000-0004-0000-0000-000046010000}"/>
    <hyperlink ref="CH599" r:id="rId326" xr:uid="{00000000-0004-0000-0000-000047010000}"/>
    <hyperlink ref="CH254" r:id="rId327" xr:uid="{00000000-0004-0000-0000-000048010000}"/>
    <hyperlink ref="CH250" r:id="rId328" xr:uid="{00000000-0004-0000-0000-000049010000}"/>
    <hyperlink ref="CH169" r:id="rId329" xr:uid="{00000000-0004-0000-0000-00004A010000}"/>
    <hyperlink ref="CH174" r:id="rId330" xr:uid="{00000000-0004-0000-0000-00004B010000}"/>
    <hyperlink ref="CH165" r:id="rId331" xr:uid="{00000000-0004-0000-0000-00004C010000}"/>
    <hyperlink ref="CH253" r:id="rId332" xr:uid="{00000000-0004-0000-0000-00004D010000}"/>
    <hyperlink ref="CH224" r:id="rId333" xr:uid="{00000000-0004-0000-0000-00004E010000}"/>
    <hyperlink ref="CM607" r:id="rId334" xr:uid="{00000000-0004-0000-0000-00004F010000}"/>
    <hyperlink ref="CH255" r:id="rId335" xr:uid="{00000000-0004-0000-0000-000050010000}"/>
    <hyperlink ref="CH214" r:id="rId336" xr:uid="{00000000-0004-0000-0000-000051010000}"/>
    <hyperlink ref="CH215" r:id="rId337" xr:uid="{00000000-0004-0000-0000-000052010000}"/>
    <hyperlink ref="CH142" r:id="rId338" xr:uid="{00000000-0004-0000-0000-000053010000}"/>
    <hyperlink ref="CH264" r:id="rId339" xr:uid="{4C91BD76-A065-40B4-94F2-61CBF3D8DA78}"/>
    <hyperlink ref="CH265" r:id="rId340" xr:uid="{30F3FE50-7A14-4FF2-9A4E-06AD1054E5FB}"/>
  </hyperlinks>
  <pageMargins left="0.49" right="0.44" top="0.46" bottom="0.37" header="0.4" footer="0.32"/>
  <pageSetup paperSize="9" orientation="portrait" r:id="rId341"/>
  <headerFooter alignWithMargins="0"/>
  <legacyDrawing r:id="rId34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J4678"/>
  <sheetViews>
    <sheetView zoomScaleNormal="100" workbookViewId="0">
      <pane xSplit="2" ySplit="1" topLeftCell="C80" activePane="bottomRight" state="frozen"/>
      <selection pane="topRight" activeCell="C1" sqref="C1"/>
      <selection pane="bottomLeft" activeCell="A2" sqref="A2"/>
      <selection pane="bottomRight" activeCell="F103" sqref="F103"/>
    </sheetView>
  </sheetViews>
  <sheetFormatPr defaultRowHeight="12.75" x14ac:dyDescent="0.2"/>
  <cols>
    <col min="1" max="1" width="1" customWidth="1"/>
    <col min="2" max="2" width="13.85546875" customWidth="1"/>
    <col min="3" max="3" width="7" style="27" customWidth="1"/>
    <col min="4" max="5" width="0.7109375" customWidth="1"/>
    <col min="6" max="6" width="8.5703125" style="1" customWidth="1"/>
    <col min="7" max="7" width="9.28515625" customWidth="1"/>
    <col min="8" max="8" width="14.42578125" customWidth="1"/>
    <col min="9" max="9" width="7.5703125" customWidth="1"/>
    <col min="10" max="10" width="7.140625" customWidth="1"/>
    <col min="11" max="11" width="5" customWidth="1"/>
    <col min="12" max="12" width="6.85546875" customWidth="1"/>
    <col min="13" max="13" width="63.28515625" style="2" customWidth="1"/>
    <col min="14" max="14" width="4.5703125" style="1" customWidth="1"/>
    <col min="15" max="15" width="5.85546875" style="1" customWidth="1"/>
    <col min="16" max="16" width="9.42578125" style="1" customWidth="1"/>
    <col min="17" max="17" width="7" style="1" customWidth="1"/>
    <col min="18" max="18" width="59" style="2" customWidth="1"/>
    <col min="19" max="19" width="12.28515625" style="19" customWidth="1"/>
    <col min="20" max="20" width="10" style="1" customWidth="1"/>
    <col min="21" max="21" width="70.28515625" customWidth="1"/>
    <col min="22" max="22" width="39.85546875" customWidth="1"/>
    <col min="23" max="23" width="10.5703125" customWidth="1"/>
    <col min="24" max="24" width="8.7109375" style="189" customWidth="1"/>
    <col min="25" max="25" width="8" style="189" customWidth="1"/>
    <col min="26" max="26" width="8.85546875" style="100" customWidth="1"/>
    <col min="27" max="27" width="9.7109375" style="49" customWidth="1"/>
    <col min="28" max="28" width="8" style="49" customWidth="1"/>
    <col min="29" max="29" width="9.42578125" style="84" customWidth="1"/>
    <col min="30" max="30" width="7.7109375" style="27" customWidth="1"/>
    <col min="31" max="31" width="9.85546875" style="27" customWidth="1"/>
    <col min="32" max="32" width="10.140625" style="27" customWidth="1"/>
    <col min="33" max="33" width="10.42578125" style="27" customWidth="1"/>
    <col min="34" max="34" width="6.7109375" style="27" customWidth="1"/>
    <col min="35" max="35" width="7.42578125" style="49" customWidth="1"/>
    <col min="36" max="36" width="6.85546875" style="49" customWidth="1"/>
    <col min="40" max="40" width="41.7109375" customWidth="1"/>
    <col min="41" max="41" width="10.7109375" customWidth="1"/>
    <col min="42" max="42" width="11.140625" style="238" customWidth="1"/>
    <col min="45" max="45" width="18.42578125" customWidth="1"/>
    <col min="46" max="56" width="5.28515625" customWidth="1"/>
    <col min="57" max="57" width="5.5703125" customWidth="1"/>
    <col min="58" max="60" width="5" customWidth="1"/>
    <col min="61" max="61" width="5.28515625" customWidth="1"/>
    <col min="62" max="62" width="5.42578125" customWidth="1"/>
    <col min="63" max="63" width="3.5703125" customWidth="1"/>
    <col min="65" max="66" width="3.5703125" customWidth="1"/>
    <col min="68" max="69" width="3.5703125" customWidth="1"/>
    <col min="71" max="72" width="3.140625" customWidth="1"/>
    <col min="74" max="75" width="3.140625" customWidth="1"/>
    <col min="77" max="78" width="2.7109375" customWidth="1"/>
    <col min="80" max="81" width="2.5703125" customWidth="1"/>
    <col min="83" max="84" width="3" customWidth="1"/>
  </cols>
  <sheetData>
    <row r="1" spans="1:62" ht="71.25" customHeight="1" x14ac:dyDescent="0.2">
      <c r="A1" s="47" t="s">
        <v>359</v>
      </c>
      <c r="B1" s="41" t="s">
        <v>0</v>
      </c>
      <c r="C1" s="285" t="s">
        <v>949</v>
      </c>
      <c r="D1" s="284" t="s">
        <v>950</v>
      </c>
      <c r="E1" s="283" t="s">
        <v>951</v>
      </c>
      <c r="F1" s="373" t="s">
        <v>1135</v>
      </c>
      <c r="G1" s="41" t="s">
        <v>0</v>
      </c>
      <c r="H1" s="75" t="s">
        <v>1</v>
      </c>
      <c r="I1" s="82" t="s">
        <v>504</v>
      </c>
      <c r="J1" s="259" t="s">
        <v>914</v>
      </c>
      <c r="K1" s="260" t="s">
        <v>838</v>
      </c>
      <c r="L1" s="261" t="s">
        <v>695</v>
      </c>
      <c r="M1" s="340" t="s">
        <v>271</v>
      </c>
      <c r="N1" s="75" t="s">
        <v>123</v>
      </c>
      <c r="O1" s="258" t="s">
        <v>505</v>
      </c>
      <c r="P1" s="41" t="s">
        <v>784</v>
      </c>
      <c r="Q1" s="1" t="s">
        <v>271</v>
      </c>
      <c r="R1" s="22" t="s">
        <v>275</v>
      </c>
      <c r="S1" s="19" t="s">
        <v>608</v>
      </c>
      <c r="T1" s="1" t="s">
        <v>274</v>
      </c>
      <c r="U1" s="95" t="s">
        <v>1078</v>
      </c>
      <c r="V1" s="32" t="s">
        <v>297</v>
      </c>
      <c r="W1" s="228" t="s">
        <v>840</v>
      </c>
      <c r="X1" s="187" t="s">
        <v>831</v>
      </c>
      <c r="Y1" s="187" t="s">
        <v>832</v>
      </c>
      <c r="Z1" s="188" t="s">
        <v>833</v>
      </c>
      <c r="AA1" s="55" t="s">
        <v>421</v>
      </c>
      <c r="AB1" s="55" t="s">
        <v>422</v>
      </c>
      <c r="AC1" s="306" t="s">
        <v>829</v>
      </c>
      <c r="AD1" s="204" t="s">
        <v>835</v>
      </c>
      <c r="AE1" s="204" t="s">
        <v>834</v>
      </c>
      <c r="AF1" s="204" t="s">
        <v>836</v>
      </c>
      <c r="AG1" s="204" t="s">
        <v>837</v>
      </c>
      <c r="AH1" s="204" t="s">
        <v>830</v>
      </c>
      <c r="AI1" s="55" t="s">
        <v>421</v>
      </c>
      <c r="AJ1" s="55" t="s">
        <v>422</v>
      </c>
      <c r="AN1" s="4" t="s">
        <v>728</v>
      </c>
      <c r="AO1" s="163" t="s">
        <v>733</v>
      </c>
      <c r="AP1" s="281" t="s">
        <v>948</v>
      </c>
      <c r="AQ1" s="43" t="s">
        <v>890</v>
      </c>
      <c r="AS1" s="1" t="s">
        <v>0</v>
      </c>
      <c r="AT1" s="3" t="s">
        <v>891</v>
      </c>
      <c r="AU1" s="24" t="s">
        <v>892</v>
      </c>
      <c r="AV1" s="3" t="s">
        <v>893</v>
      </c>
      <c r="AW1" s="24" t="s">
        <v>894</v>
      </c>
      <c r="AX1" s="3" t="s">
        <v>895</v>
      </c>
      <c r="AY1" s="24" t="s">
        <v>896</v>
      </c>
      <c r="AZ1" s="3" t="s">
        <v>897</v>
      </c>
      <c r="BA1" s="24" t="s">
        <v>898</v>
      </c>
      <c r="BB1" s="3" t="s">
        <v>899</v>
      </c>
      <c r="BC1" s="24" t="s">
        <v>900</v>
      </c>
      <c r="BD1" s="3" t="s">
        <v>901</v>
      </c>
      <c r="BE1" s="24" t="s">
        <v>902</v>
      </c>
      <c r="BF1" s="7" t="s">
        <v>206</v>
      </c>
      <c r="BG1" s="46" t="s">
        <v>358</v>
      </c>
      <c r="BH1" s="12" t="s">
        <v>207</v>
      </c>
      <c r="BI1" t="s">
        <v>904</v>
      </c>
      <c r="BJ1" t="s">
        <v>905</v>
      </c>
    </row>
    <row r="2" spans="1:62" x14ac:dyDescent="0.2">
      <c r="A2" s="47" t="s">
        <v>347</v>
      </c>
      <c r="C2" s="286">
        <f t="shared" ref="C2:C64" si="0">D2/E2</f>
        <v>52.4</v>
      </c>
      <c r="D2" s="282">
        <f>SUMIF($B$212:$B$562,$A2,K$212:K$562)</f>
        <v>52.4</v>
      </c>
      <c r="E2" s="282">
        <f>COUNTIFS($B$212:$B$562,$A2, $K$212:$K$562,"&gt;0")</f>
        <v>1</v>
      </c>
      <c r="K2" s="27">
        <f>Z2</f>
        <v>52.4</v>
      </c>
      <c r="L2" s="27">
        <f>AH2</f>
        <v>39.299999999999997</v>
      </c>
      <c r="M2" s="323"/>
      <c r="V2" s="125"/>
      <c r="W2" s="85"/>
      <c r="X2" s="80"/>
      <c r="Y2" s="80"/>
      <c r="Z2" s="80">
        <f t="shared" ref="Z2:Z65" si="1">IF(AB2&gt;0,AA2/AB2," ")</f>
        <v>52.4</v>
      </c>
      <c r="AA2" s="50">
        <f>SUMIF($B$212:$B$562,$A2,AA$212:AA$562)</f>
        <v>246280</v>
      </c>
      <c r="AB2" s="50">
        <f>SUMIF($B$212:$B$562,$A2,AB$212:AB$562)</f>
        <v>4700</v>
      </c>
      <c r="AC2" s="83"/>
      <c r="AD2" s="80"/>
      <c r="AE2" s="80"/>
      <c r="AF2" s="80"/>
      <c r="AG2" s="80"/>
      <c r="AH2" s="80">
        <f t="shared" ref="AH2:AH65" si="2">IF(AJ2&gt;0,AI2/AJ2," ")</f>
        <v>39.299999999999997</v>
      </c>
      <c r="AI2" s="50">
        <f>SUMIF($B$212:$B$562,$A2,AI$212:AI$562)</f>
        <v>184710</v>
      </c>
      <c r="AJ2" s="50">
        <f>SUMIF($B$212:$B$562,$A2,AJ$212:AJ$562)</f>
        <v>4700</v>
      </c>
      <c r="AQ2">
        <v>5</v>
      </c>
      <c r="AS2" s="44"/>
      <c r="AT2" s="5">
        <v>2.78</v>
      </c>
      <c r="AU2" s="5">
        <v>4.54</v>
      </c>
      <c r="AV2" s="5">
        <v>10.28</v>
      </c>
      <c r="AW2" s="5">
        <v>16.600000000000001</v>
      </c>
      <c r="AX2" s="5">
        <v>22.16</v>
      </c>
      <c r="AY2" s="5">
        <v>27.32</v>
      </c>
      <c r="AZ2" s="5">
        <v>28.98</v>
      </c>
      <c r="BA2" s="5">
        <v>27.44</v>
      </c>
      <c r="BB2" s="5">
        <v>22.78</v>
      </c>
      <c r="BC2" s="5">
        <v>16.440000000000001</v>
      </c>
      <c r="BD2" s="5">
        <v>10</v>
      </c>
      <c r="BE2" s="5">
        <v>5.28</v>
      </c>
      <c r="BF2" s="10">
        <f t="shared" ref="BF2:BF92" si="3">AVERAGE(AT2:BE2)</f>
        <v>16.216666666666669</v>
      </c>
      <c r="BG2" s="10">
        <f>MEDIAN(AT2:BE2)</f>
        <v>16.520000000000003</v>
      </c>
      <c r="BH2" s="10">
        <f t="shared" ref="BH2:BH92" si="4">MAX(AT2:BE2)</f>
        <v>28.98</v>
      </c>
      <c r="BI2" s="10">
        <f>MIN(AT2:BE2)</f>
        <v>2.78</v>
      </c>
      <c r="BJ2" s="11">
        <f>BH2-BI2</f>
        <v>26.2</v>
      </c>
    </row>
    <row r="3" spans="1:62" x14ac:dyDescent="0.2">
      <c r="A3" s="47" t="s">
        <v>124</v>
      </c>
      <c r="C3" s="286">
        <f t="shared" si="0"/>
        <v>8</v>
      </c>
      <c r="D3" s="282">
        <f t="shared" ref="D3:D34" si="5">SUMIF($B$213:$B$562,$A3,K$213:K$562)</f>
        <v>8</v>
      </c>
      <c r="E3" s="282">
        <f t="shared" ref="E3:E34" si="6">COUNTIFS($B$213:$B$562,$A3, $K$213:$K$562,"&gt;0")</f>
        <v>1</v>
      </c>
      <c r="K3" s="27">
        <f>Z3</f>
        <v>8</v>
      </c>
      <c r="L3" s="27">
        <f t="shared" ref="L3:L66" si="7">AH3</f>
        <v>11.534591194968554</v>
      </c>
      <c r="M3" s="323"/>
      <c r="V3" s="125"/>
      <c r="W3" s="85"/>
      <c r="X3" s="80"/>
      <c r="Y3" s="80"/>
      <c r="Z3" s="80">
        <f t="shared" si="1"/>
        <v>8</v>
      </c>
      <c r="AA3" s="50">
        <f t="shared" ref="AA3:AB22" si="8">SUMIF($B$213:$B$562,$A3,AA$213:AA$562)</f>
        <v>32392</v>
      </c>
      <c r="AB3" s="50">
        <f t="shared" si="8"/>
        <v>4049</v>
      </c>
      <c r="AC3" s="83"/>
      <c r="AD3" s="80"/>
      <c r="AE3" s="80"/>
      <c r="AF3" s="80"/>
      <c r="AG3" s="80"/>
      <c r="AH3" s="80">
        <f t="shared" si="2"/>
        <v>11.534591194968554</v>
      </c>
      <c r="AI3" s="50">
        <f t="shared" ref="AI3:AJ22" si="9">SUMIF($B$213:$B$562,$A3,AI$213:AI$562)</f>
        <v>58688</v>
      </c>
      <c r="AJ3" s="50">
        <f t="shared" si="9"/>
        <v>5088</v>
      </c>
      <c r="AQ3">
        <v>11</v>
      </c>
      <c r="AS3" s="44"/>
      <c r="AT3" s="5">
        <v>6.7</v>
      </c>
      <c r="AU3" s="5">
        <v>7.8</v>
      </c>
      <c r="AV3" s="5">
        <v>10.166666666666666</v>
      </c>
      <c r="AW3" s="5">
        <v>13.9</v>
      </c>
      <c r="AX3" s="5">
        <v>18.066666666666666</v>
      </c>
      <c r="AY3" s="5">
        <v>22.166666666666668</v>
      </c>
      <c r="AZ3" s="5">
        <v>24.533333333333331</v>
      </c>
      <c r="BA3" s="5">
        <v>24.366666666666664</v>
      </c>
      <c r="BB3" s="5">
        <v>20.9</v>
      </c>
      <c r="BC3" s="5">
        <v>16.3</v>
      </c>
      <c r="BD3" s="5">
        <v>12.366666666666667</v>
      </c>
      <c r="BE3" s="5">
        <v>8.8000000000000007</v>
      </c>
      <c r="BF3" s="10">
        <f t="shared" si="3"/>
        <v>15.505555555555558</v>
      </c>
      <c r="BG3" s="10">
        <f t="shared" ref="BG3:BG93" si="10">MEDIAN(AT3:BE3)</f>
        <v>15.100000000000001</v>
      </c>
      <c r="BH3" s="10">
        <f t="shared" si="4"/>
        <v>24.533333333333331</v>
      </c>
      <c r="BI3" s="10">
        <f>MIN(AT3:BE3)</f>
        <v>6.7</v>
      </c>
      <c r="BJ3" s="11">
        <f>BH3-BI3</f>
        <v>17.833333333333332</v>
      </c>
    </row>
    <row r="4" spans="1:62" x14ac:dyDescent="0.2">
      <c r="A4" s="47" t="s">
        <v>125</v>
      </c>
      <c r="C4" s="286">
        <f t="shared" si="0"/>
        <v>16</v>
      </c>
      <c r="D4" s="282">
        <f t="shared" si="5"/>
        <v>16</v>
      </c>
      <c r="E4" s="282">
        <f t="shared" si="6"/>
        <v>1</v>
      </c>
      <c r="K4" s="27">
        <f>Z4</f>
        <v>16</v>
      </c>
      <c r="L4" s="27">
        <f>AH4</f>
        <v>10</v>
      </c>
      <c r="M4" s="323"/>
      <c r="V4" s="125"/>
      <c r="W4" s="85"/>
      <c r="X4" s="80"/>
      <c r="Y4" s="80"/>
      <c r="Z4" s="80">
        <f t="shared" si="1"/>
        <v>16</v>
      </c>
      <c r="AA4" s="50">
        <f t="shared" si="8"/>
        <v>32688</v>
      </c>
      <c r="AB4" s="50">
        <f t="shared" si="8"/>
        <v>2043</v>
      </c>
      <c r="AC4" s="83"/>
      <c r="AD4" s="80"/>
      <c r="AE4" s="80"/>
      <c r="AF4" s="80"/>
      <c r="AG4" s="80"/>
      <c r="AH4" s="80">
        <f t="shared" si="2"/>
        <v>10</v>
      </c>
      <c r="AI4" s="50">
        <f t="shared" si="9"/>
        <v>20430</v>
      </c>
      <c r="AJ4" s="50">
        <f t="shared" si="9"/>
        <v>2043</v>
      </c>
      <c r="AQ4">
        <v>13</v>
      </c>
      <c r="AS4" s="44"/>
      <c r="AT4" s="5">
        <v>9.7944444444444425</v>
      </c>
      <c r="AU4" s="5">
        <v>11.71142857142857</v>
      </c>
      <c r="AV4" s="5">
        <v>14.6</v>
      </c>
      <c r="AW4" s="5">
        <v>17.94857142857143</v>
      </c>
      <c r="AX4" s="5">
        <v>22.02</v>
      </c>
      <c r="AY4" s="5">
        <v>26.688571428571432</v>
      </c>
      <c r="AZ4" s="5">
        <v>29.41714285714286</v>
      </c>
      <c r="BA4" s="5">
        <v>29.44857142857143</v>
      </c>
      <c r="BB4" s="5">
        <v>25.945714285714285</v>
      </c>
      <c r="BC4" s="5">
        <v>20.497142857142862</v>
      </c>
      <c r="BD4" s="5">
        <v>14.94</v>
      </c>
      <c r="BE4" s="5">
        <v>10.483333333333334</v>
      </c>
      <c r="BF4" s="10">
        <f t="shared" si="3"/>
        <v>19.457910052910051</v>
      </c>
      <c r="BG4" s="10">
        <f t="shared" si="10"/>
        <v>19.222857142857144</v>
      </c>
      <c r="BH4" s="10">
        <f t="shared" si="4"/>
        <v>29.44857142857143</v>
      </c>
      <c r="BI4" s="10">
        <f>MIN(AT4:BE4)</f>
        <v>9.7944444444444425</v>
      </c>
      <c r="BJ4" s="11">
        <f>BH4-BI4</f>
        <v>19.654126984126989</v>
      </c>
    </row>
    <row r="5" spans="1:62" x14ac:dyDescent="0.2">
      <c r="A5" s="47" t="s">
        <v>360</v>
      </c>
      <c r="C5" s="286"/>
      <c r="D5" s="282">
        <f t="shared" si="5"/>
        <v>0</v>
      </c>
      <c r="E5" s="282">
        <f t="shared" si="6"/>
        <v>0</v>
      </c>
      <c r="K5" s="179"/>
      <c r="L5" s="27" t="str">
        <f t="shared" si="7"/>
        <v xml:space="preserve"> </v>
      </c>
      <c r="M5" s="323"/>
      <c r="V5" s="125"/>
      <c r="W5" s="85"/>
      <c r="X5" s="80"/>
      <c r="Y5" s="80"/>
      <c r="Z5" s="80" t="str">
        <f t="shared" si="1"/>
        <v xml:space="preserve"> </v>
      </c>
      <c r="AA5" s="50">
        <f t="shared" si="8"/>
        <v>0</v>
      </c>
      <c r="AB5" s="50">
        <f t="shared" si="8"/>
        <v>0</v>
      </c>
      <c r="AC5" s="83"/>
      <c r="AD5" s="80"/>
      <c r="AE5" s="80"/>
      <c r="AF5" s="80"/>
      <c r="AG5" s="80"/>
      <c r="AH5" s="80" t="str">
        <f t="shared" si="2"/>
        <v xml:space="preserve"> </v>
      </c>
      <c r="AI5" s="50">
        <f t="shared" si="9"/>
        <v>0</v>
      </c>
      <c r="AJ5" s="50">
        <f t="shared" si="9"/>
        <v>0</v>
      </c>
      <c r="AS5" s="44"/>
      <c r="AT5" s="5"/>
      <c r="AU5" s="5"/>
      <c r="AV5" s="5"/>
      <c r="AW5" s="5"/>
      <c r="AX5" s="5"/>
      <c r="AY5" s="5"/>
      <c r="AZ5" s="5"/>
      <c r="BA5" s="5"/>
      <c r="BB5" s="5"/>
      <c r="BC5" s="5"/>
      <c r="BD5" s="5"/>
      <c r="BE5" s="5"/>
      <c r="BF5" s="10"/>
      <c r="BG5" s="10"/>
      <c r="BH5" s="10"/>
      <c r="BI5" s="10"/>
    </row>
    <row r="6" spans="1:62" x14ac:dyDescent="0.2">
      <c r="A6" s="47" t="s">
        <v>361</v>
      </c>
      <c r="C6" s="286"/>
      <c r="D6" s="282">
        <f t="shared" si="5"/>
        <v>0</v>
      </c>
      <c r="E6" s="282">
        <f t="shared" si="6"/>
        <v>0</v>
      </c>
      <c r="K6" s="179"/>
      <c r="L6" s="27" t="str">
        <f t="shared" si="7"/>
        <v xml:space="preserve"> </v>
      </c>
      <c r="M6" s="323"/>
      <c r="V6" s="125"/>
      <c r="W6" s="85"/>
      <c r="X6" s="80"/>
      <c r="Y6" s="80"/>
      <c r="Z6" s="80" t="str">
        <f t="shared" si="1"/>
        <v xml:space="preserve"> </v>
      </c>
      <c r="AA6" s="50">
        <f t="shared" si="8"/>
        <v>0</v>
      </c>
      <c r="AB6" s="50">
        <f t="shared" si="8"/>
        <v>0</v>
      </c>
      <c r="AC6" s="83"/>
      <c r="AD6" s="80"/>
      <c r="AE6" s="80"/>
      <c r="AF6" s="80"/>
      <c r="AG6" s="80"/>
      <c r="AH6" s="80" t="str">
        <f t="shared" si="2"/>
        <v xml:space="preserve"> </v>
      </c>
      <c r="AI6" s="50">
        <f t="shared" si="9"/>
        <v>0</v>
      </c>
      <c r="AJ6" s="50">
        <f t="shared" si="9"/>
        <v>0</v>
      </c>
      <c r="AQ6">
        <v>12</v>
      </c>
      <c r="AS6" s="44"/>
      <c r="AT6" s="5"/>
      <c r="AU6" s="5"/>
      <c r="AV6" s="5"/>
      <c r="AW6" s="5"/>
      <c r="AX6" s="5"/>
      <c r="AY6" s="5"/>
      <c r="AZ6" s="5"/>
      <c r="BA6" s="5"/>
      <c r="BB6" s="5"/>
      <c r="BC6" s="5"/>
      <c r="BD6" s="5"/>
      <c r="BE6" s="5"/>
      <c r="BF6" s="10"/>
      <c r="BG6" s="10"/>
      <c r="BH6" s="10"/>
      <c r="BI6" s="10"/>
    </row>
    <row r="7" spans="1:62" x14ac:dyDescent="0.2">
      <c r="A7" s="47" t="s">
        <v>126</v>
      </c>
      <c r="C7" s="286">
        <f t="shared" si="0"/>
        <v>78</v>
      </c>
      <c r="D7" s="282">
        <f t="shared" si="5"/>
        <v>78</v>
      </c>
      <c r="E7" s="282">
        <f t="shared" si="6"/>
        <v>1</v>
      </c>
      <c r="K7" s="27">
        <f t="shared" ref="K7:K70" si="11">Z7</f>
        <v>78</v>
      </c>
      <c r="L7" s="27" t="str">
        <f t="shared" si="7"/>
        <v xml:space="preserve"> </v>
      </c>
      <c r="M7" s="323"/>
      <c r="V7" s="125"/>
      <c r="W7" s="85"/>
      <c r="X7" s="80"/>
      <c r="Y7" s="80"/>
      <c r="Z7" s="80">
        <f t="shared" si="1"/>
        <v>78</v>
      </c>
      <c r="AA7" s="50">
        <f t="shared" si="8"/>
        <v>77999999922</v>
      </c>
      <c r="AB7" s="50">
        <f t="shared" si="8"/>
        <v>999999999</v>
      </c>
      <c r="AC7" s="83"/>
      <c r="AD7" s="80"/>
      <c r="AE7" s="80"/>
      <c r="AF7" s="80"/>
      <c r="AG7" s="80"/>
      <c r="AH7" s="80" t="str">
        <f t="shared" si="2"/>
        <v xml:space="preserve"> </v>
      </c>
      <c r="AI7" s="50">
        <f t="shared" si="9"/>
        <v>0</v>
      </c>
      <c r="AJ7" s="50">
        <f t="shared" si="9"/>
        <v>0</v>
      </c>
      <c r="AS7" s="44"/>
      <c r="AT7" s="5">
        <v>22.81666666666667</v>
      </c>
      <c r="AU7" s="5">
        <v>23.033333333333335</v>
      </c>
      <c r="AV7" s="5">
        <v>23.233333333333334</v>
      </c>
      <c r="AW7" s="5">
        <v>22.916666666666664</v>
      </c>
      <c r="AX7" s="5">
        <v>21.18888888888889</v>
      </c>
      <c r="AY7" s="5">
        <v>18.816666666666666</v>
      </c>
      <c r="AZ7" s="5">
        <v>18.333333333333329</v>
      </c>
      <c r="BA7" s="5">
        <v>19.811111111111117</v>
      </c>
      <c r="BB7" s="5">
        <v>21.75</v>
      </c>
      <c r="BC7" s="5">
        <v>22.81666666666667</v>
      </c>
      <c r="BD7" s="5">
        <v>22.838888888888889</v>
      </c>
      <c r="BE7" s="5">
        <v>22.75</v>
      </c>
      <c r="BF7" s="10">
        <f t="shared" si="3"/>
        <v>21.692129629629633</v>
      </c>
      <c r="BG7" s="10">
        <f t="shared" si="10"/>
        <v>22.783333333333335</v>
      </c>
      <c r="BH7" s="10">
        <f t="shared" si="4"/>
        <v>23.233333333333334</v>
      </c>
      <c r="BI7" s="10">
        <f t="shared" ref="BI7:BI70" si="12">MIN(AT7:BE7)</f>
        <v>18.333333333333329</v>
      </c>
      <c r="BJ7" s="11">
        <f t="shared" ref="BJ7:BJ70" si="13">BH7-BI7</f>
        <v>4.9000000000000057</v>
      </c>
    </row>
    <row r="8" spans="1:62" x14ac:dyDescent="0.2">
      <c r="A8" s="47" t="s">
        <v>214</v>
      </c>
      <c r="C8" s="286">
        <f t="shared" si="0"/>
        <v>30</v>
      </c>
      <c r="D8" s="282">
        <f t="shared" si="5"/>
        <v>30</v>
      </c>
      <c r="E8" s="282">
        <f t="shared" si="6"/>
        <v>1</v>
      </c>
      <c r="K8" s="27">
        <f t="shared" si="11"/>
        <v>30</v>
      </c>
      <c r="L8" s="27" t="str">
        <f t="shared" si="7"/>
        <v xml:space="preserve"> </v>
      </c>
      <c r="M8" s="323"/>
      <c r="V8" s="125"/>
      <c r="W8" s="85"/>
      <c r="X8" s="80"/>
      <c r="Y8" s="80"/>
      <c r="Z8" s="80">
        <f t="shared" si="1"/>
        <v>30</v>
      </c>
      <c r="AA8" s="50">
        <f t="shared" si="8"/>
        <v>2910</v>
      </c>
      <c r="AB8" s="50">
        <f t="shared" si="8"/>
        <v>97</v>
      </c>
      <c r="AC8" s="83"/>
      <c r="AD8" s="80"/>
      <c r="AE8" s="80"/>
      <c r="AF8" s="80"/>
      <c r="AG8" s="80"/>
      <c r="AH8" s="80" t="str">
        <f t="shared" si="2"/>
        <v xml:space="preserve"> </v>
      </c>
      <c r="AI8" s="50">
        <f t="shared" si="9"/>
        <v>0</v>
      </c>
      <c r="AJ8" s="50">
        <f t="shared" si="9"/>
        <v>0</v>
      </c>
      <c r="AS8" s="44"/>
      <c r="AT8" s="5">
        <v>23.9</v>
      </c>
      <c r="AU8" s="5">
        <v>24.35</v>
      </c>
      <c r="AV8" s="5">
        <v>24.85</v>
      </c>
      <c r="AW8" s="5">
        <v>24.75</v>
      </c>
      <c r="AX8" s="5">
        <v>26.45</v>
      </c>
      <c r="AY8" s="5">
        <v>27.2</v>
      </c>
      <c r="AZ8" s="5">
        <v>27.4</v>
      </c>
      <c r="BA8" s="5">
        <v>27.6</v>
      </c>
      <c r="BB8" s="5">
        <v>27.2</v>
      </c>
      <c r="BC8" s="5">
        <v>26.6</v>
      </c>
      <c r="BD8" s="5">
        <v>26</v>
      </c>
      <c r="BE8" s="5">
        <v>25.2</v>
      </c>
      <c r="BF8" s="10">
        <f t="shared" si="3"/>
        <v>25.958333333333332</v>
      </c>
      <c r="BG8" s="10">
        <f t="shared" si="10"/>
        <v>26.225000000000001</v>
      </c>
      <c r="BH8" s="10">
        <f t="shared" si="4"/>
        <v>27.6</v>
      </c>
      <c r="BI8" s="10">
        <f t="shared" si="12"/>
        <v>23.9</v>
      </c>
      <c r="BJ8" s="11">
        <f t="shared" si="13"/>
        <v>3.7000000000000028</v>
      </c>
    </row>
    <row r="9" spans="1:62" x14ac:dyDescent="0.2">
      <c r="A9" s="47" t="s">
        <v>127</v>
      </c>
      <c r="C9" s="286">
        <f t="shared" si="0"/>
        <v>22.314814814814817</v>
      </c>
      <c r="D9" s="282">
        <f t="shared" si="5"/>
        <v>44.629629629629633</v>
      </c>
      <c r="E9" s="282">
        <f t="shared" si="6"/>
        <v>2</v>
      </c>
      <c r="K9" s="27">
        <f t="shared" si="11"/>
        <v>24.999998550000392</v>
      </c>
      <c r="L9" s="27" t="str">
        <f t="shared" si="7"/>
        <v xml:space="preserve"> </v>
      </c>
      <c r="M9" s="323"/>
      <c r="V9" s="125"/>
      <c r="W9" s="85"/>
      <c r="X9" s="80"/>
      <c r="Y9" s="80"/>
      <c r="Z9" s="80">
        <f t="shared" si="1"/>
        <v>24.999998550000392</v>
      </c>
      <c r="AA9" s="50">
        <f t="shared" si="8"/>
        <v>25000005275</v>
      </c>
      <c r="AB9" s="50">
        <f t="shared" si="8"/>
        <v>1000000269</v>
      </c>
      <c r="AC9" s="83"/>
      <c r="AD9" s="80"/>
      <c r="AE9" s="80"/>
      <c r="AF9" s="80"/>
      <c r="AG9" s="80"/>
      <c r="AH9" s="80" t="str">
        <f t="shared" si="2"/>
        <v xml:space="preserve"> </v>
      </c>
      <c r="AI9" s="50">
        <f t="shared" si="9"/>
        <v>0</v>
      </c>
      <c r="AJ9" s="50">
        <f t="shared" si="9"/>
        <v>0</v>
      </c>
      <c r="AQ9">
        <v>17</v>
      </c>
      <c r="AS9" s="44"/>
      <c r="AT9" s="5">
        <v>22.582352941176474</v>
      </c>
      <c r="AU9" s="5">
        <v>21.673949579831927</v>
      </c>
      <c r="AV9" s="5">
        <v>19.31848739495798</v>
      </c>
      <c r="AW9" s="5">
        <v>15.490756302521017</v>
      </c>
      <c r="AX9" s="5">
        <v>12.19831932773109</v>
      </c>
      <c r="AY9" s="5">
        <v>9.2739495798319354</v>
      </c>
      <c r="AZ9" s="5">
        <v>9.0042016806722689</v>
      </c>
      <c r="BA9" s="5">
        <v>10.557142857142859</v>
      </c>
      <c r="BB9" s="5">
        <v>13.126890756302517</v>
      </c>
      <c r="BC9" s="5">
        <v>16.183193277310924</v>
      </c>
      <c r="BD9" s="5">
        <v>19.097478991596631</v>
      </c>
      <c r="BE9" s="5">
        <v>21.505882352941178</v>
      </c>
      <c r="BF9" s="10">
        <f t="shared" si="3"/>
        <v>15.834383753501399</v>
      </c>
      <c r="BG9" s="10">
        <f t="shared" si="10"/>
        <v>15.836974789915971</v>
      </c>
      <c r="BH9" s="10">
        <f t="shared" si="4"/>
        <v>22.582352941176474</v>
      </c>
      <c r="BI9" s="10">
        <f t="shared" si="12"/>
        <v>9.0042016806722689</v>
      </c>
      <c r="BJ9" s="11">
        <f t="shared" si="13"/>
        <v>13.578151260504205</v>
      </c>
    </row>
    <row r="10" spans="1:62" x14ac:dyDescent="0.2">
      <c r="A10" s="47" t="s">
        <v>362</v>
      </c>
      <c r="C10" s="286">
        <f t="shared" si="0"/>
        <v>19.45</v>
      </c>
      <c r="D10" s="282">
        <f t="shared" si="5"/>
        <v>38.9</v>
      </c>
      <c r="E10" s="282">
        <f t="shared" si="6"/>
        <v>2</v>
      </c>
      <c r="K10" s="27">
        <f t="shared" si="11"/>
        <v>30</v>
      </c>
      <c r="L10" s="27" t="str">
        <f t="shared" si="7"/>
        <v xml:space="preserve"> </v>
      </c>
      <c r="M10" s="323"/>
      <c r="V10" s="125"/>
      <c r="W10" s="85"/>
      <c r="X10" s="80"/>
      <c r="Y10" s="80"/>
      <c r="Z10" s="80">
        <f t="shared" si="1"/>
        <v>30</v>
      </c>
      <c r="AA10" s="50">
        <f t="shared" si="8"/>
        <v>43710</v>
      </c>
      <c r="AB10" s="50">
        <f t="shared" si="8"/>
        <v>1457</v>
      </c>
      <c r="AC10" s="83"/>
      <c r="AD10" s="80"/>
      <c r="AE10" s="80"/>
      <c r="AF10" s="80"/>
      <c r="AG10" s="80"/>
      <c r="AH10" s="80" t="str">
        <f t="shared" si="2"/>
        <v xml:space="preserve"> </v>
      </c>
      <c r="AI10" s="50">
        <f t="shared" si="9"/>
        <v>0</v>
      </c>
      <c r="AJ10" s="50">
        <f t="shared" si="9"/>
        <v>0</v>
      </c>
      <c r="AQ10">
        <v>12</v>
      </c>
      <c r="AS10" s="44"/>
      <c r="AT10" s="5"/>
      <c r="AU10" s="5"/>
      <c r="AV10" s="5"/>
      <c r="AW10" s="5"/>
      <c r="AX10" s="5"/>
      <c r="AY10" s="5"/>
      <c r="AZ10" s="5"/>
      <c r="BA10" s="5"/>
      <c r="BB10" s="5"/>
      <c r="BC10" s="5"/>
      <c r="BD10" s="5"/>
      <c r="BE10" s="5"/>
      <c r="BF10" s="10"/>
      <c r="BG10" s="10"/>
      <c r="BH10" s="10"/>
      <c r="BI10" s="10"/>
      <c r="BJ10" s="11"/>
    </row>
    <row r="11" spans="1:62" x14ac:dyDescent="0.2">
      <c r="A11" s="47" t="s">
        <v>64</v>
      </c>
      <c r="C11" s="286">
        <f t="shared" si="0"/>
        <v>20.542857142857144</v>
      </c>
      <c r="D11" s="282">
        <f t="shared" si="5"/>
        <v>143.80000000000001</v>
      </c>
      <c r="E11" s="282">
        <f t="shared" si="6"/>
        <v>7</v>
      </c>
      <c r="K11" s="27">
        <f t="shared" si="11"/>
        <v>17.353951041877405</v>
      </c>
      <c r="L11" s="27">
        <f t="shared" si="7"/>
        <v>3.5054168629298164</v>
      </c>
      <c r="M11" s="323"/>
      <c r="V11" s="125"/>
      <c r="W11" s="85"/>
      <c r="X11" s="80"/>
      <c r="Y11" s="80"/>
      <c r="Z11" s="80">
        <f t="shared" si="1"/>
        <v>17.353951041877405</v>
      </c>
      <c r="AA11" s="50">
        <f t="shared" si="8"/>
        <v>428902.9</v>
      </c>
      <c r="AB11" s="50">
        <f t="shared" si="8"/>
        <v>24715</v>
      </c>
      <c r="AC11" s="83"/>
      <c r="AD11" s="80"/>
      <c r="AE11" s="80"/>
      <c r="AF11" s="80"/>
      <c r="AG11" s="80"/>
      <c r="AH11" s="80">
        <f t="shared" si="2"/>
        <v>3.5054168629298164</v>
      </c>
      <c r="AI11" s="50">
        <f t="shared" si="9"/>
        <v>44652</v>
      </c>
      <c r="AJ11" s="50">
        <f t="shared" si="9"/>
        <v>12738</v>
      </c>
      <c r="AQ11">
        <v>21</v>
      </c>
      <c r="AS11" s="44"/>
      <c r="AT11" s="5">
        <v>24.428682170542636</v>
      </c>
      <c r="AU11" s="5">
        <v>24.221705426356589</v>
      </c>
      <c r="AV11" s="5">
        <v>22.744961240310069</v>
      </c>
      <c r="AW11" s="5">
        <v>19.727131782945737</v>
      </c>
      <c r="AX11" s="5">
        <v>16.307751937984488</v>
      </c>
      <c r="AY11" s="5">
        <v>13.857364341085267</v>
      </c>
      <c r="AZ11" s="5">
        <v>12.984496124031015</v>
      </c>
      <c r="BA11" s="5">
        <v>14.117054263565885</v>
      </c>
      <c r="BB11" s="5">
        <v>16.529457364341077</v>
      </c>
      <c r="BC11" s="5">
        <v>19.248062015503873</v>
      </c>
      <c r="BD11" s="5">
        <v>21.597674418604647</v>
      </c>
      <c r="BE11" s="5">
        <v>23.410852713178297</v>
      </c>
      <c r="BF11" s="10">
        <f t="shared" si="3"/>
        <v>19.097932816537465</v>
      </c>
      <c r="BG11" s="10">
        <f t="shared" si="10"/>
        <v>19.487596899224805</v>
      </c>
      <c r="BH11" s="10">
        <f t="shared" si="4"/>
        <v>24.428682170542636</v>
      </c>
      <c r="BI11" s="10">
        <f t="shared" si="12"/>
        <v>12.984496124031015</v>
      </c>
      <c r="BJ11" s="11">
        <f t="shared" si="13"/>
        <v>11.444186046511621</v>
      </c>
    </row>
    <row r="12" spans="1:62" x14ac:dyDescent="0.2">
      <c r="A12" s="47" t="s">
        <v>128</v>
      </c>
      <c r="C12" s="286"/>
      <c r="D12" s="282">
        <f t="shared" si="5"/>
        <v>0</v>
      </c>
      <c r="E12" s="282">
        <f t="shared" si="6"/>
        <v>0</v>
      </c>
      <c r="K12" s="27" t="str">
        <f t="shared" si="11"/>
        <v xml:space="preserve"> </v>
      </c>
      <c r="L12" s="27" t="str">
        <f t="shared" si="7"/>
        <v xml:space="preserve"> </v>
      </c>
      <c r="M12" s="323"/>
      <c r="V12" s="125"/>
      <c r="W12" s="85"/>
      <c r="X12" s="80"/>
      <c r="Y12" s="80"/>
      <c r="Z12" s="80" t="str">
        <f t="shared" si="1"/>
        <v xml:space="preserve"> </v>
      </c>
      <c r="AA12" s="50">
        <f t="shared" si="8"/>
        <v>0</v>
      </c>
      <c r="AB12" s="50">
        <f t="shared" si="8"/>
        <v>0</v>
      </c>
      <c r="AC12" s="83"/>
      <c r="AD12" s="80"/>
      <c r="AE12" s="80"/>
      <c r="AF12" s="80"/>
      <c r="AG12" s="80"/>
      <c r="AH12" s="80" t="str">
        <f t="shared" si="2"/>
        <v xml:space="preserve"> </v>
      </c>
      <c r="AI12" s="50">
        <f t="shared" si="9"/>
        <v>0</v>
      </c>
      <c r="AJ12" s="50">
        <f t="shared" si="9"/>
        <v>0</v>
      </c>
      <c r="AQ12">
        <v>15</v>
      </c>
      <c r="AS12" s="44"/>
      <c r="AT12" s="5">
        <v>-3.8636363636363638</v>
      </c>
      <c r="AU12" s="5">
        <v>-2.1909090909090905</v>
      </c>
      <c r="AV12" s="5">
        <v>1.5272727272727273</v>
      </c>
      <c r="AW12" s="5">
        <v>6.1</v>
      </c>
      <c r="AX12" s="5">
        <v>10.890909090909091</v>
      </c>
      <c r="AY12" s="5">
        <v>14.145454545454545</v>
      </c>
      <c r="AZ12" s="5">
        <v>15.909090909090907</v>
      </c>
      <c r="BA12" s="5">
        <v>15.30909090909091</v>
      </c>
      <c r="BB12" s="5">
        <v>12.045454545454543</v>
      </c>
      <c r="BC12" s="5">
        <v>7.0636363636363626</v>
      </c>
      <c r="BD12" s="5">
        <v>1.5909090909090908</v>
      </c>
      <c r="BE12" s="5">
        <v>-2.209090909090909</v>
      </c>
      <c r="BF12" s="10">
        <f t="shared" si="3"/>
        <v>6.3598484848484853</v>
      </c>
      <c r="BG12" s="10">
        <f t="shared" si="10"/>
        <v>6.5818181818181811</v>
      </c>
      <c r="BH12" s="10">
        <f t="shared" si="4"/>
        <v>15.909090909090907</v>
      </c>
      <c r="BI12" s="10">
        <f t="shared" si="12"/>
        <v>-3.8636363636363638</v>
      </c>
      <c r="BJ12" s="11">
        <f t="shared" si="13"/>
        <v>19.77272727272727</v>
      </c>
    </row>
    <row r="13" spans="1:62" x14ac:dyDescent="0.2">
      <c r="A13" s="47" t="s">
        <v>83</v>
      </c>
      <c r="C13" s="286">
        <f t="shared" si="0"/>
        <v>15.8</v>
      </c>
      <c r="D13" s="282">
        <f t="shared" si="5"/>
        <v>31.6</v>
      </c>
      <c r="E13" s="282">
        <f t="shared" si="6"/>
        <v>2</v>
      </c>
      <c r="K13" s="27">
        <f t="shared" si="11"/>
        <v>14.925262931959647</v>
      </c>
      <c r="L13" s="27">
        <f t="shared" si="7"/>
        <v>8</v>
      </c>
      <c r="M13" s="323"/>
      <c r="V13" s="125"/>
      <c r="W13" s="85"/>
      <c r="X13" s="80"/>
      <c r="Y13" s="80"/>
      <c r="Z13" s="80">
        <f t="shared" si="1"/>
        <v>14.925262931959647</v>
      </c>
      <c r="AA13" s="50">
        <f t="shared" si="8"/>
        <v>208610.4</v>
      </c>
      <c r="AB13" s="50">
        <f t="shared" si="8"/>
        <v>13977</v>
      </c>
      <c r="AC13" s="83"/>
      <c r="AD13" s="80"/>
      <c r="AE13" s="80"/>
      <c r="AF13" s="80"/>
      <c r="AG13" s="80"/>
      <c r="AH13" s="80">
        <f t="shared" si="2"/>
        <v>8</v>
      </c>
      <c r="AI13" s="50">
        <f t="shared" si="9"/>
        <v>44264</v>
      </c>
      <c r="AJ13" s="50">
        <f t="shared" si="9"/>
        <v>5533</v>
      </c>
      <c r="AQ13">
        <v>13</v>
      </c>
      <c r="AS13" s="45"/>
      <c r="AT13" s="5">
        <v>3.3</v>
      </c>
      <c r="AU13" s="5">
        <v>3.4</v>
      </c>
      <c r="AV13" s="5">
        <v>6.1</v>
      </c>
      <c r="AW13" s="5">
        <v>11.1</v>
      </c>
      <c r="AX13" s="5">
        <v>17.7</v>
      </c>
      <c r="AY13" s="5">
        <v>22.7</v>
      </c>
      <c r="AZ13" s="5">
        <v>25.8</v>
      </c>
      <c r="BA13" s="5">
        <v>25.9</v>
      </c>
      <c r="BB13" s="5">
        <v>21.9</v>
      </c>
      <c r="BC13" s="5">
        <v>16.600000000000001</v>
      </c>
      <c r="BD13" s="5">
        <v>11.4</v>
      </c>
      <c r="BE13" s="5">
        <v>6</v>
      </c>
      <c r="BF13" s="10">
        <f t="shared" si="3"/>
        <v>14.325000000000001</v>
      </c>
      <c r="BG13" s="10">
        <f t="shared" si="10"/>
        <v>14</v>
      </c>
      <c r="BH13" s="10">
        <f t="shared" si="4"/>
        <v>25.9</v>
      </c>
      <c r="BI13" s="10">
        <f t="shared" si="12"/>
        <v>3.3</v>
      </c>
      <c r="BJ13" s="11">
        <f t="shared" si="13"/>
        <v>22.599999999999998</v>
      </c>
    </row>
    <row r="14" spans="1:62" x14ac:dyDescent="0.2">
      <c r="A14" s="47" t="s">
        <v>363</v>
      </c>
      <c r="C14" s="286"/>
      <c r="D14" s="282">
        <f t="shared" si="5"/>
        <v>0</v>
      </c>
      <c r="E14" s="282">
        <f t="shared" si="6"/>
        <v>0</v>
      </c>
      <c r="K14" s="27" t="str">
        <f t="shared" si="11"/>
        <v xml:space="preserve"> </v>
      </c>
      <c r="L14" s="27" t="str">
        <f t="shared" si="7"/>
        <v xml:space="preserve"> </v>
      </c>
      <c r="M14" s="323"/>
      <c r="V14" s="125"/>
      <c r="W14" s="85"/>
      <c r="X14" s="80"/>
      <c r="Y14" s="80"/>
      <c r="Z14" s="80" t="str">
        <f t="shared" si="1"/>
        <v xml:space="preserve"> </v>
      </c>
      <c r="AA14" s="50">
        <f t="shared" si="8"/>
        <v>0</v>
      </c>
      <c r="AB14" s="50">
        <f t="shared" si="8"/>
        <v>0</v>
      </c>
      <c r="AC14" s="83"/>
      <c r="AD14" s="80"/>
      <c r="AE14" s="80"/>
      <c r="AF14" s="80"/>
      <c r="AG14" s="80"/>
      <c r="AH14" s="80" t="str">
        <f t="shared" si="2"/>
        <v xml:space="preserve"> </v>
      </c>
      <c r="AI14" s="50">
        <f t="shared" si="9"/>
        <v>0</v>
      </c>
      <c r="AJ14" s="50">
        <f t="shared" si="9"/>
        <v>0</v>
      </c>
      <c r="AS14" s="45"/>
      <c r="AT14" s="5"/>
      <c r="AU14" s="5"/>
      <c r="AV14" s="5"/>
      <c r="AW14" s="5"/>
      <c r="AX14" s="5"/>
      <c r="AY14" s="5"/>
      <c r="AZ14" s="5"/>
      <c r="BA14" s="5"/>
      <c r="BB14" s="5"/>
      <c r="BC14" s="5"/>
      <c r="BD14" s="5"/>
      <c r="BE14" s="5"/>
      <c r="BF14" s="10"/>
      <c r="BG14" s="10"/>
      <c r="BH14" s="10"/>
      <c r="BI14" s="10"/>
      <c r="BJ14" s="11"/>
    </row>
    <row r="15" spans="1:62" x14ac:dyDescent="0.2">
      <c r="A15" s="47" t="s">
        <v>364</v>
      </c>
      <c r="C15" s="286"/>
      <c r="D15" s="282">
        <f t="shared" si="5"/>
        <v>0</v>
      </c>
      <c r="E15" s="282">
        <f t="shared" si="6"/>
        <v>0</v>
      </c>
      <c r="K15" s="27" t="str">
        <f t="shared" si="11"/>
        <v xml:space="preserve"> </v>
      </c>
      <c r="L15" s="27" t="str">
        <f t="shared" si="7"/>
        <v xml:space="preserve"> </v>
      </c>
      <c r="M15" s="323"/>
      <c r="V15" s="125"/>
      <c r="W15" s="85"/>
      <c r="X15" s="80"/>
      <c r="Y15" s="80"/>
      <c r="Z15" s="80" t="str">
        <f t="shared" si="1"/>
        <v xml:space="preserve"> </v>
      </c>
      <c r="AA15" s="50">
        <f t="shared" si="8"/>
        <v>0</v>
      </c>
      <c r="AB15" s="50">
        <f t="shared" si="8"/>
        <v>0</v>
      </c>
      <c r="AC15" s="83"/>
      <c r="AD15" s="80"/>
      <c r="AE15" s="80"/>
      <c r="AF15" s="80"/>
      <c r="AG15" s="80"/>
      <c r="AH15" s="80" t="str">
        <f t="shared" si="2"/>
        <v xml:space="preserve"> </v>
      </c>
      <c r="AI15" s="50">
        <f t="shared" si="9"/>
        <v>0</v>
      </c>
      <c r="AJ15" s="50">
        <f t="shared" si="9"/>
        <v>0</v>
      </c>
      <c r="AQ15">
        <v>15</v>
      </c>
      <c r="AS15" s="45"/>
      <c r="AT15" s="5"/>
      <c r="AU15" s="5"/>
      <c r="AV15" s="5"/>
      <c r="AW15" s="5"/>
      <c r="AX15" s="5"/>
      <c r="AY15" s="5"/>
      <c r="AZ15" s="5"/>
      <c r="BA15" s="5"/>
      <c r="BB15" s="5"/>
      <c r="BC15" s="5"/>
      <c r="BD15" s="5"/>
      <c r="BE15" s="5"/>
      <c r="BF15" s="10"/>
      <c r="BG15" s="10"/>
      <c r="BH15" s="10"/>
      <c r="BI15" s="10"/>
      <c r="BJ15" s="11"/>
    </row>
    <row r="16" spans="1:62" x14ac:dyDescent="0.2">
      <c r="A16" s="47" t="s">
        <v>65</v>
      </c>
      <c r="C16" s="286">
        <f t="shared" si="0"/>
        <v>42.58</v>
      </c>
      <c r="D16" s="282">
        <f t="shared" si="5"/>
        <v>298.06</v>
      </c>
      <c r="E16" s="282">
        <f t="shared" si="6"/>
        <v>7</v>
      </c>
      <c r="K16" s="27">
        <f t="shared" si="11"/>
        <v>43.987712089257776</v>
      </c>
      <c r="L16" s="27">
        <f t="shared" si="7"/>
        <v>17.98472116119175</v>
      </c>
      <c r="M16" s="323"/>
      <c r="V16" s="125"/>
      <c r="W16" s="85"/>
      <c r="X16" s="80"/>
      <c r="Y16" s="80"/>
      <c r="Z16" s="80">
        <f t="shared" si="1"/>
        <v>43.987712089257776</v>
      </c>
      <c r="AA16" s="50">
        <f t="shared" si="8"/>
        <v>1293150.76</v>
      </c>
      <c r="AB16" s="50">
        <f t="shared" si="8"/>
        <v>29398</v>
      </c>
      <c r="AC16" s="83"/>
      <c r="AD16" s="80"/>
      <c r="AE16" s="80"/>
      <c r="AF16" s="80"/>
      <c r="AG16" s="80"/>
      <c r="AH16" s="80">
        <f t="shared" si="2"/>
        <v>17.98472116119175</v>
      </c>
      <c r="AI16" s="50">
        <f t="shared" si="9"/>
        <v>70626</v>
      </c>
      <c r="AJ16" s="50">
        <f t="shared" si="9"/>
        <v>3927</v>
      </c>
      <c r="AQ16">
        <v>8</v>
      </c>
      <c r="AS16" s="45"/>
      <c r="AT16" s="5">
        <v>19</v>
      </c>
      <c r="AU16" s="5">
        <v>21.362500000000001</v>
      </c>
      <c r="AV16" s="5">
        <v>25.487500000000001</v>
      </c>
      <c r="AW16" s="5">
        <v>28.175000000000001</v>
      </c>
      <c r="AX16" s="5">
        <v>28.625</v>
      </c>
      <c r="AY16" s="5">
        <v>28.387499999999999</v>
      </c>
      <c r="AZ16" s="5">
        <v>28.262499999999999</v>
      </c>
      <c r="BA16" s="5">
        <v>28.35</v>
      </c>
      <c r="BB16" s="5">
        <v>28.387499999999999</v>
      </c>
      <c r="BC16" s="5">
        <v>27.2</v>
      </c>
      <c r="BD16" s="5">
        <v>23.612500000000001</v>
      </c>
      <c r="BE16" s="5">
        <v>20.05</v>
      </c>
      <c r="BF16" s="10">
        <f t="shared" si="3"/>
        <v>25.574999999999999</v>
      </c>
      <c r="BG16" s="10">
        <f t="shared" si="10"/>
        <v>27.6875</v>
      </c>
      <c r="BH16" s="10">
        <f t="shared" si="4"/>
        <v>28.625</v>
      </c>
      <c r="BI16" s="10">
        <f t="shared" si="12"/>
        <v>19</v>
      </c>
      <c r="BJ16" s="11">
        <f t="shared" si="13"/>
        <v>9.625</v>
      </c>
    </row>
    <row r="17" spans="1:62" x14ac:dyDescent="0.2">
      <c r="A17" s="47" t="s">
        <v>34</v>
      </c>
      <c r="C17" s="286">
        <f t="shared" si="0"/>
        <v>30</v>
      </c>
      <c r="D17" s="282">
        <f t="shared" si="5"/>
        <v>30</v>
      </c>
      <c r="E17" s="282">
        <f t="shared" si="6"/>
        <v>1</v>
      </c>
      <c r="K17" s="27">
        <f t="shared" si="11"/>
        <v>30</v>
      </c>
      <c r="L17" s="27" t="str">
        <f t="shared" si="7"/>
        <v xml:space="preserve"> </v>
      </c>
      <c r="M17" s="323"/>
      <c r="V17" s="125"/>
      <c r="W17" s="85"/>
      <c r="X17" s="80"/>
      <c r="Y17" s="80"/>
      <c r="Z17" s="80">
        <f t="shared" si="1"/>
        <v>30</v>
      </c>
      <c r="AA17" s="50">
        <f t="shared" si="8"/>
        <v>7920</v>
      </c>
      <c r="AB17" s="50">
        <f t="shared" si="8"/>
        <v>264</v>
      </c>
      <c r="AC17" s="83"/>
      <c r="AD17" s="80"/>
      <c r="AE17" s="80"/>
      <c r="AF17" s="80"/>
      <c r="AG17" s="80"/>
      <c r="AH17" s="80" t="str">
        <f t="shared" si="2"/>
        <v xml:space="preserve"> </v>
      </c>
      <c r="AI17" s="50">
        <f t="shared" si="9"/>
        <v>0</v>
      </c>
      <c r="AJ17" s="50">
        <f t="shared" si="9"/>
        <v>0</v>
      </c>
      <c r="AS17" s="44"/>
      <c r="AT17" s="5">
        <v>25.4</v>
      </c>
      <c r="AU17" s="5">
        <v>25.3</v>
      </c>
      <c r="AV17" s="5">
        <v>25.8</v>
      </c>
      <c r="AW17" s="5">
        <v>26.4</v>
      </c>
      <c r="AX17" s="5">
        <v>27.2</v>
      </c>
      <c r="AY17" s="5">
        <v>27.3</v>
      </c>
      <c r="AZ17" s="5">
        <v>27.1</v>
      </c>
      <c r="BA17" s="5">
        <v>27.3</v>
      </c>
      <c r="BB17" s="5">
        <v>27.3</v>
      </c>
      <c r="BC17" s="5">
        <v>27.1</v>
      </c>
      <c r="BD17" s="5">
        <v>26.7</v>
      </c>
      <c r="BE17" s="5">
        <v>25.9</v>
      </c>
      <c r="BF17" s="10">
        <f t="shared" si="3"/>
        <v>26.566666666666666</v>
      </c>
      <c r="BG17" s="10">
        <f t="shared" si="10"/>
        <v>26.9</v>
      </c>
      <c r="BH17" s="10">
        <f t="shared" si="4"/>
        <v>27.3</v>
      </c>
      <c r="BI17" s="10">
        <f t="shared" si="12"/>
        <v>25.3</v>
      </c>
      <c r="BJ17" s="11">
        <f t="shared" si="13"/>
        <v>2</v>
      </c>
    </row>
    <row r="18" spans="1:62" x14ac:dyDescent="0.2">
      <c r="A18" s="47" t="s">
        <v>365</v>
      </c>
      <c r="C18" s="286">
        <f t="shared" si="0"/>
        <v>29.4</v>
      </c>
      <c r="D18" s="282">
        <f t="shared" si="5"/>
        <v>29.4</v>
      </c>
      <c r="E18" s="282">
        <f t="shared" si="6"/>
        <v>1</v>
      </c>
      <c r="K18" s="27">
        <f t="shared" si="11"/>
        <v>29.4</v>
      </c>
      <c r="L18" s="27" t="str">
        <f t="shared" si="7"/>
        <v xml:space="preserve"> </v>
      </c>
      <c r="M18" s="323"/>
      <c r="V18" s="125"/>
      <c r="W18" s="85"/>
      <c r="X18" s="80"/>
      <c r="Y18" s="80"/>
      <c r="Z18" s="80">
        <f t="shared" si="1"/>
        <v>29.4</v>
      </c>
      <c r="AA18" s="50">
        <f t="shared" si="8"/>
        <v>29399999970.599998</v>
      </c>
      <c r="AB18" s="50">
        <f t="shared" si="8"/>
        <v>999999999</v>
      </c>
      <c r="AC18" s="83"/>
      <c r="AD18" s="80"/>
      <c r="AE18" s="80"/>
      <c r="AF18" s="80"/>
      <c r="AG18" s="80"/>
      <c r="AH18" s="80" t="str">
        <f t="shared" si="2"/>
        <v xml:space="preserve"> </v>
      </c>
      <c r="AI18" s="50">
        <f t="shared" si="9"/>
        <v>0</v>
      </c>
      <c r="AJ18" s="50">
        <f t="shared" si="9"/>
        <v>0</v>
      </c>
      <c r="AQ18">
        <v>15</v>
      </c>
      <c r="AS18" s="44"/>
      <c r="AT18" s="5"/>
      <c r="AU18" s="5"/>
      <c r="AV18" s="5"/>
      <c r="AW18" s="5"/>
      <c r="AX18" s="5"/>
      <c r="AY18" s="5"/>
      <c r="AZ18" s="5"/>
      <c r="BA18" s="5"/>
      <c r="BB18" s="5"/>
      <c r="BC18" s="5"/>
      <c r="BD18" s="5"/>
      <c r="BE18" s="5"/>
      <c r="BF18" s="10"/>
      <c r="BG18" s="10"/>
      <c r="BH18" s="10"/>
      <c r="BI18" s="10"/>
      <c r="BJ18" s="11"/>
    </row>
    <row r="19" spans="1:62" x14ac:dyDescent="0.2">
      <c r="A19" s="47" t="s">
        <v>129</v>
      </c>
      <c r="C19" s="286">
        <f t="shared" si="0"/>
        <v>41</v>
      </c>
      <c r="D19" s="282">
        <f t="shared" si="5"/>
        <v>41</v>
      </c>
      <c r="E19" s="282">
        <f t="shared" si="6"/>
        <v>1</v>
      </c>
      <c r="I19" t="s">
        <v>503</v>
      </c>
      <c r="K19" s="27">
        <f t="shared" si="11"/>
        <v>41</v>
      </c>
      <c r="L19" s="27" t="str">
        <f t="shared" si="7"/>
        <v xml:space="preserve"> </v>
      </c>
      <c r="M19" s="323"/>
      <c r="V19" s="125"/>
      <c r="W19" s="85"/>
      <c r="X19" s="80"/>
      <c r="Y19" s="80"/>
      <c r="Z19" s="80">
        <f t="shared" si="1"/>
        <v>41</v>
      </c>
      <c r="AA19" s="50">
        <f t="shared" si="8"/>
        <v>39196</v>
      </c>
      <c r="AB19" s="50">
        <f t="shared" si="8"/>
        <v>956</v>
      </c>
      <c r="AC19" s="83"/>
      <c r="AD19" s="80"/>
      <c r="AE19" s="80"/>
      <c r="AF19" s="80"/>
      <c r="AG19" s="80"/>
      <c r="AH19" s="80" t="str">
        <f t="shared" si="2"/>
        <v xml:space="preserve"> </v>
      </c>
      <c r="AI19" s="50">
        <f t="shared" si="9"/>
        <v>0</v>
      </c>
      <c r="AJ19" s="50">
        <f t="shared" si="9"/>
        <v>0</v>
      </c>
      <c r="AQ19">
        <v>16</v>
      </c>
      <c r="AS19" s="44"/>
      <c r="AT19" s="5">
        <v>2.2000000000000002</v>
      </c>
      <c r="AU19" s="5">
        <v>3.2</v>
      </c>
      <c r="AV19" s="5">
        <v>5.7</v>
      </c>
      <c r="AW19" s="5">
        <v>9.1</v>
      </c>
      <c r="AX19" s="5">
        <v>13</v>
      </c>
      <c r="AY19" s="5">
        <v>16.100000000000001</v>
      </c>
      <c r="AZ19" s="5">
        <v>17.7</v>
      </c>
      <c r="BA19" s="5">
        <v>17.5</v>
      </c>
      <c r="BB19" s="5">
        <v>14.9</v>
      </c>
      <c r="BC19" s="5">
        <v>10.6</v>
      </c>
      <c r="BD19" s="5">
        <v>5.9</v>
      </c>
      <c r="BE19" s="5">
        <v>3.1</v>
      </c>
      <c r="BF19" s="10">
        <f t="shared" si="3"/>
        <v>9.9166666666666661</v>
      </c>
      <c r="BG19" s="10">
        <f t="shared" si="10"/>
        <v>9.85</v>
      </c>
      <c r="BH19" s="10">
        <f t="shared" si="4"/>
        <v>17.7</v>
      </c>
      <c r="BI19" s="10">
        <f t="shared" si="12"/>
        <v>2.2000000000000002</v>
      </c>
      <c r="BJ19" s="11">
        <f t="shared" si="13"/>
        <v>15.5</v>
      </c>
    </row>
    <row r="20" spans="1:62" x14ac:dyDescent="0.2">
      <c r="A20" s="47" t="s">
        <v>366</v>
      </c>
      <c r="C20" s="286"/>
      <c r="D20" s="282">
        <f t="shared" si="5"/>
        <v>0</v>
      </c>
      <c r="E20" s="282">
        <f t="shared" si="6"/>
        <v>0</v>
      </c>
      <c r="I20" t="s">
        <v>503</v>
      </c>
      <c r="K20" s="27" t="str">
        <f t="shared" si="11"/>
        <v xml:space="preserve"> </v>
      </c>
      <c r="L20" s="27" t="str">
        <f t="shared" si="7"/>
        <v xml:space="preserve"> </v>
      </c>
      <c r="M20" s="323"/>
      <c r="V20" s="125"/>
      <c r="W20" s="85"/>
      <c r="X20" s="80"/>
      <c r="Y20" s="80"/>
      <c r="Z20" s="80" t="str">
        <f t="shared" si="1"/>
        <v xml:space="preserve"> </v>
      </c>
      <c r="AA20" s="50">
        <f t="shared" si="8"/>
        <v>0</v>
      </c>
      <c r="AB20" s="50">
        <f t="shared" si="8"/>
        <v>0</v>
      </c>
      <c r="AC20" s="83"/>
      <c r="AD20" s="80"/>
      <c r="AE20" s="80"/>
      <c r="AF20" s="80"/>
      <c r="AG20" s="80"/>
      <c r="AH20" s="80" t="str">
        <f t="shared" si="2"/>
        <v xml:space="preserve"> </v>
      </c>
      <c r="AI20" s="50">
        <f t="shared" si="9"/>
        <v>0</v>
      </c>
      <c r="AJ20" s="50">
        <f t="shared" si="9"/>
        <v>0</v>
      </c>
      <c r="AQ20">
        <v>12</v>
      </c>
      <c r="AS20" s="44"/>
      <c r="AT20" s="5"/>
      <c r="AU20" s="5"/>
      <c r="AV20" s="5"/>
      <c r="AW20" s="5"/>
      <c r="AX20" s="5"/>
      <c r="AY20" s="5"/>
      <c r="AZ20" s="5"/>
      <c r="BA20" s="5"/>
      <c r="BB20" s="5"/>
      <c r="BC20" s="5"/>
      <c r="BD20" s="5"/>
      <c r="BE20" s="5"/>
      <c r="BF20" s="10"/>
      <c r="BG20" s="10"/>
      <c r="BH20" s="10"/>
      <c r="BI20" s="10"/>
      <c r="BJ20" s="11"/>
    </row>
    <row r="21" spans="1:62" x14ac:dyDescent="0.2">
      <c r="A21" s="47" t="s">
        <v>130</v>
      </c>
      <c r="C21" s="286"/>
      <c r="D21" s="282">
        <f t="shared" si="5"/>
        <v>0</v>
      </c>
      <c r="E21" s="282">
        <f t="shared" si="6"/>
        <v>0</v>
      </c>
      <c r="K21" s="27" t="str">
        <f t="shared" si="11"/>
        <v xml:space="preserve"> </v>
      </c>
      <c r="L21" s="27" t="str">
        <f t="shared" si="7"/>
        <v xml:space="preserve"> </v>
      </c>
      <c r="M21" s="323"/>
      <c r="V21" s="125"/>
      <c r="W21" s="85"/>
      <c r="X21" s="80"/>
      <c r="Y21" s="80"/>
      <c r="Z21" s="80" t="str">
        <f t="shared" si="1"/>
        <v xml:space="preserve"> </v>
      </c>
      <c r="AA21" s="50">
        <f t="shared" si="8"/>
        <v>0</v>
      </c>
      <c r="AB21" s="50">
        <f t="shared" si="8"/>
        <v>0</v>
      </c>
      <c r="AC21" s="83"/>
      <c r="AD21" s="80"/>
      <c r="AE21" s="80"/>
      <c r="AF21" s="80"/>
      <c r="AG21" s="80"/>
      <c r="AH21" s="80" t="str">
        <f t="shared" si="2"/>
        <v xml:space="preserve"> </v>
      </c>
      <c r="AI21" s="50">
        <f t="shared" si="9"/>
        <v>0</v>
      </c>
      <c r="AJ21" s="50">
        <f t="shared" si="9"/>
        <v>0</v>
      </c>
      <c r="AQ21">
        <v>6</v>
      </c>
      <c r="AS21" s="44"/>
      <c r="AT21" s="5">
        <v>26.671428571428574</v>
      </c>
      <c r="AU21" s="5">
        <v>28.4</v>
      </c>
      <c r="AV21" s="5">
        <v>29.271428571428572</v>
      </c>
      <c r="AW21" s="5">
        <v>28.87142857142857</v>
      </c>
      <c r="AX21" s="5">
        <v>27.714285714285719</v>
      </c>
      <c r="AY21" s="5">
        <v>26.257142857142856</v>
      </c>
      <c r="AZ21" s="5">
        <v>25.085714285714289</v>
      </c>
      <c r="BA21" s="5">
        <v>24.6</v>
      </c>
      <c r="BB21" s="5">
        <v>25.2</v>
      </c>
      <c r="BC21" s="5">
        <v>26.157142857142855</v>
      </c>
      <c r="BD21" s="5">
        <v>26.8</v>
      </c>
      <c r="BE21" s="5">
        <v>26.38571428571429</v>
      </c>
      <c r="BF21" s="10">
        <f t="shared" si="3"/>
        <v>26.784523809523808</v>
      </c>
      <c r="BG21" s="10">
        <f t="shared" si="10"/>
        <v>26.528571428571432</v>
      </c>
      <c r="BH21" s="10">
        <f t="shared" si="4"/>
        <v>29.271428571428572</v>
      </c>
      <c r="BI21" s="10">
        <f t="shared" si="12"/>
        <v>24.6</v>
      </c>
      <c r="BJ21" s="11">
        <f t="shared" si="13"/>
        <v>4.6714285714285708</v>
      </c>
    </row>
    <row r="22" spans="1:62" x14ac:dyDescent="0.2">
      <c r="A22" s="47" t="s">
        <v>367</v>
      </c>
      <c r="C22" s="286"/>
      <c r="D22" s="282">
        <f t="shared" si="5"/>
        <v>0</v>
      </c>
      <c r="E22" s="282">
        <f t="shared" si="6"/>
        <v>0</v>
      </c>
      <c r="K22" s="27" t="str">
        <f t="shared" si="11"/>
        <v xml:space="preserve"> </v>
      </c>
      <c r="L22" s="27" t="str">
        <f t="shared" si="7"/>
        <v xml:space="preserve"> </v>
      </c>
      <c r="M22" s="323"/>
      <c r="V22" s="125"/>
      <c r="W22" s="85"/>
      <c r="X22" s="80"/>
      <c r="Y22" s="80"/>
      <c r="Z22" s="80" t="str">
        <f t="shared" si="1"/>
        <v xml:space="preserve"> </v>
      </c>
      <c r="AA22" s="50">
        <f t="shared" si="8"/>
        <v>0</v>
      </c>
      <c r="AB22" s="50">
        <f t="shared" si="8"/>
        <v>0</v>
      </c>
      <c r="AC22" s="83"/>
      <c r="AD22" s="80"/>
      <c r="AE22" s="80"/>
      <c r="AF22" s="80"/>
      <c r="AG22" s="80"/>
      <c r="AH22" s="80" t="str">
        <f t="shared" si="2"/>
        <v xml:space="preserve"> </v>
      </c>
      <c r="AI22" s="50">
        <f t="shared" si="9"/>
        <v>0</v>
      </c>
      <c r="AJ22" s="50">
        <f t="shared" si="9"/>
        <v>0</v>
      </c>
      <c r="AQ22">
        <v>11</v>
      </c>
      <c r="AS22" s="44"/>
      <c r="AT22" s="5"/>
      <c r="AU22" s="5"/>
      <c r="AV22" s="5"/>
      <c r="AW22" s="5"/>
      <c r="AX22" s="5"/>
      <c r="AY22" s="5"/>
      <c r="AZ22" s="5"/>
      <c r="BA22" s="5"/>
      <c r="BB22" s="5"/>
      <c r="BC22" s="5"/>
      <c r="BD22" s="5"/>
      <c r="BE22" s="5"/>
      <c r="BF22" s="10"/>
      <c r="BG22" s="10"/>
      <c r="BH22" s="10"/>
      <c r="BI22" s="10"/>
      <c r="BJ22" s="11"/>
    </row>
    <row r="23" spans="1:62" x14ac:dyDescent="0.2">
      <c r="A23" s="47" t="s">
        <v>131</v>
      </c>
      <c r="C23" s="286">
        <f t="shared" si="0"/>
        <v>46.26</v>
      </c>
      <c r="D23" s="282">
        <f t="shared" si="5"/>
        <v>46.26</v>
      </c>
      <c r="E23" s="282">
        <f t="shared" si="6"/>
        <v>1</v>
      </c>
      <c r="K23" s="27">
        <f t="shared" si="11"/>
        <v>46.26</v>
      </c>
      <c r="L23" s="27">
        <f t="shared" si="7"/>
        <v>23.313204906431832</v>
      </c>
      <c r="M23" s="323"/>
      <c r="V23" s="125"/>
      <c r="W23" s="85"/>
      <c r="X23" s="80"/>
      <c r="Y23" s="80"/>
      <c r="Z23" s="80">
        <f t="shared" si="1"/>
        <v>46.26</v>
      </c>
      <c r="AA23" s="50">
        <f t="shared" ref="AA23:AB42" si="14">SUMIF($B$213:$B$562,$A23,AA$213:AA$562)</f>
        <v>816674.03999999992</v>
      </c>
      <c r="AB23" s="50">
        <f t="shared" si="14"/>
        <v>17654</v>
      </c>
      <c r="AC23" s="83"/>
      <c r="AD23" s="80"/>
      <c r="AE23" s="80"/>
      <c r="AF23" s="80"/>
      <c r="AG23" s="80"/>
      <c r="AH23" s="80">
        <f t="shared" si="2"/>
        <v>23.313204906431832</v>
      </c>
      <c r="AI23" s="50">
        <f t="shared" ref="AI23:AJ42" si="15">SUMIF($B$213:$B$562,$A23,AI$213:AI$562)</f>
        <v>296497.34000000003</v>
      </c>
      <c r="AJ23" s="50">
        <f t="shared" si="15"/>
        <v>12718</v>
      </c>
      <c r="AQ23">
        <v>14</v>
      </c>
      <c r="AS23" s="44"/>
      <c r="AT23" s="5">
        <v>22.931578947368426</v>
      </c>
      <c r="AU23" s="5">
        <v>22.757894736842108</v>
      </c>
      <c r="AV23" s="5">
        <v>22.436842105263157</v>
      </c>
      <c r="AW23" s="5">
        <v>21.189473684210526</v>
      </c>
      <c r="AX23" s="5">
        <v>19.63684210526316</v>
      </c>
      <c r="AY23" s="5">
        <v>17.915789473684214</v>
      </c>
      <c r="AZ23" s="5">
        <v>17.973684210526319</v>
      </c>
      <c r="BA23" s="5">
        <v>19.899999999999999</v>
      </c>
      <c r="BB23" s="5">
        <v>22.068421052631578</v>
      </c>
      <c r="BC23" s="5">
        <v>23.178947368421053</v>
      </c>
      <c r="BD23" s="5">
        <v>23.521052631578943</v>
      </c>
      <c r="BE23" s="5">
        <v>23.421052631578949</v>
      </c>
      <c r="BF23" s="10">
        <f t="shared" si="3"/>
        <v>21.410964912280704</v>
      </c>
      <c r="BG23" s="10">
        <f t="shared" si="10"/>
        <v>22.252631578947366</v>
      </c>
      <c r="BH23" s="10">
        <f t="shared" si="4"/>
        <v>23.521052631578943</v>
      </c>
      <c r="BI23" s="10">
        <f t="shared" si="12"/>
        <v>17.915789473684214</v>
      </c>
      <c r="BJ23" s="11">
        <f t="shared" si="13"/>
        <v>5.6052631578947292</v>
      </c>
    </row>
    <row r="24" spans="1:62" x14ac:dyDescent="0.2">
      <c r="A24" s="47" t="s">
        <v>368</v>
      </c>
      <c r="C24" s="286">
        <f t="shared" si="0"/>
        <v>23</v>
      </c>
      <c r="D24" s="282">
        <f t="shared" si="5"/>
        <v>23</v>
      </c>
      <c r="E24" s="282">
        <f t="shared" si="6"/>
        <v>1</v>
      </c>
      <c r="K24" s="27">
        <f t="shared" si="11"/>
        <v>23</v>
      </c>
      <c r="L24" s="27" t="str">
        <f t="shared" si="7"/>
        <v xml:space="preserve"> </v>
      </c>
      <c r="M24" s="323"/>
      <c r="V24" s="125"/>
      <c r="W24" s="85"/>
      <c r="X24" s="80"/>
      <c r="Y24" s="80"/>
      <c r="Z24" s="80">
        <f t="shared" si="1"/>
        <v>23</v>
      </c>
      <c r="AA24" s="50">
        <f t="shared" si="14"/>
        <v>12420</v>
      </c>
      <c r="AB24" s="50">
        <f t="shared" si="14"/>
        <v>540</v>
      </c>
      <c r="AC24" s="83"/>
      <c r="AD24" s="80"/>
      <c r="AE24" s="80"/>
      <c r="AF24" s="80"/>
      <c r="AG24" s="80"/>
      <c r="AH24" s="80" t="str">
        <f t="shared" si="2"/>
        <v xml:space="preserve"> </v>
      </c>
      <c r="AI24" s="50">
        <f t="shared" si="15"/>
        <v>0</v>
      </c>
      <c r="AJ24" s="50">
        <f t="shared" si="15"/>
        <v>0</v>
      </c>
      <c r="AS24" s="44"/>
      <c r="AT24" s="5"/>
      <c r="AU24" s="5"/>
      <c r="AV24" s="5"/>
      <c r="AW24" s="5"/>
      <c r="AX24" s="5"/>
      <c r="AY24" s="5"/>
      <c r="AZ24" s="5"/>
      <c r="BA24" s="5"/>
      <c r="BB24" s="5"/>
      <c r="BC24" s="5"/>
      <c r="BD24" s="5"/>
      <c r="BE24" s="5"/>
      <c r="BF24" s="10"/>
      <c r="BG24" s="10"/>
      <c r="BH24" s="10"/>
      <c r="BI24" s="10"/>
      <c r="BJ24" s="11"/>
    </row>
    <row r="25" spans="1:62" x14ac:dyDescent="0.2">
      <c r="A25" s="47" t="s">
        <v>132</v>
      </c>
      <c r="C25" s="286">
        <f t="shared" si="0"/>
        <v>32</v>
      </c>
      <c r="D25" s="282">
        <f t="shared" si="5"/>
        <v>32</v>
      </c>
      <c r="E25" s="282">
        <f t="shared" si="6"/>
        <v>1</v>
      </c>
      <c r="K25" s="27">
        <f t="shared" si="11"/>
        <v>32</v>
      </c>
      <c r="L25" s="27">
        <f t="shared" si="7"/>
        <v>18.7454412837345</v>
      </c>
      <c r="M25" s="323"/>
      <c r="V25" s="125"/>
      <c r="W25" s="85"/>
      <c r="X25" s="80"/>
      <c r="Y25" s="80"/>
      <c r="Z25" s="80">
        <f t="shared" si="1"/>
        <v>32</v>
      </c>
      <c r="AA25" s="50">
        <f t="shared" si="14"/>
        <v>44096</v>
      </c>
      <c r="AB25" s="50">
        <f t="shared" si="14"/>
        <v>1378</v>
      </c>
      <c r="AC25" s="83"/>
      <c r="AD25" s="80"/>
      <c r="AE25" s="80"/>
      <c r="AF25" s="80"/>
      <c r="AG25" s="80"/>
      <c r="AH25" s="80">
        <f t="shared" si="2"/>
        <v>18.7454412837345</v>
      </c>
      <c r="AI25" s="50">
        <f t="shared" si="15"/>
        <v>28024.434719183078</v>
      </c>
      <c r="AJ25" s="50">
        <f t="shared" si="15"/>
        <v>1495</v>
      </c>
      <c r="AQ25">
        <v>12</v>
      </c>
      <c r="AS25" s="44"/>
      <c r="AT25" s="5">
        <v>21.2</v>
      </c>
      <c r="AU25" s="5">
        <v>21</v>
      </c>
      <c r="AV25" s="5">
        <v>20.9</v>
      </c>
      <c r="AW25" s="5">
        <v>20</v>
      </c>
      <c r="AX25" s="5">
        <v>18</v>
      </c>
      <c r="AY25" s="5">
        <v>16</v>
      </c>
      <c r="AZ25" s="5">
        <v>15.9</v>
      </c>
      <c r="BA25" s="5">
        <v>18.5</v>
      </c>
      <c r="BB25" s="5">
        <v>22</v>
      </c>
      <c r="BC25" s="5">
        <v>24.2</v>
      </c>
      <c r="BD25" s="5">
        <v>23</v>
      </c>
      <c r="BE25" s="5">
        <v>21.6</v>
      </c>
      <c r="BF25" s="10">
        <f t="shared" si="3"/>
        <v>20.191666666666666</v>
      </c>
      <c r="BG25" s="10">
        <f t="shared" si="10"/>
        <v>20.95</v>
      </c>
      <c r="BH25" s="10">
        <f t="shared" si="4"/>
        <v>24.2</v>
      </c>
      <c r="BI25" s="10">
        <f t="shared" si="12"/>
        <v>15.9</v>
      </c>
      <c r="BJ25" s="11">
        <f t="shared" si="13"/>
        <v>8.2999999999999989</v>
      </c>
    </row>
    <row r="26" spans="1:62" x14ac:dyDescent="0.2">
      <c r="A26" s="47" t="s">
        <v>35</v>
      </c>
      <c r="C26" s="286">
        <f t="shared" si="0"/>
        <v>23.335999999999999</v>
      </c>
      <c r="D26" s="282">
        <f t="shared" si="5"/>
        <v>116.67999999999999</v>
      </c>
      <c r="E26" s="282">
        <f t="shared" si="6"/>
        <v>5</v>
      </c>
      <c r="K26" s="27">
        <f t="shared" si="11"/>
        <v>21.79464199903892</v>
      </c>
      <c r="L26" s="27">
        <f t="shared" si="7"/>
        <v>10.791353383458647</v>
      </c>
      <c r="M26" s="323"/>
      <c r="V26" s="125"/>
      <c r="W26" s="85"/>
      <c r="X26" s="80"/>
      <c r="Y26" s="80"/>
      <c r="Z26" s="80">
        <f t="shared" si="1"/>
        <v>21.79464199903892</v>
      </c>
      <c r="AA26" s="50">
        <f t="shared" si="14"/>
        <v>90709.299999999988</v>
      </c>
      <c r="AB26" s="50">
        <f t="shared" si="14"/>
        <v>4162</v>
      </c>
      <c r="AC26" s="83"/>
      <c r="AD26" s="80"/>
      <c r="AE26" s="80"/>
      <c r="AF26" s="80"/>
      <c r="AG26" s="80"/>
      <c r="AH26" s="80">
        <f t="shared" si="2"/>
        <v>10.791353383458647</v>
      </c>
      <c r="AI26" s="50">
        <f t="shared" si="15"/>
        <v>22964</v>
      </c>
      <c r="AJ26" s="50">
        <f t="shared" si="15"/>
        <v>2128</v>
      </c>
      <c r="AQ26">
        <v>14</v>
      </c>
      <c r="AS26" s="44"/>
      <c r="AT26" s="5">
        <v>25.05692307692307</v>
      </c>
      <c r="AU26" s="5">
        <v>25.018461538461541</v>
      </c>
      <c r="AV26" s="5">
        <v>24.856923076923078</v>
      </c>
      <c r="AW26" s="5">
        <v>23.873437500000001</v>
      </c>
      <c r="AX26" s="5">
        <v>22.67230769230769</v>
      </c>
      <c r="AY26" s="5">
        <v>21.773846153846154</v>
      </c>
      <c r="AZ26" s="5">
        <v>21.552307692307703</v>
      </c>
      <c r="BA26" s="5">
        <v>22.54</v>
      </c>
      <c r="BB26" s="5">
        <v>23.515384615384615</v>
      </c>
      <c r="BC26" s="5">
        <v>24.18</v>
      </c>
      <c r="BD26" s="5">
        <v>24.56</v>
      </c>
      <c r="BE26" s="5">
        <v>24.883076923076931</v>
      </c>
      <c r="BF26" s="10">
        <f t="shared" si="3"/>
        <v>23.706889022435899</v>
      </c>
      <c r="BG26" s="10">
        <f t="shared" si="10"/>
        <v>24.026718750000001</v>
      </c>
      <c r="BH26" s="10">
        <f t="shared" si="4"/>
        <v>25.05692307692307</v>
      </c>
      <c r="BI26" s="10">
        <f t="shared" si="12"/>
        <v>21.552307692307703</v>
      </c>
      <c r="BJ26" s="11">
        <f t="shared" si="13"/>
        <v>3.5046153846153665</v>
      </c>
    </row>
    <row r="27" spans="1:62" x14ac:dyDescent="0.2">
      <c r="A27" s="47" t="s">
        <v>369</v>
      </c>
      <c r="C27" s="286"/>
      <c r="D27" s="282">
        <f t="shared" si="5"/>
        <v>0</v>
      </c>
      <c r="E27" s="282">
        <f t="shared" si="6"/>
        <v>0</v>
      </c>
      <c r="K27" s="27" t="str">
        <f t="shared" si="11"/>
        <v xml:space="preserve"> </v>
      </c>
      <c r="L27" s="27" t="str">
        <f t="shared" si="7"/>
        <v xml:space="preserve"> </v>
      </c>
      <c r="M27" s="323"/>
      <c r="V27" s="125"/>
      <c r="W27" s="85"/>
      <c r="X27" s="80"/>
      <c r="Y27" s="80"/>
      <c r="Z27" s="80" t="str">
        <f t="shared" si="1"/>
        <v xml:space="preserve"> </v>
      </c>
      <c r="AA27" s="50">
        <f t="shared" si="14"/>
        <v>0</v>
      </c>
      <c r="AB27" s="50">
        <f t="shared" si="14"/>
        <v>0</v>
      </c>
      <c r="AC27" s="83"/>
      <c r="AD27" s="80"/>
      <c r="AE27" s="80"/>
      <c r="AF27" s="80"/>
      <c r="AG27" s="80"/>
      <c r="AH27" s="80" t="str">
        <f t="shared" si="2"/>
        <v xml:space="preserve"> </v>
      </c>
      <c r="AI27" s="50">
        <f t="shared" si="15"/>
        <v>0</v>
      </c>
      <c r="AJ27" s="50">
        <f t="shared" si="15"/>
        <v>0</v>
      </c>
      <c r="AQ27">
        <v>14</v>
      </c>
      <c r="AS27" s="44"/>
      <c r="AT27" s="5"/>
      <c r="AU27" s="5"/>
      <c r="AV27" s="5"/>
      <c r="AW27" s="5"/>
      <c r="AX27" s="5"/>
      <c r="AY27" s="5"/>
      <c r="AZ27" s="5"/>
      <c r="BA27" s="5"/>
      <c r="BB27" s="5"/>
      <c r="BC27" s="5"/>
      <c r="BD27" s="5"/>
      <c r="BE27" s="5"/>
      <c r="BF27" s="10"/>
      <c r="BG27" s="10"/>
      <c r="BH27" s="10"/>
      <c r="BI27" s="10"/>
      <c r="BJ27" s="11"/>
    </row>
    <row r="28" spans="1:62" x14ac:dyDescent="0.2">
      <c r="A28" s="47" t="s">
        <v>133</v>
      </c>
      <c r="C28" s="286"/>
      <c r="D28" s="282">
        <f t="shared" si="5"/>
        <v>0</v>
      </c>
      <c r="E28" s="282">
        <f t="shared" si="6"/>
        <v>0</v>
      </c>
      <c r="K28" s="27" t="str">
        <f t="shared" si="11"/>
        <v xml:space="preserve"> </v>
      </c>
      <c r="L28" s="27" t="str">
        <f t="shared" si="7"/>
        <v xml:space="preserve"> </v>
      </c>
      <c r="M28" s="323"/>
      <c r="V28" s="125"/>
      <c r="W28" s="85"/>
      <c r="X28" s="80"/>
      <c r="Y28" s="80"/>
      <c r="Z28" s="80" t="str">
        <f t="shared" si="1"/>
        <v xml:space="preserve"> </v>
      </c>
      <c r="AA28" s="50">
        <f t="shared" si="14"/>
        <v>0</v>
      </c>
      <c r="AB28" s="50">
        <f t="shared" si="14"/>
        <v>0</v>
      </c>
      <c r="AC28" s="83"/>
      <c r="AD28" s="80"/>
      <c r="AE28" s="80"/>
      <c r="AF28" s="80"/>
      <c r="AG28" s="80"/>
      <c r="AH28" s="80" t="str">
        <f t="shared" si="2"/>
        <v xml:space="preserve"> </v>
      </c>
      <c r="AI28" s="50">
        <f t="shared" si="15"/>
        <v>0</v>
      </c>
      <c r="AJ28" s="50">
        <f t="shared" si="15"/>
        <v>0</v>
      </c>
      <c r="AQ28">
        <v>14</v>
      </c>
      <c r="AS28" s="44"/>
      <c r="AT28" s="5">
        <v>-1.62</v>
      </c>
      <c r="AU28" s="5">
        <v>-1.9999999999999928E-2</v>
      </c>
      <c r="AV28" s="5">
        <v>2.82</v>
      </c>
      <c r="AW28" s="5">
        <v>8.2899999999999991</v>
      </c>
      <c r="AX28" s="5">
        <v>12.61</v>
      </c>
      <c r="AY28" s="5">
        <v>16.48</v>
      </c>
      <c r="AZ28" s="5">
        <v>19.977777777777778</v>
      </c>
      <c r="BA28" s="5">
        <v>18.63</v>
      </c>
      <c r="BB28" s="5">
        <v>15.01</v>
      </c>
      <c r="BC28" s="5">
        <v>10.16</v>
      </c>
      <c r="BD28" s="5">
        <v>5.37</v>
      </c>
      <c r="BE28" s="5">
        <v>0.71</v>
      </c>
      <c r="BF28" s="10">
        <f t="shared" si="3"/>
        <v>9.0348148148148137</v>
      </c>
      <c r="BG28" s="10">
        <f t="shared" si="10"/>
        <v>9.2249999999999996</v>
      </c>
      <c r="BH28" s="10">
        <f t="shared" si="4"/>
        <v>19.977777777777778</v>
      </c>
      <c r="BI28" s="10">
        <f t="shared" si="12"/>
        <v>-1.62</v>
      </c>
      <c r="BJ28" s="11">
        <f t="shared" si="13"/>
        <v>21.597777777777779</v>
      </c>
    </row>
    <row r="29" spans="1:62" x14ac:dyDescent="0.2">
      <c r="A29" s="47" t="s">
        <v>356</v>
      </c>
      <c r="C29" s="286"/>
      <c r="D29" s="282">
        <f t="shared" si="5"/>
        <v>0</v>
      </c>
      <c r="E29" s="282">
        <f t="shared" si="6"/>
        <v>0</v>
      </c>
      <c r="I29" t="s">
        <v>503</v>
      </c>
      <c r="K29" s="27" t="str">
        <f t="shared" si="11"/>
        <v xml:space="preserve"> </v>
      </c>
      <c r="L29" s="27" t="str">
        <f t="shared" si="7"/>
        <v xml:space="preserve"> </v>
      </c>
      <c r="M29" s="323"/>
      <c r="V29" s="125"/>
      <c r="W29" s="85"/>
      <c r="X29" s="80"/>
      <c r="Y29" s="80"/>
      <c r="Z29" s="80" t="str">
        <f t="shared" si="1"/>
        <v xml:space="preserve"> </v>
      </c>
      <c r="AA29" s="50">
        <f t="shared" si="14"/>
        <v>0</v>
      </c>
      <c r="AB29" s="50">
        <f t="shared" si="14"/>
        <v>0</v>
      </c>
      <c r="AC29" s="83"/>
      <c r="AD29" s="80"/>
      <c r="AE29" s="80"/>
      <c r="AF29" s="80"/>
      <c r="AG29" s="80"/>
      <c r="AH29" s="80" t="str">
        <f t="shared" si="2"/>
        <v xml:space="preserve"> </v>
      </c>
      <c r="AI29" s="50">
        <f t="shared" si="15"/>
        <v>0</v>
      </c>
      <c r="AJ29" s="50">
        <f t="shared" si="15"/>
        <v>0</v>
      </c>
      <c r="AQ29">
        <v>6</v>
      </c>
      <c r="AS29" s="44"/>
      <c r="AT29" s="5">
        <v>24.9</v>
      </c>
      <c r="AU29" s="5">
        <v>27.566666666666666</v>
      </c>
      <c r="AV29" s="5">
        <v>30.333333333333332</v>
      </c>
      <c r="AW29" s="5">
        <v>31.75</v>
      </c>
      <c r="AX29" s="5">
        <v>31.083333333333332</v>
      </c>
      <c r="AY29" s="5">
        <v>28.933333333333334</v>
      </c>
      <c r="AZ29" s="5">
        <v>26.833333333333332</v>
      </c>
      <c r="BA29" s="5">
        <v>26.066666666666663</v>
      </c>
      <c r="BB29" s="5">
        <v>26.666666666666668</v>
      </c>
      <c r="BC29" s="5">
        <v>28.433333333333334</v>
      </c>
      <c r="BD29" s="5">
        <v>27.4</v>
      </c>
      <c r="BE29" s="5">
        <v>25.2</v>
      </c>
      <c r="BF29" s="10">
        <f>AVERAGE(AT29:BE29)</f>
        <v>27.930555555555554</v>
      </c>
      <c r="BG29" s="10">
        <f>MEDIAN(AT29:BE29)</f>
        <v>27.483333333333334</v>
      </c>
      <c r="BH29" s="10">
        <f>MAX(AT29:BE29)</f>
        <v>31.75</v>
      </c>
      <c r="BI29" s="10">
        <f t="shared" si="12"/>
        <v>24.9</v>
      </c>
      <c r="BJ29" s="11">
        <f t="shared" si="13"/>
        <v>6.8500000000000014</v>
      </c>
    </row>
    <row r="30" spans="1:62" x14ac:dyDescent="0.2">
      <c r="A30" s="47" t="s">
        <v>134</v>
      </c>
      <c r="C30" s="286">
        <f t="shared" si="0"/>
        <v>38.22</v>
      </c>
      <c r="D30" s="282">
        <f t="shared" si="5"/>
        <v>38.22</v>
      </c>
      <c r="E30" s="282">
        <f t="shared" si="6"/>
        <v>1</v>
      </c>
      <c r="K30" s="27">
        <f t="shared" si="11"/>
        <v>38.22</v>
      </c>
      <c r="L30" s="27" t="str">
        <f t="shared" si="7"/>
        <v xml:space="preserve"> </v>
      </c>
      <c r="M30" s="323"/>
      <c r="V30" s="125"/>
      <c r="W30" s="85"/>
      <c r="X30" s="80"/>
      <c r="Y30" s="80"/>
      <c r="Z30" s="80">
        <f t="shared" si="1"/>
        <v>38.22</v>
      </c>
      <c r="AA30" s="50">
        <f t="shared" si="14"/>
        <v>38219999961.779999</v>
      </c>
      <c r="AB30" s="50">
        <f t="shared" si="14"/>
        <v>999999999</v>
      </c>
      <c r="AC30" s="83"/>
      <c r="AD30" s="80"/>
      <c r="AE30" s="80"/>
      <c r="AF30" s="80"/>
      <c r="AG30" s="80"/>
      <c r="AH30" s="80" t="str">
        <f t="shared" si="2"/>
        <v xml:space="preserve"> </v>
      </c>
      <c r="AI30" s="50">
        <f t="shared" si="15"/>
        <v>0</v>
      </c>
      <c r="AJ30" s="50">
        <f t="shared" si="15"/>
        <v>0</v>
      </c>
      <c r="AQ30">
        <v>7</v>
      </c>
      <c r="AS30" s="44"/>
      <c r="AT30" s="5">
        <v>23.5</v>
      </c>
      <c r="AU30" s="5" t="s">
        <v>135</v>
      </c>
      <c r="AV30" s="5">
        <v>22.8</v>
      </c>
      <c r="AW30" s="5">
        <v>22.8</v>
      </c>
      <c r="AX30" s="5" t="s">
        <v>135</v>
      </c>
      <c r="AY30" s="5">
        <v>22</v>
      </c>
      <c r="AZ30" s="5" t="s">
        <v>135</v>
      </c>
      <c r="BA30" s="5">
        <v>22.8</v>
      </c>
      <c r="BB30" s="5" t="s">
        <v>135</v>
      </c>
      <c r="BC30" s="5" t="s">
        <v>135</v>
      </c>
      <c r="BD30" s="5" t="s">
        <v>135</v>
      </c>
      <c r="BE30" s="5" t="s">
        <v>135</v>
      </c>
      <c r="BF30" s="10">
        <f t="shared" si="3"/>
        <v>22.779999999999998</v>
      </c>
      <c r="BG30" s="10">
        <f t="shared" si="10"/>
        <v>22.8</v>
      </c>
      <c r="BH30" s="10">
        <f t="shared" si="4"/>
        <v>23.5</v>
      </c>
      <c r="BI30" s="10">
        <f t="shared" si="12"/>
        <v>22</v>
      </c>
      <c r="BJ30" s="11">
        <f t="shared" si="13"/>
        <v>1.5</v>
      </c>
    </row>
    <row r="31" spans="1:62" x14ac:dyDescent="0.2">
      <c r="A31" s="47" t="s">
        <v>136</v>
      </c>
      <c r="C31" s="286">
        <f t="shared" si="0"/>
        <v>31.479999999999997</v>
      </c>
      <c r="D31" s="282">
        <f t="shared" si="5"/>
        <v>62.959999999999994</v>
      </c>
      <c r="E31" s="282">
        <f t="shared" si="6"/>
        <v>2</v>
      </c>
      <c r="K31" s="27">
        <f t="shared" si="11"/>
        <v>36.349093840696547</v>
      </c>
      <c r="L31" s="27">
        <f t="shared" si="7"/>
        <v>21.97</v>
      </c>
      <c r="M31" s="323"/>
      <c r="V31" s="125"/>
      <c r="W31" s="85"/>
      <c r="X31" s="80"/>
      <c r="Y31" s="80"/>
      <c r="Z31" s="80">
        <f t="shared" si="1"/>
        <v>36.349093840696547</v>
      </c>
      <c r="AA31" s="50">
        <f t="shared" si="14"/>
        <v>450874.16</v>
      </c>
      <c r="AB31" s="50">
        <f t="shared" si="14"/>
        <v>12404</v>
      </c>
      <c r="AC31" s="83"/>
      <c r="AD31" s="80"/>
      <c r="AE31" s="80"/>
      <c r="AF31" s="80"/>
      <c r="AG31" s="80"/>
      <c r="AH31" s="80">
        <f t="shared" si="2"/>
        <v>21.97</v>
      </c>
      <c r="AI31" s="50">
        <f t="shared" si="15"/>
        <v>234112.31999999998</v>
      </c>
      <c r="AJ31" s="50">
        <f t="shared" si="15"/>
        <v>10656</v>
      </c>
      <c r="AQ31">
        <v>9</v>
      </c>
      <c r="AS31" s="44"/>
      <c r="AT31" s="5">
        <v>24.13703703703704</v>
      </c>
      <c r="AU31" s="5">
        <v>25.1</v>
      </c>
      <c r="AV31" s="5">
        <v>25.840740740740735</v>
      </c>
      <c r="AW31" s="5">
        <v>25.703703703703702</v>
      </c>
      <c r="AX31" s="5">
        <v>25.066666666666666</v>
      </c>
      <c r="AY31" s="5">
        <v>23.907407407407408</v>
      </c>
      <c r="AZ31" s="5">
        <v>22.974074074074071</v>
      </c>
      <c r="BA31" s="5">
        <v>22.907407407407408</v>
      </c>
      <c r="BB31" s="5">
        <v>23.42592592592592</v>
      </c>
      <c r="BC31" s="5">
        <v>23.966666666666658</v>
      </c>
      <c r="BD31" s="5">
        <v>24.277777777777779</v>
      </c>
      <c r="BE31" s="5">
        <v>24.081481481481482</v>
      </c>
      <c r="BF31" s="10">
        <f t="shared" si="3"/>
        <v>24.282407407407408</v>
      </c>
      <c r="BG31" s="10">
        <f t="shared" si="10"/>
        <v>24.109259259259261</v>
      </c>
      <c r="BH31" s="10">
        <f t="shared" si="4"/>
        <v>25.840740740740735</v>
      </c>
      <c r="BI31" s="10">
        <f t="shared" si="12"/>
        <v>22.907407407407408</v>
      </c>
      <c r="BJ31" s="11">
        <f t="shared" si="13"/>
        <v>2.9333333333333265</v>
      </c>
    </row>
    <row r="32" spans="1:62" x14ac:dyDescent="0.2">
      <c r="A32" s="47" t="s">
        <v>62</v>
      </c>
      <c r="C32" s="286">
        <f t="shared" si="0"/>
        <v>17.75</v>
      </c>
      <c r="D32" s="282">
        <f t="shared" si="5"/>
        <v>71</v>
      </c>
      <c r="E32" s="282">
        <f t="shared" si="6"/>
        <v>4</v>
      </c>
      <c r="K32" s="27">
        <f t="shared" si="11"/>
        <v>20.634275953691404</v>
      </c>
      <c r="L32" s="27">
        <f t="shared" si="7"/>
        <v>3.2885493501931857</v>
      </c>
      <c r="M32" s="323"/>
      <c r="V32" s="125"/>
      <c r="W32" s="85"/>
      <c r="X32" s="80"/>
      <c r="Y32" s="80"/>
      <c r="Z32" s="80">
        <f t="shared" si="1"/>
        <v>20.634275953691404</v>
      </c>
      <c r="AA32" s="50">
        <f t="shared" si="14"/>
        <v>434888</v>
      </c>
      <c r="AB32" s="50">
        <f t="shared" si="14"/>
        <v>21076</v>
      </c>
      <c r="AC32" s="83"/>
      <c r="AD32" s="80"/>
      <c r="AE32" s="80"/>
      <c r="AF32" s="80"/>
      <c r="AG32" s="80"/>
      <c r="AH32" s="80">
        <f t="shared" si="2"/>
        <v>3.2885493501931857</v>
      </c>
      <c r="AI32" s="50">
        <f t="shared" si="15"/>
        <v>74900</v>
      </c>
      <c r="AJ32" s="50">
        <f t="shared" si="15"/>
        <v>22776</v>
      </c>
      <c r="AQ32">
        <v>16</v>
      </c>
      <c r="AS32" s="44"/>
      <c r="AT32" s="5">
        <v>-15.626612903225791</v>
      </c>
      <c r="AU32" s="5">
        <v>-13.905645161290318</v>
      </c>
      <c r="AV32" s="5">
        <v>-8.5475806451612897</v>
      </c>
      <c r="AW32" s="5">
        <v>-0.27389558232931771</v>
      </c>
      <c r="AX32" s="5">
        <v>7.0666666666666655</v>
      </c>
      <c r="AY32" s="5">
        <v>12.723694779116464</v>
      </c>
      <c r="AZ32" s="5">
        <v>15.917670682730916</v>
      </c>
      <c r="BA32" s="5">
        <v>14.832931726907631</v>
      </c>
      <c r="BB32" s="5">
        <v>9.9168674698795112</v>
      </c>
      <c r="BC32" s="5">
        <v>3.4401606425702811</v>
      </c>
      <c r="BD32" s="5">
        <v>-5.0473895582329327</v>
      </c>
      <c r="BE32" s="5">
        <v>-12.199596774193552</v>
      </c>
      <c r="BF32" s="10">
        <f t="shared" si="3"/>
        <v>0.69143927861985599</v>
      </c>
      <c r="BG32" s="10">
        <f t="shared" si="10"/>
        <v>1.5831325301204817</v>
      </c>
      <c r="BH32" s="10">
        <f t="shared" si="4"/>
        <v>15.917670682730916</v>
      </c>
      <c r="BI32" s="10">
        <f t="shared" si="12"/>
        <v>-15.626612903225791</v>
      </c>
      <c r="BJ32" s="11">
        <f t="shared" si="13"/>
        <v>31.544283585956705</v>
      </c>
    </row>
    <row r="33" spans="1:62" x14ac:dyDescent="0.2">
      <c r="A33" s="47" t="s">
        <v>370</v>
      </c>
      <c r="C33" s="286">
        <f t="shared" si="0"/>
        <v>15.7</v>
      </c>
      <c r="D33" s="282">
        <f t="shared" si="5"/>
        <v>15.7</v>
      </c>
      <c r="E33" s="282">
        <f t="shared" si="6"/>
        <v>1</v>
      </c>
      <c r="K33" s="27">
        <f t="shared" si="11"/>
        <v>15.7</v>
      </c>
      <c r="L33" s="27">
        <f t="shared" si="7"/>
        <v>7.8</v>
      </c>
      <c r="M33" s="323"/>
      <c r="V33" s="125"/>
      <c r="W33" s="85"/>
      <c r="X33" s="80"/>
      <c r="Y33" s="80"/>
      <c r="Z33" s="80">
        <f t="shared" si="1"/>
        <v>15.7</v>
      </c>
      <c r="AA33" s="50">
        <f t="shared" si="14"/>
        <v>15699999984.299999</v>
      </c>
      <c r="AB33" s="50">
        <f t="shared" si="14"/>
        <v>999999999</v>
      </c>
      <c r="AC33" s="83"/>
      <c r="AD33" s="80"/>
      <c r="AE33" s="80"/>
      <c r="AF33" s="80"/>
      <c r="AG33" s="80"/>
      <c r="AH33" s="80">
        <f t="shared" si="2"/>
        <v>7.8</v>
      </c>
      <c r="AI33" s="50">
        <f t="shared" si="15"/>
        <v>7799999992.1999998</v>
      </c>
      <c r="AJ33" s="50">
        <f t="shared" si="15"/>
        <v>999999999</v>
      </c>
      <c r="AQ33">
        <v>11</v>
      </c>
      <c r="AS33" s="44"/>
      <c r="AT33" s="5"/>
      <c r="AU33" s="5"/>
      <c r="AV33" s="5"/>
      <c r="AW33" s="5"/>
      <c r="AX33" s="5"/>
      <c r="AY33" s="5"/>
      <c r="AZ33" s="5"/>
      <c r="BA33" s="5"/>
      <c r="BB33" s="5"/>
      <c r="BC33" s="5"/>
      <c r="BD33" s="5"/>
      <c r="BE33" s="5"/>
      <c r="BF33" s="10"/>
      <c r="BG33" s="10"/>
      <c r="BH33" s="10"/>
      <c r="BI33" s="10"/>
      <c r="BJ33" s="11"/>
    </row>
    <row r="34" spans="1:62" x14ac:dyDescent="0.2">
      <c r="A34" s="47" t="s">
        <v>371</v>
      </c>
      <c r="C34" s="286"/>
      <c r="D34" s="282">
        <f t="shared" si="5"/>
        <v>0</v>
      </c>
      <c r="E34" s="282">
        <f t="shared" si="6"/>
        <v>0</v>
      </c>
      <c r="K34" s="27" t="str">
        <f t="shared" si="11"/>
        <v xml:space="preserve"> </v>
      </c>
      <c r="L34" s="27" t="str">
        <f t="shared" si="7"/>
        <v xml:space="preserve"> </v>
      </c>
      <c r="M34" s="323"/>
      <c r="V34" s="125"/>
      <c r="W34" s="85"/>
      <c r="X34" s="80"/>
      <c r="Y34" s="80"/>
      <c r="Z34" s="80" t="str">
        <f t="shared" si="1"/>
        <v xml:space="preserve"> </v>
      </c>
      <c r="AA34" s="50">
        <f t="shared" si="14"/>
        <v>0</v>
      </c>
      <c r="AB34" s="50">
        <f t="shared" si="14"/>
        <v>0</v>
      </c>
      <c r="AC34" s="83"/>
      <c r="AD34" s="80"/>
      <c r="AE34" s="80"/>
      <c r="AF34" s="80"/>
      <c r="AG34" s="80"/>
      <c r="AH34" s="80" t="str">
        <f t="shared" si="2"/>
        <v xml:space="preserve"> </v>
      </c>
      <c r="AI34" s="50">
        <f t="shared" si="15"/>
        <v>0</v>
      </c>
      <c r="AJ34" s="50">
        <f t="shared" si="15"/>
        <v>0</v>
      </c>
      <c r="AQ34">
        <v>13</v>
      </c>
      <c r="AS34" s="44"/>
      <c r="AT34" s="5"/>
      <c r="AU34" s="5"/>
      <c r="AV34" s="5"/>
      <c r="AW34" s="5"/>
      <c r="AX34" s="5"/>
      <c r="AY34" s="5"/>
      <c r="AZ34" s="5"/>
      <c r="BA34" s="5"/>
      <c r="BB34" s="5"/>
      <c r="BC34" s="5"/>
      <c r="BD34" s="5"/>
      <c r="BE34" s="5"/>
      <c r="BF34" s="10"/>
      <c r="BG34" s="10"/>
      <c r="BH34" s="10"/>
      <c r="BI34" s="10"/>
      <c r="BJ34" s="11"/>
    </row>
    <row r="35" spans="1:62" x14ac:dyDescent="0.2">
      <c r="A35" s="47" t="s">
        <v>137</v>
      </c>
      <c r="C35" s="286">
        <f t="shared" si="0"/>
        <v>35.299999999999997</v>
      </c>
      <c r="D35" s="282">
        <f t="shared" ref="D35:D66" si="16">SUMIF($B$213:$B$562,$A35,K$213:K$562)</f>
        <v>35.299999999999997</v>
      </c>
      <c r="E35" s="282">
        <f t="shared" ref="E35:E66" si="17">COUNTIFS($B$213:$B$562,$A35, $K$213:$K$562,"&gt;0")</f>
        <v>1</v>
      </c>
      <c r="K35" s="27">
        <f t="shared" si="11"/>
        <v>35.299999999999997</v>
      </c>
      <c r="L35" s="27">
        <f t="shared" si="7"/>
        <v>28.7</v>
      </c>
      <c r="M35" s="323"/>
      <c r="V35" s="125"/>
      <c r="W35" s="85"/>
      <c r="X35" s="80"/>
      <c r="Y35" s="80"/>
      <c r="Z35" s="80">
        <f t="shared" si="1"/>
        <v>35.299999999999997</v>
      </c>
      <c r="AA35" s="50">
        <f t="shared" si="14"/>
        <v>399454.8</v>
      </c>
      <c r="AB35" s="50">
        <f t="shared" si="14"/>
        <v>11316</v>
      </c>
      <c r="AC35" s="83"/>
      <c r="AD35" s="80"/>
      <c r="AE35" s="80"/>
      <c r="AF35" s="80"/>
      <c r="AG35" s="80"/>
      <c r="AH35" s="80">
        <f t="shared" si="2"/>
        <v>28.7</v>
      </c>
      <c r="AI35" s="50">
        <f t="shared" si="15"/>
        <v>324769.2</v>
      </c>
      <c r="AJ35" s="50">
        <f t="shared" si="15"/>
        <v>11316</v>
      </c>
      <c r="AQ35">
        <v>5</v>
      </c>
      <c r="AS35" s="44"/>
      <c r="AT35" s="5">
        <v>24.714285714285719</v>
      </c>
      <c r="AU35" s="5">
        <v>26.414285714285715</v>
      </c>
      <c r="AV35" s="5">
        <v>27.128571428571433</v>
      </c>
      <c r="AW35" s="5">
        <v>26.814285714285717</v>
      </c>
      <c r="AX35" s="5">
        <v>26.021428571428572</v>
      </c>
      <c r="AY35" s="5">
        <v>24.957142857142856</v>
      </c>
      <c r="AZ35" s="5">
        <v>24.192857142857143</v>
      </c>
      <c r="BA35" s="5">
        <v>24.15</v>
      </c>
      <c r="BB35" s="5">
        <v>24.328571428571429</v>
      </c>
      <c r="BC35" s="5">
        <v>24.692857142857147</v>
      </c>
      <c r="BD35" s="5">
        <v>24.835714285714285</v>
      </c>
      <c r="BE35" s="5">
        <v>24.257142857142856</v>
      </c>
      <c r="BF35" s="10">
        <f t="shared" si="3"/>
        <v>25.208928571428572</v>
      </c>
      <c r="BG35" s="10">
        <f t="shared" si="10"/>
        <v>24.775000000000002</v>
      </c>
      <c r="BH35" s="10">
        <f t="shared" si="4"/>
        <v>27.128571428571433</v>
      </c>
      <c r="BI35" s="10">
        <f t="shared" si="12"/>
        <v>24.15</v>
      </c>
      <c r="BJ35" s="11">
        <f t="shared" si="13"/>
        <v>2.9785714285714349</v>
      </c>
    </row>
    <row r="36" spans="1:62" x14ac:dyDescent="0.2">
      <c r="A36" s="47" t="s">
        <v>138</v>
      </c>
      <c r="C36" s="286">
        <f t="shared" si="0"/>
        <v>26.1</v>
      </c>
      <c r="D36" s="282">
        <f t="shared" si="16"/>
        <v>26.1</v>
      </c>
      <c r="E36" s="282">
        <f t="shared" si="17"/>
        <v>1</v>
      </c>
      <c r="K36" s="27">
        <f t="shared" si="11"/>
        <v>26.1</v>
      </c>
      <c r="L36" s="27" t="str">
        <f t="shared" si="7"/>
        <v xml:space="preserve"> </v>
      </c>
      <c r="M36" s="323"/>
      <c r="V36" s="125"/>
      <c r="W36" s="85"/>
      <c r="X36" s="80"/>
      <c r="Y36" s="80"/>
      <c r="Z36" s="80">
        <f t="shared" si="1"/>
        <v>26.1</v>
      </c>
      <c r="AA36" s="50">
        <f t="shared" si="14"/>
        <v>24638.400000000001</v>
      </c>
      <c r="AB36" s="50">
        <f t="shared" si="14"/>
        <v>944</v>
      </c>
      <c r="AC36" s="83"/>
      <c r="AD36" s="80"/>
      <c r="AE36" s="80"/>
      <c r="AF36" s="80"/>
      <c r="AG36" s="80"/>
      <c r="AH36" s="80" t="str">
        <f t="shared" si="2"/>
        <v xml:space="preserve"> </v>
      </c>
      <c r="AI36" s="50">
        <f t="shared" si="15"/>
        <v>0</v>
      </c>
      <c r="AJ36" s="50">
        <f t="shared" si="15"/>
        <v>0</v>
      </c>
      <c r="AQ36">
        <v>4</v>
      </c>
      <c r="AS36" s="44"/>
      <c r="AT36" s="5">
        <v>23.253846153846151</v>
      </c>
      <c r="AU36" s="5">
        <v>25.661538461538459</v>
      </c>
      <c r="AV36" s="5">
        <v>29.207692307692305</v>
      </c>
      <c r="AW36" s="5">
        <v>31.430769230769229</v>
      </c>
      <c r="AX36" s="5">
        <v>31.3</v>
      </c>
      <c r="AY36" s="5">
        <v>30.092307692307699</v>
      </c>
      <c r="AZ36" s="5">
        <v>28.3</v>
      </c>
      <c r="BA36" s="5">
        <v>27.323076923076922</v>
      </c>
      <c r="BB36" s="5">
        <v>27.776923076923079</v>
      </c>
      <c r="BC36" s="5">
        <v>28.084615384615383</v>
      </c>
      <c r="BD36" s="5">
        <v>26.123076923076919</v>
      </c>
      <c r="BE36" s="5">
        <v>23.876923076923081</v>
      </c>
      <c r="BF36" s="10">
        <f t="shared" si="3"/>
        <v>27.7025641025641</v>
      </c>
      <c r="BG36" s="10">
        <f t="shared" si="10"/>
        <v>27.930769230769229</v>
      </c>
      <c r="BH36" s="10">
        <f t="shared" si="4"/>
        <v>31.430769230769229</v>
      </c>
      <c r="BI36" s="10">
        <f t="shared" si="12"/>
        <v>23.253846153846151</v>
      </c>
      <c r="BJ36" s="11">
        <f t="shared" si="13"/>
        <v>8.1769230769230781</v>
      </c>
    </row>
    <row r="37" spans="1:62" x14ac:dyDescent="0.2">
      <c r="A37" s="47" t="s">
        <v>36</v>
      </c>
      <c r="C37" s="286">
        <f t="shared" si="0"/>
        <v>33.466666666666669</v>
      </c>
      <c r="D37" s="282">
        <f t="shared" si="16"/>
        <v>100.4</v>
      </c>
      <c r="E37" s="282">
        <f t="shared" si="17"/>
        <v>3</v>
      </c>
      <c r="K37" s="27">
        <f t="shared" si="11"/>
        <v>49.271844660194176</v>
      </c>
      <c r="L37" s="27">
        <f t="shared" si="7"/>
        <v>11.597340425531916</v>
      </c>
      <c r="M37" s="323"/>
      <c r="V37" s="125"/>
      <c r="W37" s="85"/>
      <c r="X37" s="80"/>
      <c r="Y37" s="80"/>
      <c r="Z37" s="80">
        <f t="shared" si="1"/>
        <v>49.271844660194176</v>
      </c>
      <c r="AA37" s="50">
        <f t="shared" si="14"/>
        <v>71050</v>
      </c>
      <c r="AB37" s="50">
        <f t="shared" si="14"/>
        <v>1442</v>
      </c>
      <c r="AC37" s="83"/>
      <c r="AD37" s="80"/>
      <c r="AE37" s="80"/>
      <c r="AF37" s="80"/>
      <c r="AG37" s="80"/>
      <c r="AH37" s="80">
        <f t="shared" si="2"/>
        <v>11.597340425531916</v>
      </c>
      <c r="AI37" s="50">
        <f t="shared" si="15"/>
        <v>8721.2000000000007</v>
      </c>
      <c r="AJ37" s="50">
        <f t="shared" si="15"/>
        <v>752</v>
      </c>
      <c r="AQ37">
        <v>14</v>
      </c>
      <c r="AS37" s="44"/>
      <c r="AT37" s="5">
        <v>17.510000000000002</v>
      </c>
      <c r="AU37" s="5">
        <v>17.13666666666667</v>
      </c>
      <c r="AV37" s="5">
        <v>15.47</v>
      </c>
      <c r="AW37" s="5">
        <v>13.356666666666662</v>
      </c>
      <c r="AX37" s="5">
        <v>11.623333333333333</v>
      </c>
      <c r="AY37" s="5">
        <v>9.73</v>
      </c>
      <c r="AZ37" s="5">
        <v>9.4033333333333324</v>
      </c>
      <c r="BA37" s="5">
        <v>9.83</v>
      </c>
      <c r="BB37" s="5">
        <v>10.923333333333334</v>
      </c>
      <c r="BC37" s="5">
        <v>12.51</v>
      </c>
      <c r="BD37" s="5">
        <v>14.523333333333333</v>
      </c>
      <c r="BE37" s="5">
        <v>16.2</v>
      </c>
      <c r="BF37" s="10">
        <f t="shared" si="3"/>
        <v>13.184722222222222</v>
      </c>
      <c r="BG37" s="10">
        <f t="shared" si="10"/>
        <v>12.93333333333333</v>
      </c>
      <c r="BH37" s="10">
        <f t="shared" si="4"/>
        <v>17.510000000000002</v>
      </c>
      <c r="BI37" s="10">
        <f t="shared" si="12"/>
        <v>9.4033333333333324</v>
      </c>
      <c r="BJ37" s="11">
        <f t="shared" si="13"/>
        <v>8.1066666666666691</v>
      </c>
    </row>
    <row r="38" spans="1:62" x14ac:dyDescent="0.2">
      <c r="A38" s="47" t="s">
        <v>139</v>
      </c>
      <c r="C38" s="286">
        <f t="shared" si="0"/>
        <v>32.5</v>
      </c>
      <c r="D38" s="282">
        <f t="shared" si="16"/>
        <v>130</v>
      </c>
      <c r="E38" s="282">
        <f t="shared" si="17"/>
        <v>4</v>
      </c>
      <c r="I38" t="s">
        <v>503</v>
      </c>
      <c r="K38" s="27">
        <f t="shared" si="11"/>
        <v>29.001083423618635</v>
      </c>
      <c r="L38" s="27">
        <f t="shared" si="7"/>
        <v>23.665369649805449</v>
      </c>
      <c r="M38" s="323"/>
      <c r="V38" s="125"/>
      <c r="W38" s="85"/>
      <c r="X38" s="80"/>
      <c r="Y38" s="80"/>
      <c r="Z38" s="80">
        <f t="shared" si="1"/>
        <v>29.001083423618635</v>
      </c>
      <c r="AA38" s="50">
        <f t="shared" si="14"/>
        <v>133840</v>
      </c>
      <c r="AB38" s="50">
        <f t="shared" si="14"/>
        <v>4615</v>
      </c>
      <c r="AC38" s="83"/>
      <c r="AD38" s="80"/>
      <c r="AE38" s="80"/>
      <c r="AF38" s="80"/>
      <c r="AG38" s="80"/>
      <c r="AH38" s="80">
        <f t="shared" si="2"/>
        <v>23.665369649805449</v>
      </c>
      <c r="AI38" s="50">
        <f t="shared" si="15"/>
        <v>30410</v>
      </c>
      <c r="AJ38" s="50">
        <f t="shared" si="15"/>
        <v>1285</v>
      </c>
      <c r="AQ38">
        <v>12</v>
      </c>
      <c r="AS38" s="44"/>
      <c r="AT38" s="5">
        <v>-3.6878571428571401</v>
      </c>
      <c r="AU38" s="5">
        <v>-1.1664285714285694</v>
      </c>
      <c r="AV38" s="5">
        <v>5.2357142857142858</v>
      </c>
      <c r="AW38" s="5">
        <v>12.37</v>
      </c>
      <c r="AX38" s="5">
        <v>18.063571428571439</v>
      </c>
      <c r="AY38" s="5">
        <v>21.878571428571433</v>
      </c>
      <c r="AZ38" s="5">
        <v>24.241428571428578</v>
      </c>
      <c r="BA38" s="5">
        <v>23.37</v>
      </c>
      <c r="BB38" s="5">
        <v>18.7</v>
      </c>
      <c r="BC38" s="5">
        <v>12.547142857142857</v>
      </c>
      <c r="BD38" s="5">
        <v>4.8792857142857144</v>
      </c>
      <c r="BE38" s="5">
        <v>-1.5407142857142853</v>
      </c>
      <c r="BF38" s="10">
        <f t="shared" si="3"/>
        <v>11.24089285714286</v>
      </c>
      <c r="BG38" s="10">
        <f t="shared" si="10"/>
        <v>12.458571428571428</v>
      </c>
      <c r="BH38" s="10">
        <f t="shared" si="4"/>
        <v>24.241428571428578</v>
      </c>
      <c r="BI38" s="10">
        <f t="shared" si="12"/>
        <v>-3.6878571428571401</v>
      </c>
      <c r="BJ38" s="11">
        <f t="shared" si="13"/>
        <v>27.929285714285719</v>
      </c>
    </row>
    <row r="39" spans="1:62" x14ac:dyDescent="0.2">
      <c r="A39" s="47" t="s">
        <v>37</v>
      </c>
      <c r="C39" s="286">
        <f t="shared" si="0"/>
        <v>36.134999999999998</v>
      </c>
      <c r="D39" s="282">
        <f t="shared" si="16"/>
        <v>144.54</v>
      </c>
      <c r="E39" s="282">
        <f t="shared" si="17"/>
        <v>4</v>
      </c>
      <c r="I39" t="s">
        <v>503</v>
      </c>
      <c r="K39" s="27">
        <f t="shared" si="11"/>
        <v>37.32822256845386</v>
      </c>
      <c r="L39" s="27">
        <f t="shared" si="7"/>
        <v>20.41</v>
      </c>
      <c r="M39" s="323"/>
      <c r="V39" s="125"/>
      <c r="W39" s="85"/>
      <c r="X39" s="80"/>
      <c r="Y39" s="80"/>
      <c r="Z39" s="80">
        <f t="shared" si="1"/>
        <v>37.32822256845386</v>
      </c>
      <c r="AA39" s="50">
        <f t="shared" si="14"/>
        <v>3545845.1900000004</v>
      </c>
      <c r="AB39" s="50">
        <f t="shared" si="14"/>
        <v>94991</v>
      </c>
      <c r="AC39" s="83"/>
      <c r="AD39" s="80"/>
      <c r="AE39" s="80"/>
      <c r="AF39" s="80"/>
      <c r="AG39" s="80"/>
      <c r="AH39" s="80">
        <f t="shared" si="2"/>
        <v>20.41</v>
      </c>
      <c r="AI39" s="50">
        <f t="shared" si="15"/>
        <v>843831.04</v>
      </c>
      <c r="AJ39" s="50">
        <f t="shared" si="15"/>
        <v>41344</v>
      </c>
      <c r="AQ39">
        <v>14</v>
      </c>
      <c r="AS39" s="44"/>
      <c r="AT39" s="5">
        <v>23.291999999999998</v>
      </c>
      <c r="AU39" s="5">
        <v>23.523999999999997</v>
      </c>
      <c r="AV39" s="5">
        <v>23.74</v>
      </c>
      <c r="AW39" s="5">
        <v>23.592000000000002</v>
      </c>
      <c r="AX39" s="5">
        <v>23.668000000000003</v>
      </c>
      <c r="AY39" s="5">
        <v>23.52</v>
      </c>
      <c r="AZ39" s="5">
        <v>23.68</v>
      </c>
      <c r="BA39" s="5">
        <v>23.84</v>
      </c>
      <c r="BB39" s="5">
        <v>23.783999999999995</v>
      </c>
      <c r="BC39" s="5">
        <v>23.327999999999996</v>
      </c>
      <c r="BD39" s="5">
        <v>23.183999999999997</v>
      </c>
      <c r="BE39" s="5">
        <v>23.151999999999994</v>
      </c>
      <c r="BF39" s="10">
        <f t="shared" si="3"/>
        <v>23.525333333333336</v>
      </c>
      <c r="BG39" s="10">
        <f t="shared" si="10"/>
        <v>23.558</v>
      </c>
      <c r="BH39" s="10">
        <f t="shared" si="4"/>
        <v>23.84</v>
      </c>
      <c r="BI39" s="10">
        <f t="shared" si="12"/>
        <v>23.151999999999994</v>
      </c>
      <c r="BJ39" s="11">
        <f t="shared" si="13"/>
        <v>0.68800000000000594</v>
      </c>
    </row>
    <row r="40" spans="1:62" x14ac:dyDescent="0.2">
      <c r="A40" s="47" t="s">
        <v>372</v>
      </c>
      <c r="C40" s="286"/>
      <c r="D40" s="282">
        <f t="shared" si="16"/>
        <v>0</v>
      </c>
      <c r="E40" s="282">
        <f t="shared" si="17"/>
        <v>0</v>
      </c>
      <c r="I40" t="s">
        <v>503</v>
      </c>
      <c r="K40" s="27" t="str">
        <f t="shared" si="11"/>
        <v xml:space="preserve"> </v>
      </c>
      <c r="L40" s="27" t="str">
        <f t="shared" si="7"/>
        <v xml:space="preserve"> </v>
      </c>
      <c r="M40" s="323"/>
      <c r="V40" s="125"/>
      <c r="W40" s="85"/>
      <c r="X40" s="80"/>
      <c r="Y40" s="80"/>
      <c r="Z40" s="80" t="str">
        <f t="shared" si="1"/>
        <v xml:space="preserve"> </v>
      </c>
      <c r="AA40" s="50">
        <f t="shared" si="14"/>
        <v>0</v>
      </c>
      <c r="AB40" s="50">
        <f t="shared" si="14"/>
        <v>0</v>
      </c>
      <c r="AC40" s="83"/>
      <c r="AD40" s="80"/>
      <c r="AE40" s="80"/>
      <c r="AF40" s="80"/>
      <c r="AG40" s="80"/>
      <c r="AH40" s="80" t="str">
        <f t="shared" si="2"/>
        <v xml:space="preserve"> </v>
      </c>
      <c r="AI40" s="50">
        <f t="shared" si="15"/>
        <v>0</v>
      </c>
      <c r="AJ40" s="50">
        <f t="shared" si="15"/>
        <v>0</v>
      </c>
      <c r="AQ40">
        <v>10</v>
      </c>
      <c r="AS40" s="44"/>
      <c r="AT40" s="5"/>
      <c r="AU40" s="5"/>
      <c r="AV40" s="5"/>
      <c r="AW40" s="5"/>
      <c r="AX40" s="5"/>
      <c r="AY40" s="5"/>
      <c r="AZ40" s="5"/>
      <c r="BA40" s="5"/>
      <c r="BB40" s="5"/>
      <c r="BC40" s="5"/>
      <c r="BD40" s="5"/>
      <c r="BE40" s="5"/>
      <c r="BF40" s="10"/>
      <c r="BG40" s="10"/>
      <c r="BH40" s="10"/>
      <c r="BI40" s="10"/>
      <c r="BJ40" s="11"/>
    </row>
    <row r="41" spans="1:62" x14ac:dyDescent="0.2">
      <c r="A41" s="47" t="s">
        <v>140</v>
      </c>
      <c r="C41" s="286">
        <f t="shared" si="0"/>
        <v>26</v>
      </c>
      <c r="D41" s="282">
        <f t="shared" si="16"/>
        <v>26</v>
      </c>
      <c r="E41" s="282">
        <f t="shared" si="17"/>
        <v>1</v>
      </c>
      <c r="I41" t="s">
        <v>503</v>
      </c>
      <c r="K41" s="27">
        <f t="shared" si="11"/>
        <v>26</v>
      </c>
      <c r="L41" s="27" t="str">
        <f t="shared" si="7"/>
        <v xml:space="preserve"> </v>
      </c>
      <c r="M41" s="323"/>
      <c r="V41" s="125"/>
      <c r="W41" s="85"/>
      <c r="X41" s="80"/>
      <c r="Y41" s="80"/>
      <c r="Z41" s="80">
        <f t="shared" si="1"/>
        <v>26</v>
      </c>
      <c r="AA41" s="50">
        <f t="shared" si="14"/>
        <v>24804</v>
      </c>
      <c r="AB41" s="50">
        <f t="shared" si="14"/>
        <v>954</v>
      </c>
      <c r="AC41" s="83"/>
      <c r="AD41" s="80"/>
      <c r="AE41" s="80"/>
      <c r="AF41" s="80"/>
      <c r="AG41" s="80"/>
      <c r="AH41" s="80" t="str">
        <f t="shared" si="2"/>
        <v xml:space="preserve"> </v>
      </c>
      <c r="AI41" s="50">
        <f t="shared" si="15"/>
        <v>0</v>
      </c>
      <c r="AJ41" s="50">
        <f t="shared" si="15"/>
        <v>0</v>
      </c>
      <c r="AQ41">
        <v>8</v>
      </c>
      <c r="AS41" s="44"/>
      <c r="AT41" s="5">
        <v>24.885714285714279</v>
      </c>
      <c r="AU41" s="5">
        <v>25.323076923076925</v>
      </c>
      <c r="AV41" s="5">
        <v>25.6</v>
      </c>
      <c r="AW41" s="5">
        <v>25.63571428571429</v>
      </c>
      <c r="AX41" s="5">
        <v>25.157142857142862</v>
      </c>
      <c r="AY41" s="5">
        <v>23.384615384615383</v>
      </c>
      <c r="AZ41" s="5">
        <v>22.415384615384617</v>
      </c>
      <c r="BA41" s="5">
        <v>23</v>
      </c>
      <c r="BB41" s="5">
        <v>23.984615384615385</v>
      </c>
      <c r="BC41" s="5">
        <v>24.692857142857147</v>
      </c>
      <c r="BD41" s="5">
        <v>24.76923076923077</v>
      </c>
      <c r="BE41" s="5">
        <v>24.62142857142857</v>
      </c>
      <c r="BF41" s="10">
        <f t="shared" si="3"/>
        <v>24.455815018315018</v>
      </c>
      <c r="BG41" s="10">
        <f t="shared" si="10"/>
        <v>24.731043956043958</v>
      </c>
      <c r="BH41" s="10">
        <f t="shared" si="4"/>
        <v>25.63571428571429</v>
      </c>
      <c r="BI41" s="10">
        <f t="shared" si="12"/>
        <v>22.415384615384617</v>
      </c>
      <c r="BJ41" s="11">
        <f t="shared" si="13"/>
        <v>3.2203296703296722</v>
      </c>
    </row>
    <row r="42" spans="1:62" x14ac:dyDescent="0.2">
      <c r="A42" s="47" t="s">
        <v>141</v>
      </c>
      <c r="C42" s="286">
        <f t="shared" si="0"/>
        <v>32.333333333333336</v>
      </c>
      <c r="D42" s="282">
        <f t="shared" si="16"/>
        <v>97</v>
      </c>
      <c r="E42" s="282">
        <f t="shared" si="17"/>
        <v>3</v>
      </c>
      <c r="I42" t="s">
        <v>503</v>
      </c>
      <c r="K42" s="27">
        <f t="shared" si="11"/>
        <v>32.333333333333336</v>
      </c>
      <c r="L42" s="27">
        <f t="shared" si="7"/>
        <v>7</v>
      </c>
      <c r="M42" s="323"/>
      <c r="V42" s="125"/>
      <c r="W42" s="85"/>
      <c r="X42" s="80"/>
      <c r="Y42" s="80"/>
      <c r="Z42" s="80">
        <f t="shared" si="1"/>
        <v>32.333333333333336</v>
      </c>
      <c r="AA42" s="50">
        <f t="shared" si="14"/>
        <v>134636</v>
      </c>
      <c r="AB42" s="50">
        <f t="shared" si="14"/>
        <v>4164</v>
      </c>
      <c r="AC42" s="83"/>
      <c r="AD42" s="80"/>
      <c r="AE42" s="80"/>
      <c r="AF42" s="80"/>
      <c r="AG42" s="80"/>
      <c r="AH42" s="80">
        <f t="shared" si="2"/>
        <v>7</v>
      </c>
      <c r="AI42" s="50">
        <f t="shared" si="15"/>
        <v>9716</v>
      </c>
      <c r="AJ42" s="50">
        <f t="shared" si="15"/>
        <v>1388</v>
      </c>
      <c r="AQ42">
        <v>12</v>
      </c>
      <c r="AS42" s="44"/>
      <c r="AT42" s="5">
        <v>24.44</v>
      </c>
      <c r="AU42" s="5">
        <v>24.76</v>
      </c>
      <c r="AV42" s="5">
        <v>25.32</v>
      </c>
      <c r="AW42" s="5">
        <v>25.7</v>
      </c>
      <c r="AX42" s="5">
        <v>25.4</v>
      </c>
      <c r="AY42" s="5">
        <v>24.98</v>
      </c>
      <c r="AZ42" s="5">
        <v>24.68</v>
      </c>
      <c r="BA42" s="5">
        <v>24.8</v>
      </c>
      <c r="BB42" s="5">
        <v>24.6</v>
      </c>
      <c r="BC42" s="5">
        <v>24.4</v>
      </c>
      <c r="BD42" s="5">
        <v>24.42</v>
      </c>
      <c r="BE42" s="5">
        <v>24.4</v>
      </c>
      <c r="BF42" s="10">
        <f t="shared" si="3"/>
        <v>24.824999999999999</v>
      </c>
      <c r="BG42" s="10">
        <f t="shared" si="10"/>
        <v>24.72</v>
      </c>
      <c r="BH42" s="10">
        <f t="shared" si="4"/>
        <v>25.7</v>
      </c>
      <c r="BI42" s="10">
        <f t="shared" si="12"/>
        <v>24.4</v>
      </c>
      <c r="BJ42" s="11">
        <f t="shared" si="13"/>
        <v>1.3000000000000007</v>
      </c>
    </row>
    <row r="43" spans="1:62" x14ac:dyDescent="0.2">
      <c r="A43" s="47" t="s">
        <v>373</v>
      </c>
      <c r="C43" s="286"/>
      <c r="D43" s="282">
        <f t="shared" si="16"/>
        <v>0</v>
      </c>
      <c r="E43" s="282">
        <f t="shared" si="17"/>
        <v>0</v>
      </c>
      <c r="I43" t="s">
        <v>503</v>
      </c>
      <c r="K43" s="27" t="str">
        <f t="shared" si="11"/>
        <v xml:space="preserve"> </v>
      </c>
      <c r="L43" s="27">
        <f t="shared" si="7"/>
        <v>12</v>
      </c>
      <c r="M43" s="323"/>
      <c r="V43" s="125"/>
      <c r="W43" s="85"/>
      <c r="X43" s="80"/>
      <c r="Y43" s="80"/>
      <c r="Z43" s="80" t="str">
        <f t="shared" si="1"/>
        <v xml:space="preserve"> </v>
      </c>
      <c r="AA43" s="50">
        <f t="shared" ref="AA43:AB62" si="18">SUMIF($B$213:$B$562,$A43,AA$213:AA$562)</f>
        <v>0</v>
      </c>
      <c r="AB43" s="50">
        <f t="shared" si="18"/>
        <v>0</v>
      </c>
      <c r="AC43" s="83"/>
      <c r="AD43" s="80"/>
      <c r="AE43" s="80"/>
      <c r="AF43" s="80"/>
      <c r="AG43" s="80"/>
      <c r="AH43" s="80">
        <f t="shared" si="2"/>
        <v>12</v>
      </c>
      <c r="AI43" s="50">
        <f t="shared" ref="AI43:AJ62" si="19">SUMIF($B$213:$B$562,$A43,AI$213:AI$562)</f>
        <v>62196</v>
      </c>
      <c r="AJ43" s="50">
        <f t="shared" si="19"/>
        <v>5183</v>
      </c>
      <c r="AQ43">
        <v>5</v>
      </c>
      <c r="AS43" s="44"/>
      <c r="AT43" s="5">
        <v>25.98</v>
      </c>
      <c r="AU43" s="5">
        <v>27.29</v>
      </c>
      <c r="AV43" s="5">
        <v>27.52</v>
      </c>
      <c r="AW43" s="5">
        <v>27.34</v>
      </c>
      <c r="AX43" s="5">
        <v>26.63</v>
      </c>
      <c r="AY43" s="5">
        <v>25.4</v>
      </c>
      <c r="AZ43" s="5">
        <v>24.49</v>
      </c>
      <c r="BA43" s="5">
        <v>24.15</v>
      </c>
      <c r="BB43" s="5">
        <v>24.69</v>
      </c>
      <c r="BC43" s="5">
        <v>25.43</v>
      </c>
      <c r="BD43" s="5">
        <v>25.94</v>
      </c>
      <c r="BE43" s="5">
        <v>25.5</v>
      </c>
      <c r="BF43" s="10">
        <f>AVERAGE(AT43:BE43)</f>
        <v>25.863333333333333</v>
      </c>
      <c r="BG43" s="10">
        <f>MEDIAN(AT43:BE43)</f>
        <v>25.72</v>
      </c>
      <c r="BH43" s="10">
        <f>MAX(AT43:BE43)</f>
        <v>27.52</v>
      </c>
      <c r="BI43" s="10">
        <f t="shared" si="12"/>
        <v>24.15</v>
      </c>
      <c r="BJ43" s="11">
        <f t="shared" si="13"/>
        <v>3.370000000000001</v>
      </c>
    </row>
    <row r="44" spans="1:62" x14ac:dyDescent="0.2">
      <c r="A44" s="47" t="s">
        <v>374</v>
      </c>
      <c r="C44" s="286"/>
      <c r="D44" s="282">
        <f t="shared" si="16"/>
        <v>0</v>
      </c>
      <c r="E44" s="282">
        <f t="shared" si="17"/>
        <v>0</v>
      </c>
      <c r="K44" s="27" t="str">
        <f t="shared" si="11"/>
        <v xml:space="preserve"> </v>
      </c>
      <c r="L44" s="27" t="str">
        <f t="shared" si="7"/>
        <v xml:space="preserve"> </v>
      </c>
      <c r="M44" s="323"/>
      <c r="V44" s="125"/>
      <c r="W44" s="85"/>
      <c r="X44" s="80"/>
      <c r="Y44" s="80"/>
      <c r="Z44" s="80" t="str">
        <f t="shared" si="1"/>
        <v xml:space="preserve"> </v>
      </c>
      <c r="AA44" s="50">
        <f t="shared" si="18"/>
        <v>0</v>
      </c>
      <c r="AB44" s="50">
        <f t="shared" si="18"/>
        <v>0</v>
      </c>
      <c r="AC44" s="83"/>
      <c r="AD44" s="80"/>
      <c r="AE44" s="80"/>
      <c r="AF44" s="80"/>
      <c r="AG44" s="80"/>
      <c r="AH44" s="80" t="str">
        <f t="shared" si="2"/>
        <v xml:space="preserve"> </v>
      </c>
      <c r="AI44" s="50">
        <f t="shared" si="19"/>
        <v>0</v>
      </c>
      <c r="AJ44" s="50">
        <f t="shared" si="19"/>
        <v>0</v>
      </c>
      <c r="AQ44">
        <v>14</v>
      </c>
      <c r="AS44" s="44"/>
      <c r="AT44" s="5"/>
      <c r="AU44" s="5"/>
      <c r="AV44" s="5"/>
      <c r="AW44" s="5"/>
      <c r="AX44" s="5"/>
      <c r="AY44" s="5"/>
      <c r="AZ44" s="5"/>
      <c r="BA44" s="5"/>
      <c r="BB44" s="5"/>
      <c r="BC44" s="5"/>
      <c r="BD44" s="5"/>
      <c r="BE44" s="5"/>
      <c r="BF44" s="10"/>
      <c r="BG44" s="10"/>
      <c r="BH44" s="10"/>
      <c r="BI44" s="10"/>
      <c r="BJ44" s="11"/>
    </row>
    <row r="45" spans="1:62" x14ac:dyDescent="0.2">
      <c r="A45" s="47" t="s">
        <v>142</v>
      </c>
      <c r="C45" s="286"/>
      <c r="D45" s="282">
        <f t="shared" si="16"/>
        <v>0</v>
      </c>
      <c r="E45" s="282">
        <f t="shared" si="17"/>
        <v>0</v>
      </c>
      <c r="K45" s="27" t="str">
        <f t="shared" si="11"/>
        <v xml:space="preserve"> </v>
      </c>
      <c r="L45" s="27" t="str">
        <f t="shared" si="7"/>
        <v xml:space="preserve"> </v>
      </c>
      <c r="M45" s="323"/>
      <c r="V45" s="125"/>
      <c r="W45" s="85"/>
      <c r="X45" s="80"/>
      <c r="Y45" s="80"/>
      <c r="Z45" s="80" t="str">
        <f t="shared" si="1"/>
        <v xml:space="preserve"> </v>
      </c>
      <c r="AA45" s="50">
        <f t="shared" si="18"/>
        <v>0</v>
      </c>
      <c r="AB45" s="50">
        <f t="shared" si="18"/>
        <v>0</v>
      </c>
      <c r="AC45" s="83"/>
      <c r="AD45" s="80"/>
      <c r="AE45" s="80"/>
      <c r="AF45" s="80"/>
      <c r="AG45" s="80"/>
      <c r="AH45" s="80" t="str">
        <f t="shared" si="2"/>
        <v xml:space="preserve"> </v>
      </c>
      <c r="AI45" s="50">
        <f t="shared" si="19"/>
        <v>0</v>
      </c>
      <c r="AJ45" s="50">
        <f t="shared" si="19"/>
        <v>0</v>
      </c>
      <c r="AQ45">
        <v>19</v>
      </c>
      <c r="AS45" s="44"/>
      <c r="AT45" s="5">
        <v>22.704999999999998</v>
      </c>
      <c r="AU45" s="5">
        <v>23.295000000000002</v>
      </c>
      <c r="AV45" s="5">
        <v>24.495000000000001</v>
      </c>
      <c r="AW45" s="5">
        <v>25.754999999999999</v>
      </c>
      <c r="AX45" s="5">
        <v>26.52</v>
      </c>
      <c r="AY45" s="5">
        <v>27.23</v>
      </c>
      <c r="AZ45" s="5">
        <v>27.84</v>
      </c>
      <c r="BA45" s="5">
        <v>27.984999999999999</v>
      </c>
      <c r="BB45" s="5">
        <v>27.55</v>
      </c>
      <c r="BC45" s="5">
        <v>26.44</v>
      </c>
      <c r="BD45" s="5">
        <v>24.844999999999999</v>
      </c>
      <c r="BE45" s="5">
        <v>23.31</v>
      </c>
      <c r="BF45" s="10">
        <f t="shared" si="3"/>
        <v>25.664166666666663</v>
      </c>
      <c r="BG45" s="10">
        <f t="shared" si="10"/>
        <v>26.0975</v>
      </c>
      <c r="BH45" s="10">
        <f t="shared" si="4"/>
        <v>27.984999999999999</v>
      </c>
      <c r="BI45" s="10">
        <f t="shared" si="12"/>
        <v>22.704999999999998</v>
      </c>
      <c r="BJ45" s="11">
        <f t="shared" si="13"/>
        <v>5.2800000000000011</v>
      </c>
    </row>
    <row r="46" spans="1:62" x14ac:dyDescent="0.2">
      <c r="A46" s="47" t="s">
        <v>143</v>
      </c>
      <c r="C46" s="286"/>
      <c r="D46" s="282">
        <f t="shared" si="16"/>
        <v>0</v>
      </c>
      <c r="E46" s="282">
        <f t="shared" si="17"/>
        <v>0</v>
      </c>
      <c r="K46" s="27" t="str">
        <f t="shared" si="11"/>
        <v xml:space="preserve"> </v>
      </c>
      <c r="L46" s="27" t="str">
        <f t="shared" si="7"/>
        <v xml:space="preserve"> </v>
      </c>
      <c r="M46" s="323"/>
      <c r="V46" s="125"/>
      <c r="W46" s="85"/>
      <c r="X46" s="80"/>
      <c r="Y46" s="80"/>
      <c r="Z46" s="80" t="str">
        <f t="shared" si="1"/>
        <v xml:space="preserve"> </v>
      </c>
      <c r="AA46" s="50">
        <f t="shared" si="18"/>
        <v>0</v>
      </c>
      <c r="AB46" s="50">
        <f t="shared" si="18"/>
        <v>0</v>
      </c>
      <c r="AC46" s="83"/>
      <c r="AD46" s="80"/>
      <c r="AE46" s="80"/>
      <c r="AF46" s="80"/>
      <c r="AG46" s="80"/>
      <c r="AH46" s="80" t="str">
        <f t="shared" si="2"/>
        <v xml:space="preserve"> </v>
      </c>
      <c r="AI46" s="50">
        <f t="shared" si="19"/>
        <v>0</v>
      </c>
      <c r="AJ46" s="50">
        <f t="shared" si="19"/>
        <v>0</v>
      </c>
      <c r="AQ46">
        <v>14</v>
      </c>
      <c r="AS46" s="44"/>
      <c r="AT46" s="5">
        <v>9.8000000000000007</v>
      </c>
      <c r="AU46" s="5">
        <v>10.5</v>
      </c>
      <c r="AV46" s="5">
        <v>12.8</v>
      </c>
      <c r="AW46" s="5">
        <v>16.7</v>
      </c>
      <c r="AX46" s="5">
        <v>21.3</v>
      </c>
      <c r="AY46" s="5">
        <v>25.5</v>
      </c>
      <c r="AZ46" s="5">
        <v>28.3</v>
      </c>
      <c r="BA46" s="5">
        <v>28.2</v>
      </c>
      <c r="BB46" s="5">
        <v>25.4</v>
      </c>
      <c r="BC46" s="5">
        <v>21.4</v>
      </c>
      <c r="BD46" s="5">
        <v>16.2</v>
      </c>
      <c r="BE46" s="5">
        <v>11.9</v>
      </c>
      <c r="BF46" s="10">
        <f t="shared" si="3"/>
        <v>19</v>
      </c>
      <c r="BG46" s="10">
        <f t="shared" si="10"/>
        <v>19</v>
      </c>
      <c r="BH46" s="10">
        <f t="shared" si="4"/>
        <v>28.3</v>
      </c>
      <c r="BI46" s="10">
        <f t="shared" si="12"/>
        <v>9.8000000000000007</v>
      </c>
      <c r="BJ46" s="11">
        <f t="shared" si="13"/>
        <v>18.5</v>
      </c>
    </row>
    <row r="47" spans="1:62" x14ac:dyDescent="0.2">
      <c r="A47" s="47" t="s">
        <v>350</v>
      </c>
      <c r="C47" s="286">
        <f t="shared" si="0"/>
        <v>35</v>
      </c>
      <c r="D47" s="282">
        <f t="shared" si="16"/>
        <v>35</v>
      </c>
      <c r="E47" s="282">
        <f t="shared" si="17"/>
        <v>1</v>
      </c>
      <c r="I47" t="s">
        <v>503</v>
      </c>
      <c r="K47" s="27">
        <f t="shared" si="11"/>
        <v>35</v>
      </c>
      <c r="L47" s="27">
        <f t="shared" si="7"/>
        <v>8</v>
      </c>
      <c r="M47" s="323"/>
      <c r="V47" s="125"/>
      <c r="W47" s="85"/>
      <c r="Z47" s="80">
        <f t="shared" si="1"/>
        <v>35</v>
      </c>
      <c r="AA47" s="50">
        <f t="shared" si="18"/>
        <v>34999999965</v>
      </c>
      <c r="AB47" s="50">
        <f t="shared" si="18"/>
        <v>999999999</v>
      </c>
      <c r="AC47" s="83"/>
      <c r="AD47" s="80"/>
      <c r="AE47" s="80"/>
      <c r="AF47" s="80"/>
      <c r="AG47" s="80"/>
      <c r="AH47" s="80">
        <f t="shared" si="2"/>
        <v>8</v>
      </c>
      <c r="AI47" s="50">
        <f t="shared" si="19"/>
        <v>7999999992</v>
      </c>
      <c r="AJ47" s="50">
        <f t="shared" si="19"/>
        <v>999999999</v>
      </c>
      <c r="AQ47">
        <v>16</v>
      </c>
      <c r="AS47" s="44"/>
      <c r="AT47" s="5">
        <v>-3.2866666666666666</v>
      </c>
      <c r="AU47" s="5">
        <v>-1.8266666666666669</v>
      </c>
      <c r="AV47" s="5">
        <v>2.246666666666667</v>
      </c>
      <c r="AW47" s="5">
        <v>7.5533333333333337</v>
      </c>
      <c r="AX47" s="5">
        <v>12.733333333333336</v>
      </c>
      <c r="AY47" s="5">
        <v>16.2</v>
      </c>
      <c r="AZ47" s="5">
        <v>17.673333333333332</v>
      </c>
      <c r="BA47" s="5">
        <v>17.033333333333335</v>
      </c>
      <c r="BB47" s="5">
        <v>13.3</v>
      </c>
      <c r="BC47" s="5">
        <v>8.26</v>
      </c>
      <c r="BD47" s="5">
        <v>2.84</v>
      </c>
      <c r="BE47" s="5">
        <v>-1.0333333333333334</v>
      </c>
      <c r="BF47" s="10">
        <f t="shared" si="3"/>
        <v>7.6411111111111119</v>
      </c>
      <c r="BG47" s="10">
        <f t="shared" si="10"/>
        <v>7.9066666666666663</v>
      </c>
      <c r="BH47" s="10">
        <f t="shared" si="4"/>
        <v>17.673333333333332</v>
      </c>
      <c r="BI47" s="10">
        <f t="shared" si="12"/>
        <v>-3.2866666666666666</v>
      </c>
      <c r="BJ47" s="11">
        <f t="shared" si="13"/>
        <v>20.959999999999997</v>
      </c>
    </row>
    <row r="48" spans="1:62" x14ac:dyDescent="0.2">
      <c r="A48" s="47" t="s">
        <v>375</v>
      </c>
      <c r="C48" s="286">
        <f t="shared" si="0"/>
        <v>55.75</v>
      </c>
      <c r="D48" s="282">
        <f t="shared" si="16"/>
        <v>55.75</v>
      </c>
      <c r="E48" s="282">
        <f t="shared" si="17"/>
        <v>1</v>
      </c>
      <c r="I48" t="s">
        <v>503</v>
      </c>
      <c r="K48" s="27">
        <f t="shared" si="11"/>
        <v>55.75</v>
      </c>
      <c r="L48" s="27">
        <f t="shared" si="7"/>
        <v>52.49</v>
      </c>
      <c r="M48" s="323"/>
      <c r="V48" s="125"/>
      <c r="W48" s="85"/>
      <c r="X48" s="80"/>
      <c r="Y48" s="80"/>
      <c r="Z48" s="80">
        <f t="shared" si="1"/>
        <v>55.75</v>
      </c>
      <c r="AA48" s="50">
        <f t="shared" si="18"/>
        <v>557221.25</v>
      </c>
      <c r="AB48" s="50">
        <f t="shared" si="18"/>
        <v>9995</v>
      </c>
      <c r="AC48" s="83"/>
      <c r="AD48" s="80"/>
      <c r="AE48" s="80"/>
      <c r="AF48" s="80"/>
      <c r="AG48" s="80"/>
      <c r="AH48" s="80">
        <f t="shared" si="2"/>
        <v>52.49</v>
      </c>
      <c r="AI48" s="50">
        <f t="shared" si="19"/>
        <v>524637.55000000005</v>
      </c>
      <c r="AJ48" s="50">
        <f t="shared" si="19"/>
        <v>9995</v>
      </c>
      <c r="AQ48">
        <v>6</v>
      </c>
      <c r="AS48" s="44"/>
      <c r="AT48" s="5">
        <v>23.447058823529417</v>
      </c>
      <c r="AU48" s="5">
        <v>23.538235294117655</v>
      </c>
      <c r="AV48" s="5">
        <v>23.747058823529411</v>
      </c>
      <c r="AW48" s="5">
        <v>23.572727272727267</v>
      </c>
      <c r="AX48" s="5">
        <v>23.518181818181812</v>
      </c>
      <c r="AY48" s="5">
        <v>22.670588235294112</v>
      </c>
      <c r="AZ48" s="5">
        <v>22.202941176470585</v>
      </c>
      <c r="BA48" s="5">
        <v>22.658823529411766</v>
      </c>
      <c r="BB48" s="5">
        <v>23.140625</v>
      </c>
      <c r="BC48" s="5">
        <v>23.326470588235296</v>
      </c>
      <c r="BD48" s="5">
        <v>23.046875</v>
      </c>
      <c r="BE48" s="5">
        <v>23.048484848484851</v>
      </c>
      <c r="BF48" s="10">
        <f>AVERAGE(AT48:BE48)</f>
        <v>23.159839200831851</v>
      </c>
      <c r="BG48" s="10">
        <f>MEDIAN(AT48:BE48)</f>
        <v>23.233547794117648</v>
      </c>
      <c r="BH48" s="10">
        <f>MAX(AT48:BE48)</f>
        <v>23.747058823529411</v>
      </c>
      <c r="BI48" s="10">
        <f t="shared" si="12"/>
        <v>22.202941176470585</v>
      </c>
      <c r="BJ48" s="11">
        <f t="shared" si="13"/>
        <v>1.544117647058826</v>
      </c>
    </row>
    <row r="49" spans="1:62" x14ac:dyDescent="0.2">
      <c r="A49" s="47" t="s">
        <v>144</v>
      </c>
      <c r="C49" s="286">
        <f t="shared" si="0"/>
        <v>20</v>
      </c>
      <c r="D49" s="282">
        <f t="shared" si="16"/>
        <v>20</v>
      </c>
      <c r="E49" s="282">
        <f t="shared" si="17"/>
        <v>1</v>
      </c>
      <c r="I49" t="s">
        <v>503</v>
      </c>
      <c r="K49" s="27">
        <f t="shared" si="11"/>
        <v>20</v>
      </c>
      <c r="L49" s="27">
        <f t="shared" si="7"/>
        <v>1</v>
      </c>
      <c r="M49" s="323"/>
      <c r="V49" s="125"/>
      <c r="W49" s="85"/>
      <c r="X49" s="80"/>
      <c r="Y49" s="80"/>
      <c r="Z49" s="80">
        <f t="shared" si="1"/>
        <v>20</v>
      </c>
      <c r="AA49" s="50">
        <f t="shared" si="18"/>
        <v>19999999980</v>
      </c>
      <c r="AB49" s="50">
        <f t="shared" si="18"/>
        <v>999999999</v>
      </c>
      <c r="AC49" s="83"/>
      <c r="AD49" s="80"/>
      <c r="AE49" s="80"/>
      <c r="AF49" s="80"/>
      <c r="AG49" s="80"/>
      <c r="AH49" s="80">
        <f t="shared" si="2"/>
        <v>1</v>
      </c>
      <c r="AI49" s="50">
        <f t="shared" si="19"/>
        <v>999999999</v>
      </c>
      <c r="AJ49" s="50">
        <f t="shared" si="19"/>
        <v>999999999</v>
      </c>
      <c r="AQ49">
        <v>18</v>
      </c>
      <c r="AS49" s="44"/>
      <c r="AT49" s="5">
        <v>0.14285714285714285</v>
      </c>
      <c r="AU49" s="5">
        <v>-0.1</v>
      </c>
      <c r="AV49" s="5">
        <v>1.6428571428571428</v>
      </c>
      <c r="AW49" s="5">
        <v>5.5142857142857133</v>
      </c>
      <c r="AX49" s="5">
        <v>10.357142857142858</v>
      </c>
      <c r="AY49" s="5">
        <v>14.285714285714286</v>
      </c>
      <c r="AZ49" s="5">
        <v>16.171428571428574</v>
      </c>
      <c r="BA49" s="5">
        <v>15.728571428571428</v>
      </c>
      <c r="BB49" s="5">
        <v>12.814285714285715</v>
      </c>
      <c r="BC49" s="5">
        <v>8.6714285714285726</v>
      </c>
      <c r="BD49" s="5">
        <v>4.4571428571428573</v>
      </c>
      <c r="BE49" s="5">
        <v>1.5571428571428572</v>
      </c>
      <c r="BF49" s="10">
        <f t="shared" si="3"/>
        <v>7.6035714285714304</v>
      </c>
      <c r="BG49" s="10">
        <f t="shared" si="10"/>
        <v>7.0928571428571434</v>
      </c>
      <c r="BH49" s="10">
        <f t="shared" si="4"/>
        <v>16.171428571428574</v>
      </c>
      <c r="BI49" s="10">
        <f t="shared" si="12"/>
        <v>-0.1</v>
      </c>
      <c r="BJ49" s="11">
        <f t="shared" si="13"/>
        <v>16.271428571428576</v>
      </c>
    </row>
    <row r="50" spans="1:62" x14ac:dyDescent="0.2">
      <c r="A50" s="47" t="s">
        <v>376</v>
      </c>
      <c r="C50" s="286"/>
      <c r="D50" s="282">
        <f t="shared" si="16"/>
        <v>0</v>
      </c>
      <c r="E50" s="282">
        <f t="shared" si="17"/>
        <v>0</v>
      </c>
      <c r="K50" s="27" t="str">
        <f t="shared" si="11"/>
        <v xml:space="preserve"> </v>
      </c>
      <c r="L50" s="27" t="str">
        <f t="shared" si="7"/>
        <v xml:space="preserve"> </v>
      </c>
      <c r="M50" s="323"/>
      <c r="V50" s="125"/>
      <c r="W50" s="85"/>
      <c r="X50" s="80"/>
      <c r="Y50" s="80"/>
      <c r="Z50" s="80" t="str">
        <f t="shared" si="1"/>
        <v xml:space="preserve"> </v>
      </c>
      <c r="AA50" s="50">
        <f t="shared" si="18"/>
        <v>0</v>
      </c>
      <c r="AB50" s="50">
        <f t="shared" si="18"/>
        <v>0</v>
      </c>
      <c r="AC50" s="83"/>
      <c r="AD50" s="80"/>
      <c r="AE50" s="80"/>
      <c r="AF50" s="80"/>
      <c r="AG50" s="80"/>
      <c r="AH50" s="80" t="str">
        <f t="shared" si="2"/>
        <v xml:space="preserve"> </v>
      </c>
      <c r="AI50" s="50">
        <f t="shared" si="19"/>
        <v>0</v>
      </c>
      <c r="AJ50" s="50">
        <f t="shared" si="19"/>
        <v>0</v>
      </c>
      <c r="AQ50">
        <v>4</v>
      </c>
      <c r="AS50" s="44"/>
      <c r="AT50" s="5"/>
      <c r="AU50" s="5"/>
      <c r="AV50" s="5"/>
      <c r="AW50" s="5"/>
      <c r="AX50" s="5"/>
      <c r="AY50" s="5"/>
      <c r="AZ50" s="5"/>
      <c r="BA50" s="5"/>
      <c r="BB50" s="5"/>
      <c r="BC50" s="5"/>
      <c r="BD50" s="5"/>
      <c r="BE50" s="5"/>
      <c r="BF50" s="10"/>
      <c r="BG50" s="10"/>
      <c r="BH50" s="10"/>
      <c r="BI50" s="10"/>
      <c r="BJ50" s="11"/>
    </row>
    <row r="51" spans="1:62" x14ac:dyDescent="0.2">
      <c r="A51" s="47" t="s">
        <v>377</v>
      </c>
      <c r="C51" s="286"/>
      <c r="D51" s="282">
        <f t="shared" si="16"/>
        <v>0</v>
      </c>
      <c r="E51" s="282">
        <f t="shared" si="17"/>
        <v>0</v>
      </c>
      <c r="K51" s="27" t="str">
        <f t="shared" si="11"/>
        <v xml:space="preserve"> </v>
      </c>
      <c r="L51" s="27" t="str">
        <f t="shared" si="7"/>
        <v xml:space="preserve"> </v>
      </c>
      <c r="M51" s="323"/>
      <c r="V51" s="125"/>
      <c r="W51" s="85"/>
      <c r="X51" s="80"/>
      <c r="Y51" s="80"/>
      <c r="Z51" s="80" t="str">
        <f t="shared" si="1"/>
        <v xml:space="preserve"> </v>
      </c>
      <c r="AA51" s="50">
        <f t="shared" si="18"/>
        <v>0</v>
      </c>
      <c r="AB51" s="50">
        <f t="shared" si="18"/>
        <v>0</v>
      </c>
      <c r="AC51" s="83"/>
      <c r="AD51" s="80"/>
      <c r="AE51" s="80"/>
      <c r="AF51" s="80"/>
      <c r="AG51" s="80"/>
      <c r="AH51" s="80" t="str">
        <f t="shared" si="2"/>
        <v xml:space="preserve"> </v>
      </c>
      <c r="AI51" s="50">
        <f t="shared" si="19"/>
        <v>0</v>
      </c>
      <c r="AJ51" s="50">
        <f t="shared" si="19"/>
        <v>0</v>
      </c>
      <c r="AQ51">
        <v>13</v>
      </c>
      <c r="AS51" s="44"/>
      <c r="AT51" s="5"/>
      <c r="AU51" s="5"/>
      <c r="AV51" s="5"/>
      <c r="AW51" s="5"/>
      <c r="AX51" s="5"/>
      <c r="AY51" s="5"/>
      <c r="AZ51" s="5"/>
      <c r="BA51" s="5"/>
      <c r="BB51" s="5"/>
      <c r="BC51" s="5"/>
      <c r="BD51" s="5"/>
      <c r="BE51" s="5"/>
      <c r="BF51" s="10"/>
      <c r="BG51" s="10"/>
      <c r="BH51" s="10"/>
      <c r="BI51" s="10"/>
      <c r="BJ51" s="11"/>
    </row>
    <row r="52" spans="1:62" x14ac:dyDescent="0.2">
      <c r="A52" s="47" t="s">
        <v>38</v>
      </c>
      <c r="C52" s="286">
        <f t="shared" si="0"/>
        <v>19.603333333333335</v>
      </c>
      <c r="D52" s="282">
        <f t="shared" si="16"/>
        <v>58.81</v>
      </c>
      <c r="E52" s="282">
        <f t="shared" si="17"/>
        <v>3</v>
      </c>
      <c r="K52" s="27">
        <f t="shared" si="11"/>
        <v>17.239179215270415</v>
      </c>
      <c r="L52" s="27">
        <f t="shared" si="7"/>
        <v>10.552739998071917</v>
      </c>
      <c r="M52" s="323"/>
      <c r="V52" s="125"/>
      <c r="W52" s="85"/>
      <c r="X52" s="80"/>
      <c r="Y52" s="80"/>
      <c r="Z52" s="80">
        <f t="shared" si="1"/>
        <v>17.239179215270415</v>
      </c>
      <c r="AA52" s="50">
        <f t="shared" si="18"/>
        <v>894110.03</v>
      </c>
      <c r="AB52" s="50">
        <f t="shared" si="18"/>
        <v>51865</v>
      </c>
      <c r="AC52" s="83"/>
      <c r="AD52" s="80"/>
      <c r="AE52" s="80"/>
      <c r="AF52" s="80"/>
      <c r="AG52" s="80"/>
      <c r="AH52" s="80">
        <f t="shared" si="2"/>
        <v>10.552739998071917</v>
      </c>
      <c r="AI52" s="50">
        <f t="shared" si="19"/>
        <v>547317.86</v>
      </c>
      <c r="AJ52" s="50">
        <f t="shared" si="19"/>
        <v>51865</v>
      </c>
      <c r="AQ52">
        <v>13</v>
      </c>
      <c r="AS52" s="44"/>
      <c r="AT52" s="5">
        <v>23.429166666666664</v>
      </c>
      <c r="AU52" s="5">
        <v>23.879166666666666</v>
      </c>
      <c r="AV52" s="5">
        <v>24.641666666666666</v>
      </c>
      <c r="AW52" s="5">
        <v>25.383333333333336</v>
      </c>
      <c r="AX52" s="5">
        <v>26.05</v>
      </c>
      <c r="AY52" s="5">
        <v>26.666666666666675</v>
      </c>
      <c r="AZ52" s="5">
        <v>27</v>
      </c>
      <c r="BA52" s="5">
        <v>27.262499999999999</v>
      </c>
      <c r="BB52" s="5">
        <v>27.045833333333334</v>
      </c>
      <c r="BC52" s="5">
        <v>26.470833333333342</v>
      </c>
      <c r="BD52" s="5">
        <v>25.091666666666665</v>
      </c>
      <c r="BE52" s="5">
        <v>23.958333333333339</v>
      </c>
      <c r="BF52" s="10">
        <f t="shared" si="3"/>
        <v>25.573263888888889</v>
      </c>
      <c r="BG52" s="10">
        <f t="shared" si="10"/>
        <v>25.716666666666669</v>
      </c>
      <c r="BH52" s="10">
        <f t="shared" si="4"/>
        <v>27.262499999999999</v>
      </c>
      <c r="BI52" s="10">
        <f t="shared" si="12"/>
        <v>23.429166666666664</v>
      </c>
      <c r="BJ52" s="11">
        <f t="shared" si="13"/>
        <v>3.8333333333333357</v>
      </c>
    </row>
    <row r="53" spans="1:62" x14ac:dyDescent="0.2">
      <c r="A53" s="47" t="s">
        <v>269</v>
      </c>
      <c r="C53" s="286">
        <f t="shared" si="0"/>
        <v>38.1</v>
      </c>
      <c r="D53" s="282">
        <f t="shared" si="16"/>
        <v>38.1</v>
      </c>
      <c r="E53" s="282">
        <f t="shared" si="17"/>
        <v>1</v>
      </c>
      <c r="K53" s="27">
        <f t="shared" si="11"/>
        <v>38.1</v>
      </c>
      <c r="L53" s="27">
        <f t="shared" si="7"/>
        <v>29.007754189944137</v>
      </c>
      <c r="M53" s="323"/>
      <c r="V53" s="125"/>
      <c r="W53" s="85"/>
      <c r="X53" s="80"/>
      <c r="Y53" s="80"/>
      <c r="Z53" s="80">
        <f t="shared" si="1"/>
        <v>38.1</v>
      </c>
      <c r="AA53" s="50">
        <f t="shared" si="18"/>
        <v>500519.7</v>
      </c>
      <c r="AB53" s="50">
        <f t="shared" si="18"/>
        <v>13137</v>
      </c>
      <c r="AC53" s="83"/>
      <c r="AD53" s="80"/>
      <c r="AE53" s="80"/>
      <c r="AF53" s="80"/>
      <c r="AG53" s="80"/>
      <c r="AH53" s="80">
        <f t="shared" si="2"/>
        <v>29.007754189944137</v>
      </c>
      <c r="AI53" s="50">
        <f t="shared" si="19"/>
        <v>389429.10000000003</v>
      </c>
      <c r="AJ53" s="50">
        <f t="shared" si="19"/>
        <v>13425</v>
      </c>
      <c r="AS53" s="44"/>
      <c r="AT53" s="5"/>
      <c r="AU53" s="5"/>
      <c r="AV53" s="5"/>
      <c r="AW53" s="5"/>
      <c r="AX53" s="5"/>
      <c r="AY53" s="5"/>
      <c r="AZ53" s="5"/>
      <c r="BA53" s="5"/>
      <c r="BB53" s="5"/>
      <c r="BC53" s="5"/>
      <c r="BD53" s="5"/>
      <c r="BE53" s="5"/>
      <c r="BF53" s="10"/>
      <c r="BG53" s="10"/>
      <c r="BH53" s="10"/>
      <c r="BI53" s="10"/>
      <c r="BJ53" s="11"/>
    </row>
    <row r="54" spans="1:62" x14ac:dyDescent="0.2">
      <c r="A54" s="47" t="s">
        <v>145</v>
      </c>
      <c r="C54" s="286">
        <f t="shared" si="0"/>
        <v>45.5</v>
      </c>
      <c r="D54" s="282">
        <f t="shared" si="16"/>
        <v>91</v>
      </c>
      <c r="E54" s="282">
        <f t="shared" si="17"/>
        <v>2</v>
      </c>
      <c r="I54" t="s">
        <v>503</v>
      </c>
      <c r="K54" s="27">
        <f t="shared" si="11"/>
        <v>45.5</v>
      </c>
      <c r="L54" s="27">
        <f t="shared" si="7"/>
        <v>11.96626465379101</v>
      </c>
      <c r="M54" s="323"/>
      <c r="V54" s="125"/>
      <c r="W54" s="85"/>
      <c r="X54" s="80"/>
      <c r="Y54" s="80"/>
      <c r="Z54" s="80">
        <f t="shared" si="1"/>
        <v>45.5</v>
      </c>
      <c r="AA54" s="50">
        <f t="shared" si="18"/>
        <v>18200</v>
      </c>
      <c r="AB54" s="50">
        <f t="shared" si="18"/>
        <v>400</v>
      </c>
      <c r="AC54" s="83"/>
      <c r="AD54" s="80"/>
      <c r="AE54" s="80"/>
      <c r="AF54" s="80"/>
      <c r="AG54" s="80"/>
      <c r="AH54" s="80">
        <f t="shared" si="2"/>
        <v>11.96626465379101</v>
      </c>
      <c r="AI54" s="50">
        <f t="shared" si="19"/>
        <v>141884</v>
      </c>
      <c r="AJ54" s="50">
        <f t="shared" si="19"/>
        <v>11857</v>
      </c>
      <c r="AQ54">
        <v>14</v>
      </c>
      <c r="AS54" s="44"/>
      <c r="AT54" s="5">
        <v>20.18</v>
      </c>
      <c r="AU54" s="5">
        <v>20.36</v>
      </c>
      <c r="AV54" s="5">
        <v>20.475000000000001</v>
      </c>
      <c r="AW54" s="5">
        <v>20.51</v>
      </c>
      <c r="AX54" s="5">
        <v>20.114999999999998</v>
      </c>
      <c r="AY54" s="5">
        <v>19.09</v>
      </c>
      <c r="AZ54" s="5">
        <v>18.59</v>
      </c>
      <c r="BA54" s="5">
        <v>18.625</v>
      </c>
      <c r="BB54" s="5">
        <v>18.905000000000001</v>
      </c>
      <c r="BC54" s="5">
        <v>19.164999999999999</v>
      </c>
      <c r="BD54" s="5">
        <v>19.34</v>
      </c>
      <c r="BE54" s="5">
        <v>19.850000000000001</v>
      </c>
      <c r="BF54" s="10">
        <f t="shared" si="3"/>
        <v>19.600416666666664</v>
      </c>
      <c r="BG54" s="10">
        <f t="shared" si="10"/>
        <v>19.594999999999999</v>
      </c>
      <c r="BH54" s="10">
        <f t="shared" si="4"/>
        <v>20.51</v>
      </c>
      <c r="BI54" s="10">
        <f t="shared" si="12"/>
        <v>18.59</v>
      </c>
      <c r="BJ54" s="11">
        <f t="shared" si="13"/>
        <v>1.9200000000000017</v>
      </c>
    </row>
    <row r="55" spans="1:62" x14ac:dyDescent="0.2">
      <c r="A55" s="47" t="s">
        <v>109</v>
      </c>
      <c r="C55" s="286">
        <f t="shared" si="0"/>
        <v>22.240000000000002</v>
      </c>
      <c r="D55" s="282">
        <f t="shared" si="16"/>
        <v>111.2</v>
      </c>
      <c r="E55" s="282">
        <f t="shared" si="17"/>
        <v>5</v>
      </c>
      <c r="I55" t="s">
        <v>503</v>
      </c>
      <c r="K55" s="27">
        <f t="shared" si="11"/>
        <v>25.257703494977964</v>
      </c>
      <c r="L55" s="27">
        <f t="shared" si="7"/>
        <v>17.958333747823925</v>
      </c>
      <c r="M55" s="323"/>
      <c r="V55" s="125"/>
      <c r="W55" s="85"/>
      <c r="X55" s="80"/>
      <c r="Y55" s="80"/>
      <c r="Z55" s="80">
        <f t="shared" si="1"/>
        <v>25.257703494977964</v>
      </c>
      <c r="AA55" s="50">
        <f t="shared" si="18"/>
        <v>1111490.5000000002</v>
      </c>
      <c r="AB55" s="50">
        <f t="shared" si="18"/>
        <v>44006</v>
      </c>
      <c r="AC55" s="83"/>
      <c r="AD55" s="80"/>
      <c r="AE55" s="80"/>
      <c r="AF55" s="80"/>
      <c r="AG55" s="80"/>
      <c r="AH55" s="80">
        <f t="shared" si="2"/>
        <v>17.958333747823925</v>
      </c>
      <c r="AI55" s="50">
        <f t="shared" si="19"/>
        <v>361052.3</v>
      </c>
      <c r="AJ55" s="50">
        <f t="shared" si="19"/>
        <v>20105</v>
      </c>
      <c r="AS55" s="44"/>
      <c r="AT55" s="5">
        <v>13.585000000000001</v>
      </c>
      <c r="AU55" s="5">
        <v>15.06</v>
      </c>
      <c r="AV55" s="5">
        <v>17.605</v>
      </c>
      <c r="AW55" s="5">
        <v>21.43</v>
      </c>
      <c r="AX55" s="5">
        <v>24.92</v>
      </c>
      <c r="AY55" s="5">
        <v>27.53</v>
      </c>
      <c r="AZ55" s="5">
        <v>28.5</v>
      </c>
      <c r="BA55" s="5">
        <v>28.73</v>
      </c>
      <c r="BB55" s="5">
        <v>26.93</v>
      </c>
      <c r="BC55" s="5">
        <v>24.21</v>
      </c>
      <c r="BD55" s="5">
        <v>19.559999999999999</v>
      </c>
      <c r="BE55" s="5">
        <v>15.32</v>
      </c>
      <c r="BF55" s="10">
        <f t="shared" si="3"/>
        <v>21.948333333333334</v>
      </c>
      <c r="BG55" s="10">
        <f t="shared" si="10"/>
        <v>22.82</v>
      </c>
      <c r="BH55" s="10">
        <f t="shared" si="4"/>
        <v>28.73</v>
      </c>
      <c r="BI55" s="10">
        <f t="shared" si="12"/>
        <v>13.585000000000001</v>
      </c>
      <c r="BJ55" s="11">
        <f t="shared" si="13"/>
        <v>15.145</v>
      </c>
    </row>
    <row r="56" spans="1:62" x14ac:dyDescent="0.2">
      <c r="A56" s="47" t="s">
        <v>39</v>
      </c>
      <c r="C56" s="286">
        <f t="shared" si="0"/>
        <v>22.1</v>
      </c>
      <c r="D56" s="282">
        <f t="shared" si="16"/>
        <v>44.2</v>
      </c>
      <c r="E56" s="282">
        <f t="shared" si="17"/>
        <v>2</v>
      </c>
      <c r="K56" s="27">
        <f t="shared" si="11"/>
        <v>20</v>
      </c>
      <c r="L56" s="27">
        <f t="shared" si="7"/>
        <v>6</v>
      </c>
      <c r="M56" s="323"/>
      <c r="V56" s="125"/>
      <c r="W56" s="85"/>
      <c r="X56" s="80"/>
      <c r="Y56" s="80"/>
      <c r="Z56" s="80">
        <f t="shared" si="1"/>
        <v>20</v>
      </c>
      <c r="AA56" s="50">
        <f t="shared" si="18"/>
        <v>213780</v>
      </c>
      <c r="AB56" s="50">
        <f t="shared" si="18"/>
        <v>10689</v>
      </c>
      <c r="AC56" s="83"/>
      <c r="AD56" s="80"/>
      <c r="AE56" s="80"/>
      <c r="AF56" s="80"/>
      <c r="AG56" s="80"/>
      <c r="AH56" s="80">
        <f t="shared" si="2"/>
        <v>6</v>
      </c>
      <c r="AI56" s="50">
        <f t="shared" si="19"/>
        <v>64134</v>
      </c>
      <c r="AJ56" s="50">
        <f t="shared" si="19"/>
        <v>10689</v>
      </c>
      <c r="AQ56">
        <v>12</v>
      </c>
      <c r="AS56" s="44"/>
      <c r="AT56" s="5">
        <v>21.133333333333329</v>
      </c>
      <c r="AU56" s="5">
        <v>21.533333333333331</v>
      </c>
      <c r="AV56" s="5">
        <v>22.8</v>
      </c>
      <c r="AW56" s="5">
        <v>23.5</v>
      </c>
      <c r="AX56" s="5">
        <v>23.333333333333332</v>
      </c>
      <c r="AY56" s="5">
        <v>22.566666666666666</v>
      </c>
      <c r="AZ56" s="5">
        <v>22.566666666666663</v>
      </c>
      <c r="BA56" s="5">
        <v>22.5</v>
      </c>
      <c r="BB56" s="5">
        <v>22.133333333333336</v>
      </c>
      <c r="BC56" s="5">
        <v>21.7</v>
      </c>
      <c r="BD56" s="5">
        <v>21.566666666666666</v>
      </c>
      <c r="BE56" s="5">
        <v>21.266666666666666</v>
      </c>
      <c r="BF56" s="10">
        <f t="shared" si="3"/>
        <v>22.216666666666665</v>
      </c>
      <c r="BG56" s="10">
        <f t="shared" si="10"/>
        <v>22.31666666666667</v>
      </c>
      <c r="BH56" s="10">
        <f t="shared" si="4"/>
        <v>23.5</v>
      </c>
      <c r="BI56" s="10">
        <f t="shared" si="12"/>
        <v>21.133333333333329</v>
      </c>
      <c r="BJ56" s="11">
        <f t="shared" si="13"/>
        <v>2.3666666666666707</v>
      </c>
    </row>
    <row r="57" spans="1:62" x14ac:dyDescent="0.2">
      <c r="A57" s="47" t="s">
        <v>378</v>
      </c>
      <c r="C57" s="286"/>
      <c r="D57" s="282">
        <f t="shared" si="16"/>
        <v>0</v>
      </c>
      <c r="E57" s="282">
        <f t="shared" si="17"/>
        <v>0</v>
      </c>
      <c r="K57" s="27" t="str">
        <f t="shared" si="11"/>
        <v xml:space="preserve"> </v>
      </c>
      <c r="L57" s="27" t="str">
        <f t="shared" si="7"/>
        <v xml:space="preserve"> </v>
      </c>
      <c r="M57" s="323"/>
      <c r="V57" s="125"/>
      <c r="W57" s="85"/>
      <c r="X57" s="80"/>
      <c r="Y57" s="80"/>
      <c r="Z57" s="80" t="str">
        <f t="shared" si="1"/>
        <v xml:space="preserve"> </v>
      </c>
      <c r="AA57" s="50">
        <f t="shared" si="18"/>
        <v>0</v>
      </c>
      <c r="AB57" s="50">
        <f t="shared" si="18"/>
        <v>0</v>
      </c>
      <c r="AC57" s="83"/>
      <c r="AD57" s="80"/>
      <c r="AE57" s="80"/>
      <c r="AF57" s="80"/>
      <c r="AG57" s="80"/>
      <c r="AH57" s="80" t="str">
        <f t="shared" si="2"/>
        <v xml:space="preserve"> </v>
      </c>
      <c r="AI57" s="50">
        <f t="shared" si="19"/>
        <v>0</v>
      </c>
      <c r="AJ57" s="50">
        <f t="shared" si="19"/>
        <v>0</v>
      </c>
      <c r="AQ57">
        <v>7</v>
      </c>
      <c r="AS57" s="44"/>
      <c r="AT57" s="5"/>
      <c r="AU57" s="5"/>
      <c r="AV57" s="5"/>
      <c r="AW57" s="5"/>
      <c r="AX57" s="5"/>
      <c r="AY57" s="5"/>
      <c r="AZ57" s="5"/>
      <c r="BA57" s="5"/>
      <c r="BB57" s="5"/>
      <c r="BC57" s="5"/>
      <c r="BD57" s="5"/>
      <c r="BE57" s="5"/>
      <c r="BF57" s="10"/>
      <c r="BG57" s="10"/>
      <c r="BH57" s="10"/>
      <c r="BI57" s="10"/>
      <c r="BJ57" s="11"/>
    </row>
    <row r="58" spans="1:62" x14ac:dyDescent="0.2">
      <c r="A58" s="47" t="s">
        <v>379</v>
      </c>
      <c r="C58" s="286">
        <f t="shared" si="0"/>
        <v>52.5</v>
      </c>
      <c r="D58" s="282">
        <f t="shared" si="16"/>
        <v>105</v>
      </c>
      <c r="E58" s="282">
        <f t="shared" si="17"/>
        <v>2</v>
      </c>
      <c r="K58" s="27">
        <f t="shared" si="11"/>
        <v>52.5</v>
      </c>
      <c r="L58" s="27" t="str">
        <f t="shared" si="7"/>
        <v xml:space="preserve"> </v>
      </c>
      <c r="M58" s="323"/>
      <c r="V58" s="125"/>
      <c r="W58" s="85"/>
      <c r="X58" s="80"/>
      <c r="Y58" s="80"/>
      <c r="Z58" s="80">
        <f t="shared" si="1"/>
        <v>52.5</v>
      </c>
      <c r="AA58" s="50">
        <f t="shared" si="18"/>
        <v>104999999895</v>
      </c>
      <c r="AB58" s="50">
        <f t="shared" si="18"/>
        <v>1999999998</v>
      </c>
      <c r="AC58" s="83"/>
      <c r="AD58" s="80"/>
      <c r="AE58" s="80"/>
      <c r="AF58" s="80"/>
      <c r="AG58" s="80"/>
      <c r="AH58" s="80" t="str">
        <f t="shared" si="2"/>
        <v xml:space="preserve"> </v>
      </c>
      <c r="AI58" s="50">
        <f t="shared" si="19"/>
        <v>0</v>
      </c>
      <c r="AJ58" s="50">
        <f t="shared" si="19"/>
        <v>0</v>
      </c>
      <c r="AQ58">
        <v>5</v>
      </c>
      <c r="AS58" s="44"/>
      <c r="AT58" s="5"/>
      <c r="AU58" s="5"/>
      <c r="AV58" s="5"/>
      <c r="AW58" s="5"/>
      <c r="AX58" s="5"/>
      <c r="AY58" s="5"/>
      <c r="AZ58" s="5"/>
      <c r="BA58" s="5"/>
      <c r="BB58" s="5"/>
      <c r="BC58" s="5"/>
      <c r="BD58" s="5"/>
      <c r="BE58" s="5"/>
      <c r="BF58" s="10"/>
      <c r="BG58" s="10"/>
      <c r="BH58" s="10"/>
      <c r="BI58" s="10"/>
      <c r="BJ58" s="11"/>
    </row>
    <row r="59" spans="1:62" x14ac:dyDescent="0.2">
      <c r="A59" s="47" t="s">
        <v>380</v>
      </c>
      <c r="C59" s="286"/>
      <c r="D59" s="282">
        <f t="shared" si="16"/>
        <v>0</v>
      </c>
      <c r="E59" s="282">
        <f t="shared" si="17"/>
        <v>0</v>
      </c>
      <c r="K59" s="27" t="str">
        <f t="shared" si="11"/>
        <v xml:space="preserve"> </v>
      </c>
      <c r="L59" s="27" t="str">
        <f t="shared" si="7"/>
        <v xml:space="preserve"> </v>
      </c>
      <c r="M59" s="323"/>
      <c r="V59" s="125"/>
      <c r="W59" s="85"/>
      <c r="X59" s="80"/>
      <c r="Y59" s="80"/>
      <c r="Z59" s="80" t="str">
        <f t="shared" si="1"/>
        <v xml:space="preserve"> </v>
      </c>
      <c r="AA59" s="50">
        <f t="shared" si="18"/>
        <v>0</v>
      </c>
      <c r="AB59" s="50">
        <f t="shared" si="18"/>
        <v>0</v>
      </c>
      <c r="AC59" s="83"/>
      <c r="AD59" s="80"/>
      <c r="AE59" s="80"/>
      <c r="AF59" s="80"/>
      <c r="AG59" s="80"/>
      <c r="AH59" s="80" t="str">
        <f t="shared" si="2"/>
        <v xml:space="preserve"> </v>
      </c>
      <c r="AI59" s="50">
        <f t="shared" si="19"/>
        <v>0</v>
      </c>
      <c r="AJ59" s="50">
        <f t="shared" si="19"/>
        <v>0</v>
      </c>
      <c r="AQ59">
        <v>17</v>
      </c>
      <c r="AS59" s="44"/>
      <c r="AT59" s="5"/>
      <c r="AU59" s="5"/>
      <c r="AV59" s="5"/>
      <c r="AW59" s="5"/>
      <c r="AX59" s="5"/>
      <c r="AY59" s="5"/>
      <c r="AZ59" s="5"/>
      <c r="BA59" s="5"/>
      <c r="BB59" s="5"/>
      <c r="BC59" s="5"/>
      <c r="BD59" s="5"/>
      <c r="BE59" s="5"/>
      <c r="BF59" s="10"/>
      <c r="BG59" s="10"/>
      <c r="BH59" s="10"/>
      <c r="BI59" s="10"/>
      <c r="BJ59" s="11"/>
    </row>
    <row r="60" spans="1:62" x14ac:dyDescent="0.2">
      <c r="A60" s="47" t="s">
        <v>2</v>
      </c>
      <c r="C60" s="286">
        <f t="shared" si="0"/>
        <v>48.866666666666667</v>
      </c>
      <c r="D60" s="282">
        <f t="shared" si="16"/>
        <v>146.6</v>
      </c>
      <c r="E60" s="282">
        <f t="shared" si="17"/>
        <v>3</v>
      </c>
      <c r="K60" s="27">
        <f t="shared" si="11"/>
        <v>48.082481254260394</v>
      </c>
      <c r="L60" s="27">
        <f t="shared" si="7"/>
        <v>24.641785957736879</v>
      </c>
      <c r="M60" s="323"/>
      <c r="V60" s="125"/>
      <c r="W60" s="85"/>
      <c r="X60" s="80"/>
      <c r="Y60" s="80"/>
      <c r="Z60" s="80">
        <f t="shared" si="1"/>
        <v>48.082481254260394</v>
      </c>
      <c r="AA60" s="50">
        <f t="shared" si="18"/>
        <v>141074</v>
      </c>
      <c r="AB60" s="50">
        <f t="shared" si="18"/>
        <v>2934</v>
      </c>
      <c r="AC60" s="83"/>
      <c r="AD60" s="80"/>
      <c r="AE60" s="80"/>
      <c r="AF60" s="80"/>
      <c r="AG60" s="80"/>
      <c r="AH60" s="80">
        <f t="shared" si="2"/>
        <v>24.641785957736879</v>
      </c>
      <c r="AI60" s="50">
        <f t="shared" si="19"/>
        <v>72299</v>
      </c>
      <c r="AJ60" s="50">
        <f t="shared" si="19"/>
        <v>2934</v>
      </c>
      <c r="AQ60">
        <v>7</v>
      </c>
      <c r="AS60" s="44"/>
      <c r="AT60" s="5">
        <v>19.957142857142856</v>
      </c>
      <c r="AU60" s="5">
        <v>20.023076923076925</v>
      </c>
      <c r="AV60" s="5">
        <v>21.384615384615383</v>
      </c>
      <c r="AW60" s="5">
        <v>22.157142857142855</v>
      </c>
      <c r="AX60" s="5">
        <v>22.414285714285715</v>
      </c>
      <c r="AY60" s="5">
        <v>22.014285714285712</v>
      </c>
      <c r="AZ60" s="5">
        <v>20.95</v>
      </c>
      <c r="BA60" s="5">
        <v>20.778571428571432</v>
      </c>
      <c r="BB60" s="5">
        <v>21.021428571428572</v>
      </c>
      <c r="BC60" s="5">
        <v>19.830769230769228</v>
      </c>
      <c r="BD60" s="5">
        <v>20.393333333333331</v>
      </c>
      <c r="BE60" s="5">
        <v>19.2</v>
      </c>
      <c r="BF60" s="10">
        <f t="shared" si="3"/>
        <v>20.843721001220999</v>
      </c>
      <c r="BG60" s="10">
        <f t="shared" si="10"/>
        <v>20.864285714285714</v>
      </c>
      <c r="BH60" s="10">
        <f t="shared" si="4"/>
        <v>22.414285714285715</v>
      </c>
      <c r="BI60" s="10">
        <f t="shared" si="12"/>
        <v>19.2</v>
      </c>
      <c r="BJ60" s="11">
        <f t="shared" si="13"/>
        <v>3.2142857142857153</v>
      </c>
    </row>
    <row r="61" spans="1:62" x14ac:dyDescent="0.2">
      <c r="A61" s="47" t="s">
        <v>381</v>
      </c>
      <c r="C61" s="286"/>
      <c r="D61" s="282">
        <f t="shared" si="16"/>
        <v>0</v>
      </c>
      <c r="E61" s="282">
        <f t="shared" si="17"/>
        <v>0</v>
      </c>
      <c r="K61" s="27" t="str">
        <f t="shared" si="11"/>
        <v xml:space="preserve"> </v>
      </c>
      <c r="L61" s="27" t="str">
        <f t="shared" si="7"/>
        <v xml:space="preserve"> </v>
      </c>
      <c r="M61" s="323"/>
      <c r="V61" s="125"/>
      <c r="W61" s="85"/>
      <c r="X61" s="80"/>
      <c r="Y61" s="80"/>
      <c r="Z61" s="80" t="str">
        <f t="shared" si="1"/>
        <v xml:space="preserve"> </v>
      </c>
      <c r="AA61" s="50">
        <f t="shared" si="18"/>
        <v>0</v>
      </c>
      <c r="AB61" s="50">
        <f t="shared" si="18"/>
        <v>0</v>
      </c>
      <c r="AC61" s="83"/>
      <c r="AD61" s="80"/>
      <c r="AE61" s="80"/>
      <c r="AF61" s="80"/>
      <c r="AG61" s="80"/>
      <c r="AH61" s="80" t="str">
        <f t="shared" si="2"/>
        <v xml:space="preserve"> </v>
      </c>
      <c r="AI61" s="50">
        <f t="shared" si="19"/>
        <v>0</v>
      </c>
      <c r="AJ61" s="50">
        <f t="shared" si="19"/>
        <v>0</v>
      </c>
      <c r="AS61" s="44"/>
      <c r="AT61" s="5"/>
      <c r="AU61" s="5"/>
      <c r="AV61" s="5"/>
      <c r="AW61" s="5"/>
      <c r="AX61" s="5"/>
      <c r="AY61" s="5"/>
      <c r="AZ61" s="5"/>
      <c r="BA61" s="5"/>
      <c r="BB61" s="5"/>
      <c r="BC61" s="5"/>
      <c r="BD61" s="5"/>
      <c r="BE61" s="5"/>
      <c r="BF61" s="10"/>
      <c r="BG61" s="10"/>
      <c r="BH61" s="10"/>
      <c r="BI61" s="10"/>
      <c r="BJ61" s="11"/>
    </row>
    <row r="62" spans="1:62" x14ac:dyDescent="0.2">
      <c r="A62" s="47" t="s">
        <v>382</v>
      </c>
      <c r="C62" s="286">
        <f t="shared" si="0"/>
        <v>66</v>
      </c>
      <c r="D62" s="282">
        <f t="shared" si="16"/>
        <v>66</v>
      </c>
      <c r="E62" s="282">
        <f t="shared" si="17"/>
        <v>1</v>
      </c>
      <c r="K62" s="27">
        <f t="shared" si="11"/>
        <v>66</v>
      </c>
      <c r="L62" s="27" t="str">
        <f t="shared" si="7"/>
        <v xml:space="preserve"> </v>
      </c>
      <c r="M62" s="323"/>
      <c r="V62" s="125"/>
      <c r="W62" s="85"/>
      <c r="X62" s="80"/>
      <c r="Y62" s="80"/>
      <c r="Z62" s="80">
        <f t="shared" si="1"/>
        <v>66</v>
      </c>
      <c r="AA62" s="50">
        <f t="shared" si="18"/>
        <v>103950</v>
      </c>
      <c r="AB62" s="50">
        <f t="shared" si="18"/>
        <v>1575</v>
      </c>
      <c r="AC62" s="83"/>
      <c r="AD62" s="80"/>
      <c r="AE62" s="80"/>
      <c r="AF62" s="80"/>
      <c r="AG62" s="80"/>
      <c r="AH62" s="80" t="str">
        <f t="shared" si="2"/>
        <v xml:space="preserve"> </v>
      </c>
      <c r="AI62" s="50">
        <f t="shared" si="19"/>
        <v>0</v>
      </c>
      <c r="AJ62" s="50">
        <f t="shared" si="19"/>
        <v>0</v>
      </c>
      <c r="AQ62">
        <v>13</v>
      </c>
      <c r="AS62" s="44"/>
      <c r="AT62" s="5"/>
      <c r="AU62" s="5"/>
      <c r="AV62" s="5"/>
      <c r="AW62" s="5"/>
      <c r="AX62" s="5"/>
      <c r="AY62" s="5"/>
      <c r="AZ62" s="5"/>
      <c r="BA62" s="5"/>
      <c r="BB62" s="5"/>
      <c r="BC62" s="5"/>
      <c r="BD62" s="5"/>
      <c r="BE62" s="5"/>
      <c r="BF62" s="10"/>
      <c r="BG62" s="10"/>
      <c r="BH62" s="10"/>
      <c r="BI62" s="10"/>
      <c r="BJ62" s="11"/>
    </row>
    <row r="63" spans="1:62" x14ac:dyDescent="0.2">
      <c r="A63" s="47" t="s">
        <v>92</v>
      </c>
      <c r="C63" s="286">
        <f t="shared" si="0"/>
        <v>23.8</v>
      </c>
      <c r="D63" s="282">
        <f t="shared" si="16"/>
        <v>47.6</v>
      </c>
      <c r="E63" s="282">
        <f t="shared" si="17"/>
        <v>2</v>
      </c>
      <c r="K63" s="27">
        <f t="shared" si="11"/>
        <v>23.081555834378921</v>
      </c>
      <c r="L63" s="27">
        <f t="shared" si="7"/>
        <v>6.5901296528649098</v>
      </c>
      <c r="M63" s="323"/>
      <c r="V63" s="125"/>
      <c r="W63" s="85"/>
      <c r="X63" s="80"/>
      <c r="Y63" s="80"/>
      <c r="Z63" s="80">
        <f t="shared" si="1"/>
        <v>23.081555834378921</v>
      </c>
      <c r="AA63" s="50">
        <f t="shared" ref="AA63:AB82" si="20">SUMIF($B$213:$B$562,$A63,AA$213:AA$562)</f>
        <v>275940</v>
      </c>
      <c r="AB63" s="50">
        <f t="shared" si="20"/>
        <v>11955</v>
      </c>
      <c r="AC63" s="83"/>
      <c r="AD63" s="80"/>
      <c r="AE63" s="80"/>
      <c r="AF63" s="80"/>
      <c r="AG63" s="80"/>
      <c r="AH63" s="80">
        <f t="shared" si="2"/>
        <v>6.5901296528649098</v>
      </c>
      <c r="AI63" s="50">
        <f t="shared" ref="AI63:AJ82" si="21">SUMIF($B$213:$B$562,$A63,AI$213:AI$562)</f>
        <v>78785</v>
      </c>
      <c r="AJ63" s="50">
        <f t="shared" si="21"/>
        <v>11955</v>
      </c>
      <c r="AQ63">
        <v>18</v>
      </c>
      <c r="AS63" s="44"/>
      <c r="AT63" s="5">
        <v>-10.694444444444445</v>
      </c>
      <c r="AU63" s="5">
        <v>-10.327777777777778</v>
      </c>
      <c r="AV63" s="5">
        <v>-6.1722222222222225</v>
      </c>
      <c r="AW63" s="5">
        <v>0.35</v>
      </c>
      <c r="AX63" s="5">
        <v>7.15</v>
      </c>
      <c r="AY63" s="5">
        <v>13.411111111111111</v>
      </c>
      <c r="AZ63" s="5">
        <v>15.633333333333338</v>
      </c>
      <c r="BA63" s="5">
        <v>13.85</v>
      </c>
      <c r="BB63" s="5">
        <v>8.5666666666666682</v>
      </c>
      <c r="BC63" s="5">
        <v>3.1444444444444444</v>
      </c>
      <c r="BD63" s="5">
        <v>-2.7111111111111108</v>
      </c>
      <c r="BE63" s="5">
        <v>-7.7222222222222223</v>
      </c>
      <c r="BF63" s="10">
        <f t="shared" si="3"/>
        <v>2.0398148148148159</v>
      </c>
      <c r="BG63" s="10">
        <f t="shared" si="10"/>
        <v>1.7472222222222222</v>
      </c>
      <c r="BH63" s="10">
        <f t="shared" si="4"/>
        <v>15.633333333333338</v>
      </c>
      <c r="BI63" s="10">
        <f t="shared" si="12"/>
        <v>-10.694444444444445</v>
      </c>
      <c r="BJ63" s="11">
        <f t="shared" si="13"/>
        <v>26.327777777777783</v>
      </c>
    </row>
    <row r="64" spans="1:62" x14ac:dyDescent="0.2">
      <c r="A64" s="47" t="s">
        <v>146</v>
      </c>
      <c r="C64" s="286">
        <f t="shared" si="0"/>
        <v>9</v>
      </c>
      <c r="D64" s="282">
        <f t="shared" si="16"/>
        <v>9</v>
      </c>
      <c r="E64" s="282">
        <f t="shared" si="17"/>
        <v>1</v>
      </c>
      <c r="K64" s="27">
        <f t="shared" si="11"/>
        <v>9</v>
      </c>
      <c r="L64" s="27">
        <f t="shared" si="7"/>
        <v>3</v>
      </c>
      <c r="M64" s="323"/>
      <c r="V64" s="125"/>
      <c r="W64" s="85"/>
      <c r="X64" s="80"/>
      <c r="Y64" s="80"/>
      <c r="Z64" s="80">
        <f t="shared" si="1"/>
        <v>9</v>
      </c>
      <c r="AA64" s="50">
        <f t="shared" si="20"/>
        <v>53172</v>
      </c>
      <c r="AB64" s="50">
        <f t="shared" si="20"/>
        <v>5908</v>
      </c>
      <c r="AC64" s="83"/>
      <c r="AD64" s="80"/>
      <c r="AE64" s="80"/>
      <c r="AF64" s="80"/>
      <c r="AG64" s="80"/>
      <c r="AH64" s="80">
        <f t="shared" si="2"/>
        <v>3</v>
      </c>
      <c r="AI64" s="50">
        <f t="shared" si="21"/>
        <v>17724</v>
      </c>
      <c r="AJ64" s="50">
        <f t="shared" si="21"/>
        <v>5908</v>
      </c>
      <c r="AQ64">
        <v>16</v>
      </c>
      <c r="AS64" s="44"/>
      <c r="AT64" s="5">
        <v>3.6625000000000001</v>
      </c>
      <c r="AU64" s="5">
        <v>4.7625000000000002</v>
      </c>
      <c r="AV64" s="5">
        <v>7.1437499999999998</v>
      </c>
      <c r="AW64" s="5">
        <v>10.24375</v>
      </c>
      <c r="AX64" s="5">
        <v>13.834375</v>
      </c>
      <c r="AY64" s="5">
        <v>17.153124999999999</v>
      </c>
      <c r="AZ64" s="5">
        <v>19.321874999999999</v>
      </c>
      <c r="BA64" s="5">
        <v>18.859375</v>
      </c>
      <c r="BB64" s="5">
        <v>16.290624999999999</v>
      </c>
      <c r="BC64" s="5">
        <v>12.103125</v>
      </c>
      <c r="BD64" s="5">
        <v>7.4093749999999998</v>
      </c>
      <c r="BE64" s="5">
        <v>4.6875</v>
      </c>
      <c r="BF64" s="10">
        <f t="shared" si="3"/>
        <v>11.289322916666668</v>
      </c>
      <c r="BG64" s="10">
        <f t="shared" si="10"/>
        <v>11.1734375</v>
      </c>
      <c r="BH64" s="10">
        <f t="shared" si="4"/>
        <v>19.321874999999999</v>
      </c>
      <c r="BI64" s="10">
        <f t="shared" si="12"/>
        <v>3.6625000000000001</v>
      </c>
      <c r="BJ64" s="11">
        <f t="shared" si="13"/>
        <v>15.659374999999999</v>
      </c>
    </row>
    <row r="65" spans="1:62" x14ac:dyDescent="0.2">
      <c r="A65" s="47" t="s">
        <v>383</v>
      </c>
      <c r="C65" s="286"/>
      <c r="D65" s="282">
        <f t="shared" si="16"/>
        <v>0</v>
      </c>
      <c r="E65" s="282">
        <f t="shared" si="17"/>
        <v>0</v>
      </c>
      <c r="K65" s="27" t="str">
        <f t="shared" si="11"/>
        <v xml:space="preserve"> </v>
      </c>
      <c r="L65" s="27" t="str">
        <f t="shared" si="7"/>
        <v xml:space="preserve"> </v>
      </c>
      <c r="M65" s="323"/>
      <c r="V65" s="125"/>
      <c r="W65" s="85"/>
      <c r="X65" s="80"/>
      <c r="Y65" s="80"/>
      <c r="Z65" s="80" t="str">
        <f t="shared" si="1"/>
        <v xml:space="preserve"> </v>
      </c>
      <c r="AA65" s="50">
        <f t="shared" si="20"/>
        <v>0</v>
      </c>
      <c r="AB65" s="50">
        <f t="shared" si="20"/>
        <v>0</v>
      </c>
      <c r="AC65" s="83"/>
      <c r="AD65" s="80"/>
      <c r="AE65" s="80"/>
      <c r="AF65" s="80"/>
      <c r="AG65" s="80"/>
      <c r="AH65" s="80" t="str">
        <f t="shared" si="2"/>
        <v xml:space="preserve"> </v>
      </c>
      <c r="AI65" s="50">
        <f t="shared" si="21"/>
        <v>0</v>
      </c>
      <c r="AJ65" s="50">
        <f t="shared" si="21"/>
        <v>0</v>
      </c>
      <c r="AS65" s="44"/>
      <c r="AT65" s="5"/>
      <c r="AU65" s="5"/>
      <c r="AV65" s="5"/>
      <c r="AW65" s="5"/>
      <c r="AX65" s="5"/>
      <c r="AY65" s="5"/>
      <c r="AZ65" s="5"/>
      <c r="BA65" s="5"/>
      <c r="BB65" s="5"/>
      <c r="BC65" s="5"/>
      <c r="BD65" s="5"/>
      <c r="BE65" s="5"/>
      <c r="BF65" s="10"/>
      <c r="BG65" s="10"/>
      <c r="BH65" s="10"/>
      <c r="BI65" s="10"/>
      <c r="BJ65" s="11"/>
    </row>
    <row r="66" spans="1:62" x14ac:dyDescent="0.2">
      <c r="A66" s="47" t="s">
        <v>147</v>
      </c>
      <c r="C66" s="286"/>
      <c r="D66" s="282">
        <f t="shared" si="16"/>
        <v>0</v>
      </c>
      <c r="E66" s="282">
        <f t="shared" si="17"/>
        <v>0</v>
      </c>
      <c r="K66" s="27" t="str">
        <f t="shared" si="11"/>
        <v xml:space="preserve"> </v>
      </c>
      <c r="L66" s="27" t="str">
        <f t="shared" si="7"/>
        <v xml:space="preserve"> </v>
      </c>
      <c r="M66" s="323"/>
      <c r="V66" s="125"/>
      <c r="W66" s="85"/>
      <c r="X66" s="80"/>
      <c r="Y66" s="80"/>
      <c r="Z66" s="80" t="str">
        <f t="shared" ref="Z66:Z129" si="22">IF(AB66&gt;0,AA66/AB66," ")</f>
        <v xml:space="preserve"> </v>
      </c>
      <c r="AA66" s="50">
        <f t="shared" si="20"/>
        <v>0</v>
      </c>
      <c r="AB66" s="50">
        <f t="shared" si="20"/>
        <v>0</v>
      </c>
      <c r="AC66" s="83"/>
      <c r="AD66" s="80"/>
      <c r="AE66" s="80"/>
      <c r="AF66" s="80"/>
      <c r="AG66" s="80"/>
      <c r="AH66" s="80" t="str">
        <f t="shared" ref="AH66:AH129" si="23">IF(AJ66&gt;0,AI66/AJ66," ")</f>
        <v xml:space="preserve"> </v>
      </c>
      <c r="AI66" s="50">
        <f t="shared" si="21"/>
        <v>0</v>
      </c>
      <c r="AJ66" s="50">
        <f t="shared" si="21"/>
        <v>0</v>
      </c>
      <c r="AQ66">
        <v>12</v>
      </c>
      <c r="AS66" s="44"/>
      <c r="AT66" s="5">
        <v>25.44</v>
      </c>
      <c r="AU66" s="5">
        <v>25.713333333333331</v>
      </c>
      <c r="AV66" s="5">
        <v>25.9</v>
      </c>
      <c r="AW66" s="5">
        <v>25.986666666666668</v>
      </c>
      <c r="AX66" s="5">
        <v>25.426666666666666</v>
      </c>
      <c r="AY66" s="5">
        <v>23.78</v>
      </c>
      <c r="AZ66" s="5">
        <v>22.713333333333335</v>
      </c>
      <c r="BA66" s="5">
        <v>23.193333333333335</v>
      </c>
      <c r="BB66" s="5">
        <v>24.32</v>
      </c>
      <c r="BC66" s="5">
        <v>24.92</v>
      </c>
      <c r="BD66" s="5">
        <v>25</v>
      </c>
      <c r="BE66" s="5">
        <v>25.186666666666667</v>
      </c>
      <c r="BF66" s="10">
        <f t="shared" si="3"/>
        <v>24.798333333333332</v>
      </c>
      <c r="BG66" s="10">
        <f t="shared" si="10"/>
        <v>25.093333333333334</v>
      </c>
      <c r="BH66" s="10">
        <f t="shared" si="4"/>
        <v>25.986666666666668</v>
      </c>
      <c r="BI66" s="10">
        <f t="shared" si="12"/>
        <v>22.713333333333335</v>
      </c>
      <c r="BJ66" s="11">
        <f t="shared" si="13"/>
        <v>3.2733333333333334</v>
      </c>
    </row>
    <row r="67" spans="1:62" x14ac:dyDescent="0.2">
      <c r="A67" s="47" t="s">
        <v>148</v>
      </c>
      <c r="C67" s="286"/>
      <c r="D67" s="282">
        <f t="shared" ref="D67:D98" si="24">SUMIF($B$213:$B$562,$A67,K$213:K$562)</f>
        <v>0</v>
      </c>
      <c r="E67" s="282">
        <f t="shared" ref="E67:E98" si="25">COUNTIFS($B$213:$B$562,$A67, $K$213:$K$562,"&gt;0")</f>
        <v>0</v>
      </c>
      <c r="K67" s="27" t="str">
        <f t="shared" si="11"/>
        <v xml:space="preserve"> </v>
      </c>
      <c r="L67" s="27" t="str">
        <f t="shared" ref="L67:L130" si="26">AH67</f>
        <v xml:space="preserve"> </v>
      </c>
      <c r="M67" s="323"/>
      <c r="V67" s="125"/>
      <c r="W67" s="85"/>
      <c r="X67" s="80"/>
      <c r="Y67" s="80"/>
      <c r="Z67" s="80" t="str">
        <f t="shared" si="22"/>
        <v xml:space="preserve"> </v>
      </c>
      <c r="AA67" s="50">
        <f t="shared" si="20"/>
        <v>0</v>
      </c>
      <c r="AB67" s="50">
        <f t="shared" si="20"/>
        <v>0</v>
      </c>
      <c r="AC67" s="83"/>
      <c r="AD67" s="80"/>
      <c r="AE67" s="80"/>
      <c r="AF67" s="80"/>
      <c r="AG67" s="80"/>
      <c r="AH67" s="80" t="str">
        <f t="shared" si="23"/>
        <v xml:space="preserve"> </v>
      </c>
      <c r="AI67" s="50">
        <f t="shared" si="21"/>
        <v>0</v>
      </c>
      <c r="AJ67" s="50">
        <f t="shared" si="21"/>
        <v>0</v>
      </c>
      <c r="AQ67">
        <v>8</v>
      </c>
      <c r="AS67" s="44"/>
      <c r="AT67" s="5">
        <v>23.3</v>
      </c>
      <c r="AU67" s="5">
        <v>24.3</v>
      </c>
      <c r="AV67" s="5">
        <v>24.9</v>
      </c>
      <c r="AW67" s="5">
        <v>24.9</v>
      </c>
      <c r="AX67" s="5">
        <v>25.3</v>
      </c>
      <c r="AY67" s="5">
        <v>27.1</v>
      </c>
      <c r="AZ67" s="5">
        <v>26.8</v>
      </c>
      <c r="BA67" s="5">
        <v>26.3</v>
      </c>
      <c r="BB67" s="5">
        <v>26.5</v>
      </c>
      <c r="BC67" s="5">
        <v>27</v>
      </c>
      <c r="BD67" s="5">
        <v>25.7</v>
      </c>
      <c r="BE67" s="5">
        <v>23.7</v>
      </c>
      <c r="BF67" s="10">
        <f t="shared" si="3"/>
        <v>25.483333333333334</v>
      </c>
      <c r="BG67" s="10">
        <f t="shared" si="10"/>
        <v>25.5</v>
      </c>
      <c r="BH67" s="10">
        <f t="shared" si="4"/>
        <v>27.1</v>
      </c>
      <c r="BI67" s="10">
        <f t="shared" si="12"/>
        <v>23.3</v>
      </c>
      <c r="BJ67" s="11">
        <f t="shared" si="13"/>
        <v>3.8000000000000007</v>
      </c>
    </row>
    <row r="68" spans="1:62" x14ac:dyDescent="0.2">
      <c r="A68" s="47" t="s">
        <v>84</v>
      </c>
      <c r="C68" s="286">
        <f t="shared" ref="C68:C127" si="27">D68/E68</f>
        <v>5</v>
      </c>
      <c r="D68" s="282">
        <f t="shared" si="24"/>
        <v>5</v>
      </c>
      <c r="E68" s="282">
        <f t="shared" si="25"/>
        <v>1</v>
      </c>
      <c r="K68" s="27">
        <f t="shared" si="11"/>
        <v>5</v>
      </c>
      <c r="L68" s="27">
        <f t="shared" si="26"/>
        <v>2</v>
      </c>
      <c r="M68" s="323"/>
      <c r="V68" s="125"/>
      <c r="W68" s="85"/>
      <c r="X68" s="80"/>
      <c r="Y68" s="80"/>
      <c r="Z68" s="80">
        <f t="shared" si="22"/>
        <v>5</v>
      </c>
      <c r="AA68" s="50">
        <f t="shared" si="20"/>
        <v>28470</v>
      </c>
      <c r="AB68" s="50">
        <f t="shared" si="20"/>
        <v>5694</v>
      </c>
      <c r="AC68" s="83"/>
      <c r="AD68" s="80"/>
      <c r="AE68" s="80"/>
      <c r="AF68" s="80"/>
      <c r="AG68" s="80"/>
      <c r="AH68" s="80">
        <f t="shared" si="23"/>
        <v>2</v>
      </c>
      <c r="AI68" s="50">
        <f t="shared" si="21"/>
        <v>11388</v>
      </c>
      <c r="AJ68" s="50">
        <f t="shared" si="21"/>
        <v>5694</v>
      </c>
      <c r="AQ68">
        <v>13</v>
      </c>
      <c r="AS68" s="45"/>
      <c r="AT68" s="5">
        <v>1</v>
      </c>
      <c r="AU68" s="5">
        <v>2.6</v>
      </c>
      <c r="AV68" s="5">
        <v>6.6</v>
      </c>
      <c r="AW68" s="5">
        <v>12.1</v>
      </c>
      <c r="AX68" s="5">
        <v>17.3</v>
      </c>
      <c r="AY68" s="5">
        <v>21.2</v>
      </c>
      <c r="AZ68" s="5">
        <v>24.4</v>
      </c>
      <c r="BA68" s="5">
        <v>24.1</v>
      </c>
      <c r="BB68" s="5">
        <v>19.5</v>
      </c>
      <c r="BC68" s="5">
        <v>13.8</v>
      </c>
      <c r="BD68" s="5">
        <v>7.7</v>
      </c>
      <c r="BE68" s="5">
        <v>3</v>
      </c>
      <c r="BF68" s="10">
        <f t="shared" si="3"/>
        <v>12.774999999999999</v>
      </c>
      <c r="BG68" s="10">
        <f t="shared" si="10"/>
        <v>12.95</v>
      </c>
      <c r="BH68" s="10">
        <f t="shared" si="4"/>
        <v>24.4</v>
      </c>
      <c r="BI68" s="10">
        <f t="shared" si="12"/>
        <v>1</v>
      </c>
      <c r="BJ68" s="11">
        <f t="shared" si="13"/>
        <v>23.4</v>
      </c>
    </row>
    <row r="69" spans="1:62" x14ac:dyDescent="0.2">
      <c r="A69" s="47" t="s">
        <v>259</v>
      </c>
      <c r="C69" s="286">
        <f t="shared" si="27"/>
        <v>23</v>
      </c>
      <c r="D69" s="282">
        <f t="shared" si="24"/>
        <v>23</v>
      </c>
      <c r="E69" s="282">
        <f t="shared" si="25"/>
        <v>1</v>
      </c>
      <c r="K69" s="27">
        <f t="shared" si="11"/>
        <v>23</v>
      </c>
      <c r="L69" s="27" t="str">
        <f t="shared" si="26"/>
        <v xml:space="preserve"> </v>
      </c>
      <c r="M69" s="323"/>
      <c r="V69" s="125"/>
      <c r="W69" s="85"/>
      <c r="X69" s="80"/>
      <c r="Y69" s="80"/>
      <c r="Z69" s="80">
        <f t="shared" si="22"/>
        <v>23</v>
      </c>
      <c r="AA69" s="50">
        <f t="shared" si="20"/>
        <v>236072</v>
      </c>
      <c r="AB69" s="50">
        <f t="shared" si="20"/>
        <v>10264</v>
      </c>
      <c r="AC69" s="83"/>
      <c r="AD69" s="80"/>
      <c r="AE69" s="80"/>
      <c r="AF69" s="80"/>
      <c r="AG69" s="80"/>
      <c r="AH69" s="80" t="str">
        <f t="shared" si="23"/>
        <v xml:space="preserve"> </v>
      </c>
      <c r="AI69" s="50">
        <f t="shared" si="21"/>
        <v>0</v>
      </c>
      <c r="AJ69" s="50">
        <f t="shared" si="21"/>
        <v>0</v>
      </c>
      <c r="AS69" s="45"/>
      <c r="AT69" s="5">
        <v>-0.80857142857142861</v>
      </c>
      <c r="AU69" s="5">
        <v>0.24063492063492048</v>
      </c>
      <c r="AV69" s="5">
        <v>3.0193650793650799</v>
      </c>
      <c r="AW69" s="5">
        <v>7.4079365079365083</v>
      </c>
      <c r="AX69" s="5">
        <v>12.140476190476191</v>
      </c>
      <c r="AY69" s="5">
        <v>15.71989417989418</v>
      </c>
      <c r="AZ69" s="5">
        <v>17.134708994708994</v>
      </c>
      <c r="BA69" s="5">
        <v>16.668730158730156</v>
      </c>
      <c r="BB69" s="5">
        <v>13.487354497354497</v>
      </c>
      <c r="BC69" s="5">
        <v>8.9785185185185181</v>
      </c>
      <c r="BD69" s="5">
        <v>3.7444973544973541</v>
      </c>
      <c r="BE69" s="5">
        <v>0.80941798941798959</v>
      </c>
      <c r="BF69" s="10">
        <v>8.2119135802469145</v>
      </c>
      <c r="BG69" s="10">
        <v>8.1932275132275123</v>
      </c>
      <c r="BH69" s="10">
        <v>17.134708994708994</v>
      </c>
      <c r="BI69" s="10">
        <f t="shared" si="12"/>
        <v>-0.80857142857142861</v>
      </c>
      <c r="BJ69" s="11">
        <f t="shared" si="13"/>
        <v>17.943280423280424</v>
      </c>
    </row>
    <row r="70" spans="1:62" x14ac:dyDescent="0.2">
      <c r="A70" s="47" t="s">
        <v>149</v>
      </c>
      <c r="C70" s="286">
        <f t="shared" si="27"/>
        <v>20.73</v>
      </c>
      <c r="D70" s="282">
        <f t="shared" si="24"/>
        <v>20.73</v>
      </c>
      <c r="E70" s="282">
        <f t="shared" si="25"/>
        <v>1</v>
      </c>
      <c r="K70" s="27">
        <f t="shared" si="11"/>
        <v>20.73</v>
      </c>
      <c r="L70" s="27">
        <f t="shared" si="26"/>
        <v>23</v>
      </c>
      <c r="M70" s="323"/>
      <c r="V70" s="125"/>
      <c r="W70" s="85"/>
      <c r="X70" s="80"/>
      <c r="Y70" s="80"/>
      <c r="Z70" s="80">
        <f t="shared" si="22"/>
        <v>20.73</v>
      </c>
      <c r="AA70" s="50">
        <f t="shared" si="20"/>
        <v>101908.68000000001</v>
      </c>
      <c r="AB70" s="50">
        <f t="shared" si="20"/>
        <v>4916</v>
      </c>
      <c r="AC70" s="83"/>
      <c r="AD70" s="80"/>
      <c r="AE70" s="80"/>
      <c r="AF70" s="80"/>
      <c r="AG70" s="80"/>
      <c r="AH70" s="80">
        <f t="shared" si="23"/>
        <v>23</v>
      </c>
      <c r="AI70" s="50">
        <f t="shared" si="21"/>
        <v>46253.46</v>
      </c>
      <c r="AJ70" s="50">
        <f t="shared" si="21"/>
        <v>2011.02</v>
      </c>
      <c r="AQ70">
        <v>9</v>
      </c>
      <c r="AS70" s="44"/>
      <c r="AT70" s="5">
        <v>27.033333333333331</v>
      </c>
      <c r="AU70" s="5">
        <v>28.133333333333336</v>
      </c>
      <c r="AV70" s="5">
        <v>28.666666666666668</v>
      </c>
      <c r="AW70" s="5">
        <v>28.333333333333332</v>
      </c>
      <c r="AX70" s="5">
        <v>27.5</v>
      </c>
      <c r="AY70" s="5">
        <v>26.133333333333336</v>
      </c>
      <c r="AZ70" s="5">
        <v>25.166666666666668</v>
      </c>
      <c r="BA70" s="5">
        <v>24.7</v>
      </c>
      <c r="BB70" s="5">
        <v>25.233333333333334</v>
      </c>
      <c r="BC70" s="5">
        <v>26.233333333333334</v>
      </c>
      <c r="BD70" s="5">
        <v>27.133333333333336</v>
      </c>
      <c r="BE70" s="5">
        <v>26.966666666666669</v>
      </c>
      <c r="BF70" s="10">
        <f t="shared" si="3"/>
        <v>26.769444444444446</v>
      </c>
      <c r="BG70" s="10">
        <f t="shared" si="10"/>
        <v>27</v>
      </c>
      <c r="BH70" s="10">
        <f t="shared" si="4"/>
        <v>28.666666666666668</v>
      </c>
      <c r="BI70" s="10">
        <f t="shared" si="12"/>
        <v>24.7</v>
      </c>
      <c r="BJ70" s="11">
        <f t="shared" si="13"/>
        <v>3.9666666666666686</v>
      </c>
    </row>
    <row r="71" spans="1:62" x14ac:dyDescent="0.2">
      <c r="A71" s="47" t="s">
        <v>150</v>
      </c>
      <c r="C71" s="286">
        <f t="shared" si="27"/>
        <v>3.6</v>
      </c>
      <c r="D71" s="282">
        <f t="shared" si="24"/>
        <v>3.6</v>
      </c>
      <c r="E71" s="282">
        <f t="shared" si="25"/>
        <v>1</v>
      </c>
      <c r="K71" s="27">
        <f t="shared" ref="K71:K134" si="28">Z71</f>
        <v>3.6</v>
      </c>
      <c r="L71" s="27" t="str">
        <f t="shared" si="26"/>
        <v xml:space="preserve"> </v>
      </c>
      <c r="M71" s="323"/>
      <c r="V71" s="125"/>
      <c r="W71" s="85"/>
      <c r="X71" s="80"/>
      <c r="Y71" s="80"/>
      <c r="Z71" s="80">
        <f t="shared" si="22"/>
        <v>3.6</v>
      </c>
      <c r="AA71" s="50">
        <f t="shared" si="20"/>
        <v>4320</v>
      </c>
      <c r="AB71" s="50">
        <f t="shared" si="20"/>
        <v>1200</v>
      </c>
      <c r="AC71" s="83"/>
      <c r="AD71" s="80"/>
      <c r="AE71" s="80"/>
      <c r="AF71" s="80"/>
      <c r="AG71" s="80"/>
      <c r="AH71" s="80" t="str">
        <f t="shared" si="23"/>
        <v xml:space="preserve"> </v>
      </c>
      <c r="AI71" s="50">
        <f t="shared" si="21"/>
        <v>0</v>
      </c>
      <c r="AJ71" s="50">
        <f t="shared" si="21"/>
        <v>0</v>
      </c>
      <c r="AQ71">
        <v>17</v>
      </c>
      <c r="AS71" s="44"/>
      <c r="AT71" s="5">
        <v>10.027272727272726</v>
      </c>
      <c r="AU71" s="5">
        <v>10.636363636363638</v>
      </c>
      <c r="AV71" s="5">
        <v>12.209090909090907</v>
      </c>
      <c r="AW71" s="5">
        <v>15.481818181818182</v>
      </c>
      <c r="AX71" s="5">
        <v>19.790909090909089</v>
      </c>
      <c r="AY71" s="5">
        <v>24.063636363636363</v>
      </c>
      <c r="AZ71" s="5">
        <v>26.354545454545452</v>
      </c>
      <c r="BA71" s="5">
        <v>26.354545454545452</v>
      </c>
      <c r="BB71" s="5">
        <v>23.254545454545454</v>
      </c>
      <c r="BC71" s="5">
        <v>18.981818181818184</v>
      </c>
      <c r="BD71" s="5">
        <v>15.136363636363633</v>
      </c>
      <c r="BE71" s="5">
        <v>11.890909090909092</v>
      </c>
      <c r="BF71" s="10">
        <f t="shared" si="3"/>
        <v>17.848484848484848</v>
      </c>
      <c r="BG71" s="10">
        <f t="shared" si="10"/>
        <v>17.231818181818184</v>
      </c>
      <c r="BH71" s="10">
        <f t="shared" si="4"/>
        <v>26.354545454545452</v>
      </c>
      <c r="BI71" s="10">
        <f t="shared" ref="BI71:BI134" si="29">MIN(AT71:BE71)</f>
        <v>10.027272727272726</v>
      </c>
      <c r="BJ71" s="11">
        <f t="shared" ref="BJ71:BJ134" si="30">BH71-BI71</f>
        <v>16.327272727272728</v>
      </c>
    </row>
    <row r="72" spans="1:62" x14ac:dyDescent="0.2">
      <c r="A72" s="47" t="s">
        <v>384</v>
      </c>
      <c r="C72" s="286"/>
      <c r="D72" s="282">
        <f t="shared" si="24"/>
        <v>0</v>
      </c>
      <c r="E72" s="282">
        <f t="shared" si="25"/>
        <v>0</v>
      </c>
      <c r="K72" s="27" t="str">
        <f t="shared" si="28"/>
        <v xml:space="preserve"> </v>
      </c>
      <c r="L72" s="27" t="str">
        <f t="shared" si="26"/>
        <v xml:space="preserve"> </v>
      </c>
      <c r="M72" s="323"/>
      <c r="V72" s="125"/>
      <c r="W72" s="85"/>
      <c r="X72" s="80"/>
      <c r="Y72" s="80"/>
      <c r="Z72" s="80" t="str">
        <f t="shared" si="22"/>
        <v xml:space="preserve"> </v>
      </c>
      <c r="AA72" s="50">
        <f t="shared" si="20"/>
        <v>0</v>
      </c>
      <c r="AB72" s="50">
        <f t="shared" si="20"/>
        <v>0</v>
      </c>
      <c r="AC72" s="83"/>
      <c r="AD72" s="80"/>
      <c r="AE72" s="80"/>
      <c r="AF72" s="80"/>
      <c r="AG72" s="80"/>
      <c r="AH72" s="80" t="str">
        <f t="shared" si="23"/>
        <v xml:space="preserve"> </v>
      </c>
      <c r="AI72" s="50">
        <f t="shared" si="21"/>
        <v>0</v>
      </c>
      <c r="AJ72" s="50">
        <f t="shared" si="21"/>
        <v>0</v>
      </c>
      <c r="AS72" s="44"/>
      <c r="AT72" s="5"/>
      <c r="AU72" s="5"/>
      <c r="AV72" s="5"/>
      <c r="AW72" s="5"/>
      <c r="AX72" s="5"/>
      <c r="AY72" s="5"/>
      <c r="AZ72" s="5"/>
      <c r="BA72" s="5"/>
      <c r="BB72" s="5"/>
      <c r="BC72" s="5"/>
      <c r="BD72" s="5"/>
      <c r="BE72" s="5"/>
      <c r="BF72" s="10"/>
      <c r="BG72" s="10"/>
      <c r="BH72" s="10"/>
      <c r="BI72" s="10"/>
      <c r="BJ72" s="11"/>
    </row>
    <row r="73" spans="1:62" x14ac:dyDescent="0.2">
      <c r="A73" s="47" t="s">
        <v>385</v>
      </c>
      <c r="C73" s="286"/>
      <c r="D73" s="282">
        <f t="shared" si="24"/>
        <v>0</v>
      </c>
      <c r="E73" s="282">
        <f t="shared" si="25"/>
        <v>0</v>
      </c>
      <c r="K73" s="27" t="str">
        <f t="shared" si="28"/>
        <v xml:space="preserve"> </v>
      </c>
      <c r="L73" s="27" t="str">
        <f t="shared" si="26"/>
        <v xml:space="preserve"> </v>
      </c>
      <c r="M73" s="323"/>
      <c r="V73" s="125"/>
      <c r="W73" s="85"/>
      <c r="X73" s="80"/>
      <c r="Y73" s="80"/>
      <c r="Z73" s="80" t="str">
        <f t="shared" si="22"/>
        <v xml:space="preserve"> </v>
      </c>
      <c r="AA73" s="50">
        <f t="shared" si="20"/>
        <v>0</v>
      </c>
      <c r="AB73" s="50">
        <f t="shared" si="20"/>
        <v>0</v>
      </c>
      <c r="AC73" s="83"/>
      <c r="AD73" s="80"/>
      <c r="AE73" s="80"/>
      <c r="AF73" s="80"/>
      <c r="AG73" s="80"/>
      <c r="AH73" s="80" t="str">
        <f t="shared" si="23"/>
        <v xml:space="preserve"> </v>
      </c>
      <c r="AI73" s="50">
        <f t="shared" si="21"/>
        <v>0</v>
      </c>
      <c r="AJ73" s="50">
        <f t="shared" si="21"/>
        <v>0</v>
      </c>
      <c r="AQ73">
        <v>13</v>
      </c>
      <c r="AS73" s="44"/>
      <c r="AT73" s="5"/>
      <c r="AU73" s="5"/>
      <c r="AV73" s="5"/>
      <c r="AW73" s="5"/>
      <c r="AX73" s="5"/>
      <c r="AY73" s="5"/>
      <c r="AZ73" s="5"/>
      <c r="BA73" s="5"/>
      <c r="BB73" s="5"/>
      <c r="BC73" s="5"/>
      <c r="BD73" s="5"/>
      <c r="BE73" s="5"/>
      <c r="BF73" s="10"/>
      <c r="BG73" s="10"/>
      <c r="BH73" s="10"/>
      <c r="BI73" s="10"/>
      <c r="BJ73" s="11"/>
    </row>
    <row r="74" spans="1:62" x14ac:dyDescent="0.2">
      <c r="A74" s="47" t="s">
        <v>386</v>
      </c>
      <c r="C74" s="286"/>
      <c r="D74" s="282">
        <f t="shared" si="24"/>
        <v>0</v>
      </c>
      <c r="E74" s="282">
        <f t="shared" si="25"/>
        <v>0</v>
      </c>
      <c r="K74" s="27" t="str">
        <f t="shared" si="28"/>
        <v xml:space="preserve"> </v>
      </c>
      <c r="L74" s="27" t="str">
        <f t="shared" si="26"/>
        <v xml:space="preserve"> </v>
      </c>
      <c r="M74" s="323"/>
      <c r="V74" s="125"/>
      <c r="W74" s="85"/>
      <c r="X74" s="80"/>
      <c r="Y74" s="80"/>
      <c r="Z74" s="80" t="str">
        <f t="shared" si="22"/>
        <v xml:space="preserve"> </v>
      </c>
      <c r="AA74" s="50">
        <f t="shared" si="20"/>
        <v>0</v>
      </c>
      <c r="AB74" s="50">
        <f t="shared" si="20"/>
        <v>0</v>
      </c>
      <c r="AC74" s="83"/>
      <c r="AD74" s="80"/>
      <c r="AE74" s="80"/>
      <c r="AF74" s="80"/>
      <c r="AG74" s="80"/>
      <c r="AH74" s="80" t="str">
        <f t="shared" si="23"/>
        <v xml:space="preserve"> </v>
      </c>
      <c r="AI74" s="50">
        <f t="shared" si="21"/>
        <v>0</v>
      </c>
      <c r="AJ74" s="50">
        <f t="shared" si="21"/>
        <v>0</v>
      </c>
      <c r="AS74" s="44"/>
      <c r="AT74" s="5"/>
      <c r="AU74" s="5"/>
      <c r="AV74" s="5"/>
      <c r="AW74" s="5"/>
      <c r="AX74" s="5"/>
      <c r="AY74" s="5"/>
      <c r="AZ74" s="5"/>
      <c r="BA74" s="5"/>
      <c r="BB74" s="5"/>
      <c r="BC74" s="5"/>
      <c r="BD74" s="5"/>
      <c r="BE74" s="5"/>
      <c r="BF74" s="10"/>
      <c r="BG74" s="10"/>
      <c r="BH74" s="10"/>
      <c r="BI74" s="10"/>
      <c r="BJ74" s="11"/>
    </row>
    <row r="75" spans="1:62" x14ac:dyDescent="0.2">
      <c r="A75" s="47" t="s">
        <v>40</v>
      </c>
      <c r="C75" s="286">
        <f t="shared" si="27"/>
        <v>36.26</v>
      </c>
      <c r="D75" s="282">
        <f t="shared" si="24"/>
        <v>36.26</v>
      </c>
      <c r="E75" s="282">
        <f t="shared" si="25"/>
        <v>1</v>
      </c>
      <c r="K75" s="27">
        <f t="shared" si="28"/>
        <v>36.26</v>
      </c>
      <c r="L75" s="27">
        <f t="shared" si="26"/>
        <v>9</v>
      </c>
      <c r="M75" s="323"/>
      <c r="V75" s="125"/>
      <c r="W75" s="85"/>
      <c r="X75" s="80"/>
      <c r="Y75" s="80"/>
      <c r="Z75" s="80">
        <f t="shared" si="22"/>
        <v>36.26</v>
      </c>
      <c r="AA75" s="50">
        <f t="shared" si="20"/>
        <v>36260</v>
      </c>
      <c r="AB75" s="50">
        <f t="shared" si="20"/>
        <v>1000</v>
      </c>
      <c r="AC75" s="83"/>
      <c r="AD75" s="80"/>
      <c r="AE75" s="80"/>
      <c r="AF75" s="80"/>
      <c r="AG75" s="80"/>
      <c r="AH75" s="80">
        <f t="shared" si="23"/>
        <v>9</v>
      </c>
      <c r="AI75" s="50">
        <f t="shared" si="21"/>
        <v>59355</v>
      </c>
      <c r="AJ75" s="50">
        <f t="shared" si="21"/>
        <v>6595</v>
      </c>
      <c r="AQ75">
        <v>10</v>
      </c>
      <c r="AS75" s="44"/>
      <c r="AT75" s="5">
        <v>17.142857142857142</v>
      </c>
      <c r="AU75" s="5">
        <v>17.771428571428572</v>
      </c>
      <c r="AV75" s="5">
        <v>19.8</v>
      </c>
      <c r="AW75" s="5">
        <v>20.75714285714286</v>
      </c>
      <c r="AX75" s="5">
        <v>21.385714285714283</v>
      </c>
      <c r="AY75" s="5">
        <v>20.485714285714288</v>
      </c>
      <c r="AZ75" s="5">
        <v>20.185714285714283</v>
      </c>
      <c r="BA75" s="5">
        <v>20.157142857142862</v>
      </c>
      <c r="BB75" s="5">
        <v>20.071428571428573</v>
      </c>
      <c r="BC75" s="5">
        <v>19.442857142857143</v>
      </c>
      <c r="BD75" s="5">
        <v>18.357142857142858</v>
      </c>
      <c r="BE75" s="5">
        <v>17.12857142857143</v>
      </c>
      <c r="BF75" s="10">
        <f t="shared" si="3"/>
        <v>19.390476190476193</v>
      </c>
      <c r="BG75" s="10">
        <f t="shared" si="10"/>
        <v>19.935714285714287</v>
      </c>
      <c r="BH75" s="10">
        <f t="shared" si="4"/>
        <v>21.385714285714283</v>
      </c>
      <c r="BI75" s="10">
        <f t="shared" si="29"/>
        <v>17.12857142857143</v>
      </c>
      <c r="BJ75" s="11">
        <f t="shared" si="30"/>
        <v>4.2571428571428527</v>
      </c>
    </row>
    <row r="76" spans="1:62" x14ac:dyDescent="0.2">
      <c r="A76" s="47" t="s">
        <v>151</v>
      </c>
      <c r="C76" s="286">
        <f t="shared" si="27"/>
        <v>22</v>
      </c>
      <c r="D76" s="282">
        <f t="shared" si="24"/>
        <v>22</v>
      </c>
      <c r="E76" s="282">
        <f t="shared" si="25"/>
        <v>1</v>
      </c>
      <c r="K76" s="27">
        <f t="shared" si="28"/>
        <v>22</v>
      </c>
      <c r="L76" s="27" t="str">
        <f t="shared" si="26"/>
        <v xml:space="preserve"> </v>
      </c>
      <c r="M76" s="323"/>
      <c r="V76" s="125"/>
      <c r="W76" s="85"/>
      <c r="X76" s="80"/>
      <c r="Y76" s="80"/>
      <c r="Z76" s="80">
        <f t="shared" si="22"/>
        <v>22</v>
      </c>
      <c r="AA76" s="50">
        <f t="shared" si="20"/>
        <v>21999999978</v>
      </c>
      <c r="AB76" s="50">
        <f t="shared" si="20"/>
        <v>999999999</v>
      </c>
      <c r="AC76" s="83"/>
      <c r="AD76" s="80"/>
      <c r="AE76" s="80"/>
      <c r="AF76" s="80"/>
      <c r="AG76" s="80"/>
      <c r="AH76" s="80" t="str">
        <f t="shared" si="23"/>
        <v xml:space="preserve"> </v>
      </c>
      <c r="AI76" s="50">
        <f t="shared" si="21"/>
        <v>0</v>
      </c>
      <c r="AJ76" s="50">
        <f t="shared" si="21"/>
        <v>0</v>
      </c>
      <c r="AQ76">
        <v>7</v>
      </c>
      <c r="AS76" s="44"/>
      <c r="AT76" s="5">
        <v>24.263636363636365</v>
      </c>
      <c r="AU76" s="5">
        <v>25.7</v>
      </c>
      <c r="AV76" s="5">
        <v>26.95454545454545</v>
      </c>
      <c r="AW76" s="5">
        <v>26.96</v>
      </c>
      <c r="AX76" s="5">
        <v>26.454545454545453</v>
      </c>
      <c r="AY76" s="5">
        <v>25.366666666666664</v>
      </c>
      <c r="AZ76" s="5">
        <v>24.290909090909096</v>
      </c>
      <c r="BA76" s="5">
        <v>24</v>
      </c>
      <c r="BB76" s="5">
        <v>24.327272727272728</v>
      </c>
      <c r="BC76" s="5">
        <v>24.654545454545453</v>
      </c>
      <c r="BD76" s="5">
        <v>24.709090909090904</v>
      </c>
      <c r="BE76" s="5">
        <v>23.781818181818185</v>
      </c>
      <c r="BF76" s="10">
        <f t="shared" si="3"/>
        <v>25.121919191919194</v>
      </c>
      <c r="BG76" s="10">
        <f t="shared" si="10"/>
        <v>24.68181818181818</v>
      </c>
      <c r="BH76" s="10">
        <f t="shared" si="4"/>
        <v>26.96</v>
      </c>
      <c r="BI76" s="10">
        <f t="shared" si="29"/>
        <v>23.781818181818185</v>
      </c>
      <c r="BJ76" s="11">
        <f t="shared" si="30"/>
        <v>3.178181818181816</v>
      </c>
    </row>
    <row r="77" spans="1:62" x14ac:dyDescent="0.2">
      <c r="A77" s="47" t="s">
        <v>387</v>
      </c>
      <c r="C77" s="286"/>
      <c r="D77" s="282">
        <f t="shared" si="24"/>
        <v>0</v>
      </c>
      <c r="E77" s="282">
        <f t="shared" si="25"/>
        <v>0</v>
      </c>
      <c r="K77" s="27" t="str">
        <f t="shared" si="28"/>
        <v xml:space="preserve"> </v>
      </c>
      <c r="L77" s="27" t="str">
        <f t="shared" si="26"/>
        <v xml:space="preserve"> </v>
      </c>
      <c r="M77" s="323"/>
      <c r="V77" s="125"/>
      <c r="W77" s="85"/>
      <c r="X77" s="80"/>
      <c r="Y77" s="80"/>
      <c r="Z77" s="80" t="str">
        <f t="shared" si="22"/>
        <v xml:space="preserve"> </v>
      </c>
      <c r="AA77" s="50">
        <f t="shared" si="20"/>
        <v>0</v>
      </c>
      <c r="AB77" s="50">
        <f t="shared" si="20"/>
        <v>0</v>
      </c>
      <c r="AC77" s="83"/>
      <c r="AD77" s="80"/>
      <c r="AE77" s="80"/>
      <c r="AF77" s="80"/>
      <c r="AG77" s="80"/>
      <c r="AH77" s="80" t="str">
        <f t="shared" si="23"/>
        <v xml:space="preserve"> </v>
      </c>
      <c r="AI77" s="50">
        <f t="shared" si="21"/>
        <v>0</v>
      </c>
      <c r="AJ77" s="50">
        <f t="shared" si="21"/>
        <v>0</v>
      </c>
      <c r="AQ77">
        <v>5</v>
      </c>
      <c r="AS77" s="44"/>
      <c r="AT77" s="5"/>
      <c r="AU77" s="5"/>
      <c r="AV77" s="5"/>
      <c r="AW77" s="5"/>
      <c r="AX77" s="5"/>
      <c r="AY77" s="5"/>
      <c r="AZ77" s="5"/>
      <c r="BA77" s="5"/>
      <c r="BB77" s="5"/>
      <c r="BC77" s="5"/>
      <c r="BD77" s="5"/>
      <c r="BE77" s="5"/>
      <c r="BF77" s="10"/>
      <c r="BG77" s="10"/>
      <c r="BH77" s="10"/>
      <c r="BI77" s="10"/>
      <c r="BJ77" s="11"/>
    </row>
    <row r="78" spans="1:62" x14ac:dyDescent="0.2">
      <c r="A78" s="47" t="s">
        <v>152</v>
      </c>
      <c r="C78" s="286"/>
      <c r="D78" s="282">
        <f t="shared" si="24"/>
        <v>0</v>
      </c>
      <c r="E78" s="282">
        <f t="shared" si="25"/>
        <v>0</v>
      </c>
      <c r="K78" s="27" t="str">
        <f t="shared" si="28"/>
        <v xml:space="preserve"> </v>
      </c>
      <c r="L78" s="27" t="str">
        <f t="shared" si="26"/>
        <v xml:space="preserve"> </v>
      </c>
      <c r="M78" s="323"/>
      <c r="V78" s="125"/>
      <c r="W78" s="85"/>
      <c r="X78" s="80"/>
      <c r="Y78" s="80"/>
      <c r="Z78" s="80" t="str">
        <f t="shared" si="22"/>
        <v xml:space="preserve"> </v>
      </c>
      <c r="AA78" s="50">
        <f t="shared" si="20"/>
        <v>0</v>
      </c>
      <c r="AB78" s="50">
        <f t="shared" si="20"/>
        <v>0</v>
      </c>
      <c r="AC78" s="83"/>
      <c r="AD78" s="80"/>
      <c r="AE78" s="80"/>
      <c r="AF78" s="80"/>
      <c r="AG78" s="80"/>
      <c r="AH78" s="80" t="str">
        <f t="shared" si="23"/>
        <v xml:space="preserve"> </v>
      </c>
      <c r="AI78" s="50">
        <f t="shared" si="21"/>
        <v>0</v>
      </c>
      <c r="AJ78" s="50">
        <f t="shared" si="21"/>
        <v>0</v>
      </c>
      <c r="AQ78">
        <v>12</v>
      </c>
      <c r="AS78" s="44"/>
      <c r="AT78" s="5">
        <v>26.2</v>
      </c>
      <c r="AU78" s="5">
        <v>26.3</v>
      </c>
      <c r="AV78" s="5">
        <v>26.6</v>
      </c>
      <c r="AW78" s="5">
        <v>27</v>
      </c>
      <c r="AX78" s="5">
        <v>26.9</v>
      </c>
      <c r="AY78" s="5">
        <v>26.7</v>
      </c>
      <c r="AZ78" s="5">
        <v>26.7</v>
      </c>
      <c r="BA78" s="5">
        <v>27.2</v>
      </c>
      <c r="BB78" s="5">
        <v>27.7</v>
      </c>
      <c r="BC78" s="5">
        <v>27.7</v>
      </c>
      <c r="BD78" s="5">
        <v>27.4</v>
      </c>
      <c r="BE78" s="5">
        <v>26.6</v>
      </c>
      <c r="BF78" s="10">
        <f t="shared" si="3"/>
        <v>26.916666666666661</v>
      </c>
      <c r="BG78" s="10">
        <f t="shared" si="10"/>
        <v>26.799999999999997</v>
      </c>
      <c r="BH78" s="10">
        <f t="shared" si="4"/>
        <v>27.7</v>
      </c>
      <c r="BI78" s="10">
        <f t="shared" si="29"/>
        <v>26.2</v>
      </c>
      <c r="BJ78" s="11">
        <f t="shared" si="30"/>
        <v>1.5</v>
      </c>
    </row>
    <row r="79" spans="1:62" x14ac:dyDescent="0.2">
      <c r="A79" s="47" t="s">
        <v>46</v>
      </c>
      <c r="C79" s="286">
        <f t="shared" si="27"/>
        <v>15.469999999999999</v>
      </c>
      <c r="D79" s="282">
        <f t="shared" si="24"/>
        <v>30.939999999999998</v>
      </c>
      <c r="E79" s="282">
        <f t="shared" si="25"/>
        <v>2</v>
      </c>
      <c r="K79" s="27">
        <f t="shared" si="28"/>
        <v>15.413962516733601</v>
      </c>
      <c r="L79" s="27">
        <f t="shared" si="26"/>
        <v>13.61</v>
      </c>
      <c r="M79" s="323"/>
      <c r="V79" s="125"/>
      <c r="W79" s="85"/>
      <c r="X79" s="80"/>
      <c r="Y79" s="80"/>
      <c r="Z79" s="80">
        <f t="shared" si="22"/>
        <v>15.413962516733601</v>
      </c>
      <c r="AA79" s="50">
        <f t="shared" si="20"/>
        <v>322398.44</v>
      </c>
      <c r="AB79" s="50">
        <f t="shared" si="20"/>
        <v>20916</v>
      </c>
      <c r="AC79" s="83"/>
      <c r="AD79" s="80"/>
      <c r="AE79" s="80"/>
      <c r="AF79" s="80"/>
      <c r="AG79" s="80"/>
      <c r="AH79" s="80">
        <f t="shared" si="23"/>
        <v>13.61</v>
      </c>
      <c r="AI79" s="50">
        <f t="shared" si="21"/>
        <v>138263.99</v>
      </c>
      <c r="AJ79" s="50">
        <f t="shared" si="21"/>
        <v>10159</v>
      </c>
      <c r="AS79" s="44"/>
      <c r="AT79" s="5">
        <v>24.75</v>
      </c>
      <c r="AU79" s="5">
        <v>24.85</v>
      </c>
      <c r="AV79" s="5">
        <v>25.675000000000001</v>
      </c>
      <c r="AW79" s="5">
        <v>25.85</v>
      </c>
      <c r="AX79" s="5">
        <v>26.574999999999999</v>
      </c>
      <c r="AY79" s="5">
        <v>27.55</v>
      </c>
      <c r="AZ79" s="5">
        <v>28.1</v>
      </c>
      <c r="BA79" s="5">
        <v>27.9</v>
      </c>
      <c r="BB79" s="5">
        <v>27.7</v>
      </c>
      <c r="BC79" s="5">
        <v>26.975000000000001</v>
      </c>
      <c r="BD79" s="5">
        <v>26.15</v>
      </c>
      <c r="BE79" s="5">
        <v>25.324999999999999</v>
      </c>
      <c r="BF79" s="10">
        <f t="shared" si="3"/>
        <v>26.45</v>
      </c>
      <c r="BG79" s="10">
        <f t="shared" si="10"/>
        <v>26.362499999999997</v>
      </c>
      <c r="BH79" s="10">
        <f t="shared" si="4"/>
        <v>28.1</v>
      </c>
      <c r="BI79" s="10">
        <f t="shared" si="29"/>
        <v>24.75</v>
      </c>
      <c r="BJ79" s="11">
        <f t="shared" si="30"/>
        <v>3.3500000000000014</v>
      </c>
    </row>
    <row r="80" spans="1:62" x14ac:dyDescent="0.2">
      <c r="A80" s="47" t="s">
        <v>45</v>
      </c>
      <c r="C80" s="286">
        <f t="shared" si="27"/>
        <v>7.5</v>
      </c>
      <c r="D80" s="282">
        <f t="shared" si="24"/>
        <v>15</v>
      </c>
      <c r="E80" s="282">
        <f t="shared" si="25"/>
        <v>2</v>
      </c>
      <c r="K80" s="27">
        <f t="shared" si="28"/>
        <v>6.2748832866479924</v>
      </c>
      <c r="L80" s="27">
        <f t="shared" si="26"/>
        <v>6</v>
      </c>
      <c r="M80" s="323"/>
      <c r="V80" s="125"/>
      <c r="W80" s="85"/>
      <c r="X80" s="80"/>
      <c r="Y80" s="80"/>
      <c r="Z80" s="80">
        <f t="shared" si="22"/>
        <v>6.2748832866479924</v>
      </c>
      <c r="AA80" s="50">
        <f t="shared" si="20"/>
        <v>168010</v>
      </c>
      <c r="AB80" s="50">
        <f t="shared" si="20"/>
        <v>26775</v>
      </c>
      <c r="AC80" s="83"/>
      <c r="AD80" s="80"/>
      <c r="AE80" s="80"/>
      <c r="AF80" s="80"/>
      <c r="AG80" s="80"/>
      <c r="AH80" s="80">
        <f t="shared" si="23"/>
        <v>6</v>
      </c>
      <c r="AI80" s="50">
        <f t="shared" si="21"/>
        <v>40962</v>
      </c>
      <c r="AJ80" s="50">
        <f t="shared" si="21"/>
        <v>6827</v>
      </c>
      <c r="AQ80">
        <v>12</v>
      </c>
      <c r="AS80" s="44"/>
      <c r="AT80" s="5">
        <v>24.925000000000001</v>
      </c>
      <c r="AU80" s="5">
        <v>25.487500000000001</v>
      </c>
      <c r="AV80" s="5">
        <v>26.612500000000001</v>
      </c>
      <c r="AW80" s="5">
        <v>27.662500000000001</v>
      </c>
      <c r="AX80" s="5">
        <v>27.837499999999999</v>
      </c>
      <c r="AY80" s="5">
        <v>27.425000000000001</v>
      </c>
      <c r="AZ80" s="5">
        <v>27.425000000000001</v>
      </c>
      <c r="BA80" s="5">
        <v>27.375</v>
      </c>
      <c r="BB80" s="5">
        <v>27.0625</v>
      </c>
      <c r="BC80" s="5">
        <v>26.262499999999999</v>
      </c>
      <c r="BD80" s="5">
        <v>25.587499999999999</v>
      </c>
      <c r="BE80" s="5">
        <v>25.074999999999999</v>
      </c>
      <c r="BF80" s="10">
        <f t="shared" si="3"/>
        <v>26.561458333333334</v>
      </c>
      <c r="BG80" s="10">
        <f t="shared" si="10"/>
        <v>26.837499999999999</v>
      </c>
      <c r="BH80" s="10">
        <f t="shared" si="4"/>
        <v>27.837499999999999</v>
      </c>
      <c r="BI80" s="10">
        <f t="shared" si="29"/>
        <v>24.925000000000001</v>
      </c>
      <c r="BJ80" s="11">
        <f t="shared" si="30"/>
        <v>2.9124999999999979</v>
      </c>
    </row>
    <row r="81" spans="1:62" x14ac:dyDescent="0.2">
      <c r="A81" s="47" t="s">
        <v>153</v>
      </c>
      <c r="C81" s="286">
        <f t="shared" si="27"/>
        <v>6</v>
      </c>
      <c r="D81" s="282">
        <f t="shared" si="24"/>
        <v>6</v>
      </c>
      <c r="E81" s="282">
        <f t="shared" si="25"/>
        <v>1</v>
      </c>
      <c r="K81" s="27">
        <f t="shared" si="28"/>
        <v>6</v>
      </c>
      <c r="L81" s="27">
        <f>AH81</f>
        <v>1</v>
      </c>
      <c r="M81" s="323"/>
      <c r="V81" s="125"/>
      <c r="W81" s="85"/>
      <c r="X81" s="80"/>
      <c r="Y81" s="80"/>
      <c r="Z81" s="80">
        <f t="shared" si="22"/>
        <v>6</v>
      </c>
      <c r="AA81" s="50">
        <f t="shared" si="20"/>
        <v>5999999994</v>
      </c>
      <c r="AB81" s="50">
        <f t="shared" si="20"/>
        <v>999999999</v>
      </c>
      <c r="AC81" s="83"/>
      <c r="AD81" s="80"/>
      <c r="AE81" s="80"/>
      <c r="AF81" s="80"/>
      <c r="AG81" s="80"/>
      <c r="AH81" s="80">
        <f t="shared" si="23"/>
        <v>1</v>
      </c>
      <c r="AI81" s="50">
        <f t="shared" si="21"/>
        <v>999999999</v>
      </c>
      <c r="AJ81" s="50">
        <f t="shared" si="21"/>
        <v>999999999</v>
      </c>
      <c r="AQ81">
        <v>14</v>
      </c>
      <c r="AS81" s="44"/>
      <c r="AT81" s="5">
        <v>16.2</v>
      </c>
      <c r="AU81" s="5">
        <v>16.100000000000001</v>
      </c>
      <c r="AV81" s="5">
        <v>18.399999999999999</v>
      </c>
      <c r="AW81" s="5">
        <v>22.1</v>
      </c>
      <c r="AX81" s="5">
        <v>26.1</v>
      </c>
      <c r="AY81" s="5">
        <v>28</v>
      </c>
      <c r="AZ81" s="5">
        <v>28.8</v>
      </c>
      <c r="BA81" s="5">
        <v>28.6</v>
      </c>
      <c r="BB81" s="5">
        <v>27.9</v>
      </c>
      <c r="BC81" s="5">
        <v>25.5</v>
      </c>
      <c r="BD81" s="5">
        <v>21.8</v>
      </c>
      <c r="BE81" s="5">
        <v>17.8</v>
      </c>
      <c r="BF81" s="10">
        <f t="shared" si="3"/>
        <v>23.108333333333334</v>
      </c>
      <c r="BG81" s="10">
        <f t="shared" si="10"/>
        <v>23.8</v>
      </c>
      <c r="BH81" s="10">
        <f t="shared" si="4"/>
        <v>28.8</v>
      </c>
      <c r="BI81" s="10">
        <f t="shared" si="29"/>
        <v>16.100000000000001</v>
      </c>
      <c r="BJ81" s="11">
        <f t="shared" si="30"/>
        <v>12.7</v>
      </c>
    </row>
    <row r="82" spans="1:62" x14ac:dyDescent="0.2">
      <c r="A82" s="47" t="s">
        <v>154</v>
      </c>
      <c r="C82" s="286">
        <f t="shared" si="27"/>
        <v>31.7</v>
      </c>
      <c r="D82" s="282">
        <f t="shared" si="24"/>
        <v>31.7</v>
      </c>
      <c r="E82" s="282">
        <f t="shared" si="25"/>
        <v>1</v>
      </c>
      <c r="K82" s="27">
        <f t="shared" si="28"/>
        <v>31.7</v>
      </c>
      <c r="L82" s="27" t="str">
        <f t="shared" si="26"/>
        <v xml:space="preserve"> </v>
      </c>
      <c r="M82" s="323"/>
      <c r="V82" s="125"/>
      <c r="W82" s="85"/>
      <c r="X82" s="80"/>
      <c r="Y82" s="80"/>
      <c r="Z82" s="80">
        <f t="shared" si="22"/>
        <v>31.7</v>
      </c>
      <c r="AA82" s="50">
        <f t="shared" si="20"/>
        <v>114595.5</v>
      </c>
      <c r="AB82" s="50">
        <f t="shared" si="20"/>
        <v>3615</v>
      </c>
      <c r="AC82" s="83"/>
      <c r="AD82" s="80"/>
      <c r="AE82" s="80"/>
      <c r="AF82" s="80"/>
      <c r="AG82" s="80"/>
      <c r="AH82" s="80" t="str">
        <f t="shared" si="23"/>
        <v xml:space="preserve"> </v>
      </c>
      <c r="AI82" s="50">
        <f t="shared" si="21"/>
        <v>0</v>
      </c>
      <c r="AJ82" s="50">
        <f t="shared" si="21"/>
        <v>0</v>
      </c>
      <c r="AQ82">
        <v>16</v>
      </c>
      <c r="AS82" s="44"/>
      <c r="AT82" s="5">
        <v>-2.2111111111111108</v>
      </c>
      <c r="AU82" s="5">
        <v>-3.3333333333333166E-2</v>
      </c>
      <c r="AV82" s="5">
        <v>4.5555555555555554</v>
      </c>
      <c r="AW82" s="5">
        <v>10.622222222222222</v>
      </c>
      <c r="AX82" s="5">
        <v>15.52222222222222</v>
      </c>
      <c r="AY82" s="5">
        <v>19.033333333333331</v>
      </c>
      <c r="AZ82" s="5">
        <v>20.722222222222221</v>
      </c>
      <c r="BA82" s="5">
        <v>19.955555555555552</v>
      </c>
      <c r="BB82" s="5">
        <v>16.033333333333335</v>
      </c>
      <c r="BC82" s="5">
        <v>10.566666666666668</v>
      </c>
      <c r="BD82" s="5">
        <v>4.9333333333333336</v>
      </c>
      <c r="BE82" s="5">
        <v>0.23333333333333334</v>
      </c>
      <c r="BF82" s="10">
        <f t="shared" si="3"/>
        <v>9.9944444444444436</v>
      </c>
      <c r="BG82" s="10">
        <f t="shared" si="10"/>
        <v>10.594444444444445</v>
      </c>
      <c r="BH82" s="10">
        <f t="shared" si="4"/>
        <v>20.722222222222221</v>
      </c>
      <c r="BI82" s="10">
        <f t="shared" si="29"/>
        <v>-2.2111111111111108</v>
      </c>
      <c r="BJ82" s="11">
        <f t="shared" si="30"/>
        <v>22.933333333333334</v>
      </c>
    </row>
    <row r="83" spans="1:62" x14ac:dyDescent="0.2">
      <c r="A83" s="47" t="s">
        <v>155</v>
      </c>
      <c r="C83" s="286">
        <f t="shared" si="27"/>
        <v>18</v>
      </c>
      <c r="D83" s="282">
        <f t="shared" si="24"/>
        <v>36</v>
      </c>
      <c r="E83" s="282">
        <f t="shared" si="25"/>
        <v>2</v>
      </c>
      <c r="K83" s="27">
        <f t="shared" si="28"/>
        <v>22</v>
      </c>
      <c r="L83" s="27">
        <f t="shared" si="26"/>
        <v>1.6</v>
      </c>
      <c r="M83" s="323"/>
      <c r="V83" s="125"/>
      <c r="W83" s="85"/>
      <c r="X83" s="80"/>
      <c r="Y83" s="80"/>
      <c r="Z83" s="80">
        <f t="shared" si="22"/>
        <v>22</v>
      </c>
      <c r="AA83" s="50">
        <f t="shared" ref="AA83:AB102" si="31">SUMIF($B$213:$B$562,$A83,AA$213:AA$562)</f>
        <v>66000</v>
      </c>
      <c r="AB83" s="50">
        <f t="shared" si="31"/>
        <v>3000</v>
      </c>
      <c r="AC83" s="83"/>
      <c r="AD83" s="80"/>
      <c r="AE83" s="80"/>
      <c r="AF83" s="80"/>
      <c r="AG83" s="80"/>
      <c r="AH83" s="80">
        <f t="shared" si="23"/>
        <v>1.6</v>
      </c>
      <c r="AI83" s="50">
        <f t="shared" ref="AI83:AJ102" si="32">SUMIF($B$213:$B$562,$A83,AI$213:AI$562)</f>
        <v>4800</v>
      </c>
      <c r="AJ83" s="50">
        <f t="shared" si="32"/>
        <v>3000</v>
      </c>
      <c r="AQ83">
        <v>20</v>
      </c>
      <c r="AS83" s="44"/>
      <c r="AT83" s="5">
        <v>-0.65</v>
      </c>
      <c r="AU83" s="5">
        <v>-0.4</v>
      </c>
      <c r="AV83" s="5">
        <v>-1.2500000000000001E-2</v>
      </c>
      <c r="AW83" s="5">
        <v>2.1375000000000002</v>
      </c>
      <c r="AX83" s="5">
        <v>5.4249999999999998</v>
      </c>
      <c r="AY83" s="5">
        <v>8.5124999999999993</v>
      </c>
      <c r="AZ83" s="5">
        <v>10.15</v>
      </c>
      <c r="BA83" s="5">
        <v>9.6750000000000007</v>
      </c>
      <c r="BB83" s="5">
        <v>7.3875000000000002</v>
      </c>
      <c r="BC83" s="5">
        <v>4.1749999999999998</v>
      </c>
      <c r="BD83" s="5">
        <v>1.4375</v>
      </c>
      <c r="BE83" s="5">
        <v>-0.05</v>
      </c>
      <c r="BF83" s="10">
        <f t="shared" si="3"/>
        <v>3.9822916666666672</v>
      </c>
      <c r="BG83" s="10">
        <f t="shared" si="10"/>
        <v>3.15625</v>
      </c>
      <c r="BH83" s="10">
        <f t="shared" si="4"/>
        <v>10.15</v>
      </c>
      <c r="BI83" s="10">
        <f t="shared" si="29"/>
        <v>-0.65</v>
      </c>
      <c r="BJ83" s="11">
        <f t="shared" si="30"/>
        <v>10.8</v>
      </c>
    </row>
    <row r="84" spans="1:62" x14ac:dyDescent="0.2">
      <c r="A84" s="47" t="s">
        <v>70</v>
      </c>
      <c r="C84" s="286">
        <f t="shared" si="27"/>
        <v>33.335833333333333</v>
      </c>
      <c r="D84" s="282">
        <f t="shared" si="24"/>
        <v>400.03</v>
      </c>
      <c r="E84" s="282">
        <f t="shared" si="25"/>
        <v>12</v>
      </c>
      <c r="K84" s="27">
        <f t="shared" si="28"/>
        <v>29.345300354101678</v>
      </c>
      <c r="L84" s="27">
        <f t="shared" si="26"/>
        <v>20.848651138981314</v>
      </c>
      <c r="M84" s="323"/>
      <c r="V84" s="125"/>
      <c r="W84" s="85"/>
      <c r="X84" s="80"/>
      <c r="Y84" s="80"/>
      <c r="Z84" s="80">
        <f t="shared" si="22"/>
        <v>29.345300354101678</v>
      </c>
      <c r="AA84" s="50">
        <f t="shared" si="31"/>
        <v>6961292.1500000004</v>
      </c>
      <c r="AB84" s="50">
        <f t="shared" si="31"/>
        <v>237220</v>
      </c>
      <c r="AC84" s="83"/>
      <c r="AD84" s="80"/>
      <c r="AE84" s="80"/>
      <c r="AF84" s="80"/>
      <c r="AG84" s="80"/>
      <c r="AH84" s="80">
        <f t="shared" si="23"/>
        <v>20.848651138981314</v>
      </c>
      <c r="AI84" s="50">
        <f t="shared" si="32"/>
        <v>2850948.8</v>
      </c>
      <c r="AJ84" s="50">
        <f t="shared" si="32"/>
        <v>136745</v>
      </c>
      <c r="AQ84">
        <v>10</v>
      </c>
      <c r="AS84" s="44"/>
      <c r="AT84" s="5">
        <v>18.06730769230769</v>
      </c>
      <c r="AU84" s="5">
        <v>19.819230769230771</v>
      </c>
      <c r="AV84" s="5">
        <v>23.598076923076924</v>
      </c>
      <c r="AW84" s="5">
        <v>26.8576923076923</v>
      </c>
      <c r="AX84" s="5">
        <v>28.713461538461541</v>
      </c>
      <c r="AY84" s="5">
        <v>28.292307692307695</v>
      </c>
      <c r="AZ84" s="5">
        <v>26.75961538461539</v>
      </c>
      <c r="BA84" s="5">
        <v>26.290384615384617</v>
      </c>
      <c r="BB84" s="5">
        <v>26.055769230769222</v>
      </c>
      <c r="BC84" s="5">
        <v>24.690384615384623</v>
      </c>
      <c r="BD84" s="5">
        <v>21.515384615384615</v>
      </c>
      <c r="BE84" s="5">
        <v>18.736538461538458</v>
      </c>
      <c r="BF84" s="10">
        <f t="shared" si="3"/>
        <v>24.116346153846155</v>
      </c>
      <c r="BG84" s="10">
        <f t="shared" si="10"/>
        <v>25.373076923076923</v>
      </c>
      <c r="BH84" s="10">
        <f t="shared" si="4"/>
        <v>28.713461538461541</v>
      </c>
      <c r="BI84" s="10">
        <f t="shared" si="29"/>
        <v>18.06730769230769</v>
      </c>
      <c r="BJ84" s="11">
        <f t="shared" si="30"/>
        <v>10.646153846153851</v>
      </c>
    </row>
    <row r="85" spans="1:62" x14ac:dyDescent="0.2">
      <c r="A85" s="47" t="s">
        <v>71</v>
      </c>
      <c r="C85" s="286">
        <f t="shared" si="27"/>
        <v>7.0999999999999988</v>
      </c>
      <c r="D85" s="282">
        <f t="shared" si="24"/>
        <v>21.299999999999997</v>
      </c>
      <c r="E85" s="282">
        <f t="shared" si="25"/>
        <v>3</v>
      </c>
      <c r="K85" s="27">
        <f t="shared" si="28"/>
        <v>7.5360408821947287</v>
      </c>
      <c r="L85" s="27">
        <f t="shared" si="26"/>
        <v>2</v>
      </c>
      <c r="M85" s="323"/>
      <c r="V85" s="125"/>
      <c r="W85" s="85"/>
      <c r="X85" s="80"/>
      <c r="Y85" s="80"/>
      <c r="Z85" s="80">
        <f t="shared" si="22"/>
        <v>7.5360408821947287</v>
      </c>
      <c r="AA85" s="50">
        <f t="shared" si="31"/>
        <v>14009.5</v>
      </c>
      <c r="AB85" s="50">
        <f t="shared" si="31"/>
        <v>1859</v>
      </c>
      <c r="AC85" s="83"/>
      <c r="AD85" s="80"/>
      <c r="AE85" s="80"/>
      <c r="AF85" s="80"/>
      <c r="AG85" s="80"/>
      <c r="AH85" s="80">
        <f t="shared" si="23"/>
        <v>2</v>
      </c>
      <c r="AI85" s="50">
        <f t="shared" si="32"/>
        <v>1530</v>
      </c>
      <c r="AJ85" s="50">
        <f t="shared" si="32"/>
        <v>765</v>
      </c>
      <c r="AQ85">
        <v>13</v>
      </c>
      <c r="AS85" s="44"/>
      <c r="AT85" s="5">
        <v>25.776470588235298</v>
      </c>
      <c r="AU85" s="5">
        <v>25.805882352941179</v>
      </c>
      <c r="AV85" s="5">
        <v>26.047058823529404</v>
      </c>
      <c r="AW85" s="5">
        <v>26.313725490196077</v>
      </c>
      <c r="AX85" s="5">
        <v>26.337254901960787</v>
      </c>
      <c r="AY85" s="5">
        <v>25.847058823529412</v>
      </c>
      <c r="AZ85" s="5">
        <v>25.439215686274501</v>
      </c>
      <c r="BA85" s="5">
        <v>25.545098039215684</v>
      </c>
      <c r="BB85" s="5">
        <v>25.968627450980389</v>
      </c>
      <c r="BC85" s="5">
        <v>26.380392156862744</v>
      </c>
      <c r="BD85" s="5">
        <v>26.443137254901963</v>
      </c>
      <c r="BE85" s="5">
        <v>26.064705882352946</v>
      </c>
      <c r="BF85" s="10">
        <f t="shared" si="3"/>
        <v>25.997385620915029</v>
      </c>
      <c r="BG85" s="10">
        <f t="shared" si="10"/>
        <v>26.007843137254895</v>
      </c>
      <c r="BH85" s="10">
        <f t="shared" si="4"/>
        <v>26.443137254901963</v>
      </c>
      <c r="BI85" s="10">
        <f t="shared" si="29"/>
        <v>25.439215686274501</v>
      </c>
      <c r="BJ85" s="11">
        <f t="shared" si="30"/>
        <v>1.0039215686274616</v>
      </c>
    </row>
    <row r="86" spans="1:62" x14ac:dyDescent="0.2">
      <c r="A86" s="47" t="s">
        <v>156</v>
      </c>
      <c r="C86" s="286">
        <f t="shared" si="27"/>
        <v>44.050000000000004</v>
      </c>
      <c r="D86" s="282">
        <f t="shared" si="24"/>
        <v>176.20000000000002</v>
      </c>
      <c r="E86" s="282">
        <f t="shared" si="25"/>
        <v>4</v>
      </c>
      <c r="K86" s="27">
        <f t="shared" si="28"/>
        <v>44.443597181931203</v>
      </c>
      <c r="L86" s="27">
        <f t="shared" si="26"/>
        <v>15</v>
      </c>
      <c r="M86" s="323"/>
      <c r="V86" s="125"/>
      <c r="W86" s="85"/>
      <c r="X86" s="80"/>
      <c r="Y86" s="80"/>
      <c r="Z86" s="80">
        <f t="shared" si="22"/>
        <v>44.443597181931203</v>
      </c>
      <c r="AA86" s="50">
        <f t="shared" si="31"/>
        <v>214484.8</v>
      </c>
      <c r="AB86" s="50">
        <f t="shared" si="31"/>
        <v>4826</v>
      </c>
      <c r="AC86" s="83"/>
      <c r="AD86" s="80"/>
      <c r="AE86" s="80"/>
      <c r="AF86" s="80"/>
      <c r="AG86" s="80"/>
      <c r="AH86" s="80">
        <f t="shared" si="23"/>
        <v>15</v>
      </c>
      <c r="AI86" s="50">
        <f t="shared" si="32"/>
        <v>51600</v>
      </c>
      <c r="AJ86" s="50">
        <f t="shared" si="32"/>
        <v>3440</v>
      </c>
      <c r="AQ86">
        <v>15</v>
      </c>
      <c r="AS86" s="44"/>
      <c r="AT86" s="5">
        <v>7.4222222222222216</v>
      </c>
      <c r="AU86" s="5">
        <v>9.0111111111111111</v>
      </c>
      <c r="AV86" s="5">
        <v>13.033333333333335</v>
      </c>
      <c r="AW86" s="5">
        <v>18.066666666666666</v>
      </c>
      <c r="AX86" s="5">
        <v>23.055555555555557</v>
      </c>
      <c r="AY86" s="5">
        <v>27.255555555555553</v>
      </c>
      <c r="AZ86" s="5">
        <v>29.511111111111106</v>
      </c>
      <c r="BA86" s="5">
        <v>28.577777777777776</v>
      </c>
      <c r="BB86" s="5">
        <v>25.277777777777782</v>
      </c>
      <c r="BC86" s="5">
        <v>19.911111111111111</v>
      </c>
      <c r="BD86" s="5">
        <v>13.788888888888888</v>
      </c>
      <c r="BE86" s="5">
        <v>8.9555555555555557</v>
      </c>
      <c r="BF86" s="10">
        <f t="shared" si="3"/>
        <v>18.655555555555555</v>
      </c>
      <c r="BG86" s="10">
        <f t="shared" si="10"/>
        <v>18.988888888888887</v>
      </c>
      <c r="BH86" s="10">
        <f t="shared" si="4"/>
        <v>29.511111111111106</v>
      </c>
      <c r="BI86" s="10">
        <f t="shared" si="29"/>
        <v>7.4222222222222216</v>
      </c>
      <c r="BJ86" s="11">
        <f t="shared" si="30"/>
        <v>22.088888888888885</v>
      </c>
    </row>
    <row r="87" spans="1:62" x14ac:dyDescent="0.2">
      <c r="A87" s="47" t="s">
        <v>157</v>
      </c>
      <c r="C87" s="286">
        <f t="shared" si="27"/>
        <v>12</v>
      </c>
      <c r="D87" s="282">
        <f t="shared" si="24"/>
        <v>12</v>
      </c>
      <c r="E87" s="282">
        <f t="shared" si="25"/>
        <v>1</v>
      </c>
      <c r="K87" s="27">
        <f t="shared" si="28"/>
        <v>12</v>
      </c>
      <c r="L87" s="27" t="str">
        <f t="shared" si="26"/>
        <v xml:space="preserve"> </v>
      </c>
      <c r="M87" s="323"/>
      <c r="V87" s="125"/>
      <c r="W87" s="85"/>
      <c r="X87" s="80"/>
      <c r="Y87" s="80"/>
      <c r="Z87" s="80">
        <f t="shared" si="22"/>
        <v>12</v>
      </c>
      <c r="AA87" s="50">
        <f t="shared" si="31"/>
        <v>20400</v>
      </c>
      <c r="AB87" s="50">
        <f t="shared" si="31"/>
        <v>1700</v>
      </c>
      <c r="AC87" s="83"/>
      <c r="AD87" s="80"/>
      <c r="AE87" s="80"/>
      <c r="AF87" s="80"/>
      <c r="AG87" s="80"/>
      <c r="AH87" s="80" t="str">
        <f t="shared" si="23"/>
        <v xml:space="preserve"> </v>
      </c>
      <c r="AI87" s="50">
        <f t="shared" si="32"/>
        <v>0</v>
      </c>
      <c r="AJ87" s="50">
        <f t="shared" si="32"/>
        <v>0</v>
      </c>
      <c r="AQ87">
        <v>8</v>
      </c>
      <c r="AS87" s="44"/>
      <c r="AT87" s="5">
        <v>9.4142857142857146</v>
      </c>
      <c r="AU87" s="5">
        <v>11.884615384615385</v>
      </c>
      <c r="AV87" s="5">
        <v>15.492857142857144</v>
      </c>
      <c r="AW87" s="5">
        <v>21.253846153846151</v>
      </c>
      <c r="AX87" s="5">
        <v>27.753846153846155</v>
      </c>
      <c r="AY87" s="5">
        <v>32.121428571428574</v>
      </c>
      <c r="AZ87" s="5">
        <v>34.692307692307693</v>
      </c>
      <c r="BA87" s="5">
        <v>34.128571428571426</v>
      </c>
      <c r="BB87" s="5">
        <v>30.8</v>
      </c>
      <c r="BC87" s="5">
        <v>24.142857142857139</v>
      </c>
      <c r="BD87" s="5">
        <v>16.964285714285715</v>
      </c>
      <c r="BE87" s="5">
        <v>10.764285714285714</v>
      </c>
      <c r="BF87" s="10">
        <f t="shared" si="3"/>
        <v>22.451098901098902</v>
      </c>
      <c r="BG87" s="10">
        <f t="shared" si="10"/>
        <v>22.698351648351647</v>
      </c>
      <c r="BH87" s="10">
        <f t="shared" si="4"/>
        <v>34.692307692307693</v>
      </c>
      <c r="BI87" s="10">
        <f t="shared" si="29"/>
        <v>9.4142857142857146</v>
      </c>
      <c r="BJ87" s="11">
        <f t="shared" si="30"/>
        <v>25.278021978021979</v>
      </c>
    </row>
    <row r="88" spans="1:62" x14ac:dyDescent="0.2">
      <c r="A88" s="47" t="s">
        <v>158</v>
      </c>
      <c r="C88" s="286">
        <f t="shared" si="27"/>
        <v>23.333333333333332</v>
      </c>
      <c r="D88" s="282">
        <f t="shared" si="24"/>
        <v>70</v>
      </c>
      <c r="E88" s="282">
        <f t="shared" si="25"/>
        <v>3</v>
      </c>
      <c r="K88" s="27">
        <f t="shared" si="28"/>
        <v>34.6712204007286</v>
      </c>
      <c r="L88" s="27">
        <f t="shared" si="26"/>
        <v>7</v>
      </c>
      <c r="M88" s="323"/>
      <c r="V88" s="125"/>
      <c r="W88" s="85"/>
      <c r="X88" s="80"/>
      <c r="Y88" s="80"/>
      <c r="Z88" s="80">
        <f t="shared" si="22"/>
        <v>34.6712204007286</v>
      </c>
      <c r="AA88" s="50">
        <f t="shared" si="31"/>
        <v>114207</v>
      </c>
      <c r="AB88" s="50">
        <f t="shared" si="31"/>
        <v>3294</v>
      </c>
      <c r="AC88" s="83"/>
      <c r="AD88" s="80"/>
      <c r="AE88" s="80"/>
      <c r="AF88" s="80"/>
      <c r="AG88" s="80"/>
      <c r="AH88" s="80">
        <f t="shared" si="23"/>
        <v>7</v>
      </c>
      <c r="AI88" s="50">
        <f t="shared" si="32"/>
        <v>4753</v>
      </c>
      <c r="AJ88" s="50">
        <f t="shared" si="32"/>
        <v>679</v>
      </c>
      <c r="AQ88">
        <v>18</v>
      </c>
      <c r="AS88" s="44"/>
      <c r="AT88" s="5">
        <v>4.9749999999999996</v>
      </c>
      <c r="AU88" s="5">
        <v>4.9749999999999996</v>
      </c>
      <c r="AV88" s="5">
        <v>6.4916666666666671</v>
      </c>
      <c r="AW88" s="5">
        <v>8.1916666666666664</v>
      </c>
      <c r="AX88" s="5">
        <v>10.608333333333333</v>
      </c>
      <c r="AY88" s="5">
        <v>13.3</v>
      </c>
      <c r="AZ88" s="5">
        <v>14.525</v>
      </c>
      <c r="BA88" s="5">
        <v>14.458333333333334</v>
      </c>
      <c r="BB88" s="5">
        <v>12.941666666666668</v>
      </c>
      <c r="BC88" s="5">
        <v>10.641666666666667</v>
      </c>
      <c r="BD88" s="5">
        <v>7.0750000000000002</v>
      </c>
      <c r="BE88" s="5">
        <v>5.7249999999999996</v>
      </c>
      <c r="BF88" s="10">
        <f t="shared" si="3"/>
        <v>9.4923611111111104</v>
      </c>
      <c r="BG88" s="10">
        <f t="shared" si="10"/>
        <v>9.3999999999999986</v>
      </c>
      <c r="BH88" s="10">
        <f t="shared" si="4"/>
        <v>14.525</v>
      </c>
      <c r="BI88" s="10">
        <f t="shared" si="29"/>
        <v>4.9749999999999996</v>
      </c>
      <c r="BJ88" s="11">
        <f t="shared" si="30"/>
        <v>9.5500000000000007</v>
      </c>
    </row>
    <row r="89" spans="1:62" x14ac:dyDescent="0.2">
      <c r="A89" s="47" t="s">
        <v>110</v>
      </c>
      <c r="C89" s="286">
        <f t="shared" si="27"/>
        <v>31</v>
      </c>
      <c r="D89" s="282">
        <f t="shared" si="24"/>
        <v>93</v>
      </c>
      <c r="E89" s="282">
        <f t="shared" si="25"/>
        <v>3</v>
      </c>
      <c r="K89" s="27">
        <f t="shared" si="28"/>
        <v>35.964328795450626</v>
      </c>
      <c r="L89" s="27">
        <f t="shared" si="26"/>
        <v>21.407885691177466</v>
      </c>
      <c r="M89" s="323"/>
      <c r="V89" s="125"/>
      <c r="W89" s="85"/>
      <c r="X89" s="80"/>
      <c r="Y89" s="80"/>
      <c r="Z89" s="80">
        <f t="shared" si="22"/>
        <v>35.964328795450626</v>
      </c>
      <c r="AA89" s="50">
        <f t="shared" si="31"/>
        <v>208701</v>
      </c>
      <c r="AB89" s="50">
        <f t="shared" si="31"/>
        <v>5803</v>
      </c>
      <c r="AC89" s="83"/>
      <c r="AD89" s="80"/>
      <c r="AE89" s="80"/>
      <c r="AF89" s="80"/>
      <c r="AG89" s="80"/>
      <c r="AH89" s="80">
        <f t="shared" si="23"/>
        <v>21.407885691177466</v>
      </c>
      <c r="AI89" s="50">
        <f t="shared" si="32"/>
        <v>317628.80000000005</v>
      </c>
      <c r="AJ89" s="50">
        <f t="shared" si="32"/>
        <v>14837</v>
      </c>
      <c r="AQ89">
        <v>16</v>
      </c>
      <c r="AS89" s="44"/>
      <c r="AT89" s="5">
        <v>11.79</v>
      </c>
      <c r="AU89" s="5">
        <v>12.62</v>
      </c>
      <c r="AV89" s="5">
        <v>14.67</v>
      </c>
      <c r="AW89" s="5">
        <v>17.91</v>
      </c>
      <c r="AX89" s="5">
        <v>21.16</v>
      </c>
      <c r="AY89" s="5">
        <v>24.15</v>
      </c>
      <c r="AZ89" s="5">
        <v>25.85</v>
      </c>
      <c r="BA89" s="5">
        <v>26.62</v>
      </c>
      <c r="BB89" s="5">
        <v>25.05</v>
      </c>
      <c r="BC89" s="5">
        <v>22.43</v>
      </c>
      <c r="BD89" s="5">
        <v>17.809999999999999</v>
      </c>
      <c r="BE89" s="5">
        <v>13.56</v>
      </c>
      <c r="BF89" s="10">
        <f t="shared" si="3"/>
        <v>19.468333333333334</v>
      </c>
      <c r="BG89" s="10">
        <f t="shared" si="10"/>
        <v>19.535</v>
      </c>
      <c r="BH89" s="10">
        <f t="shared" si="4"/>
        <v>26.62</v>
      </c>
      <c r="BI89" s="10">
        <f t="shared" si="29"/>
        <v>11.79</v>
      </c>
      <c r="BJ89" s="11">
        <f t="shared" si="30"/>
        <v>14.830000000000002</v>
      </c>
    </row>
    <row r="90" spans="1:62" x14ac:dyDescent="0.2">
      <c r="A90" s="47" t="s">
        <v>159</v>
      </c>
      <c r="C90" s="286">
        <f t="shared" si="27"/>
        <v>17.833333333333332</v>
      </c>
      <c r="D90" s="282">
        <f t="shared" si="24"/>
        <v>53.5</v>
      </c>
      <c r="E90" s="282">
        <f t="shared" si="25"/>
        <v>3</v>
      </c>
      <c r="K90" s="27">
        <f t="shared" si="28"/>
        <v>12.306926806742091</v>
      </c>
      <c r="L90" s="27">
        <f t="shared" si="26"/>
        <v>2.3725852382051875</v>
      </c>
      <c r="M90" s="323"/>
      <c r="V90" s="125"/>
      <c r="W90" s="85"/>
      <c r="X90" s="80"/>
      <c r="Y90" s="80"/>
      <c r="Z90" s="80">
        <f t="shared" si="22"/>
        <v>12.306926806742091</v>
      </c>
      <c r="AA90" s="50">
        <f t="shared" si="31"/>
        <v>319807.8</v>
      </c>
      <c r="AB90" s="50">
        <f t="shared" si="31"/>
        <v>25986</v>
      </c>
      <c r="AC90" s="83"/>
      <c r="AD90" s="80"/>
      <c r="AE90" s="80"/>
      <c r="AF90" s="80"/>
      <c r="AG90" s="80"/>
      <c r="AH90" s="80">
        <f t="shared" si="23"/>
        <v>2.3725852382051875</v>
      </c>
      <c r="AI90" s="50">
        <f t="shared" si="32"/>
        <v>61654</v>
      </c>
      <c r="AJ90" s="50">
        <f t="shared" si="32"/>
        <v>25986</v>
      </c>
      <c r="AQ90">
        <v>17</v>
      </c>
      <c r="AS90" s="44"/>
      <c r="AT90" s="5">
        <v>6.1641025641025644</v>
      </c>
      <c r="AU90" s="5">
        <v>7.2230769230769232</v>
      </c>
      <c r="AV90" s="5">
        <v>9.6461538461538474</v>
      </c>
      <c r="AW90" s="5">
        <v>12.984615384615385</v>
      </c>
      <c r="AX90" s="5">
        <v>17.089743589743588</v>
      </c>
      <c r="AY90" s="5">
        <v>21.015384615384612</v>
      </c>
      <c r="AZ90" s="5">
        <v>23.764102564102565</v>
      </c>
      <c r="BA90" s="5">
        <v>23.564102564102566</v>
      </c>
      <c r="BB90" s="5">
        <v>20.520512820512817</v>
      </c>
      <c r="BC90" s="5">
        <v>15.98205128205128</v>
      </c>
      <c r="BD90" s="5">
        <v>11.394871794871795</v>
      </c>
      <c r="BE90" s="5">
        <v>7.5487179487179494</v>
      </c>
      <c r="BF90" s="10">
        <f t="shared" si="3"/>
        <v>14.74145299145299</v>
      </c>
      <c r="BG90" s="10">
        <f t="shared" si="10"/>
        <v>14.483333333333333</v>
      </c>
      <c r="BH90" s="10">
        <f t="shared" si="4"/>
        <v>23.764102564102565</v>
      </c>
      <c r="BI90" s="10">
        <f t="shared" si="29"/>
        <v>6.1641025641025644</v>
      </c>
      <c r="BJ90" s="11">
        <f t="shared" si="30"/>
        <v>17.600000000000001</v>
      </c>
    </row>
    <row r="91" spans="1:62" x14ac:dyDescent="0.2">
      <c r="A91" s="47" t="s">
        <v>160</v>
      </c>
      <c r="C91" s="286"/>
      <c r="D91" s="282">
        <f t="shared" si="24"/>
        <v>0</v>
      </c>
      <c r="E91" s="282">
        <f t="shared" si="25"/>
        <v>0</v>
      </c>
      <c r="K91" s="27" t="str">
        <f t="shared" si="28"/>
        <v xml:space="preserve"> </v>
      </c>
      <c r="L91" s="27" t="str">
        <f t="shared" si="26"/>
        <v xml:space="preserve"> </v>
      </c>
      <c r="M91" s="323"/>
      <c r="V91" s="125"/>
      <c r="W91" s="85"/>
      <c r="X91" s="80"/>
      <c r="Y91" s="80"/>
      <c r="Z91" s="80" t="str">
        <f t="shared" si="22"/>
        <v xml:space="preserve"> </v>
      </c>
      <c r="AA91" s="50">
        <f t="shared" si="31"/>
        <v>0</v>
      </c>
      <c r="AB91" s="50">
        <f t="shared" si="31"/>
        <v>0</v>
      </c>
      <c r="AC91" s="83"/>
      <c r="AD91" s="80"/>
      <c r="AE91" s="80"/>
      <c r="AF91" s="80"/>
      <c r="AG91" s="80"/>
      <c r="AH91" s="80" t="str">
        <f t="shared" si="23"/>
        <v xml:space="preserve"> </v>
      </c>
      <c r="AI91" s="50">
        <f t="shared" si="32"/>
        <v>0</v>
      </c>
      <c r="AJ91" s="50">
        <f t="shared" si="32"/>
        <v>0</v>
      </c>
      <c r="AQ91">
        <v>14</v>
      </c>
      <c r="AS91" s="44"/>
      <c r="AT91" s="5">
        <v>25.64</v>
      </c>
      <c r="AU91" s="5">
        <v>25.6</v>
      </c>
      <c r="AV91" s="5">
        <v>26.2</v>
      </c>
      <c r="AW91" s="5">
        <v>26.84</v>
      </c>
      <c r="AX91" s="5">
        <v>27.5</v>
      </c>
      <c r="AY91" s="5">
        <v>27.9</v>
      </c>
      <c r="AZ91" s="5">
        <v>28.52</v>
      </c>
      <c r="BA91" s="5">
        <v>28.4</v>
      </c>
      <c r="BB91" s="5">
        <v>28.2</v>
      </c>
      <c r="BC91" s="5">
        <v>27.54</v>
      </c>
      <c r="BD91" s="5">
        <v>26.98</v>
      </c>
      <c r="BE91" s="5">
        <v>26.26</v>
      </c>
      <c r="BF91" s="10">
        <f t="shared" si="3"/>
        <v>27.131666666666671</v>
      </c>
      <c r="BG91" s="10">
        <f t="shared" si="10"/>
        <v>27.240000000000002</v>
      </c>
      <c r="BH91" s="10">
        <f t="shared" si="4"/>
        <v>28.52</v>
      </c>
      <c r="BI91" s="10">
        <f t="shared" si="29"/>
        <v>25.6</v>
      </c>
      <c r="BJ91" s="11">
        <f t="shared" si="30"/>
        <v>2.9199999999999982</v>
      </c>
    </row>
    <row r="92" spans="1:62" x14ac:dyDescent="0.2">
      <c r="A92" s="47" t="s">
        <v>72</v>
      </c>
      <c r="C92" s="286">
        <f t="shared" si="27"/>
        <v>32.35</v>
      </c>
      <c r="D92" s="282">
        <f t="shared" si="24"/>
        <v>64.7</v>
      </c>
      <c r="E92" s="282">
        <f t="shared" si="25"/>
        <v>2</v>
      </c>
      <c r="K92" s="27">
        <f t="shared" si="28"/>
        <v>18.491392064559516</v>
      </c>
      <c r="L92" s="27">
        <f t="shared" si="26"/>
        <v>3</v>
      </c>
      <c r="M92" s="323"/>
      <c r="V92" s="125"/>
      <c r="W92" s="85"/>
      <c r="X92" s="80"/>
      <c r="Y92" s="80"/>
      <c r="Z92" s="80">
        <f t="shared" si="22"/>
        <v>18.491392064559516</v>
      </c>
      <c r="AA92" s="50">
        <f t="shared" si="31"/>
        <v>27496.7</v>
      </c>
      <c r="AB92" s="50">
        <f t="shared" si="31"/>
        <v>1487</v>
      </c>
      <c r="AC92" s="83"/>
      <c r="AD92" s="80"/>
      <c r="AE92" s="80"/>
      <c r="AF92" s="80"/>
      <c r="AG92" s="80"/>
      <c r="AH92" s="80">
        <f t="shared" si="23"/>
        <v>3</v>
      </c>
      <c r="AI92" s="50">
        <f t="shared" si="32"/>
        <v>3828</v>
      </c>
      <c r="AJ92" s="50">
        <f t="shared" si="32"/>
        <v>1276</v>
      </c>
      <c r="AQ92">
        <v>15</v>
      </c>
      <c r="AS92" s="44"/>
      <c r="AT92" s="5">
        <v>4.1102040816326531</v>
      </c>
      <c r="AU92" s="5">
        <v>4.4387755102040813</v>
      </c>
      <c r="AV92" s="5">
        <v>7.2938775510204064</v>
      </c>
      <c r="AW92" s="5">
        <v>12.326530612244898</v>
      </c>
      <c r="AX92" s="5">
        <v>16.402040816326533</v>
      </c>
      <c r="AY92" s="5">
        <v>19.987755102040811</v>
      </c>
      <c r="AZ92" s="5">
        <v>23.818367346938768</v>
      </c>
      <c r="BA92" s="5">
        <v>25.040816326530617</v>
      </c>
      <c r="BB92" s="5">
        <v>21.848979591836738</v>
      </c>
      <c r="BC92" s="5">
        <v>16.630612244897957</v>
      </c>
      <c r="BD92" s="5">
        <v>11.559183673469388</v>
      </c>
      <c r="BE92" s="5">
        <v>6.7551020408163254</v>
      </c>
      <c r="BF92" s="10">
        <f t="shared" si="3"/>
        <v>14.184353741496599</v>
      </c>
      <c r="BG92" s="10">
        <f t="shared" si="10"/>
        <v>14.364285714285716</v>
      </c>
      <c r="BH92" s="10">
        <f t="shared" si="4"/>
        <v>25.040816326530617</v>
      </c>
      <c r="BI92" s="10">
        <f t="shared" si="29"/>
        <v>4.1102040816326531</v>
      </c>
      <c r="BJ92" s="11">
        <f t="shared" si="30"/>
        <v>20.930612244897965</v>
      </c>
    </row>
    <row r="93" spans="1:62" x14ac:dyDescent="0.2">
      <c r="A93" s="47" t="s">
        <v>161</v>
      </c>
      <c r="C93" s="286">
        <f t="shared" si="27"/>
        <v>31.369999999999997</v>
      </c>
      <c r="D93" s="282">
        <f t="shared" si="24"/>
        <v>62.739999999999995</v>
      </c>
      <c r="E93" s="282">
        <f t="shared" si="25"/>
        <v>2</v>
      </c>
      <c r="K93" s="27">
        <f t="shared" si="28"/>
        <v>20.763623630813431</v>
      </c>
      <c r="L93" s="27">
        <f t="shared" si="26"/>
        <v>12.322319985634762</v>
      </c>
      <c r="M93" s="323"/>
      <c r="V93" s="125"/>
      <c r="W93" s="85"/>
      <c r="X93" s="80"/>
      <c r="Y93" s="80"/>
      <c r="Z93" s="80">
        <f t="shared" si="22"/>
        <v>20.763623630813431</v>
      </c>
      <c r="AA93" s="50">
        <f t="shared" si="31"/>
        <v>231265.24</v>
      </c>
      <c r="AB93" s="50">
        <f t="shared" si="31"/>
        <v>11138</v>
      </c>
      <c r="AC93" s="83"/>
      <c r="AD93" s="80"/>
      <c r="AE93" s="80"/>
      <c r="AF93" s="80"/>
      <c r="AG93" s="80"/>
      <c r="AH93" s="80">
        <f t="shared" si="23"/>
        <v>12.322319985634762</v>
      </c>
      <c r="AI93" s="50">
        <f t="shared" si="32"/>
        <v>137245.99999999997</v>
      </c>
      <c r="AJ93" s="50">
        <f t="shared" si="32"/>
        <v>11138</v>
      </c>
      <c r="AQ93">
        <v>13</v>
      </c>
      <c r="AS93" s="44"/>
      <c r="AT93" s="5">
        <v>9.4142857142857146</v>
      </c>
      <c r="AU93" s="5">
        <v>10.742857142857144</v>
      </c>
      <c r="AV93" s="5">
        <v>13.214285714285714</v>
      </c>
      <c r="AW93" s="5">
        <v>17.414285714285718</v>
      </c>
      <c r="AX93" s="5">
        <v>21.528571428571428</v>
      </c>
      <c r="AY93" s="5">
        <v>24.642857142857142</v>
      </c>
      <c r="AZ93" s="5">
        <v>26.1</v>
      </c>
      <c r="BA93" s="5">
        <v>26.528571428571428</v>
      </c>
      <c r="BB93" s="5">
        <v>24.62857142857143</v>
      </c>
      <c r="BC93" s="5">
        <v>21.37142857142857</v>
      </c>
      <c r="BD93" s="5">
        <v>16</v>
      </c>
      <c r="BE93" s="5">
        <v>11.342857142857143</v>
      </c>
      <c r="BF93" s="10">
        <f t="shared" ref="BF93:BF176" si="33">AVERAGE(AT93:BE93)</f>
        <v>18.577380952380953</v>
      </c>
      <c r="BG93" s="10">
        <f t="shared" si="10"/>
        <v>19.392857142857146</v>
      </c>
      <c r="BH93" s="10">
        <f t="shared" ref="BH93:BH176" si="34">MAX(AT93:BE93)</f>
        <v>26.528571428571428</v>
      </c>
      <c r="BI93" s="10">
        <f t="shared" si="29"/>
        <v>9.4142857142857146</v>
      </c>
      <c r="BJ93" s="11">
        <f t="shared" si="30"/>
        <v>17.114285714285714</v>
      </c>
    </row>
    <row r="94" spans="1:62" x14ac:dyDescent="0.2">
      <c r="A94" s="47" t="s">
        <v>162</v>
      </c>
      <c r="C94" s="286">
        <f t="shared" si="27"/>
        <v>15.7325</v>
      </c>
      <c r="D94" s="282">
        <f t="shared" si="24"/>
        <v>62.93</v>
      </c>
      <c r="E94" s="282">
        <f t="shared" si="25"/>
        <v>4</v>
      </c>
      <c r="K94" s="27">
        <f t="shared" si="28"/>
        <v>14.677854579844791</v>
      </c>
      <c r="L94" s="27">
        <f t="shared" si="26"/>
        <v>11.652562396969085</v>
      </c>
      <c r="M94" s="323"/>
      <c r="V94" s="125"/>
      <c r="W94" s="85"/>
      <c r="X94" s="80"/>
      <c r="Y94" s="80"/>
      <c r="Z94" s="80">
        <f t="shared" si="22"/>
        <v>14.677854579844791</v>
      </c>
      <c r="AA94" s="50">
        <f t="shared" si="31"/>
        <v>527683.55000000005</v>
      </c>
      <c r="AB94" s="50">
        <f t="shared" si="31"/>
        <v>35951</v>
      </c>
      <c r="AC94" s="83"/>
      <c r="AD94" s="80"/>
      <c r="AE94" s="80"/>
      <c r="AF94" s="80"/>
      <c r="AG94" s="80"/>
      <c r="AH94" s="80">
        <f t="shared" si="23"/>
        <v>11.652562396969085</v>
      </c>
      <c r="AI94" s="50">
        <f t="shared" si="32"/>
        <v>402910.65</v>
      </c>
      <c r="AJ94" s="50">
        <f t="shared" si="32"/>
        <v>34577</v>
      </c>
      <c r="AQ94">
        <v>9</v>
      </c>
      <c r="AS94" s="44"/>
      <c r="AT94" s="5">
        <v>25.26</v>
      </c>
      <c r="AU94" s="5">
        <v>26.78</v>
      </c>
      <c r="AV94" s="5">
        <v>28.52</v>
      </c>
      <c r="AW94" s="5">
        <v>29.24</v>
      </c>
      <c r="AX94" s="5">
        <v>28.32</v>
      </c>
      <c r="AY94" s="5">
        <v>27.74</v>
      </c>
      <c r="AZ94" s="5">
        <v>27.18</v>
      </c>
      <c r="BA94" s="5">
        <v>27.04</v>
      </c>
      <c r="BB94" s="5">
        <v>26.82</v>
      </c>
      <c r="BC94" s="5">
        <v>26.72</v>
      </c>
      <c r="BD94" s="5">
        <v>25.98</v>
      </c>
      <c r="BE94" s="5">
        <v>24.94</v>
      </c>
      <c r="BF94" s="10">
        <f t="shared" si="33"/>
        <v>27.045000000000002</v>
      </c>
      <c r="BG94" s="10">
        <f t="shared" ref="BG94:BG177" si="35">MEDIAN(AT94:BE94)</f>
        <v>26.93</v>
      </c>
      <c r="BH94" s="10">
        <f t="shared" si="34"/>
        <v>29.24</v>
      </c>
      <c r="BI94" s="10">
        <f t="shared" si="29"/>
        <v>24.94</v>
      </c>
      <c r="BJ94" s="11">
        <f t="shared" si="30"/>
        <v>4.2999999999999972</v>
      </c>
    </row>
    <row r="95" spans="1:62" x14ac:dyDescent="0.2">
      <c r="A95" s="47" t="s">
        <v>388</v>
      </c>
      <c r="C95" s="286">
        <f t="shared" si="27"/>
        <v>30</v>
      </c>
      <c r="D95" s="282">
        <f t="shared" si="24"/>
        <v>30</v>
      </c>
      <c r="E95" s="282">
        <f t="shared" si="25"/>
        <v>1</v>
      </c>
      <c r="K95" s="27">
        <f t="shared" si="28"/>
        <v>30</v>
      </c>
      <c r="L95" s="27" t="str">
        <f t="shared" si="26"/>
        <v xml:space="preserve"> </v>
      </c>
      <c r="M95" s="323"/>
      <c r="V95" s="125"/>
      <c r="W95" s="85"/>
      <c r="X95" s="80"/>
      <c r="Y95" s="80"/>
      <c r="Z95" s="80">
        <f t="shared" si="22"/>
        <v>30</v>
      </c>
      <c r="AA95" s="50">
        <f t="shared" si="31"/>
        <v>29999999970</v>
      </c>
      <c r="AB95" s="50">
        <f t="shared" si="31"/>
        <v>999999999</v>
      </c>
      <c r="AC95" s="83"/>
      <c r="AD95" s="80"/>
      <c r="AE95" s="80"/>
      <c r="AF95" s="80"/>
      <c r="AG95" s="80"/>
      <c r="AH95" s="80" t="str">
        <f t="shared" si="23"/>
        <v xml:space="preserve"> </v>
      </c>
      <c r="AI95" s="50">
        <f t="shared" si="32"/>
        <v>0</v>
      </c>
      <c r="AJ95" s="50">
        <f t="shared" si="32"/>
        <v>0</v>
      </c>
      <c r="AQ95">
        <v>15</v>
      </c>
      <c r="AS95" s="44"/>
      <c r="AT95" s="5"/>
      <c r="AU95" s="5"/>
      <c r="AV95" s="5"/>
      <c r="AW95" s="5"/>
      <c r="AX95" s="5"/>
      <c r="AY95" s="5"/>
      <c r="AZ95" s="5"/>
      <c r="BA95" s="5"/>
      <c r="BB95" s="5"/>
      <c r="BC95" s="5"/>
      <c r="BD95" s="5"/>
      <c r="BE95" s="5"/>
      <c r="BF95" s="10"/>
      <c r="BG95" s="10"/>
      <c r="BH95" s="10"/>
      <c r="BI95" s="10"/>
      <c r="BJ95" s="11"/>
    </row>
    <row r="96" spans="1:62" x14ac:dyDescent="0.2">
      <c r="A96" s="47" t="s">
        <v>3</v>
      </c>
      <c r="C96" s="286">
        <f t="shared" si="27"/>
        <v>41.239999999999995</v>
      </c>
      <c r="D96" s="282">
        <f t="shared" si="24"/>
        <v>164.95999999999998</v>
      </c>
      <c r="E96" s="282">
        <f t="shared" si="25"/>
        <v>4</v>
      </c>
      <c r="K96" s="27">
        <f t="shared" si="28"/>
        <v>38.874749402072815</v>
      </c>
      <c r="L96" s="27">
        <f t="shared" si="26"/>
        <v>25.55</v>
      </c>
      <c r="M96" s="323"/>
      <c r="V96" s="125"/>
      <c r="W96" s="85"/>
      <c r="X96" s="80"/>
      <c r="Y96" s="80"/>
      <c r="Z96" s="80">
        <f t="shared" si="22"/>
        <v>38.874749402072815</v>
      </c>
      <c r="AA96" s="50">
        <f t="shared" si="31"/>
        <v>731428.41</v>
      </c>
      <c r="AB96" s="50">
        <f t="shared" si="31"/>
        <v>18815</v>
      </c>
      <c r="AC96" s="83"/>
      <c r="AD96" s="80"/>
      <c r="AE96" s="80"/>
      <c r="AF96" s="80"/>
      <c r="AG96" s="80"/>
      <c r="AH96" s="80">
        <f t="shared" si="23"/>
        <v>25.55</v>
      </c>
      <c r="AI96" s="50">
        <f t="shared" si="32"/>
        <v>209382.25</v>
      </c>
      <c r="AJ96" s="50">
        <f t="shared" si="32"/>
        <v>8195</v>
      </c>
      <c r="AQ96">
        <v>9</v>
      </c>
      <c r="AS96" s="44"/>
      <c r="AT96" s="5">
        <v>24.2</v>
      </c>
      <c r="AU96" s="5">
        <v>25.014285714285712</v>
      </c>
      <c r="AV96" s="5">
        <v>25.542857142857144</v>
      </c>
      <c r="AW96" s="5">
        <v>24.971428571428572</v>
      </c>
      <c r="AX96" s="5">
        <v>24</v>
      </c>
      <c r="AY96" s="5">
        <v>22.87142857142857</v>
      </c>
      <c r="AZ96" s="5">
        <v>22.142857142857146</v>
      </c>
      <c r="BA96" s="5">
        <v>22.314285714285717</v>
      </c>
      <c r="BB96" s="5">
        <v>23.37142857142857</v>
      </c>
      <c r="BC96" s="5">
        <v>24.285714285714285</v>
      </c>
      <c r="BD96" s="5">
        <v>24.014285714285712</v>
      </c>
      <c r="BE96" s="5">
        <v>23.957142857142859</v>
      </c>
      <c r="BF96" s="10">
        <f t="shared" si="33"/>
        <v>23.890476190476189</v>
      </c>
      <c r="BG96" s="10">
        <f t="shared" si="35"/>
        <v>24.007142857142856</v>
      </c>
      <c r="BH96" s="10">
        <f t="shared" si="34"/>
        <v>25.542857142857144</v>
      </c>
      <c r="BI96" s="10">
        <f t="shared" si="29"/>
        <v>22.142857142857146</v>
      </c>
      <c r="BJ96" s="11">
        <f t="shared" si="30"/>
        <v>3.3999999999999986</v>
      </c>
    </row>
    <row r="97" spans="1:62" x14ac:dyDescent="0.2">
      <c r="A97" s="47" t="s">
        <v>389</v>
      </c>
      <c r="C97" s="286"/>
      <c r="D97" s="282">
        <f t="shared" si="24"/>
        <v>0</v>
      </c>
      <c r="E97" s="282">
        <f t="shared" si="25"/>
        <v>0</v>
      </c>
      <c r="K97" s="27" t="str">
        <f t="shared" si="28"/>
        <v xml:space="preserve"> </v>
      </c>
      <c r="L97" s="27" t="str">
        <f t="shared" si="26"/>
        <v xml:space="preserve"> </v>
      </c>
      <c r="M97" s="323"/>
      <c r="V97" s="125"/>
      <c r="W97" s="85"/>
      <c r="X97" s="80"/>
      <c r="Y97" s="80"/>
      <c r="Z97" s="80" t="str">
        <f t="shared" si="22"/>
        <v xml:space="preserve"> </v>
      </c>
      <c r="AA97" s="50">
        <f t="shared" si="31"/>
        <v>0</v>
      </c>
      <c r="AB97" s="50">
        <f t="shared" si="31"/>
        <v>0</v>
      </c>
      <c r="AC97" s="83"/>
      <c r="AD97" s="80"/>
      <c r="AE97" s="80"/>
      <c r="AF97" s="80"/>
      <c r="AG97" s="80"/>
      <c r="AH97" s="80" t="str">
        <f t="shared" si="23"/>
        <v xml:space="preserve"> </v>
      </c>
      <c r="AI97" s="50">
        <f t="shared" si="32"/>
        <v>0</v>
      </c>
      <c r="AJ97" s="50">
        <f t="shared" si="32"/>
        <v>0</v>
      </c>
      <c r="AS97" s="44"/>
      <c r="AT97" s="5">
        <v>-7.7666666666666666</v>
      </c>
      <c r="AU97" s="5">
        <v>-5.2</v>
      </c>
      <c r="AV97" s="5">
        <v>0.46666666666666679</v>
      </c>
      <c r="AW97" s="5">
        <v>7.1333333333333329</v>
      </c>
      <c r="AX97" s="5">
        <v>12.166666666666666</v>
      </c>
      <c r="AY97" s="5">
        <v>16.733333333333334</v>
      </c>
      <c r="AZ97" s="5">
        <v>21.2</v>
      </c>
      <c r="BA97" s="5">
        <v>22.533333333333331</v>
      </c>
      <c r="BB97" s="5">
        <v>17.833333333333332</v>
      </c>
      <c r="BC97" s="5">
        <v>11.3</v>
      </c>
      <c r="BD97" s="5">
        <v>2.8666666666666667</v>
      </c>
      <c r="BE97" s="5">
        <v>-4.666666666666667</v>
      </c>
      <c r="BF97" s="10">
        <f t="shared" si="33"/>
        <v>7.883333333333332</v>
      </c>
      <c r="BG97" s="10">
        <f t="shared" si="35"/>
        <v>9.2166666666666668</v>
      </c>
      <c r="BH97" s="10">
        <f t="shared" si="34"/>
        <v>22.533333333333331</v>
      </c>
      <c r="BI97" s="10">
        <f t="shared" si="29"/>
        <v>-7.7666666666666666</v>
      </c>
      <c r="BJ97" s="11">
        <f t="shared" si="30"/>
        <v>30.299999999999997</v>
      </c>
    </row>
    <row r="98" spans="1:62" x14ac:dyDescent="0.2">
      <c r="A98" s="47" t="s">
        <v>390</v>
      </c>
      <c r="C98" s="286">
        <f t="shared" si="27"/>
        <v>17.350000000000001</v>
      </c>
      <c r="D98" s="282">
        <f t="shared" si="24"/>
        <v>34.700000000000003</v>
      </c>
      <c r="E98" s="282">
        <f t="shared" si="25"/>
        <v>2</v>
      </c>
      <c r="K98" s="27">
        <f t="shared" si="28"/>
        <v>20.7</v>
      </c>
      <c r="L98" s="27">
        <f t="shared" si="26"/>
        <v>15.620747510571546</v>
      </c>
      <c r="M98" s="323"/>
      <c r="V98" s="125"/>
      <c r="W98" s="85"/>
      <c r="X98" s="80"/>
      <c r="Y98" s="80"/>
      <c r="Z98" s="80">
        <f t="shared" si="22"/>
        <v>20.7</v>
      </c>
      <c r="AA98" s="50">
        <f t="shared" si="31"/>
        <v>122461.2</v>
      </c>
      <c r="AB98" s="50">
        <f t="shared" si="31"/>
        <v>5916</v>
      </c>
      <c r="AC98" s="83"/>
      <c r="AD98" s="80"/>
      <c r="AE98" s="80"/>
      <c r="AF98" s="80"/>
      <c r="AG98" s="80"/>
      <c r="AH98" s="80">
        <f t="shared" si="23"/>
        <v>15.620747510571546</v>
      </c>
      <c r="AI98" s="50">
        <f t="shared" si="32"/>
        <v>114515.7</v>
      </c>
      <c r="AJ98" s="50">
        <f t="shared" si="32"/>
        <v>7331</v>
      </c>
      <c r="AS98" s="44"/>
      <c r="AT98" s="5">
        <v>-0.6714285714285716</v>
      </c>
      <c r="AU98" s="5">
        <v>0.77142857142857146</v>
      </c>
      <c r="AV98" s="5">
        <v>5.2142857142857144</v>
      </c>
      <c r="AW98" s="5">
        <v>11.414285714285713</v>
      </c>
      <c r="AX98" s="5">
        <v>16.600000000000001</v>
      </c>
      <c r="AY98" s="5">
        <v>20.257142857142856</v>
      </c>
      <c r="AZ98" s="5">
        <v>23.942857142857143</v>
      </c>
      <c r="BA98" s="5">
        <v>25.185714285714287</v>
      </c>
      <c r="BB98" s="5">
        <v>20.657142857142855</v>
      </c>
      <c r="BC98" s="5">
        <v>15.014285714285716</v>
      </c>
      <c r="BD98" s="5">
        <v>8.6</v>
      </c>
      <c r="BE98" s="5">
        <v>2.2714285714285714</v>
      </c>
      <c r="BF98" s="10">
        <f t="shared" si="33"/>
        <v>12.438095238095238</v>
      </c>
      <c r="BG98" s="10">
        <f t="shared" si="35"/>
        <v>13.214285714285715</v>
      </c>
      <c r="BH98" s="10">
        <f t="shared" si="34"/>
        <v>25.185714285714287</v>
      </c>
      <c r="BI98" s="10">
        <f t="shared" si="29"/>
        <v>-0.6714285714285716</v>
      </c>
      <c r="BJ98" s="11">
        <f t="shared" si="30"/>
        <v>25.857142857142858</v>
      </c>
    </row>
    <row r="99" spans="1:62" x14ac:dyDescent="0.2">
      <c r="A99" s="47" t="s">
        <v>163</v>
      </c>
      <c r="C99" s="286"/>
      <c r="D99" s="282">
        <f t="shared" ref="D99:D130" si="36">SUMIF($B$213:$B$562,$A99,K$213:K$562)</f>
        <v>0</v>
      </c>
      <c r="E99" s="282">
        <f t="shared" ref="E99:E130" si="37">COUNTIFS($B$213:$B$562,$A99, $K$213:$K$562,"&gt;0")</f>
        <v>0</v>
      </c>
      <c r="K99" s="27" t="str">
        <f t="shared" si="28"/>
        <v xml:space="preserve"> </v>
      </c>
      <c r="L99" s="27" t="str">
        <f t="shared" si="26"/>
        <v xml:space="preserve"> </v>
      </c>
      <c r="M99" s="323"/>
      <c r="V99" s="125"/>
      <c r="W99" s="85"/>
      <c r="X99" s="80"/>
      <c r="Y99" s="80"/>
      <c r="Z99" s="80" t="str">
        <f t="shared" si="22"/>
        <v xml:space="preserve"> </v>
      </c>
      <c r="AA99" s="50">
        <f t="shared" si="31"/>
        <v>0</v>
      </c>
      <c r="AB99" s="50">
        <f t="shared" si="31"/>
        <v>0</v>
      </c>
      <c r="AC99" s="83"/>
      <c r="AD99" s="80"/>
      <c r="AE99" s="80"/>
      <c r="AF99" s="80"/>
      <c r="AG99" s="80"/>
      <c r="AH99" s="80" t="str">
        <f t="shared" si="23"/>
        <v xml:space="preserve"> </v>
      </c>
      <c r="AI99" s="50">
        <f t="shared" si="32"/>
        <v>0</v>
      </c>
      <c r="AJ99" s="50">
        <f t="shared" si="32"/>
        <v>0</v>
      </c>
      <c r="AQ99">
        <v>13</v>
      </c>
      <c r="AS99" s="44"/>
      <c r="AT99" s="5">
        <v>12.7</v>
      </c>
      <c r="AU99" s="5">
        <v>14.8</v>
      </c>
      <c r="AV99" s="5">
        <v>19.399999999999999</v>
      </c>
      <c r="AW99" s="5">
        <v>24.9</v>
      </c>
      <c r="AX99" s="5">
        <v>31.4</v>
      </c>
      <c r="AY99" s="5">
        <v>35.799999999999997</v>
      </c>
      <c r="AZ99" s="5">
        <v>37.4</v>
      </c>
      <c r="BA99" s="5">
        <v>36.700000000000003</v>
      </c>
      <c r="BB99" s="5">
        <v>33.200000000000003</v>
      </c>
      <c r="BC99" s="5">
        <v>27.4</v>
      </c>
      <c r="BD99" s="5">
        <v>19.8</v>
      </c>
      <c r="BE99" s="5">
        <v>14.2</v>
      </c>
      <c r="BF99" s="10">
        <f t="shared" si="33"/>
        <v>25.641666666666666</v>
      </c>
      <c r="BG99" s="10">
        <f t="shared" si="35"/>
        <v>26.15</v>
      </c>
      <c r="BH99" s="10">
        <f t="shared" si="34"/>
        <v>37.4</v>
      </c>
      <c r="BI99" s="10">
        <f t="shared" si="29"/>
        <v>12.7</v>
      </c>
      <c r="BJ99" s="11">
        <f t="shared" si="30"/>
        <v>24.7</v>
      </c>
    </row>
    <row r="100" spans="1:62" x14ac:dyDescent="0.2">
      <c r="A100" s="47" t="s">
        <v>391</v>
      </c>
      <c r="C100" s="286">
        <f t="shared" si="27"/>
        <v>29</v>
      </c>
      <c r="D100" s="282">
        <f t="shared" si="36"/>
        <v>29</v>
      </c>
      <c r="E100" s="282">
        <f t="shared" si="37"/>
        <v>1</v>
      </c>
      <c r="K100" s="27">
        <f t="shared" si="28"/>
        <v>29</v>
      </c>
      <c r="L100" s="27" t="str">
        <f t="shared" si="26"/>
        <v xml:space="preserve"> </v>
      </c>
      <c r="M100" s="323"/>
      <c r="V100" s="125"/>
      <c r="W100" s="85"/>
      <c r="X100" s="80"/>
      <c r="Y100" s="80"/>
      <c r="Z100" s="80">
        <f t="shared" si="22"/>
        <v>29</v>
      </c>
      <c r="AA100" s="50">
        <f t="shared" si="31"/>
        <v>46400</v>
      </c>
      <c r="AB100" s="50">
        <f t="shared" si="31"/>
        <v>1600</v>
      </c>
      <c r="AC100" s="83"/>
      <c r="AD100" s="80"/>
      <c r="AE100" s="80"/>
      <c r="AF100" s="80"/>
      <c r="AG100" s="80"/>
      <c r="AH100" s="80" t="str">
        <f t="shared" si="23"/>
        <v xml:space="preserve"> </v>
      </c>
      <c r="AI100" s="50">
        <f t="shared" si="32"/>
        <v>0</v>
      </c>
      <c r="AJ100" s="50">
        <f t="shared" si="32"/>
        <v>0</v>
      </c>
      <c r="AQ100">
        <v>13</v>
      </c>
      <c r="AS100" s="44"/>
      <c r="AT100" s="5"/>
      <c r="AU100" s="5"/>
      <c r="AV100" s="5"/>
      <c r="AW100" s="5"/>
      <c r="AX100" s="5"/>
      <c r="AY100" s="5"/>
      <c r="AZ100" s="5"/>
      <c r="BA100" s="5"/>
      <c r="BB100" s="5"/>
      <c r="BC100" s="5"/>
      <c r="BD100" s="5"/>
      <c r="BE100" s="5"/>
      <c r="BF100" s="10"/>
      <c r="BG100" s="10"/>
      <c r="BH100" s="10"/>
      <c r="BI100" s="10"/>
      <c r="BJ100" s="11"/>
    </row>
    <row r="101" spans="1:62" x14ac:dyDescent="0.2">
      <c r="A101" s="47" t="s">
        <v>164</v>
      </c>
      <c r="C101" s="286"/>
      <c r="D101" s="282">
        <f t="shared" si="36"/>
        <v>0</v>
      </c>
      <c r="E101" s="282">
        <f t="shared" si="37"/>
        <v>0</v>
      </c>
      <c r="K101" s="27" t="str">
        <f t="shared" si="28"/>
        <v xml:space="preserve"> </v>
      </c>
      <c r="L101" s="27" t="str">
        <f t="shared" si="26"/>
        <v xml:space="preserve"> </v>
      </c>
      <c r="M101" s="323"/>
      <c r="V101" s="125"/>
      <c r="W101" s="85"/>
      <c r="X101" s="80"/>
      <c r="Y101" s="80"/>
      <c r="Z101" s="80" t="str">
        <f t="shared" si="22"/>
        <v xml:space="preserve"> </v>
      </c>
      <c r="AA101" s="50">
        <f t="shared" si="31"/>
        <v>0</v>
      </c>
      <c r="AB101" s="50">
        <f t="shared" si="31"/>
        <v>0</v>
      </c>
      <c r="AC101" s="83"/>
      <c r="AD101" s="80"/>
      <c r="AE101" s="80"/>
      <c r="AF101" s="80"/>
      <c r="AG101" s="80"/>
      <c r="AH101" s="80" t="str">
        <f t="shared" si="23"/>
        <v xml:space="preserve"> </v>
      </c>
      <c r="AI101" s="50">
        <f t="shared" si="32"/>
        <v>0</v>
      </c>
      <c r="AJ101" s="50">
        <f t="shared" si="32"/>
        <v>0</v>
      </c>
      <c r="AQ101">
        <v>8</v>
      </c>
      <c r="AS101" s="44"/>
      <c r="AT101" s="5">
        <v>21.483333333333334</v>
      </c>
      <c r="AU101" s="5">
        <v>23.35</v>
      </c>
      <c r="AV101" s="5">
        <v>26.333333333333332</v>
      </c>
      <c r="AW101" s="5">
        <v>28.333333333333339</v>
      </c>
      <c r="AX101" s="5">
        <v>28.25</v>
      </c>
      <c r="AY101" s="5">
        <v>27.783333333333331</v>
      </c>
      <c r="AZ101" s="5">
        <v>27.166666666666661</v>
      </c>
      <c r="BA101" s="5">
        <v>26.666666666666668</v>
      </c>
      <c r="BB101" s="5">
        <v>26.75</v>
      </c>
      <c r="BC101" s="5">
        <v>25.5</v>
      </c>
      <c r="BD101" s="5">
        <v>23.466666666666665</v>
      </c>
      <c r="BE101" s="5">
        <v>21.616666666666671</v>
      </c>
      <c r="BF101" s="10">
        <f t="shared" si="33"/>
        <v>25.558333333333334</v>
      </c>
      <c r="BG101" s="10">
        <f t="shared" si="35"/>
        <v>26.5</v>
      </c>
      <c r="BH101" s="10">
        <f t="shared" si="34"/>
        <v>28.333333333333339</v>
      </c>
      <c r="BI101" s="10">
        <f t="shared" si="29"/>
        <v>21.483333333333334</v>
      </c>
      <c r="BJ101" s="11">
        <f t="shared" si="30"/>
        <v>6.850000000000005</v>
      </c>
    </row>
    <row r="102" spans="1:62" x14ac:dyDescent="0.2">
      <c r="A102" s="47" t="s">
        <v>392</v>
      </c>
      <c r="C102" s="286"/>
      <c r="D102" s="282">
        <f t="shared" si="36"/>
        <v>0</v>
      </c>
      <c r="E102" s="282">
        <f t="shared" si="37"/>
        <v>0</v>
      </c>
      <c r="K102" s="27" t="str">
        <f t="shared" si="28"/>
        <v xml:space="preserve"> </v>
      </c>
      <c r="L102" s="27" t="str">
        <f t="shared" si="26"/>
        <v xml:space="preserve"> </v>
      </c>
      <c r="M102" s="323"/>
      <c r="V102" s="125"/>
      <c r="W102" s="85"/>
      <c r="X102" s="80"/>
      <c r="Y102" s="80"/>
      <c r="Z102" s="80" t="str">
        <f t="shared" si="22"/>
        <v xml:space="preserve"> </v>
      </c>
      <c r="AA102" s="50">
        <f t="shared" si="31"/>
        <v>0</v>
      </c>
      <c r="AB102" s="50">
        <f t="shared" si="31"/>
        <v>0</v>
      </c>
      <c r="AC102" s="83"/>
      <c r="AD102" s="80"/>
      <c r="AE102" s="80"/>
      <c r="AF102" s="80"/>
      <c r="AG102" s="80"/>
      <c r="AH102" s="80" t="str">
        <f t="shared" si="23"/>
        <v xml:space="preserve"> </v>
      </c>
      <c r="AI102" s="50">
        <f t="shared" si="32"/>
        <v>0</v>
      </c>
      <c r="AJ102" s="50">
        <f t="shared" si="32"/>
        <v>0</v>
      </c>
      <c r="AQ102">
        <v>17</v>
      </c>
      <c r="BI102" s="10"/>
      <c r="BJ102" s="11"/>
    </row>
    <row r="103" spans="1:62" x14ac:dyDescent="0.2">
      <c r="A103" s="47" t="s">
        <v>165</v>
      </c>
      <c r="C103" s="286">
        <f t="shared" si="27"/>
        <v>22</v>
      </c>
      <c r="D103" s="282">
        <f t="shared" si="36"/>
        <v>22</v>
      </c>
      <c r="E103" s="282">
        <f t="shared" si="37"/>
        <v>1</v>
      </c>
      <c r="K103" s="27">
        <f t="shared" si="28"/>
        <v>22</v>
      </c>
      <c r="L103" s="27">
        <f t="shared" si="26"/>
        <v>9.1</v>
      </c>
      <c r="M103" s="323"/>
      <c r="V103" s="125"/>
      <c r="W103" s="85"/>
      <c r="X103" s="80"/>
      <c r="Y103" s="80"/>
      <c r="Z103" s="80">
        <f t="shared" si="22"/>
        <v>22</v>
      </c>
      <c r="AA103" s="50">
        <f t="shared" ref="AA103:AB122" si="38">SUMIF($B$213:$B$562,$A103,AA$213:AA$562)</f>
        <v>9174</v>
      </c>
      <c r="AB103" s="50">
        <f t="shared" si="38"/>
        <v>417</v>
      </c>
      <c r="AC103" s="83"/>
      <c r="AD103" s="80"/>
      <c r="AE103" s="80"/>
      <c r="AF103" s="80"/>
      <c r="AG103" s="80"/>
      <c r="AH103" s="80">
        <f t="shared" si="23"/>
        <v>9.1</v>
      </c>
      <c r="AI103" s="50">
        <f t="shared" ref="AI103:AJ122" si="39">SUMIF($B$213:$B$562,$A103,AI$213:AI$562)</f>
        <v>3794.7</v>
      </c>
      <c r="AJ103" s="50">
        <f t="shared" si="39"/>
        <v>417</v>
      </c>
      <c r="AQ103">
        <v>14</v>
      </c>
      <c r="AS103" s="44"/>
      <c r="AT103" s="5">
        <v>7.9666666666666659</v>
      </c>
      <c r="AU103" s="5">
        <v>8.9333333333333336</v>
      </c>
      <c r="AV103" s="5">
        <v>11.3</v>
      </c>
      <c r="AW103" s="5">
        <v>14.833333333333334</v>
      </c>
      <c r="AX103" s="5">
        <v>18.399999999999999</v>
      </c>
      <c r="AY103" s="5">
        <v>21.8</v>
      </c>
      <c r="AZ103" s="5">
        <v>23.933333333333334</v>
      </c>
      <c r="BA103" s="5">
        <v>24.333333333333332</v>
      </c>
      <c r="BB103" s="5">
        <v>22.566666666666666</v>
      </c>
      <c r="BC103" s="5">
        <v>19.266666666666666</v>
      </c>
      <c r="BD103" s="5">
        <v>14.366666666666665</v>
      </c>
      <c r="BE103" s="5">
        <v>10.133333333333335</v>
      </c>
      <c r="BF103" s="10">
        <f t="shared" si="33"/>
        <v>16.486111111111111</v>
      </c>
      <c r="BG103" s="10">
        <f t="shared" si="35"/>
        <v>16.616666666666667</v>
      </c>
      <c r="BH103" s="10">
        <f t="shared" si="34"/>
        <v>24.333333333333332</v>
      </c>
      <c r="BI103" s="10">
        <f t="shared" si="29"/>
        <v>7.9666666666666659</v>
      </c>
      <c r="BJ103" s="11">
        <f t="shared" si="30"/>
        <v>16.366666666666667</v>
      </c>
    </row>
    <row r="104" spans="1:62" x14ac:dyDescent="0.2">
      <c r="A104" s="47" t="s">
        <v>166</v>
      </c>
      <c r="C104" s="286"/>
      <c r="D104" s="282">
        <f t="shared" si="36"/>
        <v>0</v>
      </c>
      <c r="E104" s="282">
        <f t="shared" si="37"/>
        <v>0</v>
      </c>
      <c r="K104" s="27" t="str">
        <f t="shared" si="28"/>
        <v xml:space="preserve"> </v>
      </c>
      <c r="L104" s="27">
        <f t="shared" si="26"/>
        <v>15.813598166539343</v>
      </c>
      <c r="M104" s="323"/>
      <c r="V104" s="125"/>
      <c r="W104" s="85"/>
      <c r="X104" s="80"/>
      <c r="Y104" s="80"/>
      <c r="Z104" s="80" t="str">
        <f t="shared" si="22"/>
        <v xml:space="preserve"> </v>
      </c>
      <c r="AA104" s="50">
        <f t="shared" si="38"/>
        <v>0</v>
      </c>
      <c r="AB104" s="50">
        <f t="shared" si="38"/>
        <v>0</v>
      </c>
      <c r="AC104" s="83"/>
      <c r="AD104" s="80"/>
      <c r="AE104" s="80"/>
      <c r="AF104" s="80"/>
      <c r="AG104" s="80"/>
      <c r="AH104" s="80">
        <f t="shared" si="23"/>
        <v>15.813598166539343</v>
      </c>
      <c r="AI104" s="50">
        <f t="shared" si="39"/>
        <v>23530.634071810542</v>
      </c>
      <c r="AJ104" s="50">
        <f t="shared" si="39"/>
        <v>1488</v>
      </c>
      <c r="AQ104">
        <v>10</v>
      </c>
      <c r="AS104" s="45"/>
      <c r="AT104" s="5">
        <v>23.6</v>
      </c>
      <c r="AU104" s="5">
        <v>23.6</v>
      </c>
      <c r="AV104" s="5">
        <v>23.1</v>
      </c>
      <c r="AW104" s="5">
        <v>21.2</v>
      </c>
      <c r="AX104" s="5">
        <v>18.899999999999999</v>
      </c>
      <c r="AY104" s="5">
        <v>16.600000000000001</v>
      </c>
      <c r="AZ104" s="5">
        <v>16.2</v>
      </c>
      <c r="BA104" s="5">
        <v>17.2</v>
      </c>
      <c r="BB104" s="5">
        <v>18.5</v>
      </c>
      <c r="BC104" s="5">
        <v>19.7</v>
      </c>
      <c r="BD104" s="5">
        <v>21</v>
      </c>
      <c r="BE104" s="5">
        <v>22.6</v>
      </c>
      <c r="BF104" s="10">
        <f t="shared" si="33"/>
        <v>20.18333333333333</v>
      </c>
      <c r="BG104" s="10">
        <f t="shared" si="35"/>
        <v>20.350000000000001</v>
      </c>
      <c r="BH104" s="10">
        <f t="shared" si="34"/>
        <v>23.6</v>
      </c>
      <c r="BI104" s="10">
        <f t="shared" si="29"/>
        <v>16.2</v>
      </c>
      <c r="BJ104" s="11">
        <f t="shared" si="30"/>
        <v>7.4000000000000021</v>
      </c>
    </row>
    <row r="105" spans="1:62" x14ac:dyDescent="0.2">
      <c r="A105" s="47" t="s">
        <v>167</v>
      </c>
      <c r="C105" s="286">
        <f t="shared" si="27"/>
        <v>35.61</v>
      </c>
      <c r="D105" s="282">
        <f t="shared" si="36"/>
        <v>35.61</v>
      </c>
      <c r="E105" s="282">
        <f t="shared" si="37"/>
        <v>1</v>
      </c>
      <c r="K105" s="27">
        <f t="shared" si="28"/>
        <v>35.61</v>
      </c>
      <c r="L105" s="27" t="str">
        <f t="shared" si="26"/>
        <v xml:space="preserve"> </v>
      </c>
      <c r="M105" s="323"/>
      <c r="V105" s="125"/>
      <c r="W105" s="85"/>
      <c r="X105" s="80"/>
      <c r="Y105" s="80"/>
      <c r="Z105" s="80">
        <f t="shared" si="22"/>
        <v>35.61</v>
      </c>
      <c r="AA105" s="50">
        <f t="shared" si="38"/>
        <v>252546.12</v>
      </c>
      <c r="AB105" s="50">
        <f t="shared" si="38"/>
        <v>7092</v>
      </c>
      <c r="AC105" s="83"/>
      <c r="AD105" s="80"/>
      <c r="AE105" s="80"/>
      <c r="AF105" s="80"/>
      <c r="AG105" s="80"/>
      <c r="AH105" s="80" t="str">
        <f t="shared" si="23"/>
        <v xml:space="preserve"> </v>
      </c>
      <c r="AI105" s="50">
        <f t="shared" si="39"/>
        <v>0</v>
      </c>
      <c r="AJ105" s="50">
        <f t="shared" si="39"/>
        <v>0</v>
      </c>
      <c r="AQ105">
        <v>9</v>
      </c>
      <c r="AS105" s="44"/>
      <c r="AT105" s="5">
        <v>25.9</v>
      </c>
      <c r="AU105" s="5">
        <v>26.6</v>
      </c>
      <c r="AV105" s="5">
        <v>26.9</v>
      </c>
      <c r="AW105" s="5">
        <v>26.9</v>
      </c>
      <c r="AX105" s="5">
        <v>26.5</v>
      </c>
      <c r="AY105" s="5">
        <v>25.45</v>
      </c>
      <c r="AZ105" s="5">
        <v>24.4</v>
      </c>
      <c r="BA105" s="5">
        <v>24.2</v>
      </c>
      <c r="BB105" s="5">
        <v>24.85</v>
      </c>
      <c r="BC105" s="5">
        <v>25.6</v>
      </c>
      <c r="BD105" s="5">
        <v>26.15</v>
      </c>
      <c r="BE105" s="5">
        <v>25.75</v>
      </c>
      <c r="BF105" s="10">
        <f t="shared" si="33"/>
        <v>25.766666666666666</v>
      </c>
      <c r="BG105" s="10">
        <f t="shared" si="35"/>
        <v>25.824999999999999</v>
      </c>
      <c r="BH105" s="10">
        <f t="shared" si="34"/>
        <v>26.9</v>
      </c>
      <c r="BI105" s="10">
        <f t="shared" si="29"/>
        <v>24.2</v>
      </c>
      <c r="BJ105" s="11">
        <f t="shared" si="30"/>
        <v>2.6999999999999993</v>
      </c>
    </row>
    <row r="106" spans="1:62" x14ac:dyDescent="0.2">
      <c r="A106" s="47" t="s">
        <v>168</v>
      </c>
      <c r="C106" s="286"/>
      <c r="D106" s="282">
        <f t="shared" si="36"/>
        <v>0</v>
      </c>
      <c r="E106" s="282">
        <f t="shared" si="37"/>
        <v>0</v>
      </c>
      <c r="K106" s="27" t="str">
        <f t="shared" si="28"/>
        <v xml:space="preserve"> </v>
      </c>
      <c r="L106" s="27" t="str">
        <f t="shared" si="26"/>
        <v xml:space="preserve"> </v>
      </c>
      <c r="M106" s="323"/>
      <c r="V106" s="125"/>
      <c r="W106" s="85"/>
      <c r="X106" s="80"/>
      <c r="Y106" s="80"/>
      <c r="Z106" s="80" t="str">
        <f t="shared" si="22"/>
        <v xml:space="preserve"> </v>
      </c>
      <c r="AA106" s="50">
        <f t="shared" si="38"/>
        <v>0</v>
      </c>
      <c r="AB106" s="50">
        <f t="shared" si="38"/>
        <v>0</v>
      </c>
      <c r="AC106" s="83"/>
      <c r="AD106" s="80"/>
      <c r="AE106" s="80"/>
      <c r="AF106" s="80"/>
      <c r="AG106" s="80"/>
      <c r="AH106" s="80" t="str">
        <f t="shared" si="23"/>
        <v xml:space="preserve"> </v>
      </c>
      <c r="AI106" s="50">
        <f t="shared" si="39"/>
        <v>0</v>
      </c>
      <c r="AJ106" s="50">
        <f t="shared" si="39"/>
        <v>0</v>
      </c>
      <c r="AQ106">
        <v>17</v>
      </c>
      <c r="AS106" s="44"/>
      <c r="AT106" s="5">
        <v>11.957142857142854</v>
      </c>
      <c r="AU106" s="5">
        <v>13.595000000000001</v>
      </c>
      <c r="AV106" s="5">
        <v>15.8</v>
      </c>
      <c r="AW106" s="5">
        <v>18.984999999999999</v>
      </c>
      <c r="AX106" s="5">
        <v>22.590476190476185</v>
      </c>
      <c r="AY106" s="5">
        <v>26.14</v>
      </c>
      <c r="AZ106" s="5">
        <v>26.847619047619052</v>
      </c>
      <c r="BA106" s="5">
        <v>27.39</v>
      </c>
      <c r="BB106" s="5">
        <v>25.77</v>
      </c>
      <c r="BC106" s="5">
        <v>22.27</v>
      </c>
      <c r="BD106" s="5">
        <v>17.649999999999999</v>
      </c>
      <c r="BE106" s="5">
        <v>13.419047619047618</v>
      </c>
      <c r="BF106" s="10">
        <f>AVERAGE(AT106:BE106)</f>
        <v>20.201190476190479</v>
      </c>
      <c r="BG106" s="10">
        <f>MEDIAN(AT106:BE106)</f>
        <v>20.627499999999998</v>
      </c>
      <c r="BH106" s="10">
        <f>MAX(AT106:BE106)</f>
        <v>27.39</v>
      </c>
      <c r="BI106" s="10">
        <f t="shared" si="29"/>
        <v>11.957142857142854</v>
      </c>
      <c r="BJ106" s="11">
        <f t="shared" si="30"/>
        <v>15.432857142857147</v>
      </c>
    </row>
    <row r="107" spans="1:62" x14ac:dyDescent="0.2">
      <c r="A107" s="47" t="s">
        <v>393</v>
      </c>
      <c r="C107" s="286"/>
      <c r="D107" s="282">
        <f t="shared" si="36"/>
        <v>0</v>
      </c>
      <c r="E107" s="282">
        <f t="shared" si="37"/>
        <v>0</v>
      </c>
      <c r="K107" s="27" t="str">
        <f t="shared" si="28"/>
        <v xml:space="preserve"> </v>
      </c>
      <c r="L107" s="27" t="str">
        <f t="shared" si="26"/>
        <v xml:space="preserve"> </v>
      </c>
      <c r="M107" s="323"/>
      <c r="V107" s="125"/>
      <c r="W107" s="85"/>
      <c r="X107" s="80"/>
      <c r="Y107" s="80"/>
      <c r="Z107" s="80" t="str">
        <f t="shared" si="22"/>
        <v xml:space="preserve"> </v>
      </c>
      <c r="AA107" s="50">
        <f t="shared" si="38"/>
        <v>0</v>
      </c>
      <c r="AB107" s="50">
        <f t="shared" si="38"/>
        <v>0</v>
      </c>
      <c r="AC107" s="83"/>
      <c r="AD107" s="80"/>
      <c r="AE107" s="80"/>
      <c r="AF107" s="80"/>
      <c r="AG107" s="80"/>
      <c r="AH107" s="80" t="str">
        <f t="shared" si="23"/>
        <v xml:space="preserve"> </v>
      </c>
      <c r="AI107" s="50">
        <f t="shared" si="39"/>
        <v>0</v>
      </c>
      <c r="AJ107" s="50">
        <f t="shared" si="39"/>
        <v>0</v>
      </c>
      <c r="AQ107">
        <v>14</v>
      </c>
      <c r="BI107" s="10"/>
      <c r="BJ107" s="11"/>
    </row>
    <row r="108" spans="1:62" x14ac:dyDescent="0.2">
      <c r="A108" s="47" t="s">
        <v>262</v>
      </c>
      <c r="C108" s="286">
        <f t="shared" si="27"/>
        <v>37.35</v>
      </c>
      <c r="D108" s="282">
        <f t="shared" si="36"/>
        <v>74.7</v>
      </c>
      <c r="E108" s="282">
        <f t="shared" si="37"/>
        <v>2</v>
      </c>
      <c r="K108" s="27">
        <f t="shared" si="28"/>
        <v>38.851277013752458</v>
      </c>
      <c r="L108" s="27" t="str">
        <f t="shared" si="26"/>
        <v xml:space="preserve"> </v>
      </c>
      <c r="M108" s="323"/>
      <c r="V108" s="125"/>
      <c r="W108" s="85"/>
      <c r="X108" s="80"/>
      <c r="Y108" s="80"/>
      <c r="Z108" s="80">
        <f t="shared" si="22"/>
        <v>38.851277013752458</v>
      </c>
      <c r="AA108" s="50">
        <f t="shared" si="38"/>
        <v>59325.9</v>
      </c>
      <c r="AB108" s="50">
        <f t="shared" si="38"/>
        <v>1527</v>
      </c>
      <c r="AC108" s="83"/>
      <c r="AD108" s="80"/>
      <c r="AE108" s="80"/>
      <c r="AF108" s="80"/>
      <c r="AG108" s="80"/>
      <c r="AH108" s="80" t="str">
        <f t="shared" si="23"/>
        <v xml:space="preserve"> </v>
      </c>
      <c r="AI108" s="50">
        <f t="shared" si="39"/>
        <v>0</v>
      </c>
      <c r="AJ108" s="50">
        <f t="shared" si="39"/>
        <v>0</v>
      </c>
      <c r="AQ108">
        <v>17</v>
      </c>
      <c r="AS108" s="44"/>
      <c r="AT108" s="11">
        <v>-7</v>
      </c>
      <c r="AU108" s="11">
        <v>-6.7</v>
      </c>
      <c r="AV108" s="11">
        <v>-2.2000000000000002</v>
      </c>
      <c r="AW108" s="11">
        <v>5.5</v>
      </c>
      <c r="AX108" s="11">
        <v>12.5</v>
      </c>
      <c r="AY108" s="11">
        <v>16</v>
      </c>
      <c r="AZ108" s="11">
        <v>17.5</v>
      </c>
      <c r="BA108" s="11">
        <v>16.5</v>
      </c>
      <c r="BB108" s="11">
        <v>11.8</v>
      </c>
      <c r="BC108" s="11">
        <v>5.9</v>
      </c>
      <c r="BD108" s="11">
        <v>0.5</v>
      </c>
      <c r="BE108" s="11">
        <v>-4.2</v>
      </c>
      <c r="BF108" s="10">
        <f>AVERAGE(AT108:BE108)</f>
        <v>5.5083333333333337</v>
      </c>
      <c r="BG108" s="10">
        <f>MEDIAN(AT108:BE108)</f>
        <v>5.7</v>
      </c>
      <c r="BH108" s="10">
        <f>MAX(AT108:BE108)</f>
        <v>17.5</v>
      </c>
      <c r="BI108" s="10">
        <f t="shared" si="29"/>
        <v>-7</v>
      </c>
      <c r="BJ108" s="11">
        <f t="shared" si="30"/>
        <v>24.5</v>
      </c>
    </row>
    <row r="109" spans="1:62" x14ac:dyDescent="0.2">
      <c r="A109" s="47" t="s">
        <v>169</v>
      </c>
      <c r="C109" s="286"/>
      <c r="D109" s="282">
        <f t="shared" si="36"/>
        <v>0</v>
      </c>
      <c r="E109" s="282">
        <f t="shared" si="37"/>
        <v>0</v>
      </c>
      <c r="K109" s="27" t="str">
        <f t="shared" si="28"/>
        <v xml:space="preserve"> </v>
      </c>
      <c r="L109" s="27" t="str">
        <f t="shared" si="26"/>
        <v xml:space="preserve"> </v>
      </c>
      <c r="M109" s="323"/>
      <c r="V109" s="125"/>
      <c r="W109" s="85"/>
      <c r="X109" s="80"/>
      <c r="Y109" s="80"/>
      <c r="Z109" s="80" t="str">
        <f t="shared" si="22"/>
        <v xml:space="preserve"> </v>
      </c>
      <c r="AA109" s="50">
        <f t="shared" si="38"/>
        <v>0</v>
      </c>
      <c r="AB109" s="50">
        <f t="shared" si="38"/>
        <v>0</v>
      </c>
      <c r="AC109" s="83"/>
      <c r="AD109" s="80"/>
      <c r="AE109" s="80"/>
      <c r="AF109" s="80"/>
      <c r="AG109" s="80"/>
      <c r="AH109" s="80" t="str">
        <f t="shared" si="23"/>
        <v xml:space="preserve"> </v>
      </c>
      <c r="AI109" s="50">
        <f t="shared" si="39"/>
        <v>0</v>
      </c>
      <c r="AJ109" s="50">
        <f t="shared" si="39"/>
        <v>0</v>
      </c>
      <c r="AQ109">
        <v>13</v>
      </c>
      <c r="AS109" s="44"/>
      <c r="AT109" s="5">
        <v>-0.2</v>
      </c>
      <c r="AU109" s="5">
        <v>1.1000000000000001</v>
      </c>
      <c r="AV109" s="5">
        <v>4.3</v>
      </c>
      <c r="AW109" s="5">
        <v>7.7</v>
      </c>
      <c r="AX109" s="5">
        <v>12</v>
      </c>
      <c r="AY109" s="5">
        <v>15.2</v>
      </c>
      <c r="AZ109" s="5">
        <v>17</v>
      </c>
      <c r="BA109" s="5">
        <v>16.399999999999999</v>
      </c>
      <c r="BB109" s="5">
        <v>13.5</v>
      </c>
      <c r="BC109" s="5">
        <v>8.6999999999999993</v>
      </c>
      <c r="BD109" s="5">
        <v>3.8</v>
      </c>
      <c r="BE109" s="5">
        <v>1</v>
      </c>
      <c r="BF109" s="10">
        <f t="shared" si="33"/>
        <v>8.375</v>
      </c>
      <c r="BG109" s="10">
        <f t="shared" si="35"/>
        <v>8.1999999999999993</v>
      </c>
      <c r="BH109" s="10">
        <f t="shared" si="34"/>
        <v>17</v>
      </c>
      <c r="BI109" s="10">
        <f t="shared" si="29"/>
        <v>-0.2</v>
      </c>
      <c r="BJ109" s="11">
        <f t="shared" si="30"/>
        <v>17.2</v>
      </c>
    </row>
    <row r="110" spans="1:62" x14ac:dyDescent="0.2">
      <c r="A110" s="47" t="s">
        <v>394</v>
      </c>
      <c r="C110" s="286">
        <f t="shared" si="27"/>
        <v>23.9</v>
      </c>
      <c r="D110" s="282">
        <f t="shared" si="36"/>
        <v>23.9</v>
      </c>
      <c r="E110" s="282">
        <f t="shared" si="37"/>
        <v>1</v>
      </c>
      <c r="K110" s="27">
        <f t="shared" si="28"/>
        <v>23.9</v>
      </c>
      <c r="L110" s="27" t="str">
        <f t="shared" si="26"/>
        <v xml:space="preserve"> </v>
      </c>
      <c r="M110" s="323"/>
      <c r="V110" s="125"/>
      <c r="W110" s="85"/>
      <c r="X110" s="80"/>
      <c r="Y110" s="80"/>
      <c r="Z110" s="80">
        <f t="shared" si="22"/>
        <v>23.9</v>
      </c>
      <c r="AA110" s="50">
        <f t="shared" si="38"/>
        <v>23899999976.099998</v>
      </c>
      <c r="AB110" s="50">
        <f t="shared" si="38"/>
        <v>999999999</v>
      </c>
      <c r="AC110" s="83"/>
      <c r="AD110" s="80"/>
      <c r="AE110" s="80"/>
      <c r="AF110" s="80"/>
      <c r="AG110" s="80"/>
      <c r="AH110" s="80" t="str">
        <f t="shared" si="23"/>
        <v xml:space="preserve"> </v>
      </c>
      <c r="AI110" s="50">
        <f t="shared" si="39"/>
        <v>0</v>
      </c>
      <c r="AJ110" s="50">
        <f t="shared" si="39"/>
        <v>0</v>
      </c>
      <c r="AQ110">
        <v>12</v>
      </c>
      <c r="AS110" s="44"/>
      <c r="AT110" s="5"/>
      <c r="AU110" s="5"/>
      <c r="AV110" s="5"/>
      <c r="AW110" s="5"/>
      <c r="AX110" s="5"/>
      <c r="AY110" s="5"/>
      <c r="AZ110" s="5"/>
      <c r="BA110" s="5"/>
      <c r="BB110" s="5"/>
      <c r="BC110" s="5"/>
      <c r="BD110" s="5"/>
      <c r="BE110" s="5"/>
      <c r="BF110" s="10"/>
      <c r="BG110" s="10"/>
      <c r="BH110" s="10"/>
      <c r="BI110" s="10"/>
      <c r="BJ110" s="11"/>
    </row>
    <row r="111" spans="1:62" x14ac:dyDescent="0.2">
      <c r="A111" s="47" t="s">
        <v>170</v>
      </c>
      <c r="C111" s="286">
        <f t="shared" si="27"/>
        <v>65</v>
      </c>
      <c r="D111" s="282">
        <f t="shared" si="36"/>
        <v>65</v>
      </c>
      <c r="E111" s="282">
        <f t="shared" si="37"/>
        <v>1</v>
      </c>
      <c r="K111" s="27">
        <f t="shared" si="28"/>
        <v>65</v>
      </c>
      <c r="L111" s="27" t="str">
        <f t="shared" si="26"/>
        <v xml:space="preserve"> </v>
      </c>
      <c r="M111" s="323"/>
      <c r="V111" s="125"/>
      <c r="W111" s="85"/>
      <c r="X111" s="80"/>
      <c r="Y111" s="80"/>
      <c r="Z111" s="80">
        <f t="shared" si="22"/>
        <v>65</v>
      </c>
      <c r="AA111" s="50">
        <f t="shared" si="38"/>
        <v>26000</v>
      </c>
      <c r="AB111" s="50">
        <f t="shared" si="38"/>
        <v>400</v>
      </c>
      <c r="AC111" s="83"/>
      <c r="AD111" s="80"/>
      <c r="AE111" s="80"/>
      <c r="AF111" s="80"/>
      <c r="AG111" s="80"/>
      <c r="AH111" s="80" t="str">
        <f t="shared" si="23"/>
        <v xml:space="preserve"> </v>
      </c>
      <c r="AI111" s="50">
        <f t="shared" si="39"/>
        <v>0</v>
      </c>
      <c r="AJ111" s="50">
        <f t="shared" si="39"/>
        <v>0</v>
      </c>
      <c r="AQ111">
        <v>10</v>
      </c>
      <c r="AS111" s="44"/>
      <c r="AT111" s="5">
        <v>25.96</v>
      </c>
      <c r="AU111" s="5">
        <v>25.95</v>
      </c>
      <c r="AV111" s="5">
        <v>25.72</v>
      </c>
      <c r="AW111" s="5">
        <v>25.04</v>
      </c>
      <c r="AX111" s="5">
        <v>23.42</v>
      </c>
      <c r="AY111" s="5">
        <v>21.71</v>
      </c>
      <c r="AZ111" s="5">
        <v>21.25</v>
      </c>
      <c r="BA111" s="5">
        <v>21.6</v>
      </c>
      <c r="BB111" s="5">
        <v>22.58</v>
      </c>
      <c r="BC111" s="5">
        <v>23.95</v>
      </c>
      <c r="BD111" s="5">
        <v>25.05</v>
      </c>
      <c r="BE111" s="5">
        <v>25.68</v>
      </c>
      <c r="BF111" s="10">
        <f t="shared" si="33"/>
        <v>23.992499999999996</v>
      </c>
      <c r="BG111" s="10">
        <f t="shared" si="35"/>
        <v>24.494999999999997</v>
      </c>
      <c r="BH111" s="10">
        <f t="shared" si="34"/>
        <v>25.96</v>
      </c>
      <c r="BI111" s="10">
        <f t="shared" si="29"/>
        <v>21.25</v>
      </c>
      <c r="BJ111" s="11">
        <f t="shared" si="30"/>
        <v>4.7100000000000009</v>
      </c>
    </row>
    <row r="112" spans="1:62" x14ac:dyDescent="0.2">
      <c r="A112" s="47" t="s">
        <v>171</v>
      </c>
      <c r="C112" s="286">
        <f t="shared" si="27"/>
        <v>25.227500000000003</v>
      </c>
      <c r="D112" s="282">
        <f t="shared" si="36"/>
        <v>100.91000000000001</v>
      </c>
      <c r="E112" s="282">
        <f t="shared" si="37"/>
        <v>4</v>
      </c>
      <c r="K112" s="27">
        <f t="shared" si="28"/>
        <v>22.931756803505536</v>
      </c>
      <c r="L112" s="27">
        <f t="shared" si="26"/>
        <v>13.259018390351985</v>
      </c>
      <c r="M112" s="323"/>
      <c r="V112" s="125"/>
      <c r="W112" s="85"/>
      <c r="X112" s="80"/>
      <c r="Y112" s="80"/>
      <c r="Z112" s="80">
        <f t="shared" si="22"/>
        <v>22.931756803505536</v>
      </c>
      <c r="AA112" s="50">
        <f t="shared" si="38"/>
        <v>795456.78</v>
      </c>
      <c r="AB112" s="50">
        <f t="shared" si="38"/>
        <v>34688</v>
      </c>
      <c r="AC112" s="83"/>
      <c r="AD112" s="80"/>
      <c r="AE112" s="80"/>
      <c r="AF112" s="80"/>
      <c r="AG112" s="80"/>
      <c r="AH112" s="80">
        <f t="shared" si="23"/>
        <v>13.259018390351985</v>
      </c>
      <c r="AI112" s="50">
        <f t="shared" si="39"/>
        <v>435227.27866330388</v>
      </c>
      <c r="AJ112" s="50">
        <f t="shared" si="39"/>
        <v>32825</v>
      </c>
      <c r="AQ112">
        <v>9</v>
      </c>
      <c r="AS112" s="44"/>
      <c r="AT112" s="5">
        <v>22.666666666666668</v>
      </c>
      <c r="AU112" s="5">
        <v>22.633333333333336</v>
      </c>
      <c r="AV112" s="5">
        <v>22.133333333333336</v>
      </c>
      <c r="AW112" s="5">
        <v>21.166666666666668</v>
      </c>
      <c r="AX112" s="5">
        <v>19.100000000000001</v>
      </c>
      <c r="AY112" s="5">
        <v>17.2</v>
      </c>
      <c r="AZ112" s="5">
        <v>16.866666666666667</v>
      </c>
      <c r="BA112" s="5">
        <v>18.466666666666665</v>
      </c>
      <c r="BB112" s="5">
        <v>21.266666666666669</v>
      </c>
      <c r="BC112" s="5">
        <v>23.8</v>
      </c>
      <c r="BD112" s="5">
        <v>24.233333333333334</v>
      </c>
      <c r="BE112" s="5">
        <v>23.166666666666668</v>
      </c>
      <c r="BF112" s="10">
        <f t="shared" si="33"/>
        <v>21.058333333333334</v>
      </c>
      <c r="BG112" s="10">
        <f t="shared" si="35"/>
        <v>21.700000000000003</v>
      </c>
      <c r="BH112" s="10">
        <f t="shared" si="34"/>
        <v>24.233333333333334</v>
      </c>
      <c r="BI112" s="10">
        <f t="shared" si="29"/>
        <v>16.866666666666667</v>
      </c>
      <c r="BJ112" s="11">
        <f t="shared" si="30"/>
        <v>7.3666666666666671</v>
      </c>
    </row>
    <row r="113" spans="1:62" x14ac:dyDescent="0.2">
      <c r="A113" s="47" t="s">
        <v>172</v>
      </c>
      <c r="C113" s="286">
        <f t="shared" si="27"/>
        <v>39</v>
      </c>
      <c r="D113" s="282">
        <f t="shared" si="36"/>
        <v>39</v>
      </c>
      <c r="E113" s="282">
        <f t="shared" si="37"/>
        <v>1</v>
      </c>
      <c r="H113" t="s">
        <v>503</v>
      </c>
      <c r="K113" s="27">
        <f t="shared" si="28"/>
        <v>39</v>
      </c>
      <c r="L113" s="27" t="str">
        <f t="shared" si="26"/>
        <v xml:space="preserve"> </v>
      </c>
      <c r="M113" s="323"/>
      <c r="V113" s="125"/>
      <c r="W113" s="85"/>
      <c r="X113" s="80"/>
      <c r="Y113" s="80"/>
      <c r="Z113" s="80">
        <f t="shared" si="22"/>
        <v>39</v>
      </c>
      <c r="AA113" s="50">
        <f t="shared" si="38"/>
        <v>27807</v>
      </c>
      <c r="AB113" s="50">
        <f t="shared" si="38"/>
        <v>713</v>
      </c>
      <c r="AC113" s="83"/>
      <c r="AD113" s="80"/>
      <c r="AE113" s="80"/>
      <c r="AF113" s="80"/>
      <c r="AG113" s="80"/>
      <c r="AH113" s="80" t="str">
        <f t="shared" si="23"/>
        <v xml:space="preserve"> </v>
      </c>
      <c r="AI113" s="50">
        <f t="shared" si="39"/>
        <v>0</v>
      </c>
      <c r="AJ113" s="50">
        <f t="shared" si="39"/>
        <v>0</v>
      </c>
      <c r="AQ113">
        <v>13</v>
      </c>
      <c r="AS113" s="44"/>
      <c r="AT113" s="5">
        <v>25.193750000000001</v>
      </c>
      <c r="AU113" s="5">
        <v>25.59375</v>
      </c>
      <c r="AV113" s="5">
        <v>26.0625</v>
      </c>
      <c r="AW113" s="5">
        <v>26.462499999999999</v>
      </c>
      <c r="AX113" s="5">
        <v>26.643750000000001</v>
      </c>
      <c r="AY113" s="5">
        <v>26.337499999999999</v>
      </c>
      <c r="AZ113" s="5">
        <v>25.987500000000001</v>
      </c>
      <c r="BA113" s="5">
        <v>25.887499999999999</v>
      </c>
      <c r="BB113" s="5">
        <v>25.793749999999999</v>
      </c>
      <c r="BC113" s="5">
        <v>25.587499999999999</v>
      </c>
      <c r="BD113" s="5">
        <v>25.431249999999999</v>
      </c>
      <c r="BE113" s="5">
        <v>25.225000000000001</v>
      </c>
      <c r="BF113" s="10">
        <f t="shared" si="33"/>
        <v>25.850520833333334</v>
      </c>
      <c r="BG113" s="10">
        <f t="shared" si="35"/>
        <v>25.840624999999999</v>
      </c>
      <c r="BH113" s="10">
        <f t="shared" si="34"/>
        <v>26.643750000000001</v>
      </c>
      <c r="BI113" s="10">
        <f t="shared" si="29"/>
        <v>25.193750000000001</v>
      </c>
      <c r="BJ113" s="11">
        <f t="shared" si="30"/>
        <v>1.4499999999999993</v>
      </c>
    </row>
    <row r="114" spans="1:62" x14ac:dyDescent="0.2">
      <c r="A114" s="47" t="s">
        <v>174</v>
      </c>
      <c r="C114" s="286">
        <f t="shared" si="27"/>
        <v>2.1</v>
      </c>
      <c r="D114" s="282">
        <f t="shared" si="36"/>
        <v>2.1</v>
      </c>
      <c r="E114" s="282">
        <f t="shared" si="37"/>
        <v>1</v>
      </c>
      <c r="H114" t="s">
        <v>503</v>
      </c>
      <c r="K114" s="27">
        <f t="shared" si="28"/>
        <v>2.1</v>
      </c>
      <c r="L114" s="27" t="str">
        <f t="shared" si="26"/>
        <v xml:space="preserve"> </v>
      </c>
      <c r="M114" s="323"/>
      <c r="V114" s="125"/>
      <c r="W114" s="85"/>
      <c r="X114" s="80"/>
      <c r="Y114" s="80"/>
      <c r="Z114" s="80">
        <f t="shared" si="22"/>
        <v>2.1</v>
      </c>
      <c r="AA114" s="50">
        <f t="shared" si="38"/>
        <v>30624.300000000003</v>
      </c>
      <c r="AB114" s="50">
        <f t="shared" si="38"/>
        <v>14583</v>
      </c>
      <c r="AC114" s="83"/>
      <c r="AD114" s="80"/>
      <c r="AE114" s="80"/>
      <c r="AF114" s="80"/>
      <c r="AG114" s="80"/>
      <c r="AH114" s="80" t="str">
        <f t="shared" si="23"/>
        <v xml:space="preserve"> </v>
      </c>
      <c r="AI114" s="50">
        <f t="shared" si="39"/>
        <v>0</v>
      </c>
      <c r="AJ114" s="50">
        <f t="shared" si="39"/>
        <v>0</v>
      </c>
      <c r="AQ114">
        <v>7</v>
      </c>
      <c r="AS114" s="44"/>
      <c r="AT114" s="5">
        <v>23.264285714285716</v>
      </c>
      <c r="AU114" s="5">
        <v>26.014285714285709</v>
      </c>
      <c r="AV114" s="5">
        <v>29.078571428571426</v>
      </c>
      <c r="AW114" s="5">
        <v>31.828571428571429</v>
      </c>
      <c r="AX114" s="5">
        <v>33.078571428571429</v>
      </c>
      <c r="AY114" s="5">
        <v>31.85</v>
      </c>
      <c r="AZ114" s="5">
        <v>29.642857142857135</v>
      </c>
      <c r="BA114" s="5">
        <v>28.335714285714282</v>
      </c>
      <c r="BB114" s="5">
        <v>28.857142857142854</v>
      </c>
      <c r="BC114" s="5">
        <v>29.335714285714289</v>
      </c>
      <c r="BD114" s="5">
        <v>26.74285714285714</v>
      </c>
      <c r="BE114" s="5">
        <v>23.542857142857148</v>
      </c>
      <c r="BF114" s="10">
        <f t="shared" si="33"/>
        <v>28.464285714285712</v>
      </c>
      <c r="BG114" s="10">
        <f t="shared" si="35"/>
        <v>28.967857142857142</v>
      </c>
      <c r="BH114" s="10">
        <f t="shared" si="34"/>
        <v>33.078571428571429</v>
      </c>
      <c r="BI114" s="10">
        <f t="shared" si="29"/>
        <v>23.264285714285716</v>
      </c>
      <c r="BJ114" s="11">
        <f t="shared" si="30"/>
        <v>9.8142857142857132</v>
      </c>
    </row>
    <row r="115" spans="1:62" x14ac:dyDescent="0.2">
      <c r="A115" s="47" t="s">
        <v>175</v>
      </c>
      <c r="C115" s="286"/>
      <c r="D115" s="282">
        <f t="shared" si="36"/>
        <v>0</v>
      </c>
      <c r="E115" s="282">
        <f t="shared" si="37"/>
        <v>0</v>
      </c>
      <c r="H115" t="s">
        <v>503</v>
      </c>
      <c r="K115" s="27" t="str">
        <f t="shared" si="28"/>
        <v xml:space="preserve"> </v>
      </c>
      <c r="L115" s="27" t="str">
        <f t="shared" si="26"/>
        <v xml:space="preserve"> </v>
      </c>
      <c r="M115" s="323"/>
      <c r="V115" s="125"/>
      <c r="W115" s="85"/>
      <c r="X115" s="80"/>
      <c r="Y115" s="80"/>
      <c r="Z115" s="80" t="str">
        <f t="shared" si="22"/>
        <v xml:space="preserve"> </v>
      </c>
      <c r="AA115" s="50">
        <f t="shared" si="38"/>
        <v>0</v>
      </c>
      <c r="AB115" s="50">
        <f t="shared" si="38"/>
        <v>0</v>
      </c>
      <c r="AC115" s="83"/>
      <c r="AD115" s="80"/>
      <c r="AE115" s="80"/>
      <c r="AF115" s="80"/>
      <c r="AG115" s="80"/>
      <c r="AH115" s="80" t="str">
        <f t="shared" si="23"/>
        <v xml:space="preserve"> </v>
      </c>
      <c r="AI115" s="50">
        <f t="shared" si="39"/>
        <v>0</v>
      </c>
      <c r="AJ115" s="50">
        <f t="shared" si="39"/>
        <v>0</v>
      </c>
      <c r="AS115" s="44"/>
      <c r="AT115" s="5">
        <v>12.1</v>
      </c>
      <c r="AU115" s="5">
        <v>12.2</v>
      </c>
      <c r="AV115" s="5">
        <v>13.5</v>
      </c>
      <c r="AW115" s="5">
        <v>15.6</v>
      </c>
      <c r="AX115" s="5">
        <v>18.899999999999999</v>
      </c>
      <c r="AY115" s="5">
        <v>22.8</v>
      </c>
      <c r="AZ115" s="5">
        <v>25.8</v>
      </c>
      <c r="BA115" s="5">
        <v>26.3</v>
      </c>
      <c r="BB115" s="5">
        <v>24.2</v>
      </c>
      <c r="BC115" s="5">
        <v>21</v>
      </c>
      <c r="BD115" s="5">
        <v>17.100000000000001</v>
      </c>
      <c r="BE115" s="5">
        <v>13.8</v>
      </c>
      <c r="BF115" s="10">
        <f t="shared" si="33"/>
        <v>18.608333333333331</v>
      </c>
      <c r="BG115" s="10">
        <f t="shared" si="35"/>
        <v>18</v>
      </c>
      <c r="BH115" s="10">
        <f t="shared" si="34"/>
        <v>26.3</v>
      </c>
      <c r="BI115" s="10">
        <f t="shared" si="29"/>
        <v>12.1</v>
      </c>
      <c r="BJ115" s="11">
        <f t="shared" si="30"/>
        <v>14.200000000000001</v>
      </c>
    </row>
    <row r="116" spans="1:62" x14ac:dyDescent="0.2">
      <c r="A116" s="47" t="s">
        <v>395</v>
      </c>
      <c r="C116" s="286"/>
      <c r="D116" s="282">
        <f t="shared" si="36"/>
        <v>0</v>
      </c>
      <c r="E116" s="282">
        <f t="shared" si="37"/>
        <v>0</v>
      </c>
      <c r="K116" s="27" t="str">
        <f t="shared" si="28"/>
        <v xml:space="preserve"> </v>
      </c>
      <c r="L116" s="27" t="str">
        <f t="shared" si="26"/>
        <v xml:space="preserve"> </v>
      </c>
      <c r="M116" s="323"/>
      <c r="V116" s="125"/>
      <c r="W116" s="85"/>
      <c r="X116" s="80"/>
      <c r="Y116" s="80"/>
      <c r="Z116" s="80" t="str">
        <f t="shared" si="22"/>
        <v xml:space="preserve"> </v>
      </c>
      <c r="AA116" s="50">
        <f t="shared" si="38"/>
        <v>0</v>
      </c>
      <c r="AB116" s="50">
        <f t="shared" si="38"/>
        <v>0</v>
      </c>
      <c r="AC116" s="83"/>
      <c r="AD116" s="80"/>
      <c r="AE116" s="80"/>
      <c r="AF116" s="80"/>
      <c r="AG116" s="80"/>
      <c r="AH116" s="80" t="str">
        <f t="shared" si="23"/>
        <v xml:space="preserve"> </v>
      </c>
      <c r="AI116" s="50">
        <f t="shared" si="39"/>
        <v>0</v>
      </c>
      <c r="AJ116" s="50">
        <f t="shared" si="39"/>
        <v>0</v>
      </c>
      <c r="AS116" s="44"/>
      <c r="AT116" s="5"/>
      <c r="AU116" s="5"/>
      <c r="AV116" s="5"/>
      <c r="AW116" s="5"/>
      <c r="AX116" s="5"/>
      <c r="AY116" s="5"/>
      <c r="AZ116" s="5"/>
      <c r="BA116" s="5"/>
      <c r="BB116" s="5"/>
      <c r="BC116" s="5"/>
      <c r="BD116" s="5"/>
      <c r="BE116" s="5"/>
      <c r="BF116" s="10"/>
      <c r="BG116" s="10"/>
      <c r="BH116" s="10"/>
      <c r="BI116" s="10"/>
      <c r="BJ116" s="11"/>
    </row>
    <row r="117" spans="1:62" x14ac:dyDescent="0.2">
      <c r="A117" s="47" t="s">
        <v>176</v>
      </c>
      <c r="C117" s="286"/>
      <c r="D117" s="282">
        <f t="shared" si="36"/>
        <v>0</v>
      </c>
      <c r="E117" s="282">
        <f t="shared" si="37"/>
        <v>0</v>
      </c>
      <c r="K117" s="27" t="str">
        <f t="shared" si="28"/>
        <v xml:space="preserve"> </v>
      </c>
      <c r="L117" s="27" t="str">
        <f t="shared" si="26"/>
        <v xml:space="preserve"> </v>
      </c>
      <c r="M117" s="323"/>
      <c r="V117" s="125"/>
      <c r="W117" s="85"/>
      <c r="X117" s="80"/>
      <c r="Y117" s="80"/>
      <c r="Z117" s="80" t="str">
        <f t="shared" si="22"/>
        <v xml:space="preserve"> </v>
      </c>
      <c r="AA117" s="50">
        <f t="shared" si="38"/>
        <v>0</v>
      </c>
      <c r="AB117" s="50">
        <f t="shared" si="38"/>
        <v>0</v>
      </c>
      <c r="AC117" s="83"/>
      <c r="AD117" s="80"/>
      <c r="AE117" s="80"/>
      <c r="AF117" s="80"/>
      <c r="AG117" s="80"/>
      <c r="AH117" s="80" t="str">
        <f t="shared" si="23"/>
        <v xml:space="preserve"> </v>
      </c>
      <c r="AI117" s="50">
        <f t="shared" si="39"/>
        <v>0</v>
      </c>
      <c r="AJ117" s="50">
        <f t="shared" si="39"/>
        <v>0</v>
      </c>
      <c r="AQ117">
        <v>8</v>
      </c>
      <c r="AS117" s="44"/>
      <c r="AT117" s="5">
        <v>15.4</v>
      </c>
      <c r="AU117" s="5">
        <v>17.600000000000001</v>
      </c>
      <c r="AV117" s="5">
        <v>20.9</v>
      </c>
      <c r="AW117" s="5">
        <v>23</v>
      </c>
      <c r="AX117" s="5">
        <v>23.3</v>
      </c>
      <c r="AY117" s="5">
        <v>27.2</v>
      </c>
      <c r="AZ117" s="5">
        <v>31.8</v>
      </c>
      <c r="BA117" s="5">
        <v>31.9</v>
      </c>
      <c r="BB117" s="5">
        <v>29.7</v>
      </c>
      <c r="BC117" s="5">
        <v>25.9</v>
      </c>
      <c r="BD117" s="5">
        <v>21.6</v>
      </c>
      <c r="BE117" s="5">
        <v>16.600000000000001</v>
      </c>
      <c r="BF117" s="10">
        <f t="shared" si="33"/>
        <v>23.741666666666671</v>
      </c>
      <c r="BG117" s="10">
        <f t="shared" si="35"/>
        <v>23.15</v>
      </c>
      <c r="BH117" s="10">
        <f t="shared" si="34"/>
        <v>31.9</v>
      </c>
      <c r="BI117" s="10">
        <f t="shared" si="29"/>
        <v>15.4</v>
      </c>
      <c r="BJ117" s="11">
        <f t="shared" si="30"/>
        <v>16.5</v>
      </c>
    </row>
    <row r="118" spans="1:62" x14ac:dyDescent="0.2">
      <c r="A118" s="47" t="s">
        <v>177</v>
      </c>
      <c r="C118" s="286"/>
      <c r="D118" s="282">
        <f t="shared" si="36"/>
        <v>0</v>
      </c>
      <c r="E118" s="282">
        <f t="shared" si="37"/>
        <v>0</v>
      </c>
      <c r="K118" s="27" t="str">
        <f t="shared" si="28"/>
        <v xml:space="preserve"> </v>
      </c>
      <c r="L118" s="27" t="str">
        <f t="shared" si="26"/>
        <v xml:space="preserve"> </v>
      </c>
      <c r="M118" s="323"/>
      <c r="V118" s="125"/>
      <c r="W118" s="85"/>
      <c r="X118" s="80"/>
      <c r="Y118" s="80"/>
      <c r="Z118" s="80" t="str">
        <f t="shared" si="22"/>
        <v xml:space="preserve"> </v>
      </c>
      <c r="AA118" s="50">
        <f t="shared" si="38"/>
        <v>0</v>
      </c>
      <c r="AB118" s="50">
        <f t="shared" si="38"/>
        <v>0</v>
      </c>
      <c r="AC118" s="83"/>
      <c r="AD118" s="80"/>
      <c r="AE118" s="80"/>
      <c r="AF118" s="80"/>
      <c r="AG118" s="80"/>
      <c r="AH118" s="80" t="str">
        <f t="shared" si="23"/>
        <v xml:space="preserve"> </v>
      </c>
      <c r="AI118" s="50">
        <f t="shared" si="39"/>
        <v>0</v>
      </c>
      <c r="AJ118" s="50">
        <f t="shared" si="39"/>
        <v>0</v>
      </c>
      <c r="AQ118">
        <v>14</v>
      </c>
      <c r="AS118" s="44"/>
      <c r="AT118" s="5">
        <v>26.890909090909087</v>
      </c>
      <c r="AU118" s="5">
        <v>26.963636363636361</v>
      </c>
      <c r="AV118" s="5">
        <v>26.845454545454547</v>
      </c>
      <c r="AW118" s="5">
        <v>26.109090909090909</v>
      </c>
      <c r="AX118" s="5">
        <v>24.8</v>
      </c>
      <c r="AY118" s="5">
        <v>23.381818181818179</v>
      </c>
      <c r="AZ118" s="5">
        <v>22.63636363636364</v>
      </c>
      <c r="BA118" s="5">
        <v>22.472727272727273</v>
      </c>
      <c r="BB118" s="5">
        <v>23.027272727272727</v>
      </c>
      <c r="BC118" s="5">
        <v>23.945454545454542</v>
      </c>
      <c r="BD118" s="5">
        <v>25.172727272727272</v>
      </c>
      <c r="BE118" s="5">
        <v>26.33636363636364</v>
      </c>
      <c r="BF118" s="10">
        <f t="shared" si="33"/>
        <v>24.881818181818179</v>
      </c>
      <c r="BG118" s="10">
        <f t="shared" si="35"/>
        <v>24.986363636363635</v>
      </c>
      <c r="BH118" s="10">
        <f t="shared" si="34"/>
        <v>26.963636363636361</v>
      </c>
      <c r="BI118" s="10">
        <f t="shared" si="29"/>
        <v>22.472727272727273</v>
      </c>
      <c r="BJ118" s="11">
        <f t="shared" si="30"/>
        <v>4.4909090909090885</v>
      </c>
    </row>
    <row r="119" spans="1:62" x14ac:dyDescent="0.2">
      <c r="A119" s="47" t="s">
        <v>50</v>
      </c>
      <c r="C119" s="286">
        <f t="shared" si="27"/>
        <v>21.857142857142858</v>
      </c>
      <c r="D119" s="282">
        <f t="shared" si="36"/>
        <v>153</v>
      </c>
      <c r="E119" s="282">
        <f t="shared" si="37"/>
        <v>7</v>
      </c>
      <c r="K119" s="27">
        <f t="shared" si="28"/>
        <v>20.997937278224246</v>
      </c>
      <c r="L119" s="27">
        <f t="shared" si="26"/>
        <v>9.7752889971285395</v>
      </c>
      <c r="M119" s="323"/>
      <c r="V119" s="125"/>
      <c r="W119" s="85"/>
      <c r="X119" s="80"/>
      <c r="Y119" s="80"/>
      <c r="Z119" s="80">
        <f t="shared" si="22"/>
        <v>20.997937278224246</v>
      </c>
      <c r="AA119" s="50">
        <f t="shared" si="38"/>
        <v>1899536.4</v>
      </c>
      <c r="AB119" s="50">
        <f t="shared" si="38"/>
        <v>90463</v>
      </c>
      <c r="AC119" s="83"/>
      <c r="AD119" s="80"/>
      <c r="AE119" s="80"/>
      <c r="AF119" s="80"/>
      <c r="AG119" s="80"/>
      <c r="AH119" s="80">
        <f t="shared" si="23"/>
        <v>9.7752889971285395</v>
      </c>
      <c r="AI119" s="50">
        <f t="shared" si="39"/>
        <v>1188098.3999999999</v>
      </c>
      <c r="AJ119" s="50">
        <f t="shared" si="39"/>
        <v>121541</v>
      </c>
      <c r="AQ119">
        <v>14</v>
      </c>
      <c r="AS119" s="44"/>
      <c r="AT119" s="5">
        <v>17.55806451612904</v>
      </c>
      <c r="AU119" s="5">
        <v>18.651612903225804</v>
      </c>
      <c r="AV119" s="5">
        <v>20.751612903225809</v>
      </c>
      <c r="AW119" s="5">
        <v>22.987096774193549</v>
      </c>
      <c r="AX119" s="5">
        <v>24.416129032258063</v>
      </c>
      <c r="AY119" s="5">
        <v>24.909677419354843</v>
      </c>
      <c r="AZ119" s="5">
        <v>24.712903225806457</v>
      </c>
      <c r="BA119" s="5">
        <v>24.70967741935484</v>
      </c>
      <c r="BB119" s="5">
        <v>23.887096774193544</v>
      </c>
      <c r="BC119" s="5">
        <v>22.312903225806448</v>
      </c>
      <c r="BD119" s="5">
        <v>19.935483870967747</v>
      </c>
      <c r="BE119" s="5">
        <v>18.122580645161285</v>
      </c>
      <c r="BF119" s="10">
        <f t="shared" si="33"/>
        <v>21.912903225806449</v>
      </c>
      <c r="BG119" s="10">
        <f t="shared" si="35"/>
        <v>22.65</v>
      </c>
      <c r="BH119" s="10">
        <f t="shared" si="34"/>
        <v>24.909677419354843</v>
      </c>
      <c r="BI119" s="10">
        <f t="shared" si="29"/>
        <v>17.55806451612904</v>
      </c>
      <c r="BJ119" s="11">
        <f t="shared" si="30"/>
        <v>7.3516129032258029</v>
      </c>
    </row>
    <row r="120" spans="1:62" x14ac:dyDescent="0.2">
      <c r="A120" s="47" t="s">
        <v>396</v>
      </c>
      <c r="B120" t="s">
        <v>220</v>
      </c>
      <c r="C120" s="286">
        <f t="shared" si="27"/>
        <v>19.344999999999999</v>
      </c>
      <c r="D120" s="282">
        <f t="shared" si="36"/>
        <v>38.69</v>
      </c>
      <c r="E120" s="282">
        <f t="shared" si="37"/>
        <v>2</v>
      </c>
      <c r="H120" t="s">
        <v>503</v>
      </c>
      <c r="K120" s="27">
        <f t="shared" si="28"/>
        <v>20.286475878986099</v>
      </c>
      <c r="L120" s="27">
        <f t="shared" si="26"/>
        <v>11.418871627146361</v>
      </c>
      <c r="M120" s="323"/>
      <c r="V120" s="125"/>
      <c r="W120" s="85"/>
      <c r="X120" s="80"/>
      <c r="Y120" s="80"/>
      <c r="Z120" s="80">
        <f t="shared" si="22"/>
        <v>20.286475878986099</v>
      </c>
      <c r="AA120" s="50">
        <f t="shared" si="38"/>
        <v>248103.6</v>
      </c>
      <c r="AB120" s="50">
        <f t="shared" si="38"/>
        <v>12230</v>
      </c>
      <c r="AC120" s="83"/>
      <c r="AD120" s="80"/>
      <c r="AE120" s="80"/>
      <c r="AF120" s="80"/>
      <c r="AG120" s="80"/>
      <c r="AH120" s="80">
        <f t="shared" si="23"/>
        <v>11.418871627146361</v>
      </c>
      <c r="AI120" s="50">
        <f t="shared" si="39"/>
        <v>139652.79999999999</v>
      </c>
      <c r="AJ120" s="50">
        <f t="shared" si="39"/>
        <v>12230</v>
      </c>
      <c r="AS120" s="45"/>
      <c r="AT120" s="5">
        <v>-2.6</v>
      </c>
      <c r="AU120" s="5">
        <v>-1.8</v>
      </c>
      <c r="AV120" s="5">
        <v>2.2000000000000002</v>
      </c>
      <c r="AW120" s="5">
        <v>8.8000000000000007</v>
      </c>
      <c r="AX120" s="5">
        <v>15.5</v>
      </c>
      <c r="AY120" s="5">
        <v>19.8</v>
      </c>
      <c r="AZ120" s="5">
        <v>22.4</v>
      </c>
      <c r="BA120" s="5">
        <v>21.5</v>
      </c>
      <c r="BB120" s="5">
        <v>16.600000000000001</v>
      </c>
      <c r="BC120" s="5">
        <v>11</v>
      </c>
      <c r="BD120" s="5">
        <v>5.0999999999999996</v>
      </c>
      <c r="BE120" s="5">
        <v>0.2</v>
      </c>
      <c r="BF120" s="10">
        <f t="shared" si="33"/>
        <v>9.8916666666666675</v>
      </c>
      <c r="BG120" s="10">
        <f t="shared" si="35"/>
        <v>9.9</v>
      </c>
      <c r="BH120" s="10">
        <f t="shared" si="34"/>
        <v>22.4</v>
      </c>
      <c r="BI120" s="10">
        <f t="shared" si="29"/>
        <v>-2.6</v>
      </c>
      <c r="BJ120" s="11">
        <f t="shared" si="30"/>
        <v>25</v>
      </c>
    </row>
    <row r="121" spans="1:62" x14ac:dyDescent="0.2">
      <c r="A121" s="47" t="s">
        <v>178</v>
      </c>
      <c r="C121" s="286"/>
      <c r="D121" s="282">
        <f t="shared" si="36"/>
        <v>0</v>
      </c>
      <c r="E121" s="282">
        <f t="shared" si="37"/>
        <v>0</v>
      </c>
      <c r="H121" t="s">
        <v>503</v>
      </c>
      <c r="K121" s="27" t="str">
        <f t="shared" si="28"/>
        <v xml:space="preserve"> </v>
      </c>
      <c r="L121" s="27" t="str">
        <f t="shared" si="26"/>
        <v xml:space="preserve"> </v>
      </c>
      <c r="M121" s="323"/>
      <c r="V121" s="125"/>
      <c r="W121" s="85"/>
      <c r="X121" s="80"/>
      <c r="Y121" s="80"/>
      <c r="Z121" s="80" t="str">
        <f t="shared" si="22"/>
        <v xml:space="preserve"> </v>
      </c>
      <c r="AA121" s="50">
        <f t="shared" si="38"/>
        <v>0</v>
      </c>
      <c r="AB121" s="50">
        <f t="shared" si="38"/>
        <v>0</v>
      </c>
      <c r="AC121" s="83"/>
      <c r="AD121" s="80"/>
      <c r="AE121" s="80"/>
      <c r="AF121" s="80"/>
      <c r="AG121" s="80"/>
      <c r="AH121" s="80" t="str">
        <f t="shared" si="23"/>
        <v xml:space="preserve"> </v>
      </c>
      <c r="AI121" s="50">
        <f t="shared" si="39"/>
        <v>0</v>
      </c>
      <c r="AJ121" s="50">
        <f t="shared" si="39"/>
        <v>0</v>
      </c>
      <c r="AQ121">
        <v>14</v>
      </c>
      <c r="AS121" s="44"/>
      <c r="AT121" s="5">
        <v>-21.792682926829272</v>
      </c>
      <c r="AU121" s="5">
        <v>-18.741463414634147</v>
      </c>
      <c r="AV121" s="5">
        <v>-8.9048780487804873</v>
      </c>
      <c r="AW121" s="5">
        <v>1.6780487804878048</v>
      </c>
      <c r="AX121" s="5">
        <v>10.019512195121953</v>
      </c>
      <c r="AY121" s="5">
        <v>15.990243902439023</v>
      </c>
      <c r="AZ121" s="5">
        <v>17.7</v>
      </c>
      <c r="BA121" s="5">
        <v>15.714634146341465</v>
      </c>
      <c r="BB121" s="5">
        <v>9.0268292682926798</v>
      </c>
      <c r="BC121" s="5">
        <v>0.17560975609756116</v>
      </c>
      <c r="BD121" s="5">
        <v>-10.846341463414632</v>
      </c>
      <c r="BE121" s="5">
        <v>-19.292682926829265</v>
      </c>
      <c r="BF121" s="10">
        <f t="shared" si="33"/>
        <v>-0.77276422764227615</v>
      </c>
      <c r="BG121" s="10">
        <f t="shared" si="35"/>
        <v>0.92682926829268297</v>
      </c>
      <c r="BH121" s="10">
        <f t="shared" si="34"/>
        <v>17.7</v>
      </c>
      <c r="BI121" s="10">
        <f t="shared" si="29"/>
        <v>-21.792682926829272</v>
      </c>
      <c r="BJ121" s="11">
        <f t="shared" si="30"/>
        <v>39.492682926829275</v>
      </c>
    </row>
    <row r="122" spans="1:62" x14ac:dyDescent="0.2">
      <c r="A122" s="47" t="s">
        <v>179</v>
      </c>
      <c r="C122" s="286">
        <f t="shared" si="27"/>
        <v>6.4</v>
      </c>
      <c r="D122" s="282">
        <f t="shared" si="36"/>
        <v>6.4</v>
      </c>
      <c r="E122" s="282">
        <f t="shared" si="37"/>
        <v>1</v>
      </c>
      <c r="H122" t="s">
        <v>503</v>
      </c>
      <c r="K122" s="27">
        <f t="shared" si="28"/>
        <v>6.4</v>
      </c>
      <c r="L122" s="27" t="str">
        <f t="shared" si="26"/>
        <v xml:space="preserve"> </v>
      </c>
      <c r="M122" s="323"/>
      <c r="V122" s="125"/>
      <c r="W122" s="85"/>
      <c r="X122" s="80"/>
      <c r="Y122" s="80"/>
      <c r="Z122" s="80">
        <f t="shared" si="22"/>
        <v>6.4</v>
      </c>
      <c r="AA122" s="50">
        <f t="shared" si="38"/>
        <v>6399999993.6000004</v>
      </c>
      <c r="AB122" s="50">
        <f t="shared" si="38"/>
        <v>999999999</v>
      </c>
      <c r="AC122" s="83"/>
      <c r="AD122" s="80"/>
      <c r="AE122" s="80"/>
      <c r="AF122" s="80"/>
      <c r="AG122" s="80"/>
      <c r="AH122" s="80" t="str">
        <f t="shared" si="23"/>
        <v xml:space="preserve"> </v>
      </c>
      <c r="AI122" s="50">
        <f t="shared" si="39"/>
        <v>0</v>
      </c>
      <c r="AJ122" s="50">
        <f t="shared" si="39"/>
        <v>0</v>
      </c>
      <c r="AQ122">
        <v>9</v>
      </c>
      <c r="AS122" s="44"/>
      <c r="AT122" s="5">
        <v>11.636363636363637</v>
      </c>
      <c r="AU122" s="5">
        <v>12.809090909090907</v>
      </c>
      <c r="AV122" s="5">
        <v>14.7</v>
      </c>
      <c r="AW122" s="5">
        <v>16.427272727272726</v>
      </c>
      <c r="AX122" s="5">
        <v>18.936363636363634</v>
      </c>
      <c r="AY122" s="5">
        <v>21.918181818181822</v>
      </c>
      <c r="AZ122" s="5">
        <v>24.736363636363638</v>
      </c>
      <c r="BA122" s="5">
        <v>24.936363636363637</v>
      </c>
      <c r="BB122" s="5">
        <v>22.854545454545459</v>
      </c>
      <c r="BC122" s="5">
        <v>19.509090909090911</v>
      </c>
      <c r="BD122" s="5">
        <v>15.518181818181823</v>
      </c>
      <c r="BE122" s="5">
        <v>12.354545454545452</v>
      </c>
      <c r="BF122" s="10">
        <f t="shared" si="33"/>
        <v>18.028030303030302</v>
      </c>
      <c r="BG122" s="10">
        <f t="shared" si="35"/>
        <v>17.68181818181818</v>
      </c>
      <c r="BH122" s="10">
        <f t="shared" si="34"/>
        <v>24.936363636363637</v>
      </c>
      <c r="BI122" s="10">
        <f t="shared" si="29"/>
        <v>11.636363636363637</v>
      </c>
      <c r="BJ122" s="11">
        <f t="shared" si="30"/>
        <v>13.3</v>
      </c>
    </row>
    <row r="123" spans="1:62" x14ac:dyDescent="0.2">
      <c r="A123" s="47" t="s">
        <v>180</v>
      </c>
      <c r="C123" s="286">
        <f t="shared" si="27"/>
        <v>36</v>
      </c>
      <c r="D123" s="282">
        <f t="shared" si="36"/>
        <v>36</v>
      </c>
      <c r="E123" s="282">
        <f t="shared" si="37"/>
        <v>1</v>
      </c>
      <c r="K123" s="27">
        <f t="shared" si="28"/>
        <v>36</v>
      </c>
      <c r="L123" s="27">
        <f t="shared" si="26"/>
        <v>12.885735080058224</v>
      </c>
      <c r="M123" s="323"/>
      <c r="V123" s="125"/>
      <c r="W123" s="85"/>
      <c r="X123" s="80"/>
      <c r="Y123" s="80"/>
      <c r="Z123" s="80">
        <f t="shared" si="22"/>
        <v>36</v>
      </c>
      <c r="AA123" s="50">
        <f t="shared" ref="AA123:AB142" si="40">SUMIF($B$213:$B$562,$A123,AA$213:AA$562)</f>
        <v>52956</v>
      </c>
      <c r="AB123" s="50">
        <f t="shared" si="40"/>
        <v>1471</v>
      </c>
      <c r="AC123" s="83"/>
      <c r="AD123" s="80"/>
      <c r="AE123" s="80"/>
      <c r="AF123" s="80"/>
      <c r="AG123" s="80"/>
      <c r="AH123" s="80">
        <f t="shared" si="23"/>
        <v>12.885735080058224</v>
      </c>
      <c r="AI123" s="50">
        <f t="shared" ref="AI123:AJ142" si="41">SUMIF($B$213:$B$562,$A123,AI$213:AI$562)</f>
        <v>37909.832605531294</v>
      </c>
      <c r="AJ123" s="50">
        <f t="shared" si="41"/>
        <v>2942</v>
      </c>
      <c r="AQ123">
        <v>7</v>
      </c>
      <c r="AS123" s="44"/>
      <c r="AT123" s="5">
        <v>26.036363636363639</v>
      </c>
      <c r="AU123" s="5">
        <v>26.027272727272727</v>
      </c>
      <c r="AV123" s="5">
        <v>25.545454545454547</v>
      </c>
      <c r="AW123" s="5">
        <v>24.481818181818184</v>
      </c>
      <c r="AX123" s="5">
        <v>22.481818181818184</v>
      </c>
      <c r="AY123" s="5">
        <v>20.5</v>
      </c>
      <c r="AZ123" s="5">
        <v>20.081818181818182</v>
      </c>
      <c r="BA123" s="5">
        <v>21.154545454545456</v>
      </c>
      <c r="BB123" s="5">
        <v>22.790909090909093</v>
      </c>
      <c r="BC123" s="5">
        <v>24.6</v>
      </c>
      <c r="BD123" s="5">
        <v>25.627272727272725</v>
      </c>
      <c r="BE123" s="5">
        <v>25.963636363636365</v>
      </c>
      <c r="BF123" s="10">
        <f t="shared" si="33"/>
        <v>23.77424242424242</v>
      </c>
      <c r="BG123" s="10">
        <f t="shared" si="35"/>
        <v>24.540909090909093</v>
      </c>
      <c r="BH123" s="10">
        <f t="shared" si="34"/>
        <v>26.036363636363639</v>
      </c>
      <c r="BI123" s="10">
        <f t="shared" si="29"/>
        <v>20.081818181818182</v>
      </c>
      <c r="BJ123" s="11">
        <f t="shared" si="30"/>
        <v>5.9545454545454568</v>
      </c>
    </row>
    <row r="124" spans="1:62" x14ac:dyDescent="0.2">
      <c r="A124" s="47" t="s">
        <v>397</v>
      </c>
      <c r="C124" s="286"/>
      <c r="D124" s="282">
        <f t="shared" si="36"/>
        <v>0</v>
      </c>
      <c r="E124" s="282">
        <f t="shared" si="37"/>
        <v>0</v>
      </c>
      <c r="H124" t="s">
        <v>503</v>
      </c>
      <c r="K124" s="27" t="str">
        <f t="shared" si="28"/>
        <v xml:space="preserve"> </v>
      </c>
      <c r="L124" s="27">
        <f t="shared" si="26"/>
        <v>27</v>
      </c>
      <c r="M124" s="323"/>
      <c r="V124" s="125"/>
      <c r="W124" s="85"/>
      <c r="X124" s="80"/>
      <c r="Y124" s="80"/>
      <c r="Z124" s="80" t="str">
        <f t="shared" si="22"/>
        <v xml:space="preserve"> </v>
      </c>
      <c r="AA124" s="50">
        <f t="shared" si="40"/>
        <v>0</v>
      </c>
      <c r="AB124" s="50">
        <f t="shared" si="40"/>
        <v>0</v>
      </c>
      <c r="AC124" s="83"/>
      <c r="AD124" s="80"/>
      <c r="AE124" s="80"/>
      <c r="AF124" s="80"/>
      <c r="AG124" s="80"/>
      <c r="AH124" s="80">
        <f t="shared" si="23"/>
        <v>27</v>
      </c>
      <c r="AI124" s="50">
        <f t="shared" si="41"/>
        <v>7722</v>
      </c>
      <c r="AJ124" s="50">
        <f t="shared" si="41"/>
        <v>286</v>
      </c>
      <c r="AS124" s="44"/>
      <c r="AT124" s="5">
        <v>23.257142857142856</v>
      </c>
      <c r="AU124" s="5">
        <v>24.671428571428571</v>
      </c>
      <c r="AV124" s="5">
        <v>27.271428571428572</v>
      </c>
      <c r="AW124" s="5">
        <v>28.957142857142856</v>
      </c>
      <c r="AX124" s="5">
        <v>28.6</v>
      </c>
      <c r="AY124" s="5">
        <v>27.442857142857147</v>
      </c>
      <c r="AZ124" s="5">
        <v>27.11428571428571</v>
      </c>
      <c r="BA124" s="5">
        <v>26.885714285714283</v>
      </c>
      <c r="BB124" s="5">
        <v>26.985714285714284</v>
      </c>
      <c r="BC124" s="5">
        <v>26.87142857142857</v>
      </c>
      <c r="BD124" s="5">
        <v>25.62857142857143</v>
      </c>
      <c r="BE124" s="5">
        <v>23.428571428571427</v>
      </c>
      <c r="BF124" s="10">
        <f>AVERAGE(AT124:BE124)</f>
        <v>26.426190476190481</v>
      </c>
      <c r="BG124" s="10">
        <f>MEDIAN(AT124:BE124)</f>
        <v>26.935714285714283</v>
      </c>
      <c r="BH124" s="10">
        <f>MAX(AT124:BE124)</f>
        <v>28.957142857142856</v>
      </c>
      <c r="BI124" s="10"/>
      <c r="BJ124" s="11"/>
    </row>
    <row r="125" spans="1:62" x14ac:dyDescent="0.2">
      <c r="A125" s="47" t="s">
        <v>4</v>
      </c>
      <c r="C125" s="286">
        <f t="shared" si="27"/>
        <v>31</v>
      </c>
      <c r="D125" s="282">
        <f t="shared" si="36"/>
        <v>31</v>
      </c>
      <c r="E125" s="282">
        <f t="shared" si="37"/>
        <v>1</v>
      </c>
      <c r="K125" s="27">
        <f t="shared" si="28"/>
        <v>31</v>
      </c>
      <c r="L125" s="27">
        <f t="shared" si="26"/>
        <v>16.444685300105473</v>
      </c>
      <c r="M125" s="323"/>
      <c r="V125" s="125"/>
      <c r="W125" s="85"/>
      <c r="X125" s="80"/>
      <c r="Y125" s="80"/>
      <c r="Z125" s="80">
        <f t="shared" si="22"/>
        <v>31</v>
      </c>
      <c r="AA125" s="50">
        <f t="shared" si="40"/>
        <v>42377</v>
      </c>
      <c r="AB125" s="50">
        <f t="shared" si="40"/>
        <v>1367</v>
      </c>
      <c r="AC125" s="83"/>
      <c r="AD125" s="80"/>
      <c r="AE125" s="80"/>
      <c r="AF125" s="80"/>
      <c r="AG125" s="80"/>
      <c r="AH125" s="80">
        <f t="shared" si="23"/>
        <v>16.444685300105473</v>
      </c>
      <c r="AI125" s="50">
        <f t="shared" si="41"/>
        <v>46571.348769898701</v>
      </c>
      <c r="AJ125" s="50">
        <f t="shared" si="41"/>
        <v>2832</v>
      </c>
      <c r="AQ125">
        <v>12</v>
      </c>
      <c r="AS125" s="45"/>
      <c r="AT125" s="5">
        <v>23.65</v>
      </c>
      <c r="AU125" s="5">
        <v>22.45</v>
      </c>
      <c r="AV125" s="5">
        <v>21.274999999999999</v>
      </c>
      <c r="AW125" s="5">
        <v>19.05</v>
      </c>
      <c r="AX125" s="5">
        <v>15.5</v>
      </c>
      <c r="AY125" s="5">
        <v>12.775</v>
      </c>
      <c r="AZ125" s="5">
        <v>12.675000000000001</v>
      </c>
      <c r="BA125" s="5">
        <v>15.5</v>
      </c>
      <c r="BB125" s="5">
        <v>19.5</v>
      </c>
      <c r="BC125" s="5">
        <v>22.55</v>
      </c>
      <c r="BD125" s="5">
        <v>23.3</v>
      </c>
      <c r="BE125" s="5">
        <v>24.05</v>
      </c>
      <c r="BF125" s="10">
        <f t="shared" si="33"/>
        <v>19.356250000000003</v>
      </c>
      <c r="BG125" s="10">
        <f t="shared" si="35"/>
        <v>20.387499999999999</v>
      </c>
      <c r="BH125" s="10">
        <f t="shared" si="34"/>
        <v>24.05</v>
      </c>
      <c r="BI125" s="10">
        <f t="shared" si="29"/>
        <v>12.675000000000001</v>
      </c>
      <c r="BJ125" s="11">
        <f t="shared" si="30"/>
        <v>11.375</v>
      </c>
    </row>
    <row r="126" spans="1:62" x14ac:dyDescent="0.2">
      <c r="A126" s="47" t="s">
        <v>181</v>
      </c>
      <c r="C126" s="286">
        <f t="shared" si="27"/>
        <v>34.299999999999997</v>
      </c>
      <c r="D126" s="282">
        <f t="shared" si="36"/>
        <v>68.599999999999994</v>
      </c>
      <c r="E126" s="282">
        <f t="shared" si="37"/>
        <v>2</v>
      </c>
      <c r="K126" s="27">
        <f t="shared" si="28"/>
        <v>33.771208333333334</v>
      </c>
      <c r="L126" s="27">
        <f t="shared" si="26"/>
        <v>9.1999999999999993</v>
      </c>
      <c r="M126" s="323"/>
      <c r="V126" s="125"/>
      <c r="W126" s="85"/>
      <c r="X126" s="80"/>
      <c r="Y126" s="80"/>
      <c r="Z126" s="80">
        <f t="shared" si="22"/>
        <v>33.771208333333334</v>
      </c>
      <c r="AA126" s="50">
        <f t="shared" si="40"/>
        <v>162101.80000000002</v>
      </c>
      <c r="AB126" s="50">
        <f t="shared" si="40"/>
        <v>4800</v>
      </c>
      <c r="AC126" s="83"/>
      <c r="AD126" s="80"/>
      <c r="AE126" s="80"/>
      <c r="AF126" s="80"/>
      <c r="AG126" s="80"/>
      <c r="AH126" s="80">
        <f t="shared" si="23"/>
        <v>9.1999999999999993</v>
      </c>
      <c r="AI126" s="50">
        <f t="shared" si="41"/>
        <v>38759.599999999999</v>
      </c>
      <c r="AJ126" s="50">
        <f t="shared" si="41"/>
        <v>4213</v>
      </c>
      <c r="AQ126">
        <v>8</v>
      </c>
      <c r="AS126" s="44"/>
      <c r="AT126" s="5">
        <v>9.6999999999999993</v>
      </c>
      <c r="AU126" s="5">
        <v>12.6</v>
      </c>
      <c r="AV126" s="5">
        <v>16.600000000000001</v>
      </c>
      <c r="AW126" s="5">
        <v>20.399999999999999</v>
      </c>
      <c r="AX126" s="5">
        <v>23.1</v>
      </c>
      <c r="AY126" s="5">
        <v>24</v>
      </c>
      <c r="AZ126" s="5">
        <v>24</v>
      </c>
      <c r="BA126" s="5">
        <v>24.1</v>
      </c>
      <c r="BB126" s="5">
        <v>23.2</v>
      </c>
      <c r="BC126" s="5">
        <v>19.899999999999999</v>
      </c>
      <c r="BD126" s="5">
        <v>15.1</v>
      </c>
      <c r="BE126" s="5">
        <v>11.3</v>
      </c>
      <c r="BF126" s="10">
        <f t="shared" si="33"/>
        <v>18.666666666666668</v>
      </c>
      <c r="BG126" s="10">
        <f t="shared" si="35"/>
        <v>20.149999999999999</v>
      </c>
      <c r="BH126" s="10">
        <f t="shared" si="34"/>
        <v>24.1</v>
      </c>
      <c r="BI126" s="10">
        <f t="shared" si="29"/>
        <v>9.6999999999999993</v>
      </c>
      <c r="BJ126" s="11">
        <f t="shared" si="30"/>
        <v>14.400000000000002</v>
      </c>
    </row>
    <row r="127" spans="1:62" x14ac:dyDescent="0.2">
      <c r="A127" s="47" t="s">
        <v>93</v>
      </c>
      <c r="C127" s="286">
        <f t="shared" si="27"/>
        <v>21</v>
      </c>
      <c r="D127" s="282">
        <f t="shared" si="36"/>
        <v>21</v>
      </c>
      <c r="E127" s="282">
        <f t="shared" si="37"/>
        <v>1</v>
      </c>
      <c r="K127" s="27">
        <f t="shared" si="28"/>
        <v>21</v>
      </c>
      <c r="L127" s="27" t="str">
        <f t="shared" si="26"/>
        <v xml:space="preserve"> </v>
      </c>
      <c r="M127" s="323"/>
      <c r="V127" s="125"/>
      <c r="W127" s="85"/>
      <c r="X127" s="80"/>
      <c r="Y127" s="80"/>
      <c r="Z127" s="80">
        <f t="shared" si="22"/>
        <v>21</v>
      </c>
      <c r="AA127" s="50">
        <f t="shared" si="40"/>
        <v>20769</v>
      </c>
      <c r="AB127" s="50">
        <f t="shared" si="40"/>
        <v>989</v>
      </c>
      <c r="AC127" s="83"/>
      <c r="AD127" s="80"/>
      <c r="AE127" s="80"/>
      <c r="AF127" s="80"/>
      <c r="AG127" s="80"/>
      <c r="AH127" s="80" t="str">
        <f t="shared" si="23"/>
        <v xml:space="preserve"> </v>
      </c>
      <c r="AI127" s="50">
        <f t="shared" si="41"/>
        <v>0</v>
      </c>
      <c r="AJ127" s="50">
        <f t="shared" si="41"/>
        <v>0</v>
      </c>
      <c r="AQ127">
        <v>17</v>
      </c>
      <c r="AS127" s="44"/>
      <c r="AT127" s="5">
        <v>2.1</v>
      </c>
      <c r="AU127" s="5">
        <v>2.2999999999999998</v>
      </c>
      <c r="AV127" s="5">
        <v>5</v>
      </c>
      <c r="AW127" s="5">
        <v>8</v>
      </c>
      <c r="AX127" s="5">
        <v>12.3</v>
      </c>
      <c r="AY127" s="5">
        <v>15.2</v>
      </c>
      <c r="AZ127" s="5">
        <v>16.7</v>
      </c>
      <c r="BA127" s="5">
        <v>16.600000000000001</v>
      </c>
      <c r="BB127" s="5">
        <v>14</v>
      </c>
      <c r="BC127" s="5">
        <v>10.4</v>
      </c>
      <c r="BD127" s="5">
        <v>5.9</v>
      </c>
      <c r="BE127" s="5">
        <v>3.5</v>
      </c>
      <c r="BF127" s="10">
        <f t="shared" si="33"/>
        <v>9.3333333333333339</v>
      </c>
      <c r="BG127" s="10">
        <f t="shared" si="35"/>
        <v>9.1999999999999993</v>
      </c>
      <c r="BH127" s="10">
        <f t="shared" si="34"/>
        <v>16.7</v>
      </c>
      <c r="BI127" s="10">
        <f t="shared" si="29"/>
        <v>2.1</v>
      </c>
      <c r="BJ127" s="11">
        <f t="shared" si="30"/>
        <v>14.6</v>
      </c>
    </row>
    <row r="128" spans="1:62" x14ac:dyDescent="0.2">
      <c r="A128" s="47" t="s">
        <v>398</v>
      </c>
      <c r="C128" s="286"/>
      <c r="D128" s="282">
        <f t="shared" si="36"/>
        <v>0</v>
      </c>
      <c r="E128" s="282">
        <f t="shared" si="37"/>
        <v>0</v>
      </c>
      <c r="H128" t="s">
        <v>503</v>
      </c>
      <c r="K128" s="27" t="str">
        <f t="shared" si="28"/>
        <v xml:space="preserve"> </v>
      </c>
      <c r="L128" s="27" t="str">
        <f t="shared" si="26"/>
        <v xml:space="preserve"> </v>
      </c>
      <c r="M128" s="323"/>
      <c r="V128" s="125"/>
      <c r="W128" s="85"/>
      <c r="X128" s="80"/>
      <c r="Y128" s="80"/>
      <c r="Z128" s="80" t="str">
        <f t="shared" si="22"/>
        <v xml:space="preserve"> </v>
      </c>
      <c r="AA128" s="50">
        <f t="shared" si="40"/>
        <v>0</v>
      </c>
      <c r="AB128" s="50">
        <f t="shared" si="40"/>
        <v>0</v>
      </c>
      <c r="AC128" s="83"/>
      <c r="AD128" s="80"/>
      <c r="AE128" s="80"/>
      <c r="AF128" s="80"/>
      <c r="AG128" s="80"/>
      <c r="AH128" s="80" t="str">
        <f t="shared" si="23"/>
        <v xml:space="preserve"> </v>
      </c>
      <c r="AI128" s="50">
        <f t="shared" si="41"/>
        <v>0</v>
      </c>
      <c r="AJ128" s="50">
        <f t="shared" si="41"/>
        <v>0</v>
      </c>
      <c r="AS128" s="44"/>
      <c r="AT128" s="5"/>
      <c r="AU128" s="5"/>
      <c r="AV128" s="5"/>
      <c r="AW128" s="5"/>
      <c r="AX128" s="5"/>
      <c r="AY128" s="5"/>
      <c r="AZ128" s="5"/>
      <c r="BA128" s="5"/>
      <c r="BB128" s="5"/>
      <c r="BC128" s="5"/>
      <c r="BD128" s="5"/>
      <c r="BE128" s="5"/>
      <c r="BF128" s="10"/>
      <c r="BG128" s="10"/>
      <c r="BH128" s="10"/>
      <c r="BI128" s="10"/>
      <c r="BJ128" s="11"/>
    </row>
    <row r="129" spans="1:62" x14ac:dyDescent="0.2">
      <c r="A129" s="47" t="s">
        <v>399</v>
      </c>
      <c r="C129" s="286"/>
      <c r="D129" s="282">
        <f t="shared" si="36"/>
        <v>0</v>
      </c>
      <c r="E129" s="282">
        <f t="shared" si="37"/>
        <v>0</v>
      </c>
      <c r="K129" s="27" t="str">
        <f t="shared" si="28"/>
        <v xml:space="preserve"> </v>
      </c>
      <c r="L129" s="27" t="str">
        <f t="shared" si="26"/>
        <v xml:space="preserve"> </v>
      </c>
      <c r="M129" s="323"/>
      <c r="V129" s="125"/>
      <c r="W129" s="85"/>
      <c r="X129" s="80"/>
      <c r="Y129" s="80"/>
      <c r="Z129" s="80" t="str">
        <f t="shared" si="22"/>
        <v xml:space="preserve"> </v>
      </c>
      <c r="AA129" s="50">
        <f t="shared" si="40"/>
        <v>0</v>
      </c>
      <c r="AB129" s="50">
        <f t="shared" si="40"/>
        <v>0</v>
      </c>
      <c r="AC129" s="83"/>
      <c r="AD129" s="80"/>
      <c r="AE129" s="80"/>
      <c r="AF129" s="80"/>
      <c r="AG129" s="80"/>
      <c r="AH129" s="80" t="str">
        <f t="shared" si="23"/>
        <v xml:space="preserve"> </v>
      </c>
      <c r="AI129" s="50">
        <f t="shared" si="41"/>
        <v>0</v>
      </c>
      <c r="AJ129" s="50">
        <f t="shared" si="41"/>
        <v>0</v>
      </c>
      <c r="AS129" s="44"/>
      <c r="AT129" s="5"/>
      <c r="AU129" s="5"/>
      <c r="AV129" s="5"/>
      <c r="AW129" s="5"/>
      <c r="AX129" s="5"/>
      <c r="AY129" s="5"/>
      <c r="AZ129" s="5"/>
      <c r="BA129" s="5"/>
      <c r="BB129" s="5"/>
      <c r="BC129" s="5"/>
      <c r="BD129" s="5"/>
      <c r="BE129" s="5"/>
      <c r="BF129" s="10"/>
      <c r="BG129" s="10"/>
      <c r="BH129" s="10"/>
      <c r="BI129" s="10"/>
      <c r="BJ129" s="11"/>
    </row>
    <row r="130" spans="1:62" x14ac:dyDescent="0.2">
      <c r="A130" s="47" t="s">
        <v>182</v>
      </c>
      <c r="C130" s="286">
        <f>D130/E130</f>
        <v>32.375</v>
      </c>
      <c r="D130" s="282">
        <f t="shared" si="36"/>
        <v>129.5</v>
      </c>
      <c r="E130" s="282">
        <f t="shared" si="37"/>
        <v>4</v>
      </c>
      <c r="H130" t="s">
        <v>503</v>
      </c>
      <c r="K130" s="27">
        <f t="shared" si="28"/>
        <v>27.336449990687282</v>
      </c>
      <c r="L130" s="27">
        <f t="shared" si="26"/>
        <v>4.447293589423797</v>
      </c>
      <c r="M130" s="323"/>
      <c r="V130" s="125"/>
      <c r="W130" s="85"/>
      <c r="X130" s="80"/>
      <c r="Y130" s="80"/>
      <c r="Z130" s="80">
        <f t="shared" ref="Z130:Z194" si="42">IF(AB130&gt;0,AA130/AB130," ")</f>
        <v>27.336449990687282</v>
      </c>
      <c r="AA130" s="50">
        <f t="shared" si="40"/>
        <v>146769.40000000002</v>
      </c>
      <c r="AB130" s="50">
        <f t="shared" si="40"/>
        <v>5369</v>
      </c>
      <c r="AC130" s="83"/>
      <c r="AD130" s="80"/>
      <c r="AE130" s="80"/>
      <c r="AF130" s="80"/>
      <c r="AG130" s="80"/>
      <c r="AH130" s="80">
        <f t="shared" ref="AH130:AH194" si="43">IF(AJ130&gt;0,AI130/AJ130," ")</f>
        <v>4.447293589423797</v>
      </c>
      <c r="AI130" s="50">
        <f t="shared" si="41"/>
        <v>17829.2</v>
      </c>
      <c r="AJ130" s="50">
        <f t="shared" si="41"/>
        <v>4009</v>
      </c>
      <c r="AQ130">
        <v>20</v>
      </c>
      <c r="AS130" s="44"/>
      <c r="AT130" s="5">
        <v>16.91</v>
      </c>
      <c r="AU130" s="5">
        <v>17.04</v>
      </c>
      <c r="AV130" s="5">
        <v>15.935</v>
      </c>
      <c r="AW130" s="5">
        <v>13.615</v>
      </c>
      <c r="AX130" s="5">
        <v>11.06</v>
      </c>
      <c r="AY130" s="5">
        <v>9.0150000000000006</v>
      </c>
      <c r="AZ130" s="5">
        <v>8.23</v>
      </c>
      <c r="BA130" s="5">
        <v>9.125</v>
      </c>
      <c r="BB130" s="5">
        <v>10.67</v>
      </c>
      <c r="BC130" s="5">
        <v>12.315</v>
      </c>
      <c r="BD130" s="5">
        <v>13.95</v>
      </c>
      <c r="BE130" s="5">
        <v>15.71</v>
      </c>
      <c r="BF130" s="10">
        <f t="shared" si="33"/>
        <v>12.797916666666667</v>
      </c>
      <c r="BG130" s="10">
        <f t="shared" si="35"/>
        <v>12.965</v>
      </c>
      <c r="BH130" s="10">
        <f t="shared" si="34"/>
        <v>17.04</v>
      </c>
      <c r="BI130" s="10">
        <f t="shared" si="29"/>
        <v>8.23</v>
      </c>
      <c r="BJ130" s="11">
        <f t="shared" si="30"/>
        <v>8.8099999999999987</v>
      </c>
    </row>
    <row r="131" spans="1:62" x14ac:dyDescent="0.2">
      <c r="A131" s="47" t="s">
        <v>51</v>
      </c>
      <c r="C131" s="286">
        <f>D131/E131</f>
        <v>39.136000000000003</v>
      </c>
      <c r="D131" s="282">
        <f t="shared" ref="D131:D162" si="44">SUMIF($B$213:$B$562,$A131,K$213:K$562)</f>
        <v>195.68</v>
      </c>
      <c r="E131" s="282">
        <f t="shared" ref="E131:E162" si="45">COUNTIFS($B$213:$B$562,$A131, $K$213:$K$562,"&gt;0")</f>
        <v>5</v>
      </c>
      <c r="K131" s="27">
        <f t="shared" si="28"/>
        <v>23.648809825604264</v>
      </c>
      <c r="L131" s="27">
        <f t="shared" ref="L131:L193" si="46">AH131</f>
        <v>12.919050657808469</v>
      </c>
      <c r="M131" s="323"/>
      <c r="V131" s="125"/>
      <c r="W131" s="85"/>
      <c r="X131" s="80"/>
      <c r="Y131" s="80"/>
      <c r="Z131" s="80">
        <f t="shared" si="42"/>
        <v>23.648809825604264</v>
      </c>
      <c r="AA131" s="50">
        <f t="shared" si="40"/>
        <v>541061.12</v>
      </c>
      <c r="AB131" s="50">
        <f t="shared" si="40"/>
        <v>22879</v>
      </c>
      <c r="AC131" s="83"/>
      <c r="AD131" s="80"/>
      <c r="AE131" s="80"/>
      <c r="AF131" s="80"/>
      <c r="AG131" s="80"/>
      <c r="AH131" s="80">
        <f t="shared" si="43"/>
        <v>12.919050657808469</v>
      </c>
      <c r="AI131" s="50">
        <f t="shared" si="41"/>
        <v>295574.95999999996</v>
      </c>
      <c r="AJ131" s="50">
        <f t="shared" si="41"/>
        <v>22879</v>
      </c>
      <c r="AQ131">
        <v>11</v>
      </c>
      <c r="AS131" s="44"/>
      <c r="AT131" s="5">
        <v>24.8</v>
      </c>
      <c r="AU131" s="5">
        <v>25.44</v>
      </c>
      <c r="AV131" s="5">
        <v>26.68</v>
      </c>
      <c r="AW131" s="5">
        <v>27.4</v>
      </c>
      <c r="AX131" s="5">
        <v>27.48</v>
      </c>
      <c r="AY131" s="5">
        <v>26.5</v>
      </c>
      <c r="AZ131" s="5">
        <v>26.08</v>
      </c>
      <c r="BA131" s="5">
        <v>26.16</v>
      </c>
      <c r="BB131" s="5">
        <v>26.78</v>
      </c>
      <c r="BC131" s="5">
        <v>26.2</v>
      </c>
      <c r="BD131" s="5">
        <v>25.6</v>
      </c>
      <c r="BE131" s="5">
        <v>25.02</v>
      </c>
      <c r="BF131" s="10">
        <f t="shared" si="33"/>
        <v>26.178333333333331</v>
      </c>
      <c r="BG131" s="10">
        <f t="shared" si="35"/>
        <v>26.18</v>
      </c>
      <c r="BH131" s="10">
        <f t="shared" si="34"/>
        <v>27.48</v>
      </c>
      <c r="BI131" s="10">
        <f t="shared" si="29"/>
        <v>24.8</v>
      </c>
      <c r="BJ131" s="11">
        <f t="shared" si="30"/>
        <v>2.6799999999999997</v>
      </c>
    </row>
    <row r="132" spans="1:62" x14ac:dyDescent="0.2">
      <c r="A132" s="47" t="s">
        <v>183</v>
      </c>
      <c r="C132" s="286">
        <f>D132/E132</f>
        <v>30.823293172690764</v>
      </c>
      <c r="D132" s="282">
        <f t="shared" si="44"/>
        <v>30.823293172690764</v>
      </c>
      <c r="E132" s="282">
        <f t="shared" si="45"/>
        <v>1</v>
      </c>
      <c r="H132" t="s">
        <v>503</v>
      </c>
      <c r="K132" s="27">
        <f t="shared" si="28"/>
        <v>30.823293172690764</v>
      </c>
      <c r="L132" s="27" t="str">
        <f t="shared" si="46"/>
        <v xml:space="preserve"> </v>
      </c>
      <c r="M132" s="323"/>
      <c r="V132" s="125"/>
      <c r="W132" s="85"/>
      <c r="X132" s="80"/>
      <c r="Y132" s="80"/>
      <c r="Z132" s="80">
        <f t="shared" si="42"/>
        <v>30.823293172690764</v>
      </c>
      <c r="AA132" s="50">
        <f t="shared" si="40"/>
        <v>358444.07630522089</v>
      </c>
      <c r="AB132" s="50">
        <f t="shared" si="40"/>
        <v>11629</v>
      </c>
      <c r="AC132" s="83"/>
      <c r="AD132" s="80"/>
      <c r="AE132" s="80"/>
      <c r="AF132" s="80"/>
      <c r="AG132" s="80"/>
      <c r="AH132" s="80" t="str">
        <f t="shared" si="43"/>
        <v xml:space="preserve"> </v>
      </c>
      <c r="AI132" s="50">
        <f t="shared" si="41"/>
        <v>0</v>
      </c>
      <c r="AJ132" s="50">
        <f t="shared" si="41"/>
        <v>0</v>
      </c>
      <c r="AQ132">
        <v>4</v>
      </c>
      <c r="AS132" s="44"/>
      <c r="AT132" s="5">
        <v>22.281818181818185</v>
      </c>
      <c r="AU132" s="5">
        <v>25.154545454545453</v>
      </c>
      <c r="AV132" s="5">
        <v>29.081818181818186</v>
      </c>
      <c r="AW132" s="5">
        <v>32.154545454545449</v>
      </c>
      <c r="AX132" s="5">
        <v>33.136363636363633</v>
      </c>
      <c r="AY132" s="5">
        <v>31.772727272727277</v>
      </c>
      <c r="AZ132" s="5">
        <v>29.472727272727276</v>
      </c>
      <c r="BA132" s="5">
        <v>28.245454545454546</v>
      </c>
      <c r="BB132" s="5">
        <v>29.145454545454541</v>
      </c>
      <c r="BC132" s="5">
        <v>29.390909090909091</v>
      </c>
      <c r="BD132" s="5">
        <v>26.336363636363636</v>
      </c>
      <c r="BE132" s="5">
        <v>22.990909090909096</v>
      </c>
      <c r="BF132" s="10">
        <f t="shared" si="33"/>
        <v>28.263636363636362</v>
      </c>
      <c r="BG132" s="10">
        <f t="shared" si="35"/>
        <v>29.113636363636363</v>
      </c>
      <c r="BH132" s="10">
        <f t="shared" si="34"/>
        <v>33.136363636363633</v>
      </c>
      <c r="BI132" s="10">
        <f t="shared" si="29"/>
        <v>22.281818181818185</v>
      </c>
      <c r="BJ132" s="11">
        <f t="shared" si="30"/>
        <v>10.854545454545448</v>
      </c>
    </row>
    <row r="133" spans="1:62" x14ac:dyDescent="0.2">
      <c r="A133" s="47" t="s">
        <v>5</v>
      </c>
      <c r="C133" s="286">
        <f>D133/E133</f>
        <v>34.106000000000002</v>
      </c>
      <c r="D133" s="282">
        <f t="shared" si="44"/>
        <v>170.53</v>
      </c>
      <c r="E133" s="282">
        <f t="shared" si="45"/>
        <v>5</v>
      </c>
      <c r="K133" s="27">
        <f t="shared" si="28"/>
        <v>18.105755596271809</v>
      </c>
      <c r="L133" s="27">
        <f t="shared" si="46"/>
        <v>14.430100246218784</v>
      </c>
      <c r="M133" s="323"/>
      <c r="V133" s="125"/>
      <c r="W133" s="85"/>
      <c r="X133" s="80"/>
      <c r="Y133" s="80"/>
      <c r="Z133" s="80">
        <f t="shared" si="42"/>
        <v>18.105755596271809</v>
      </c>
      <c r="AA133" s="50">
        <f t="shared" si="40"/>
        <v>681844.65</v>
      </c>
      <c r="AB133" s="50">
        <f t="shared" si="40"/>
        <v>37659</v>
      </c>
      <c r="AC133" s="83"/>
      <c r="AD133" s="80"/>
      <c r="AE133" s="80"/>
      <c r="AF133" s="80"/>
      <c r="AG133" s="80"/>
      <c r="AH133" s="80">
        <f t="shared" si="43"/>
        <v>14.430100246218784</v>
      </c>
      <c r="AI133" s="50">
        <f t="shared" si="41"/>
        <v>492297.3</v>
      </c>
      <c r="AJ133" s="50">
        <f t="shared" si="41"/>
        <v>34116</v>
      </c>
      <c r="AQ133">
        <v>8</v>
      </c>
      <c r="AS133" s="44"/>
      <c r="AT133" s="5">
        <v>25.041666666666661</v>
      </c>
      <c r="AU133" s="5">
        <v>26.933333333333334</v>
      </c>
      <c r="AV133" s="5">
        <v>28.808333333333326</v>
      </c>
      <c r="AW133" s="5">
        <v>29.225000000000001</v>
      </c>
      <c r="AX133" s="5">
        <v>28.375</v>
      </c>
      <c r="AY133" s="5">
        <v>26.824999999999999</v>
      </c>
      <c r="AZ133" s="5">
        <v>25.524999999999999</v>
      </c>
      <c r="BA133" s="5">
        <v>25.058333333333334</v>
      </c>
      <c r="BB133" s="5">
        <v>25.616666666666671</v>
      </c>
      <c r="BC133" s="5">
        <v>26.383333333333336</v>
      </c>
      <c r="BD133" s="5">
        <v>26.225000000000001</v>
      </c>
      <c r="BE133" s="5">
        <v>25.083333333333332</v>
      </c>
      <c r="BF133" s="10">
        <f t="shared" si="33"/>
        <v>26.591666666666669</v>
      </c>
      <c r="BG133" s="10">
        <f t="shared" si="35"/>
        <v>26.304166666666667</v>
      </c>
      <c r="BH133" s="10">
        <f t="shared" si="34"/>
        <v>29.225000000000001</v>
      </c>
      <c r="BI133" s="10">
        <f t="shared" si="29"/>
        <v>25.041666666666661</v>
      </c>
      <c r="BJ133" s="11">
        <f t="shared" si="30"/>
        <v>4.1833333333333407</v>
      </c>
    </row>
    <row r="134" spans="1:62" x14ac:dyDescent="0.2">
      <c r="A134" s="47" t="s">
        <v>94</v>
      </c>
      <c r="C134" s="286">
        <f t="shared" ref="C134:C193" si="47">D134/E134</f>
        <v>19.633333333333333</v>
      </c>
      <c r="D134" s="282">
        <f t="shared" si="44"/>
        <v>58.9</v>
      </c>
      <c r="E134" s="282">
        <f t="shared" si="45"/>
        <v>3</v>
      </c>
      <c r="H134" t="s">
        <v>503</v>
      </c>
      <c r="K134" s="27">
        <f t="shared" si="28"/>
        <v>26.55678793256433</v>
      </c>
      <c r="L134" s="27">
        <f t="shared" si="46"/>
        <v>6</v>
      </c>
      <c r="M134" s="323"/>
      <c r="V134" s="125"/>
      <c r="W134" s="85"/>
      <c r="X134" s="80"/>
      <c r="Y134" s="80"/>
      <c r="Z134" s="80">
        <f t="shared" si="42"/>
        <v>26.55678793256433</v>
      </c>
      <c r="AA134" s="50">
        <f t="shared" si="40"/>
        <v>59859</v>
      </c>
      <c r="AB134" s="50">
        <f t="shared" si="40"/>
        <v>2254</v>
      </c>
      <c r="AC134" s="83"/>
      <c r="AD134" s="80"/>
      <c r="AE134" s="80"/>
      <c r="AF134" s="80"/>
      <c r="AG134" s="80"/>
      <c r="AH134" s="80">
        <f t="shared" si="43"/>
        <v>6</v>
      </c>
      <c r="AI134" s="50">
        <f t="shared" si="41"/>
        <v>12858</v>
      </c>
      <c r="AJ134" s="50">
        <f t="shared" si="41"/>
        <v>2143</v>
      </c>
      <c r="AQ134">
        <v>18</v>
      </c>
      <c r="AS134" s="44"/>
      <c r="AT134" s="5">
        <v>-3.677777777777778</v>
      </c>
      <c r="AU134" s="5">
        <v>-3.8888888888888884</v>
      </c>
      <c r="AV134" s="5">
        <v>-2.7185185185185179</v>
      </c>
      <c r="AW134" s="5">
        <v>0.57777777777777783</v>
      </c>
      <c r="AX134" s="5">
        <v>4.7703703703703697</v>
      </c>
      <c r="AY134" s="5">
        <v>8.6851851851851851</v>
      </c>
      <c r="AZ134" s="5">
        <v>11.37777777777778</v>
      </c>
      <c r="BA134" s="5">
        <v>11.02962962962963</v>
      </c>
      <c r="BB134" s="5">
        <v>7.95185185185185</v>
      </c>
      <c r="BC134" s="5">
        <v>3.7148148148148148</v>
      </c>
      <c r="BD134" s="5">
        <v>-1.1111111111110916E-2</v>
      </c>
      <c r="BE134" s="5">
        <v>-2.4851851851851849</v>
      </c>
      <c r="BF134" s="10">
        <f t="shared" si="33"/>
        <v>2.9438271604938269</v>
      </c>
      <c r="BG134" s="10">
        <f t="shared" si="35"/>
        <v>2.1462962962962964</v>
      </c>
      <c r="BH134" s="10">
        <f t="shared" si="34"/>
        <v>11.37777777777778</v>
      </c>
      <c r="BI134" s="10">
        <f t="shared" si="29"/>
        <v>-3.8888888888888884</v>
      </c>
      <c r="BJ134" s="11">
        <f t="shared" si="30"/>
        <v>15.266666666666669</v>
      </c>
    </row>
    <row r="135" spans="1:62" x14ac:dyDescent="0.2">
      <c r="A135" s="47" t="s">
        <v>400</v>
      </c>
      <c r="C135" s="286"/>
      <c r="D135" s="282">
        <f t="shared" si="44"/>
        <v>0</v>
      </c>
      <c r="E135" s="282">
        <f t="shared" si="45"/>
        <v>0</v>
      </c>
      <c r="H135" t="s">
        <v>503</v>
      </c>
      <c r="K135" s="27" t="str">
        <f t="shared" ref="K135:K193" si="48">Z135</f>
        <v xml:space="preserve"> </v>
      </c>
      <c r="L135" s="27" t="str">
        <f t="shared" si="46"/>
        <v xml:space="preserve"> </v>
      </c>
      <c r="M135" s="323"/>
      <c r="V135" s="125"/>
      <c r="W135" s="85"/>
      <c r="X135" s="80"/>
      <c r="Y135" s="80"/>
      <c r="Z135" s="80" t="str">
        <f t="shared" si="42"/>
        <v xml:space="preserve"> </v>
      </c>
      <c r="AA135" s="50">
        <f t="shared" si="40"/>
        <v>0</v>
      </c>
      <c r="AB135" s="50">
        <f t="shared" si="40"/>
        <v>0</v>
      </c>
      <c r="AC135" s="83"/>
      <c r="AD135" s="80"/>
      <c r="AE135" s="80"/>
      <c r="AF135" s="80"/>
      <c r="AG135" s="80"/>
      <c r="AH135" s="80" t="str">
        <f t="shared" si="43"/>
        <v xml:space="preserve"> </v>
      </c>
      <c r="AI135" s="50">
        <f t="shared" si="41"/>
        <v>0</v>
      </c>
      <c r="AJ135" s="50">
        <f t="shared" si="41"/>
        <v>0</v>
      </c>
      <c r="AQ135">
        <v>11</v>
      </c>
      <c r="AS135" s="44"/>
      <c r="AT135" s="5"/>
      <c r="AU135" s="5"/>
      <c r="AV135" s="5"/>
      <c r="AW135" s="5"/>
      <c r="AX135" s="5"/>
      <c r="AY135" s="5"/>
      <c r="AZ135" s="5"/>
      <c r="BA135" s="5"/>
      <c r="BB135" s="5"/>
      <c r="BC135" s="5"/>
      <c r="BD135" s="5"/>
      <c r="BE135" s="5"/>
      <c r="BF135" s="10"/>
      <c r="BG135" s="10"/>
      <c r="BH135" s="10"/>
      <c r="BI135" s="10"/>
      <c r="BJ135" s="11"/>
    </row>
    <row r="136" spans="1:62" x14ac:dyDescent="0.2">
      <c r="A136" s="47" t="s">
        <v>184</v>
      </c>
      <c r="C136" s="286">
        <f t="shared" si="47"/>
        <v>44.95</v>
      </c>
      <c r="D136" s="282">
        <f t="shared" si="44"/>
        <v>89.9</v>
      </c>
      <c r="E136" s="282">
        <f t="shared" si="45"/>
        <v>2</v>
      </c>
      <c r="K136" s="27">
        <f t="shared" si="48"/>
        <v>48.711816192560171</v>
      </c>
      <c r="L136" s="27" t="str">
        <f t="shared" si="46"/>
        <v xml:space="preserve"> </v>
      </c>
      <c r="M136" s="323"/>
      <c r="V136" s="125"/>
      <c r="W136" s="85"/>
      <c r="X136" s="80"/>
      <c r="Y136" s="80"/>
      <c r="Z136" s="80">
        <f t="shared" si="42"/>
        <v>48.711816192560171</v>
      </c>
      <c r="AA136" s="50">
        <f t="shared" si="40"/>
        <v>22261.3</v>
      </c>
      <c r="AB136" s="50">
        <f t="shared" si="40"/>
        <v>457</v>
      </c>
      <c r="AC136" s="83"/>
      <c r="AD136" s="80"/>
      <c r="AE136" s="80"/>
      <c r="AF136" s="80"/>
      <c r="AG136" s="80"/>
      <c r="AH136" s="80" t="str">
        <f t="shared" si="43"/>
        <v xml:space="preserve"> </v>
      </c>
      <c r="AI136" s="50">
        <f t="shared" si="41"/>
        <v>0</v>
      </c>
      <c r="AJ136" s="50">
        <f t="shared" si="41"/>
        <v>0</v>
      </c>
      <c r="AQ136">
        <v>6</v>
      </c>
      <c r="AS136" s="44"/>
      <c r="AT136" s="5">
        <v>11.763157894736841</v>
      </c>
      <c r="AU136" s="5">
        <v>14.178947368421055</v>
      </c>
      <c r="AV136" s="5">
        <v>18.815789473684209</v>
      </c>
      <c r="AW136" s="5">
        <v>23.989473684210523</v>
      </c>
      <c r="AX136" s="5">
        <v>28.226315789473688</v>
      </c>
      <c r="AY136" s="5">
        <v>30.768421052631581</v>
      </c>
      <c r="AZ136" s="5">
        <v>30.189473684210515</v>
      </c>
      <c r="BA136" s="5">
        <v>29.021052631578947</v>
      </c>
      <c r="BB136" s="5">
        <v>27.021052631578947</v>
      </c>
      <c r="BC136" s="5">
        <v>23.147368421052633</v>
      </c>
      <c r="BD136" s="5">
        <v>17.852631578947367</v>
      </c>
      <c r="BE136" s="5">
        <v>13.426315789473684</v>
      </c>
      <c r="BF136" s="10">
        <f t="shared" si="33"/>
        <v>22.366666666666664</v>
      </c>
      <c r="BG136" s="10">
        <f t="shared" si="35"/>
        <v>23.568421052631578</v>
      </c>
      <c r="BH136" s="10">
        <f t="shared" si="34"/>
        <v>30.768421052631581</v>
      </c>
      <c r="BI136" s="10">
        <f t="shared" ref="BI136:BI193" si="49">MIN(AT136:BE136)</f>
        <v>11.763157894736841</v>
      </c>
      <c r="BJ136" s="11">
        <f t="shared" ref="BJ136:BJ193" si="50">BH136-BI136</f>
        <v>19.005263157894738</v>
      </c>
    </row>
    <row r="137" spans="1:62" x14ac:dyDescent="0.2">
      <c r="A137" s="47" t="s">
        <v>185</v>
      </c>
      <c r="C137" s="286"/>
      <c r="D137" s="282">
        <f t="shared" si="44"/>
        <v>0</v>
      </c>
      <c r="E137" s="282">
        <f t="shared" si="45"/>
        <v>0</v>
      </c>
      <c r="H137" t="s">
        <v>503</v>
      </c>
      <c r="K137" s="27" t="str">
        <f t="shared" si="48"/>
        <v xml:space="preserve"> </v>
      </c>
      <c r="L137" s="27" t="str">
        <f t="shared" si="46"/>
        <v xml:space="preserve"> </v>
      </c>
      <c r="M137" s="323"/>
      <c r="V137" s="125"/>
      <c r="W137" s="85"/>
      <c r="X137" s="80"/>
      <c r="Y137" s="80"/>
      <c r="Z137" s="80" t="str">
        <f t="shared" si="42"/>
        <v xml:space="preserve"> </v>
      </c>
      <c r="AA137" s="50">
        <f t="shared" si="40"/>
        <v>0</v>
      </c>
      <c r="AB137" s="50">
        <f t="shared" si="40"/>
        <v>0</v>
      </c>
      <c r="AC137" s="83"/>
      <c r="AD137" s="80"/>
      <c r="AE137" s="80"/>
      <c r="AF137" s="80"/>
      <c r="AG137" s="80"/>
      <c r="AH137" s="80" t="str">
        <f t="shared" si="43"/>
        <v xml:space="preserve"> </v>
      </c>
      <c r="AI137" s="50">
        <f t="shared" si="41"/>
        <v>0</v>
      </c>
      <c r="AJ137" s="50">
        <f t="shared" si="41"/>
        <v>0</v>
      </c>
      <c r="AQ137">
        <v>14</v>
      </c>
      <c r="AS137" s="44"/>
      <c r="AT137" s="5">
        <v>24.616666666666664</v>
      </c>
      <c r="AU137" s="5">
        <v>24.816666666666666</v>
      </c>
      <c r="AV137" s="5">
        <v>25.333333333333332</v>
      </c>
      <c r="AW137" s="5">
        <v>25.783333333333335</v>
      </c>
      <c r="AX137" s="5">
        <v>25.783333333333331</v>
      </c>
      <c r="AY137" s="5">
        <v>25.616666666666671</v>
      </c>
      <c r="AZ137" s="5">
        <v>25.6</v>
      </c>
      <c r="BA137" s="5">
        <v>25.316666666666663</v>
      </c>
      <c r="BB137" s="5">
        <v>25.416666666666668</v>
      </c>
      <c r="BC137" s="5">
        <v>24.966666666666665</v>
      </c>
      <c r="BD137" s="5">
        <v>25</v>
      </c>
      <c r="BE137" s="5">
        <v>24.9</v>
      </c>
      <c r="BF137" s="10">
        <f t="shared" si="33"/>
        <v>25.262499999999999</v>
      </c>
      <c r="BG137" s="10">
        <f t="shared" si="35"/>
        <v>25.324999999999996</v>
      </c>
      <c r="BH137" s="10">
        <f t="shared" si="34"/>
        <v>25.783333333333335</v>
      </c>
      <c r="BI137" s="10">
        <f t="shared" si="49"/>
        <v>24.616666666666664</v>
      </c>
      <c r="BJ137" s="11">
        <f t="shared" si="50"/>
        <v>1.1666666666666714</v>
      </c>
    </row>
    <row r="138" spans="1:62" x14ac:dyDescent="0.2">
      <c r="A138" s="47" t="s">
        <v>73</v>
      </c>
      <c r="C138" s="286">
        <f t="shared" si="47"/>
        <v>61.666666666666664</v>
      </c>
      <c r="D138" s="282">
        <f t="shared" si="44"/>
        <v>185</v>
      </c>
      <c r="E138" s="282">
        <f t="shared" si="45"/>
        <v>3</v>
      </c>
      <c r="K138" s="27">
        <f t="shared" si="48"/>
        <v>63.319024390243904</v>
      </c>
      <c r="L138" s="27" t="str">
        <f t="shared" si="46"/>
        <v xml:space="preserve"> </v>
      </c>
      <c r="M138" s="323"/>
      <c r="V138" s="125"/>
      <c r="W138" s="85"/>
      <c r="X138" s="80"/>
      <c r="Y138" s="80"/>
      <c r="Z138" s="80">
        <f t="shared" si="42"/>
        <v>63.319024390243904</v>
      </c>
      <c r="AA138" s="50">
        <f t="shared" si="40"/>
        <v>64902</v>
      </c>
      <c r="AB138" s="50">
        <f t="shared" si="40"/>
        <v>1025</v>
      </c>
      <c r="AC138" s="83"/>
      <c r="AD138" s="80"/>
      <c r="AE138" s="80"/>
      <c r="AF138" s="80"/>
      <c r="AG138" s="80"/>
      <c r="AH138" s="80" t="str">
        <f t="shared" si="43"/>
        <v xml:space="preserve"> </v>
      </c>
      <c r="AI138" s="50">
        <f t="shared" si="41"/>
        <v>0</v>
      </c>
      <c r="AJ138" s="50">
        <f t="shared" si="41"/>
        <v>0</v>
      </c>
      <c r="AS138" s="44"/>
      <c r="AT138" s="5">
        <v>27.22</v>
      </c>
      <c r="AU138" s="5">
        <v>27.18</v>
      </c>
      <c r="AV138" s="5">
        <v>27.12</v>
      </c>
      <c r="AW138" s="5">
        <v>27</v>
      </c>
      <c r="AX138" s="5">
        <v>26.94</v>
      </c>
      <c r="AY138" s="5">
        <v>26.54</v>
      </c>
      <c r="AZ138" s="5">
        <v>26.18</v>
      </c>
      <c r="BA138" s="5">
        <v>26.28</v>
      </c>
      <c r="BB138" s="5">
        <v>26.6</v>
      </c>
      <c r="BC138" s="5">
        <v>26.92</v>
      </c>
      <c r="BD138" s="5">
        <v>27.14</v>
      </c>
      <c r="BE138" s="5">
        <v>27.18</v>
      </c>
      <c r="BF138" s="10">
        <f t="shared" si="33"/>
        <v>26.858333333333334</v>
      </c>
      <c r="BG138" s="10">
        <f t="shared" si="35"/>
        <v>26.97</v>
      </c>
      <c r="BH138" s="10">
        <f t="shared" si="34"/>
        <v>27.22</v>
      </c>
      <c r="BI138" s="10">
        <f t="shared" si="49"/>
        <v>26.18</v>
      </c>
      <c r="BJ138" s="11">
        <f t="shared" si="50"/>
        <v>1.0399999999999991</v>
      </c>
    </row>
    <row r="139" spans="1:62" x14ac:dyDescent="0.2">
      <c r="A139" s="47" t="s">
        <v>56</v>
      </c>
      <c r="C139" s="286">
        <f t="shared" si="47"/>
        <v>14.5</v>
      </c>
      <c r="D139" s="282">
        <f t="shared" si="44"/>
        <v>29</v>
      </c>
      <c r="E139" s="282">
        <f t="shared" si="45"/>
        <v>2</v>
      </c>
      <c r="K139" s="27">
        <f t="shared" si="48"/>
        <v>14.144414168937329</v>
      </c>
      <c r="L139" s="27">
        <f t="shared" si="46"/>
        <v>7</v>
      </c>
      <c r="M139" s="323"/>
      <c r="V139" s="125"/>
      <c r="W139" s="85"/>
      <c r="X139" s="80"/>
      <c r="Y139" s="80"/>
      <c r="Z139" s="80">
        <f t="shared" si="42"/>
        <v>14.144414168937329</v>
      </c>
      <c r="AA139" s="50">
        <f t="shared" si="40"/>
        <v>155730</v>
      </c>
      <c r="AB139" s="50">
        <f t="shared" si="40"/>
        <v>11010</v>
      </c>
      <c r="AC139" s="83"/>
      <c r="AD139" s="80"/>
      <c r="AE139" s="80"/>
      <c r="AF139" s="80"/>
      <c r="AG139" s="80"/>
      <c r="AH139" s="80">
        <f t="shared" si="43"/>
        <v>7</v>
      </c>
      <c r="AI139" s="50">
        <f t="shared" si="41"/>
        <v>35490</v>
      </c>
      <c r="AJ139" s="50">
        <f t="shared" si="41"/>
        <v>5070</v>
      </c>
      <c r="AQ139">
        <v>12</v>
      </c>
      <c r="AS139" s="44"/>
      <c r="AT139" s="5">
        <v>27.693333333333335</v>
      </c>
      <c r="AU139" s="5">
        <v>27.153333333333332</v>
      </c>
      <c r="AV139" s="5">
        <v>25.853333333333332</v>
      </c>
      <c r="AW139" s="5">
        <v>22.926666666666673</v>
      </c>
      <c r="AX139" s="5">
        <v>20.433333333333334</v>
      </c>
      <c r="AY139" s="5">
        <v>18.193333333333332</v>
      </c>
      <c r="AZ139" s="5">
        <v>18.133333333333333</v>
      </c>
      <c r="BA139" s="5">
        <v>20.16</v>
      </c>
      <c r="BB139" s="5">
        <v>21.946666666666665</v>
      </c>
      <c r="BC139" s="5">
        <v>24.286666666666669</v>
      </c>
      <c r="BD139" s="5">
        <v>25.95</v>
      </c>
      <c r="BE139" s="5">
        <v>27.04</v>
      </c>
      <c r="BF139" s="10">
        <f t="shared" si="33"/>
        <v>23.314166666666665</v>
      </c>
      <c r="BG139" s="10">
        <f t="shared" si="35"/>
        <v>23.606666666666669</v>
      </c>
      <c r="BH139" s="10">
        <f t="shared" si="34"/>
        <v>27.693333333333335</v>
      </c>
      <c r="BI139" s="10">
        <f t="shared" si="49"/>
        <v>18.133333333333333</v>
      </c>
      <c r="BJ139" s="11">
        <f t="shared" si="50"/>
        <v>9.5600000000000023</v>
      </c>
    </row>
    <row r="140" spans="1:62" x14ac:dyDescent="0.2">
      <c r="A140" s="47" t="s">
        <v>57</v>
      </c>
      <c r="C140" s="286">
        <f t="shared" si="47"/>
        <v>44.7</v>
      </c>
      <c r="D140" s="282">
        <f t="shared" si="44"/>
        <v>223.5</v>
      </c>
      <c r="E140" s="282">
        <f t="shared" si="45"/>
        <v>5</v>
      </c>
      <c r="K140" s="27">
        <f t="shared" si="48"/>
        <v>41.126913835472166</v>
      </c>
      <c r="L140" s="27">
        <f t="shared" si="46"/>
        <v>22.913739130434781</v>
      </c>
      <c r="M140" s="323"/>
      <c r="V140" s="125"/>
      <c r="W140" s="85"/>
      <c r="X140" s="80"/>
      <c r="Y140" s="80"/>
      <c r="Z140" s="80">
        <f t="shared" si="42"/>
        <v>41.126913835472166</v>
      </c>
      <c r="AA140" s="50">
        <f t="shared" si="40"/>
        <v>2108741.38</v>
      </c>
      <c r="AB140" s="50">
        <f t="shared" si="40"/>
        <v>51274</v>
      </c>
      <c r="AC140" s="83"/>
      <c r="AD140" s="80"/>
      <c r="AE140" s="80"/>
      <c r="AF140" s="80"/>
      <c r="AG140" s="80"/>
      <c r="AH140" s="80">
        <f t="shared" si="43"/>
        <v>22.913739130434781</v>
      </c>
      <c r="AI140" s="50">
        <f t="shared" si="41"/>
        <v>65877</v>
      </c>
      <c r="AJ140" s="50">
        <f t="shared" si="41"/>
        <v>2875</v>
      </c>
      <c r="AQ140">
        <v>14</v>
      </c>
      <c r="AS140" s="44"/>
      <c r="AT140" s="5">
        <v>19.319512195121956</v>
      </c>
      <c r="AU140" s="5">
        <v>19.600000000000001</v>
      </c>
      <c r="AV140" s="5">
        <v>19.434146341463411</v>
      </c>
      <c r="AW140" s="5">
        <v>18.785365853658536</v>
      </c>
      <c r="AX140" s="5">
        <v>17.858536585365862</v>
      </c>
      <c r="AY140" s="5">
        <v>16.697560975609758</v>
      </c>
      <c r="AZ140" s="5">
        <v>16.192682926829264</v>
      </c>
      <c r="BA140" s="5">
        <v>16.600000000000001</v>
      </c>
      <c r="BB140" s="5">
        <v>17.041463414634144</v>
      </c>
      <c r="BC140" s="5">
        <v>17.660975609756104</v>
      </c>
      <c r="BD140" s="5">
        <v>18.241463414634151</v>
      </c>
      <c r="BE140" s="5">
        <v>18.79024390243903</v>
      </c>
      <c r="BF140" s="10">
        <f t="shared" si="33"/>
        <v>18.018495934959351</v>
      </c>
      <c r="BG140" s="10">
        <f t="shared" si="35"/>
        <v>18.050000000000004</v>
      </c>
      <c r="BH140" s="10">
        <f t="shared" si="34"/>
        <v>19.600000000000001</v>
      </c>
      <c r="BI140" s="10">
        <f t="shared" si="49"/>
        <v>16.192682926829264</v>
      </c>
      <c r="BJ140" s="11">
        <f t="shared" si="50"/>
        <v>3.4073170731707378</v>
      </c>
    </row>
    <row r="141" spans="1:62" x14ac:dyDescent="0.2">
      <c r="A141" s="47" t="s">
        <v>79</v>
      </c>
      <c r="C141" s="286">
        <f t="shared" si="47"/>
        <v>23.332000000000001</v>
      </c>
      <c r="D141" s="282">
        <f t="shared" si="44"/>
        <v>116.66</v>
      </c>
      <c r="E141" s="282">
        <f t="shared" si="45"/>
        <v>5</v>
      </c>
      <c r="H141" t="s">
        <v>503</v>
      </c>
      <c r="K141" s="27">
        <f t="shared" si="48"/>
        <v>14.204439090732466</v>
      </c>
      <c r="L141" s="27">
        <f t="shared" si="46"/>
        <v>8.7953700141079896</v>
      </c>
      <c r="M141" s="323"/>
      <c r="V141" s="125"/>
      <c r="W141" s="85"/>
      <c r="X141" s="80"/>
      <c r="Y141" s="80"/>
      <c r="Z141" s="80">
        <f t="shared" si="42"/>
        <v>14.204439090732466</v>
      </c>
      <c r="AA141" s="50">
        <f t="shared" si="40"/>
        <v>365551.24</v>
      </c>
      <c r="AB141" s="50">
        <f t="shared" si="40"/>
        <v>25735</v>
      </c>
      <c r="AC141" s="83"/>
      <c r="AD141" s="80"/>
      <c r="AE141" s="80"/>
      <c r="AF141" s="80"/>
      <c r="AG141" s="80"/>
      <c r="AH141" s="80">
        <f t="shared" si="43"/>
        <v>8.7953700141079896</v>
      </c>
      <c r="AI141" s="50">
        <f t="shared" si="41"/>
        <v>137155</v>
      </c>
      <c r="AJ141" s="50">
        <f t="shared" si="41"/>
        <v>15594</v>
      </c>
      <c r="AQ141">
        <v>12</v>
      </c>
      <c r="AS141" s="44"/>
      <c r="AT141" s="5">
        <v>25.491666666666671</v>
      </c>
      <c r="AU141" s="5">
        <v>25.85</v>
      </c>
      <c r="AV141" s="5">
        <v>26.816666666666666</v>
      </c>
      <c r="AW141" s="5">
        <v>27.966666666666669</v>
      </c>
      <c r="AX141" s="5">
        <v>28.425000000000001</v>
      </c>
      <c r="AY141" s="5">
        <v>28.041666666666668</v>
      </c>
      <c r="AZ141" s="5">
        <v>27.616666666666674</v>
      </c>
      <c r="BA141" s="5">
        <v>27.524999999999999</v>
      </c>
      <c r="BB141" s="5">
        <v>27.475000000000001</v>
      </c>
      <c r="BC141" s="5">
        <v>27.233333333333334</v>
      </c>
      <c r="BD141" s="5">
        <v>26.675000000000001</v>
      </c>
      <c r="BE141" s="5">
        <v>25.858333333333334</v>
      </c>
      <c r="BF141" s="10">
        <f t="shared" si="33"/>
        <v>27.081250000000001</v>
      </c>
      <c r="BG141" s="10">
        <f t="shared" si="35"/>
        <v>27.354166666666668</v>
      </c>
      <c r="BH141" s="10">
        <f t="shared" si="34"/>
        <v>28.425000000000001</v>
      </c>
      <c r="BI141" s="10">
        <f t="shared" si="49"/>
        <v>25.491666666666671</v>
      </c>
      <c r="BJ141" s="11">
        <f t="shared" si="50"/>
        <v>2.93333333333333</v>
      </c>
    </row>
    <row r="142" spans="1:62" x14ac:dyDescent="0.2">
      <c r="A142" s="47" t="s">
        <v>186</v>
      </c>
      <c r="C142" s="286">
        <f t="shared" si="47"/>
        <v>15</v>
      </c>
      <c r="D142" s="282">
        <f t="shared" si="44"/>
        <v>15</v>
      </c>
      <c r="E142" s="282">
        <f t="shared" si="45"/>
        <v>1</v>
      </c>
      <c r="I142" s="101"/>
      <c r="K142" s="27">
        <f t="shared" si="48"/>
        <v>15</v>
      </c>
      <c r="L142" s="27">
        <f t="shared" si="46"/>
        <v>3</v>
      </c>
      <c r="M142" s="323"/>
      <c r="V142" s="125"/>
      <c r="W142" s="85"/>
      <c r="X142" s="80"/>
      <c r="Y142" s="80"/>
      <c r="Z142" s="80">
        <f t="shared" si="42"/>
        <v>15</v>
      </c>
      <c r="AA142" s="50">
        <f t="shared" si="40"/>
        <v>14999999985</v>
      </c>
      <c r="AB142" s="50">
        <f t="shared" si="40"/>
        <v>999999999</v>
      </c>
      <c r="AC142" s="83"/>
      <c r="AD142" s="80"/>
      <c r="AE142" s="80"/>
      <c r="AF142" s="80"/>
      <c r="AG142" s="80"/>
      <c r="AH142" s="80">
        <f t="shared" si="43"/>
        <v>3</v>
      </c>
      <c r="AI142" s="50">
        <f t="shared" si="41"/>
        <v>2999999997</v>
      </c>
      <c r="AJ142" s="50">
        <f t="shared" si="41"/>
        <v>999999999</v>
      </c>
      <c r="AQ142">
        <v>16</v>
      </c>
      <c r="AS142" s="44"/>
      <c r="AT142" s="5">
        <v>-3.192307692307693</v>
      </c>
      <c r="AU142" s="5">
        <v>-2.5615384615384618</v>
      </c>
      <c r="AV142" s="5">
        <v>1.0076923076923079</v>
      </c>
      <c r="AW142" s="5">
        <v>7.0846153846153852</v>
      </c>
      <c r="AX142" s="5">
        <v>12.334615384615386</v>
      </c>
      <c r="AY142" s="5">
        <v>16.380769230769232</v>
      </c>
      <c r="AZ142" s="5">
        <v>17.734615384615381</v>
      </c>
      <c r="BA142" s="5">
        <v>16.969230769230769</v>
      </c>
      <c r="BB142" s="5">
        <v>13.146153846153847</v>
      </c>
      <c r="BC142" s="5">
        <v>8.3653846153846132</v>
      </c>
      <c r="BD142" s="5">
        <v>3.0846153846153852</v>
      </c>
      <c r="BE142" s="5">
        <v>-0.93076923076923102</v>
      </c>
      <c r="BF142" s="10">
        <f t="shared" si="33"/>
        <v>7.4519230769230775</v>
      </c>
      <c r="BG142" s="10">
        <f t="shared" si="35"/>
        <v>7.7249999999999996</v>
      </c>
      <c r="BH142" s="10">
        <f t="shared" si="34"/>
        <v>17.734615384615381</v>
      </c>
      <c r="BI142" s="10">
        <f t="shared" si="49"/>
        <v>-3.192307692307693</v>
      </c>
      <c r="BJ142" s="11">
        <f t="shared" si="50"/>
        <v>20.926923076923075</v>
      </c>
    </row>
    <row r="143" spans="1:62" x14ac:dyDescent="0.2">
      <c r="A143" s="47" t="s">
        <v>187</v>
      </c>
      <c r="C143" s="286">
        <f t="shared" si="47"/>
        <v>14</v>
      </c>
      <c r="D143" s="282">
        <f t="shared" si="44"/>
        <v>14</v>
      </c>
      <c r="E143" s="282">
        <f t="shared" si="45"/>
        <v>1</v>
      </c>
      <c r="K143" s="27">
        <f t="shared" si="48"/>
        <v>14</v>
      </c>
      <c r="L143" s="27" t="str">
        <f t="shared" si="46"/>
        <v xml:space="preserve"> </v>
      </c>
      <c r="M143" s="323"/>
      <c r="V143" s="125"/>
      <c r="W143" s="85"/>
      <c r="X143" s="80"/>
      <c r="Y143" s="80"/>
      <c r="Z143" s="80">
        <f t="shared" si="42"/>
        <v>14</v>
      </c>
      <c r="AA143" s="50">
        <f t="shared" ref="AA143:AB162" si="51">SUMIF($B$213:$B$562,$A143,AA$213:AA$562)</f>
        <v>13999999986</v>
      </c>
      <c r="AB143" s="50">
        <f t="shared" si="51"/>
        <v>999999999</v>
      </c>
      <c r="AC143" s="83"/>
      <c r="AD143" s="80"/>
      <c r="AE143" s="80"/>
      <c r="AF143" s="80"/>
      <c r="AG143" s="80"/>
      <c r="AH143" s="80" t="str">
        <f t="shared" si="43"/>
        <v xml:space="preserve"> </v>
      </c>
      <c r="AI143" s="50">
        <f t="shared" ref="AI143:AJ162" si="52">SUMIF($B$213:$B$562,$A143,AI$213:AI$562)</f>
        <v>0</v>
      </c>
      <c r="AJ143" s="50">
        <f t="shared" si="52"/>
        <v>0</v>
      </c>
      <c r="AQ143">
        <v>16</v>
      </c>
      <c r="AS143" s="44"/>
      <c r="AT143" s="5">
        <v>10.321052631578947</v>
      </c>
      <c r="AU143" s="5">
        <v>10.621052631578946</v>
      </c>
      <c r="AV143" s="5">
        <v>11.926315789473684</v>
      </c>
      <c r="AW143" s="5">
        <v>13.442105263157893</v>
      </c>
      <c r="AX143" s="5">
        <v>15.9</v>
      </c>
      <c r="AY143" s="5">
        <v>18.578947368421051</v>
      </c>
      <c r="AZ143" s="5">
        <v>20.836842105263155</v>
      </c>
      <c r="BA143" s="5">
        <v>21.163157894736845</v>
      </c>
      <c r="BB143" s="5">
        <v>19.652631578947364</v>
      </c>
      <c r="BC143" s="5">
        <v>16.905263157894737</v>
      </c>
      <c r="BD143" s="5">
        <v>12.94736842105263</v>
      </c>
      <c r="BE143" s="5">
        <v>10.505263157894735</v>
      </c>
      <c r="BF143" s="10">
        <f t="shared" si="33"/>
        <v>15.233333333333334</v>
      </c>
      <c r="BG143" s="10">
        <f t="shared" si="35"/>
        <v>14.671052631578947</v>
      </c>
      <c r="BH143" s="10">
        <f t="shared" si="34"/>
        <v>21.163157894736845</v>
      </c>
      <c r="BI143" s="10">
        <f t="shared" si="49"/>
        <v>10.321052631578947</v>
      </c>
      <c r="BJ143" s="11">
        <f t="shared" si="50"/>
        <v>10.842105263157897</v>
      </c>
    </row>
    <row r="144" spans="1:62" x14ac:dyDescent="0.2">
      <c r="A144" s="47" t="s">
        <v>58</v>
      </c>
      <c r="C144" s="286">
        <f t="shared" si="47"/>
        <v>13</v>
      </c>
      <c r="D144" s="282">
        <f t="shared" si="44"/>
        <v>13</v>
      </c>
      <c r="E144" s="282">
        <f t="shared" si="45"/>
        <v>1</v>
      </c>
      <c r="K144" s="27">
        <f t="shared" si="48"/>
        <v>13</v>
      </c>
      <c r="L144" s="27" t="str">
        <f t="shared" si="46"/>
        <v xml:space="preserve"> </v>
      </c>
      <c r="M144" s="323"/>
      <c r="V144" s="125"/>
      <c r="W144" s="85"/>
      <c r="X144" s="80"/>
      <c r="Y144" s="80"/>
      <c r="Z144" s="80">
        <f t="shared" si="42"/>
        <v>13</v>
      </c>
      <c r="AA144" s="50">
        <f t="shared" si="51"/>
        <v>61815</v>
      </c>
      <c r="AB144" s="50">
        <f t="shared" si="51"/>
        <v>4755</v>
      </c>
      <c r="AC144" s="83"/>
      <c r="AD144" s="80"/>
      <c r="AE144" s="80"/>
      <c r="AF144" s="80"/>
      <c r="AG144" s="80"/>
      <c r="AH144" s="80" t="str">
        <f t="shared" si="43"/>
        <v xml:space="preserve"> </v>
      </c>
      <c r="AI144" s="50">
        <f t="shared" si="52"/>
        <v>0</v>
      </c>
      <c r="AJ144" s="50">
        <f t="shared" si="52"/>
        <v>0</v>
      </c>
      <c r="AS144" s="44"/>
      <c r="AT144" s="5">
        <v>23.777777777777782</v>
      </c>
      <c r="AU144" s="5">
        <v>23.766666666666666</v>
      </c>
      <c r="AV144" s="5">
        <v>24.288888888888884</v>
      </c>
      <c r="AW144" s="5">
        <v>25.1</v>
      </c>
      <c r="AX144" s="5">
        <v>26.088888888888889</v>
      </c>
      <c r="AY144" s="5">
        <v>26.611111111111111</v>
      </c>
      <c r="AZ144" s="5">
        <v>26.744444444444444</v>
      </c>
      <c r="BA144" s="5">
        <v>26.855555555555554</v>
      </c>
      <c r="BB144" s="5">
        <v>26.766666666666666</v>
      </c>
      <c r="BC144" s="5">
        <v>26.4</v>
      </c>
      <c r="BD144" s="5">
        <v>25.488888888888887</v>
      </c>
      <c r="BE144" s="5">
        <v>24.444444444444443</v>
      </c>
      <c r="BF144" s="10">
        <f t="shared" si="33"/>
        <v>25.527777777777775</v>
      </c>
      <c r="BG144" s="10">
        <f t="shared" si="35"/>
        <v>25.788888888888888</v>
      </c>
      <c r="BH144" s="10">
        <f t="shared" si="34"/>
        <v>26.855555555555554</v>
      </c>
      <c r="BI144" s="10">
        <f t="shared" si="49"/>
        <v>23.766666666666666</v>
      </c>
      <c r="BJ144" s="11">
        <f t="shared" si="50"/>
        <v>3.0888888888888886</v>
      </c>
    </row>
    <row r="145" spans="1:62" x14ac:dyDescent="0.2">
      <c r="A145" s="47" t="s">
        <v>401</v>
      </c>
      <c r="C145" s="286">
        <f t="shared" si="47"/>
        <v>14</v>
      </c>
      <c r="D145" s="282">
        <f t="shared" si="44"/>
        <v>14</v>
      </c>
      <c r="E145" s="282">
        <f t="shared" si="45"/>
        <v>1</v>
      </c>
      <c r="K145" s="27">
        <f t="shared" si="48"/>
        <v>14</v>
      </c>
      <c r="L145" s="27" t="str">
        <f t="shared" si="46"/>
        <v xml:space="preserve"> </v>
      </c>
      <c r="M145" s="323"/>
      <c r="V145" s="125"/>
      <c r="W145" s="85"/>
      <c r="X145" s="80"/>
      <c r="Y145" s="80"/>
      <c r="Z145" s="80">
        <f t="shared" si="42"/>
        <v>14</v>
      </c>
      <c r="AA145" s="50">
        <f t="shared" si="51"/>
        <v>16800</v>
      </c>
      <c r="AB145" s="50">
        <f t="shared" si="51"/>
        <v>1200</v>
      </c>
      <c r="AC145" s="83"/>
      <c r="AD145" s="80"/>
      <c r="AE145" s="80"/>
      <c r="AF145" s="80"/>
      <c r="AG145" s="80"/>
      <c r="AH145" s="80" t="str">
        <f t="shared" si="43"/>
        <v xml:space="preserve"> </v>
      </c>
      <c r="AI145" s="50">
        <f t="shared" si="52"/>
        <v>0</v>
      </c>
      <c r="AJ145" s="50">
        <f t="shared" si="52"/>
        <v>0</v>
      </c>
      <c r="AQ145">
        <v>15</v>
      </c>
      <c r="AS145" s="44"/>
      <c r="AT145" s="5"/>
      <c r="AU145" s="5"/>
      <c r="AV145" s="5"/>
      <c r="AW145" s="5"/>
      <c r="AX145" s="5"/>
      <c r="AY145" s="5"/>
      <c r="AZ145" s="5"/>
      <c r="BA145" s="5"/>
      <c r="BB145" s="5"/>
      <c r="BC145" s="5"/>
      <c r="BD145" s="5"/>
      <c r="BE145" s="5"/>
      <c r="BF145" s="10"/>
      <c r="BG145" s="10"/>
      <c r="BH145" s="10"/>
      <c r="BI145" s="10"/>
      <c r="BJ145" s="11"/>
    </row>
    <row r="146" spans="1:62" x14ac:dyDescent="0.2">
      <c r="A146" s="47" t="s">
        <v>402</v>
      </c>
      <c r="C146" s="286">
        <f t="shared" si="47"/>
        <v>15</v>
      </c>
      <c r="D146" s="282">
        <f t="shared" si="44"/>
        <v>15</v>
      </c>
      <c r="E146" s="282">
        <f t="shared" si="45"/>
        <v>1</v>
      </c>
      <c r="K146" s="27">
        <f t="shared" si="48"/>
        <v>15</v>
      </c>
      <c r="L146" s="27">
        <f t="shared" si="46"/>
        <v>2.8</v>
      </c>
      <c r="M146" s="323"/>
      <c r="V146" s="125"/>
      <c r="W146" s="85"/>
      <c r="X146" s="80"/>
      <c r="Y146" s="80"/>
      <c r="Z146" s="80">
        <f t="shared" si="42"/>
        <v>15</v>
      </c>
      <c r="AA146" s="50">
        <f t="shared" si="51"/>
        <v>18000</v>
      </c>
      <c r="AB146" s="50">
        <f t="shared" si="51"/>
        <v>1200</v>
      </c>
      <c r="AC146" s="83"/>
      <c r="AD146" s="80"/>
      <c r="AE146" s="80"/>
      <c r="AF146" s="80"/>
      <c r="AG146" s="80"/>
      <c r="AH146" s="80">
        <f t="shared" si="43"/>
        <v>2.8</v>
      </c>
      <c r="AI146" s="50">
        <f t="shared" si="52"/>
        <v>3360</v>
      </c>
      <c r="AJ146" s="50">
        <f t="shared" si="52"/>
        <v>1200</v>
      </c>
      <c r="AS146" s="44"/>
      <c r="AT146" s="5"/>
      <c r="AU146" s="5"/>
      <c r="AV146" s="5"/>
      <c r="AW146" s="5"/>
      <c r="AX146" s="5"/>
      <c r="AY146" s="5"/>
      <c r="AZ146" s="5"/>
      <c r="BA146" s="5"/>
      <c r="BB146" s="5"/>
      <c r="BC146" s="5"/>
      <c r="BD146" s="5"/>
      <c r="BE146" s="5"/>
      <c r="BF146" s="10"/>
      <c r="BG146" s="10"/>
      <c r="BH146" s="10"/>
      <c r="BI146" s="10"/>
      <c r="BJ146" s="11"/>
    </row>
    <row r="147" spans="1:62" x14ac:dyDescent="0.2">
      <c r="A147" s="47" t="s">
        <v>95</v>
      </c>
      <c r="C147" s="286">
        <f t="shared" si="47"/>
        <v>18.2</v>
      </c>
      <c r="D147" s="282">
        <f t="shared" si="44"/>
        <v>54.6</v>
      </c>
      <c r="E147" s="282">
        <f t="shared" si="45"/>
        <v>3</v>
      </c>
      <c r="K147" s="27">
        <f t="shared" si="48"/>
        <v>25.492690726359069</v>
      </c>
      <c r="L147" s="27">
        <f t="shared" si="46"/>
        <v>8.7866605756052998</v>
      </c>
      <c r="M147" s="323"/>
      <c r="V147" s="125"/>
      <c r="W147" s="85"/>
      <c r="X147" s="80"/>
      <c r="Y147" s="80"/>
      <c r="Z147" s="80">
        <f t="shared" si="42"/>
        <v>25.492690726359069</v>
      </c>
      <c r="AA147" s="50">
        <f t="shared" si="51"/>
        <v>167410.5</v>
      </c>
      <c r="AB147" s="50">
        <f t="shared" si="51"/>
        <v>6567</v>
      </c>
      <c r="AC147" s="83"/>
      <c r="AD147" s="80"/>
      <c r="AE147" s="80"/>
      <c r="AF147" s="80"/>
      <c r="AG147" s="80"/>
      <c r="AH147" s="80">
        <f t="shared" si="43"/>
        <v>8.7866605756052998</v>
      </c>
      <c r="AI147" s="50">
        <f t="shared" si="52"/>
        <v>57702</v>
      </c>
      <c r="AJ147" s="50">
        <f t="shared" si="52"/>
        <v>6567</v>
      </c>
      <c r="AQ147">
        <v>15</v>
      </c>
      <c r="AS147" s="44"/>
      <c r="AT147" s="5">
        <v>-2.9833333333333338</v>
      </c>
      <c r="AU147" s="5">
        <v>-1.1666666666666665</v>
      </c>
      <c r="AV147" s="5">
        <v>3.5083333333333333</v>
      </c>
      <c r="AW147" s="5">
        <v>9.7166666666666668</v>
      </c>
      <c r="AX147" s="5">
        <v>15.275</v>
      </c>
      <c r="AY147" s="5">
        <v>18.783333333333335</v>
      </c>
      <c r="AZ147" s="5">
        <v>20.633333333333333</v>
      </c>
      <c r="BA147" s="5">
        <v>20.058333333333334</v>
      </c>
      <c r="BB147" s="5">
        <v>15.891666666666667</v>
      </c>
      <c r="BC147" s="5">
        <v>10.4</v>
      </c>
      <c r="BD147" s="5">
        <v>4.55</v>
      </c>
      <c r="BE147" s="5">
        <v>-0.22500000000000001</v>
      </c>
      <c r="BF147" s="10">
        <f t="shared" si="33"/>
        <v>9.5368055555555564</v>
      </c>
      <c r="BG147" s="10">
        <f t="shared" si="35"/>
        <v>10.058333333333334</v>
      </c>
      <c r="BH147" s="10">
        <f t="shared" si="34"/>
        <v>20.633333333333333</v>
      </c>
      <c r="BI147" s="10">
        <f t="shared" si="49"/>
        <v>-2.9833333333333338</v>
      </c>
      <c r="BJ147" s="11">
        <f t="shared" si="50"/>
        <v>23.616666666666667</v>
      </c>
    </row>
    <row r="148" spans="1:62" x14ac:dyDescent="0.2">
      <c r="A148" s="47" t="s">
        <v>403</v>
      </c>
      <c r="C148" s="286">
        <f t="shared" si="47"/>
        <v>22</v>
      </c>
      <c r="D148" s="282">
        <f t="shared" si="44"/>
        <v>22</v>
      </c>
      <c r="E148" s="282">
        <f t="shared" si="45"/>
        <v>1</v>
      </c>
      <c r="H148" t="s">
        <v>503</v>
      </c>
      <c r="K148" s="27">
        <f t="shared" si="48"/>
        <v>22</v>
      </c>
      <c r="L148" s="27">
        <f t="shared" si="46"/>
        <v>7</v>
      </c>
      <c r="M148" s="323"/>
      <c r="V148" s="125"/>
      <c r="W148" s="85"/>
      <c r="X148" s="80"/>
      <c r="Y148" s="80"/>
      <c r="Z148" s="80">
        <f t="shared" si="42"/>
        <v>22</v>
      </c>
      <c r="AA148" s="50">
        <f t="shared" si="51"/>
        <v>120604</v>
      </c>
      <c r="AB148" s="50">
        <f t="shared" si="51"/>
        <v>5482</v>
      </c>
      <c r="AC148" s="83"/>
      <c r="AD148" s="80"/>
      <c r="AE148" s="80"/>
      <c r="AF148" s="80"/>
      <c r="AG148" s="80"/>
      <c r="AH148" s="80">
        <f t="shared" si="43"/>
        <v>7</v>
      </c>
      <c r="AI148" s="50">
        <f t="shared" si="52"/>
        <v>38374</v>
      </c>
      <c r="AJ148" s="50">
        <f t="shared" si="52"/>
        <v>5482</v>
      </c>
      <c r="AQ148">
        <v>15</v>
      </c>
      <c r="AS148" s="44"/>
      <c r="AT148" s="5">
        <v>-14.663461538461551</v>
      </c>
      <c r="AU148" s="5">
        <v>-13.171474358974356</v>
      </c>
      <c r="AV148" s="5">
        <v>-7.1099358974358955</v>
      </c>
      <c r="AW148" s="5">
        <v>2.0141025641025636</v>
      </c>
      <c r="AX148" s="5">
        <v>9.6439102564102548</v>
      </c>
      <c r="AY148" s="5">
        <v>15.519230769230763</v>
      </c>
      <c r="AZ148" s="5">
        <v>18.385256410256414</v>
      </c>
      <c r="BA148" s="5">
        <v>16.756730769230778</v>
      </c>
      <c r="BB148" s="5">
        <v>11.163461538461538</v>
      </c>
      <c r="BC148" s="5">
        <v>3.1644230769230779</v>
      </c>
      <c r="BD148" s="5">
        <v>-5.7477564102564127</v>
      </c>
      <c r="BE148" s="5">
        <v>-11.976282051282059</v>
      </c>
      <c r="BF148" s="10">
        <f>AVERAGE(AT148:BE148)</f>
        <v>1.9981837606837596</v>
      </c>
      <c r="BG148" s="10">
        <f>MEDIAN(AT148:BE148)</f>
        <v>2.589262820512821</v>
      </c>
      <c r="BH148" s="10">
        <f>MAX(AT148:BE148)</f>
        <v>18.385256410256414</v>
      </c>
      <c r="BI148" s="10">
        <f t="shared" si="49"/>
        <v>-14.663461538461551</v>
      </c>
      <c r="BJ148" s="11">
        <f t="shared" si="50"/>
        <v>33.048717948717965</v>
      </c>
    </row>
    <row r="149" spans="1:62" x14ac:dyDescent="0.2">
      <c r="A149" s="47" t="s">
        <v>188</v>
      </c>
      <c r="C149" s="286">
        <f t="shared" si="47"/>
        <v>28.669999999999998</v>
      </c>
      <c r="D149" s="282">
        <f t="shared" si="44"/>
        <v>86.009999999999991</v>
      </c>
      <c r="E149" s="282">
        <f t="shared" si="45"/>
        <v>3</v>
      </c>
      <c r="K149" s="27">
        <f t="shared" si="48"/>
        <v>33.692462632301847</v>
      </c>
      <c r="L149" s="27">
        <f t="shared" si="46"/>
        <v>9.6</v>
      </c>
      <c r="M149" s="323"/>
      <c r="V149" s="125"/>
      <c r="W149" s="85"/>
      <c r="X149" s="80"/>
      <c r="Y149" s="80"/>
      <c r="Z149" s="80">
        <f t="shared" si="42"/>
        <v>33.692462632301847</v>
      </c>
      <c r="AA149" s="50">
        <f t="shared" si="51"/>
        <v>417011.61</v>
      </c>
      <c r="AB149" s="50">
        <f t="shared" si="51"/>
        <v>12377</v>
      </c>
      <c r="AC149" s="83"/>
      <c r="AD149" s="80"/>
      <c r="AE149" s="80"/>
      <c r="AF149" s="80"/>
      <c r="AG149" s="80"/>
      <c r="AH149" s="80">
        <f t="shared" si="43"/>
        <v>9.6</v>
      </c>
      <c r="AI149" s="50">
        <f t="shared" si="52"/>
        <v>108681.59999999999</v>
      </c>
      <c r="AJ149" s="50">
        <f t="shared" si="52"/>
        <v>11321</v>
      </c>
      <c r="AQ149">
        <v>9</v>
      </c>
      <c r="AS149" s="44"/>
      <c r="AT149" s="5">
        <v>24.8</v>
      </c>
      <c r="AU149" s="5">
        <v>25.2</v>
      </c>
      <c r="AV149" s="5">
        <v>25.2</v>
      </c>
      <c r="AW149" s="5">
        <v>25</v>
      </c>
      <c r="AX149" s="5">
        <v>25</v>
      </c>
      <c r="AY149" s="5">
        <v>24.3</v>
      </c>
      <c r="AZ149" s="5">
        <v>23.7</v>
      </c>
      <c r="BA149" s="5">
        <v>23.7</v>
      </c>
      <c r="BB149" s="5">
        <v>24.2</v>
      </c>
      <c r="BC149" s="5">
        <v>24.5</v>
      </c>
      <c r="BD149" s="5">
        <v>24.5</v>
      </c>
      <c r="BE149" s="5">
        <v>24.6</v>
      </c>
      <c r="BF149" s="10">
        <f t="shared" si="33"/>
        <v>24.558333333333334</v>
      </c>
      <c r="BG149" s="10">
        <f t="shared" si="35"/>
        <v>24.55</v>
      </c>
      <c r="BH149" s="10">
        <f t="shared" si="34"/>
        <v>25.2</v>
      </c>
      <c r="BI149" s="10">
        <f t="shared" si="49"/>
        <v>23.7</v>
      </c>
      <c r="BJ149" s="11">
        <f t="shared" si="50"/>
        <v>1.5</v>
      </c>
    </row>
    <row r="150" spans="1:62" x14ac:dyDescent="0.2">
      <c r="A150" s="47" t="s">
        <v>404</v>
      </c>
      <c r="C150" s="286">
        <f t="shared" si="47"/>
        <v>33.4</v>
      </c>
      <c r="D150" s="282">
        <f t="shared" si="44"/>
        <v>33.4</v>
      </c>
      <c r="E150" s="282">
        <f t="shared" si="45"/>
        <v>1</v>
      </c>
      <c r="K150" s="27">
        <f t="shared" si="48"/>
        <v>33.4</v>
      </c>
      <c r="L150" s="27">
        <f t="shared" si="46"/>
        <v>21.1</v>
      </c>
      <c r="M150" s="323"/>
      <c r="V150" s="125"/>
      <c r="W150" s="85"/>
      <c r="X150" s="80"/>
      <c r="Y150" s="80"/>
      <c r="Z150" s="80">
        <f t="shared" si="42"/>
        <v>33.4</v>
      </c>
      <c r="AA150" s="50">
        <f t="shared" si="51"/>
        <v>66132</v>
      </c>
      <c r="AB150" s="50">
        <f t="shared" si="51"/>
        <v>1980</v>
      </c>
      <c r="AC150" s="83"/>
      <c r="AD150" s="80"/>
      <c r="AE150" s="80"/>
      <c r="AF150" s="80"/>
      <c r="AG150" s="80"/>
      <c r="AH150" s="80">
        <f t="shared" si="43"/>
        <v>21.1</v>
      </c>
      <c r="AI150" s="50">
        <f t="shared" si="52"/>
        <v>41778</v>
      </c>
      <c r="AJ150" s="50">
        <f t="shared" si="52"/>
        <v>1980</v>
      </c>
      <c r="AQ150">
        <v>11</v>
      </c>
      <c r="BI150" s="10"/>
      <c r="BJ150" s="11"/>
    </row>
    <row r="151" spans="1:62" x14ac:dyDescent="0.2">
      <c r="A151" s="47" t="s">
        <v>189</v>
      </c>
      <c r="C151" s="286">
        <f t="shared" si="47"/>
        <v>41</v>
      </c>
      <c r="D151" s="282">
        <f t="shared" si="44"/>
        <v>41</v>
      </c>
      <c r="E151" s="282">
        <f t="shared" si="45"/>
        <v>1</v>
      </c>
      <c r="K151" s="27">
        <f t="shared" si="48"/>
        <v>41</v>
      </c>
      <c r="L151" s="27" t="str">
        <f t="shared" si="46"/>
        <v xml:space="preserve"> </v>
      </c>
      <c r="M151" s="323"/>
      <c r="V151" s="152" t="s">
        <v>732</v>
      </c>
      <c r="W151" s="85"/>
      <c r="X151" s="80"/>
      <c r="Y151" s="80"/>
      <c r="Z151" s="80">
        <f t="shared" si="42"/>
        <v>41</v>
      </c>
      <c r="AA151" s="50">
        <f t="shared" si="51"/>
        <v>9430</v>
      </c>
      <c r="AB151" s="50">
        <f t="shared" si="51"/>
        <v>230</v>
      </c>
      <c r="AC151" s="83"/>
      <c r="AD151" s="80"/>
      <c r="AE151" s="80"/>
      <c r="AF151" s="80"/>
      <c r="AG151" s="80"/>
      <c r="AH151" s="80" t="str">
        <f t="shared" si="43"/>
        <v xml:space="preserve"> </v>
      </c>
      <c r="AI151" s="50">
        <f t="shared" si="52"/>
        <v>0</v>
      </c>
      <c r="AJ151" s="50">
        <f t="shared" si="52"/>
        <v>0</v>
      </c>
      <c r="AQ151">
        <v>13</v>
      </c>
      <c r="AS151" s="44"/>
      <c r="AT151" s="5">
        <v>17.208333333333336</v>
      </c>
      <c r="AU151" s="5">
        <v>18.375</v>
      </c>
      <c r="AV151" s="5">
        <v>21.683333333333334</v>
      </c>
      <c r="AW151" s="5">
        <v>24.708333333333332</v>
      </c>
      <c r="AX151" s="5">
        <v>28.208333333333339</v>
      </c>
      <c r="AY151" s="5">
        <v>30.85</v>
      </c>
      <c r="AZ151" s="5">
        <v>31.733333333333334</v>
      </c>
      <c r="BA151" s="5">
        <v>31.49166666666666</v>
      </c>
      <c r="BB151" s="5">
        <v>30.058333333333337</v>
      </c>
      <c r="BC151" s="5">
        <v>26.783333333333331</v>
      </c>
      <c r="BD151" s="5">
        <v>22.616666666666664</v>
      </c>
      <c r="BE151" s="5">
        <v>18.583333333333332</v>
      </c>
      <c r="BF151" s="10">
        <f t="shared" si="33"/>
        <v>25.191666666666666</v>
      </c>
      <c r="BG151" s="10">
        <f t="shared" si="35"/>
        <v>25.74583333333333</v>
      </c>
      <c r="BH151" s="10">
        <f t="shared" si="34"/>
        <v>31.733333333333334</v>
      </c>
      <c r="BI151" s="10">
        <f t="shared" si="49"/>
        <v>17.208333333333336</v>
      </c>
      <c r="BJ151" s="11">
        <f t="shared" si="50"/>
        <v>14.524999999999999</v>
      </c>
    </row>
    <row r="152" spans="1:62" x14ac:dyDescent="0.2">
      <c r="A152" s="47" t="s">
        <v>190</v>
      </c>
      <c r="C152" s="286"/>
      <c r="D152" s="282">
        <f t="shared" si="44"/>
        <v>0</v>
      </c>
      <c r="E152" s="282">
        <f t="shared" si="45"/>
        <v>0</v>
      </c>
      <c r="H152" t="s">
        <v>503</v>
      </c>
      <c r="K152" s="27" t="str">
        <f t="shared" si="48"/>
        <v xml:space="preserve"> </v>
      </c>
      <c r="L152" s="27" t="str">
        <f t="shared" si="46"/>
        <v xml:space="preserve"> </v>
      </c>
      <c r="M152" s="323"/>
      <c r="V152" s="125"/>
      <c r="W152" s="85"/>
      <c r="X152" s="80"/>
      <c r="Y152" s="80"/>
      <c r="Z152" s="80" t="str">
        <f t="shared" si="42"/>
        <v xml:space="preserve"> </v>
      </c>
      <c r="AA152" s="50">
        <f t="shared" si="51"/>
        <v>0</v>
      </c>
      <c r="AB152" s="50">
        <f t="shared" si="51"/>
        <v>0</v>
      </c>
      <c r="AC152" s="83"/>
      <c r="AD152" s="80"/>
      <c r="AE152" s="80"/>
      <c r="AF152" s="80"/>
      <c r="AG152" s="80"/>
      <c r="AH152" s="80" t="str">
        <f t="shared" si="43"/>
        <v xml:space="preserve"> </v>
      </c>
      <c r="AI152" s="50">
        <f t="shared" si="52"/>
        <v>0</v>
      </c>
      <c r="AJ152" s="50">
        <f t="shared" si="52"/>
        <v>0</v>
      </c>
      <c r="AQ152">
        <v>7</v>
      </c>
      <c r="AS152" s="44"/>
      <c r="AT152" s="5">
        <v>22.337499999999999</v>
      </c>
      <c r="AU152" s="5">
        <v>23.991666666666664</v>
      </c>
      <c r="AV152" s="5">
        <v>26.004166666666666</v>
      </c>
      <c r="AW152" s="5">
        <v>27.441666666666663</v>
      </c>
      <c r="AX152" s="5">
        <v>29.104166666666661</v>
      </c>
      <c r="AY152" s="5">
        <v>29.975000000000001</v>
      </c>
      <c r="AZ152" s="5">
        <v>29.529166666666665</v>
      </c>
      <c r="BA152" s="5">
        <v>29</v>
      </c>
      <c r="BB152" s="5">
        <v>28.962499999999999</v>
      </c>
      <c r="BC152" s="5">
        <v>28.725000000000001</v>
      </c>
      <c r="BD152" s="5">
        <v>26.104166666666668</v>
      </c>
      <c r="BE152" s="5">
        <v>22.658333333333335</v>
      </c>
      <c r="BF152" s="10">
        <f t="shared" si="33"/>
        <v>26.986111111111114</v>
      </c>
      <c r="BG152" s="10">
        <f t="shared" si="35"/>
        <v>28.083333333333332</v>
      </c>
      <c r="BH152" s="10">
        <f t="shared" si="34"/>
        <v>29.975000000000001</v>
      </c>
      <c r="BI152" s="10">
        <f t="shared" si="49"/>
        <v>22.337499999999999</v>
      </c>
      <c r="BJ152" s="11">
        <f t="shared" si="50"/>
        <v>7.6375000000000028</v>
      </c>
    </row>
    <row r="153" spans="1:62" x14ac:dyDescent="0.2">
      <c r="A153" s="47" t="s">
        <v>405</v>
      </c>
      <c r="B153" s="48" t="s">
        <v>221</v>
      </c>
      <c r="C153" s="286">
        <f t="shared" si="47"/>
        <v>17.5</v>
      </c>
      <c r="D153" s="282">
        <f t="shared" si="44"/>
        <v>35</v>
      </c>
      <c r="E153" s="282">
        <f t="shared" si="45"/>
        <v>2</v>
      </c>
      <c r="G153" s="48"/>
      <c r="K153" s="27">
        <f t="shared" si="48"/>
        <v>20.598948060486521</v>
      </c>
      <c r="L153" s="27">
        <f t="shared" si="46"/>
        <v>4.7462195923734383</v>
      </c>
      <c r="M153" s="323"/>
      <c r="V153" s="125"/>
      <c r="W153" s="85"/>
      <c r="X153" s="80"/>
      <c r="Y153" s="80"/>
      <c r="Z153" s="80">
        <f t="shared" si="42"/>
        <v>20.598948060486521</v>
      </c>
      <c r="AA153" s="50">
        <f t="shared" si="51"/>
        <v>31331</v>
      </c>
      <c r="AB153" s="50">
        <f t="shared" si="51"/>
        <v>1521</v>
      </c>
      <c r="AC153" s="83"/>
      <c r="AD153" s="80"/>
      <c r="AE153" s="80"/>
      <c r="AF153" s="80"/>
      <c r="AG153" s="80"/>
      <c r="AH153" s="80">
        <f t="shared" si="43"/>
        <v>4.7462195923734383</v>
      </c>
      <c r="AI153" s="50">
        <f t="shared" si="52"/>
        <v>7219</v>
      </c>
      <c r="AJ153" s="50">
        <f t="shared" si="52"/>
        <v>1521</v>
      </c>
      <c r="AQ153">
        <v>14</v>
      </c>
      <c r="AS153" s="44"/>
      <c r="AT153" s="5"/>
      <c r="AU153" s="5"/>
      <c r="AV153" s="5"/>
      <c r="AW153" s="5"/>
      <c r="AX153" s="5"/>
      <c r="AY153" s="5"/>
      <c r="AZ153" s="5"/>
      <c r="BA153" s="5"/>
      <c r="BB153" s="5"/>
      <c r="BC153" s="5"/>
      <c r="BD153" s="5"/>
      <c r="BE153" s="5"/>
      <c r="BF153" s="10"/>
      <c r="BG153" s="10"/>
      <c r="BH153" s="10"/>
      <c r="BI153" s="10"/>
      <c r="BJ153" s="11"/>
    </row>
    <row r="154" spans="1:62" x14ac:dyDescent="0.2">
      <c r="A154" s="47" t="s">
        <v>191</v>
      </c>
      <c r="C154" s="286">
        <f t="shared" si="47"/>
        <v>28</v>
      </c>
      <c r="D154" s="282">
        <f t="shared" si="44"/>
        <v>28</v>
      </c>
      <c r="E154" s="282">
        <f t="shared" si="45"/>
        <v>1</v>
      </c>
      <c r="H154" t="s">
        <v>503</v>
      </c>
      <c r="K154" s="27">
        <f t="shared" si="48"/>
        <v>28</v>
      </c>
      <c r="L154" s="27" t="str">
        <f t="shared" si="46"/>
        <v xml:space="preserve"> </v>
      </c>
      <c r="M154" s="323"/>
      <c r="V154" s="125"/>
      <c r="W154" s="85"/>
      <c r="X154" s="80"/>
      <c r="Y154" s="80"/>
      <c r="Z154" s="80">
        <f t="shared" si="42"/>
        <v>28</v>
      </c>
      <c r="AA154" s="50">
        <f t="shared" si="51"/>
        <v>16940</v>
      </c>
      <c r="AB154" s="50">
        <f t="shared" si="51"/>
        <v>605</v>
      </c>
      <c r="AC154" s="83"/>
      <c r="AD154" s="80"/>
      <c r="AE154" s="80"/>
      <c r="AF154" s="80"/>
      <c r="AG154" s="80"/>
      <c r="AH154" s="80" t="str">
        <f t="shared" si="43"/>
        <v xml:space="preserve"> </v>
      </c>
      <c r="AI154" s="50">
        <f t="shared" si="52"/>
        <v>0</v>
      </c>
      <c r="AJ154" s="50">
        <f t="shared" si="52"/>
        <v>0</v>
      </c>
      <c r="AQ154">
        <v>6</v>
      </c>
      <c r="AS154" s="44"/>
      <c r="AT154" s="5">
        <v>26.06</v>
      </c>
      <c r="AU154" s="5">
        <v>27.24</v>
      </c>
      <c r="AV154" s="5">
        <v>27.78</v>
      </c>
      <c r="AW154" s="5">
        <v>27.76</v>
      </c>
      <c r="AX154" s="5">
        <v>27.02</v>
      </c>
      <c r="AY154" s="5">
        <v>26.08</v>
      </c>
      <c r="AZ154" s="5">
        <v>25.18</v>
      </c>
      <c r="BA154" s="5">
        <v>24.98</v>
      </c>
      <c r="BB154" s="5">
        <v>25.52</v>
      </c>
      <c r="BC154" s="5">
        <v>26.06</v>
      </c>
      <c r="BD154" s="5">
        <v>26.28</v>
      </c>
      <c r="BE154" s="5">
        <v>25.66</v>
      </c>
      <c r="BF154" s="10">
        <f t="shared" si="33"/>
        <v>26.301666666666673</v>
      </c>
      <c r="BG154" s="10">
        <f t="shared" si="35"/>
        <v>26.07</v>
      </c>
      <c r="BH154" s="10">
        <f t="shared" si="34"/>
        <v>27.78</v>
      </c>
      <c r="BI154" s="10">
        <f t="shared" si="49"/>
        <v>24.98</v>
      </c>
      <c r="BJ154" s="11">
        <f t="shared" si="50"/>
        <v>2.8000000000000007</v>
      </c>
    </row>
    <row r="155" spans="1:62" x14ac:dyDescent="0.2">
      <c r="A155" s="47" t="s">
        <v>192</v>
      </c>
      <c r="B155" s="101"/>
      <c r="C155" s="286">
        <f t="shared" si="47"/>
        <v>6.8</v>
      </c>
      <c r="D155" s="282">
        <f t="shared" si="44"/>
        <v>6.8</v>
      </c>
      <c r="E155" s="282">
        <f t="shared" si="45"/>
        <v>1</v>
      </c>
      <c r="G155" s="101"/>
      <c r="I155" s="101"/>
      <c r="K155" s="27">
        <f t="shared" si="48"/>
        <v>6.8</v>
      </c>
      <c r="L155" s="27">
        <f t="shared" si="46"/>
        <v>2.1</v>
      </c>
      <c r="M155" s="323"/>
      <c r="V155" s="125"/>
      <c r="W155" s="85"/>
      <c r="X155" s="80"/>
      <c r="Y155" s="80"/>
      <c r="Z155" s="80">
        <f t="shared" si="42"/>
        <v>6.8</v>
      </c>
      <c r="AA155" s="50">
        <f t="shared" si="51"/>
        <v>13640.8</v>
      </c>
      <c r="AB155" s="50">
        <f t="shared" si="51"/>
        <v>2006</v>
      </c>
      <c r="AC155" s="83"/>
      <c r="AD155" s="80"/>
      <c r="AE155" s="80"/>
      <c r="AF155" s="80"/>
      <c r="AG155" s="80"/>
      <c r="AH155" s="80">
        <f t="shared" si="43"/>
        <v>2.1</v>
      </c>
      <c r="AI155" s="50">
        <f t="shared" si="52"/>
        <v>4212.6000000000004</v>
      </c>
      <c r="AJ155" s="50">
        <f t="shared" si="52"/>
        <v>2006</v>
      </c>
      <c r="AS155" s="44"/>
      <c r="AT155" s="5">
        <v>26</v>
      </c>
      <c r="AU155" s="5">
        <v>26.6</v>
      </c>
      <c r="AV155" s="5">
        <v>27</v>
      </c>
      <c r="AW155" s="5">
        <v>27.3</v>
      </c>
      <c r="AX155" s="5">
        <v>27.6</v>
      </c>
      <c r="AY155" s="5">
        <v>27.5</v>
      </c>
      <c r="AZ155" s="5">
        <v>27.3</v>
      </c>
      <c r="BA155" s="5">
        <v>27.2</v>
      </c>
      <c r="BB155" s="5">
        <v>27.1</v>
      </c>
      <c r="BC155" s="5">
        <v>27</v>
      </c>
      <c r="BD155" s="5">
        <v>26.6</v>
      </c>
      <c r="BE155" s="5">
        <v>26.1</v>
      </c>
      <c r="BF155" s="10">
        <f t="shared" si="33"/>
        <v>26.941666666666674</v>
      </c>
      <c r="BG155" s="10">
        <f t="shared" si="35"/>
        <v>27.05</v>
      </c>
      <c r="BH155" s="10">
        <f t="shared" si="34"/>
        <v>27.6</v>
      </c>
      <c r="BI155" s="10">
        <f t="shared" si="49"/>
        <v>26</v>
      </c>
      <c r="BJ155" s="11">
        <f t="shared" si="50"/>
        <v>1.6000000000000014</v>
      </c>
    </row>
    <row r="156" spans="1:62" x14ac:dyDescent="0.2">
      <c r="A156" s="47" t="s">
        <v>406</v>
      </c>
      <c r="C156" s="286">
        <f t="shared" si="47"/>
        <v>25.15</v>
      </c>
      <c r="D156" s="282">
        <f t="shared" si="44"/>
        <v>50.3</v>
      </c>
      <c r="E156" s="282">
        <f t="shared" si="45"/>
        <v>2</v>
      </c>
      <c r="K156" s="27">
        <f t="shared" si="48"/>
        <v>21</v>
      </c>
      <c r="L156" s="27">
        <f t="shared" si="46"/>
        <v>12.2</v>
      </c>
      <c r="M156" s="323"/>
      <c r="V156" s="125"/>
      <c r="W156" s="85"/>
      <c r="X156" s="80"/>
      <c r="Y156" s="80"/>
      <c r="Z156" s="80">
        <f t="shared" si="42"/>
        <v>21</v>
      </c>
      <c r="AA156" s="50">
        <f t="shared" si="51"/>
        <v>17367</v>
      </c>
      <c r="AB156" s="50">
        <f t="shared" si="51"/>
        <v>827</v>
      </c>
      <c r="AC156" s="83"/>
      <c r="AD156" s="80"/>
      <c r="AE156" s="80"/>
      <c r="AF156" s="80"/>
      <c r="AG156" s="80"/>
      <c r="AH156" s="80">
        <f t="shared" si="43"/>
        <v>12.2</v>
      </c>
      <c r="AI156" s="50">
        <f t="shared" si="52"/>
        <v>10089.4</v>
      </c>
      <c r="AJ156" s="50">
        <f t="shared" si="52"/>
        <v>827</v>
      </c>
      <c r="AQ156">
        <v>16</v>
      </c>
      <c r="AS156" s="44"/>
      <c r="AT156" s="5"/>
      <c r="AU156" s="5"/>
      <c r="AV156" s="5"/>
      <c r="AW156" s="5"/>
      <c r="AX156" s="5"/>
      <c r="AY156" s="5"/>
      <c r="AZ156" s="5"/>
      <c r="BA156" s="5"/>
      <c r="BB156" s="5"/>
      <c r="BC156" s="5"/>
      <c r="BD156" s="5"/>
      <c r="BE156" s="5"/>
      <c r="BF156" s="10"/>
      <c r="BG156" s="10"/>
      <c r="BH156" s="10"/>
      <c r="BI156" s="10"/>
      <c r="BJ156" s="11"/>
    </row>
    <row r="157" spans="1:62" x14ac:dyDescent="0.2">
      <c r="A157" s="47" t="s">
        <v>407</v>
      </c>
      <c r="C157" s="286"/>
      <c r="D157" s="282">
        <f t="shared" si="44"/>
        <v>13.063629600000001</v>
      </c>
      <c r="E157" s="282">
        <f t="shared" si="45"/>
        <v>1</v>
      </c>
      <c r="K157" s="27">
        <f t="shared" si="48"/>
        <v>13.063629600000001</v>
      </c>
      <c r="L157" s="27" t="str">
        <f t="shared" si="46"/>
        <v xml:space="preserve"> </v>
      </c>
      <c r="M157" s="323"/>
      <c r="V157" s="125"/>
      <c r="W157" s="85"/>
      <c r="X157" s="80"/>
      <c r="Y157" s="80"/>
      <c r="Z157" s="80">
        <f t="shared" si="42"/>
        <v>13.063629600000001</v>
      </c>
      <c r="AA157" s="50">
        <f t="shared" si="51"/>
        <v>13063629586.936371</v>
      </c>
      <c r="AB157" s="50">
        <f t="shared" si="51"/>
        <v>999999999</v>
      </c>
      <c r="AC157" s="83"/>
      <c r="AD157" s="80"/>
      <c r="AE157" s="80"/>
      <c r="AF157" s="80"/>
      <c r="AG157" s="80"/>
      <c r="AH157" s="80" t="str">
        <f t="shared" si="43"/>
        <v xml:space="preserve"> </v>
      </c>
      <c r="AI157" s="50">
        <f t="shared" si="52"/>
        <v>0</v>
      </c>
      <c r="AJ157" s="50">
        <f t="shared" si="52"/>
        <v>0</v>
      </c>
      <c r="AQ157">
        <v>18</v>
      </c>
      <c r="AS157" s="44"/>
      <c r="AT157" s="5"/>
      <c r="AU157" s="5"/>
      <c r="AV157" s="5"/>
      <c r="AW157" s="5"/>
      <c r="AX157" s="5"/>
      <c r="AY157" s="5"/>
      <c r="AZ157" s="5"/>
      <c r="BA157" s="5"/>
      <c r="BB157" s="5"/>
      <c r="BC157" s="5"/>
      <c r="BD157" s="5"/>
      <c r="BE157" s="5"/>
      <c r="BF157" s="10"/>
      <c r="BG157" s="10"/>
      <c r="BH157" s="10"/>
      <c r="BI157" s="10"/>
      <c r="BJ157" s="11"/>
    </row>
    <row r="158" spans="1:62" x14ac:dyDescent="0.2">
      <c r="A158" s="47" t="s">
        <v>408</v>
      </c>
      <c r="C158" s="286">
        <f t="shared" si="47"/>
        <v>46</v>
      </c>
      <c r="D158" s="282">
        <f t="shared" si="44"/>
        <v>46</v>
      </c>
      <c r="E158" s="282">
        <f t="shared" si="45"/>
        <v>1</v>
      </c>
      <c r="H158" t="s">
        <v>503</v>
      </c>
      <c r="K158" s="27">
        <f t="shared" si="48"/>
        <v>46</v>
      </c>
      <c r="L158" s="27" t="str">
        <f t="shared" si="46"/>
        <v xml:space="preserve"> </v>
      </c>
      <c r="M158" s="323"/>
      <c r="V158" s="125"/>
      <c r="W158" s="85"/>
      <c r="X158" s="80"/>
      <c r="Y158" s="80"/>
      <c r="Z158" s="80">
        <f t="shared" si="42"/>
        <v>46</v>
      </c>
      <c r="AA158" s="50">
        <f t="shared" si="51"/>
        <v>45999999954</v>
      </c>
      <c r="AB158" s="50">
        <f t="shared" si="51"/>
        <v>999999999</v>
      </c>
      <c r="AC158" s="83"/>
      <c r="AD158" s="80"/>
      <c r="AE158" s="80"/>
      <c r="AF158" s="80"/>
      <c r="AG158" s="80"/>
      <c r="AH158" s="80" t="str">
        <f t="shared" si="43"/>
        <v xml:space="preserve"> </v>
      </c>
      <c r="AI158" s="50">
        <f t="shared" si="52"/>
        <v>0</v>
      </c>
      <c r="AJ158" s="50">
        <f t="shared" si="52"/>
        <v>0</v>
      </c>
      <c r="AQ158">
        <v>9</v>
      </c>
      <c r="AS158" s="44"/>
      <c r="AT158" s="5"/>
      <c r="AU158" s="5"/>
      <c r="AV158" s="5"/>
      <c r="AW158" s="5"/>
      <c r="AX158" s="5"/>
      <c r="AY158" s="5"/>
      <c r="AZ158" s="5"/>
      <c r="BA158" s="5"/>
      <c r="BB158" s="5"/>
      <c r="BC158" s="5"/>
      <c r="BD158" s="5"/>
      <c r="BE158" s="5"/>
      <c r="BF158" s="10"/>
      <c r="BG158" s="10"/>
      <c r="BH158" s="10"/>
      <c r="BI158" s="10"/>
      <c r="BJ158" s="11"/>
    </row>
    <row r="159" spans="1:62" x14ac:dyDescent="0.2">
      <c r="A159" s="47" t="s">
        <v>193</v>
      </c>
      <c r="C159" s="286"/>
      <c r="D159" s="282">
        <f t="shared" si="44"/>
        <v>0</v>
      </c>
      <c r="E159" s="282">
        <f t="shared" si="45"/>
        <v>0</v>
      </c>
      <c r="K159" s="27" t="str">
        <f t="shared" si="48"/>
        <v xml:space="preserve"> </v>
      </c>
      <c r="L159" s="27" t="str">
        <f t="shared" si="46"/>
        <v xml:space="preserve"> </v>
      </c>
      <c r="M159" s="323"/>
      <c r="V159" s="125"/>
      <c r="W159" s="85"/>
      <c r="X159" s="80"/>
      <c r="Y159" s="80"/>
      <c r="Z159" s="80" t="str">
        <f t="shared" si="42"/>
        <v xml:space="preserve"> </v>
      </c>
      <c r="AA159" s="50">
        <f t="shared" si="51"/>
        <v>0</v>
      </c>
      <c r="AB159" s="50">
        <f t="shared" si="51"/>
        <v>0</v>
      </c>
      <c r="AC159" s="83"/>
      <c r="AD159" s="80"/>
      <c r="AE159" s="80"/>
      <c r="AF159" s="80"/>
      <c r="AG159" s="80"/>
      <c r="AH159" s="80" t="str">
        <f t="shared" si="43"/>
        <v xml:space="preserve"> </v>
      </c>
      <c r="AI159" s="50">
        <f t="shared" si="52"/>
        <v>0</v>
      </c>
      <c r="AJ159" s="50">
        <f t="shared" si="52"/>
        <v>0</v>
      </c>
      <c r="AS159" s="44"/>
      <c r="AT159" s="5">
        <v>25.083333333333329</v>
      </c>
      <c r="AU159" s="5">
        <v>25.683333333333334</v>
      </c>
      <c r="AV159" s="5">
        <v>26.9</v>
      </c>
      <c r="AW159" s="5">
        <v>28.333333333333332</v>
      </c>
      <c r="AX159" s="5">
        <v>28.916666666666671</v>
      </c>
      <c r="AY159" s="5">
        <v>29.416666666666661</v>
      </c>
      <c r="AZ159" s="5">
        <v>29.183333333333334</v>
      </c>
      <c r="BA159" s="5">
        <v>29.083333333333332</v>
      </c>
      <c r="BB159" s="5">
        <v>28.9</v>
      </c>
      <c r="BC159" s="5">
        <v>27.4</v>
      </c>
      <c r="BD159" s="5">
        <v>26.083333333333332</v>
      </c>
      <c r="BE159" s="5">
        <v>25.3</v>
      </c>
      <c r="BF159" s="10">
        <f t="shared" si="33"/>
        <v>27.523611111111109</v>
      </c>
      <c r="BG159" s="10">
        <f t="shared" si="35"/>
        <v>27.866666666666667</v>
      </c>
      <c r="BH159" s="10">
        <f t="shared" si="34"/>
        <v>29.416666666666661</v>
      </c>
      <c r="BI159" s="10">
        <f t="shared" si="49"/>
        <v>25.083333333333329</v>
      </c>
      <c r="BJ159" s="11">
        <f t="shared" si="50"/>
        <v>4.3333333333333321</v>
      </c>
    </row>
    <row r="160" spans="1:62" x14ac:dyDescent="0.2">
      <c r="A160" s="47" t="s">
        <v>194</v>
      </c>
      <c r="B160" t="s">
        <v>6</v>
      </c>
      <c r="C160" s="286">
        <f t="shared" si="47"/>
        <v>25.457142857142856</v>
      </c>
      <c r="D160" s="282">
        <f t="shared" si="44"/>
        <v>178.2</v>
      </c>
      <c r="E160" s="282">
        <f t="shared" si="45"/>
        <v>7</v>
      </c>
      <c r="H160" t="s">
        <v>503</v>
      </c>
      <c r="K160" s="27">
        <f t="shared" si="48"/>
        <v>15.576861609727851</v>
      </c>
      <c r="L160" s="27">
        <f t="shared" si="46"/>
        <v>7.505906195715113</v>
      </c>
      <c r="M160" s="323"/>
      <c r="V160" s="125"/>
      <c r="W160" s="85"/>
      <c r="X160" s="80"/>
      <c r="Y160" s="80"/>
      <c r="Z160" s="80">
        <f t="shared" si="42"/>
        <v>15.576861609727851</v>
      </c>
      <c r="AA160" s="50">
        <f t="shared" si="51"/>
        <v>403518.6</v>
      </c>
      <c r="AB160" s="50">
        <f t="shared" si="51"/>
        <v>25905</v>
      </c>
      <c r="AC160" s="83"/>
      <c r="AD160" s="80"/>
      <c r="AE160" s="80"/>
      <c r="AF160" s="80"/>
      <c r="AG160" s="80"/>
      <c r="AH160" s="80">
        <f t="shared" si="43"/>
        <v>7.505906195715113</v>
      </c>
      <c r="AI160" s="50">
        <f t="shared" si="52"/>
        <v>194440.5</v>
      </c>
      <c r="AJ160" s="50">
        <f t="shared" si="52"/>
        <v>25905</v>
      </c>
      <c r="AS160" s="44"/>
      <c r="AT160" s="5">
        <v>21.171999999999997</v>
      </c>
      <c r="AU160" s="5">
        <v>21.032000000000004</v>
      </c>
      <c r="AV160" s="5">
        <v>19.727999999999998</v>
      </c>
      <c r="AW160" s="5">
        <v>17.14</v>
      </c>
      <c r="AX160" s="5">
        <v>14.164000000000003</v>
      </c>
      <c r="AY160" s="5">
        <v>11.852000000000002</v>
      </c>
      <c r="AZ160" s="5">
        <v>11.54</v>
      </c>
      <c r="BA160" s="5">
        <v>13.031999999999998</v>
      </c>
      <c r="BB160" s="5">
        <v>15.391999999999998</v>
      </c>
      <c r="BC160" s="5">
        <v>17.36</v>
      </c>
      <c r="BD160" s="5">
        <v>18.935999999999996</v>
      </c>
      <c r="BE160" s="5">
        <v>20.336000000000002</v>
      </c>
      <c r="BF160" s="10">
        <f t="shared" si="33"/>
        <v>16.807000000000006</v>
      </c>
      <c r="BG160" s="10">
        <f t="shared" si="35"/>
        <v>17.25</v>
      </c>
      <c r="BH160" s="10">
        <f t="shared" si="34"/>
        <v>21.171999999999997</v>
      </c>
      <c r="BI160" s="10">
        <f t="shared" si="49"/>
        <v>11.54</v>
      </c>
      <c r="BJ160" s="11">
        <f t="shared" si="50"/>
        <v>9.6319999999999979</v>
      </c>
    </row>
    <row r="161" spans="1:62" x14ac:dyDescent="0.2">
      <c r="A161" s="47" t="s">
        <v>409</v>
      </c>
      <c r="C161" s="286"/>
      <c r="D161" s="282">
        <f t="shared" si="44"/>
        <v>0</v>
      </c>
      <c r="E161" s="282">
        <f t="shared" si="45"/>
        <v>0</v>
      </c>
      <c r="H161" t="s">
        <v>503</v>
      </c>
      <c r="K161" s="27" t="str">
        <f t="shared" si="48"/>
        <v xml:space="preserve"> </v>
      </c>
      <c r="L161" s="27" t="str">
        <f t="shared" si="46"/>
        <v xml:space="preserve"> </v>
      </c>
      <c r="M161" s="323"/>
      <c r="V161" s="125"/>
      <c r="W161" s="85"/>
      <c r="X161" s="80"/>
      <c r="Y161" s="80"/>
      <c r="Z161" s="80" t="str">
        <f t="shared" si="42"/>
        <v xml:space="preserve"> </v>
      </c>
      <c r="AA161" s="50">
        <f t="shared" si="51"/>
        <v>0</v>
      </c>
      <c r="AB161" s="50">
        <f t="shared" si="51"/>
        <v>0</v>
      </c>
      <c r="AC161" s="83"/>
      <c r="AD161" s="80"/>
      <c r="AE161" s="80"/>
      <c r="AF161" s="80"/>
      <c r="AG161" s="80"/>
      <c r="AH161" s="80" t="str">
        <f t="shared" si="43"/>
        <v xml:space="preserve"> </v>
      </c>
      <c r="AI161" s="50">
        <f t="shared" si="52"/>
        <v>0</v>
      </c>
      <c r="AJ161" s="50">
        <f t="shared" si="52"/>
        <v>0</v>
      </c>
      <c r="BI161" s="10"/>
      <c r="BJ161" s="11"/>
    </row>
    <row r="162" spans="1:62" x14ac:dyDescent="0.2">
      <c r="A162" s="47" t="s">
        <v>195</v>
      </c>
      <c r="C162" s="286">
        <f t="shared" si="47"/>
        <v>18.55</v>
      </c>
      <c r="D162" s="282">
        <f t="shared" si="44"/>
        <v>37.1</v>
      </c>
      <c r="E162" s="282">
        <f t="shared" si="45"/>
        <v>2</v>
      </c>
      <c r="K162" s="27">
        <f t="shared" si="48"/>
        <v>14.6583231621444</v>
      </c>
      <c r="L162" s="27">
        <f t="shared" si="46"/>
        <v>5.1426523729221874</v>
      </c>
      <c r="M162" s="323"/>
      <c r="V162" s="125"/>
      <c r="W162" s="85"/>
      <c r="X162" s="80"/>
      <c r="Y162" s="80"/>
      <c r="Z162" s="80">
        <f t="shared" si="42"/>
        <v>14.6583231621444</v>
      </c>
      <c r="AA162" s="50">
        <f t="shared" si="51"/>
        <v>156125.80000000002</v>
      </c>
      <c r="AB162" s="50">
        <f t="shared" si="51"/>
        <v>10651</v>
      </c>
      <c r="AC162" s="83"/>
      <c r="AD162" s="80"/>
      <c r="AE162" s="80"/>
      <c r="AF162" s="80"/>
      <c r="AG162" s="80"/>
      <c r="AH162" s="80">
        <f t="shared" si="43"/>
        <v>5.1426523729221874</v>
      </c>
      <c r="AI162" s="50">
        <f t="shared" si="52"/>
        <v>21347.15</v>
      </c>
      <c r="AJ162" s="50">
        <f t="shared" si="52"/>
        <v>4151</v>
      </c>
      <c r="AQ162">
        <v>17</v>
      </c>
      <c r="AS162" s="44"/>
      <c r="AT162" s="5">
        <v>7.1550000000000002</v>
      </c>
      <c r="AU162" s="5">
        <v>8.2200000000000006</v>
      </c>
      <c r="AV162" s="5">
        <v>10.595000000000001</v>
      </c>
      <c r="AW162" s="5">
        <v>12.66</v>
      </c>
      <c r="AX162" s="5">
        <v>15.865</v>
      </c>
      <c r="AY162" s="5">
        <v>19.465</v>
      </c>
      <c r="AZ162" s="5">
        <v>22.414999999999999</v>
      </c>
      <c r="BA162" s="5">
        <v>22.425000000000001</v>
      </c>
      <c r="BB162" s="5">
        <v>19.824999999999999</v>
      </c>
      <c r="BC162" s="5">
        <v>15.33</v>
      </c>
      <c r="BD162" s="5">
        <v>10.645</v>
      </c>
      <c r="BE162" s="5">
        <v>7.7249999999999996</v>
      </c>
      <c r="BF162" s="10">
        <f t="shared" si="33"/>
        <v>14.360416666666667</v>
      </c>
      <c r="BG162" s="10">
        <f t="shared" si="35"/>
        <v>13.995000000000001</v>
      </c>
      <c r="BH162" s="10">
        <f t="shared" si="34"/>
        <v>22.425000000000001</v>
      </c>
      <c r="BI162" s="10">
        <f t="shared" si="49"/>
        <v>7.1550000000000002</v>
      </c>
      <c r="BJ162" s="11">
        <f t="shared" si="50"/>
        <v>15.27</v>
      </c>
    </row>
    <row r="163" spans="1:62" x14ac:dyDescent="0.2">
      <c r="A163" s="47" t="s">
        <v>196</v>
      </c>
      <c r="C163" s="286">
        <f t="shared" si="47"/>
        <v>36.1</v>
      </c>
      <c r="D163" s="282">
        <f t="shared" ref="D163:D193" si="53">SUMIF($B$213:$B$562,$A163,K$213:K$562)</f>
        <v>108.3</v>
      </c>
      <c r="E163" s="282">
        <f t="shared" ref="E163:E193" si="54">COUNTIFS($B$213:$B$562,$A163, $K$213:$K$562,"&gt;0")</f>
        <v>3</v>
      </c>
      <c r="K163" s="27">
        <f t="shared" si="48"/>
        <v>25.575123830489819</v>
      </c>
      <c r="L163" s="27">
        <f t="shared" si="46"/>
        <v>13.539888682745826</v>
      </c>
      <c r="M163" s="323"/>
      <c r="V163" s="125"/>
      <c r="W163" s="85"/>
      <c r="X163" s="80"/>
      <c r="Y163" s="80"/>
      <c r="Z163" s="80">
        <f t="shared" si="42"/>
        <v>25.575123830489819</v>
      </c>
      <c r="AA163" s="50">
        <f t="shared" ref="AA163:AB182" si="55">SUMIF($B$213:$B$562,$A163,AA$213:AA$562)</f>
        <v>46470</v>
      </c>
      <c r="AB163" s="50">
        <f t="shared" si="55"/>
        <v>1817</v>
      </c>
      <c r="AC163" s="83"/>
      <c r="AD163" s="80"/>
      <c r="AE163" s="80"/>
      <c r="AF163" s="80"/>
      <c r="AG163" s="80"/>
      <c r="AH163" s="80">
        <f t="shared" si="43"/>
        <v>13.539888682745826</v>
      </c>
      <c r="AI163" s="50">
        <f t="shared" ref="AI163:AJ182" si="56">SUMIF($B$213:$B$562,$A163,AI$213:AI$562)</f>
        <v>21894</v>
      </c>
      <c r="AJ163" s="50">
        <f t="shared" si="56"/>
        <v>1617</v>
      </c>
      <c r="AS163" s="44"/>
      <c r="AT163" s="5">
        <v>23.72</v>
      </c>
      <c r="AU163" s="5">
        <v>24.24</v>
      </c>
      <c r="AV163" s="5">
        <v>25.02</v>
      </c>
      <c r="AW163" s="5">
        <v>26.04</v>
      </c>
      <c r="AX163" s="5">
        <v>26.42</v>
      </c>
      <c r="AY163" s="5">
        <v>26.06</v>
      </c>
      <c r="AZ163" s="5">
        <v>25.7</v>
      </c>
      <c r="BA163" s="5">
        <v>25.54</v>
      </c>
      <c r="BB163" s="5">
        <v>25.54</v>
      </c>
      <c r="BC163" s="5">
        <v>25.08</v>
      </c>
      <c r="BD163" s="5">
        <v>24.36</v>
      </c>
      <c r="BE163" s="5">
        <v>23.86</v>
      </c>
      <c r="BF163" s="10">
        <f t="shared" si="33"/>
        <v>25.131666666666664</v>
      </c>
      <c r="BG163" s="10">
        <f t="shared" si="35"/>
        <v>25.31</v>
      </c>
      <c r="BH163" s="10">
        <f t="shared" si="34"/>
        <v>26.42</v>
      </c>
      <c r="BI163" s="10">
        <f t="shared" si="49"/>
        <v>23.72</v>
      </c>
      <c r="BJ163" s="11">
        <f t="shared" si="50"/>
        <v>2.7000000000000028</v>
      </c>
    </row>
    <row r="164" spans="1:62" x14ac:dyDescent="0.2">
      <c r="A164" s="47" t="s">
        <v>410</v>
      </c>
      <c r="C164" s="286"/>
      <c r="D164" s="282">
        <f t="shared" si="53"/>
        <v>0</v>
      </c>
      <c r="E164" s="282">
        <f t="shared" si="54"/>
        <v>0</v>
      </c>
      <c r="H164" t="s">
        <v>503</v>
      </c>
      <c r="K164" s="27" t="str">
        <f t="shared" si="48"/>
        <v xml:space="preserve"> </v>
      </c>
      <c r="L164" s="27" t="str">
        <f t="shared" si="46"/>
        <v xml:space="preserve"> </v>
      </c>
      <c r="M164" s="323"/>
      <c r="V164" s="125"/>
      <c r="W164" s="85"/>
      <c r="X164" s="80"/>
      <c r="Y164" s="80"/>
      <c r="Z164" s="80" t="str">
        <f t="shared" si="42"/>
        <v xml:space="preserve"> </v>
      </c>
      <c r="AA164" s="50">
        <f t="shared" si="55"/>
        <v>0</v>
      </c>
      <c r="AB164" s="50">
        <f t="shared" si="55"/>
        <v>0</v>
      </c>
      <c r="AC164" s="83"/>
      <c r="AD164" s="80"/>
      <c r="AE164" s="80"/>
      <c r="AF164" s="80"/>
      <c r="AG164" s="80"/>
      <c r="AH164" s="80" t="str">
        <f t="shared" si="43"/>
        <v xml:space="preserve"> </v>
      </c>
      <c r="AI164" s="50">
        <f t="shared" si="56"/>
        <v>0</v>
      </c>
      <c r="AJ164" s="50">
        <f t="shared" si="56"/>
        <v>0</v>
      </c>
      <c r="AS164" s="44"/>
      <c r="AT164" s="5"/>
      <c r="AU164" s="5"/>
      <c r="AV164" s="5"/>
      <c r="AW164" s="5"/>
      <c r="AX164" s="5"/>
      <c r="AY164" s="5"/>
      <c r="AZ164" s="5"/>
      <c r="BA164" s="5"/>
      <c r="BB164" s="5"/>
      <c r="BC164" s="5"/>
      <c r="BD164" s="5"/>
      <c r="BE164" s="5"/>
      <c r="BF164" s="10"/>
      <c r="BG164" s="10"/>
      <c r="BH164" s="10"/>
      <c r="BI164" s="10"/>
      <c r="BJ164" s="11"/>
    </row>
    <row r="165" spans="1:62" x14ac:dyDescent="0.2">
      <c r="A165" s="47" t="s">
        <v>411</v>
      </c>
      <c r="C165" s="286"/>
      <c r="D165" s="282">
        <f t="shared" si="53"/>
        <v>0</v>
      </c>
      <c r="E165" s="282">
        <f t="shared" si="54"/>
        <v>0</v>
      </c>
      <c r="H165" t="s">
        <v>503</v>
      </c>
      <c r="K165" s="27" t="str">
        <f t="shared" si="48"/>
        <v xml:space="preserve"> </v>
      </c>
      <c r="L165" s="27" t="str">
        <f t="shared" si="46"/>
        <v xml:space="preserve"> </v>
      </c>
      <c r="M165" s="323"/>
      <c r="V165" s="125"/>
      <c r="W165" s="85"/>
      <c r="X165" s="80"/>
      <c r="Y165" s="80"/>
      <c r="Z165" s="80" t="str">
        <f t="shared" si="42"/>
        <v xml:space="preserve"> </v>
      </c>
      <c r="AA165" s="50">
        <f t="shared" si="55"/>
        <v>0</v>
      </c>
      <c r="AB165" s="50">
        <f t="shared" si="55"/>
        <v>0</v>
      </c>
      <c r="AC165" s="83"/>
      <c r="AD165" s="80"/>
      <c r="AE165" s="80"/>
      <c r="AF165" s="80"/>
      <c r="AG165" s="80"/>
      <c r="AH165" s="80" t="str">
        <f t="shared" si="43"/>
        <v xml:space="preserve"> </v>
      </c>
      <c r="AI165" s="50">
        <f t="shared" si="56"/>
        <v>0</v>
      </c>
      <c r="AJ165" s="50">
        <f t="shared" si="56"/>
        <v>0</v>
      </c>
      <c r="AS165" s="44"/>
      <c r="AT165" s="5"/>
      <c r="AU165" s="5"/>
      <c r="AV165" s="5"/>
      <c r="AW165" s="5"/>
      <c r="AX165" s="5"/>
      <c r="AY165" s="5"/>
      <c r="AZ165" s="5"/>
      <c r="BA165" s="5"/>
      <c r="BB165" s="5"/>
      <c r="BC165" s="5"/>
      <c r="BD165" s="5"/>
      <c r="BE165" s="5"/>
      <c r="BF165" s="10"/>
      <c r="BG165" s="10"/>
      <c r="BH165" s="10"/>
      <c r="BI165" s="10"/>
      <c r="BJ165" s="11"/>
    </row>
    <row r="166" spans="1:62" x14ac:dyDescent="0.2">
      <c r="A166" s="47" t="s">
        <v>197</v>
      </c>
      <c r="C166" s="286">
        <f t="shared" si="47"/>
        <v>41.6243654822335</v>
      </c>
      <c r="D166" s="282">
        <f t="shared" si="53"/>
        <v>41.6243654822335</v>
      </c>
      <c r="E166" s="282">
        <f t="shared" si="54"/>
        <v>1</v>
      </c>
      <c r="H166" t="s">
        <v>503</v>
      </c>
      <c r="K166" s="27">
        <f t="shared" si="48"/>
        <v>41.6243654822335</v>
      </c>
      <c r="L166" s="27" t="str">
        <f t="shared" si="46"/>
        <v xml:space="preserve"> </v>
      </c>
      <c r="M166" s="323"/>
      <c r="V166" s="125"/>
      <c r="W166" s="85"/>
      <c r="X166" s="80"/>
      <c r="Y166" s="80"/>
      <c r="Z166" s="80">
        <f t="shared" si="42"/>
        <v>41.6243654822335</v>
      </c>
      <c r="AA166" s="50">
        <f t="shared" si="55"/>
        <v>16400</v>
      </c>
      <c r="AB166" s="50">
        <f t="shared" si="55"/>
        <v>394</v>
      </c>
      <c r="AC166" s="83"/>
      <c r="AD166" s="80"/>
      <c r="AE166" s="80"/>
      <c r="AF166" s="80"/>
      <c r="AG166" s="80"/>
      <c r="AH166" s="80" t="str">
        <f t="shared" si="43"/>
        <v xml:space="preserve"> </v>
      </c>
      <c r="AI166" s="50">
        <f t="shared" si="56"/>
        <v>0</v>
      </c>
      <c r="AJ166" s="50">
        <f t="shared" si="56"/>
        <v>0</v>
      </c>
      <c r="AS166" s="44"/>
      <c r="AT166" s="5">
        <v>22.26</v>
      </c>
      <c r="AU166" s="5">
        <v>23.848000000000003</v>
      </c>
      <c r="AV166" s="5">
        <v>26.856000000000012</v>
      </c>
      <c r="AW166" s="5">
        <v>29.488000000000003</v>
      </c>
      <c r="AX166" s="5">
        <v>31.1</v>
      </c>
      <c r="AY166" s="5">
        <v>30.9</v>
      </c>
      <c r="AZ166" s="5">
        <v>29.36</v>
      </c>
      <c r="BA166" s="5">
        <v>28.592000000000002</v>
      </c>
      <c r="BB166" s="5">
        <v>28.996000000000002</v>
      </c>
      <c r="BC166" s="5">
        <v>28.615999999999996</v>
      </c>
      <c r="BD166" s="5">
        <v>26.12</v>
      </c>
      <c r="BE166" s="5">
        <v>23.072000000000003</v>
      </c>
      <c r="BF166" s="10">
        <f t="shared" si="33"/>
        <v>27.434000000000001</v>
      </c>
      <c r="BG166" s="10">
        <f t="shared" si="35"/>
        <v>28.603999999999999</v>
      </c>
      <c r="BH166" s="10">
        <f t="shared" si="34"/>
        <v>31.1</v>
      </c>
      <c r="BI166" s="10">
        <f t="shared" si="49"/>
        <v>22.26</v>
      </c>
      <c r="BJ166" s="11">
        <f t="shared" si="50"/>
        <v>8.84</v>
      </c>
    </row>
    <row r="167" spans="1:62" x14ac:dyDescent="0.2">
      <c r="A167" s="47" t="s">
        <v>412</v>
      </c>
      <c r="C167" s="286"/>
      <c r="D167" s="282">
        <f t="shared" si="53"/>
        <v>0</v>
      </c>
      <c r="E167" s="282">
        <f t="shared" si="54"/>
        <v>0</v>
      </c>
      <c r="K167" s="27" t="str">
        <f t="shared" si="48"/>
        <v xml:space="preserve"> </v>
      </c>
      <c r="L167" s="27" t="str">
        <f t="shared" si="46"/>
        <v xml:space="preserve"> </v>
      </c>
      <c r="M167" s="323"/>
      <c r="V167" s="125"/>
      <c r="W167" s="85"/>
      <c r="X167" s="80"/>
      <c r="Y167" s="80"/>
      <c r="Z167" s="80" t="str">
        <f t="shared" si="42"/>
        <v xml:space="preserve"> </v>
      </c>
      <c r="AA167" s="50">
        <f t="shared" si="55"/>
        <v>0</v>
      </c>
      <c r="AB167" s="50">
        <f t="shared" si="55"/>
        <v>0</v>
      </c>
      <c r="AC167" s="83"/>
      <c r="AD167" s="80"/>
      <c r="AE167" s="80"/>
      <c r="AF167" s="80"/>
      <c r="AG167" s="80"/>
      <c r="AH167" s="80" t="str">
        <f t="shared" si="43"/>
        <v xml:space="preserve"> </v>
      </c>
      <c r="AI167" s="50">
        <f t="shared" si="56"/>
        <v>0</v>
      </c>
      <c r="AJ167" s="50">
        <f t="shared" si="56"/>
        <v>0</v>
      </c>
      <c r="AQ167">
        <v>13</v>
      </c>
      <c r="AS167" s="44"/>
      <c r="AT167" s="5"/>
      <c r="AU167" s="5"/>
      <c r="AV167" s="5"/>
      <c r="AW167" s="5"/>
      <c r="AX167" s="5"/>
      <c r="AY167" s="5"/>
      <c r="AZ167" s="5"/>
      <c r="BA167" s="5"/>
      <c r="BB167" s="5"/>
      <c r="BC167" s="5"/>
      <c r="BD167" s="5"/>
      <c r="BE167" s="5"/>
      <c r="BF167" s="10"/>
      <c r="BG167" s="10"/>
      <c r="BH167" s="10"/>
      <c r="BI167" s="10"/>
      <c r="BJ167" s="11"/>
    </row>
    <row r="168" spans="1:62" x14ac:dyDescent="0.2">
      <c r="A168" s="47" t="s">
        <v>413</v>
      </c>
      <c r="C168" s="286"/>
      <c r="D168" s="282">
        <f t="shared" si="53"/>
        <v>0</v>
      </c>
      <c r="E168" s="282">
        <f t="shared" si="54"/>
        <v>0</v>
      </c>
      <c r="K168" s="27" t="str">
        <f t="shared" si="48"/>
        <v xml:space="preserve"> </v>
      </c>
      <c r="L168" s="27">
        <f t="shared" si="46"/>
        <v>21.373307543520308</v>
      </c>
      <c r="M168" s="323"/>
      <c r="V168" s="125"/>
      <c r="W168" s="85"/>
      <c r="X168" s="80"/>
      <c r="Y168" s="80"/>
      <c r="Z168" s="80" t="str">
        <f t="shared" si="42"/>
        <v xml:space="preserve"> </v>
      </c>
      <c r="AA168" s="50">
        <f t="shared" si="55"/>
        <v>0</v>
      </c>
      <c r="AB168" s="50">
        <f t="shared" si="55"/>
        <v>0</v>
      </c>
      <c r="AC168" s="83"/>
      <c r="AD168" s="80"/>
      <c r="AE168" s="80"/>
      <c r="AF168" s="80"/>
      <c r="AG168" s="80"/>
      <c r="AH168" s="80">
        <f t="shared" si="43"/>
        <v>21.373307543520308</v>
      </c>
      <c r="AI168" s="50">
        <f t="shared" si="56"/>
        <v>23980.851063829785</v>
      </c>
      <c r="AJ168" s="50">
        <f t="shared" si="56"/>
        <v>1122</v>
      </c>
      <c r="AQ168">
        <v>10</v>
      </c>
      <c r="AS168" s="44"/>
      <c r="AT168" s="5"/>
      <c r="AU168" s="5"/>
      <c r="AV168" s="5"/>
      <c r="AW168" s="5"/>
      <c r="AX168" s="5"/>
      <c r="AY168" s="5"/>
      <c r="AZ168" s="5"/>
      <c r="BA168" s="5"/>
      <c r="BB168" s="5"/>
      <c r="BC168" s="5"/>
      <c r="BD168" s="5"/>
      <c r="BE168" s="5"/>
      <c r="BF168" s="10"/>
      <c r="BG168" s="10"/>
      <c r="BH168" s="10"/>
      <c r="BI168" s="10"/>
      <c r="BJ168" s="11"/>
    </row>
    <row r="169" spans="1:62" x14ac:dyDescent="0.2">
      <c r="A169" s="47" t="s">
        <v>96</v>
      </c>
      <c r="C169" s="286">
        <f t="shared" si="47"/>
        <v>28.833333333333332</v>
      </c>
      <c r="D169" s="282">
        <f t="shared" si="53"/>
        <v>86.5</v>
      </c>
      <c r="E169" s="282">
        <f t="shared" si="54"/>
        <v>3</v>
      </c>
      <c r="K169" s="27">
        <f t="shared" si="48"/>
        <v>23.897741424802113</v>
      </c>
      <c r="L169" s="27">
        <f t="shared" si="46"/>
        <v>4.0681481481481478</v>
      </c>
      <c r="M169" s="323"/>
      <c r="V169" s="125"/>
      <c r="W169" s="85"/>
      <c r="X169" s="80"/>
      <c r="Y169" s="80"/>
      <c r="Z169" s="80">
        <f t="shared" si="42"/>
        <v>23.897741424802113</v>
      </c>
      <c r="AA169" s="50">
        <f t="shared" si="55"/>
        <v>226431.10000000003</v>
      </c>
      <c r="AB169" s="50">
        <f t="shared" si="55"/>
        <v>9475</v>
      </c>
      <c r="AC169" s="83"/>
      <c r="AD169" s="80"/>
      <c r="AE169" s="80"/>
      <c r="AF169" s="80"/>
      <c r="AG169" s="80"/>
      <c r="AH169" s="80">
        <f t="shared" si="43"/>
        <v>4.0681481481481478</v>
      </c>
      <c r="AI169" s="50">
        <f t="shared" si="56"/>
        <v>24714</v>
      </c>
      <c r="AJ169" s="50">
        <f t="shared" si="56"/>
        <v>6075</v>
      </c>
      <c r="AQ169">
        <v>16</v>
      </c>
      <c r="AS169" s="44"/>
      <c r="AT169" s="5">
        <v>-6.4722222222222241</v>
      </c>
      <c r="AU169" s="5">
        <v>-6.1722222222222234</v>
      </c>
      <c r="AV169" s="5">
        <v>-2.8777777777777782</v>
      </c>
      <c r="AW169" s="5">
        <v>2.3944444444444439</v>
      </c>
      <c r="AX169" s="5">
        <v>8.1277777777777764</v>
      </c>
      <c r="AY169" s="5">
        <v>13.55</v>
      </c>
      <c r="AZ169" s="5">
        <v>15.755555555555553</v>
      </c>
      <c r="BA169" s="5">
        <v>14.433333333333334</v>
      </c>
      <c r="BB169" s="5">
        <v>10.199999999999999</v>
      </c>
      <c r="BC169" s="5">
        <v>5.0444444444444452</v>
      </c>
      <c r="BD169" s="5">
        <v>-0.5</v>
      </c>
      <c r="BE169" s="5">
        <v>-4.5888888888888903</v>
      </c>
      <c r="BF169" s="10">
        <f t="shared" si="33"/>
        <v>4.0745370370370368</v>
      </c>
      <c r="BG169" s="10">
        <f t="shared" si="35"/>
        <v>3.7194444444444446</v>
      </c>
      <c r="BH169" s="10">
        <f t="shared" si="34"/>
        <v>15.755555555555553</v>
      </c>
      <c r="BI169" s="10">
        <f t="shared" si="49"/>
        <v>-6.4722222222222241</v>
      </c>
      <c r="BJ169" s="11">
        <f t="shared" si="50"/>
        <v>22.227777777777778</v>
      </c>
    </row>
    <row r="170" spans="1:62" x14ac:dyDescent="0.2">
      <c r="A170" s="47" t="s">
        <v>97</v>
      </c>
      <c r="C170" s="286">
        <f t="shared" si="47"/>
        <v>11</v>
      </c>
      <c r="D170" s="282">
        <f t="shared" si="53"/>
        <v>22</v>
      </c>
      <c r="E170" s="282">
        <f t="shared" si="54"/>
        <v>2</v>
      </c>
      <c r="K170" s="27">
        <f t="shared" si="48"/>
        <v>10.774098166765228</v>
      </c>
      <c r="L170" s="27">
        <f t="shared" si="46"/>
        <v>3.2176227084565348</v>
      </c>
      <c r="M170" s="323"/>
      <c r="V170" s="125"/>
      <c r="W170" s="85"/>
      <c r="X170" s="80"/>
      <c r="Y170" s="80"/>
      <c r="Z170" s="80">
        <f t="shared" si="42"/>
        <v>10.774098166765228</v>
      </c>
      <c r="AA170" s="50">
        <f t="shared" si="55"/>
        <v>36438</v>
      </c>
      <c r="AB170" s="50">
        <f t="shared" si="55"/>
        <v>3382</v>
      </c>
      <c r="AC170" s="83"/>
      <c r="AD170" s="80"/>
      <c r="AE170" s="80"/>
      <c r="AF170" s="80"/>
      <c r="AG170" s="80"/>
      <c r="AH170" s="80">
        <f t="shared" si="43"/>
        <v>3.2176227084565348</v>
      </c>
      <c r="AI170" s="50">
        <f t="shared" si="56"/>
        <v>10882</v>
      </c>
      <c r="AJ170" s="50">
        <f t="shared" si="56"/>
        <v>3382</v>
      </c>
      <c r="AQ170">
        <v>15</v>
      </c>
      <c r="AS170" s="44"/>
      <c r="AT170" s="5">
        <v>-1.1428571428571426</v>
      </c>
      <c r="AU170" s="5">
        <v>0.32857142857142857</v>
      </c>
      <c r="AV170" s="5">
        <v>3.3</v>
      </c>
      <c r="AW170" s="5">
        <v>7.2142857142857144</v>
      </c>
      <c r="AX170" s="5">
        <v>11.442857142857141</v>
      </c>
      <c r="AY170" s="5">
        <v>14.828571428571427</v>
      </c>
      <c r="AZ170" s="5">
        <v>16.985714285714288</v>
      </c>
      <c r="BA170" s="5">
        <v>16.257142857142856</v>
      </c>
      <c r="BB170" s="5">
        <v>13.242857142857146</v>
      </c>
      <c r="BC170" s="5">
        <v>8.3714285714285719</v>
      </c>
      <c r="BD170" s="5">
        <v>3.5142857142857147</v>
      </c>
      <c r="BE170" s="5">
        <v>4.2857142857142767E-2</v>
      </c>
      <c r="BF170" s="10">
        <f t="shared" si="33"/>
        <v>7.8654761904761905</v>
      </c>
      <c r="BG170" s="10">
        <f t="shared" si="35"/>
        <v>7.7928571428571427</v>
      </c>
      <c r="BH170" s="10">
        <f t="shared" si="34"/>
        <v>16.985714285714288</v>
      </c>
      <c r="BI170" s="10">
        <f t="shared" si="49"/>
        <v>-1.1428571428571426</v>
      </c>
      <c r="BJ170" s="11">
        <f t="shared" si="50"/>
        <v>18.12857142857143</v>
      </c>
    </row>
    <row r="171" spans="1:62" x14ac:dyDescent="0.2">
      <c r="A171" s="47" t="s">
        <v>198</v>
      </c>
      <c r="C171" s="286">
        <f t="shared" si="47"/>
        <v>21.4</v>
      </c>
      <c r="D171" s="282">
        <f t="shared" si="53"/>
        <v>42.8</v>
      </c>
      <c r="E171" s="282">
        <f t="shared" si="54"/>
        <v>2</v>
      </c>
      <c r="K171" s="27">
        <f t="shared" si="48"/>
        <v>20.307037358818416</v>
      </c>
      <c r="L171" s="27" t="str">
        <f t="shared" si="46"/>
        <v xml:space="preserve"> </v>
      </c>
      <c r="M171" s="323"/>
      <c r="V171" s="125"/>
      <c r="W171" s="85"/>
      <c r="X171" s="80"/>
      <c r="Y171" s="80"/>
      <c r="Z171" s="80">
        <f t="shared" si="42"/>
        <v>20.307037358818416</v>
      </c>
      <c r="AA171" s="50">
        <f t="shared" si="55"/>
        <v>46746.799999999996</v>
      </c>
      <c r="AB171" s="50">
        <f t="shared" si="55"/>
        <v>2302</v>
      </c>
      <c r="AC171" s="83"/>
      <c r="AD171" s="80"/>
      <c r="AE171" s="80"/>
      <c r="AF171" s="80"/>
      <c r="AG171" s="80"/>
      <c r="AH171" s="80" t="str">
        <f t="shared" si="43"/>
        <v xml:space="preserve"> </v>
      </c>
      <c r="AI171" s="50">
        <f t="shared" si="56"/>
        <v>0</v>
      </c>
      <c r="AJ171" s="50">
        <f t="shared" si="56"/>
        <v>0</v>
      </c>
      <c r="AS171" s="44"/>
      <c r="AT171" s="5">
        <v>7.1875</v>
      </c>
      <c r="AU171" s="5">
        <v>8.7624999999999993</v>
      </c>
      <c r="AV171" s="5">
        <v>12.262499999999999</v>
      </c>
      <c r="AW171" s="5">
        <v>16.987500000000001</v>
      </c>
      <c r="AX171" s="5">
        <v>22.237500000000001</v>
      </c>
      <c r="AY171" s="5">
        <v>26.6</v>
      </c>
      <c r="AZ171" s="5">
        <v>29.1875</v>
      </c>
      <c r="BA171" s="5">
        <v>29.112500000000001</v>
      </c>
      <c r="BB171" s="5">
        <v>25.65</v>
      </c>
      <c r="BC171" s="5">
        <v>20.3125</v>
      </c>
      <c r="BD171" s="5">
        <v>13.475</v>
      </c>
      <c r="BE171" s="5">
        <v>8.6875</v>
      </c>
      <c r="BF171" s="10">
        <f t="shared" si="33"/>
        <v>18.371874999999999</v>
      </c>
      <c r="BG171" s="10">
        <f t="shared" si="35"/>
        <v>18.649999999999999</v>
      </c>
      <c r="BH171" s="10">
        <f t="shared" si="34"/>
        <v>29.1875</v>
      </c>
      <c r="BI171" s="10">
        <f t="shared" si="49"/>
        <v>7.1875</v>
      </c>
      <c r="BJ171" s="11">
        <f t="shared" si="50"/>
        <v>22</v>
      </c>
    </row>
    <row r="172" spans="1:62" x14ac:dyDescent="0.2">
      <c r="A172" s="47" t="s">
        <v>199</v>
      </c>
      <c r="C172" s="286"/>
      <c r="D172" s="282">
        <f t="shared" si="53"/>
        <v>0</v>
      </c>
      <c r="E172" s="282">
        <f t="shared" si="54"/>
        <v>0</v>
      </c>
      <c r="K172" s="27" t="str">
        <f t="shared" si="48"/>
        <v xml:space="preserve"> </v>
      </c>
      <c r="L172" s="27" t="str">
        <f t="shared" si="46"/>
        <v xml:space="preserve"> </v>
      </c>
      <c r="M172" s="323"/>
      <c r="V172" s="125"/>
      <c r="W172" s="85"/>
      <c r="X172" s="80"/>
      <c r="Y172" s="80"/>
      <c r="Z172" s="80" t="str">
        <f t="shared" si="42"/>
        <v xml:space="preserve"> </v>
      </c>
      <c r="AA172" s="50">
        <f t="shared" si="55"/>
        <v>0</v>
      </c>
      <c r="AB172" s="50">
        <f t="shared" si="55"/>
        <v>0</v>
      </c>
      <c r="AC172" s="83"/>
      <c r="AD172" s="80"/>
      <c r="AE172" s="80"/>
      <c r="AF172" s="80"/>
      <c r="AG172" s="80"/>
      <c r="AH172" s="80" t="str">
        <f t="shared" si="43"/>
        <v xml:space="preserve"> </v>
      </c>
      <c r="AI172" s="50">
        <f t="shared" si="56"/>
        <v>0</v>
      </c>
      <c r="AJ172" s="50">
        <f t="shared" si="56"/>
        <v>0</v>
      </c>
      <c r="AS172" s="44"/>
      <c r="AT172" s="5">
        <v>17.133333333333333</v>
      </c>
      <c r="AU172" s="5">
        <v>17.433333333333334</v>
      </c>
      <c r="AV172" s="5">
        <v>19.600000000000001</v>
      </c>
      <c r="AW172" s="5">
        <v>22.85</v>
      </c>
      <c r="AX172" s="5">
        <v>25.766666666666669</v>
      </c>
      <c r="AY172" s="5">
        <v>27.266666666666666</v>
      </c>
      <c r="AZ172" s="5">
        <v>28.2</v>
      </c>
      <c r="BA172" s="5">
        <v>27.933333333333337</v>
      </c>
      <c r="BB172" s="5">
        <v>26.983333333333334</v>
      </c>
      <c r="BC172" s="5">
        <v>24.5</v>
      </c>
      <c r="BD172" s="5">
        <v>21.766666666666666</v>
      </c>
      <c r="BE172" s="5">
        <v>18.75</v>
      </c>
      <c r="BF172" s="10">
        <f t="shared" si="33"/>
        <v>23.181944444444444</v>
      </c>
      <c r="BG172" s="10">
        <f t="shared" si="35"/>
        <v>23.675000000000001</v>
      </c>
      <c r="BH172" s="10">
        <f t="shared" si="34"/>
        <v>28.2</v>
      </c>
      <c r="BI172" s="10">
        <f t="shared" si="49"/>
        <v>17.133333333333333</v>
      </c>
      <c r="BJ172" s="11">
        <f t="shared" si="50"/>
        <v>11.066666666666666</v>
      </c>
    </row>
    <row r="173" spans="1:62" x14ac:dyDescent="0.2">
      <c r="A173" s="47" t="s">
        <v>320</v>
      </c>
      <c r="C173" s="286">
        <f t="shared" si="47"/>
        <v>43</v>
      </c>
      <c r="D173" s="282">
        <f t="shared" si="53"/>
        <v>86</v>
      </c>
      <c r="E173" s="282">
        <f t="shared" si="54"/>
        <v>2</v>
      </c>
      <c r="K173" s="27">
        <f t="shared" si="48"/>
        <v>43</v>
      </c>
      <c r="L173" s="27">
        <f t="shared" si="46"/>
        <v>19</v>
      </c>
      <c r="M173" s="323"/>
      <c r="V173" s="125"/>
      <c r="W173" s="85"/>
      <c r="X173" s="80"/>
      <c r="Y173" s="80"/>
      <c r="Z173" s="80">
        <f t="shared" si="42"/>
        <v>43</v>
      </c>
      <c r="AA173" s="50">
        <f t="shared" si="55"/>
        <v>34400</v>
      </c>
      <c r="AB173" s="50">
        <f t="shared" si="55"/>
        <v>800</v>
      </c>
      <c r="AC173" s="83"/>
      <c r="AD173" s="80"/>
      <c r="AE173" s="80"/>
      <c r="AF173" s="80"/>
      <c r="AG173" s="80"/>
      <c r="AH173" s="80">
        <f t="shared" si="43"/>
        <v>19</v>
      </c>
      <c r="AI173" s="50">
        <f t="shared" si="56"/>
        <v>7600</v>
      </c>
      <c r="AJ173" s="50">
        <f t="shared" si="56"/>
        <v>400</v>
      </c>
      <c r="AQ173">
        <v>10</v>
      </c>
      <c r="AS173" s="45"/>
      <c r="AT173" s="11">
        <v>-1.2</v>
      </c>
      <c r="AU173" s="11">
        <v>1.6</v>
      </c>
      <c r="AV173" s="11">
        <v>8.3000000000000007</v>
      </c>
      <c r="AW173" s="11">
        <v>15.9</v>
      </c>
      <c r="AX173" s="11">
        <v>20.8</v>
      </c>
      <c r="AY173" s="11">
        <v>24.8</v>
      </c>
      <c r="AZ173" s="11">
        <v>26.8</v>
      </c>
      <c r="BA173" s="11">
        <v>25</v>
      </c>
      <c r="BB173" s="11">
        <v>20.100000000000001</v>
      </c>
      <c r="BC173" s="11">
        <v>13.7</v>
      </c>
      <c r="BD173" s="11">
        <v>6.5</v>
      </c>
      <c r="BE173" s="11">
        <v>1</v>
      </c>
      <c r="BF173" s="10">
        <f t="shared" si="33"/>
        <v>13.608333333333333</v>
      </c>
      <c r="BG173" s="10">
        <f t="shared" si="35"/>
        <v>14.8</v>
      </c>
      <c r="BH173" s="10">
        <f t="shared" si="34"/>
        <v>26.8</v>
      </c>
      <c r="BI173" s="10">
        <f t="shared" si="49"/>
        <v>-1.2</v>
      </c>
      <c r="BJ173" s="11">
        <f t="shared" si="50"/>
        <v>28</v>
      </c>
    </row>
    <row r="174" spans="1:62" x14ac:dyDescent="0.2">
      <c r="A174" s="47" t="s">
        <v>22</v>
      </c>
      <c r="C174" s="286">
        <f t="shared" si="47"/>
        <v>39.679999999999993</v>
      </c>
      <c r="D174" s="282">
        <f t="shared" si="53"/>
        <v>198.39999999999998</v>
      </c>
      <c r="E174" s="282">
        <f t="shared" si="54"/>
        <v>5</v>
      </c>
      <c r="K174" s="27">
        <f t="shared" si="48"/>
        <v>37.060261096605743</v>
      </c>
      <c r="L174" s="27">
        <f t="shared" si="46"/>
        <v>26.941090259159964</v>
      </c>
      <c r="M174" s="323"/>
      <c r="V174" s="125"/>
      <c r="W174" s="85"/>
      <c r="X174" s="80"/>
      <c r="Y174" s="80"/>
      <c r="Z174" s="80">
        <f t="shared" si="42"/>
        <v>37.060261096605743</v>
      </c>
      <c r="AA174" s="50">
        <f t="shared" si="55"/>
        <v>425822.4</v>
      </c>
      <c r="AB174" s="50">
        <f t="shared" si="55"/>
        <v>11490</v>
      </c>
      <c r="AC174" s="83"/>
      <c r="AD174" s="80"/>
      <c r="AE174" s="80"/>
      <c r="AF174" s="80"/>
      <c r="AG174" s="80"/>
      <c r="AH174" s="80">
        <f t="shared" si="43"/>
        <v>26.941090259159964</v>
      </c>
      <c r="AI174" s="50">
        <f t="shared" si="56"/>
        <v>301470.8</v>
      </c>
      <c r="AJ174" s="50">
        <f t="shared" si="56"/>
        <v>11190</v>
      </c>
      <c r="AS174" s="44"/>
      <c r="AT174" s="5">
        <v>24.85</v>
      </c>
      <c r="AU174" s="5">
        <v>25.1</v>
      </c>
      <c r="AV174" s="5">
        <v>24.9</v>
      </c>
      <c r="AW174" s="5">
        <v>24.2</v>
      </c>
      <c r="AX174" s="5">
        <v>23.2</v>
      </c>
      <c r="AY174" s="5">
        <v>21.95</v>
      </c>
      <c r="AZ174" s="5">
        <v>21.625</v>
      </c>
      <c r="BA174" s="5">
        <v>22.375</v>
      </c>
      <c r="BB174" s="5">
        <v>23.4</v>
      </c>
      <c r="BC174" s="5">
        <v>24.65</v>
      </c>
      <c r="BD174" s="5">
        <v>25</v>
      </c>
      <c r="BE174" s="5">
        <v>25</v>
      </c>
      <c r="BF174" s="10">
        <f t="shared" si="33"/>
        <v>23.854166666666668</v>
      </c>
      <c r="BG174" s="10">
        <f t="shared" si="35"/>
        <v>24.424999999999997</v>
      </c>
      <c r="BH174" s="10">
        <f t="shared" si="34"/>
        <v>25.1</v>
      </c>
      <c r="BI174" s="10">
        <f t="shared" si="49"/>
        <v>21.625</v>
      </c>
      <c r="BJ174" s="11">
        <f t="shared" si="50"/>
        <v>3.4750000000000014</v>
      </c>
    </row>
    <row r="175" spans="1:62" x14ac:dyDescent="0.2">
      <c r="A175" s="47" t="s">
        <v>81</v>
      </c>
      <c r="C175" s="286">
        <f t="shared" si="47"/>
        <v>25.666666666666668</v>
      </c>
      <c r="D175" s="282">
        <f t="shared" si="53"/>
        <v>77</v>
      </c>
      <c r="E175" s="282">
        <f t="shared" si="54"/>
        <v>3</v>
      </c>
      <c r="K175" s="27">
        <f t="shared" si="48"/>
        <v>26.495726495726494</v>
      </c>
      <c r="L175" s="27">
        <f t="shared" si="46"/>
        <v>10.471042471042471</v>
      </c>
      <c r="M175" s="323"/>
      <c r="V175" s="125"/>
      <c r="W175" s="85"/>
      <c r="X175" s="80"/>
      <c r="Y175" s="80"/>
      <c r="Z175" s="80">
        <f t="shared" si="42"/>
        <v>26.495726495726494</v>
      </c>
      <c r="AA175" s="50">
        <f t="shared" si="55"/>
        <v>71300</v>
      </c>
      <c r="AB175" s="50">
        <f t="shared" si="55"/>
        <v>2691</v>
      </c>
      <c r="AC175" s="83"/>
      <c r="AD175" s="80"/>
      <c r="AE175" s="80"/>
      <c r="AF175" s="80"/>
      <c r="AG175" s="80"/>
      <c r="AH175" s="80">
        <f t="shared" si="43"/>
        <v>10.471042471042471</v>
      </c>
      <c r="AI175" s="50">
        <f t="shared" si="56"/>
        <v>21696</v>
      </c>
      <c r="AJ175" s="50">
        <f t="shared" si="56"/>
        <v>2072</v>
      </c>
      <c r="AQ175">
        <v>13</v>
      </c>
      <c r="AS175" s="44"/>
      <c r="AT175" s="5">
        <v>24.138461538461538</v>
      </c>
      <c r="AU175" s="5">
        <v>25.792307692307695</v>
      </c>
      <c r="AV175" s="5">
        <v>27.423076923076923</v>
      </c>
      <c r="AW175" s="5">
        <v>28.576923076923077</v>
      </c>
      <c r="AX175" s="5">
        <v>28.238461538461536</v>
      </c>
      <c r="AY175" s="5">
        <v>27.646153846153847</v>
      </c>
      <c r="AZ175" s="5">
        <v>27.2</v>
      </c>
      <c r="BA175" s="5">
        <v>27.007692307692309</v>
      </c>
      <c r="BB175" s="5">
        <v>26.838461538461537</v>
      </c>
      <c r="BC175" s="5">
        <v>26.415384615384617</v>
      </c>
      <c r="BD175" s="5">
        <v>25.276923076923079</v>
      </c>
      <c r="BE175" s="5">
        <v>23.915384615384614</v>
      </c>
      <c r="BF175" s="10">
        <f t="shared" si="33"/>
        <v>26.53910256410256</v>
      </c>
      <c r="BG175" s="10">
        <f t="shared" si="35"/>
        <v>26.923076923076923</v>
      </c>
      <c r="BH175" s="10">
        <f t="shared" si="34"/>
        <v>28.576923076923077</v>
      </c>
      <c r="BI175" s="10">
        <f t="shared" si="49"/>
        <v>23.915384615384614</v>
      </c>
      <c r="BJ175" s="11">
        <f t="shared" si="50"/>
        <v>4.6615384615384627</v>
      </c>
    </row>
    <row r="176" spans="1:62" x14ac:dyDescent="0.2">
      <c r="A176" s="47" t="s">
        <v>200</v>
      </c>
      <c r="C176" s="286">
        <f t="shared" si="47"/>
        <v>41</v>
      </c>
      <c r="D176" s="282">
        <f t="shared" si="53"/>
        <v>41</v>
      </c>
      <c r="E176" s="282">
        <f t="shared" si="54"/>
        <v>1</v>
      </c>
      <c r="K176" s="27">
        <f t="shared" si="48"/>
        <v>41</v>
      </c>
      <c r="L176" s="27" t="str">
        <f t="shared" si="46"/>
        <v xml:space="preserve"> </v>
      </c>
      <c r="M176" s="323"/>
      <c r="V176" s="125"/>
      <c r="W176" s="85"/>
      <c r="X176" s="80"/>
      <c r="Y176" s="80"/>
      <c r="Z176" s="80">
        <f t="shared" si="42"/>
        <v>41</v>
      </c>
      <c r="AA176" s="50">
        <f t="shared" si="55"/>
        <v>40999999959</v>
      </c>
      <c r="AB176" s="50">
        <f t="shared" si="55"/>
        <v>999999999</v>
      </c>
      <c r="AC176" s="83"/>
      <c r="AD176" s="80"/>
      <c r="AE176" s="80"/>
      <c r="AF176" s="80"/>
      <c r="AG176" s="80"/>
      <c r="AH176" s="80" t="str">
        <f t="shared" si="43"/>
        <v xml:space="preserve"> </v>
      </c>
      <c r="AI176" s="50">
        <f t="shared" si="56"/>
        <v>0</v>
      </c>
      <c r="AJ176" s="50">
        <f t="shared" si="56"/>
        <v>0</v>
      </c>
      <c r="AS176" s="44"/>
      <c r="AT176" s="5">
        <v>26.6</v>
      </c>
      <c r="AU176" s="5">
        <v>28.1</v>
      </c>
      <c r="AV176" s="5">
        <v>28.68</v>
      </c>
      <c r="AW176" s="5">
        <v>28.2</v>
      </c>
      <c r="AX176" s="5">
        <v>27.26</v>
      </c>
      <c r="AY176" s="5">
        <v>25.78</v>
      </c>
      <c r="AZ176" s="5">
        <v>24.8</v>
      </c>
      <c r="BA176" s="5">
        <v>24.56</v>
      </c>
      <c r="BB176" s="5">
        <v>25.06</v>
      </c>
      <c r="BC176" s="5">
        <v>26</v>
      </c>
      <c r="BD176" s="5">
        <v>26.64</v>
      </c>
      <c r="BE176" s="5">
        <v>26.34</v>
      </c>
      <c r="BF176" s="10">
        <f t="shared" si="33"/>
        <v>26.501666666666665</v>
      </c>
      <c r="BG176" s="10">
        <f t="shared" si="35"/>
        <v>26.47</v>
      </c>
      <c r="BH176" s="10">
        <f t="shared" si="34"/>
        <v>28.68</v>
      </c>
      <c r="BI176" s="10">
        <f t="shared" si="49"/>
        <v>24.56</v>
      </c>
      <c r="BJ176" s="11">
        <f t="shared" si="50"/>
        <v>4.120000000000001</v>
      </c>
    </row>
    <row r="177" spans="1:62" x14ac:dyDescent="0.2">
      <c r="A177" s="47" t="s">
        <v>353</v>
      </c>
      <c r="C177" s="286">
        <f t="shared" si="47"/>
        <v>41</v>
      </c>
      <c r="D177" s="282">
        <f t="shared" si="53"/>
        <v>41</v>
      </c>
      <c r="E177" s="282">
        <f t="shared" si="54"/>
        <v>1</v>
      </c>
      <c r="K177" s="27">
        <f t="shared" si="48"/>
        <v>41</v>
      </c>
      <c r="L177" s="27" t="str">
        <f t="shared" si="46"/>
        <v xml:space="preserve"> </v>
      </c>
      <c r="M177" s="323"/>
      <c r="V177" s="125"/>
      <c r="W177" s="85"/>
      <c r="X177" s="80"/>
      <c r="Y177" s="80"/>
      <c r="Z177" s="80">
        <f t="shared" si="42"/>
        <v>41</v>
      </c>
      <c r="AA177" s="50">
        <f t="shared" si="55"/>
        <v>40999999959</v>
      </c>
      <c r="AB177" s="50">
        <f t="shared" si="55"/>
        <v>999999999</v>
      </c>
      <c r="AC177" s="83"/>
      <c r="AD177" s="80"/>
      <c r="AE177" s="80"/>
      <c r="AF177" s="80"/>
      <c r="AG177" s="80"/>
      <c r="AH177" s="80" t="str">
        <f t="shared" si="43"/>
        <v xml:space="preserve"> </v>
      </c>
      <c r="AI177" s="50">
        <f t="shared" si="56"/>
        <v>0</v>
      </c>
      <c r="AJ177" s="50">
        <f t="shared" si="56"/>
        <v>0</v>
      </c>
      <c r="AQ177">
        <v>12</v>
      </c>
      <c r="AS177" s="44"/>
      <c r="AT177" s="5">
        <v>25.15</v>
      </c>
      <c r="AU177" s="5">
        <v>25.4</v>
      </c>
      <c r="AV177" s="5">
        <v>26.25</v>
      </c>
      <c r="AW177" s="5">
        <v>26.6</v>
      </c>
      <c r="AX177" s="5">
        <v>27.3</v>
      </c>
      <c r="AY177" s="5">
        <v>26.8</v>
      </c>
      <c r="AZ177" s="5">
        <v>26.45</v>
      </c>
      <c r="BA177" s="5">
        <v>26.7</v>
      </c>
      <c r="BB177" s="5">
        <v>26.9</v>
      </c>
      <c r="BC177" s="5">
        <v>26.65</v>
      </c>
      <c r="BD177" s="5">
        <v>26.55</v>
      </c>
      <c r="BE177" s="5">
        <v>25.65</v>
      </c>
      <c r="BF177" s="10">
        <f t="shared" ref="BF177:BF195" si="57">AVERAGE(AT177:BE177)</f>
        <v>26.366666666666664</v>
      </c>
      <c r="BG177" s="10">
        <f t="shared" si="35"/>
        <v>26.575000000000003</v>
      </c>
      <c r="BH177" s="10">
        <f t="shared" ref="BH177:BH195" si="58">MAX(AT177:BE177)</f>
        <v>27.3</v>
      </c>
      <c r="BI177" s="10">
        <f t="shared" si="49"/>
        <v>25.15</v>
      </c>
      <c r="BJ177" s="11">
        <f t="shared" si="50"/>
        <v>2.1500000000000021</v>
      </c>
    </row>
    <row r="178" spans="1:62" x14ac:dyDescent="0.2">
      <c r="A178" s="47" t="s">
        <v>202</v>
      </c>
      <c r="C178" s="286">
        <f t="shared" si="47"/>
        <v>20</v>
      </c>
      <c r="D178" s="282">
        <f t="shared" si="53"/>
        <v>20</v>
      </c>
      <c r="E178" s="282">
        <f t="shared" si="54"/>
        <v>1</v>
      </c>
      <c r="K178" s="27">
        <f t="shared" si="48"/>
        <v>20</v>
      </c>
      <c r="L178" s="27" t="str">
        <f t="shared" si="46"/>
        <v xml:space="preserve"> </v>
      </c>
      <c r="M178" s="323"/>
      <c r="V178" s="125"/>
      <c r="W178" s="85"/>
      <c r="X178" s="80"/>
      <c r="Y178" s="80"/>
      <c r="Z178" s="80">
        <f t="shared" si="42"/>
        <v>20</v>
      </c>
      <c r="AA178" s="50">
        <f t="shared" si="55"/>
        <v>19999999980</v>
      </c>
      <c r="AB178" s="50">
        <f t="shared" si="55"/>
        <v>999999999</v>
      </c>
      <c r="AC178" s="83"/>
      <c r="AD178" s="80"/>
      <c r="AE178" s="80"/>
      <c r="AF178" s="80"/>
      <c r="AG178" s="80"/>
      <c r="AH178" s="80" t="str">
        <f t="shared" si="43"/>
        <v xml:space="preserve"> </v>
      </c>
      <c r="AI178" s="50">
        <f t="shared" si="56"/>
        <v>0</v>
      </c>
      <c r="AJ178" s="50">
        <f t="shared" si="56"/>
        <v>0</v>
      </c>
      <c r="AQ178">
        <v>15</v>
      </c>
      <c r="AS178" s="44"/>
      <c r="AT178" s="5">
        <v>10.685714285714287</v>
      </c>
      <c r="AU178" s="5">
        <v>11.614285714285716</v>
      </c>
      <c r="AV178" s="5">
        <v>13.614285714285714</v>
      </c>
      <c r="AW178" s="5">
        <v>16.314285714285713</v>
      </c>
      <c r="AX178" s="5">
        <v>20.157142857142855</v>
      </c>
      <c r="AY178" s="5">
        <v>24.085714285714289</v>
      </c>
      <c r="AZ178" s="5">
        <v>26.971428571428568</v>
      </c>
      <c r="BA178" s="5">
        <v>27.37142857142857</v>
      </c>
      <c r="BB178" s="5">
        <v>24.928571428571427</v>
      </c>
      <c r="BC178" s="5">
        <v>20.471428571428572</v>
      </c>
      <c r="BD178" s="5">
        <v>15.6</v>
      </c>
      <c r="BE178" s="5">
        <v>11.571428571428571</v>
      </c>
      <c r="BF178" s="10">
        <f t="shared" si="57"/>
        <v>18.615476190476191</v>
      </c>
      <c r="BG178" s="10">
        <f t="shared" ref="BG178:BG195" si="59">MEDIAN(AT178:BE178)</f>
        <v>18.235714285714284</v>
      </c>
      <c r="BH178" s="10">
        <f t="shared" si="58"/>
        <v>27.37142857142857</v>
      </c>
      <c r="BI178" s="10">
        <f t="shared" si="49"/>
        <v>10.685714285714287</v>
      </c>
      <c r="BJ178" s="11">
        <f t="shared" si="50"/>
        <v>16.685714285714283</v>
      </c>
    </row>
    <row r="179" spans="1:62" x14ac:dyDescent="0.2">
      <c r="A179" s="47" t="s">
        <v>98</v>
      </c>
      <c r="C179" s="286">
        <f t="shared" si="47"/>
        <v>49.085714285714289</v>
      </c>
      <c r="D179" s="282">
        <f t="shared" si="53"/>
        <v>343.6</v>
      </c>
      <c r="E179" s="282">
        <f t="shared" si="54"/>
        <v>7</v>
      </c>
      <c r="K179" s="27">
        <f t="shared" si="48"/>
        <v>40.665911156899575</v>
      </c>
      <c r="L179" s="27">
        <f t="shared" si="46"/>
        <v>11.444361630766938</v>
      </c>
      <c r="M179" s="323"/>
      <c r="V179" s="125"/>
      <c r="W179" s="85"/>
      <c r="X179" s="80"/>
      <c r="Y179" s="80"/>
      <c r="Z179" s="80">
        <f t="shared" si="42"/>
        <v>40.665911156899575</v>
      </c>
      <c r="AA179" s="50">
        <f t="shared" si="55"/>
        <v>671028.19999999995</v>
      </c>
      <c r="AB179" s="50">
        <f t="shared" si="55"/>
        <v>16501</v>
      </c>
      <c r="AC179" s="83"/>
      <c r="AD179" s="80"/>
      <c r="AE179" s="80"/>
      <c r="AF179" s="80"/>
      <c r="AG179" s="80"/>
      <c r="AH179" s="80">
        <f t="shared" si="43"/>
        <v>11.444361630766938</v>
      </c>
      <c r="AI179" s="50">
        <f t="shared" si="56"/>
        <v>153549</v>
      </c>
      <c r="AJ179" s="50">
        <f t="shared" si="56"/>
        <v>13417</v>
      </c>
      <c r="AQ179">
        <v>11</v>
      </c>
      <c r="AS179" s="44"/>
      <c r="AT179" s="5">
        <v>2.3606060606060608</v>
      </c>
      <c r="AU179" s="5">
        <v>3.3272727272727272</v>
      </c>
      <c r="AV179" s="5">
        <v>6.4393939393939403</v>
      </c>
      <c r="AW179" s="5">
        <v>11.542424242424241</v>
      </c>
      <c r="AX179" s="5">
        <v>16.363636363636363</v>
      </c>
      <c r="AY179" s="5">
        <v>20.942424242424241</v>
      </c>
      <c r="AZ179" s="5">
        <v>24.293939393939397</v>
      </c>
      <c r="BA179" s="5">
        <v>24.081818181818182</v>
      </c>
      <c r="BB179" s="5">
        <v>19.778787878787881</v>
      </c>
      <c r="BC179" s="5">
        <v>14.224242424242419</v>
      </c>
      <c r="BD179" s="5">
        <v>9.0424242424242411</v>
      </c>
      <c r="BE179" s="5">
        <v>4.4696969696969706</v>
      </c>
      <c r="BF179" s="10">
        <f t="shared" si="57"/>
        <v>13.072222222222221</v>
      </c>
      <c r="BG179" s="10">
        <f t="shared" si="59"/>
        <v>12.883333333333329</v>
      </c>
      <c r="BH179" s="10">
        <f t="shared" si="58"/>
        <v>24.293939393939397</v>
      </c>
      <c r="BI179" s="10">
        <f t="shared" si="49"/>
        <v>2.3606060606060608</v>
      </c>
      <c r="BJ179" s="11">
        <f t="shared" si="50"/>
        <v>21.933333333333337</v>
      </c>
    </row>
    <row r="180" spans="1:62" x14ac:dyDescent="0.2">
      <c r="A180" s="47" t="s">
        <v>414</v>
      </c>
      <c r="C180" s="286"/>
      <c r="D180" s="282">
        <f t="shared" si="53"/>
        <v>0</v>
      </c>
      <c r="E180" s="282">
        <f t="shared" si="54"/>
        <v>0</v>
      </c>
      <c r="K180" s="27" t="str">
        <f t="shared" si="48"/>
        <v xml:space="preserve"> </v>
      </c>
      <c r="L180" s="27" t="str">
        <f t="shared" si="46"/>
        <v xml:space="preserve"> </v>
      </c>
      <c r="M180" s="323"/>
      <c r="V180" s="125"/>
      <c r="W180" s="85"/>
      <c r="X180" s="80"/>
      <c r="Y180" s="80"/>
      <c r="Z180" s="80" t="str">
        <f t="shared" si="42"/>
        <v xml:space="preserve"> </v>
      </c>
      <c r="AA180" s="50">
        <f t="shared" si="55"/>
        <v>0</v>
      </c>
      <c r="AB180" s="50">
        <f t="shared" si="55"/>
        <v>0</v>
      </c>
      <c r="AC180" s="83"/>
      <c r="AD180" s="80"/>
      <c r="AE180" s="80"/>
      <c r="AF180" s="80"/>
      <c r="AG180" s="80"/>
      <c r="AH180" s="80" t="str">
        <f t="shared" si="43"/>
        <v xml:space="preserve"> </v>
      </c>
      <c r="AI180" s="50">
        <f t="shared" si="56"/>
        <v>0</v>
      </c>
      <c r="AJ180" s="50">
        <f t="shared" si="56"/>
        <v>0</v>
      </c>
      <c r="AS180" s="44"/>
      <c r="AT180" s="5"/>
      <c r="AU180" s="5"/>
      <c r="AV180" s="5"/>
      <c r="AW180" s="5"/>
      <c r="AX180" s="5"/>
      <c r="AY180" s="5"/>
      <c r="AZ180" s="5"/>
      <c r="BA180" s="5"/>
      <c r="BB180" s="5"/>
      <c r="BC180" s="5"/>
      <c r="BD180" s="5"/>
      <c r="BE180" s="5"/>
      <c r="BF180" s="10"/>
      <c r="BG180" s="10"/>
      <c r="BH180" s="10"/>
      <c r="BI180" s="10"/>
      <c r="BJ180" s="11"/>
    </row>
    <row r="181" spans="1:62" x14ac:dyDescent="0.2">
      <c r="A181" s="47" t="s">
        <v>25</v>
      </c>
      <c r="C181" s="286">
        <f t="shared" si="47"/>
        <v>47.097499999999997</v>
      </c>
      <c r="D181" s="282">
        <f t="shared" si="53"/>
        <v>188.39</v>
      </c>
      <c r="E181" s="282">
        <f t="shared" si="54"/>
        <v>4</v>
      </c>
      <c r="K181" s="27">
        <f t="shared" si="48"/>
        <v>46.672454325130502</v>
      </c>
      <c r="L181" s="27">
        <f t="shared" si="46"/>
        <v>33.837327547841561</v>
      </c>
      <c r="M181" s="323"/>
      <c r="V181" s="125"/>
      <c r="W181" s="85"/>
      <c r="X181" s="80"/>
      <c r="Y181" s="80"/>
      <c r="Z181" s="80">
        <f t="shared" si="42"/>
        <v>46.672454325130502</v>
      </c>
      <c r="AA181" s="50">
        <f t="shared" si="55"/>
        <v>500702.09</v>
      </c>
      <c r="AB181" s="50">
        <f t="shared" si="55"/>
        <v>10728</v>
      </c>
      <c r="AC181" s="83"/>
      <c r="AD181" s="80"/>
      <c r="AE181" s="80"/>
      <c r="AF181" s="80"/>
      <c r="AG181" s="80"/>
      <c r="AH181" s="80">
        <f t="shared" si="43"/>
        <v>33.837327547841561</v>
      </c>
      <c r="AI181" s="50">
        <f t="shared" si="56"/>
        <v>304129.89999999997</v>
      </c>
      <c r="AJ181" s="50">
        <f t="shared" si="56"/>
        <v>8988</v>
      </c>
      <c r="AQ181">
        <v>10</v>
      </c>
      <c r="AS181" s="44"/>
      <c r="AT181" s="5">
        <v>23.2</v>
      </c>
      <c r="AU181" s="5">
        <v>23.5</v>
      </c>
      <c r="AV181" s="5">
        <v>23.25</v>
      </c>
      <c r="AW181" s="5">
        <v>22.35</v>
      </c>
      <c r="AX181" s="5">
        <v>21.9</v>
      </c>
      <c r="AY181" s="5">
        <v>21.45</v>
      </c>
      <c r="AZ181" s="5">
        <v>20.95</v>
      </c>
      <c r="BA181" s="5">
        <v>21.05</v>
      </c>
      <c r="BB181" s="5">
        <v>21.6</v>
      </c>
      <c r="BC181" s="5">
        <v>22.05</v>
      </c>
      <c r="BD181" s="5">
        <v>22.25</v>
      </c>
      <c r="BE181" s="5">
        <v>22.45</v>
      </c>
      <c r="BF181" s="10">
        <f t="shared" si="57"/>
        <v>22.166666666666668</v>
      </c>
      <c r="BG181" s="10">
        <f t="shared" si="59"/>
        <v>22.15</v>
      </c>
      <c r="BH181" s="10">
        <f t="shared" si="58"/>
        <v>23.5</v>
      </c>
      <c r="BI181" s="10">
        <f t="shared" si="49"/>
        <v>20.95</v>
      </c>
      <c r="BJ181" s="11">
        <f t="shared" si="50"/>
        <v>2.5500000000000007</v>
      </c>
    </row>
    <row r="182" spans="1:62" x14ac:dyDescent="0.2">
      <c r="A182" s="47" t="s">
        <v>99</v>
      </c>
      <c r="C182" s="286">
        <f t="shared" si="47"/>
        <v>17.470000000000002</v>
      </c>
      <c r="D182" s="282">
        <f t="shared" si="53"/>
        <v>52.410000000000004</v>
      </c>
      <c r="E182" s="282">
        <f t="shared" si="54"/>
        <v>3</v>
      </c>
      <c r="K182" s="27">
        <f t="shared" si="48"/>
        <v>15.32015035780333</v>
      </c>
      <c r="L182" s="27">
        <f t="shared" si="46"/>
        <v>7</v>
      </c>
      <c r="M182" s="323"/>
      <c r="V182" s="125"/>
      <c r="W182" s="85"/>
      <c r="X182" s="80"/>
      <c r="Y182" s="80"/>
      <c r="Z182" s="80">
        <f t="shared" si="42"/>
        <v>15.32015035780333</v>
      </c>
      <c r="AA182" s="50">
        <f t="shared" si="55"/>
        <v>190536.71000000002</v>
      </c>
      <c r="AB182" s="50">
        <f t="shared" si="55"/>
        <v>12437</v>
      </c>
      <c r="AC182" s="83"/>
      <c r="AD182" s="80"/>
      <c r="AE182" s="80"/>
      <c r="AF182" s="80"/>
      <c r="AG182" s="80"/>
      <c r="AH182" s="80">
        <f t="shared" si="43"/>
        <v>7</v>
      </c>
      <c r="AI182" s="50">
        <f t="shared" si="56"/>
        <v>39172</v>
      </c>
      <c r="AJ182" s="50">
        <f t="shared" si="56"/>
        <v>5596</v>
      </c>
      <c r="AQ182">
        <v>15</v>
      </c>
      <c r="AS182" s="45"/>
      <c r="AT182" s="5">
        <v>-5.6</v>
      </c>
      <c r="AU182" s="5">
        <v>-4.7</v>
      </c>
      <c r="AV182" s="5">
        <v>0.4</v>
      </c>
      <c r="AW182" s="5">
        <v>8.1999999999999993</v>
      </c>
      <c r="AX182" s="5">
        <v>15.3</v>
      </c>
      <c r="AY182" s="5">
        <v>18.899999999999999</v>
      </c>
      <c r="AZ182" s="5">
        <v>20.5</v>
      </c>
      <c r="BA182" s="5">
        <v>19.100000000000001</v>
      </c>
      <c r="BB182" s="5">
        <v>14.1</v>
      </c>
      <c r="BC182" s="5">
        <v>8.1</v>
      </c>
      <c r="BD182" s="5">
        <v>1.3</v>
      </c>
      <c r="BE182" s="5">
        <v>-3.2</v>
      </c>
      <c r="BF182" s="10">
        <f t="shared" si="57"/>
        <v>7.6999999999999984</v>
      </c>
      <c r="BG182" s="10">
        <f t="shared" si="59"/>
        <v>8.1499999999999986</v>
      </c>
      <c r="BH182" s="10">
        <f t="shared" si="58"/>
        <v>20.5</v>
      </c>
      <c r="BI182" s="10">
        <f t="shared" si="49"/>
        <v>-5.6</v>
      </c>
      <c r="BJ182" s="11">
        <f t="shared" si="50"/>
        <v>26.1</v>
      </c>
    </row>
    <row r="183" spans="1:62" x14ac:dyDescent="0.2">
      <c r="A183" s="47" t="s">
        <v>415</v>
      </c>
      <c r="C183" s="286"/>
      <c r="D183" s="282">
        <f t="shared" si="53"/>
        <v>0</v>
      </c>
      <c r="E183" s="282">
        <f t="shared" si="54"/>
        <v>0</v>
      </c>
      <c r="K183" s="27" t="str">
        <f t="shared" si="48"/>
        <v xml:space="preserve"> </v>
      </c>
      <c r="L183" s="27" t="str">
        <f t="shared" si="46"/>
        <v xml:space="preserve"> </v>
      </c>
      <c r="M183" s="323"/>
      <c r="V183" s="125"/>
      <c r="W183" s="85"/>
      <c r="X183" s="80"/>
      <c r="Y183" s="80"/>
      <c r="Z183" s="80" t="str">
        <f t="shared" si="42"/>
        <v xml:space="preserve"> </v>
      </c>
      <c r="AA183" s="50">
        <f t="shared" ref="AA183:AB194" si="60">SUMIF($B$213:$B$562,$A183,AA$213:AA$562)</f>
        <v>0</v>
      </c>
      <c r="AB183" s="50">
        <f t="shared" si="60"/>
        <v>0</v>
      </c>
      <c r="AC183" s="83"/>
      <c r="AD183" s="80"/>
      <c r="AE183" s="80"/>
      <c r="AF183" s="80"/>
      <c r="AG183" s="80"/>
      <c r="AH183" s="80" t="str">
        <f t="shared" si="43"/>
        <v xml:space="preserve"> </v>
      </c>
      <c r="AI183" s="50">
        <f t="shared" ref="AI183:AJ194" si="61">SUMIF($B$213:$B$562,$A183,AI$213:AI$562)</f>
        <v>0</v>
      </c>
      <c r="AJ183" s="50">
        <f t="shared" si="61"/>
        <v>0</v>
      </c>
      <c r="AQ183">
        <v>12</v>
      </c>
      <c r="AS183" s="45"/>
      <c r="AT183" s="5"/>
      <c r="AU183" s="5"/>
      <c r="AV183" s="5"/>
      <c r="AW183" s="5"/>
      <c r="AX183" s="5"/>
      <c r="AY183" s="5"/>
      <c r="AZ183" s="5"/>
      <c r="BA183" s="5"/>
      <c r="BB183" s="5"/>
      <c r="BC183" s="5"/>
      <c r="BD183" s="5"/>
      <c r="BE183" s="5"/>
      <c r="BF183" s="10"/>
      <c r="BG183" s="10"/>
      <c r="BH183" s="10"/>
      <c r="BI183" s="10"/>
      <c r="BJ183" s="11"/>
    </row>
    <row r="184" spans="1:62" x14ac:dyDescent="0.2">
      <c r="A184" s="47" t="s">
        <v>203</v>
      </c>
      <c r="B184" t="s">
        <v>108</v>
      </c>
      <c r="C184" s="286">
        <f t="shared" si="47"/>
        <v>26</v>
      </c>
      <c r="D184" s="282">
        <f t="shared" si="53"/>
        <v>130</v>
      </c>
      <c r="E184" s="282">
        <f t="shared" si="54"/>
        <v>5</v>
      </c>
      <c r="K184" s="27">
        <f t="shared" si="48"/>
        <v>21.240681864303593</v>
      </c>
      <c r="L184" s="27">
        <f t="shared" si="46"/>
        <v>4.4670905770141376</v>
      </c>
      <c r="M184" s="323"/>
      <c r="V184" s="125"/>
      <c r="W184" s="85"/>
      <c r="X184" s="80"/>
      <c r="Y184" s="80"/>
      <c r="Z184" s="80">
        <f t="shared" si="42"/>
        <v>21.240681864303593</v>
      </c>
      <c r="AA184" s="50">
        <f t="shared" si="60"/>
        <v>314001</v>
      </c>
      <c r="AB184" s="50">
        <f t="shared" si="60"/>
        <v>14783</v>
      </c>
      <c r="AC184" s="83"/>
      <c r="AD184" s="80"/>
      <c r="AE184" s="80"/>
      <c r="AF184" s="80"/>
      <c r="AG184" s="80"/>
      <c r="AH184" s="80">
        <f t="shared" si="43"/>
        <v>4.4670905770141376</v>
      </c>
      <c r="AI184" s="50">
        <f t="shared" si="61"/>
        <v>66037</v>
      </c>
      <c r="AJ184" s="50">
        <f t="shared" si="61"/>
        <v>14783</v>
      </c>
      <c r="AQ184">
        <v>17</v>
      </c>
      <c r="AS184" s="44"/>
      <c r="AT184" s="5">
        <v>3.6274999999999999</v>
      </c>
      <c r="AU184" s="5">
        <v>3.7225000000000001</v>
      </c>
      <c r="AV184" s="5">
        <v>5.1749999999999998</v>
      </c>
      <c r="AW184" s="5">
        <v>7.33</v>
      </c>
      <c r="AX184" s="5">
        <v>10.23</v>
      </c>
      <c r="AY184" s="5">
        <v>13.164999999999999</v>
      </c>
      <c r="AZ184" s="5">
        <v>14.885</v>
      </c>
      <c r="BA184" s="5">
        <v>14.695</v>
      </c>
      <c r="BB184" s="5">
        <v>12.755000000000001</v>
      </c>
      <c r="BC184" s="5">
        <v>9.6024999999999991</v>
      </c>
      <c r="BD184" s="5">
        <v>6.2549999999999999</v>
      </c>
      <c r="BE184" s="5">
        <v>4.4775</v>
      </c>
      <c r="BF184" s="10">
        <f t="shared" si="57"/>
        <v>8.8266666666666662</v>
      </c>
      <c r="BG184" s="10">
        <f t="shared" si="59"/>
        <v>8.4662499999999987</v>
      </c>
      <c r="BH184" s="10">
        <f t="shared" si="58"/>
        <v>14.885</v>
      </c>
      <c r="BI184" s="10">
        <f t="shared" si="49"/>
        <v>3.6274999999999999</v>
      </c>
      <c r="BJ184" s="11">
        <f t="shared" si="50"/>
        <v>11.2575</v>
      </c>
    </row>
    <row r="185" spans="1:62" x14ac:dyDescent="0.2">
      <c r="A185" s="47" t="s">
        <v>63</v>
      </c>
      <c r="C185" s="286">
        <f t="shared" si="47"/>
        <v>28.161538461538463</v>
      </c>
      <c r="D185" s="282">
        <f t="shared" si="53"/>
        <v>366.1</v>
      </c>
      <c r="E185" s="282">
        <f t="shared" si="54"/>
        <v>13</v>
      </c>
      <c r="K185" s="27">
        <f t="shared" si="48"/>
        <v>27.729608549770102</v>
      </c>
      <c r="L185" s="27">
        <f t="shared" si="46"/>
        <v>5.5315286021505363</v>
      </c>
      <c r="M185" s="323"/>
      <c r="V185" s="125"/>
      <c r="W185" s="85"/>
      <c r="X185" s="80"/>
      <c r="Y185" s="80"/>
      <c r="Z185" s="80">
        <f t="shared" si="42"/>
        <v>27.729608549770102</v>
      </c>
      <c r="AA185" s="50">
        <f t="shared" si="60"/>
        <v>1115700.8</v>
      </c>
      <c r="AB185" s="50">
        <f t="shared" si="60"/>
        <v>40235</v>
      </c>
      <c r="AC185" s="83"/>
      <c r="AD185" s="80"/>
      <c r="AE185" s="80"/>
      <c r="AF185" s="80"/>
      <c r="AG185" s="80"/>
      <c r="AH185" s="80">
        <f t="shared" si="43"/>
        <v>5.5315286021505363</v>
      </c>
      <c r="AI185" s="50">
        <f t="shared" si="61"/>
        <v>321520.09999999992</v>
      </c>
      <c r="AJ185" s="50">
        <f t="shared" si="61"/>
        <v>58125</v>
      </c>
      <c r="AQ185">
        <v>17</v>
      </c>
      <c r="AS185" s="44"/>
      <c r="AT185" s="5">
        <v>-1.2396092362344575</v>
      </c>
      <c r="AU185" s="5">
        <v>0.75364120781527411</v>
      </c>
      <c r="AV185" s="5">
        <v>4.5687388987566555</v>
      </c>
      <c r="AW185" s="5">
        <v>9.6037300177619915</v>
      </c>
      <c r="AX185" s="5">
        <v>14.464476021314375</v>
      </c>
      <c r="AY185" s="5">
        <v>18.906039076376551</v>
      </c>
      <c r="AZ185" s="5">
        <v>21.758436944937838</v>
      </c>
      <c r="BA185" s="5">
        <v>20.923623445825946</v>
      </c>
      <c r="BB185" s="5">
        <v>17.094671403197168</v>
      </c>
      <c r="BC185" s="5">
        <v>11.403730017761999</v>
      </c>
      <c r="BD185" s="5">
        <v>4.914209591474247</v>
      </c>
      <c r="BE185" s="5">
        <v>0.21722912966252336</v>
      </c>
      <c r="BF185" s="10">
        <f t="shared" si="57"/>
        <v>10.280743043220843</v>
      </c>
      <c r="BG185" s="10">
        <f t="shared" si="59"/>
        <v>10.503730017761995</v>
      </c>
      <c r="BH185" s="10">
        <f t="shared" si="58"/>
        <v>21.758436944937838</v>
      </c>
      <c r="BI185" s="10">
        <f t="shared" si="49"/>
        <v>-1.2396092362344575</v>
      </c>
      <c r="BJ185" s="11">
        <f t="shared" si="50"/>
        <v>22.998046181172295</v>
      </c>
    </row>
    <row r="186" spans="1:62" x14ac:dyDescent="0.2">
      <c r="A186" s="47" t="s">
        <v>59</v>
      </c>
      <c r="C186" s="286">
        <f t="shared" si="47"/>
        <v>10</v>
      </c>
      <c r="D186" s="282">
        <f t="shared" si="53"/>
        <v>10</v>
      </c>
      <c r="E186" s="282">
        <f t="shared" si="54"/>
        <v>1</v>
      </c>
      <c r="K186" s="27">
        <f t="shared" si="48"/>
        <v>10</v>
      </c>
      <c r="L186" s="27">
        <f t="shared" si="46"/>
        <v>10</v>
      </c>
      <c r="M186" s="323"/>
      <c r="V186" s="125"/>
      <c r="W186" s="85"/>
      <c r="X186" s="80"/>
      <c r="Y186" s="80"/>
      <c r="Z186" s="80">
        <f t="shared" si="42"/>
        <v>10</v>
      </c>
      <c r="AA186" s="50">
        <f t="shared" si="60"/>
        <v>5450</v>
      </c>
      <c r="AB186" s="50">
        <f t="shared" si="60"/>
        <v>545</v>
      </c>
      <c r="AC186" s="83"/>
      <c r="AD186" s="80"/>
      <c r="AE186" s="80"/>
      <c r="AF186" s="80"/>
      <c r="AG186" s="80"/>
      <c r="AH186" s="80">
        <f t="shared" si="43"/>
        <v>10</v>
      </c>
      <c r="AI186" s="50">
        <f t="shared" si="61"/>
        <v>5450</v>
      </c>
      <c r="AJ186" s="50">
        <f t="shared" si="61"/>
        <v>545</v>
      </c>
      <c r="AQ186">
        <v>16</v>
      </c>
      <c r="AS186" s="44"/>
      <c r="AT186" s="5">
        <v>23.392307692307693</v>
      </c>
      <c r="AU186" s="5">
        <v>22.861538461538466</v>
      </c>
      <c r="AV186" s="5">
        <v>20.876923076923074</v>
      </c>
      <c r="AW186" s="5">
        <v>17.223076923076921</v>
      </c>
      <c r="AX186" s="5">
        <v>14.153846153846153</v>
      </c>
      <c r="AY186" s="5">
        <v>11.353846153846153</v>
      </c>
      <c r="AZ186" s="5">
        <v>11.16923076923077</v>
      </c>
      <c r="BA186" s="5">
        <v>12.007692307692309</v>
      </c>
      <c r="BB186" s="5">
        <v>13.684615384615386</v>
      </c>
      <c r="BC186" s="5">
        <v>16.223076923076921</v>
      </c>
      <c r="BD186" s="5">
        <v>19.107692307692304</v>
      </c>
      <c r="BE186" s="5">
        <v>21.776923076923076</v>
      </c>
      <c r="BF186" s="10">
        <f t="shared" si="57"/>
        <v>16.985897435897439</v>
      </c>
      <c r="BG186" s="10">
        <f t="shared" si="59"/>
        <v>16.723076923076921</v>
      </c>
      <c r="BH186" s="10">
        <f t="shared" si="58"/>
        <v>23.392307692307693</v>
      </c>
      <c r="BI186" s="10">
        <f t="shared" si="49"/>
        <v>11.16923076923077</v>
      </c>
      <c r="BJ186" s="11">
        <f t="shared" si="50"/>
        <v>12.223076923076922</v>
      </c>
    </row>
    <row r="187" spans="1:62" x14ac:dyDescent="0.2">
      <c r="A187" s="47" t="s">
        <v>416</v>
      </c>
      <c r="C187" s="286"/>
      <c r="D187" s="282">
        <f t="shared" si="53"/>
        <v>0</v>
      </c>
      <c r="E187" s="282">
        <f t="shared" si="54"/>
        <v>0</v>
      </c>
      <c r="K187" s="27" t="str">
        <f t="shared" si="48"/>
        <v xml:space="preserve"> </v>
      </c>
      <c r="L187" s="27" t="str">
        <f t="shared" si="46"/>
        <v xml:space="preserve"> </v>
      </c>
      <c r="M187" s="323"/>
      <c r="V187" s="125"/>
      <c r="W187" s="85"/>
      <c r="X187" s="80"/>
      <c r="Y187" s="80"/>
      <c r="Z187" s="80" t="str">
        <f t="shared" si="42"/>
        <v xml:space="preserve"> </v>
      </c>
      <c r="AA187" s="50">
        <f t="shared" si="60"/>
        <v>0</v>
      </c>
      <c r="AB187" s="50">
        <f t="shared" si="60"/>
        <v>0</v>
      </c>
      <c r="AC187" s="83"/>
      <c r="AD187" s="80"/>
      <c r="AE187" s="80"/>
      <c r="AF187" s="80"/>
      <c r="AG187" s="80"/>
      <c r="AH187" s="80" t="str">
        <f t="shared" si="43"/>
        <v xml:space="preserve"> </v>
      </c>
      <c r="AI187" s="50">
        <f t="shared" si="61"/>
        <v>0</v>
      </c>
      <c r="AJ187" s="50">
        <f t="shared" si="61"/>
        <v>0</v>
      </c>
      <c r="AQ187">
        <v>11</v>
      </c>
      <c r="AS187" s="44"/>
      <c r="AT187" s="5"/>
      <c r="AU187" s="5"/>
      <c r="AV187" s="5"/>
      <c r="AW187" s="5"/>
      <c r="AX187" s="5"/>
      <c r="AY187" s="5"/>
      <c r="AZ187" s="5"/>
      <c r="BA187" s="5"/>
      <c r="BB187" s="5"/>
      <c r="BC187" s="5"/>
      <c r="BD187" s="5"/>
      <c r="BE187" s="5"/>
      <c r="BF187" s="10"/>
      <c r="BG187" s="10"/>
      <c r="BH187" s="10"/>
      <c r="BI187" s="10"/>
      <c r="BJ187" s="11"/>
    </row>
    <row r="188" spans="1:62" x14ac:dyDescent="0.2">
      <c r="A188" s="47" t="s">
        <v>204</v>
      </c>
      <c r="C188" s="286"/>
      <c r="D188" s="282">
        <f t="shared" si="53"/>
        <v>0</v>
      </c>
      <c r="E188" s="282">
        <f t="shared" si="54"/>
        <v>0</v>
      </c>
      <c r="K188" s="27" t="str">
        <f t="shared" si="48"/>
        <v xml:space="preserve"> </v>
      </c>
      <c r="L188" s="27" t="str">
        <f t="shared" si="46"/>
        <v xml:space="preserve"> </v>
      </c>
      <c r="M188" s="323"/>
      <c r="V188" s="125"/>
      <c r="W188" s="85"/>
      <c r="X188" s="80"/>
      <c r="Y188" s="80"/>
      <c r="Z188" s="80" t="str">
        <f t="shared" si="42"/>
        <v xml:space="preserve"> </v>
      </c>
      <c r="AA188" s="50">
        <f t="shared" si="60"/>
        <v>0</v>
      </c>
      <c r="AB188" s="50">
        <f t="shared" si="60"/>
        <v>0</v>
      </c>
      <c r="AC188" s="83"/>
      <c r="AD188" s="80"/>
      <c r="AE188" s="80"/>
      <c r="AF188" s="80"/>
      <c r="AG188" s="80"/>
      <c r="AH188" s="80" t="str">
        <f t="shared" si="43"/>
        <v xml:space="preserve"> </v>
      </c>
      <c r="AI188" s="50">
        <f t="shared" si="61"/>
        <v>0</v>
      </c>
      <c r="AJ188" s="50">
        <f t="shared" si="61"/>
        <v>0</v>
      </c>
      <c r="AQ188">
        <v>15</v>
      </c>
      <c r="AS188" s="44"/>
      <c r="AT188" s="5">
        <v>23.826315789473682</v>
      </c>
      <c r="AU188" s="5">
        <v>24.273684210526323</v>
      </c>
      <c r="AV188" s="5">
        <v>24.9</v>
      </c>
      <c r="AW188" s="5">
        <v>25.415789473684214</v>
      </c>
      <c r="AX188" s="5">
        <v>25.457894736842107</v>
      </c>
      <c r="AY188" s="5">
        <v>25</v>
      </c>
      <c r="AZ188" s="5">
        <v>24.826315789473682</v>
      </c>
      <c r="BA188" s="5">
        <v>25.163157894736845</v>
      </c>
      <c r="BB188" s="5">
        <v>25.473684210526315</v>
      </c>
      <c r="BC188" s="5">
        <v>25.384210526315794</v>
      </c>
      <c r="BD188" s="5">
        <v>24.942105263157895</v>
      </c>
      <c r="BE188" s="5">
        <v>24.231578947368426</v>
      </c>
      <c r="BF188" s="10">
        <f t="shared" si="57"/>
        <v>24.90789473684211</v>
      </c>
      <c r="BG188" s="10">
        <f t="shared" si="59"/>
        <v>24.971052631578949</v>
      </c>
      <c r="BH188" s="10">
        <f t="shared" si="58"/>
        <v>25.473684210526315</v>
      </c>
      <c r="BI188" s="10">
        <f t="shared" si="49"/>
        <v>23.826315789473682</v>
      </c>
      <c r="BJ188" s="11">
        <f t="shared" si="50"/>
        <v>1.6473684210526329</v>
      </c>
    </row>
    <row r="189" spans="1:62" x14ac:dyDescent="0.2">
      <c r="A189" s="47" t="s">
        <v>82</v>
      </c>
      <c r="C189" s="286">
        <f t="shared" si="47"/>
        <v>28.5</v>
      </c>
      <c r="D189" s="282">
        <f t="shared" si="53"/>
        <v>57</v>
      </c>
      <c r="E189" s="282">
        <f t="shared" si="54"/>
        <v>2</v>
      </c>
      <c r="K189" s="27">
        <f t="shared" si="48"/>
        <v>25</v>
      </c>
      <c r="L189" s="27">
        <f t="shared" si="46"/>
        <v>14</v>
      </c>
      <c r="M189" s="323"/>
      <c r="V189" s="125"/>
      <c r="W189" s="85"/>
      <c r="X189" s="80"/>
      <c r="Y189" s="80"/>
      <c r="Z189" s="80">
        <f t="shared" si="42"/>
        <v>25</v>
      </c>
      <c r="AA189" s="50">
        <f t="shared" si="60"/>
        <v>27250</v>
      </c>
      <c r="AB189" s="50">
        <f t="shared" si="60"/>
        <v>1090</v>
      </c>
      <c r="AC189" s="83"/>
      <c r="AD189" s="80"/>
      <c r="AE189" s="80"/>
      <c r="AF189" s="80"/>
      <c r="AG189" s="80"/>
      <c r="AH189" s="80">
        <f t="shared" si="43"/>
        <v>14</v>
      </c>
      <c r="AI189" s="50">
        <f t="shared" si="61"/>
        <v>15260</v>
      </c>
      <c r="AJ189" s="50">
        <f t="shared" si="61"/>
        <v>1090</v>
      </c>
      <c r="AQ189">
        <v>10</v>
      </c>
      <c r="AS189" s="44"/>
      <c r="AT189" s="5">
        <v>20.32</v>
      </c>
      <c r="AU189" s="5">
        <v>20.92</v>
      </c>
      <c r="AV189" s="5">
        <v>22.93</v>
      </c>
      <c r="AW189" s="5">
        <v>25.490000000000002</v>
      </c>
      <c r="AX189" s="5">
        <v>27.61</v>
      </c>
      <c r="AY189" s="5">
        <v>28.42</v>
      </c>
      <c r="AZ189" s="5">
        <v>28.23</v>
      </c>
      <c r="BA189" s="5">
        <v>27.9</v>
      </c>
      <c r="BB189" s="5">
        <v>27.060000000000002</v>
      </c>
      <c r="BC189" s="5">
        <v>25.490000000000002</v>
      </c>
      <c r="BD189" s="5">
        <v>23.11</v>
      </c>
      <c r="BE189" s="5">
        <v>21.09</v>
      </c>
      <c r="BF189" s="10">
        <v>24.880833333333335</v>
      </c>
      <c r="BG189" s="10">
        <v>25.39</v>
      </c>
      <c r="BH189" s="10">
        <v>28.45</v>
      </c>
      <c r="BI189" s="10">
        <f t="shared" si="49"/>
        <v>20.32</v>
      </c>
      <c r="BJ189" s="11">
        <f t="shared" si="50"/>
        <v>8.129999999999999</v>
      </c>
    </row>
    <row r="190" spans="1:62" x14ac:dyDescent="0.2">
      <c r="A190" s="47" t="s">
        <v>417</v>
      </c>
      <c r="C190" s="286"/>
      <c r="D190" s="282">
        <f t="shared" si="53"/>
        <v>0</v>
      </c>
      <c r="E190" s="282">
        <f t="shared" si="54"/>
        <v>0</v>
      </c>
      <c r="K190" s="27" t="str">
        <f t="shared" si="48"/>
        <v xml:space="preserve"> </v>
      </c>
      <c r="L190" s="27" t="str">
        <f t="shared" si="46"/>
        <v xml:space="preserve"> </v>
      </c>
      <c r="M190" s="323"/>
      <c r="V190" s="125"/>
      <c r="W190" s="85"/>
      <c r="X190" s="80"/>
      <c r="Y190" s="80"/>
      <c r="Z190" s="80" t="str">
        <f t="shared" si="42"/>
        <v xml:space="preserve"> </v>
      </c>
      <c r="AA190" s="50">
        <f t="shared" si="60"/>
        <v>0</v>
      </c>
      <c r="AB190" s="50">
        <f t="shared" si="60"/>
        <v>0</v>
      </c>
      <c r="AC190" s="83"/>
      <c r="AD190" s="80"/>
      <c r="AE190" s="80"/>
      <c r="AF190" s="80"/>
      <c r="AG190" s="80"/>
      <c r="AH190" s="80" t="str">
        <f t="shared" si="43"/>
        <v xml:space="preserve"> </v>
      </c>
      <c r="AI190" s="50">
        <f t="shared" si="61"/>
        <v>0</v>
      </c>
      <c r="AJ190" s="50">
        <f t="shared" si="61"/>
        <v>0</v>
      </c>
      <c r="AS190" s="44"/>
      <c r="AT190" s="5"/>
      <c r="AU190" s="5"/>
      <c r="AV190" s="5"/>
      <c r="AW190" s="5"/>
      <c r="AX190" s="5"/>
      <c r="AY190" s="5"/>
      <c r="AZ190" s="5"/>
      <c r="BA190" s="5"/>
      <c r="BB190" s="5"/>
      <c r="BC190" s="5"/>
      <c r="BD190" s="5"/>
      <c r="BE190" s="5"/>
      <c r="BF190" s="5"/>
      <c r="BG190" s="5"/>
      <c r="BH190" s="5"/>
      <c r="BI190" s="10"/>
      <c r="BJ190" s="11"/>
    </row>
    <row r="191" spans="1:62" x14ac:dyDescent="0.2">
      <c r="A191" s="47" t="s">
        <v>357</v>
      </c>
      <c r="C191" s="286">
        <f t="shared" si="47"/>
        <v>47</v>
      </c>
      <c r="D191" s="282">
        <f t="shared" si="53"/>
        <v>47</v>
      </c>
      <c r="E191" s="282">
        <f t="shared" si="54"/>
        <v>1</v>
      </c>
      <c r="K191" s="27">
        <f t="shared" si="48"/>
        <v>47</v>
      </c>
      <c r="L191" s="27" t="str">
        <f t="shared" si="46"/>
        <v xml:space="preserve"> </v>
      </c>
      <c r="M191" s="323"/>
      <c r="V191" s="125"/>
      <c r="W191" s="85"/>
      <c r="X191" s="80"/>
      <c r="Y191" s="80"/>
      <c r="Z191" s="80">
        <f t="shared" si="42"/>
        <v>47</v>
      </c>
      <c r="AA191" s="50">
        <f t="shared" si="60"/>
        <v>46999999953</v>
      </c>
      <c r="AB191" s="50">
        <f t="shared" si="60"/>
        <v>999999999</v>
      </c>
      <c r="AC191" s="83"/>
      <c r="AD191" s="80"/>
      <c r="AE191" s="80"/>
      <c r="AF191" s="80"/>
      <c r="AG191" s="80"/>
      <c r="AH191" s="80" t="str">
        <f t="shared" si="43"/>
        <v xml:space="preserve"> </v>
      </c>
      <c r="AI191" s="50">
        <f t="shared" si="61"/>
        <v>0</v>
      </c>
      <c r="AJ191" s="50">
        <f t="shared" si="61"/>
        <v>0</v>
      </c>
      <c r="AQ191">
        <v>7</v>
      </c>
      <c r="AS191" s="44"/>
      <c r="AT191" s="5">
        <v>19.625</v>
      </c>
      <c r="AU191" s="5">
        <v>20.425000000000001</v>
      </c>
      <c r="AV191" s="5">
        <v>22.625</v>
      </c>
      <c r="AW191" s="5">
        <v>24.549999999999997</v>
      </c>
      <c r="AX191" s="5">
        <v>27.299999999999997</v>
      </c>
      <c r="AY191" s="5">
        <v>29.825000000000003</v>
      </c>
      <c r="AZ191" s="5">
        <v>28.825000000000003</v>
      </c>
      <c r="BA191" s="5">
        <v>28.700000000000003</v>
      </c>
      <c r="BB191" s="5">
        <v>28.55</v>
      </c>
      <c r="BC191" s="5">
        <v>25.2</v>
      </c>
      <c r="BD191" s="5">
        <v>22.15</v>
      </c>
      <c r="BE191" s="5">
        <v>20.350000000000001</v>
      </c>
      <c r="BF191" s="10">
        <v>24.84375</v>
      </c>
      <c r="BG191" s="10">
        <v>24.875</v>
      </c>
      <c r="BH191" s="10">
        <v>29.825000000000003</v>
      </c>
      <c r="BI191" s="10">
        <f t="shared" si="49"/>
        <v>19.625</v>
      </c>
      <c r="BJ191" s="11">
        <f t="shared" si="50"/>
        <v>10.200000000000003</v>
      </c>
    </row>
    <row r="192" spans="1:62" x14ac:dyDescent="0.2">
      <c r="A192" s="47" t="s">
        <v>29</v>
      </c>
      <c r="C192" s="286">
        <f t="shared" si="47"/>
        <v>44.163333333333334</v>
      </c>
      <c r="D192" s="282">
        <f t="shared" si="53"/>
        <v>132.49</v>
      </c>
      <c r="E192" s="282">
        <f t="shared" si="54"/>
        <v>3</v>
      </c>
      <c r="K192" s="27">
        <f t="shared" si="48"/>
        <v>46.158473455759591</v>
      </c>
      <c r="L192" s="27">
        <f t="shared" si="46"/>
        <v>38.876044339607432</v>
      </c>
      <c r="M192" s="323"/>
      <c r="V192" s="125"/>
      <c r="W192" s="85"/>
      <c r="X192" s="80"/>
      <c r="Y192" s="80"/>
      <c r="Z192" s="80">
        <f t="shared" si="42"/>
        <v>46.158473455759591</v>
      </c>
      <c r="AA192" s="50">
        <f t="shared" si="60"/>
        <v>691223.1399999999</v>
      </c>
      <c r="AB192" s="50">
        <f t="shared" si="60"/>
        <v>14975</v>
      </c>
      <c r="AC192" s="83"/>
      <c r="AD192" s="80"/>
      <c r="AE192" s="80"/>
      <c r="AF192" s="80"/>
      <c r="AG192" s="80"/>
      <c r="AH192" s="80">
        <f t="shared" si="43"/>
        <v>38.876044339607432</v>
      </c>
      <c r="AI192" s="50">
        <f t="shared" si="61"/>
        <v>340204.26401590463</v>
      </c>
      <c r="AJ192" s="50">
        <f t="shared" si="61"/>
        <v>8751</v>
      </c>
      <c r="AQ192">
        <v>7</v>
      </c>
      <c r="AS192" s="44"/>
      <c r="AT192" s="5">
        <v>21.324999999999999</v>
      </c>
      <c r="AU192" s="5">
        <v>21.2</v>
      </c>
      <c r="AV192" s="5">
        <v>21.225000000000001</v>
      </c>
      <c r="AW192" s="5">
        <v>20.65</v>
      </c>
      <c r="AX192" s="5">
        <v>18.824999999999999</v>
      </c>
      <c r="AY192" s="5">
        <v>16.8</v>
      </c>
      <c r="AZ192" s="5">
        <v>16.675000000000001</v>
      </c>
      <c r="BA192" s="5">
        <v>18.850000000000001</v>
      </c>
      <c r="BB192" s="5">
        <v>22.125</v>
      </c>
      <c r="BC192" s="5">
        <v>24.25</v>
      </c>
      <c r="BD192" s="5">
        <v>23.274999999999999</v>
      </c>
      <c r="BE192" s="5">
        <v>21.725000000000001</v>
      </c>
      <c r="BF192" s="10">
        <f>AVERAGE(AT192:BE192)</f>
        <v>20.577083333333334</v>
      </c>
      <c r="BG192" s="10">
        <f>MEDIAN(AT192:BE192)</f>
        <v>21.212499999999999</v>
      </c>
      <c r="BH192" s="10">
        <f>MAX(AT192:BE192)</f>
        <v>24.25</v>
      </c>
      <c r="BI192" s="10">
        <f t="shared" si="49"/>
        <v>16.675000000000001</v>
      </c>
      <c r="BJ192" s="11">
        <f t="shared" si="50"/>
        <v>7.5749999999999993</v>
      </c>
    </row>
    <row r="193" spans="1:62" x14ac:dyDescent="0.2">
      <c r="A193" s="47" t="s">
        <v>31</v>
      </c>
      <c r="C193" s="286">
        <f t="shared" si="47"/>
        <v>23.689999999999998</v>
      </c>
      <c r="D193" s="282">
        <f t="shared" si="53"/>
        <v>47.379999999999995</v>
      </c>
      <c r="E193" s="282">
        <f t="shared" si="54"/>
        <v>2</v>
      </c>
      <c r="K193" s="27">
        <f t="shared" si="48"/>
        <v>29.070865998176842</v>
      </c>
      <c r="L193" s="27">
        <f t="shared" si="46"/>
        <v>24.048240128784151</v>
      </c>
      <c r="M193" s="323"/>
      <c r="V193" s="125"/>
      <c r="W193" s="85"/>
      <c r="X193" s="80"/>
      <c r="Y193" s="80"/>
      <c r="Z193" s="80">
        <f t="shared" si="42"/>
        <v>29.070865998176842</v>
      </c>
      <c r="AA193" s="50">
        <f t="shared" si="60"/>
        <v>287016.65999999997</v>
      </c>
      <c r="AB193" s="50">
        <f t="shared" si="60"/>
        <v>9873</v>
      </c>
      <c r="AC193" s="83"/>
      <c r="AD193" s="80"/>
      <c r="AE193" s="80"/>
      <c r="AF193" s="80"/>
      <c r="AG193" s="80"/>
      <c r="AH193" s="80">
        <f t="shared" si="43"/>
        <v>24.048240128784151</v>
      </c>
      <c r="AI193" s="50">
        <f t="shared" si="61"/>
        <v>251304.10934579439</v>
      </c>
      <c r="AJ193" s="50">
        <f t="shared" si="61"/>
        <v>10450</v>
      </c>
      <c r="AQ193">
        <v>9</v>
      </c>
      <c r="AS193" s="44"/>
      <c r="AT193" s="5">
        <v>21.9</v>
      </c>
      <c r="AU193" s="5">
        <v>21.54</v>
      </c>
      <c r="AV193" s="5">
        <v>21.18</v>
      </c>
      <c r="AW193" s="5">
        <v>19.96</v>
      </c>
      <c r="AX193" s="5">
        <v>17.46</v>
      </c>
      <c r="AY193" s="5">
        <v>15</v>
      </c>
      <c r="AZ193" s="5">
        <v>14.9</v>
      </c>
      <c r="BA193" s="5">
        <v>17.260000000000002</v>
      </c>
      <c r="BB193" s="5">
        <v>20.74</v>
      </c>
      <c r="BC193" s="5">
        <v>22.9</v>
      </c>
      <c r="BD193" s="5">
        <v>22.48</v>
      </c>
      <c r="BE193" s="5">
        <v>22.04</v>
      </c>
      <c r="BF193" s="10">
        <f>AVERAGE(AT193:BE193)</f>
        <v>19.78</v>
      </c>
      <c r="BG193" s="10">
        <f>MEDIAN(AT193:BE193)</f>
        <v>20.96</v>
      </c>
      <c r="BH193" s="10">
        <f>MAX(AT193:BE193)</f>
        <v>22.9</v>
      </c>
      <c r="BI193" s="10">
        <f t="shared" si="49"/>
        <v>14.9</v>
      </c>
      <c r="BJ193" s="11">
        <f t="shared" si="50"/>
        <v>7.9999999999999982</v>
      </c>
    </row>
    <row r="194" spans="1:62" s="76" customFormat="1" x14ac:dyDescent="0.2">
      <c r="A194" s="304" t="s">
        <v>1002</v>
      </c>
      <c r="C194" s="287"/>
      <c r="F194" s="77"/>
      <c r="M194" s="110"/>
      <c r="N194" s="77"/>
      <c r="O194" s="77"/>
      <c r="P194" s="77"/>
      <c r="Q194" s="77"/>
      <c r="R194" s="110"/>
      <c r="S194" s="354"/>
      <c r="T194" s="77"/>
      <c r="V194" s="150"/>
      <c r="W194" s="85"/>
      <c r="X194" s="189"/>
      <c r="Y194" s="189"/>
      <c r="Z194" s="100" t="str">
        <f t="shared" si="42"/>
        <v xml:space="preserve"> </v>
      </c>
      <c r="AA194" s="79">
        <f t="shared" si="60"/>
        <v>0</v>
      </c>
      <c r="AB194" s="79">
        <f t="shared" si="60"/>
        <v>0</v>
      </c>
      <c r="AC194" s="83"/>
      <c r="AD194" s="78"/>
      <c r="AE194" s="78"/>
      <c r="AF194" s="78"/>
      <c r="AG194" s="78"/>
      <c r="AH194" s="78" t="str">
        <f t="shared" si="43"/>
        <v xml:space="preserve"> </v>
      </c>
      <c r="AI194" s="79">
        <f t="shared" si="61"/>
        <v>0</v>
      </c>
      <c r="AJ194" s="79">
        <f t="shared" si="61"/>
        <v>0</v>
      </c>
      <c r="AP194" s="238"/>
      <c r="AS194" s="44"/>
      <c r="AT194" s="5"/>
      <c r="AU194" s="5"/>
      <c r="AV194" s="5"/>
      <c r="AW194" s="5"/>
      <c r="AX194" s="5"/>
      <c r="AY194" s="5"/>
      <c r="AZ194" s="5"/>
      <c r="BA194" s="5"/>
      <c r="BB194" s="5"/>
      <c r="BC194" s="5"/>
      <c r="BD194" s="5"/>
      <c r="BE194" s="5"/>
      <c r="BF194" s="10"/>
      <c r="BG194" s="10"/>
      <c r="BH194" s="10"/>
      <c r="BI194"/>
    </row>
    <row r="195" spans="1:62" s="76" customFormat="1" x14ac:dyDescent="0.2">
      <c r="A195" s="305" t="s">
        <v>1001</v>
      </c>
      <c r="C195" s="287"/>
      <c r="F195" s="77"/>
      <c r="M195" s="110"/>
      <c r="N195" s="77"/>
      <c r="O195" s="77"/>
      <c r="P195" s="77"/>
      <c r="Q195" s="77"/>
      <c r="R195" s="110"/>
      <c r="S195" s="354"/>
      <c r="T195" s="77"/>
      <c r="V195" s="150"/>
      <c r="W195" s="85"/>
      <c r="X195" s="189"/>
      <c r="Y195" s="189"/>
      <c r="Z195" s="100"/>
      <c r="AA195" s="79"/>
      <c r="AB195" s="79"/>
      <c r="AC195" s="83"/>
      <c r="AD195" s="78"/>
      <c r="AE195" s="78"/>
      <c r="AF195" s="78"/>
      <c r="AG195" s="78"/>
      <c r="AH195" s="78"/>
      <c r="AI195" s="79"/>
      <c r="AJ195" s="79"/>
      <c r="AP195" s="238"/>
      <c r="AS195" s="44" t="s">
        <v>205</v>
      </c>
      <c r="AT195" s="5">
        <v>0.92142857142857149</v>
      </c>
      <c r="AU195" s="5">
        <v>3.0642857142857141</v>
      </c>
      <c r="AV195" s="5">
        <v>6.9785714285714278</v>
      </c>
      <c r="AW195" s="5">
        <v>11.821428571428571</v>
      </c>
      <c r="AX195" s="5">
        <v>16.428571428571431</v>
      </c>
      <c r="AY195" s="5">
        <v>20.05</v>
      </c>
      <c r="AZ195" s="5">
        <v>22.185714285714283</v>
      </c>
      <c r="BA195" s="5">
        <v>21.778571428571432</v>
      </c>
      <c r="BB195" s="5">
        <v>18</v>
      </c>
      <c r="BC195" s="5">
        <v>12.814285714285715</v>
      </c>
      <c r="BD195" s="5">
        <v>7.6428571428571432</v>
      </c>
      <c r="BE195" s="5">
        <v>3.1571428571428575</v>
      </c>
      <c r="BF195" s="10">
        <f t="shared" si="57"/>
        <v>12.070238095238095</v>
      </c>
      <c r="BG195" s="10">
        <f t="shared" si="59"/>
        <v>12.317857142857143</v>
      </c>
      <c r="BH195" s="10">
        <f t="shared" si="58"/>
        <v>22.185714285714283</v>
      </c>
      <c r="BI195"/>
    </row>
    <row r="196" spans="1:62" x14ac:dyDescent="0.2">
      <c r="B196" s="16"/>
      <c r="G196" s="16"/>
      <c r="V196" s="125"/>
      <c r="W196" s="85"/>
      <c r="AQ196" s="4" t="s">
        <v>903</v>
      </c>
      <c r="AS196" s="45" t="s">
        <v>80</v>
      </c>
      <c r="AT196" s="5">
        <v>26.5</v>
      </c>
      <c r="AU196" s="5">
        <v>26.733333333333334</v>
      </c>
      <c r="AV196" s="5">
        <v>26.666666666666668</v>
      </c>
      <c r="AW196" s="5">
        <v>26.733333333333334</v>
      </c>
      <c r="AX196" s="5">
        <v>26.366666666666664</v>
      </c>
      <c r="AY196" s="5">
        <v>26.133333333333329</v>
      </c>
      <c r="AZ196" s="5">
        <v>25.733333333333334</v>
      </c>
      <c r="BA196" s="5">
        <v>25.933333333333334</v>
      </c>
      <c r="BB196" s="5">
        <v>26.1</v>
      </c>
      <c r="BC196" s="5">
        <v>26.366666666666664</v>
      </c>
      <c r="BD196" s="5">
        <v>26.433333333333334</v>
      </c>
      <c r="BE196" s="5">
        <v>26.566666666666666</v>
      </c>
      <c r="BF196" s="10">
        <f>AVERAGE(AT196:BE196)</f>
        <v>26.355555555555554</v>
      </c>
      <c r="BG196" s="10">
        <f>MEDIAN(AT196:BE196)</f>
        <v>26.4</v>
      </c>
      <c r="BH196" s="10">
        <f>MAX(AT196:BE196)</f>
        <v>26.733333333333334</v>
      </c>
    </row>
    <row r="197" spans="1:62" x14ac:dyDescent="0.2">
      <c r="B197" s="6" t="s">
        <v>330</v>
      </c>
      <c r="G197" s="6"/>
      <c r="V197" s="125"/>
      <c r="W197" s="85"/>
      <c r="AD197" s="303" t="s">
        <v>996</v>
      </c>
      <c r="AS197" s="44" t="s">
        <v>173</v>
      </c>
      <c r="AT197" s="5">
        <v>27.4</v>
      </c>
      <c r="AU197" s="5">
        <v>27.8</v>
      </c>
      <c r="AV197" s="5">
        <v>28.3</v>
      </c>
      <c r="AW197" s="5">
        <v>28.1</v>
      </c>
      <c r="AX197" s="5">
        <v>28</v>
      </c>
      <c r="AY197" s="5">
        <v>27.8</v>
      </c>
      <c r="AZ197" s="5">
        <v>27.5</v>
      </c>
      <c r="BA197" s="5">
        <v>27.3</v>
      </c>
      <c r="BB197" s="5">
        <v>27.1</v>
      </c>
      <c r="BC197" s="5">
        <v>27.3</v>
      </c>
      <c r="BD197" s="5">
        <v>27.2</v>
      </c>
      <c r="BE197" s="5">
        <v>27</v>
      </c>
      <c r="BF197" s="10">
        <f>AVERAGE(AT197:BE197)</f>
        <v>27.566666666666666</v>
      </c>
      <c r="BG197" s="10">
        <f>MEDIAN(AT197:BE197)</f>
        <v>27.45</v>
      </c>
      <c r="BH197" s="10">
        <f>MAX(AT197:BE197)</f>
        <v>28.3</v>
      </c>
    </row>
    <row r="198" spans="1:62" x14ac:dyDescent="0.2">
      <c r="B198" s="4" t="s">
        <v>423</v>
      </c>
      <c r="G198" s="4"/>
      <c r="V198" s="125"/>
      <c r="W198" s="85"/>
      <c r="AD198" s="288" t="s">
        <v>997</v>
      </c>
    </row>
    <row r="199" spans="1:62" x14ac:dyDescent="0.2">
      <c r="B199" s="4" t="s">
        <v>839</v>
      </c>
      <c r="F199" s="29"/>
      <c r="G199" s="4"/>
      <c r="N199" s="162" t="s">
        <v>324</v>
      </c>
      <c r="Q199" s="29"/>
      <c r="R199" s="1"/>
      <c r="V199" s="125"/>
      <c r="W199" s="85"/>
      <c r="X199" s="42"/>
      <c r="Y199" s="42"/>
      <c r="AD199" s="303" t="s">
        <v>998</v>
      </c>
      <c r="AU199" s="35"/>
    </row>
    <row r="200" spans="1:62" ht="13.5" thickBot="1" x14ac:dyDescent="0.25">
      <c r="B200" s="13" t="s">
        <v>326</v>
      </c>
      <c r="G200" s="13"/>
      <c r="N200" s="1" t="s">
        <v>17</v>
      </c>
      <c r="O200" s="13" t="s">
        <v>117</v>
      </c>
      <c r="R200" s="13"/>
      <c r="V200" s="125"/>
      <c r="W200" s="85"/>
      <c r="X200" s="42"/>
      <c r="Y200" s="42"/>
      <c r="AU200" s="35"/>
    </row>
    <row r="201" spans="1:62" x14ac:dyDescent="0.2">
      <c r="B201" s="13" t="s">
        <v>325</v>
      </c>
      <c r="C201" s="39"/>
      <c r="D201" s="24"/>
      <c r="E201" s="24"/>
      <c r="G201" s="13"/>
      <c r="J201" s="24"/>
      <c r="K201" s="24"/>
      <c r="L201" s="24"/>
      <c r="M201" s="37"/>
      <c r="N201" s="1" t="s">
        <v>18</v>
      </c>
      <c r="O201" s="13" t="s">
        <v>118</v>
      </c>
      <c r="R201" s="13"/>
      <c r="U201" s="9"/>
      <c r="V201" s="125"/>
      <c r="W201" s="85"/>
      <c r="X201" s="190"/>
      <c r="Y201" s="190"/>
      <c r="Z201" s="191" t="s">
        <v>419</v>
      </c>
      <c r="AA201" s="56"/>
      <c r="AB201" s="56"/>
      <c r="AC201" s="91"/>
      <c r="AD201" s="206"/>
      <c r="AE201" s="205" t="s">
        <v>285</v>
      </c>
      <c r="AF201" s="206"/>
      <c r="AG201" s="207" t="s">
        <v>288</v>
      </c>
      <c r="AH201" s="208" t="s">
        <v>419</v>
      </c>
      <c r="AI201" s="56"/>
      <c r="AJ201" s="56"/>
      <c r="AU201" s="35"/>
    </row>
    <row r="202" spans="1:62" x14ac:dyDescent="0.2">
      <c r="B202" s="13" t="s">
        <v>327</v>
      </c>
      <c r="C202" s="39"/>
      <c r="D202" s="24"/>
      <c r="E202" s="24"/>
      <c r="G202" s="13"/>
      <c r="J202" s="24"/>
      <c r="K202" s="24"/>
      <c r="L202" s="24"/>
      <c r="M202" s="37"/>
      <c r="N202" s="1" t="s">
        <v>15</v>
      </c>
      <c r="O202" s="13" t="s">
        <v>119</v>
      </c>
      <c r="P202" s="30"/>
      <c r="R202" s="13"/>
      <c r="T202" s="21"/>
      <c r="V202" s="125"/>
      <c r="W202" s="85"/>
      <c r="X202" s="190"/>
      <c r="Y202" s="190"/>
      <c r="Z202" s="192" t="s">
        <v>420</v>
      </c>
      <c r="AA202" s="57"/>
      <c r="AB202" s="57"/>
      <c r="AC202" s="92"/>
      <c r="AD202" s="210"/>
      <c r="AE202" s="209" t="s">
        <v>286</v>
      </c>
      <c r="AF202" s="210"/>
      <c r="AG202" s="211" t="s">
        <v>294</v>
      </c>
      <c r="AH202" s="212" t="s">
        <v>420</v>
      </c>
      <c r="AI202" s="57"/>
      <c r="AJ202" s="57"/>
      <c r="AU202" s="35"/>
    </row>
    <row r="203" spans="1:62" x14ac:dyDescent="0.2">
      <c r="B203" s="377" t="s">
        <v>1518</v>
      </c>
      <c r="C203" s="378"/>
      <c r="D203" s="379"/>
      <c r="E203" s="379"/>
      <c r="F203" s="380"/>
      <c r="G203" s="377"/>
      <c r="H203" s="381"/>
      <c r="I203" s="381"/>
      <c r="J203" s="24"/>
      <c r="K203" s="24"/>
      <c r="L203" s="24"/>
      <c r="M203" s="37"/>
      <c r="N203" s="1" t="s">
        <v>78</v>
      </c>
      <c r="O203" s="13" t="s">
        <v>120</v>
      </c>
      <c r="R203" s="13"/>
      <c r="V203" s="125"/>
      <c r="W203" s="85"/>
      <c r="X203" s="42"/>
      <c r="Y203" s="42"/>
      <c r="Z203" s="192" t="s">
        <v>418</v>
      </c>
      <c r="AA203" s="57"/>
      <c r="AB203" s="57"/>
      <c r="AC203" s="92"/>
      <c r="AD203" s="214"/>
      <c r="AE203" s="213"/>
      <c r="AF203" s="214"/>
      <c r="AG203" s="211" t="s">
        <v>287</v>
      </c>
      <c r="AH203" s="212" t="s">
        <v>418</v>
      </c>
      <c r="AI203" s="57"/>
      <c r="AJ203" s="57"/>
      <c r="AU203" s="35"/>
    </row>
    <row r="204" spans="1:62" x14ac:dyDescent="0.2">
      <c r="C204" s="39"/>
      <c r="D204" s="24"/>
      <c r="E204" s="24"/>
      <c r="F204" s="19">
        <f>COUNTIF(F212:F561,"A")</f>
        <v>98</v>
      </c>
      <c r="G204" s="14" t="s">
        <v>1126</v>
      </c>
      <c r="J204" s="24"/>
      <c r="K204" s="24"/>
      <c r="L204" s="24"/>
      <c r="M204" s="37"/>
      <c r="N204" s="1" t="s">
        <v>16</v>
      </c>
      <c r="O204" s="13" t="s">
        <v>121</v>
      </c>
      <c r="P204" s="29"/>
      <c r="R204" s="13"/>
      <c r="V204" s="125"/>
      <c r="W204" s="85"/>
      <c r="X204" s="193"/>
      <c r="Y204" s="193"/>
      <c r="Z204" s="194"/>
      <c r="AA204" s="54"/>
      <c r="AB204" s="54"/>
      <c r="AC204" s="93"/>
      <c r="AD204" s="216"/>
      <c r="AE204" s="215" t="s">
        <v>276</v>
      </c>
      <c r="AF204" s="216"/>
      <c r="AG204" s="215" t="s">
        <v>276</v>
      </c>
      <c r="AH204" s="217"/>
      <c r="AI204" s="54"/>
      <c r="AJ204" s="54"/>
      <c r="AU204" s="35"/>
    </row>
    <row r="205" spans="1:62" x14ac:dyDescent="0.2">
      <c r="C205" s="39"/>
      <c r="D205" s="24"/>
      <c r="E205" s="24"/>
      <c r="F205" s="19">
        <f>COUNTIF(F212:F561,"E")</f>
        <v>52</v>
      </c>
      <c r="G205" s="14" t="s">
        <v>1128</v>
      </c>
      <c r="J205" s="24"/>
      <c r="K205" s="24"/>
      <c r="L205" s="24"/>
      <c r="M205" s="37"/>
      <c r="N205" s="1" t="s">
        <v>47</v>
      </c>
      <c r="O205" s="13" t="s">
        <v>122</v>
      </c>
      <c r="R205" s="13"/>
      <c r="V205" s="31"/>
      <c r="W205" s="154"/>
      <c r="X205" s="193"/>
      <c r="Y205" s="193"/>
      <c r="Z205" s="195" t="s">
        <v>278</v>
      </c>
      <c r="AA205" s="51"/>
      <c r="AB205" s="51"/>
      <c r="AC205" s="86"/>
      <c r="AD205" s="219" t="s">
        <v>276</v>
      </c>
      <c r="AE205" s="218" t="s">
        <v>281</v>
      </c>
      <c r="AF205" s="219" t="s">
        <v>276</v>
      </c>
      <c r="AG205" s="218" t="s">
        <v>281</v>
      </c>
      <c r="AH205" s="220" t="s">
        <v>278</v>
      </c>
      <c r="AI205" s="51"/>
      <c r="AJ205" s="51"/>
      <c r="AU205" s="35"/>
    </row>
    <row r="206" spans="1:62" x14ac:dyDescent="0.2">
      <c r="B206" s="4"/>
      <c r="C206" s="39"/>
      <c r="D206" s="24"/>
      <c r="E206" s="24"/>
      <c r="F206" s="19">
        <f>COUNTIF(F212:F561,"F")</f>
        <v>86</v>
      </c>
      <c r="G206" s="15" t="s">
        <v>1129</v>
      </c>
      <c r="J206" s="24"/>
      <c r="K206" s="24"/>
      <c r="L206" s="24"/>
      <c r="M206" s="37"/>
      <c r="N206" s="1" t="s">
        <v>289</v>
      </c>
      <c r="O206" s="13" t="s">
        <v>290</v>
      </c>
      <c r="R206" s="13"/>
      <c r="V206" s="31"/>
      <c r="W206" s="154"/>
      <c r="X206" s="193"/>
      <c r="Y206" s="193"/>
      <c r="Z206" s="195" t="s">
        <v>279</v>
      </c>
      <c r="AA206" s="51"/>
      <c r="AB206" s="51"/>
      <c r="AC206" s="86"/>
      <c r="AD206" s="219" t="s">
        <v>277</v>
      </c>
      <c r="AE206" s="218" t="s">
        <v>277</v>
      </c>
      <c r="AF206" s="219" t="s">
        <v>277</v>
      </c>
      <c r="AG206" s="218" t="s">
        <v>277</v>
      </c>
      <c r="AH206" s="220" t="s">
        <v>279</v>
      </c>
      <c r="AI206" s="51"/>
      <c r="AJ206" s="51"/>
      <c r="AU206" s="35"/>
    </row>
    <row r="207" spans="1:62" x14ac:dyDescent="0.2">
      <c r="B207" s="4"/>
      <c r="C207" s="39"/>
      <c r="D207" s="24"/>
      <c r="E207" s="24"/>
      <c r="F207" s="19">
        <f>COUNTIF(F212:F561,"L")</f>
        <v>61</v>
      </c>
      <c r="G207" s="15" t="s">
        <v>1133</v>
      </c>
      <c r="J207" s="24"/>
      <c r="K207" s="24"/>
      <c r="L207" s="24"/>
      <c r="M207" s="37"/>
      <c r="N207" s="19" t="s">
        <v>646</v>
      </c>
      <c r="O207" s="13" t="s">
        <v>647</v>
      </c>
      <c r="Q207" s="19"/>
      <c r="R207" s="13"/>
      <c r="V207" s="31"/>
      <c r="W207" s="154"/>
      <c r="X207" s="193"/>
      <c r="Y207" s="193"/>
      <c r="Z207" s="195"/>
      <c r="AA207" s="51"/>
      <c r="AB207" s="51"/>
      <c r="AC207" s="86"/>
      <c r="AD207" s="219"/>
      <c r="AE207" s="218"/>
      <c r="AF207" s="219"/>
      <c r="AG207" s="218"/>
      <c r="AH207" s="220"/>
      <c r="AI207" s="51"/>
      <c r="AJ207" s="51"/>
      <c r="AU207" s="35"/>
    </row>
    <row r="208" spans="1:62" x14ac:dyDescent="0.2">
      <c r="B208" s="4" t="s">
        <v>635</v>
      </c>
      <c r="F208" s="19">
        <f>COUNTIF(F212:F561,"N")</f>
        <v>30</v>
      </c>
      <c r="G208" s="15" t="s">
        <v>1127</v>
      </c>
      <c r="K208" s="96"/>
      <c r="L208" s="96"/>
      <c r="M208" s="324"/>
      <c r="P208" s="20"/>
      <c r="V208" s="31"/>
      <c r="W208" s="154"/>
      <c r="X208" s="122"/>
      <c r="Y208" s="122"/>
      <c r="Z208" s="196" t="s">
        <v>283</v>
      </c>
      <c r="AA208" s="52"/>
      <c r="AB208" s="52"/>
      <c r="AC208" s="87"/>
      <c r="AD208" s="222" t="s">
        <v>283</v>
      </c>
      <c r="AE208" s="221" t="s">
        <v>283</v>
      </c>
      <c r="AF208" s="222" t="s">
        <v>283</v>
      </c>
      <c r="AG208" s="221" t="s">
        <v>283</v>
      </c>
      <c r="AH208" s="223" t="s">
        <v>283</v>
      </c>
      <c r="AI208" s="52"/>
      <c r="AJ208" s="52"/>
      <c r="AU208" s="35"/>
    </row>
    <row r="209" spans="1:47" x14ac:dyDescent="0.2">
      <c r="B209" s="8"/>
      <c r="C209" s="288"/>
      <c r="D209" s="96"/>
      <c r="E209" s="96"/>
      <c r="F209" s="376">
        <f>COUNTIF(F212:F561,"O")</f>
        <v>23</v>
      </c>
      <c r="G209" s="15" t="s">
        <v>1136</v>
      </c>
      <c r="H209" s="21"/>
      <c r="I209" s="22"/>
      <c r="J209" s="96" t="s">
        <v>542</v>
      </c>
      <c r="K209" s="153"/>
      <c r="L209" s="153"/>
      <c r="M209" s="124"/>
      <c r="N209" s="21"/>
      <c r="O209" s="21"/>
      <c r="P209" s="30"/>
      <c r="R209" s="22"/>
      <c r="T209" s="21"/>
      <c r="U209" s="21"/>
      <c r="V209" s="32"/>
      <c r="W209" s="86"/>
      <c r="X209" s="197"/>
      <c r="Y209" s="197"/>
      <c r="Z209" s="198"/>
      <c r="AA209" s="53"/>
      <c r="AB209" s="53"/>
      <c r="AC209" s="88"/>
      <c r="AD209" s="225" t="s">
        <v>242</v>
      </c>
      <c r="AE209" s="224" t="s">
        <v>242</v>
      </c>
      <c r="AF209" s="225" t="s">
        <v>242</v>
      </c>
      <c r="AG209" s="224" t="s">
        <v>242</v>
      </c>
      <c r="AH209" s="226" t="s">
        <v>242</v>
      </c>
      <c r="AI209" s="53"/>
      <c r="AJ209" s="53"/>
      <c r="AU209" s="35"/>
    </row>
    <row r="210" spans="1:47" ht="13.5" thickBot="1" x14ac:dyDescent="0.25">
      <c r="C210" s="289"/>
      <c r="D210" s="33"/>
      <c r="E210" s="33"/>
      <c r="F210" s="376">
        <f>SUM(F204:F209)</f>
        <v>350</v>
      </c>
      <c r="G210" s="15" t="s">
        <v>1137</v>
      </c>
      <c r="I210" s="22"/>
      <c r="J210" s="33"/>
      <c r="K210" s="153"/>
      <c r="L210" s="153"/>
      <c r="M210" s="124"/>
      <c r="N210" s="21"/>
      <c r="O210" s="21"/>
      <c r="P210" s="30"/>
      <c r="R210" s="22"/>
      <c r="T210" s="21"/>
      <c r="U210" s="21"/>
      <c r="V210" s="32"/>
      <c r="W210" s="86"/>
      <c r="X210" s="197"/>
      <c r="Y210" s="197"/>
      <c r="Z210" s="199" t="s">
        <v>328</v>
      </c>
      <c r="AA210" s="53"/>
      <c r="AB210" s="53"/>
      <c r="AC210" s="88"/>
      <c r="AD210" s="225" t="s">
        <v>241</v>
      </c>
      <c r="AE210" s="224" t="s">
        <v>241</v>
      </c>
      <c r="AF210" s="225" t="s">
        <v>241</v>
      </c>
      <c r="AG210" s="224" t="s">
        <v>241</v>
      </c>
      <c r="AH210" s="226" t="s">
        <v>241</v>
      </c>
      <c r="AI210" s="53"/>
      <c r="AJ210" s="53"/>
      <c r="AU210" s="35"/>
    </row>
    <row r="211" spans="1:47" ht="36.75" customHeight="1" x14ac:dyDescent="0.2">
      <c r="A211" s="101"/>
      <c r="B211" s="262" t="s">
        <v>0</v>
      </c>
      <c r="C211" s="290"/>
      <c r="D211" s="263"/>
      <c r="E211" s="263"/>
      <c r="F211" s="374" t="s">
        <v>1124</v>
      </c>
      <c r="G211" s="312" t="s">
        <v>0</v>
      </c>
      <c r="H211" s="313" t="s">
        <v>1</v>
      </c>
      <c r="I211" s="314" t="s">
        <v>504</v>
      </c>
      <c r="J211" s="368" t="s">
        <v>914</v>
      </c>
      <c r="K211" s="369" t="s">
        <v>838</v>
      </c>
      <c r="L211" s="370" t="s">
        <v>695</v>
      </c>
      <c r="M211" s="325" t="s">
        <v>271</v>
      </c>
      <c r="N211" s="264" t="s">
        <v>915</v>
      </c>
      <c r="O211" s="371" t="s">
        <v>505</v>
      </c>
      <c r="P211" s="265" t="s">
        <v>916</v>
      </c>
      <c r="Q211" s="266" t="s">
        <v>1040</v>
      </c>
      <c r="R211" s="22" t="s">
        <v>275</v>
      </c>
      <c r="S211" s="41" t="s">
        <v>733</v>
      </c>
      <c r="T211" s="1" t="s">
        <v>274</v>
      </c>
      <c r="U211" s="95" t="s">
        <v>1078</v>
      </c>
      <c r="V211" s="32" t="s">
        <v>297</v>
      </c>
      <c r="W211" s="228" t="s">
        <v>840</v>
      </c>
      <c r="X211" s="187" t="s">
        <v>831</v>
      </c>
      <c r="Y211" s="187" t="s">
        <v>832</v>
      </c>
      <c r="Z211" s="196" t="s">
        <v>282</v>
      </c>
      <c r="AA211" s="55" t="s">
        <v>421</v>
      </c>
      <c r="AB211" s="55" t="s">
        <v>422</v>
      </c>
      <c r="AC211" s="306" t="s">
        <v>829</v>
      </c>
      <c r="AD211" s="222" t="s">
        <v>282</v>
      </c>
      <c r="AE211" s="221" t="s">
        <v>282</v>
      </c>
      <c r="AF211" s="222" t="s">
        <v>282</v>
      </c>
      <c r="AG211" s="221" t="s">
        <v>282</v>
      </c>
      <c r="AH211" s="223" t="s">
        <v>282</v>
      </c>
      <c r="AI211" s="52"/>
      <c r="AJ211" s="52"/>
      <c r="AU211" s="35"/>
    </row>
    <row r="212" spans="1:47" s="14" customFormat="1" ht="12" customHeight="1" x14ac:dyDescent="0.2">
      <c r="A212" s="341"/>
      <c r="B212" s="342" t="s">
        <v>347</v>
      </c>
      <c r="C212" s="343"/>
      <c r="D212" s="253"/>
      <c r="E212" s="253"/>
      <c r="F212" s="237" t="s">
        <v>1125</v>
      </c>
      <c r="G212" s="342" t="s">
        <v>347</v>
      </c>
      <c r="H212" s="97" t="s">
        <v>14</v>
      </c>
      <c r="I212" s="253">
        <v>2006</v>
      </c>
      <c r="J212" s="347">
        <v>4700</v>
      </c>
      <c r="K212" s="121">
        <v>52.4</v>
      </c>
      <c r="L212" s="121">
        <v>39.299999999999997</v>
      </c>
      <c r="M212" s="37" t="s">
        <v>1058</v>
      </c>
      <c r="N212" s="237" t="s">
        <v>17</v>
      </c>
      <c r="O212" s="237" t="s">
        <v>1056</v>
      </c>
      <c r="P212" s="344"/>
      <c r="Q212" s="257"/>
      <c r="R212" s="131"/>
      <c r="S212" s="310">
        <v>40994</v>
      </c>
      <c r="T212" s="19"/>
      <c r="U212" s="41" t="s">
        <v>1057</v>
      </c>
      <c r="V212" s="36"/>
      <c r="W212" s="228"/>
      <c r="X212" s="121">
        <f>K212</f>
        <v>52.4</v>
      </c>
      <c r="Y212" s="187"/>
      <c r="Z212" s="122">
        <f>X212</f>
        <v>52.4</v>
      </c>
      <c r="AA212" s="123">
        <f>IF(Z212&gt;0,$J212*Z212," ")</f>
        <v>246280</v>
      </c>
      <c r="AB212" s="123">
        <f>IF(Z212&gt;0,$J212," ")</f>
        <v>4700</v>
      </c>
      <c r="AC212" s="306"/>
      <c r="AD212" s="345">
        <f>L212</f>
        <v>39.299999999999997</v>
      </c>
      <c r="AE212" s="345"/>
      <c r="AF212" s="345"/>
      <c r="AG212" s="345"/>
      <c r="AH212" s="267">
        <f>AD212</f>
        <v>39.299999999999997</v>
      </c>
      <c r="AI212" s="123">
        <f>IF(AH212&gt;0,$J212*AH212," ")</f>
        <v>184710</v>
      </c>
      <c r="AJ212" s="123">
        <f>IF(AH212&gt;0,$J212," ")</f>
        <v>4700</v>
      </c>
      <c r="AP212" s="346"/>
      <c r="AU212" s="126"/>
    </row>
    <row r="213" spans="1:47" ht="12" customHeight="1" x14ac:dyDescent="0.2">
      <c r="A213" s="236"/>
      <c r="B213" s="184" t="s">
        <v>124</v>
      </c>
      <c r="C213" s="121"/>
      <c r="D213" s="167"/>
      <c r="E213" s="167"/>
      <c r="F213" s="237" t="s">
        <v>1130</v>
      </c>
      <c r="G213" s="315" t="s">
        <v>124</v>
      </c>
      <c r="H213" s="97" t="s">
        <v>14</v>
      </c>
      <c r="I213" s="166">
        <v>2002</v>
      </c>
      <c r="J213" s="167">
        <v>4049</v>
      </c>
      <c r="K213" s="121">
        <v>8</v>
      </c>
      <c r="L213" s="121">
        <v>5</v>
      </c>
      <c r="M213" s="332" t="s">
        <v>1041</v>
      </c>
      <c r="N213" s="98" t="s">
        <v>15</v>
      </c>
      <c r="O213" s="98" t="s">
        <v>90</v>
      </c>
      <c r="P213" s="168" t="s">
        <v>248</v>
      </c>
      <c r="Q213" s="257" t="s">
        <v>523</v>
      </c>
      <c r="R213" s="37"/>
      <c r="S213" s="355"/>
      <c r="T213" s="23"/>
      <c r="U213" s="35"/>
      <c r="V213" s="24"/>
      <c r="W213" s="154"/>
      <c r="X213" s="121"/>
      <c r="Y213" s="121"/>
      <c r="Z213" s="122">
        <f>K213</f>
        <v>8</v>
      </c>
      <c r="AA213" s="123">
        <f>IF(Z213&gt;0,$J213*Z213," ")</f>
        <v>32392</v>
      </c>
      <c r="AB213" s="123">
        <f>IF(Z213&gt;0,$J213," ")</f>
        <v>4049</v>
      </c>
      <c r="AC213" s="120"/>
      <c r="AD213" s="39"/>
      <c r="AE213" s="38"/>
      <c r="AF213" s="39"/>
      <c r="AG213" s="39"/>
      <c r="AH213" s="38">
        <v>5</v>
      </c>
      <c r="AI213" s="123">
        <f>IF(AH213&gt;0,$J213*AH213," ")</f>
        <v>20245</v>
      </c>
      <c r="AJ213" s="123">
        <f>IF(AH213&gt;0,$J213," ")</f>
        <v>4049</v>
      </c>
      <c r="AK213" s="35"/>
      <c r="AL213" s="35"/>
      <c r="AM213" s="35"/>
    </row>
    <row r="214" spans="1:47" ht="12" customHeight="1" x14ac:dyDescent="0.2">
      <c r="A214" s="236"/>
      <c r="B214" s="184" t="s">
        <v>124</v>
      </c>
      <c r="C214" s="121"/>
      <c r="D214" s="167"/>
      <c r="E214" s="167"/>
      <c r="F214" s="237" t="s">
        <v>1130</v>
      </c>
      <c r="G214" s="315" t="s">
        <v>124</v>
      </c>
      <c r="H214" s="97" t="s">
        <v>304</v>
      </c>
      <c r="I214" s="166">
        <v>2003</v>
      </c>
      <c r="J214" s="167">
        <v>1039</v>
      </c>
      <c r="K214" s="121" t="str">
        <f t="shared" ref="K214:K285" si="62">IF(Z214&gt;0,Z214,"")</f>
        <v/>
      </c>
      <c r="L214" s="121">
        <f t="shared" ref="L214:L286" si="63">IF(AH214&gt;0,AH214,"")</f>
        <v>37</v>
      </c>
      <c r="M214" s="333" t="s">
        <v>1045</v>
      </c>
      <c r="N214" s="98" t="s">
        <v>18</v>
      </c>
      <c r="O214" s="98" t="s">
        <v>305</v>
      </c>
      <c r="P214" s="168"/>
      <c r="Q214" s="98" t="s">
        <v>953</v>
      </c>
      <c r="R214" s="37"/>
      <c r="S214" s="356"/>
      <c r="T214" s="23"/>
      <c r="U214" s="126" t="s">
        <v>676</v>
      </c>
      <c r="V214" s="24"/>
      <c r="W214" s="154"/>
      <c r="X214" s="121"/>
      <c r="Y214" s="121"/>
      <c r="Z214" s="122"/>
      <c r="AA214" s="123" t="str">
        <f t="shared" ref="AA214:AA297" si="64">IF(Z214&gt;0,$J214*Z214," ")</f>
        <v xml:space="preserve"> </v>
      </c>
      <c r="AB214" s="123" t="str">
        <f t="shared" ref="AB214:AB297" si="65">IF(Z214&gt;0,$J214," ")</f>
        <v xml:space="preserve"> </v>
      </c>
      <c r="AC214" s="120"/>
      <c r="AD214" s="39">
        <v>37</v>
      </c>
      <c r="AE214" s="38"/>
      <c r="AF214" s="39"/>
      <c r="AG214" s="39"/>
      <c r="AH214" s="38">
        <v>37</v>
      </c>
      <c r="AI214" s="123">
        <f t="shared" ref="AI214:AI297" si="66">IF(AH214&gt;0,$J214*AH214," ")</f>
        <v>38443</v>
      </c>
      <c r="AJ214" s="123">
        <f t="shared" ref="AJ214:AJ297" si="67">IF(AH214&gt;0,$J214," ")</f>
        <v>1039</v>
      </c>
      <c r="AK214" s="35"/>
      <c r="AL214" s="35"/>
      <c r="AM214" s="35"/>
      <c r="AN214" s="2" t="s">
        <v>306</v>
      </c>
    </row>
    <row r="215" spans="1:47" ht="12" customHeight="1" x14ac:dyDescent="0.2">
      <c r="A215" s="236"/>
      <c r="B215" s="184" t="s">
        <v>125</v>
      </c>
      <c r="C215" s="121"/>
      <c r="D215" s="167"/>
      <c r="E215" s="167"/>
      <c r="F215" s="237" t="s">
        <v>1131</v>
      </c>
      <c r="G215" s="315" t="s">
        <v>125</v>
      </c>
      <c r="H215" s="97" t="s">
        <v>14</v>
      </c>
      <c r="I215" s="166">
        <v>2006</v>
      </c>
      <c r="J215" s="167">
        <v>2043</v>
      </c>
      <c r="K215" s="121">
        <v>16</v>
      </c>
      <c r="L215" s="121">
        <v>10</v>
      </c>
      <c r="M215" s="327" t="s">
        <v>952</v>
      </c>
      <c r="N215" s="98" t="s">
        <v>17</v>
      </c>
      <c r="O215" s="98" t="s">
        <v>607</v>
      </c>
      <c r="P215" s="168"/>
      <c r="Q215" s="237" t="s">
        <v>222</v>
      </c>
      <c r="R215" s="37"/>
      <c r="S215" s="355"/>
      <c r="T215" s="23"/>
      <c r="U215" s="35"/>
      <c r="V215" s="24"/>
      <c r="W215" s="154"/>
      <c r="X215" s="121">
        <v>16</v>
      </c>
      <c r="Y215" s="121"/>
      <c r="Z215" s="122">
        <f>X215</f>
        <v>16</v>
      </c>
      <c r="AA215" s="123">
        <f>IF(Z215&gt;0,$J215*Z215," ")</f>
        <v>32688</v>
      </c>
      <c r="AB215" s="123">
        <f>IF(Z215&gt;0,$J215," ")</f>
        <v>2043</v>
      </c>
      <c r="AC215" s="120"/>
      <c r="AD215" s="39">
        <v>10</v>
      </c>
      <c r="AE215" s="38"/>
      <c r="AF215" s="39"/>
      <c r="AG215" s="39"/>
      <c r="AH215" s="38">
        <f>AD215</f>
        <v>10</v>
      </c>
      <c r="AI215" s="123">
        <f t="shared" si="66"/>
        <v>20430</v>
      </c>
      <c r="AJ215" s="123">
        <f t="shared" si="67"/>
        <v>2043</v>
      </c>
      <c r="AK215" s="35"/>
      <c r="AL215" s="35"/>
      <c r="AM215" s="35"/>
      <c r="AU215" s="35"/>
    </row>
    <row r="216" spans="1:47" ht="12" customHeight="1" x14ac:dyDescent="0.2">
      <c r="A216" s="236"/>
      <c r="B216" s="184" t="s">
        <v>126</v>
      </c>
      <c r="C216" s="121"/>
      <c r="D216" s="167"/>
      <c r="E216" s="167"/>
      <c r="F216" s="237" t="s">
        <v>1131</v>
      </c>
      <c r="G216" s="315" t="s">
        <v>126</v>
      </c>
      <c r="H216" s="97" t="s">
        <v>348</v>
      </c>
      <c r="I216" s="166">
        <v>2007</v>
      </c>
      <c r="J216" s="167">
        <v>999999999</v>
      </c>
      <c r="K216" s="121">
        <f t="shared" si="62"/>
        <v>78</v>
      </c>
      <c r="L216" s="121" t="str">
        <f t="shared" si="63"/>
        <v/>
      </c>
      <c r="M216" s="332" t="s">
        <v>636</v>
      </c>
      <c r="N216" s="98"/>
      <c r="O216" s="98"/>
      <c r="P216" s="168"/>
      <c r="Q216" s="237" t="s">
        <v>223</v>
      </c>
      <c r="R216" s="131"/>
      <c r="S216" s="355"/>
      <c r="T216" s="23"/>
      <c r="U216" s="126"/>
      <c r="V216" s="35"/>
      <c r="W216" s="154"/>
      <c r="X216" s="121"/>
      <c r="Y216" s="121"/>
      <c r="Z216" s="122">
        <v>78</v>
      </c>
      <c r="AA216" s="123">
        <f t="shared" si="64"/>
        <v>77999999922</v>
      </c>
      <c r="AB216" s="123">
        <f t="shared" si="65"/>
        <v>999999999</v>
      </c>
      <c r="AC216" s="120"/>
      <c r="AD216" s="39"/>
      <c r="AE216" s="38"/>
      <c r="AF216" s="39"/>
      <c r="AG216" s="39"/>
      <c r="AH216" s="38"/>
      <c r="AI216" s="123" t="str">
        <f t="shared" si="66"/>
        <v xml:space="preserve"> </v>
      </c>
      <c r="AJ216" s="123" t="str">
        <f t="shared" si="67"/>
        <v xml:space="preserve"> </v>
      </c>
      <c r="AK216" s="35"/>
      <c r="AL216" s="35"/>
      <c r="AM216" s="35"/>
      <c r="AU216" s="35"/>
    </row>
    <row r="217" spans="1:47" ht="12" customHeight="1" x14ac:dyDescent="0.2">
      <c r="A217" s="236"/>
      <c r="B217" s="184" t="s">
        <v>214</v>
      </c>
      <c r="C217" s="277"/>
      <c r="D217" s="254"/>
      <c r="E217" s="254"/>
      <c r="F217" s="237" t="s">
        <v>1132</v>
      </c>
      <c r="G217" s="315" t="s">
        <v>214</v>
      </c>
      <c r="H217" s="186" t="s">
        <v>14</v>
      </c>
      <c r="I217" s="253">
        <v>1990</v>
      </c>
      <c r="J217" s="254">
        <v>97</v>
      </c>
      <c r="K217" s="121">
        <f t="shared" si="62"/>
        <v>30</v>
      </c>
      <c r="L217" s="121" t="str">
        <f t="shared" si="63"/>
        <v/>
      </c>
      <c r="M217" s="2" t="s">
        <v>1059</v>
      </c>
      <c r="N217" s="237" t="s">
        <v>17</v>
      </c>
      <c r="O217" s="237" t="s">
        <v>228</v>
      </c>
      <c r="P217" s="168"/>
      <c r="Q217" s="98" t="s">
        <v>218</v>
      </c>
      <c r="R217" s="334" t="s">
        <v>1050</v>
      </c>
      <c r="S217" s="310">
        <v>40994</v>
      </c>
      <c r="T217" s="36" t="s">
        <v>535</v>
      </c>
      <c r="U217" s="14" t="s">
        <v>1073</v>
      </c>
      <c r="V217" s="24"/>
      <c r="W217" s="154"/>
      <c r="X217" s="121"/>
      <c r="Y217" s="121"/>
      <c r="Z217" s="202">
        <v>30</v>
      </c>
      <c r="AA217" s="123">
        <f t="shared" si="64"/>
        <v>2910</v>
      </c>
      <c r="AB217" s="123">
        <f t="shared" si="65"/>
        <v>97</v>
      </c>
      <c r="AC217" s="120"/>
      <c r="AD217" s="267"/>
      <c r="AE217" s="267"/>
      <c r="AF217" s="267"/>
      <c r="AG217" s="267"/>
      <c r="AH217" s="268"/>
      <c r="AI217" s="123" t="str">
        <f t="shared" si="66"/>
        <v xml:space="preserve"> </v>
      </c>
      <c r="AJ217" s="123" t="str">
        <f t="shared" si="67"/>
        <v xml:space="preserve"> </v>
      </c>
      <c r="AK217" s="35"/>
      <c r="AL217" s="35"/>
      <c r="AM217" s="35"/>
      <c r="AU217" s="35"/>
    </row>
    <row r="218" spans="1:47" ht="12" customHeight="1" x14ac:dyDescent="0.2">
      <c r="A218" s="236"/>
      <c r="B218" s="184" t="s">
        <v>127</v>
      </c>
      <c r="C218" s="277"/>
      <c r="D218" s="254"/>
      <c r="E218" s="254"/>
      <c r="F218" s="237" t="s">
        <v>1132</v>
      </c>
      <c r="G218" s="315" t="s">
        <v>127</v>
      </c>
      <c r="H218" s="186" t="s">
        <v>349</v>
      </c>
      <c r="I218" s="253">
        <v>2002</v>
      </c>
      <c r="J218" s="254">
        <v>270</v>
      </c>
      <c r="K218" s="121">
        <f t="shared" si="62"/>
        <v>19.62962962962963</v>
      </c>
      <c r="L218" s="121" t="str">
        <f t="shared" si="63"/>
        <v/>
      </c>
      <c r="M218" s="333" t="s">
        <v>707</v>
      </c>
      <c r="N218" s="237"/>
      <c r="O218" s="237" t="s">
        <v>33</v>
      </c>
      <c r="P218" s="169"/>
      <c r="Q218" s="237" t="s">
        <v>956</v>
      </c>
      <c r="R218" s="37"/>
      <c r="S218" s="355"/>
      <c r="T218" s="23"/>
      <c r="U218" s="126" t="s">
        <v>708</v>
      </c>
      <c r="V218" s="35" t="s">
        <v>506</v>
      </c>
      <c r="W218" s="154"/>
      <c r="X218" s="121">
        <f>100*53/270</f>
        <v>19.62962962962963</v>
      </c>
      <c r="Y218" s="121"/>
      <c r="Z218" s="202">
        <f>X218</f>
        <v>19.62962962962963</v>
      </c>
      <c r="AA218" s="123">
        <f t="shared" si="64"/>
        <v>5300</v>
      </c>
      <c r="AB218" s="123">
        <f t="shared" si="65"/>
        <v>270</v>
      </c>
      <c r="AC218" s="120"/>
      <c r="AD218" s="267"/>
      <c r="AE218" s="267"/>
      <c r="AF218" s="267"/>
      <c r="AG218" s="267"/>
      <c r="AH218" s="268"/>
      <c r="AI218" s="123" t="str">
        <f t="shared" si="66"/>
        <v xml:space="preserve"> </v>
      </c>
      <c r="AJ218" s="123" t="str">
        <f t="shared" si="67"/>
        <v xml:space="preserve"> </v>
      </c>
      <c r="AK218" s="35"/>
      <c r="AL218" s="35"/>
      <c r="AM218" s="35"/>
      <c r="AN218" s="107" t="s">
        <v>594</v>
      </c>
      <c r="AU218" s="35"/>
    </row>
    <row r="219" spans="1:47" ht="12" customHeight="1" x14ac:dyDescent="0.2">
      <c r="A219" s="236"/>
      <c r="B219" s="184" t="s">
        <v>127</v>
      </c>
      <c r="C219" s="121"/>
      <c r="D219" s="167"/>
      <c r="E219" s="167"/>
      <c r="F219" s="237" t="s">
        <v>1132</v>
      </c>
      <c r="G219" s="315" t="s">
        <v>127</v>
      </c>
      <c r="H219" s="97" t="s">
        <v>14</v>
      </c>
      <c r="I219" s="253">
        <v>2004</v>
      </c>
      <c r="J219" s="167">
        <v>999999999</v>
      </c>
      <c r="K219" s="121">
        <f t="shared" si="62"/>
        <v>25</v>
      </c>
      <c r="L219" s="121" t="str">
        <f t="shared" si="63"/>
        <v/>
      </c>
      <c r="M219" s="334" t="s">
        <v>538</v>
      </c>
      <c r="N219" s="237" t="s">
        <v>17</v>
      </c>
      <c r="O219" s="237"/>
      <c r="P219" s="168"/>
      <c r="Q219" s="98" t="s">
        <v>537</v>
      </c>
      <c r="R219" s="37"/>
      <c r="S219" s="355"/>
      <c r="T219" s="23"/>
      <c r="U219" s="35" t="s">
        <v>539</v>
      </c>
      <c r="V219" s="35" t="s">
        <v>540</v>
      </c>
      <c r="W219" s="155"/>
      <c r="X219" s="121"/>
      <c r="Y219" s="121"/>
      <c r="Z219" s="202">
        <v>25</v>
      </c>
      <c r="AA219" s="123">
        <f t="shared" si="64"/>
        <v>24999999975</v>
      </c>
      <c r="AB219" s="123">
        <f t="shared" si="65"/>
        <v>999999999</v>
      </c>
      <c r="AC219" s="120"/>
      <c r="AD219" s="267"/>
      <c r="AE219" s="267"/>
      <c r="AF219" s="267"/>
      <c r="AG219" s="267"/>
      <c r="AH219" s="268"/>
      <c r="AI219" s="123" t="str">
        <f t="shared" si="66"/>
        <v xml:space="preserve"> </v>
      </c>
      <c r="AJ219" s="123" t="str">
        <f t="shared" si="67"/>
        <v xml:space="preserve"> </v>
      </c>
      <c r="AK219" s="35"/>
      <c r="AL219" s="35"/>
      <c r="AM219" s="35"/>
      <c r="AU219" s="35"/>
    </row>
    <row r="220" spans="1:47" ht="12" customHeight="1" x14ac:dyDescent="0.2">
      <c r="A220" s="236"/>
      <c r="B220" s="184" t="s">
        <v>362</v>
      </c>
      <c r="C220" s="121"/>
      <c r="D220" s="167"/>
      <c r="E220" s="167"/>
      <c r="F220" s="237" t="s">
        <v>1125</v>
      </c>
      <c r="G220" s="315" t="s">
        <v>362</v>
      </c>
      <c r="H220" s="97" t="s">
        <v>552</v>
      </c>
      <c r="I220" s="253" t="s">
        <v>551</v>
      </c>
      <c r="J220" s="167">
        <v>1457</v>
      </c>
      <c r="K220" s="121">
        <f t="shared" si="62"/>
        <v>30</v>
      </c>
      <c r="L220" s="121" t="str">
        <f t="shared" si="63"/>
        <v/>
      </c>
      <c r="M220" s="15" t="s">
        <v>1079</v>
      </c>
      <c r="N220" s="237" t="s">
        <v>17</v>
      </c>
      <c r="O220" s="237"/>
      <c r="P220" s="168"/>
      <c r="Q220" s="237" t="s">
        <v>225</v>
      </c>
      <c r="R220" s="334" t="s">
        <v>637</v>
      </c>
      <c r="S220" s="310">
        <v>40994</v>
      </c>
      <c r="T220" s="23"/>
      <c r="U220" s="126" t="s">
        <v>1060</v>
      </c>
      <c r="V220" s="35"/>
      <c r="W220" s="155"/>
      <c r="X220" s="121"/>
      <c r="Y220" s="121"/>
      <c r="Z220" s="202">
        <v>30</v>
      </c>
      <c r="AA220" s="123">
        <f t="shared" si="64"/>
        <v>43710</v>
      </c>
      <c r="AB220" s="123">
        <f t="shared" si="65"/>
        <v>1457</v>
      </c>
      <c r="AC220" s="120"/>
      <c r="AD220" s="267"/>
      <c r="AE220" s="267"/>
      <c r="AF220" s="267"/>
      <c r="AG220" s="267"/>
      <c r="AH220" s="268"/>
      <c r="AI220" s="123" t="str">
        <f t="shared" si="66"/>
        <v xml:space="preserve"> </v>
      </c>
      <c r="AJ220" s="123" t="str">
        <f t="shared" si="67"/>
        <v xml:space="preserve"> </v>
      </c>
      <c r="AK220" s="35"/>
      <c r="AL220" s="35"/>
      <c r="AM220" s="35"/>
      <c r="AU220" s="35"/>
    </row>
    <row r="221" spans="1:47" ht="12" customHeight="1" x14ac:dyDescent="0.2">
      <c r="A221" s="236"/>
      <c r="B221" s="184" t="s">
        <v>362</v>
      </c>
      <c r="C221" s="121"/>
      <c r="D221" s="167"/>
      <c r="E221" s="167"/>
      <c r="F221" s="237" t="s">
        <v>1125</v>
      </c>
      <c r="G221" s="315" t="s">
        <v>362</v>
      </c>
      <c r="H221" s="97" t="s">
        <v>14</v>
      </c>
      <c r="I221" s="253" t="s">
        <v>589</v>
      </c>
      <c r="J221" s="167">
        <v>999999999</v>
      </c>
      <c r="K221" s="121">
        <f>Z221</f>
        <v>8.9</v>
      </c>
      <c r="L221" s="121"/>
      <c r="M221" s="15"/>
      <c r="N221" s="237"/>
      <c r="O221" s="237"/>
      <c r="P221" s="168"/>
      <c r="Q221" s="237"/>
      <c r="R221" s="131" t="s">
        <v>1122</v>
      </c>
      <c r="S221" s="310"/>
      <c r="T221" s="23"/>
      <c r="U221" s="126"/>
      <c r="V221" s="35"/>
      <c r="W221" s="155"/>
      <c r="X221" s="121">
        <v>8.9</v>
      </c>
      <c r="Y221" s="121">
        <v>9.5</v>
      </c>
      <c r="Z221" s="202">
        <f>X221</f>
        <v>8.9</v>
      </c>
      <c r="AA221" s="123"/>
      <c r="AB221" s="123"/>
      <c r="AC221" s="120"/>
      <c r="AD221" s="267"/>
      <c r="AE221" s="267"/>
      <c r="AF221" s="267"/>
      <c r="AG221" s="267"/>
      <c r="AH221" s="268"/>
      <c r="AI221" s="123"/>
      <c r="AJ221" s="123"/>
      <c r="AK221" s="35"/>
      <c r="AL221" s="35"/>
      <c r="AM221" s="35"/>
      <c r="AU221" s="35"/>
    </row>
    <row r="222" spans="1:47" ht="12" customHeight="1" x14ac:dyDescent="0.2">
      <c r="A222" s="236"/>
      <c r="B222" s="184" t="s">
        <v>64</v>
      </c>
      <c r="C222" s="121"/>
      <c r="D222" s="167"/>
      <c r="E222" s="167"/>
      <c r="F222" s="237" t="s">
        <v>1134</v>
      </c>
      <c r="G222" s="315" t="s">
        <v>64</v>
      </c>
      <c r="H222" s="97" t="s">
        <v>14</v>
      </c>
      <c r="I222" s="166">
        <v>1996</v>
      </c>
      <c r="J222" s="167">
        <v>6300</v>
      </c>
      <c r="K222" s="121">
        <f t="shared" si="62"/>
        <v>8</v>
      </c>
      <c r="L222" s="121">
        <f t="shared" si="63"/>
        <v>3</v>
      </c>
      <c r="M222" s="332" t="s">
        <v>1041</v>
      </c>
      <c r="N222" s="98" t="s">
        <v>17</v>
      </c>
      <c r="O222" s="98"/>
      <c r="P222" s="168"/>
      <c r="Q222" s="98" t="s">
        <v>523</v>
      </c>
      <c r="R222" s="37"/>
      <c r="S222" s="355"/>
      <c r="T222" s="23"/>
      <c r="U222" s="35"/>
      <c r="V222" s="35"/>
      <c r="W222" s="154"/>
      <c r="X222" s="121"/>
      <c r="Y222" s="121"/>
      <c r="Z222" s="122">
        <v>8</v>
      </c>
      <c r="AA222" s="123">
        <f t="shared" si="64"/>
        <v>50400</v>
      </c>
      <c r="AB222" s="123">
        <f t="shared" si="65"/>
        <v>6300</v>
      </c>
      <c r="AC222" s="120"/>
      <c r="AD222" s="39"/>
      <c r="AE222" s="39"/>
      <c r="AF222" s="39"/>
      <c r="AG222" s="39">
        <v>3</v>
      </c>
      <c r="AH222" s="39">
        <v>3</v>
      </c>
      <c r="AI222" s="123">
        <f t="shared" si="66"/>
        <v>18900</v>
      </c>
      <c r="AJ222" s="123">
        <f t="shared" si="67"/>
        <v>6300</v>
      </c>
      <c r="AK222" s="35"/>
      <c r="AL222" s="35"/>
      <c r="AM222" s="35"/>
      <c r="AU222" s="35"/>
    </row>
    <row r="223" spans="1:47" ht="12" customHeight="1" x14ac:dyDescent="0.2">
      <c r="A223" s="236"/>
      <c r="B223" s="184" t="s">
        <v>64</v>
      </c>
      <c r="C223" s="121"/>
      <c r="D223" s="167"/>
      <c r="E223" s="167"/>
      <c r="F223" s="169" t="s">
        <v>1134</v>
      </c>
      <c r="G223" s="315" t="s">
        <v>64</v>
      </c>
      <c r="H223" s="97"/>
      <c r="I223" s="166">
        <v>2003</v>
      </c>
      <c r="J223" s="167">
        <v>6004</v>
      </c>
      <c r="K223" s="121">
        <f t="shared" si="62"/>
        <v>16</v>
      </c>
      <c r="L223" s="121" t="str">
        <f t="shared" si="63"/>
        <v/>
      </c>
      <c r="M223" s="333" t="s">
        <v>1044</v>
      </c>
      <c r="N223" s="98"/>
      <c r="O223" s="98"/>
      <c r="P223" s="168"/>
      <c r="Q223" s="169" t="s">
        <v>957</v>
      </c>
      <c r="R223" s="37"/>
      <c r="S223" s="355"/>
      <c r="T223" s="23"/>
      <c r="U223" s="35" t="s">
        <v>782</v>
      </c>
      <c r="V223" s="35"/>
      <c r="W223" s="154"/>
      <c r="X223" s="121">
        <v>16</v>
      </c>
      <c r="Y223" s="121"/>
      <c r="Z223" s="122">
        <f>X223</f>
        <v>16</v>
      </c>
      <c r="AA223" s="123">
        <f t="shared" si="64"/>
        <v>96064</v>
      </c>
      <c r="AB223" s="123">
        <f t="shared" si="65"/>
        <v>6004</v>
      </c>
      <c r="AC223" s="120"/>
      <c r="AD223" s="39"/>
      <c r="AE223" s="39"/>
      <c r="AF223" s="39"/>
      <c r="AG223" s="39"/>
      <c r="AH223" s="39"/>
      <c r="AI223" s="123"/>
      <c r="AJ223" s="123"/>
      <c r="AK223" s="35"/>
      <c r="AL223" s="35"/>
      <c r="AM223" s="35"/>
      <c r="AU223" s="35"/>
    </row>
    <row r="224" spans="1:47" ht="12" customHeight="1" x14ac:dyDescent="0.2">
      <c r="A224" s="236"/>
      <c r="B224" s="184" t="s">
        <v>64</v>
      </c>
      <c r="C224" s="121"/>
      <c r="D224" s="167"/>
      <c r="E224" s="167"/>
      <c r="F224" s="169" t="s">
        <v>1134</v>
      </c>
      <c r="G224" s="315" t="s">
        <v>64</v>
      </c>
      <c r="H224" s="97"/>
      <c r="I224" s="166">
        <v>2001</v>
      </c>
      <c r="J224" s="167">
        <v>395</v>
      </c>
      <c r="K224" s="121">
        <f t="shared" si="62"/>
        <v>28.5</v>
      </c>
      <c r="L224" s="121" t="str">
        <f t="shared" si="63"/>
        <v/>
      </c>
      <c r="M224" s="333" t="s">
        <v>1044</v>
      </c>
      <c r="N224" s="98"/>
      <c r="O224" s="98"/>
      <c r="P224" s="168"/>
      <c r="Q224" s="169" t="s">
        <v>957</v>
      </c>
      <c r="R224" s="37"/>
      <c r="S224" s="355"/>
      <c r="T224" s="23"/>
      <c r="U224" s="35"/>
      <c r="V224" s="35"/>
      <c r="W224" s="154"/>
      <c r="X224" s="121">
        <v>28.5</v>
      </c>
      <c r="Y224" s="121"/>
      <c r="Z224" s="122">
        <f>X224</f>
        <v>28.5</v>
      </c>
      <c r="AA224" s="123">
        <f t="shared" si="64"/>
        <v>11257.5</v>
      </c>
      <c r="AB224" s="123">
        <f t="shared" si="65"/>
        <v>395</v>
      </c>
      <c r="AC224" s="120"/>
      <c r="AD224" s="39"/>
      <c r="AE224" s="39"/>
      <c r="AF224" s="39"/>
      <c r="AG224" s="39"/>
      <c r="AH224" s="39"/>
      <c r="AI224" s="123"/>
      <c r="AJ224" s="123"/>
      <c r="AK224" s="35"/>
      <c r="AL224" s="35"/>
      <c r="AM224" s="35"/>
      <c r="AU224" s="35"/>
    </row>
    <row r="225" spans="1:47" ht="12" customHeight="1" x14ac:dyDescent="0.2">
      <c r="A225" s="236"/>
      <c r="B225" s="184" t="s">
        <v>64</v>
      </c>
      <c r="C225" s="121"/>
      <c r="D225" s="167"/>
      <c r="E225" s="167"/>
      <c r="F225" s="169" t="s">
        <v>1134</v>
      </c>
      <c r="G225" s="315" t="s">
        <v>64</v>
      </c>
      <c r="H225" s="97"/>
      <c r="I225" s="166">
        <v>2002</v>
      </c>
      <c r="J225" s="167">
        <v>2338</v>
      </c>
      <c r="K225" s="121">
        <f t="shared" si="62"/>
        <v>23.3</v>
      </c>
      <c r="L225" s="121" t="str">
        <f t="shared" si="63"/>
        <v/>
      </c>
      <c r="M225" s="333" t="s">
        <v>1044</v>
      </c>
      <c r="N225" s="98"/>
      <c r="O225" s="98"/>
      <c r="P225" s="169" t="s">
        <v>794</v>
      </c>
      <c r="Q225" s="169" t="s">
        <v>957</v>
      </c>
      <c r="R225" s="37"/>
      <c r="S225" s="355"/>
      <c r="T225" s="23"/>
      <c r="U225" s="35"/>
      <c r="V225" s="35"/>
      <c r="W225" s="154"/>
      <c r="X225" s="121">
        <v>23.3</v>
      </c>
      <c r="Y225" s="121"/>
      <c r="Z225" s="122">
        <f>X225</f>
        <v>23.3</v>
      </c>
      <c r="AA225" s="123">
        <f>IF(Z225&gt;0,$J225*Z225," ")</f>
        <v>54475.4</v>
      </c>
      <c r="AB225" s="123">
        <f>IF(Z225&gt;0,$J225," ")</f>
        <v>2338</v>
      </c>
      <c r="AC225" s="120"/>
      <c r="AD225" s="39"/>
      <c r="AE225" s="39"/>
      <c r="AF225" s="39"/>
      <c r="AG225" s="39"/>
      <c r="AH225" s="39"/>
      <c r="AI225" s="123"/>
      <c r="AJ225" s="123"/>
      <c r="AK225" s="35"/>
      <c r="AL225" s="35"/>
      <c r="AM225" s="35"/>
      <c r="AU225" s="35"/>
    </row>
    <row r="226" spans="1:47" ht="12" customHeight="1" x14ac:dyDescent="0.2">
      <c r="A226" s="236"/>
      <c r="B226" s="184" t="s">
        <v>64</v>
      </c>
      <c r="C226" s="121"/>
      <c r="D226" s="167"/>
      <c r="E226" s="167"/>
      <c r="F226" s="169" t="s">
        <v>1134</v>
      </c>
      <c r="G226" s="315" t="s">
        <v>64</v>
      </c>
      <c r="H226" s="97" t="s">
        <v>1110</v>
      </c>
      <c r="I226" s="166">
        <v>2003</v>
      </c>
      <c r="J226" s="167">
        <v>2884</v>
      </c>
      <c r="K226" s="121">
        <f t="shared" si="62"/>
        <v>16</v>
      </c>
      <c r="L226" s="121" t="str">
        <f t="shared" si="63"/>
        <v/>
      </c>
      <c r="M226" s="333" t="s">
        <v>1044</v>
      </c>
      <c r="N226" s="98"/>
      <c r="O226" s="98"/>
      <c r="P226" s="168"/>
      <c r="Q226" s="169" t="s">
        <v>957</v>
      </c>
      <c r="R226" s="37"/>
      <c r="S226" s="355"/>
      <c r="T226" s="23"/>
      <c r="U226" s="35"/>
      <c r="V226" s="35"/>
      <c r="W226" s="154"/>
      <c r="X226" s="121">
        <v>16</v>
      </c>
      <c r="Y226" s="121"/>
      <c r="Z226" s="122">
        <f>X226</f>
        <v>16</v>
      </c>
      <c r="AA226" s="123">
        <f t="shared" si="64"/>
        <v>46144</v>
      </c>
      <c r="AB226" s="123">
        <f t="shared" si="65"/>
        <v>2884</v>
      </c>
      <c r="AC226" s="120"/>
      <c r="AD226" s="39"/>
      <c r="AE226" s="39"/>
      <c r="AF226" s="39"/>
      <c r="AG226" s="39"/>
      <c r="AH226" s="39"/>
      <c r="AI226" s="123" t="str">
        <f t="shared" si="66"/>
        <v xml:space="preserve"> </v>
      </c>
      <c r="AJ226" s="123" t="str">
        <f t="shared" si="67"/>
        <v xml:space="preserve"> </v>
      </c>
      <c r="AK226" s="35"/>
      <c r="AL226" s="35"/>
      <c r="AM226" s="35"/>
      <c r="AU226" s="35"/>
    </row>
    <row r="227" spans="1:47" ht="12" customHeight="1" x14ac:dyDescent="0.2">
      <c r="A227" s="236"/>
      <c r="B227" s="184" t="s">
        <v>64</v>
      </c>
      <c r="C227" s="121"/>
      <c r="D227" s="167"/>
      <c r="E227" s="167"/>
      <c r="F227" s="237" t="s">
        <v>1134</v>
      </c>
      <c r="G227" s="315" t="s">
        <v>64</v>
      </c>
      <c r="H227" s="97" t="s">
        <v>14</v>
      </c>
      <c r="I227" s="166" t="s">
        <v>249</v>
      </c>
      <c r="J227" s="167">
        <v>6438</v>
      </c>
      <c r="K227" s="121">
        <f t="shared" si="62"/>
        <v>25</v>
      </c>
      <c r="L227" s="121">
        <f t="shared" si="63"/>
        <v>4</v>
      </c>
      <c r="M227" s="335" t="s">
        <v>659</v>
      </c>
      <c r="N227" s="98" t="s">
        <v>15</v>
      </c>
      <c r="O227" s="98" t="s">
        <v>250</v>
      </c>
      <c r="P227" s="169" t="s">
        <v>258</v>
      </c>
      <c r="Q227" s="98" t="s">
        <v>553</v>
      </c>
      <c r="R227" s="37"/>
      <c r="S227" s="355"/>
      <c r="T227" s="23"/>
      <c r="U227" s="35"/>
      <c r="V227" s="35"/>
      <c r="W227" s="154"/>
      <c r="X227" s="121">
        <v>25</v>
      </c>
      <c r="Y227" s="121">
        <v>27</v>
      </c>
      <c r="Z227" s="122">
        <f>X227</f>
        <v>25</v>
      </c>
      <c r="AA227" s="123">
        <f t="shared" si="64"/>
        <v>160950</v>
      </c>
      <c r="AB227" s="123">
        <f t="shared" si="65"/>
        <v>6438</v>
      </c>
      <c r="AC227" s="120"/>
      <c r="AD227" s="39">
        <v>8</v>
      </c>
      <c r="AE227" s="39">
        <v>10</v>
      </c>
      <c r="AF227" s="39">
        <v>4</v>
      </c>
      <c r="AG227" s="39">
        <v>4</v>
      </c>
      <c r="AH227" s="39">
        <f>AG227</f>
        <v>4</v>
      </c>
      <c r="AI227" s="123">
        <f t="shared" si="66"/>
        <v>25752</v>
      </c>
      <c r="AJ227" s="123">
        <f t="shared" si="67"/>
        <v>6438</v>
      </c>
      <c r="AK227" s="35"/>
      <c r="AL227" s="35"/>
      <c r="AM227" s="35"/>
      <c r="AU227" s="35"/>
    </row>
    <row r="228" spans="1:47" ht="12" customHeight="1" x14ac:dyDescent="0.2">
      <c r="A228" s="236"/>
      <c r="B228" s="184" t="s">
        <v>64</v>
      </c>
      <c r="C228" s="121"/>
      <c r="D228" s="167"/>
      <c r="E228" s="167"/>
      <c r="F228" s="169" t="s">
        <v>1134</v>
      </c>
      <c r="G228" s="315" t="s">
        <v>64</v>
      </c>
      <c r="H228" s="97"/>
      <c r="I228" s="166">
        <v>2006</v>
      </c>
      <c r="J228" s="167">
        <v>356</v>
      </c>
      <c r="K228" s="121">
        <f t="shared" si="62"/>
        <v>27</v>
      </c>
      <c r="L228" s="121" t="str">
        <f t="shared" si="63"/>
        <v/>
      </c>
      <c r="M228" s="333" t="s">
        <v>1044</v>
      </c>
      <c r="N228" s="98"/>
      <c r="O228" s="98"/>
      <c r="P228" s="169"/>
      <c r="Q228" s="169" t="s">
        <v>957</v>
      </c>
      <c r="R228" s="37"/>
      <c r="S228" s="355"/>
      <c r="T228" s="23"/>
      <c r="U228" s="35"/>
      <c r="V228" s="35"/>
      <c r="W228" s="154"/>
      <c r="X228" s="121"/>
      <c r="Y228" s="121">
        <v>27</v>
      </c>
      <c r="Z228" s="122">
        <f>Y228</f>
        <v>27</v>
      </c>
      <c r="AA228" s="123">
        <f t="shared" si="64"/>
        <v>9612</v>
      </c>
      <c r="AB228" s="123">
        <f t="shared" si="65"/>
        <v>356</v>
      </c>
      <c r="AC228" s="120"/>
      <c r="AD228" s="39"/>
      <c r="AE228" s="39"/>
      <c r="AF228" s="39"/>
      <c r="AG228" s="39"/>
      <c r="AH228" s="39"/>
      <c r="AI228" s="123"/>
      <c r="AJ228" s="123"/>
      <c r="AK228" s="35"/>
      <c r="AL228" s="35"/>
      <c r="AM228" s="35"/>
      <c r="AU228" s="35"/>
    </row>
    <row r="229" spans="1:47" ht="12" customHeight="1" x14ac:dyDescent="0.2">
      <c r="A229" s="236"/>
      <c r="B229" s="184" t="s">
        <v>83</v>
      </c>
      <c r="C229" s="121"/>
      <c r="D229" s="167"/>
      <c r="E229" s="167"/>
      <c r="F229" s="237" t="s">
        <v>1125</v>
      </c>
      <c r="G229" s="315" t="s">
        <v>83</v>
      </c>
      <c r="H229" s="97" t="s">
        <v>14</v>
      </c>
      <c r="I229" s="166">
        <v>2001</v>
      </c>
      <c r="J229" s="167">
        <v>5533</v>
      </c>
      <c r="K229" s="121">
        <f t="shared" si="62"/>
        <v>20</v>
      </c>
      <c r="L229" s="121">
        <f t="shared" si="63"/>
        <v>8</v>
      </c>
      <c r="M229" s="332" t="s">
        <v>1041</v>
      </c>
      <c r="N229" s="98" t="s">
        <v>15</v>
      </c>
      <c r="O229" s="98" t="s">
        <v>90</v>
      </c>
      <c r="P229" s="168" t="s">
        <v>248</v>
      </c>
      <c r="Q229" s="98" t="s">
        <v>523</v>
      </c>
      <c r="R229" s="37"/>
      <c r="S229" s="355"/>
      <c r="T229" s="23"/>
      <c r="U229" s="35"/>
      <c r="V229" s="35"/>
      <c r="W229" s="154"/>
      <c r="X229" s="121"/>
      <c r="Y229" s="121"/>
      <c r="Z229" s="122">
        <v>20</v>
      </c>
      <c r="AA229" s="123">
        <f t="shared" si="64"/>
        <v>110660</v>
      </c>
      <c r="AB229" s="123">
        <f t="shared" si="65"/>
        <v>5533</v>
      </c>
      <c r="AC229" s="120"/>
      <c r="AD229" s="39">
        <v>8</v>
      </c>
      <c r="AE229" s="39"/>
      <c r="AF229" s="39"/>
      <c r="AG229" s="39"/>
      <c r="AH229" s="39">
        <v>8</v>
      </c>
      <c r="AI229" s="123">
        <f t="shared" si="66"/>
        <v>44264</v>
      </c>
      <c r="AJ229" s="123">
        <f t="shared" si="67"/>
        <v>5533</v>
      </c>
      <c r="AK229" s="35"/>
      <c r="AL229" s="35"/>
      <c r="AM229" s="35"/>
      <c r="AU229" s="35"/>
    </row>
    <row r="230" spans="1:47" ht="12" customHeight="1" x14ac:dyDescent="0.2">
      <c r="A230" s="236"/>
      <c r="B230" s="245" t="s">
        <v>83</v>
      </c>
      <c r="C230" s="291"/>
      <c r="D230" s="248"/>
      <c r="E230" s="248"/>
      <c r="F230" s="19" t="s">
        <v>1125</v>
      </c>
      <c r="G230" s="316" t="s">
        <v>83</v>
      </c>
      <c r="H230" s="186" t="s">
        <v>14</v>
      </c>
      <c r="I230" s="246">
        <v>2006</v>
      </c>
      <c r="J230" s="248">
        <v>8444</v>
      </c>
      <c r="K230" s="121">
        <f t="shared" si="62"/>
        <v>11.6</v>
      </c>
      <c r="L230" s="121" t="str">
        <f t="shared" si="63"/>
        <v/>
      </c>
      <c r="M230" s="333" t="s">
        <v>1042</v>
      </c>
      <c r="N230" s="247" t="s">
        <v>15</v>
      </c>
      <c r="O230" s="247" t="s">
        <v>19</v>
      </c>
      <c r="P230" s="237" t="s">
        <v>244</v>
      </c>
      <c r="Q230" s="19" t="s">
        <v>1003</v>
      </c>
      <c r="R230" s="37"/>
      <c r="S230" s="355"/>
      <c r="T230" s="23"/>
      <c r="U230" s="35"/>
      <c r="V230" s="35"/>
      <c r="W230" s="127"/>
      <c r="X230" s="121">
        <v>11.6</v>
      </c>
      <c r="Y230" s="121"/>
      <c r="Z230" s="122">
        <f>X230</f>
        <v>11.6</v>
      </c>
      <c r="AA230" s="123">
        <f t="shared" si="64"/>
        <v>97950.399999999994</v>
      </c>
      <c r="AB230" s="123">
        <f t="shared" si="65"/>
        <v>8444</v>
      </c>
      <c r="AC230" s="127"/>
      <c r="AD230" s="161"/>
      <c r="AE230" s="161"/>
      <c r="AF230" s="161"/>
      <c r="AG230" s="42"/>
      <c r="AH230" s="161"/>
      <c r="AI230" s="123" t="str">
        <f t="shared" si="66"/>
        <v xml:space="preserve"> </v>
      </c>
      <c r="AJ230" s="123" t="str">
        <f t="shared" si="67"/>
        <v xml:space="preserve"> </v>
      </c>
      <c r="AK230" s="128"/>
      <c r="AL230" s="128"/>
      <c r="AM230" s="128"/>
      <c r="AU230" s="35"/>
    </row>
    <row r="231" spans="1:47" ht="12" customHeight="1" x14ac:dyDescent="0.2">
      <c r="A231" s="236"/>
      <c r="B231" s="184" t="s">
        <v>65</v>
      </c>
      <c r="C231" s="121"/>
      <c r="D231" s="167"/>
      <c r="E231" s="167"/>
      <c r="F231" s="169" t="s">
        <v>1125</v>
      </c>
      <c r="G231" s="315" t="s">
        <v>65</v>
      </c>
      <c r="H231" s="97" t="s">
        <v>1111</v>
      </c>
      <c r="I231" s="166">
        <v>1992</v>
      </c>
      <c r="J231" s="167">
        <v>1225</v>
      </c>
      <c r="K231" s="121">
        <f t="shared" si="62"/>
        <v>47</v>
      </c>
      <c r="L231" s="121">
        <f t="shared" si="63"/>
        <v>19</v>
      </c>
      <c r="M231" s="332" t="s">
        <v>1041</v>
      </c>
      <c r="N231" s="98" t="s">
        <v>18</v>
      </c>
      <c r="O231" s="98" t="s">
        <v>69</v>
      </c>
      <c r="P231" s="168"/>
      <c r="Q231" s="169" t="s">
        <v>523</v>
      </c>
      <c r="R231" s="37"/>
      <c r="S231" s="36"/>
      <c r="T231" s="23"/>
      <c r="U231" s="35"/>
      <c r="V231" s="24"/>
      <c r="W231" s="154"/>
      <c r="X231" s="121">
        <v>95</v>
      </c>
      <c r="Y231" s="121"/>
      <c r="Z231" s="122">
        <v>47</v>
      </c>
      <c r="AA231" s="123">
        <f t="shared" si="64"/>
        <v>57575</v>
      </c>
      <c r="AB231" s="123">
        <f t="shared" si="65"/>
        <v>1225</v>
      </c>
      <c r="AC231" s="120"/>
      <c r="AD231" s="39">
        <v>19</v>
      </c>
      <c r="AE231" s="39"/>
      <c r="AF231" s="39"/>
      <c r="AG231" s="39"/>
      <c r="AH231" s="39">
        <v>19</v>
      </c>
      <c r="AI231" s="123">
        <f t="shared" si="66"/>
        <v>23275</v>
      </c>
      <c r="AJ231" s="123">
        <f t="shared" si="67"/>
        <v>1225</v>
      </c>
      <c r="AK231" s="35"/>
      <c r="AL231" s="35"/>
      <c r="AM231" s="35"/>
      <c r="AU231" s="35"/>
    </row>
    <row r="232" spans="1:47" ht="12" customHeight="1" x14ac:dyDescent="0.2">
      <c r="A232" s="236"/>
      <c r="B232" s="184" t="s">
        <v>65</v>
      </c>
      <c r="C232" s="121"/>
      <c r="D232" s="167"/>
      <c r="E232" s="167"/>
      <c r="F232" s="169" t="s">
        <v>1125</v>
      </c>
      <c r="G232" s="315" t="s">
        <v>65</v>
      </c>
      <c r="H232" s="97" t="s">
        <v>1112</v>
      </c>
      <c r="I232" s="166">
        <v>1993</v>
      </c>
      <c r="J232" s="167">
        <v>10368</v>
      </c>
      <c r="K232" s="121">
        <f t="shared" si="62"/>
        <v>42</v>
      </c>
      <c r="L232" s="121" t="str">
        <f t="shared" si="63"/>
        <v/>
      </c>
      <c r="M232" s="332" t="s">
        <v>1041</v>
      </c>
      <c r="N232" s="98" t="s">
        <v>18</v>
      </c>
      <c r="O232" s="98" t="s">
        <v>19</v>
      </c>
      <c r="P232" s="168"/>
      <c r="Q232" s="169" t="s">
        <v>523</v>
      </c>
      <c r="R232" s="37"/>
      <c r="S232" s="36"/>
      <c r="T232" s="23"/>
      <c r="U232" s="35"/>
      <c r="V232" s="24"/>
      <c r="W232" s="154"/>
      <c r="X232" s="121"/>
      <c r="Y232" s="121"/>
      <c r="Z232" s="122">
        <v>42</v>
      </c>
      <c r="AA232" s="123">
        <f t="shared" si="64"/>
        <v>435456</v>
      </c>
      <c r="AB232" s="123">
        <f t="shared" si="65"/>
        <v>10368</v>
      </c>
      <c r="AC232" s="120"/>
      <c r="AD232" s="39"/>
      <c r="AE232" s="39"/>
      <c r="AF232" s="39"/>
      <c r="AG232" s="39"/>
      <c r="AH232" s="39"/>
      <c r="AI232" s="123" t="str">
        <f t="shared" si="66"/>
        <v xml:space="preserve"> </v>
      </c>
      <c r="AJ232" s="123" t="str">
        <f t="shared" si="67"/>
        <v xml:space="preserve"> </v>
      </c>
      <c r="AK232" s="35"/>
      <c r="AL232" s="35"/>
      <c r="AM232" s="35"/>
      <c r="AU232" s="35"/>
    </row>
    <row r="233" spans="1:47" ht="12" customHeight="1" x14ac:dyDescent="0.2">
      <c r="A233" s="236"/>
      <c r="B233" s="184" t="s">
        <v>65</v>
      </c>
      <c r="C233" s="121"/>
      <c r="D233" s="167"/>
      <c r="E233" s="167"/>
      <c r="F233" s="169" t="s">
        <v>1125</v>
      </c>
      <c r="G233" s="315" t="s">
        <v>65</v>
      </c>
      <c r="H233" s="97" t="s">
        <v>66</v>
      </c>
      <c r="I233" s="166">
        <v>2003</v>
      </c>
      <c r="J233" s="167">
        <v>1373</v>
      </c>
      <c r="K233" s="121">
        <f t="shared" si="62"/>
        <v>40</v>
      </c>
      <c r="L233" s="121">
        <f t="shared" si="63"/>
        <v>19</v>
      </c>
      <c r="M233" s="332" t="s">
        <v>1041</v>
      </c>
      <c r="N233" s="98" t="s">
        <v>15</v>
      </c>
      <c r="O233" s="98" t="s">
        <v>19</v>
      </c>
      <c r="P233" s="168" t="s">
        <v>243</v>
      </c>
      <c r="Q233" s="169" t="s">
        <v>523</v>
      </c>
      <c r="R233" s="37"/>
      <c r="S233" s="36"/>
      <c r="T233" s="23"/>
      <c r="U233" s="35"/>
      <c r="V233" s="24"/>
      <c r="W233" s="154"/>
      <c r="X233" s="121"/>
      <c r="Y233" s="121"/>
      <c r="Z233" s="122">
        <v>40</v>
      </c>
      <c r="AA233" s="123">
        <f t="shared" si="64"/>
        <v>54920</v>
      </c>
      <c r="AB233" s="123">
        <f t="shared" si="65"/>
        <v>1373</v>
      </c>
      <c r="AC233" s="120"/>
      <c r="AD233" s="39">
        <v>19</v>
      </c>
      <c r="AE233" s="39"/>
      <c r="AF233" s="39"/>
      <c r="AG233" s="39"/>
      <c r="AH233" s="39">
        <v>19</v>
      </c>
      <c r="AI233" s="123">
        <f t="shared" si="66"/>
        <v>26087</v>
      </c>
      <c r="AJ233" s="123">
        <f t="shared" si="67"/>
        <v>1373</v>
      </c>
      <c r="AK233" s="35"/>
      <c r="AL233" s="35"/>
      <c r="AM233" s="35"/>
      <c r="AU233" s="35"/>
    </row>
    <row r="234" spans="1:47" ht="12" customHeight="1" x14ac:dyDescent="0.2">
      <c r="A234" s="236"/>
      <c r="B234" s="184" t="s">
        <v>65</v>
      </c>
      <c r="C234" s="121"/>
      <c r="D234" s="167"/>
      <c r="E234" s="167"/>
      <c r="F234" s="169" t="s">
        <v>1125</v>
      </c>
      <c r="G234" s="315" t="s">
        <v>65</v>
      </c>
      <c r="H234" s="97" t="s">
        <v>67</v>
      </c>
      <c r="I234" s="166">
        <v>2003</v>
      </c>
      <c r="J234" s="167">
        <v>1329</v>
      </c>
      <c r="K234" s="121">
        <f t="shared" si="62"/>
        <v>42</v>
      </c>
      <c r="L234" s="121">
        <f t="shared" si="63"/>
        <v>16</v>
      </c>
      <c r="M234" s="332" t="s">
        <v>1041</v>
      </c>
      <c r="N234" s="98" t="s">
        <v>15</v>
      </c>
      <c r="O234" s="98" t="s">
        <v>19</v>
      </c>
      <c r="P234" s="168" t="s">
        <v>243</v>
      </c>
      <c r="Q234" s="169" t="s">
        <v>523</v>
      </c>
      <c r="R234" s="37"/>
      <c r="S234" s="36"/>
      <c r="T234" s="23"/>
      <c r="U234" s="35"/>
      <c r="V234" s="24"/>
      <c r="W234" s="154"/>
      <c r="X234" s="121"/>
      <c r="Y234" s="121"/>
      <c r="Z234" s="122">
        <v>42</v>
      </c>
      <c r="AA234" s="123">
        <f t="shared" si="64"/>
        <v>55818</v>
      </c>
      <c r="AB234" s="123">
        <f t="shared" si="65"/>
        <v>1329</v>
      </c>
      <c r="AC234" s="120"/>
      <c r="AD234" s="39">
        <v>16</v>
      </c>
      <c r="AE234" s="39"/>
      <c r="AF234" s="39"/>
      <c r="AG234" s="39"/>
      <c r="AH234" s="39">
        <v>16</v>
      </c>
      <c r="AI234" s="123">
        <f t="shared" si="66"/>
        <v>21264</v>
      </c>
      <c r="AJ234" s="123">
        <f t="shared" si="67"/>
        <v>1329</v>
      </c>
      <c r="AK234" s="35"/>
      <c r="AL234" s="35"/>
      <c r="AM234" s="35"/>
      <c r="AU234" s="35"/>
    </row>
    <row r="235" spans="1:47" ht="12" customHeight="1" x14ac:dyDescent="0.2">
      <c r="A235" s="236"/>
      <c r="B235" s="184" t="s">
        <v>65</v>
      </c>
      <c r="C235" s="121"/>
      <c r="D235" s="167"/>
      <c r="E235" s="167"/>
      <c r="F235" s="169" t="s">
        <v>1125</v>
      </c>
      <c r="G235" s="315" t="s">
        <v>65</v>
      </c>
      <c r="H235" s="97"/>
      <c r="I235" s="166">
        <v>2006</v>
      </c>
      <c r="J235" s="167">
        <v>496</v>
      </c>
      <c r="K235" s="121">
        <f t="shared" si="62"/>
        <v>44.9</v>
      </c>
      <c r="L235" s="121" t="str">
        <f t="shared" si="63"/>
        <v/>
      </c>
      <c r="M235" s="333" t="s">
        <v>1044</v>
      </c>
      <c r="N235" s="98"/>
      <c r="O235" s="98"/>
      <c r="P235" s="168"/>
      <c r="Q235" s="169" t="s">
        <v>957</v>
      </c>
      <c r="R235" s="37"/>
      <c r="S235" s="36"/>
      <c r="T235" s="23"/>
      <c r="U235" s="35"/>
      <c r="V235" s="24"/>
      <c r="W235" s="154"/>
      <c r="X235" s="121"/>
      <c r="Y235" s="121">
        <v>44.9</v>
      </c>
      <c r="Z235" s="122">
        <f>Y235</f>
        <v>44.9</v>
      </c>
      <c r="AA235" s="123">
        <f>IF(Z235&gt;0,$J235*Z235," ")</f>
        <v>22270.399999999998</v>
      </c>
      <c r="AB235" s="123">
        <f>IF(Z235&gt;0,$J235," ")</f>
        <v>496</v>
      </c>
      <c r="AC235" s="120"/>
      <c r="AD235" s="39"/>
      <c r="AE235" s="39"/>
      <c r="AF235" s="39"/>
      <c r="AG235" s="39"/>
      <c r="AH235" s="39"/>
      <c r="AI235" s="123"/>
      <c r="AJ235" s="123"/>
      <c r="AK235" s="35"/>
      <c r="AL235" s="35"/>
      <c r="AM235" s="35"/>
      <c r="AU235" s="35"/>
    </row>
    <row r="236" spans="1:47" ht="12" customHeight="1" x14ac:dyDescent="0.2">
      <c r="A236" s="236"/>
      <c r="B236" s="245" t="s">
        <v>65</v>
      </c>
      <c r="C236" s="291"/>
      <c r="D236" s="248"/>
      <c r="E236" s="248"/>
      <c r="F236" s="19" t="s">
        <v>1125</v>
      </c>
      <c r="G236" s="316" t="s">
        <v>65</v>
      </c>
      <c r="H236" s="186" t="s">
        <v>14</v>
      </c>
      <c r="I236" s="246">
        <v>2007</v>
      </c>
      <c r="J236" s="248">
        <v>10996</v>
      </c>
      <c r="K236" s="121">
        <f t="shared" si="62"/>
        <v>50.16</v>
      </c>
      <c r="L236" s="121" t="str">
        <f t="shared" si="63"/>
        <v/>
      </c>
      <c r="M236" s="333" t="s">
        <v>1042</v>
      </c>
      <c r="N236" s="247" t="s">
        <v>15</v>
      </c>
      <c r="O236" s="247" t="s">
        <v>19</v>
      </c>
      <c r="P236" s="237" t="s">
        <v>244</v>
      </c>
      <c r="Q236" s="19" t="s">
        <v>1003</v>
      </c>
      <c r="R236" s="37"/>
      <c r="S236" s="36"/>
      <c r="T236" s="23"/>
      <c r="U236" s="128"/>
      <c r="V236" s="128"/>
      <c r="W236" s="127"/>
      <c r="X236" s="121">
        <v>50.16</v>
      </c>
      <c r="Y236" s="121"/>
      <c r="Z236" s="122">
        <f>X236</f>
        <v>50.16</v>
      </c>
      <c r="AA236" s="123">
        <f t="shared" si="64"/>
        <v>551559.36</v>
      </c>
      <c r="AB236" s="123">
        <f t="shared" si="65"/>
        <v>10996</v>
      </c>
      <c r="AC236" s="127"/>
      <c r="AD236" s="161"/>
      <c r="AE236" s="161"/>
      <c r="AF236" s="161"/>
      <c r="AG236" s="42"/>
      <c r="AH236" s="161"/>
      <c r="AI236" s="123" t="str">
        <f t="shared" si="66"/>
        <v xml:space="preserve"> </v>
      </c>
      <c r="AJ236" s="123" t="str">
        <f t="shared" si="67"/>
        <v xml:space="preserve"> </v>
      </c>
      <c r="AK236" s="128"/>
      <c r="AL236" s="128"/>
      <c r="AM236" s="128"/>
      <c r="AU236" s="35"/>
    </row>
    <row r="237" spans="1:47" ht="12" customHeight="1" x14ac:dyDescent="0.2">
      <c r="A237" s="236"/>
      <c r="B237" s="184" t="s">
        <v>65</v>
      </c>
      <c r="C237" s="121"/>
      <c r="D237" s="167"/>
      <c r="E237" s="167"/>
      <c r="F237" s="237" t="s">
        <v>1125</v>
      </c>
      <c r="G237" s="315" t="s">
        <v>65</v>
      </c>
      <c r="H237" s="97" t="s">
        <v>209</v>
      </c>
      <c r="I237" s="97" t="s">
        <v>208</v>
      </c>
      <c r="J237" s="167">
        <v>3611</v>
      </c>
      <c r="K237" s="121">
        <f t="shared" si="62"/>
        <v>32</v>
      </c>
      <c r="L237" s="121" t="str">
        <f t="shared" si="63"/>
        <v/>
      </c>
      <c r="M237" s="37" t="s">
        <v>1059</v>
      </c>
      <c r="N237" s="98"/>
      <c r="O237" s="98"/>
      <c r="P237" s="168"/>
      <c r="Q237" s="98" t="s">
        <v>218</v>
      </c>
      <c r="R237" s="37"/>
      <c r="S237" s="36"/>
      <c r="T237" s="23"/>
      <c r="U237" s="35"/>
      <c r="V237" s="24"/>
      <c r="W237" s="154"/>
      <c r="X237" s="121"/>
      <c r="Y237" s="121"/>
      <c r="Z237" s="122">
        <v>32</v>
      </c>
      <c r="AA237" s="123">
        <f t="shared" si="64"/>
        <v>115552</v>
      </c>
      <c r="AB237" s="123">
        <f t="shared" si="65"/>
        <v>3611</v>
      </c>
      <c r="AC237" s="120"/>
      <c r="AD237" s="39"/>
      <c r="AE237" s="39"/>
      <c r="AF237" s="39"/>
      <c r="AG237" s="39"/>
      <c r="AH237" s="38"/>
      <c r="AI237" s="123" t="str">
        <f t="shared" si="66"/>
        <v xml:space="preserve"> </v>
      </c>
      <c r="AJ237" s="123" t="str">
        <f t="shared" si="67"/>
        <v xml:space="preserve"> </v>
      </c>
      <c r="AK237" s="35"/>
      <c r="AL237" s="35"/>
      <c r="AM237" s="35"/>
    </row>
    <row r="238" spans="1:47" ht="12" customHeight="1" x14ac:dyDescent="0.2">
      <c r="A238" s="236"/>
      <c r="B238" s="184" t="s">
        <v>34</v>
      </c>
      <c r="C238" s="121"/>
      <c r="D238" s="167"/>
      <c r="E238" s="167"/>
      <c r="F238" s="169" t="s">
        <v>1132</v>
      </c>
      <c r="G238" s="315" t="s">
        <v>34</v>
      </c>
      <c r="H238" s="97" t="s">
        <v>14</v>
      </c>
      <c r="I238" s="166">
        <v>1990</v>
      </c>
      <c r="J238" s="167">
        <v>264</v>
      </c>
      <c r="K238" s="121">
        <f t="shared" si="62"/>
        <v>30</v>
      </c>
      <c r="L238" s="121" t="str">
        <f t="shared" si="63"/>
        <v/>
      </c>
      <c r="M238" s="332" t="s">
        <v>1041</v>
      </c>
      <c r="N238" s="98" t="s">
        <v>17</v>
      </c>
      <c r="O238" s="98" t="s">
        <v>48</v>
      </c>
      <c r="P238" s="168"/>
      <c r="Q238" s="169" t="s">
        <v>523</v>
      </c>
      <c r="R238" s="37"/>
      <c r="S238" s="36"/>
      <c r="T238" s="23"/>
      <c r="U238" s="126" t="s">
        <v>536</v>
      </c>
      <c r="V238" s="24"/>
      <c r="W238" s="154"/>
      <c r="X238" s="121"/>
      <c r="Y238" s="121"/>
      <c r="Z238" s="122">
        <v>30</v>
      </c>
      <c r="AA238" s="123">
        <f t="shared" si="64"/>
        <v>7920</v>
      </c>
      <c r="AB238" s="123">
        <f t="shared" si="65"/>
        <v>264</v>
      </c>
      <c r="AC238" s="120"/>
      <c r="AD238" s="39"/>
      <c r="AE238" s="39"/>
      <c r="AF238" s="39"/>
      <c r="AG238" s="39"/>
      <c r="AH238" s="39"/>
      <c r="AI238" s="123" t="str">
        <f t="shared" si="66"/>
        <v xml:space="preserve"> </v>
      </c>
      <c r="AJ238" s="123" t="str">
        <f t="shared" si="67"/>
        <v xml:space="preserve"> </v>
      </c>
      <c r="AK238" s="35"/>
      <c r="AL238" s="35"/>
      <c r="AM238" s="35"/>
      <c r="AU238" s="35"/>
    </row>
    <row r="239" spans="1:47" ht="12" customHeight="1" x14ac:dyDescent="0.2">
      <c r="A239" s="236"/>
      <c r="B239" s="184" t="s">
        <v>365</v>
      </c>
      <c r="C239" s="121"/>
      <c r="D239" s="167"/>
      <c r="E239" s="167"/>
      <c r="F239" s="169" t="s">
        <v>1125</v>
      </c>
      <c r="G239" s="315" t="s">
        <v>365</v>
      </c>
      <c r="H239" s="97"/>
      <c r="I239" s="166">
        <v>2006</v>
      </c>
      <c r="J239" s="167">
        <v>999999999</v>
      </c>
      <c r="K239" s="121">
        <f t="shared" si="62"/>
        <v>29.4</v>
      </c>
      <c r="L239" s="121" t="str">
        <f t="shared" si="63"/>
        <v/>
      </c>
      <c r="M239" s="333" t="s">
        <v>1047</v>
      </c>
      <c r="N239" s="98" t="s">
        <v>17</v>
      </c>
      <c r="O239" s="98"/>
      <c r="P239" s="168"/>
      <c r="Q239" s="169" t="s">
        <v>958</v>
      </c>
      <c r="R239" s="131" t="s">
        <v>656</v>
      </c>
      <c r="S239" s="310">
        <v>40516</v>
      </c>
      <c r="T239" s="23">
        <v>56</v>
      </c>
      <c r="U239" s="126" t="s">
        <v>1076</v>
      </c>
      <c r="V239" s="24"/>
      <c r="W239" s="154"/>
      <c r="X239" s="121">
        <v>29.4</v>
      </c>
      <c r="Y239" s="121"/>
      <c r="Z239" s="122">
        <f>X239</f>
        <v>29.4</v>
      </c>
      <c r="AA239" s="123">
        <f t="shared" si="64"/>
        <v>29399999970.599998</v>
      </c>
      <c r="AB239" s="123">
        <f t="shared" si="65"/>
        <v>999999999</v>
      </c>
      <c r="AC239" s="120"/>
      <c r="AD239" s="39"/>
      <c r="AE239" s="39"/>
      <c r="AF239" s="39"/>
      <c r="AG239" s="39"/>
      <c r="AH239" s="39"/>
      <c r="AI239" s="123" t="str">
        <f t="shared" si="66"/>
        <v xml:space="preserve"> </v>
      </c>
      <c r="AJ239" s="123" t="str">
        <f t="shared" si="67"/>
        <v xml:space="preserve"> </v>
      </c>
      <c r="AK239" s="35"/>
      <c r="AL239" s="35"/>
      <c r="AM239" s="35"/>
      <c r="AN239" s="131" t="s">
        <v>656</v>
      </c>
      <c r="AO239" s="172">
        <v>40501</v>
      </c>
      <c r="AU239" s="35"/>
    </row>
    <row r="240" spans="1:47" ht="12" customHeight="1" x14ac:dyDescent="0.2">
      <c r="A240" s="236"/>
      <c r="B240" s="184" t="s">
        <v>129</v>
      </c>
      <c r="C240" s="121"/>
      <c r="D240" s="167"/>
      <c r="E240" s="167"/>
      <c r="F240" s="169" t="s">
        <v>1130</v>
      </c>
      <c r="G240" s="315" t="s">
        <v>129</v>
      </c>
      <c r="H240" s="97" t="s">
        <v>14</v>
      </c>
      <c r="I240" s="166">
        <v>1989</v>
      </c>
      <c r="J240" s="167">
        <v>956</v>
      </c>
      <c r="K240" s="121">
        <f t="shared" si="62"/>
        <v>41</v>
      </c>
      <c r="L240" s="121" t="str">
        <f t="shared" si="63"/>
        <v/>
      </c>
      <c r="M240" s="336" t="s">
        <v>1062</v>
      </c>
      <c r="N240" s="98" t="s">
        <v>17</v>
      </c>
      <c r="O240" s="98" t="s">
        <v>520</v>
      </c>
      <c r="P240" s="168"/>
      <c r="Q240" s="169" t="s">
        <v>524</v>
      </c>
      <c r="R240" s="124" t="s">
        <v>663</v>
      </c>
      <c r="S240" s="310">
        <v>40994</v>
      </c>
      <c r="T240" s="36"/>
      <c r="U240" s="126" t="s">
        <v>1061</v>
      </c>
      <c r="V240" s="24"/>
      <c r="W240" s="154"/>
      <c r="X240" s="121"/>
      <c r="Y240" s="121"/>
      <c r="Z240" s="122">
        <f>3+13+25</f>
        <v>41</v>
      </c>
      <c r="AA240" s="123">
        <f t="shared" si="64"/>
        <v>39196</v>
      </c>
      <c r="AB240" s="123">
        <f t="shared" si="65"/>
        <v>956</v>
      </c>
      <c r="AC240" s="120"/>
      <c r="AD240" s="39"/>
      <c r="AE240" s="39"/>
      <c r="AF240" s="39"/>
      <c r="AG240" s="39"/>
      <c r="AH240" s="39"/>
      <c r="AI240" s="123" t="str">
        <f t="shared" si="66"/>
        <v xml:space="preserve"> </v>
      </c>
      <c r="AJ240" s="123" t="str">
        <f t="shared" si="67"/>
        <v xml:space="preserve"> </v>
      </c>
      <c r="AK240" s="35"/>
      <c r="AL240" s="35"/>
      <c r="AM240" s="35"/>
      <c r="AU240" s="35"/>
    </row>
    <row r="241" spans="1:47" ht="12" customHeight="1" x14ac:dyDescent="0.2">
      <c r="A241" s="236"/>
      <c r="B241" s="184" t="s">
        <v>131</v>
      </c>
      <c r="C241" s="121"/>
      <c r="D241" s="167"/>
      <c r="E241" s="167"/>
      <c r="F241" s="237" t="s">
        <v>1132</v>
      </c>
      <c r="G241" s="315" t="s">
        <v>131</v>
      </c>
      <c r="H241" s="97" t="s">
        <v>215</v>
      </c>
      <c r="I241" s="166">
        <v>1998</v>
      </c>
      <c r="J241" s="167">
        <v>289</v>
      </c>
      <c r="K241" s="121" t="str">
        <f t="shared" si="62"/>
        <v/>
      </c>
      <c r="L241" s="121">
        <f t="shared" si="63"/>
        <v>17</v>
      </c>
      <c r="M241" s="37" t="s">
        <v>1059</v>
      </c>
      <c r="N241" s="98" t="s">
        <v>17</v>
      </c>
      <c r="O241" s="98" t="s">
        <v>229</v>
      </c>
      <c r="P241" s="168"/>
      <c r="Q241" s="98" t="s">
        <v>218</v>
      </c>
      <c r="R241" s="37"/>
      <c r="S241" s="36"/>
      <c r="T241" s="23"/>
      <c r="V241" s="24"/>
      <c r="W241" s="154"/>
      <c r="X241" s="121"/>
      <c r="Y241" s="121"/>
      <c r="Z241" s="122"/>
      <c r="AA241" s="123" t="str">
        <f t="shared" si="64"/>
        <v xml:space="preserve"> </v>
      </c>
      <c r="AB241" s="123" t="str">
        <f t="shared" si="65"/>
        <v xml:space="preserve"> </v>
      </c>
      <c r="AC241" s="120"/>
      <c r="AD241" s="39"/>
      <c r="AE241" s="39"/>
      <c r="AF241" s="39">
        <v>17</v>
      </c>
      <c r="AG241" s="39"/>
      <c r="AH241" s="38">
        <v>17</v>
      </c>
      <c r="AI241" s="123">
        <f t="shared" si="66"/>
        <v>4913</v>
      </c>
      <c r="AJ241" s="123">
        <f t="shared" si="67"/>
        <v>289</v>
      </c>
      <c r="AK241" s="35"/>
      <c r="AL241" s="35"/>
      <c r="AM241" s="35"/>
      <c r="AU241" s="35"/>
    </row>
    <row r="242" spans="1:47" ht="12" customHeight="1" x14ac:dyDescent="0.2">
      <c r="A242" s="236"/>
      <c r="B242" s="245" t="s">
        <v>131</v>
      </c>
      <c r="C242" s="291"/>
      <c r="D242" s="248"/>
      <c r="E242" s="248"/>
      <c r="F242" s="19" t="s">
        <v>1132</v>
      </c>
      <c r="G242" s="316" t="s">
        <v>131</v>
      </c>
      <c r="H242" s="186" t="s">
        <v>14</v>
      </c>
      <c r="I242" s="246" t="s">
        <v>551</v>
      </c>
      <c r="J242" s="248">
        <v>17654</v>
      </c>
      <c r="K242" s="121">
        <f t="shared" si="62"/>
        <v>46.26</v>
      </c>
      <c r="L242" s="121" t="str">
        <f t="shared" si="63"/>
        <v/>
      </c>
      <c r="M242" s="333" t="s">
        <v>1042</v>
      </c>
      <c r="N242" s="247" t="s">
        <v>15</v>
      </c>
      <c r="O242" s="247" t="s">
        <v>19</v>
      </c>
      <c r="P242" s="237" t="s">
        <v>244</v>
      </c>
      <c r="Q242" s="19" t="s">
        <v>1003</v>
      </c>
      <c r="R242" s="37"/>
      <c r="S242" s="36"/>
      <c r="T242" s="23"/>
      <c r="U242" s="128"/>
      <c r="V242" s="128"/>
      <c r="W242" s="127"/>
      <c r="X242" s="121">
        <v>46.26</v>
      </c>
      <c r="Y242" s="121"/>
      <c r="Z242" s="122">
        <f>X242</f>
        <v>46.26</v>
      </c>
      <c r="AA242" s="123">
        <f t="shared" si="64"/>
        <v>816674.03999999992</v>
      </c>
      <c r="AB242" s="123">
        <f t="shared" si="65"/>
        <v>17654</v>
      </c>
      <c r="AC242" s="127"/>
      <c r="AD242" s="161"/>
      <c r="AE242" s="161"/>
      <c r="AF242" s="161"/>
      <c r="AG242" s="42"/>
      <c r="AH242" s="161"/>
      <c r="AI242" s="123" t="str">
        <f t="shared" si="66"/>
        <v xml:space="preserve"> </v>
      </c>
      <c r="AJ242" s="123" t="str">
        <f t="shared" si="67"/>
        <v xml:space="preserve"> </v>
      </c>
      <c r="AK242" s="128"/>
      <c r="AL242" s="128"/>
      <c r="AM242" s="128"/>
      <c r="AN242" s="35"/>
      <c r="AO242" s="35"/>
      <c r="AP242" s="239"/>
      <c r="AQ242" s="35"/>
      <c r="AR242" s="35"/>
      <c r="AU242" s="35"/>
    </row>
    <row r="243" spans="1:47" ht="12" customHeight="1" x14ac:dyDescent="0.2">
      <c r="A243" s="236"/>
      <c r="B243" s="245" t="s">
        <v>131</v>
      </c>
      <c r="C243" s="291"/>
      <c r="D243" s="248"/>
      <c r="E243" s="248"/>
      <c r="F243" s="19" t="s">
        <v>1132</v>
      </c>
      <c r="G243" s="316" t="s">
        <v>131</v>
      </c>
      <c r="H243" s="186" t="s">
        <v>14</v>
      </c>
      <c r="I243" s="246">
        <v>2008</v>
      </c>
      <c r="J243" s="248">
        <v>12429</v>
      </c>
      <c r="K243" s="121" t="str">
        <f t="shared" si="62"/>
        <v/>
      </c>
      <c r="L243" s="121">
        <f t="shared" si="63"/>
        <v>23.46</v>
      </c>
      <c r="M243" s="333" t="s">
        <v>1042</v>
      </c>
      <c r="N243" s="247" t="s">
        <v>17</v>
      </c>
      <c r="O243" s="247" t="s">
        <v>19</v>
      </c>
      <c r="P243" s="237" t="s">
        <v>244</v>
      </c>
      <c r="Q243" s="19" t="s">
        <v>1003</v>
      </c>
      <c r="R243" s="37"/>
      <c r="S243" s="36"/>
      <c r="T243" s="23"/>
      <c r="U243" s="128"/>
      <c r="V243" s="128"/>
      <c r="W243" s="127"/>
      <c r="X243" s="121"/>
      <c r="Y243" s="121"/>
      <c r="Z243" s="122"/>
      <c r="AA243" s="123" t="str">
        <f t="shared" si="64"/>
        <v xml:space="preserve"> </v>
      </c>
      <c r="AB243" s="123" t="str">
        <f t="shared" si="65"/>
        <v xml:space="preserve"> </v>
      </c>
      <c r="AC243" s="127"/>
      <c r="AD243" s="161"/>
      <c r="AE243" s="161"/>
      <c r="AF243" s="161">
        <v>23.46</v>
      </c>
      <c r="AG243" s="42"/>
      <c r="AH243" s="161">
        <f>AF243</f>
        <v>23.46</v>
      </c>
      <c r="AI243" s="123">
        <f t="shared" si="66"/>
        <v>291584.34000000003</v>
      </c>
      <c r="AJ243" s="123">
        <f t="shared" si="67"/>
        <v>12429</v>
      </c>
      <c r="AK243" s="128"/>
      <c r="AL243" s="128"/>
      <c r="AM243" s="128"/>
      <c r="AU243" s="35"/>
    </row>
    <row r="244" spans="1:47" ht="12" customHeight="1" x14ac:dyDescent="0.2">
      <c r="A244" s="236"/>
      <c r="B244" s="184" t="s">
        <v>368</v>
      </c>
      <c r="C244" s="121"/>
      <c r="D244" s="167"/>
      <c r="E244" s="167"/>
      <c r="F244" s="237" t="s">
        <v>1130</v>
      </c>
      <c r="G244" s="315" t="s">
        <v>1039</v>
      </c>
      <c r="H244" s="97" t="s">
        <v>555</v>
      </c>
      <c r="I244" s="166">
        <v>1999</v>
      </c>
      <c r="J244" s="167">
        <v>540</v>
      </c>
      <c r="K244" s="121">
        <f t="shared" si="62"/>
        <v>23</v>
      </c>
      <c r="L244" s="121" t="str">
        <f t="shared" si="63"/>
        <v/>
      </c>
      <c r="M244" s="336" t="s">
        <v>1107</v>
      </c>
      <c r="N244" s="98" t="s">
        <v>17</v>
      </c>
      <c r="O244" s="98"/>
      <c r="P244" s="168"/>
      <c r="Q244" s="237" t="s">
        <v>556</v>
      </c>
      <c r="R244" s="37"/>
      <c r="S244" s="36"/>
      <c r="T244" s="23"/>
      <c r="U244" s="35"/>
      <c r="V244" s="24"/>
      <c r="W244" s="154"/>
      <c r="X244" s="121">
        <v>23</v>
      </c>
      <c r="Y244" s="121"/>
      <c r="Z244" s="122">
        <v>23</v>
      </c>
      <c r="AA244" s="123">
        <f t="shared" si="64"/>
        <v>12420</v>
      </c>
      <c r="AB244" s="123">
        <f t="shared" si="65"/>
        <v>540</v>
      </c>
      <c r="AC244" s="120"/>
      <c r="AD244" s="39"/>
      <c r="AE244" s="39"/>
      <c r="AF244" s="39"/>
      <c r="AG244" s="39"/>
      <c r="AH244" s="38"/>
      <c r="AI244" s="123" t="str">
        <f t="shared" si="66"/>
        <v xml:space="preserve"> </v>
      </c>
      <c r="AJ244" s="123" t="str">
        <f t="shared" si="67"/>
        <v xml:space="preserve"> </v>
      </c>
      <c r="AK244" s="35"/>
      <c r="AL244" s="35"/>
      <c r="AM244" s="35"/>
      <c r="AU244" s="35"/>
    </row>
    <row r="245" spans="1:47" ht="12" customHeight="1" x14ac:dyDescent="0.2">
      <c r="A245" s="236"/>
      <c r="B245" s="184" t="s">
        <v>132</v>
      </c>
      <c r="C245" s="121"/>
      <c r="D245" s="167"/>
      <c r="E245" s="167"/>
      <c r="F245" s="237" t="s">
        <v>1131</v>
      </c>
      <c r="G245" s="315" t="s">
        <v>132</v>
      </c>
      <c r="H245" s="186" t="s">
        <v>14</v>
      </c>
      <c r="I245" s="166">
        <v>2002</v>
      </c>
      <c r="J245" s="167">
        <f>1371+124</f>
        <v>1495</v>
      </c>
      <c r="K245" s="121" t="str">
        <f t="shared" si="62"/>
        <v/>
      </c>
      <c r="L245" s="121">
        <f t="shared" si="63"/>
        <v>18.7454412837345</v>
      </c>
      <c r="M245" s="337" t="s">
        <v>1046</v>
      </c>
      <c r="N245" s="237" t="s">
        <v>17</v>
      </c>
      <c r="O245" s="237" t="s">
        <v>577</v>
      </c>
      <c r="P245" s="169" t="s">
        <v>578</v>
      </c>
      <c r="Q245" s="237" t="s">
        <v>576</v>
      </c>
      <c r="R245" s="37"/>
      <c r="S245" s="36"/>
      <c r="T245" s="23"/>
      <c r="U245" s="35"/>
      <c r="V245" s="24"/>
      <c r="W245" s="154"/>
      <c r="X245" s="121"/>
      <c r="Y245" s="121"/>
      <c r="Z245" s="122"/>
      <c r="AA245" s="123" t="str">
        <f>IF(Z245&gt;0,$J245*Z245," ")</f>
        <v xml:space="preserve"> </v>
      </c>
      <c r="AB245" s="123" t="str">
        <f>IF(Z245&gt;0,$J245," ")</f>
        <v xml:space="preserve"> </v>
      </c>
      <c r="AC245" s="120"/>
      <c r="AD245" s="39"/>
      <c r="AE245" s="39"/>
      <c r="AF245" s="39">
        <f>100*257/1371</f>
        <v>18.7454412837345</v>
      </c>
      <c r="AG245" s="39"/>
      <c r="AH245" s="38">
        <f>AF245</f>
        <v>18.7454412837345</v>
      </c>
      <c r="AI245" s="123">
        <f t="shared" si="66"/>
        <v>28024.434719183078</v>
      </c>
      <c r="AJ245" s="123">
        <f t="shared" si="67"/>
        <v>1495</v>
      </c>
      <c r="AK245" s="35"/>
      <c r="AL245" s="35"/>
      <c r="AM245" s="35"/>
      <c r="AU245" s="35"/>
    </row>
    <row r="246" spans="1:47" ht="12" customHeight="1" x14ac:dyDescent="0.2">
      <c r="A246" s="236"/>
      <c r="B246" s="184" t="s">
        <v>132</v>
      </c>
      <c r="C246" s="121"/>
      <c r="D246" s="167"/>
      <c r="E246" s="167"/>
      <c r="F246" s="237" t="s">
        <v>1131</v>
      </c>
      <c r="G246" s="315" t="s">
        <v>132</v>
      </c>
      <c r="H246" s="186"/>
      <c r="I246" s="166">
        <v>2009</v>
      </c>
      <c r="J246" s="167">
        <v>1378</v>
      </c>
      <c r="K246" s="121">
        <v>32</v>
      </c>
      <c r="L246" s="121"/>
      <c r="M246" s="327" t="s">
        <v>1048</v>
      </c>
      <c r="N246" s="237"/>
      <c r="O246" s="237" t="s">
        <v>227</v>
      </c>
      <c r="P246" s="169"/>
      <c r="Q246" s="237" t="s">
        <v>1032</v>
      </c>
      <c r="R246" s="131" t="s">
        <v>1031</v>
      </c>
      <c r="S246" s="310">
        <v>40993</v>
      </c>
      <c r="T246" s="23"/>
      <c r="U246" s="126" t="s">
        <v>1077</v>
      </c>
      <c r="V246" s="24"/>
      <c r="W246" s="154"/>
      <c r="X246" s="121">
        <f>K246</f>
        <v>32</v>
      </c>
      <c r="Y246" s="121"/>
      <c r="Z246" s="122">
        <f>X246</f>
        <v>32</v>
      </c>
      <c r="AA246" s="123">
        <f>IF(Z246&gt;0,$J246*Z246," ")</f>
        <v>44096</v>
      </c>
      <c r="AB246" s="123">
        <f>IF(Z246&gt;0,$J246," ")</f>
        <v>1378</v>
      </c>
      <c r="AC246" s="120"/>
      <c r="AD246" s="39"/>
      <c r="AE246" s="39"/>
      <c r="AF246" s="39"/>
      <c r="AG246" s="39"/>
      <c r="AH246" s="38"/>
      <c r="AI246" s="123"/>
      <c r="AJ246" s="123"/>
      <c r="AK246" s="35"/>
      <c r="AL246" s="35"/>
      <c r="AM246" s="35"/>
      <c r="AU246" s="35"/>
    </row>
    <row r="247" spans="1:47" ht="12" customHeight="1" x14ac:dyDescent="0.2">
      <c r="A247" s="236"/>
      <c r="B247" s="184" t="s">
        <v>35</v>
      </c>
      <c r="C247" s="121"/>
      <c r="D247" s="167"/>
      <c r="E247" s="167"/>
      <c r="F247" s="237" t="s">
        <v>1132</v>
      </c>
      <c r="G247" s="315" t="s">
        <v>35</v>
      </c>
      <c r="H247" s="186" t="s">
        <v>917</v>
      </c>
      <c r="I247" s="166">
        <v>1999</v>
      </c>
      <c r="J247" s="167">
        <v>86</v>
      </c>
      <c r="K247" s="121">
        <f>IF(Z247&gt;0,Z247,"")</f>
        <v>33.700000000000003</v>
      </c>
      <c r="L247" s="121" t="str">
        <f>IF(AH247&gt;0,AH247,"")</f>
        <v/>
      </c>
      <c r="M247" s="334" t="s">
        <v>919</v>
      </c>
      <c r="N247" s="237" t="s">
        <v>15</v>
      </c>
      <c r="O247" s="98" t="s">
        <v>19</v>
      </c>
      <c r="P247" s="169"/>
      <c r="Q247" s="237" t="s">
        <v>918</v>
      </c>
      <c r="R247" s="37"/>
      <c r="S247" s="36"/>
      <c r="T247" s="23"/>
      <c r="U247" s="35"/>
      <c r="V247" s="24"/>
      <c r="W247" s="154"/>
      <c r="X247" s="121">
        <v>33.700000000000003</v>
      </c>
      <c r="Y247" s="121"/>
      <c r="Z247" s="122">
        <f>X247</f>
        <v>33.700000000000003</v>
      </c>
      <c r="AA247" s="123">
        <f>IF(Z247&gt;0,$J247*Z247," ")</f>
        <v>2898.2000000000003</v>
      </c>
      <c r="AB247" s="123">
        <f>IF(Z247&gt;0,$J247," ")</f>
        <v>86</v>
      </c>
      <c r="AC247" s="120"/>
      <c r="AD247" s="39"/>
      <c r="AE247" s="39"/>
      <c r="AF247" s="39"/>
      <c r="AG247" s="39"/>
      <c r="AH247" s="38"/>
      <c r="AI247" s="123"/>
      <c r="AJ247" s="123"/>
      <c r="AK247" s="35"/>
      <c r="AL247" s="35"/>
      <c r="AM247" s="35"/>
      <c r="AU247" s="35"/>
    </row>
    <row r="248" spans="1:47" ht="12" customHeight="1" x14ac:dyDescent="0.2">
      <c r="A248" s="236"/>
      <c r="B248" s="184" t="s">
        <v>35</v>
      </c>
      <c r="C248" s="121"/>
      <c r="D248" s="167"/>
      <c r="E248" s="167"/>
      <c r="F248" s="169" t="s">
        <v>1132</v>
      </c>
      <c r="G248" s="315" t="s">
        <v>35</v>
      </c>
      <c r="H248" s="97" t="s">
        <v>41</v>
      </c>
      <c r="I248" s="166">
        <v>2001</v>
      </c>
      <c r="J248" s="167">
        <v>940</v>
      </c>
      <c r="K248" s="121">
        <f t="shared" si="62"/>
        <v>27</v>
      </c>
      <c r="L248" s="121">
        <f t="shared" si="63"/>
        <v>8</v>
      </c>
      <c r="M248" s="332" t="s">
        <v>1041</v>
      </c>
      <c r="N248" s="98" t="s">
        <v>15</v>
      </c>
      <c r="O248" s="98" t="s">
        <v>19</v>
      </c>
      <c r="P248" s="168" t="s">
        <v>243</v>
      </c>
      <c r="Q248" s="169" t="s">
        <v>523</v>
      </c>
      <c r="R248" s="37"/>
      <c r="S248" s="36"/>
      <c r="T248" s="23"/>
      <c r="U248" s="35"/>
      <c r="V248" s="24"/>
      <c r="W248" s="154"/>
      <c r="X248" s="121"/>
      <c r="Y248" s="121"/>
      <c r="Z248" s="122">
        <v>27</v>
      </c>
      <c r="AA248" s="123">
        <f t="shared" si="64"/>
        <v>25380</v>
      </c>
      <c r="AB248" s="123">
        <f t="shared" si="65"/>
        <v>940</v>
      </c>
      <c r="AC248" s="120"/>
      <c r="AD248" s="39">
        <v>8</v>
      </c>
      <c r="AE248" s="39"/>
      <c r="AF248" s="39">
        <v>8</v>
      </c>
      <c r="AG248" s="39"/>
      <c r="AH248" s="39">
        <v>8</v>
      </c>
      <c r="AI248" s="123">
        <f t="shared" si="66"/>
        <v>7520</v>
      </c>
      <c r="AJ248" s="123">
        <f t="shared" si="67"/>
        <v>940</v>
      </c>
      <c r="AK248" s="35"/>
      <c r="AL248" s="35"/>
      <c r="AM248" s="35"/>
    </row>
    <row r="249" spans="1:47" ht="12" customHeight="1" x14ac:dyDescent="0.2">
      <c r="A249" s="236"/>
      <c r="B249" s="184" t="s">
        <v>35</v>
      </c>
      <c r="C249" s="121"/>
      <c r="D249" s="167"/>
      <c r="E249" s="167"/>
      <c r="F249" s="169" t="s">
        <v>1132</v>
      </c>
      <c r="G249" s="315" t="s">
        <v>35</v>
      </c>
      <c r="H249" s="97" t="s">
        <v>42</v>
      </c>
      <c r="I249" s="166">
        <v>2001</v>
      </c>
      <c r="J249" s="167">
        <v>1188</v>
      </c>
      <c r="K249" s="121">
        <f t="shared" si="62"/>
        <v>35</v>
      </c>
      <c r="L249" s="121">
        <f t="shared" si="63"/>
        <v>13</v>
      </c>
      <c r="M249" s="332" t="s">
        <v>1041</v>
      </c>
      <c r="N249" s="98" t="s">
        <v>15</v>
      </c>
      <c r="O249" s="98" t="s">
        <v>19</v>
      </c>
      <c r="P249" s="168" t="s">
        <v>243</v>
      </c>
      <c r="Q249" s="169" t="s">
        <v>523</v>
      </c>
      <c r="R249" s="37"/>
      <c r="S249" s="36"/>
      <c r="T249" s="23"/>
      <c r="U249" s="35"/>
      <c r="V249" s="24"/>
      <c r="W249" s="154"/>
      <c r="X249" s="121"/>
      <c r="Y249" s="121"/>
      <c r="Z249" s="122">
        <v>35</v>
      </c>
      <c r="AA249" s="123">
        <f t="shared" si="64"/>
        <v>41580</v>
      </c>
      <c r="AB249" s="123">
        <f t="shared" si="65"/>
        <v>1188</v>
      </c>
      <c r="AC249" s="120"/>
      <c r="AD249" s="39">
        <v>13</v>
      </c>
      <c r="AE249" s="39"/>
      <c r="AF249" s="39">
        <v>13</v>
      </c>
      <c r="AG249" s="39"/>
      <c r="AH249" s="39">
        <v>13</v>
      </c>
      <c r="AI249" s="123">
        <f t="shared" si="66"/>
        <v>15444</v>
      </c>
      <c r="AJ249" s="123">
        <f t="shared" si="67"/>
        <v>1188</v>
      </c>
      <c r="AK249" s="35"/>
      <c r="AL249" s="35"/>
      <c r="AM249" s="35"/>
    </row>
    <row r="250" spans="1:47" ht="12" customHeight="1" x14ac:dyDescent="0.25">
      <c r="A250" s="236"/>
      <c r="B250" s="184" t="s">
        <v>35</v>
      </c>
      <c r="C250" s="121"/>
      <c r="D250" s="167"/>
      <c r="E250" s="167"/>
      <c r="F250" s="169" t="s">
        <v>1132</v>
      </c>
      <c r="G250" s="315" t="s">
        <v>35</v>
      </c>
      <c r="H250" s="97" t="s">
        <v>14</v>
      </c>
      <c r="I250" s="166">
        <v>2005</v>
      </c>
      <c r="J250" s="167">
        <v>815</v>
      </c>
      <c r="K250" s="121">
        <f>IF(Z250&gt;0,Z250,"")</f>
        <v>9.18</v>
      </c>
      <c r="L250" s="121" t="str">
        <f>IF(AH250&gt;0,AH250,"")</f>
        <v/>
      </c>
      <c r="M250" s="15" t="s">
        <v>1075</v>
      </c>
      <c r="N250" s="98"/>
      <c r="O250" s="98" t="s">
        <v>20</v>
      </c>
      <c r="P250" s="168"/>
      <c r="Q250" s="169" t="s">
        <v>920</v>
      </c>
      <c r="R250" s="334" t="s">
        <v>921</v>
      </c>
      <c r="S250" s="310">
        <v>40994</v>
      </c>
      <c r="T250" s="23"/>
      <c r="U250" s="349" t="s">
        <v>1074</v>
      </c>
      <c r="V250" s="24"/>
      <c r="W250" s="154"/>
      <c r="X250" s="121">
        <f>17*0.54</f>
        <v>9.18</v>
      </c>
      <c r="Y250" s="121"/>
      <c r="Z250" s="122">
        <f>X250</f>
        <v>9.18</v>
      </c>
      <c r="AA250" s="123">
        <f>IF(Z250&gt;0,$J250*Z250," ")</f>
        <v>7481.7</v>
      </c>
      <c r="AB250" s="123">
        <f>IF(Z250&gt;0,$J250," ")</f>
        <v>815</v>
      </c>
      <c r="AC250" s="120"/>
      <c r="AD250" s="39"/>
      <c r="AE250" s="39"/>
      <c r="AF250" s="39"/>
      <c r="AG250" s="39"/>
      <c r="AH250" s="39"/>
      <c r="AI250" s="123"/>
      <c r="AJ250" s="123"/>
      <c r="AK250" s="35"/>
      <c r="AL250" s="35"/>
      <c r="AM250" s="35"/>
    </row>
    <row r="251" spans="1:47" ht="12" customHeight="1" x14ac:dyDescent="0.2">
      <c r="A251" s="236"/>
      <c r="B251" s="184" t="s">
        <v>35</v>
      </c>
      <c r="C251" s="121"/>
      <c r="D251" s="167"/>
      <c r="E251" s="167"/>
      <c r="F251" s="278" t="s">
        <v>1132</v>
      </c>
      <c r="G251" s="315" t="s">
        <v>35</v>
      </c>
      <c r="H251" s="97" t="s">
        <v>579</v>
      </c>
      <c r="I251" s="166" t="s">
        <v>235</v>
      </c>
      <c r="J251" s="167">
        <v>1133</v>
      </c>
      <c r="K251" s="121">
        <f t="shared" si="62"/>
        <v>11.8</v>
      </c>
      <c r="L251" s="121" t="str">
        <f t="shared" si="63"/>
        <v/>
      </c>
      <c r="M251" s="333" t="s">
        <v>706</v>
      </c>
      <c r="N251" s="98" t="s">
        <v>78</v>
      </c>
      <c r="O251" s="98" t="s">
        <v>21</v>
      </c>
      <c r="P251" s="168"/>
      <c r="Q251" s="278" t="s">
        <v>959</v>
      </c>
      <c r="R251" s="37"/>
      <c r="S251" s="310">
        <v>40503</v>
      </c>
      <c r="T251" s="23"/>
      <c r="U251" s="126" t="s">
        <v>580</v>
      </c>
      <c r="V251" s="24"/>
      <c r="W251" s="154"/>
      <c r="X251" s="121"/>
      <c r="Y251" s="121"/>
      <c r="Z251" s="122">
        <v>11.8</v>
      </c>
      <c r="AA251" s="123">
        <f t="shared" si="64"/>
        <v>13369.400000000001</v>
      </c>
      <c r="AB251" s="123">
        <f t="shared" si="65"/>
        <v>1133</v>
      </c>
      <c r="AC251" s="120"/>
      <c r="AD251" s="39"/>
      <c r="AE251" s="39"/>
      <c r="AF251" s="39"/>
      <c r="AG251" s="39"/>
      <c r="AH251" s="39"/>
      <c r="AI251" s="123" t="str">
        <f t="shared" si="66"/>
        <v xml:space="preserve"> </v>
      </c>
      <c r="AJ251" s="123" t="str">
        <f t="shared" si="67"/>
        <v xml:space="preserve"> </v>
      </c>
      <c r="AK251" s="35"/>
      <c r="AL251" s="35"/>
      <c r="AM251" s="35"/>
      <c r="AN251" s="131" t="s">
        <v>609</v>
      </c>
    </row>
    <row r="252" spans="1:47" ht="12" customHeight="1" x14ac:dyDescent="0.2">
      <c r="A252" s="236"/>
      <c r="B252" s="184" t="s">
        <v>134</v>
      </c>
      <c r="C252" s="121"/>
      <c r="D252" s="167"/>
      <c r="E252" s="167"/>
      <c r="F252" s="278" t="s">
        <v>1131</v>
      </c>
      <c r="G252" s="315" t="s">
        <v>134</v>
      </c>
      <c r="H252" s="97" t="s">
        <v>871</v>
      </c>
      <c r="I252" s="166">
        <v>1999</v>
      </c>
      <c r="J252" s="167">
        <v>999999999</v>
      </c>
      <c r="K252" s="121">
        <f t="shared" si="62"/>
        <v>38.22</v>
      </c>
      <c r="L252" s="121" t="str">
        <f t="shared" si="63"/>
        <v/>
      </c>
      <c r="M252" s="353" t="s">
        <v>1088</v>
      </c>
      <c r="N252" s="98" t="s">
        <v>17</v>
      </c>
      <c r="O252" s="98"/>
      <c r="P252" s="168"/>
      <c r="Q252" s="278" t="s">
        <v>775</v>
      </c>
      <c r="R252" s="131" t="s">
        <v>872</v>
      </c>
      <c r="S252" s="310">
        <v>40994</v>
      </c>
      <c r="T252" s="23" t="s">
        <v>875</v>
      </c>
      <c r="U252" t="s">
        <v>1089</v>
      </c>
      <c r="V252" s="24"/>
      <c r="W252" s="154"/>
      <c r="X252" s="121">
        <f>42*0.91</f>
        <v>38.22</v>
      </c>
      <c r="Y252" s="121"/>
      <c r="Z252" s="122">
        <f>X252</f>
        <v>38.22</v>
      </c>
      <c r="AA252" s="123">
        <f>IF(Z252&gt;0,$J252*Z252," ")</f>
        <v>38219999961.779999</v>
      </c>
      <c r="AB252" s="123">
        <f>IF(Z252&gt;0,$J252," ")</f>
        <v>999999999</v>
      </c>
      <c r="AC252" s="120"/>
      <c r="AD252" s="39"/>
      <c r="AE252" s="39"/>
      <c r="AF252" s="39"/>
      <c r="AG252" s="39"/>
      <c r="AH252" s="39"/>
      <c r="AI252" s="123" t="str">
        <f t="shared" si="66"/>
        <v xml:space="preserve"> </v>
      </c>
      <c r="AJ252" s="123" t="str">
        <f t="shared" si="67"/>
        <v xml:space="preserve"> </v>
      </c>
      <c r="AK252" s="35"/>
      <c r="AL252" s="35"/>
      <c r="AM252" s="35"/>
      <c r="AN252" s="131"/>
    </row>
    <row r="253" spans="1:47" ht="12" customHeight="1" x14ac:dyDescent="0.2">
      <c r="A253" s="236"/>
      <c r="B253" s="245" t="s">
        <v>136</v>
      </c>
      <c r="C253" s="291"/>
      <c r="D253" s="248"/>
      <c r="E253" s="248"/>
      <c r="F253" s="19" t="s">
        <v>1131</v>
      </c>
      <c r="G253" s="316" t="s">
        <v>136</v>
      </c>
      <c r="H253" s="186" t="s">
        <v>14</v>
      </c>
      <c r="I253" s="246">
        <v>2004</v>
      </c>
      <c r="J253" s="248">
        <v>10656</v>
      </c>
      <c r="K253" s="121">
        <f t="shared" si="62"/>
        <v>38.26</v>
      </c>
      <c r="L253" s="121">
        <f t="shared" si="63"/>
        <v>21.97</v>
      </c>
      <c r="M253" s="333" t="s">
        <v>1042</v>
      </c>
      <c r="N253" s="247" t="s">
        <v>15</v>
      </c>
      <c r="O253" s="247" t="s">
        <v>19</v>
      </c>
      <c r="P253" s="237" t="s">
        <v>244</v>
      </c>
      <c r="Q253" s="19" t="s">
        <v>1003</v>
      </c>
      <c r="S253" s="355"/>
      <c r="T253" s="23"/>
      <c r="U253" s="35"/>
      <c r="V253" s="128"/>
      <c r="W253" s="127"/>
      <c r="X253" s="121">
        <v>38.26</v>
      </c>
      <c r="Y253" s="121"/>
      <c r="Z253" s="122">
        <f>X253</f>
        <v>38.26</v>
      </c>
      <c r="AA253" s="123">
        <f t="shared" si="64"/>
        <v>407698.56</v>
      </c>
      <c r="AB253" s="123">
        <f t="shared" si="65"/>
        <v>10656</v>
      </c>
      <c r="AC253" s="127"/>
      <c r="AD253" s="161"/>
      <c r="AE253" s="161"/>
      <c r="AF253" s="161">
        <v>21.97</v>
      </c>
      <c r="AG253" s="42"/>
      <c r="AH253" s="161">
        <f>AF253</f>
        <v>21.97</v>
      </c>
      <c r="AI253" s="123">
        <f t="shared" si="66"/>
        <v>234112.31999999998</v>
      </c>
      <c r="AJ253" s="123">
        <f t="shared" si="67"/>
        <v>10656</v>
      </c>
      <c r="AK253" s="128"/>
      <c r="AL253" s="128"/>
      <c r="AM253" s="128"/>
    </row>
    <row r="254" spans="1:47" ht="12" customHeight="1" x14ac:dyDescent="0.2">
      <c r="A254" s="236"/>
      <c r="B254" s="245" t="s">
        <v>136</v>
      </c>
      <c r="C254" s="291"/>
      <c r="D254" s="248"/>
      <c r="E254" s="248"/>
      <c r="F254" s="237" t="s">
        <v>1131</v>
      </c>
      <c r="G254" s="316" t="s">
        <v>136</v>
      </c>
      <c r="H254" s="186" t="s">
        <v>14</v>
      </c>
      <c r="I254" s="246">
        <v>2009</v>
      </c>
      <c r="J254" s="248">
        <v>1748</v>
      </c>
      <c r="K254" s="121">
        <f t="shared" si="62"/>
        <v>24.7</v>
      </c>
      <c r="L254" s="121" t="str">
        <f t="shared" si="63"/>
        <v/>
      </c>
      <c r="M254" s="335" t="s">
        <v>690</v>
      </c>
      <c r="N254" s="247" t="s">
        <v>17</v>
      </c>
      <c r="O254" s="247" t="s">
        <v>639</v>
      </c>
      <c r="P254" s="168" t="s">
        <v>628</v>
      </c>
      <c r="Q254" s="237" t="s">
        <v>246</v>
      </c>
      <c r="R254" s="37"/>
      <c r="S254" s="310">
        <v>40513</v>
      </c>
      <c r="T254" s="23"/>
      <c r="U254" s="35"/>
      <c r="V254" s="24"/>
      <c r="W254" s="154"/>
      <c r="X254" s="121">
        <v>24.7</v>
      </c>
      <c r="Y254" s="121"/>
      <c r="Z254" s="122">
        <f>X254</f>
        <v>24.7</v>
      </c>
      <c r="AA254" s="123">
        <f t="shared" si="64"/>
        <v>43175.6</v>
      </c>
      <c r="AB254" s="123">
        <f t="shared" si="65"/>
        <v>1748</v>
      </c>
      <c r="AC254" s="120"/>
      <c r="AD254" s="39"/>
      <c r="AE254" s="39"/>
      <c r="AF254" s="39"/>
      <c r="AG254" s="39"/>
      <c r="AH254" s="39"/>
      <c r="AI254" s="123" t="str">
        <f t="shared" si="66"/>
        <v xml:space="preserve"> </v>
      </c>
      <c r="AJ254" s="123" t="str">
        <f t="shared" si="67"/>
        <v xml:space="preserve"> </v>
      </c>
      <c r="AK254" s="35"/>
      <c r="AL254" s="35"/>
      <c r="AM254" s="35"/>
    </row>
    <row r="255" spans="1:47" ht="12" customHeight="1" x14ac:dyDescent="0.2">
      <c r="A255" s="236"/>
      <c r="B255" s="184" t="s">
        <v>62</v>
      </c>
      <c r="C255" s="121"/>
      <c r="D255" s="167"/>
      <c r="E255" s="167"/>
      <c r="F255" s="169" t="s">
        <v>422</v>
      </c>
      <c r="G255" s="315" t="s">
        <v>62</v>
      </c>
      <c r="H255" s="97" t="s">
        <v>14</v>
      </c>
      <c r="I255" s="166">
        <v>1993</v>
      </c>
      <c r="J255" s="167">
        <v>12300</v>
      </c>
      <c r="K255" s="121">
        <f t="shared" si="62"/>
        <v>29</v>
      </c>
      <c r="L255" s="121">
        <f t="shared" si="63"/>
        <v>3</v>
      </c>
      <c r="M255" s="332" t="s">
        <v>1041</v>
      </c>
      <c r="N255" s="98" t="s">
        <v>17</v>
      </c>
      <c r="O255" s="237" t="s">
        <v>33</v>
      </c>
      <c r="P255" s="168"/>
      <c r="Q255" s="169" t="s">
        <v>523</v>
      </c>
      <c r="R255" s="37"/>
      <c r="S255" s="36"/>
      <c r="T255" s="23"/>
      <c r="U255" s="35"/>
      <c r="V255" s="24"/>
      <c r="W255" s="154"/>
      <c r="X255" s="121"/>
      <c r="Y255" s="121"/>
      <c r="Z255" s="122">
        <v>29</v>
      </c>
      <c r="AA255" s="123">
        <f t="shared" si="64"/>
        <v>356700</v>
      </c>
      <c r="AB255" s="123">
        <f t="shared" si="65"/>
        <v>12300</v>
      </c>
      <c r="AC255" s="120"/>
      <c r="AD255" s="39"/>
      <c r="AE255" s="39"/>
      <c r="AF255" s="39"/>
      <c r="AG255" s="39">
        <v>3</v>
      </c>
      <c r="AH255" s="39">
        <v>3</v>
      </c>
      <c r="AI255" s="123">
        <f t="shared" si="66"/>
        <v>36900</v>
      </c>
      <c r="AJ255" s="123">
        <f t="shared" si="67"/>
        <v>12300</v>
      </c>
      <c r="AK255" s="35"/>
      <c r="AL255" s="35"/>
      <c r="AM255" s="35"/>
    </row>
    <row r="256" spans="1:47" ht="12" customHeight="1" x14ac:dyDescent="0.2">
      <c r="A256" s="236"/>
      <c r="B256" s="184" t="s">
        <v>62</v>
      </c>
      <c r="C256" s="121"/>
      <c r="D256" s="167"/>
      <c r="E256" s="167"/>
      <c r="F256" s="169" t="s">
        <v>422</v>
      </c>
      <c r="G256" s="315" t="s">
        <v>62</v>
      </c>
      <c r="H256" s="97" t="s">
        <v>14</v>
      </c>
      <c r="I256" s="166">
        <v>1999</v>
      </c>
      <c r="J256" s="167">
        <v>8356</v>
      </c>
      <c r="K256" s="121">
        <f t="shared" si="62"/>
        <v>8</v>
      </c>
      <c r="L256" s="121">
        <f t="shared" si="63"/>
        <v>3</v>
      </c>
      <c r="M256" s="332" t="s">
        <v>1041</v>
      </c>
      <c r="N256" s="98" t="s">
        <v>15</v>
      </c>
      <c r="O256" s="98" t="s">
        <v>20</v>
      </c>
      <c r="P256" s="168"/>
      <c r="Q256" s="169" t="s">
        <v>523</v>
      </c>
      <c r="R256" s="37"/>
      <c r="S256" s="36"/>
      <c r="T256" s="23"/>
      <c r="U256" s="35"/>
      <c r="V256" s="24"/>
      <c r="W256" s="154"/>
      <c r="X256" s="121"/>
      <c r="Y256" s="121"/>
      <c r="Z256" s="122">
        <v>8</v>
      </c>
      <c r="AA256" s="123">
        <f t="shared" si="64"/>
        <v>66848</v>
      </c>
      <c r="AB256" s="123">
        <f t="shared" si="65"/>
        <v>8356</v>
      </c>
      <c r="AC256" s="120"/>
      <c r="AD256" s="39">
        <v>3</v>
      </c>
      <c r="AE256" s="39"/>
      <c r="AF256" s="39"/>
      <c r="AG256" s="39"/>
      <c r="AH256" s="39">
        <v>3</v>
      </c>
      <c r="AI256" s="123">
        <f t="shared" si="66"/>
        <v>25068</v>
      </c>
      <c r="AJ256" s="123">
        <f t="shared" si="67"/>
        <v>8356</v>
      </c>
      <c r="AK256" s="35"/>
      <c r="AL256" s="35"/>
      <c r="AM256" s="35"/>
      <c r="AU256" s="35"/>
    </row>
    <row r="257" spans="1:47" ht="12" customHeight="1" x14ac:dyDescent="0.2">
      <c r="A257" s="236"/>
      <c r="B257" s="184" t="s">
        <v>62</v>
      </c>
      <c r="C257" s="121"/>
      <c r="D257" s="167"/>
      <c r="E257" s="167"/>
      <c r="F257" s="237" t="s">
        <v>422</v>
      </c>
      <c r="G257" s="315" t="s">
        <v>62</v>
      </c>
      <c r="H257" s="97" t="s">
        <v>217</v>
      </c>
      <c r="I257" s="97" t="s">
        <v>216</v>
      </c>
      <c r="J257" s="167">
        <v>420</v>
      </c>
      <c r="K257" s="121">
        <f t="shared" si="62"/>
        <v>27</v>
      </c>
      <c r="L257" s="121" t="str">
        <f t="shared" si="63"/>
        <v/>
      </c>
      <c r="M257" s="37" t="s">
        <v>1059</v>
      </c>
      <c r="N257" s="98" t="s">
        <v>17</v>
      </c>
      <c r="O257" s="98" t="s">
        <v>106</v>
      </c>
      <c r="P257" s="168"/>
      <c r="Q257" s="98" t="s">
        <v>218</v>
      </c>
      <c r="R257" s="37"/>
      <c r="S257" s="36"/>
      <c r="T257" s="23"/>
      <c r="U257" s="35"/>
      <c r="V257" s="24"/>
      <c r="W257" s="154"/>
      <c r="X257" s="121"/>
      <c r="Y257" s="121"/>
      <c r="Z257" s="122">
        <v>27</v>
      </c>
      <c r="AA257" s="123">
        <f t="shared" si="64"/>
        <v>11340</v>
      </c>
      <c r="AB257" s="123">
        <f t="shared" si="65"/>
        <v>420</v>
      </c>
      <c r="AC257" s="120"/>
      <c r="AD257" s="39"/>
      <c r="AE257" s="39"/>
      <c r="AF257" s="39"/>
      <c r="AG257" s="39"/>
      <c r="AH257" s="38"/>
      <c r="AI257" s="123" t="str">
        <f t="shared" si="66"/>
        <v xml:space="preserve"> </v>
      </c>
      <c r="AJ257" s="123" t="str">
        <f t="shared" si="67"/>
        <v xml:space="preserve"> </v>
      </c>
      <c r="AK257" s="35"/>
      <c r="AL257" s="35"/>
      <c r="AM257" s="35"/>
      <c r="AU257" s="35"/>
    </row>
    <row r="258" spans="1:47" ht="12" customHeight="1" x14ac:dyDescent="0.2">
      <c r="A258" s="236"/>
      <c r="B258" s="250" t="s">
        <v>62</v>
      </c>
      <c r="C258" s="121"/>
      <c r="D258" s="167"/>
      <c r="E258" s="167"/>
      <c r="F258" s="169" t="s">
        <v>422</v>
      </c>
      <c r="G258" s="317" t="s">
        <v>62</v>
      </c>
      <c r="H258" s="97" t="s">
        <v>863</v>
      </c>
      <c r="I258" s="166">
        <v>2004</v>
      </c>
      <c r="J258" s="167">
        <v>2120</v>
      </c>
      <c r="K258" s="121" t="str">
        <f t="shared" si="62"/>
        <v/>
      </c>
      <c r="L258" s="121">
        <f t="shared" si="63"/>
        <v>6.1</v>
      </c>
      <c r="M258" s="333" t="s">
        <v>1044</v>
      </c>
      <c r="N258" s="98"/>
      <c r="O258" s="98"/>
      <c r="P258" s="168"/>
      <c r="Q258" s="169" t="s">
        <v>957</v>
      </c>
      <c r="R258" s="37"/>
      <c r="S258" s="36"/>
      <c r="T258" s="23"/>
      <c r="U258" s="35"/>
      <c r="V258" s="24"/>
      <c r="W258" s="154"/>
      <c r="X258" s="121"/>
      <c r="Y258" s="121"/>
      <c r="Z258" s="122"/>
      <c r="AA258" s="123"/>
      <c r="AB258" s="123"/>
      <c r="AC258" s="120"/>
      <c r="AD258" s="39"/>
      <c r="AE258" s="39"/>
      <c r="AF258" s="39">
        <v>6.1</v>
      </c>
      <c r="AG258" s="39"/>
      <c r="AH258" s="38">
        <f>AF258</f>
        <v>6.1</v>
      </c>
      <c r="AI258" s="123">
        <f t="shared" si="66"/>
        <v>12932</v>
      </c>
      <c r="AJ258" s="123">
        <f t="shared" si="67"/>
        <v>2120</v>
      </c>
      <c r="AK258" s="35"/>
      <c r="AL258" s="35"/>
      <c r="AM258" s="35"/>
      <c r="AU258" s="35"/>
    </row>
    <row r="259" spans="1:47" ht="12" customHeight="1" x14ac:dyDescent="0.2">
      <c r="A259" s="236"/>
      <c r="B259" s="250" t="s">
        <v>62</v>
      </c>
      <c r="C259" s="121"/>
      <c r="D259" s="167"/>
      <c r="E259" s="167"/>
      <c r="F259" s="237" t="s">
        <v>422</v>
      </c>
      <c r="G259" s="317" t="s">
        <v>62</v>
      </c>
      <c r="H259" s="97"/>
      <c r="I259" s="166">
        <v>2004</v>
      </c>
      <c r="J259" s="167"/>
      <c r="K259" s="121">
        <f t="shared" si="62"/>
        <v>7</v>
      </c>
      <c r="L259" s="121">
        <f t="shared" si="63"/>
        <v>2</v>
      </c>
      <c r="M259" s="336" t="s">
        <v>1065</v>
      </c>
      <c r="N259" s="237" t="s">
        <v>18</v>
      </c>
      <c r="O259" s="98"/>
      <c r="P259" s="168"/>
      <c r="Q259" s="237" t="s">
        <v>770</v>
      </c>
      <c r="R259" s="37"/>
      <c r="S259" s="36"/>
      <c r="T259" s="23"/>
      <c r="U259" s="35"/>
      <c r="V259" s="24"/>
      <c r="W259" s="154"/>
      <c r="X259" s="121">
        <v>7</v>
      </c>
      <c r="Y259" s="121"/>
      <c r="Z259" s="122">
        <f>X259</f>
        <v>7</v>
      </c>
      <c r="AA259" s="123">
        <f t="shared" si="64"/>
        <v>0</v>
      </c>
      <c r="AB259" s="123">
        <f t="shared" si="65"/>
        <v>0</v>
      </c>
      <c r="AC259" s="120"/>
      <c r="AD259" s="39">
        <v>2</v>
      </c>
      <c r="AE259" s="39"/>
      <c r="AF259" s="39"/>
      <c r="AG259" s="39"/>
      <c r="AH259" s="38">
        <f>AD259</f>
        <v>2</v>
      </c>
      <c r="AI259" s="123">
        <f t="shared" si="66"/>
        <v>0</v>
      </c>
      <c r="AJ259" s="123">
        <f t="shared" si="67"/>
        <v>0</v>
      </c>
      <c r="AK259" s="35"/>
      <c r="AL259" s="35"/>
      <c r="AM259" s="35"/>
      <c r="AU259" s="35"/>
    </row>
    <row r="260" spans="1:47" ht="12" customHeight="1" x14ac:dyDescent="0.2">
      <c r="A260" s="236"/>
      <c r="B260" s="250" t="s">
        <v>370</v>
      </c>
      <c r="C260" s="121"/>
      <c r="D260" s="167"/>
      <c r="E260" s="167"/>
      <c r="F260" s="237" t="s">
        <v>1131</v>
      </c>
      <c r="G260" s="317" t="s">
        <v>370</v>
      </c>
      <c r="H260" s="97" t="s">
        <v>14</v>
      </c>
      <c r="I260" s="166">
        <v>2004</v>
      </c>
      <c r="J260" s="167">
        <v>999999999</v>
      </c>
      <c r="K260" s="121">
        <f>IF(Z260&gt;0,Z260,"")</f>
        <v>15.7</v>
      </c>
      <c r="L260" s="121">
        <f>IF(AH260&gt;0,AH260,"")</f>
        <v>7.8</v>
      </c>
      <c r="M260" s="15" t="s">
        <v>1069</v>
      </c>
      <c r="N260" s="237"/>
      <c r="O260" s="98"/>
      <c r="P260" s="168" t="s">
        <v>244</v>
      </c>
      <c r="Q260" s="237" t="s">
        <v>876</v>
      </c>
      <c r="R260" s="131" t="s">
        <v>1049</v>
      </c>
      <c r="S260" s="310">
        <v>40994</v>
      </c>
      <c r="T260" s="23"/>
      <c r="U260" s="126" t="s">
        <v>1116</v>
      </c>
      <c r="V260" s="24"/>
      <c r="W260" s="154"/>
      <c r="X260" s="121">
        <v>15.7</v>
      </c>
      <c r="Y260" s="121">
        <v>16.100000000000001</v>
      </c>
      <c r="Z260" s="122">
        <f>X260</f>
        <v>15.7</v>
      </c>
      <c r="AA260" s="123">
        <f>IF(Z260&gt;0,$J260*Z260," ")</f>
        <v>15699999984.299999</v>
      </c>
      <c r="AB260" s="123">
        <f>IF(Z260&gt;0,$J260," ")</f>
        <v>999999999</v>
      </c>
      <c r="AC260" s="120"/>
      <c r="AD260" s="39"/>
      <c r="AE260" s="39"/>
      <c r="AF260" s="39"/>
      <c r="AG260" s="39">
        <v>7.8</v>
      </c>
      <c r="AH260" s="38">
        <f>AG260</f>
        <v>7.8</v>
      </c>
      <c r="AI260" s="123">
        <f>IF(AH260&gt;0,$J260*AH260," ")</f>
        <v>7799999992.1999998</v>
      </c>
      <c r="AJ260" s="123">
        <f>IF(AH260&gt;0,$J260," ")</f>
        <v>999999999</v>
      </c>
      <c r="AK260" s="35"/>
      <c r="AL260" s="35"/>
      <c r="AM260" s="35"/>
      <c r="AU260" s="35"/>
    </row>
    <row r="261" spans="1:47" ht="12" customHeight="1" x14ac:dyDescent="0.2">
      <c r="A261" s="236"/>
      <c r="B261" s="184" t="s">
        <v>137</v>
      </c>
      <c r="C261" s="121"/>
      <c r="D261" s="167"/>
      <c r="E261" s="167"/>
      <c r="F261" s="237" t="s">
        <v>1131</v>
      </c>
      <c r="G261" s="315" t="s">
        <v>1053</v>
      </c>
      <c r="H261" s="97" t="s">
        <v>14</v>
      </c>
      <c r="I261" s="166">
        <v>2006</v>
      </c>
      <c r="J261" s="167">
        <v>11316</v>
      </c>
      <c r="K261" s="121">
        <f t="shared" si="62"/>
        <v>35.299999999999997</v>
      </c>
      <c r="L261" s="121">
        <f t="shared" si="63"/>
        <v>28.7</v>
      </c>
      <c r="M261" s="333" t="s">
        <v>710</v>
      </c>
      <c r="N261" s="98" t="s">
        <v>17</v>
      </c>
      <c r="O261" s="98" t="s">
        <v>19</v>
      </c>
      <c r="P261" s="168" t="s">
        <v>425</v>
      </c>
      <c r="Q261" s="237" t="s">
        <v>960</v>
      </c>
      <c r="R261" s="37"/>
      <c r="S261" s="36"/>
      <c r="T261" s="23">
        <v>198</v>
      </c>
      <c r="U261" s="269" t="s">
        <v>711</v>
      </c>
      <c r="V261" s="35"/>
      <c r="W261" s="85"/>
      <c r="X261" s="121">
        <v>35.299999999999997</v>
      </c>
      <c r="Y261" s="121"/>
      <c r="Z261" s="122">
        <f>X261</f>
        <v>35.299999999999997</v>
      </c>
      <c r="AA261" s="123">
        <f t="shared" si="64"/>
        <v>399454.8</v>
      </c>
      <c r="AB261" s="123">
        <f t="shared" si="65"/>
        <v>11316</v>
      </c>
      <c r="AC261" s="120"/>
      <c r="AD261" s="39"/>
      <c r="AE261" s="39"/>
      <c r="AF261" s="39"/>
      <c r="AG261" s="39"/>
      <c r="AH261" s="39">
        <v>28.7</v>
      </c>
      <c r="AI261" s="123">
        <f t="shared" si="66"/>
        <v>324769.2</v>
      </c>
      <c r="AJ261" s="123">
        <f t="shared" si="67"/>
        <v>11316</v>
      </c>
      <c r="AK261" s="35"/>
      <c r="AL261" s="35"/>
      <c r="AM261" s="35"/>
      <c r="AN261" s="107" t="s">
        <v>709</v>
      </c>
      <c r="AO261" s="147">
        <v>40515</v>
      </c>
      <c r="AU261" s="35"/>
    </row>
    <row r="262" spans="1:47" ht="12" customHeight="1" x14ac:dyDescent="0.2">
      <c r="A262" s="236"/>
      <c r="B262" s="245" t="s">
        <v>138</v>
      </c>
      <c r="C262" s="291"/>
      <c r="D262" s="248"/>
      <c r="E262" s="248"/>
      <c r="F262" s="169" t="s">
        <v>1131</v>
      </c>
      <c r="G262" s="316" t="s">
        <v>138</v>
      </c>
      <c r="H262" s="186" t="s">
        <v>14</v>
      </c>
      <c r="I262" s="246">
        <v>2008</v>
      </c>
      <c r="J262" s="248">
        <v>944</v>
      </c>
      <c r="K262" s="121">
        <f t="shared" si="62"/>
        <v>26.1</v>
      </c>
      <c r="L262" s="121" t="str">
        <f t="shared" si="63"/>
        <v/>
      </c>
      <c r="M262" s="335" t="s">
        <v>691</v>
      </c>
      <c r="N262" s="237" t="s">
        <v>17</v>
      </c>
      <c r="O262" s="237" t="s">
        <v>640</v>
      </c>
      <c r="P262" s="168" t="s">
        <v>628</v>
      </c>
      <c r="Q262" s="169" t="s">
        <v>240</v>
      </c>
      <c r="R262" s="37"/>
      <c r="S262" s="36"/>
      <c r="T262" s="23"/>
      <c r="U262" s="35"/>
      <c r="V262" s="24"/>
      <c r="W262" s="154"/>
      <c r="X262" s="121">
        <v>26.1</v>
      </c>
      <c r="Y262" s="121"/>
      <c r="Z262" s="122">
        <f>X262</f>
        <v>26.1</v>
      </c>
      <c r="AA262" s="123">
        <f t="shared" si="64"/>
        <v>24638.400000000001</v>
      </c>
      <c r="AB262" s="123">
        <f t="shared" si="65"/>
        <v>944</v>
      </c>
      <c r="AC262" s="120"/>
      <c r="AD262" s="39"/>
      <c r="AE262" s="39"/>
      <c r="AF262" s="39"/>
      <c r="AG262" s="39"/>
      <c r="AH262" s="39"/>
      <c r="AI262" s="123" t="str">
        <f t="shared" si="66"/>
        <v xml:space="preserve"> </v>
      </c>
      <c r="AJ262" s="123" t="str">
        <f t="shared" si="67"/>
        <v xml:space="preserve"> </v>
      </c>
      <c r="AK262" s="35"/>
      <c r="AL262" s="35"/>
      <c r="AM262" s="35"/>
      <c r="AU262" s="35"/>
    </row>
    <row r="263" spans="1:47" ht="12" customHeight="1" x14ac:dyDescent="0.2">
      <c r="A263" s="236"/>
      <c r="B263" s="184" t="s">
        <v>36</v>
      </c>
      <c r="C263" s="121"/>
      <c r="D263" s="167"/>
      <c r="E263" s="167"/>
      <c r="F263" s="169" t="s">
        <v>1132</v>
      </c>
      <c r="G263" s="315" t="s">
        <v>36</v>
      </c>
      <c r="H263" s="97" t="s">
        <v>43</v>
      </c>
      <c r="I263" s="166">
        <v>1993</v>
      </c>
      <c r="J263" s="167">
        <v>1000</v>
      </c>
      <c r="K263" s="121">
        <f t="shared" si="62"/>
        <v>60</v>
      </c>
      <c r="L263" s="121" t="str">
        <f t="shared" si="63"/>
        <v/>
      </c>
      <c r="M263" s="15" t="s">
        <v>1067</v>
      </c>
      <c r="N263" s="98" t="s">
        <v>18</v>
      </c>
      <c r="O263" s="98" t="s">
        <v>49</v>
      </c>
      <c r="P263" s="168"/>
      <c r="Q263" s="169" t="s">
        <v>632</v>
      </c>
      <c r="R263" s="334" t="s">
        <v>652</v>
      </c>
      <c r="S263" s="310">
        <v>40994</v>
      </c>
      <c r="T263" s="23"/>
      <c r="U263" s="126" t="s">
        <v>1068</v>
      </c>
      <c r="V263" s="37" t="s">
        <v>633</v>
      </c>
      <c r="W263" s="157"/>
      <c r="X263" s="121"/>
      <c r="Y263" s="121"/>
      <c r="Z263" s="122">
        <v>60</v>
      </c>
      <c r="AA263" s="123">
        <f t="shared" si="64"/>
        <v>60000</v>
      </c>
      <c r="AB263" s="123">
        <f t="shared" si="65"/>
        <v>1000</v>
      </c>
      <c r="AC263" s="120"/>
      <c r="AD263" s="39"/>
      <c r="AE263" s="39"/>
      <c r="AF263" s="39"/>
      <c r="AG263" s="39"/>
      <c r="AH263" s="39"/>
      <c r="AI263" s="123" t="str">
        <f t="shared" si="66"/>
        <v xml:space="preserve"> </v>
      </c>
      <c r="AJ263" s="123" t="str">
        <f t="shared" si="67"/>
        <v xml:space="preserve"> </v>
      </c>
      <c r="AK263" s="35"/>
      <c r="AL263" s="35"/>
      <c r="AM263" s="35"/>
      <c r="AU263" s="35"/>
    </row>
    <row r="264" spans="1:47" ht="12" customHeight="1" x14ac:dyDescent="0.2">
      <c r="A264" s="236"/>
      <c r="B264" s="184" t="s">
        <v>36</v>
      </c>
      <c r="C264" s="121"/>
      <c r="D264" s="167"/>
      <c r="E264" s="167"/>
      <c r="F264" s="169" t="s">
        <v>1132</v>
      </c>
      <c r="G264" s="315" t="s">
        <v>36</v>
      </c>
      <c r="H264" s="97" t="s">
        <v>44</v>
      </c>
      <c r="I264" s="166">
        <v>1997</v>
      </c>
      <c r="J264" s="167">
        <v>310</v>
      </c>
      <c r="K264" s="121" t="str">
        <f t="shared" si="62"/>
        <v/>
      </c>
      <c r="L264" s="121">
        <f t="shared" si="63"/>
        <v>23</v>
      </c>
      <c r="M264" s="332" t="s">
        <v>1041</v>
      </c>
      <c r="N264" s="98" t="s">
        <v>18</v>
      </c>
      <c r="O264" s="98" t="s">
        <v>19</v>
      </c>
      <c r="P264" s="168"/>
      <c r="Q264" s="169" t="s">
        <v>523</v>
      </c>
      <c r="R264" s="37"/>
      <c r="S264" s="36"/>
      <c r="T264" s="23"/>
      <c r="U264" s="35"/>
      <c r="V264" s="24"/>
      <c r="W264" s="154"/>
      <c r="X264" s="121"/>
      <c r="Y264" s="121"/>
      <c r="Z264" s="122"/>
      <c r="AA264" s="123" t="str">
        <f t="shared" si="64"/>
        <v xml:space="preserve"> </v>
      </c>
      <c r="AB264" s="123" t="str">
        <f t="shared" si="65"/>
        <v xml:space="preserve"> </v>
      </c>
      <c r="AC264" s="120"/>
      <c r="AD264" s="39">
        <v>23</v>
      </c>
      <c r="AE264" s="39"/>
      <c r="AF264" s="39"/>
      <c r="AG264" s="39"/>
      <c r="AH264" s="39">
        <f>AD264</f>
        <v>23</v>
      </c>
      <c r="AI264" s="123">
        <f t="shared" si="66"/>
        <v>7130</v>
      </c>
      <c r="AJ264" s="123">
        <f t="shared" si="67"/>
        <v>310</v>
      </c>
      <c r="AK264" s="35"/>
      <c r="AL264" s="35"/>
      <c r="AM264" s="35"/>
      <c r="AU264" s="35"/>
    </row>
    <row r="265" spans="1:47" ht="12" customHeight="1" x14ac:dyDescent="0.2">
      <c r="A265" s="236"/>
      <c r="B265" s="184" t="s">
        <v>36</v>
      </c>
      <c r="C265" s="121"/>
      <c r="D265" s="167"/>
      <c r="E265" s="167"/>
      <c r="F265" s="169" t="s">
        <v>1132</v>
      </c>
      <c r="G265" s="315" t="s">
        <v>36</v>
      </c>
      <c r="H265" s="97" t="s">
        <v>247</v>
      </c>
      <c r="I265" s="166">
        <v>2004</v>
      </c>
      <c r="J265" s="167">
        <v>442</v>
      </c>
      <c r="K265" s="121">
        <f t="shared" si="62"/>
        <v>25</v>
      </c>
      <c r="L265" s="121">
        <f t="shared" si="63"/>
        <v>3.6</v>
      </c>
      <c r="M265" s="332" t="s">
        <v>1041</v>
      </c>
      <c r="N265" s="98" t="s">
        <v>78</v>
      </c>
      <c r="O265" s="98" t="s">
        <v>19</v>
      </c>
      <c r="P265" s="168" t="s">
        <v>245</v>
      </c>
      <c r="Q265" s="169" t="s">
        <v>523</v>
      </c>
      <c r="R265" s="37"/>
      <c r="S265" s="36"/>
      <c r="T265" s="23"/>
      <c r="U265" s="35"/>
      <c r="V265" s="24"/>
      <c r="W265" s="154"/>
      <c r="X265" s="121"/>
      <c r="Y265" s="121"/>
      <c r="Z265" s="122">
        <v>25</v>
      </c>
      <c r="AA265" s="123">
        <f t="shared" si="64"/>
        <v>11050</v>
      </c>
      <c r="AB265" s="123">
        <f t="shared" si="65"/>
        <v>442</v>
      </c>
      <c r="AC265" s="120"/>
      <c r="AD265" s="39">
        <v>3.6</v>
      </c>
      <c r="AE265" s="39"/>
      <c r="AF265" s="39"/>
      <c r="AG265" s="39"/>
      <c r="AH265" s="39">
        <f>AD265</f>
        <v>3.6</v>
      </c>
      <c r="AI265" s="123">
        <f t="shared" si="66"/>
        <v>1591.2</v>
      </c>
      <c r="AJ265" s="123">
        <f t="shared" si="67"/>
        <v>442</v>
      </c>
      <c r="AK265" s="35"/>
      <c r="AL265" s="35"/>
      <c r="AM265" s="35"/>
      <c r="AU265" s="35"/>
    </row>
    <row r="266" spans="1:47" ht="12" customHeight="1" x14ac:dyDescent="0.2">
      <c r="A266" s="236"/>
      <c r="B266" s="184" t="s">
        <v>36</v>
      </c>
      <c r="C266" s="121"/>
      <c r="D266" s="167"/>
      <c r="E266" s="167"/>
      <c r="F266" s="169" t="s">
        <v>1132</v>
      </c>
      <c r="G266" s="315" t="s">
        <v>36</v>
      </c>
      <c r="H266" s="97" t="s">
        <v>14</v>
      </c>
      <c r="I266" s="166">
        <v>2004</v>
      </c>
      <c r="J266" s="167">
        <v>999999999</v>
      </c>
      <c r="K266" s="121">
        <f>Z266</f>
        <v>15.4</v>
      </c>
      <c r="L266" s="121"/>
      <c r="N266" s="98"/>
      <c r="O266" s="98"/>
      <c r="P266" s="168"/>
      <c r="Q266" s="169"/>
      <c r="R266" s="332" t="s">
        <v>1121</v>
      </c>
      <c r="S266" s="36"/>
      <c r="T266" s="23"/>
      <c r="U266" s="35"/>
      <c r="V266" s="24"/>
      <c r="W266" s="154"/>
      <c r="X266" s="121">
        <v>15.4</v>
      </c>
      <c r="Y266" s="121"/>
      <c r="Z266" s="122">
        <f>X266</f>
        <v>15.4</v>
      </c>
      <c r="AA266" s="123"/>
      <c r="AB266" s="123"/>
      <c r="AC266" s="120"/>
      <c r="AD266" s="39"/>
      <c r="AE266" s="39"/>
      <c r="AF266" s="39"/>
      <c r="AG266" s="39"/>
      <c r="AH266" s="39"/>
      <c r="AI266" s="123"/>
      <c r="AJ266" s="123"/>
      <c r="AK266" s="35"/>
      <c r="AL266" s="35"/>
      <c r="AM266" s="35"/>
      <c r="AU266" s="35"/>
    </row>
    <row r="267" spans="1:47" ht="12" customHeight="1" x14ac:dyDescent="0.2">
      <c r="A267" s="236"/>
      <c r="B267" s="184" t="s">
        <v>139</v>
      </c>
      <c r="C267" s="121"/>
      <c r="D267" s="167"/>
      <c r="E267" s="167"/>
      <c r="F267" s="169" t="s">
        <v>1125</v>
      </c>
      <c r="G267" s="315" t="s">
        <v>139</v>
      </c>
      <c r="H267" s="97" t="s">
        <v>14</v>
      </c>
      <c r="I267" s="166" t="s">
        <v>267</v>
      </c>
      <c r="J267" s="167">
        <v>1665</v>
      </c>
      <c r="K267" s="121">
        <f t="shared" si="62"/>
        <v>15</v>
      </c>
      <c r="L267" s="121" t="str">
        <f t="shared" si="63"/>
        <v/>
      </c>
      <c r="M267" s="332" t="s">
        <v>1041</v>
      </c>
      <c r="N267" s="98" t="s">
        <v>18</v>
      </c>
      <c r="O267" s="98" t="s">
        <v>251</v>
      </c>
      <c r="P267" s="168"/>
      <c r="Q267" s="169" t="s">
        <v>523</v>
      </c>
      <c r="R267" s="37"/>
      <c r="S267" s="36"/>
      <c r="T267" s="23"/>
      <c r="U267" s="35"/>
      <c r="V267" s="24"/>
      <c r="W267" s="154"/>
      <c r="X267" s="121"/>
      <c r="Y267" s="121"/>
      <c r="Z267" s="122">
        <v>15</v>
      </c>
      <c r="AA267" s="123">
        <f t="shared" si="64"/>
        <v>24975</v>
      </c>
      <c r="AB267" s="123">
        <f t="shared" si="65"/>
        <v>1665</v>
      </c>
      <c r="AC267" s="120"/>
      <c r="AD267" s="39"/>
      <c r="AE267" s="39"/>
      <c r="AF267" s="39"/>
      <c r="AG267" s="39"/>
      <c r="AH267" s="39"/>
      <c r="AI267" s="123" t="str">
        <f t="shared" si="66"/>
        <v xml:space="preserve"> </v>
      </c>
      <c r="AJ267" s="123" t="str">
        <f t="shared" si="67"/>
        <v xml:space="preserve"> </v>
      </c>
      <c r="AK267" s="35"/>
      <c r="AL267" s="35"/>
      <c r="AM267" s="35"/>
      <c r="AU267" s="35"/>
    </row>
    <row r="268" spans="1:47" ht="12" customHeight="1" x14ac:dyDescent="0.2">
      <c r="A268" s="236"/>
      <c r="B268" s="184" t="s">
        <v>139</v>
      </c>
      <c r="C268" s="121"/>
      <c r="D268" s="167"/>
      <c r="E268" s="167"/>
      <c r="F268" s="169" t="s">
        <v>1125</v>
      </c>
      <c r="G268" s="315" t="s">
        <v>139</v>
      </c>
      <c r="H268" s="186" t="s">
        <v>851</v>
      </c>
      <c r="I268" s="166">
        <v>2004</v>
      </c>
      <c r="J268" s="167">
        <v>1665</v>
      </c>
      <c r="K268" s="121">
        <f t="shared" si="62"/>
        <v>34</v>
      </c>
      <c r="L268" s="121" t="str">
        <f t="shared" si="63"/>
        <v/>
      </c>
      <c r="M268" s="333" t="s">
        <v>1044</v>
      </c>
      <c r="N268" s="237" t="s">
        <v>17</v>
      </c>
      <c r="O268" s="98"/>
      <c r="P268" s="168"/>
      <c r="Q268" s="169" t="s">
        <v>957</v>
      </c>
      <c r="R268" s="37"/>
      <c r="S268" s="36"/>
      <c r="T268" s="23"/>
      <c r="U268" s="35"/>
      <c r="V268" s="24"/>
      <c r="W268" s="154"/>
      <c r="X268" s="121"/>
      <c r="Y268" s="121">
        <v>34</v>
      </c>
      <c r="Z268" s="122">
        <f>Y268</f>
        <v>34</v>
      </c>
      <c r="AA268" s="123">
        <f>IF(Z268&gt;0,$J268*Z268," ")</f>
        <v>56610</v>
      </c>
      <c r="AB268" s="123">
        <f>IF(Z268&gt;0,$J268," ")</f>
        <v>1665</v>
      </c>
      <c r="AC268" s="120"/>
      <c r="AD268" s="39"/>
      <c r="AE268" s="39"/>
      <c r="AF268" s="39"/>
      <c r="AG268" s="39"/>
      <c r="AH268" s="39"/>
      <c r="AI268" s="123" t="str">
        <f t="shared" si="66"/>
        <v xml:space="preserve"> </v>
      </c>
      <c r="AJ268" s="123" t="str">
        <f t="shared" si="67"/>
        <v xml:space="preserve"> </v>
      </c>
      <c r="AK268" s="35"/>
      <c r="AL268" s="35"/>
      <c r="AM268" s="35"/>
      <c r="AU268" s="35"/>
    </row>
    <row r="269" spans="1:47" ht="12" customHeight="1" x14ac:dyDescent="0.2">
      <c r="A269" s="236"/>
      <c r="B269" s="184" t="s">
        <v>139</v>
      </c>
      <c r="C269" s="121"/>
      <c r="D269" s="167"/>
      <c r="E269" s="167"/>
      <c r="F269" s="169" t="s">
        <v>1125</v>
      </c>
      <c r="G269" s="315" t="s">
        <v>139</v>
      </c>
      <c r="H269" s="186" t="s">
        <v>851</v>
      </c>
      <c r="I269" s="166">
        <v>2004</v>
      </c>
      <c r="J269" s="167">
        <v>600</v>
      </c>
      <c r="K269" s="121">
        <f t="shared" si="62"/>
        <v>38</v>
      </c>
      <c r="L269" s="121">
        <f t="shared" si="63"/>
        <v>21</v>
      </c>
      <c r="M269" s="333" t="s">
        <v>1044</v>
      </c>
      <c r="N269" s="237"/>
      <c r="O269" s="98"/>
      <c r="P269" s="168" t="s">
        <v>243</v>
      </c>
      <c r="Q269" s="169" t="s">
        <v>957</v>
      </c>
      <c r="R269" s="37"/>
      <c r="S269" s="36"/>
      <c r="T269" s="23"/>
      <c r="U269" s="35"/>
      <c r="V269" s="24"/>
      <c r="W269" s="154"/>
      <c r="X269" s="121">
        <v>38</v>
      </c>
      <c r="Y269" s="121"/>
      <c r="Z269" s="122">
        <f>X269</f>
        <v>38</v>
      </c>
      <c r="AA269" s="123">
        <f>IF(Z269&gt;0,$J269*Z269," ")</f>
        <v>22800</v>
      </c>
      <c r="AB269" s="123">
        <f>IF(Z269&gt;0,$J269," ")</f>
        <v>600</v>
      </c>
      <c r="AC269" s="120"/>
      <c r="AD269" s="39"/>
      <c r="AE269" s="39"/>
      <c r="AF269" s="39">
        <v>21</v>
      </c>
      <c r="AG269" s="39"/>
      <c r="AH269" s="39">
        <f>AF269</f>
        <v>21</v>
      </c>
      <c r="AI269" s="123">
        <f t="shared" si="66"/>
        <v>12600</v>
      </c>
      <c r="AJ269" s="123">
        <f t="shared" si="67"/>
        <v>600</v>
      </c>
      <c r="AK269" s="35"/>
      <c r="AL269" s="35"/>
      <c r="AM269" s="35"/>
      <c r="AU269" s="35"/>
    </row>
    <row r="270" spans="1:47" ht="12" customHeight="1" x14ac:dyDescent="0.2">
      <c r="A270" s="236"/>
      <c r="B270" s="184" t="s">
        <v>139</v>
      </c>
      <c r="C270" s="121"/>
      <c r="D270" s="167"/>
      <c r="E270" s="167"/>
      <c r="F270" s="169" t="s">
        <v>1125</v>
      </c>
      <c r="G270" s="315" t="s">
        <v>139</v>
      </c>
      <c r="H270" s="186" t="s">
        <v>852</v>
      </c>
      <c r="I270" s="166">
        <v>2005</v>
      </c>
      <c r="J270" s="167">
        <v>685</v>
      </c>
      <c r="K270" s="121">
        <f t="shared" si="62"/>
        <v>43</v>
      </c>
      <c r="L270" s="121">
        <f t="shared" si="63"/>
        <v>26</v>
      </c>
      <c r="M270" s="333" t="s">
        <v>1044</v>
      </c>
      <c r="N270" s="98"/>
      <c r="O270" s="98"/>
      <c r="P270" s="169" t="s">
        <v>243</v>
      </c>
      <c r="Q270" s="169" t="s">
        <v>957</v>
      </c>
      <c r="R270" s="37"/>
      <c r="S270" s="36"/>
      <c r="T270" s="23"/>
      <c r="U270" s="35"/>
      <c r="V270" s="24"/>
      <c r="W270" s="154"/>
      <c r="X270" s="121"/>
      <c r="Y270" s="121">
        <v>43</v>
      </c>
      <c r="Z270" s="122">
        <f>Y270</f>
        <v>43</v>
      </c>
      <c r="AA270" s="123">
        <f>IF(Z270&gt;0,$J270*Z270," ")</f>
        <v>29455</v>
      </c>
      <c r="AB270" s="123">
        <f>IF(Z270&gt;0,$J270," ")</f>
        <v>685</v>
      </c>
      <c r="AC270" s="120"/>
      <c r="AD270" s="39"/>
      <c r="AE270" s="39"/>
      <c r="AF270" s="39"/>
      <c r="AG270" s="39">
        <v>26</v>
      </c>
      <c r="AH270" s="39">
        <f>AG270</f>
        <v>26</v>
      </c>
      <c r="AI270" s="123">
        <f t="shared" si="66"/>
        <v>17810</v>
      </c>
      <c r="AJ270" s="123">
        <f t="shared" si="67"/>
        <v>685</v>
      </c>
      <c r="AK270" s="35"/>
      <c r="AL270" s="35"/>
      <c r="AM270" s="35"/>
      <c r="AU270" s="35"/>
    </row>
    <row r="271" spans="1:47" ht="12" customHeight="1" x14ac:dyDescent="0.2">
      <c r="A271" s="236"/>
      <c r="B271" s="250" t="s">
        <v>153</v>
      </c>
      <c r="C271" s="121"/>
      <c r="D271" s="167"/>
      <c r="E271" s="167"/>
      <c r="F271" s="169" t="s">
        <v>1125</v>
      </c>
      <c r="G271" s="317" t="s">
        <v>153</v>
      </c>
      <c r="H271" s="97"/>
      <c r="I271" s="166">
        <v>2005</v>
      </c>
      <c r="J271" s="167">
        <v>999999999</v>
      </c>
      <c r="K271" s="121">
        <f t="shared" si="62"/>
        <v>6</v>
      </c>
      <c r="L271" s="121">
        <f t="shared" si="63"/>
        <v>1</v>
      </c>
      <c r="M271" s="336" t="s">
        <v>1065</v>
      </c>
      <c r="N271" s="98"/>
      <c r="O271" s="98"/>
      <c r="P271" s="168"/>
      <c r="Q271" s="169" t="s">
        <v>770</v>
      </c>
      <c r="R271" s="37"/>
      <c r="S271" s="36"/>
      <c r="T271" s="23"/>
      <c r="U271" s="35"/>
      <c r="V271" s="24"/>
      <c r="W271" s="154"/>
      <c r="X271" s="121">
        <v>6</v>
      </c>
      <c r="Y271" s="121"/>
      <c r="Z271" s="122">
        <f t="shared" ref="Z271:Z276" si="68">X271</f>
        <v>6</v>
      </c>
      <c r="AA271" s="123">
        <f t="shared" si="64"/>
        <v>5999999994</v>
      </c>
      <c r="AB271" s="123">
        <f t="shared" si="65"/>
        <v>999999999</v>
      </c>
      <c r="AC271" s="120"/>
      <c r="AD271" s="39"/>
      <c r="AE271" s="39"/>
      <c r="AF271" s="39">
        <v>1</v>
      </c>
      <c r="AG271" s="39"/>
      <c r="AH271" s="39">
        <f>AF271</f>
        <v>1</v>
      </c>
      <c r="AI271" s="123">
        <f t="shared" si="66"/>
        <v>999999999</v>
      </c>
      <c r="AJ271" s="123">
        <f t="shared" si="67"/>
        <v>999999999</v>
      </c>
      <c r="AK271" s="35"/>
      <c r="AL271" s="35"/>
      <c r="AM271" s="35"/>
      <c r="AU271" s="35"/>
    </row>
    <row r="272" spans="1:47" ht="12" customHeight="1" x14ac:dyDescent="0.2">
      <c r="A272" s="236"/>
      <c r="B272" s="245" t="s">
        <v>37</v>
      </c>
      <c r="C272" s="291"/>
      <c r="D272" s="248"/>
      <c r="E272" s="248"/>
      <c r="F272" s="19" t="s">
        <v>1132</v>
      </c>
      <c r="G272" s="316" t="s">
        <v>37</v>
      </c>
      <c r="H272" s="186" t="s">
        <v>14</v>
      </c>
      <c r="I272" s="246">
        <v>1990</v>
      </c>
      <c r="J272" s="248">
        <v>8642</v>
      </c>
      <c r="K272" s="121">
        <f t="shared" si="62"/>
        <v>29</v>
      </c>
      <c r="L272" s="121" t="str">
        <f t="shared" si="63"/>
        <v/>
      </c>
      <c r="M272" s="333" t="s">
        <v>1042</v>
      </c>
      <c r="N272" s="247" t="s">
        <v>15</v>
      </c>
      <c r="O272" s="247" t="s">
        <v>19</v>
      </c>
      <c r="P272" s="237" t="s">
        <v>244</v>
      </c>
      <c r="Q272" s="19" t="s">
        <v>1003</v>
      </c>
      <c r="R272" s="37"/>
      <c r="S272" s="36"/>
      <c r="T272" s="23"/>
      <c r="U272" s="128"/>
      <c r="V272" s="128"/>
      <c r="W272" s="127"/>
      <c r="X272" s="121">
        <v>29</v>
      </c>
      <c r="Y272" s="121"/>
      <c r="Z272" s="122">
        <f t="shared" si="68"/>
        <v>29</v>
      </c>
      <c r="AA272" s="123">
        <f t="shared" si="64"/>
        <v>250618</v>
      </c>
      <c r="AB272" s="123">
        <f t="shared" si="65"/>
        <v>8642</v>
      </c>
      <c r="AC272" s="127"/>
      <c r="AD272" s="161"/>
      <c r="AE272" s="161"/>
      <c r="AF272" s="161"/>
      <c r="AG272" s="42"/>
      <c r="AH272" s="161"/>
      <c r="AI272" s="123" t="str">
        <f t="shared" si="66"/>
        <v xml:space="preserve"> </v>
      </c>
      <c r="AJ272" s="123" t="str">
        <f t="shared" si="67"/>
        <v xml:space="preserve"> </v>
      </c>
      <c r="AK272" s="128"/>
      <c r="AL272" s="128"/>
      <c r="AM272" s="128"/>
      <c r="AU272" s="35"/>
    </row>
    <row r="273" spans="1:47" ht="12" customHeight="1" x14ac:dyDescent="0.2">
      <c r="A273" s="236"/>
      <c r="B273" s="245" t="s">
        <v>37</v>
      </c>
      <c r="C273" s="291"/>
      <c r="D273" s="248"/>
      <c r="E273" s="248"/>
      <c r="F273" s="19" t="s">
        <v>1132</v>
      </c>
      <c r="G273" s="316" t="s">
        <v>37</v>
      </c>
      <c r="H273" s="186" t="s">
        <v>14</v>
      </c>
      <c r="I273" s="246">
        <v>2000</v>
      </c>
      <c r="J273" s="248">
        <v>11585</v>
      </c>
      <c r="K273" s="121">
        <f t="shared" si="62"/>
        <v>39.83</v>
      </c>
      <c r="L273" s="121" t="str">
        <f t="shared" si="63"/>
        <v/>
      </c>
      <c r="M273" s="333" t="s">
        <v>1042</v>
      </c>
      <c r="N273" s="247" t="s">
        <v>15</v>
      </c>
      <c r="O273" s="247" t="s">
        <v>19</v>
      </c>
      <c r="P273" s="237" t="s">
        <v>244</v>
      </c>
      <c r="Q273" s="19" t="s">
        <v>1003</v>
      </c>
      <c r="R273" s="37"/>
      <c r="S273" s="36"/>
      <c r="T273" s="23"/>
      <c r="U273" s="128"/>
      <c r="V273" s="128"/>
      <c r="W273" s="127"/>
      <c r="X273" s="121">
        <v>39.83</v>
      </c>
      <c r="Y273" s="121"/>
      <c r="Z273" s="122">
        <f t="shared" si="68"/>
        <v>39.83</v>
      </c>
      <c r="AA273" s="123">
        <f t="shared" si="64"/>
        <v>461430.55</v>
      </c>
      <c r="AB273" s="123">
        <f t="shared" si="65"/>
        <v>11585</v>
      </c>
      <c r="AC273" s="127"/>
      <c r="AD273" s="161"/>
      <c r="AE273" s="161"/>
      <c r="AF273" s="161"/>
      <c r="AG273" s="42"/>
      <c r="AH273" s="161"/>
      <c r="AI273" s="123" t="str">
        <f t="shared" si="66"/>
        <v xml:space="preserve"> </v>
      </c>
      <c r="AJ273" s="123" t="str">
        <f t="shared" si="67"/>
        <v xml:space="preserve"> </v>
      </c>
      <c r="AK273" s="128"/>
      <c r="AL273" s="128"/>
      <c r="AM273" s="128"/>
      <c r="AU273" s="35"/>
    </row>
    <row r="274" spans="1:47" ht="12" customHeight="1" x14ac:dyDescent="0.2">
      <c r="A274" s="236"/>
      <c r="B274" s="245" t="s">
        <v>37</v>
      </c>
      <c r="C274" s="291"/>
      <c r="D274" s="248"/>
      <c r="E274" s="248"/>
      <c r="F274" s="19" t="s">
        <v>1132</v>
      </c>
      <c r="G274" s="316" t="s">
        <v>37</v>
      </c>
      <c r="H274" s="186" t="s">
        <v>14</v>
      </c>
      <c r="I274" s="246" t="s">
        <v>631</v>
      </c>
      <c r="J274" s="248">
        <v>41344</v>
      </c>
      <c r="K274" s="121">
        <f t="shared" si="62"/>
        <v>38.31</v>
      </c>
      <c r="L274" s="121">
        <f t="shared" si="63"/>
        <v>20.41</v>
      </c>
      <c r="M274" s="333" t="s">
        <v>1042</v>
      </c>
      <c r="N274" s="247" t="s">
        <v>15</v>
      </c>
      <c r="O274" s="247" t="s">
        <v>630</v>
      </c>
      <c r="P274" s="237" t="s">
        <v>244</v>
      </c>
      <c r="Q274" s="19" t="s">
        <v>1003</v>
      </c>
      <c r="R274" s="37"/>
      <c r="S274" s="36"/>
      <c r="T274" s="23"/>
      <c r="U274" s="128"/>
      <c r="V274" s="128"/>
      <c r="W274" s="127"/>
      <c r="X274" s="121">
        <v>38.31</v>
      </c>
      <c r="Y274" s="121"/>
      <c r="Z274" s="122">
        <f t="shared" si="68"/>
        <v>38.31</v>
      </c>
      <c r="AA274" s="123">
        <f t="shared" si="64"/>
        <v>1583888.6400000001</v>
      </c>
      <c r="AB274" s="123">
        <f t="shared" si="65"/>
        <v>41344</v>
      </c>
      <c r="AC274" s="127"/>
      <c r="AD274" s="161"/>
      <c r="AE274" s="161"/>
      <c r="AF274" s="161">
        <v>20.41</v>
      </c>
      <c r="AG274" s="42"/>
      <c r="AH274" s="161">
        <f>AF274</f>
        <v>20.41</v>
      </c>
      <c r="AI274" s="123">
        <f t="shared" si="66"/>
        <v>843831.04</v>
      </c>
      <c r="AJ274" s="123">
        <f t="shared" si="67"/>
        <v>41344</v>
      </c>
      <c r="AK274" s="128"/>
      <c r="AL274" s="128"/>
      <c r="AM274" s="128"/>
      <c r="AU274" s="35"/>
    </row>
    <row r="275" spans="1:47" ht="12" customHeight="1" x14ac:dyDescent="0.2">
      <c r="A275" s="236"/>
      <c r="B275" s="245" t="s">
        <v>37</v>
      </c>
      <c r="C275" s="291"/>
      <c r="D275" s="248"/>
      <c r="E275" s="248"/>
      <c r="F275" s="19" t="s">
        <v>1132</v>
      </c>
      <c r="G275" s="316" t="s">
        <v>37</v>
      </c>
      <c r="H275" s="186" t="s">
        <v>14</v>
      </c>
      <c r="I275" s="246">
        <v>2010</v>
      </c>
      <c r="J275" s="248">
        <v>33420</v>
      </c>
      <c r="K275" s="121">
        <f>IF(Z275&gt;0,Z275,"")</f>
        <v>37.4</v>
      </c>
      <c r="L275" s="121" t="str">
        <f>IF(AH275&gt;0,AH275,"")</f>
        <v/>
      </c>
      <c r="M275" s="334" t="s">
        <v>1008</v>
      </c>
      <c r="N275" s="247" t="s">
        <v>15</v>
      </c>
      <c r="O275" s="247" t="s">
        <v>19</v>
      </c>
      <c r="P275" s="237" t="s">
        <v>244</v>
      </c>
      <c r="Q275" s="19" t="s">
        <v>1006</v>
      </c>
      <c r="R275" s="131" t="s">
        <v>1008</v>
      </c>
      <c r="S275" s="310">
        <v>40992</v>
      </c>
      <c r="T275" s="36" t="s">
        <v>1009</v>
      </c>
      <c r="U275" s="128"/>
      <c r="V275" s="128"/>
      <c r="W275" s="127"/>
      <c r="X275" s="121">
        <v>37.4</v>
      </c>
      <c r="Y275" s="121"/>
      <c r="Z275" s="122">
        <f t="shared" si="68"/>
        <v>37.4</v>
      </c>
      <c r="AA275" s="123">
        <f t="shared" si="64"/>
        <v>1249908</v>
      </c>
      <c r="AB275" s="123">
        <f t="shared" si="65"/>
        <v>33420</v>
      </c>
      <c r="AC275" s="127"/>
      <c r="AD275" s="161"/>
      <c r="AE275" s="161"/>
      <c r="AF275" s="161"/>
      <c r="AG275" s="42"/>
      <c r="AH275" s="161"/>
      <c r="AI275" s="123"/>
      <c r="AJ275" s="123"/>
      <c r="AK275" s="128"/>
      <c r="AL275" s="128"/>
      <c r="AM275" s="128"/>
      <c r="AU275" s="35"/>
    </row>
    <row r="276" spans="1:47" ht="12" customHeight="1" x14ac:dyDescent="0.2">
      <c r="A276" s="236"/>
      <c r="B276" s="245" t="s">
        <v>140</v>
      </c>
      <c r="C276" s="291"/>
      <c r="D276" s="248"/>
      <c r="E276" s="248"/>
      <c r="F276" s="19" t="s">
        <v>1131</v>
      </c>
      <c r="G276" s="316" t="s">
        <v>140</v>
      </c>
      <c r="H276" s="186" t="s">
        <v>14</v>
      </c>
      <c r="I276" s="246">
        <v>2011</v>
      </c>
      <c r="J276" s="248">
        <v>954</v>
      </c>
      <c r="K276" s="121">
        <f>IF(Z276&gt;0,Z276,"")</f>
        <v>26</v>
      </c>
      <c r="L276" s="121" t="str">
        <f>IF(AH276&gt;0,AH276,"")</f>
        <v/>
      </c>
      <c r="M276" s="333" t="s">
        <v>1042</v>
      </c>
      <c r="N276" s="247"/>
      <c r="O276" s="247"/>
      <c r="P276" s="237" t="s">
        <v>628</v>
      </c>
      <c r="Q276" s="19" t="s">
        <v>1003</v>
      </c>
      <c r="R276" s="37"/>
      <c r="S276" s="36"/>
      <c r="T276" s="23"/>
      <c r="U276" s="128"/>
      <c r="V276" s="128"/>
      <c r="W276" s="127"/>
      <c r="X276" s="121">
        <v>26</v>
      </c>
      <c r="Y276" s="121"/>
      <c r="Z276" s="122">
        <f t="shared" si="68"/>
        <v>26</v>
      </c>
      <c r="AA276" s="123">
        <f>IF(Z276&gt;0,$J276*Z276," ")</f>
        <v>24804</v>
      </c>
      <c r="AB276" s="123">
        <f>IF(Z276&gt;0,$J276," ")</f>
        <v>954</v>
      </c>
      <c r="AC276" s="127"/>
      <c r="AD276" s="161"/>
      <c r="AE276" s="161"/>
      <c r="AF276" s="161"/>
      <c r="AG276" s="42"/>
      <c r="AH276" s="161"/>
      <c r="AI276" s="123"/>
      <c r="AJ276" s="123"/>
      <c r="AK276" s="128"/>
      <c r="AL276" s="128"/>
      <c r="AM276" s="128"/>
      <c r="AU276" s="35"/>
    </row>
    <row r="277" spans="1:47" ht="12" customHeight="1" x14ac:dyDescent="0.2">
      <c r="A277" s="236"/>
      <c r="B277" s="184" t="s">
        <v>141</v>
      </c>
      <c r="C277" s="121"/>
      <c r="D277" s="167"/>
      <c r="E277" s="167"/>
      <c r="F277" s="169" t="s">
        <v>1132</v>
      </c>
      <c r="G277" s="315" t="s">
        <v>141</v>
      </c>
      <c r="H277" s="97" t="s">
        <v>521</v>
      </c>
      <c r="I277" s="166">
        <v>1990</v>
      </c>
      <c r="J277" s="167">
        <v>1388</v>
      </c>
      <c r="K277" s="121">
        <f t="shared" si="62"/>
        <v>54</v>
      </c>
      <c r="L277" s="121" t="str">
        <f t="shared" si="63"/>
        <v/>
      </c>
      <c r="M277" s="336" t="s">
        <v>1062</v>
      </c>
      <c r="N277" s="98"/>
      <c r="O277" s="98"/>
      <c r="P277" s="168"/>
      <c r="Q277" s="169" t="s">
        <v>524</v>
      </c>
      <c r="R277" s="37"/>
      <c r="S277" s="36"/>
      <c r="T277" s="23"/>
      <c r="U277" s="35"/>
      <c r="V277" s="24"/>
      <c r="W277" s="154"/>
      <c r="X277" s="121"/>
      <c r="Y277" s="121"/>
      <c r="Z277" s="122">
        <v>54</v>
      </c>
      <c r="AA277" s="123">
        <f t="shared" si="64"/>
        <v>74952</v>
      </c>
      <c r="AB277" s="123">
        <f t="shared" si="65"/>
        <v>1388</v>
      </c>
      <c r="AC277" s="120"/>
      <c r="AD277" s="39"/>
      <c r="AE277" s="39"/>
      <c r="AF277" s="39"/>
      <c r="AG277" s="39"/>
      <c r="AH277" s="39"/>
      <c r="AI277" s="123" t="str">
        <f t="shared" si="66"/>
        <v xml:space="preserve"> </v>
      </c>
      <c r="AJ277" s="123" t="str">
        <f t="shared" si="67"/>
        <v xml:space="preserve"> </v>
      </c>
      <c r="AK277" s="35"/>
      <c r="AL277" s="35"/>
      <c r="AM277" s="35"/>
      <c r="AU277" s="35"/>
    </row>
    <row r="278" spans="1:47" ht="12" customHeight="1" x14ac:dyDescent="0.2">
      <c r="A278" s="236"/>
      <c r="B278" s="184" t="s">
        <v>141</v>
      </c>
      <c r="C278" s="121"/>
      <c r="D278" s="167"/>
      <c r="E278" s="167"/>
      <c r="F278" s="169" t="s">
        <v>1132</v>
      </c>
      <c r="G278" s="315" t="s">
        <v>141</v>
      </c>
      <c r="H278" s="97" t="s">
        <v>518</v>
      </c>
      <c r="I278" s="166">
        <v>1994</v>
      </c>
      <c r="J278" s="167">
        <f>J277</f>
        <v>1388</v>
      </c>
      <c r="K278" s="121">
        <f t="shared" si="62"/>
        <v>10</v>
      </c>
      <c r="L278" s="121" t="str">
        <f t="shared" si="63"/>
        <v/>
      </c>
      <c r="M278" s="334" t="s">
        <v>661</v>
      </c>
      <c r="N278" s="98"/>
      <c r="O278" s="98"/>
      <c r="P278" s="168"/>
      <c r="Q278" s="169" t="s">
        <v>525</v>
      </c>
      <c r="R278" s="131"/>
      <c r="S278" s="357"/>
      <c r="T278" s="23"/>
      <c r="U278" s="35" t="s">
        <v>519</v>
      </c>
      <c r="V278" s="24"/>
      <c r="W278" s="154"/>
      <c r="X278" s="121"/>
      <c r="Y278" s="121"/>
      <c r="Z278" s="122">
        <v>10</v>
      </c>
      <c r="AA278" s="123">
        <f t="shared" si="64"/>
        <v>13880</v>
      </c>
      <c r="AB278" s="123">
        <f t="shared" si="65"/>
        <v>1388</v>
      </c>
      <c r="AC278" s="120"/>
      <c r="AD278" s="39"/>
      <c r="AE278" s="39"/>
      <c r="AF278" s="39"/>
      <c r="AG278" s="39"/>
      <c r="AH278" s="39"/>
      <c r="AI278" s="123" t="str">
        <f t="shared" si="66"/>
        <v xml:space="preserve"> </v>
      </c>
      <c r="AJ278" s="123" t="str">
        <f t="shared" si="67"/>
        <v xml:space="preserve"> </v>
      </c>
      <c r="AK278" s="35"/>
      <c r="AL278" s="35"/>
      <c r="AM278" s="35"/>
      <c r="AN278" s="72"/>
      <c r="AO278" s="72"/>
      <c r="AP278" s="240"/>
      <c r="AQ278" s="72"/>
      <c r="AR278" s="72"/>
      <c r="AU278" s="35"/>
    </row>
    <row r="279" spans="1:47" ht="12" customHeight="1" x14ac:dyDescent="0.2">
      <c r="A279" s="236"/>
      <c r="B279" s="184" t="s">
        <v>141</v>
      </c>
      <c r="C279" s="121"/>
      <c r="D279" s="167"/>
      <c r="E279" s="167"/>
      <c r="F279" s="169" t="s">
        <v>1132</v>
      </c>
      <c r="G279" s="315" t="s">
        <v>141</v>
      </c>
      <c r="H279" s="97"/>
      <c r="I279" s="166">
        <v>2003</v>
      </c>
      <c r="J279" s="167">
        <f>J277</f>
        <v>1388</v>
      </c>
      <c r="K279" s="121">
        <f t="shared" si="62"/>
        <v>33</v>
      </c>
      <c r="L279" s="121">
        <f t="shared" si="63"/>
        <v>7</v>
      </c>
      <c r="M279" s="336" t="s">
        <v>1065</v>
      </c>
      <c r="N279" s="98"/>
      <c r="O279" s="98"/>
      <c r="P279" s="168"/>
      <c r="Q279" s="169" t="s">
        <v>770</v>
      </c>
      <c r="R279" s="131"/>
      <c r="S279" s="357"/>
      <c r="T279" s="23"/>
      <c r="U279" s="35"/>
      <c r="V279" s="24"/>
      <c r="W279" s="154"/>
      <c r="X279" s="121">
        <v>33</v>
      </c>
      <c r="Y279" s="121"/>
      <c r="Z279" s="122">
        <f>X279</f>
        <v>33</v>
      </c>
      <c r="AA279" s="123">
        <f t="shared" si="64"/>
        <v>45804</v>
      </c>
      <c r="AB279" s="123">
        <f t="shared" si="65"/>
        <v>1388</v>
      </c>
      <c r="AC279" s="120"/>
      <c r="AD279" s="39"/>
      <c r="AE279" s="39"/>
      <c r="AF279" s="39">
        <v>7</v>
      </c>
      <c r="AG279" s="39"/>
      <c r="AH279" s="39">
        <f>AF279</f>
        <v>7</v>
      </c>
      <c r="AI279" s="123">
        <f t="shared" si="66"/>
        <v>9716</v>
      </c>
      <c r="AJ279" s="123">
        <f t="shared" si="67"/>
        <v>1388</v>
      </c>
      <c r="AK279" s="35"/>
      <c r="AL279" s="35"/>
      <c r="AM279" s="35"/>
      <c r="AN279" s="72"/>
      <c r="AO279" s="72"/>
      <c r="AP279" s="240"/>
      <c r="AQ279" s="72"/>
      <c r="AR279" s="72"/>
      <c r="AU279" s="35"/>
    </row>
    <row r="280" spans="1:47" ht="12" customHeight="1" x14ac:dyDescent="0.2">
      <c r="A280" s="236"/>
      <c r="B280" s="184" t="s">
        <v>373</v>
      </c>
      <c r="C280" s="121"/>
      <c r="D280" s="167"/>
      <c r="E280" s="167"/>
      <c r="F280" s="169" t="s">
        <v>1131</v>
      </c>
      <c r="G280" s="315" t="s">
        <v>373</v>
      </c>
      <c r="H280" s="97" t="s">
        <v>14</v>
      </c>
      <c r="I280" s="166">
        <v>2005</v>
      </c>
      <c r="J280" s="167">
        <v>5183</v>
      </c>
      <c r="K280" s="121" t="str">
        <f t="shared" si="62"/>
        <v/>
      </c>
      <c r="L280" s="121">
        <f t="shared" si="63"/>
        <v>12</v>
      </c>
      <c r="M280" s="335" t="s">
        <v>778</v>
      </c>
      <c r="N280" s="98" t="s">
        <v>17</v>
      </c>
      <c r="O280" s="98" t="s">
        <v>19</v>
      </c>
      <c r="P280" s="168"/>
      <c r="Q280" s="169" t="s">
        <v>565</v>
      </c>
      <c r="R280" s="37"/>
      <c r="S280" s="36"/>
      <c r="T280" s="23"/>
      <c r="U280" s="35"/>
      <c r="V280" s="24"/>
      <c r="W280" s="154"/>
      <c r="X280" s="121"/>
      <c r="Y280" s="121"/>
      <c r="Z280" s="122"/>
      <c r="AA280" s="123" t="str">
        <f t="shared" si="64"/>
        <v xml:space="preserve"> </v>
      </c>
      <c r="AB280" s="123" t="str">
        <f t="shared" si="65"/>
        <v xml:space="preserve"> </v>
      </c>
      <c r="AC280" s="120"/>
      <c r="AD280" s="39"/>
      <c r="AE280" s="39"/>
      <c r="AF280" s="39"/>
      <c r="AG280" s="39"/>
      <c r="AH280" s="39">
        <v>12</v>
      </c>
      <c r="AI280" s="123">
        <f t="shared" si="66"/>
        <v>62196</v>
      </c>
      <c r="AJ280" s="123">
        <f t="shared" si="67"/>
        <v>5183</v>
      </c>
      <c r="AK280" s="35"/>
      <c r="AL280" s="35"/>
      <c r="AM280" s="35"/>
      <c r="AU280" s="35"/>
    </row>
    <row r="281" spans="1:47" ht="12" customHeight="1" x14ac:dyDescent="0.2">
      <c r="A281" s="236"/>
      <c r="B281" s="184" t="s">
        <v>350</v>
      </c>
      <c r="C281" s="121"/>
      <c r="D281" s="167"/>
      <c r="E281" s="167"/>
      <c r="F281" s="169" t="s">
        <v>1130</v>
      </c>
      <c r="G281" s="315" t="s">
        <v>1038</v>
      </c>
      <c r="H281" s="97" t="s">
        <v>14</v>
      </c>
      <c r="I281" s="166">
        <v>2003</v>
      </c>
      <c r="J281" s="167">
        <v>999999999</v>
      </c>
      <c r="K281" s="121">
        <f t="shared" si="62"/>
        <v>35</v>
      </c>
      <c r="L281" s="121">
        <f t="shared" si="63"/>
        <v>8</v>
      </c>
      <c r="M281" s="335" t="s">
        <v>659</v>
      </c>
      <c r="N281" s="98" t="s">
        <v>17</v>
      </c>
      <c r="O281" s="98" t="s">
        <v>250</v>
      </c>
      <c r="P281" s="168" t="s">
        <v>258</v>
      </c>
      <c r="Q281" s="169" t="s">
        <v>553</v>
      </c>
      <c r="R281" s="37"/>
      <c r="S281" s="36"/>
      <c r="T281" s="23"/>
      <c r="U281" s="35"/>
      <c r="V281" s="24"/>
      <c r="W281" s="154"/>
      <c r="X281" s="270">
        <v>35</v>
      </c>
      <c r="Y281" s="270">
        <v>37</v>
      </c>
      <c r="Z281" s="122">
        <f t="shared" ref="Z281:Z286" si="69">X281</f>
        <v>35</v>
      </c>
      <c r="AA281" s="123">
        <f t="shared" si="64"/>
        <v>34999999965</v>
      </c>
      <c r="AB281" s="123">
        <f t="shared" si="65"/>
        <v>999999999</v>
      </c>
      <c r="AC281" s="120"/>
      <c r="AD281" s="39"/>
      <c r="AE281" s="39"/>
      <c r="AF281" s="39">
        <v>8</v>
      </c>
      <c r="AG281" s="39">
        <v>9</v>
      </c>
      <c r="AH281" s="39">
        <f t="shared" ref="AH281:AH288" si="70">AF281</f>
        <v>8</v>
      </c>
      <c r="AI281" s="123">
        <f t="shared" si="66"/>
        <v>7999999992</v>
      </c>
      <c r="AJ281" s="123">
        <f t="shared" si="67"/>
        <v>999999999</v>
      </c>
      <c r="AK281" s="35"/>
      <c r="AL281" s="35"/>
      <c r="AM281" s="35"/>
      <c r="AU281" s="35"/>
    </row>
    <row r="282" spans="1:47" ht="12" customHeight="1" x14ac:dyDescent="0.2">
      <c r="A282" s="236"/>
      <c r="B282" s="245" t="s">
        <v>375</v>
      </c>
      <c r="C282" s="291"/>
      <c r="D282" s="248"/>
      <c r="E282" s="248"/>
      <c r="F282" s="19" t="s">
        <v>1131</v>
      </c>
      <c r="G282" s="316" t="s">
        <v>731</v>
      </c>
      <c r="H282" s="186" t="s">
        <v>14</v>
      </c>
      <c r="I282" s="246">
        <v>2007</v>
      </c>
      <c r="J282" s="248">
        <v>9995</v>
      </c>
      <c r="K282" s="121">
        <f t="shared" si="62"/>
        <v>55.75</v>
      </c>
      <c r="L282" s="121">
        <f t="shared" si="63"/>
        <v>52.49</v>
      </c>
      <c r="M282" s="333" t="s">
        <v>1042</v>
      </c>
      <c r="N282" s="247" t="s">
        <v>15</v>
      </c>
      <c r="O282" s="247" t="s">
        <v>19</v>
      </c>
      <c r="P282" s="237" t="s">
        <v>244</v>
      </c>
      <c r="Q282" s="19" t="s">
        <v>1003</v>
      </c>
      <c r="R282" s="37"/>
      <c r="S282" s="36"/>
      <c r="T282" s="23"/>
      <c r="U282" s="128"/>
      <c r="V282" s="128"/>
      <c r="W282" s="127"/>
      <c r="X282" s="121">
        <v>55.75</v>
      </c>
      <c r="Y282" s="121"/>
      <c r="Z282" s="122">
        <f t="shared" si="69"/>
        <v>55.75</v>
      </c>
      <c r="AA282" s="123">
        <f t="shared" si="64"/>
        <v>557221.25</v>
      </c>
      <c r="AB282" s="123">
        <f t="shared" si="65"/>
        <v>9995</v>
      </c>
      <c r="AC282" s="127"/>
      <c r="AD282" s="161"/>
      <c r="AE282" s="161"/>
      <c r="AF282" s="161">
        <v>52.49</v>
      </c>
      <c r="AG282" s="42"/>
      <c r="AH282" s="161">
        <f t="shared" si="70"/>
        <v>52.49</v>
      </c>
      <c r="AI282" s="123">
        <f t="shared" si="66"/>
        <v>524637.55000000005</v>
      </c>
      <c r="AJ282" s="123">
        <f t="shared" si="67"/>
        <v>9995</v>
      </c>
      <c r="AK282" s="128"/>
      <c r="AL282" s="128"/>
      <c r="AM282" s="128"/>
      <c r="AU282" s="35"/>
    </row>
    <row r="283" spans="1:47" ht="12" customHeight="1" x14ac:dyDescent="0.2">
      <c r="A283" s="236"/>
      <c r="B283" s="184" t="s">
        <v>144</v>
      </c>
      <c r="C283" s="121"/>
      <c r="D283" s="167"/>
      <c r="E283" s="167"/>
      <c r="F283" s="169" t="s">
        <v>1130</v>
      </c>
      <c r="G283" s="315" t="s">
        <v>144</v>
      </c>
      <c r="H283" s="97" t="s">
        <v>14</v>
      </c>
      <c r="I283" s="166">
        <v>2003</v>
      </c>
      <c r="J283" s="167">
        <v>999999999</v>
      </c>
      <c r="K283" s="121">
        <f t="shared" si="62"/>
        <v>20</v>
      </c>
      <c r="L283" s="121">
        <f t="shared" si="63"/>
        <v>1</v>
      </c>
      <c r="M283" s="335" t="s">
        <v>659</v>
      </c>
      <c r="N283" s="98" t="s">
        <v>17</v>
      </c>
      <c r="O283" s="98" t="s">
        <v>250</v>
      </c>
      <c r="P283" s="168" t="s">
        <v>258</v>
      </c>
      <c r="Q283" s="169" t="s">
        <v>553</v>
      </c>
      <c r="R283" s="37"/>
      <c r="S283" s="36"/>
      <c r="T283" s="23"/>
      <c r="U283" s="35"/>
      <c r="V283" s="24"/>
      <c r="W283" s="154"/>
      <c r="X283" s="121">
        <v>20</v>
      </c>
      <c r="Y283" s="121">
        <v>22</v>
      </c>
      <c r="Z283" s="122">
        <f t="shared" si="69"/>
        <v>20</v>
      </c>
      <c r="AA283" s="123">
        <f t="shared" si="64"/>
        <v>19999999980</v>
      </c>
      <c r="AB283" s="123">
        <f t="shared" si="65"/>
        <v>999999999</v>
      </c>
      <c r="AC283" s="120"/>
      <c r="AD283" s="39"/>
      <c r="AE283" s="39"/>
      <c r="AF283" s="39">
        <v>1</v>
      </c>
      <c r="AG283" s="39">
        <v>1</v>
      </c>
      <c r="AH283" s="39">
        <f t="shared" si="70"/>
        <v>1</v>
      </c>
      <c r="AI283" s="123">
        <f t="shared" si="66"/>
        <v>999999999</v>
      </c>
      <c r="AJ283" s="123">
        <f t="shared" si="67"/>
        <v>999999999</v>
      </c>
      <c r="AK283" s="35"/>
      <c r="AL283" s="35"/>
      <c r="AM283" s="35"/>
      <c r="AU283" s="35"/>
    </row>
    <row r="284" spans="1:47" ht="12" customHeight="1" x14ac:dyDescent="0.2">
      <c r="A284" s="236"/>
      <c r="B284" s="245" t="s">
        <v>38</v>
      </c>
      <c r="C284" s="291"/>
      <c r="D284" s="248"/>
      <c r="E284" s="248"/>
      <c r="F284" s="19" t="s">
        <v>1132</v>
      </c>
      <c r="G284" s="316" t="s">
        <v>1054</v>
      </c>
      <c r="H284" s="186" t="s">
        <v>14</v>
      </c>
      <c r="I284" s="246">
        <v>1999</v>
      </c>
      <c r="J284" s="248">
        <v>1286</v>
      </c>
      <c r="K284" s="121">
        <f t="shared" si="62"/>
        <v>24.56</v>
      </c>
      <c r="L284" s="121">
        <f t="shared" si="63"/>
        <v>13.26</v>
      </c>
      <c r="M284" s="333" t="s">
        <v>1042</v>
      </c>
      <c r="N284" s="247" t="s">
        <v>15</v>
      </c>
      <c r="O284" s="247" t="s">
        <v>19</v>
      </c>
      <c r="P284" s="237" t="s">
        <v>244</v>
      </c>
      <c r="Q284" s="19" t="s">
        <v>1003</v>
      </c>
      <c r="R284" s="37"/>
      <c r="S284" s="36"/>
      <c r="T284" s="23"/>
      <c r="U284" s="128"/>
      <c r="V284" s="128"/>
      <c r="W284" s="127"/>
      <c r="X284" s="121">
        <v>24.56</v>
      </c>
      <c r="Y284" s="121"/>
      <c r="Z284" s="122">
        <f t="shared" si="69"/>
        <v>24.56</v>
      </c>
      <c r="AA284" s="123">
        <f t="shared" si="64"/>
        <v>31584.16</v>
      </c>
      <c r="AB284" s="123">
        <f t="shared" si="65"/>
        <v>1286</v>
      </c>
      <c r="AC284" s="127"/>
      <c r="AD284" s="161"/>
      <c r="AE284" s="161"/>
      <c r="AF284" s="161">
        <v>13.26</v>
      </c>
      <c r="AG284" s="42"/>
      <c r="AH284" s="161">
        <f t="shared" si="70"/>
        <v>13.26</v>
      </c>
      <c r="AI284" s="123">
        <f t="shared" si="66"/>
        <v>17052.36</v>
      </c>
      <c r="AJ284" s="123">
        <f t="shared" si="67"/>
        <v>1286</v>
      </c>
      <c r="AK284" s="128"/>
      <c r="AL284" s="128"/>
      <c r="AM284" s="128"/>
      <c r="AU284" s="35"/>
    </row>
    <row r="285" spans="1:47" ht="12" customHeight="1" x14ac:dyDescent="0.2">
      <c r="A285" s="236"/>
      <c r="B285" s="245" t="s">
        <v>38</v>
      </c>
      <c r="C285" s="291"/>
      <c r="D285" s="248"/>
      <c r="E285" s="248"/>
      <c r="F285" s="19" t="s">
        <v>1132</v>
      </c>
      <c r="G285" s="316" t="s">
        <v>1054</v>
      </c>
      <c r="H285" s="186" t="s">
        <v>14</v>
      </c>
      <c r="I285" s="246">
        <v>2002</v>
      </c>
      <c r="J285" s="248">
        <v>23384</v>
      </c>
      <c r="K285" s="121">
        <f t="shared" si="62"/>
        <v>18.079999999999998</v>
      </c>
      <c r="L285" s="121">
        <f t="shared" si="63"/>
        <v>10</v>
      </c>
      <c r="M285" s="333" t="s">
        <v>1042</v>
      </c>
      <c r="N285" s="247" t="s">
        <v>15</v>
      </c>
      <c r="O285" s="247" t="s">
        <v>19</v>
      </c>
      <c r="P285" s="237" t="s">
        <v>244</v>
      </c>
      <c r="Q285" s="19" t="s">
        <v>1003</v>
      </c>
      <c r="R285" s="37"/>
      <c r="S285" s="36"/>
      <c r="T285" s="23"/>
      <c r="U285" s="128"/>
      <c r="V285" s="128"/>
      <c r="W285" s="127"/>
      <c r="X285" s="121">
        <v>18.079999999999998</v>
      </c>
      <c r="Y285" s="121"/>
      <c r="Z285" s="122">
        <f t="shared" si="69"/>
        <v>18.079999999999998</v>
      </c>
      <c r="AA285" s="123">
        <f t="shared" si="64"/>
        <v>422782.71999999997</v>
      </c>
      <c r="AB285" s="123">
        <f t="shared" si="65"/>
        <v>23384</v>
      </c>
      <c r="AC285" s="127"/>
      <c r="AD285" s="161"/>
      <c r="AE285" s="161"/>
      <c r="AF285" s="161">
        <v>10</v>
      </c>
      <c r="AG285" s="42"/>
      <c r="AH285" s="161">
        <f t="shared" si="70"/>
        <v>10</v>
      </c>
      <c r="AI285" s="123">
        <f t="shared" si="66"/>
        <v>233840</v>
      </c>
      <c r="AJ285" s="123">
        <f t="shared" si="67"/>
        <v>23384</v>
      </c>
      <c r="AK285" s="128"/>
      <c r="AL285" s="128"/>
      <c r="AM285" s="128"/>
      <c r="AU285" s="35"/>
    </row>
    <row r="286" spans="1:47" ht="12" customHeight="1" x14ac:dyDescent="0.2">
      <c r="A286" s="236"/>
      <c r="B286" s="245" t="s">
        <v>38</v>
      </c>
      <c r="C286" s="291"/>
      <c r="D286" s="248"/>
      <c r="E286" s="248"/>
      <c r="F286" s="19" t="s">
        <v>1132</v>
      </c>
      <c r="G286" s="316" t="s">
        <v>1054</v>
      </c>
      <c r="H286" s="186" t="s">
        <v>14</v>
      </c>
      <c r="I286" s="246">
        <v>2007</v>
      </c>
      <c r="J286" s="248">
        <v>27195</v>
      </c>
      <c r="K286" s="121">
        <f t="shared" ref="K286:K357" si="71">IF(Z286&gt;0,Z286,"")</f>
        <v>16.170000000000002</v>
      </c>
      <c r="L286" s="121">
        <f t="shared" si="63"/>
        <v>10.9</v>
      </c>
      <c r="M286" s="333" t="s">
        <v>1042</v>
      </c>
      <c r="N286" s="247" t="s">
        <v>15</v>
      </c>
      <c r="O286" s="247" t="s">
        <v>19</v>
      </c>
      <c r="P286" s="237" t="s">
        <v>244</v>
      </c>
      <c r="Q286" s="19" t="s">
        <v>1003</v>
      </c>
      <c r="R286" s="37" t="s">
        <v>1121</v>
      </c>
      <c r="S286" s="36"/>
      <c r="T286" s="23"/>
      <c r="U286" s="128"/>
      <c r="V286" s="128"/>
      <c r="W286" s="127"/>
      <c r="X286" s="121">
        <v>16.170000000000002</v>
      </c>
      <c r="Y286" s="121"/>
      <c r="Z286" s="122">
        <f t="shared" si="69"/>
        <v>16.170000000000002</v>
      </c>
      <c r="AA286" s="123">
        <f t="shared" si="64"/>
        <v>439743.15</v>
      </c>
      <c r="AB286" s="123">
        <f t="shared" si="65"/>
        <v>27195</v>
      </c>
      <c r="AC286" s="127"/>
      <c r="AD286" s="161"/>
      <c r="AE286" s="161"/>
      <c r="AF286" s="161">
        <v>10.9</v>
      </c>
      <c r="AG286" s="42"/>
      <c r="AH286" s="161">
        <f t="shared" si="70"/>
        <v>10.9</v>
      </c>
      <c r="AI286" s="123">
        <f t="shared" si="66"/>
        <v>296425.5</v>
      </c>
      <c r="AJ286" s="123">
        <f t="shared" si="67"/>
        <v>27195</v>
      </c>
      <c r="AK286" s="128"/>
      <c r="AL286" s="128"/>
      <c r="AM286" s="128"/>
      <c r="AU286" s="35"/>
    </row>
    <row r="287" spans="1:47" ht="12" customHeight="1" x14ac:dyDescent="0.2">
      <c r="A287" s="236"/>
      <c r="B287" s="184" t="s">
        <v>269</v>
      </c>
      <c r="C287" s="42"/>
      <c r="D287" s="97"/>
      <c r="E287" s="97"/>
      <c r="F287" s="237" t="s">
        <v>1125</v>
      </c>
      <c r="G287" s="315" t="s">
        <v>269</v>
      </c>
      <c r="H287" s="97" t="s">
        <v>513</v>
      </c>
      <c r="I287" s="166">
        <v>2002</v>
      </c>
      <c r="J287" s="97">
        <v>288</v>
      </c>
      <c r="K287" s="121" t="str">
        <f t="shared" si="71"/>
        <v/>
      </c>
      <c r="L287" s="121">
        <f t="shared" ref="L287:L357" si="72">IF(AH287&gt;0,AH287,"")</f>
        <v>24.8</v>
      </c>
      <c r="M287" s="330" t="s">
        <v>1091</v>
      </c>
      <c r="N287" s="237" t="s">
        <v>17</v>
      </c>
      <c r="O287" s="237" t="s">
        <v>21</v>
      </c>
      <c r="P287" s="237" t="s">
        <v>248</v>
      </c>
      <c r="Q287" s="237" t="s">
        <v>270</v>
      </c>
      <c r="R287" s="37" t="s">
        <v>725</v>
      </c>
      <c r="S287" s="36"/>
      <c r="T287" s="23"/>
      <c r="U287" s="124" t="s">
        <v>1070</v>
      </c>
      <c r="V287" s="35"/>
      <c r="W287" s="154"/>
      <c r="X287" s="121"/>
      <c r="Y287" s="121"/>
      <c r="Z287" s="122"/>
      <c r="AA287" s="123" t="str">
        <f t="shared" si="64"/>
        <v xml:space="preserve"> </v>
      </c>
      <c r="AB287" s="123" t="str">
        <f t="shared" si="65"/>
        <v xml:space="preserve"> </v>
      </c>
      <c r="AC287" s="120"/>
      <c r="AD287" s="39"/>
      <c r="AE287" s="39"/>
      <c r="AF287" s="39">
        <f>24.8</f>
        <v>24.8</v>
      </c>
      <c r="AG287" s="39"/>
      <c r="AH287" s="39">
        <f t="shared" si="70"/>
        <v>24.8</v>
      </c>
      <c r="AI287" s="123">
        <f t="shared" si="66"/>
        <v>7142.4000000000005</v>
      </c>
      <c r="AJ287" s="123">
        <f t="shared" si="67"/>
        <v>288</v>
      </c>
      <c r="AK287" s="35"/>
      <c r="AL287" s="35"/>
      <c r="AM287" s="35"/>
      <c r="AN287" t="s">
        <v>771</v>
      </c>
      <c r="AU287" s="35"/>
    </row>
    <row r="288" spans="1:47" ht="12" customHeight="1" x14ac:dyDescent="0.2">
      <c r="A288" s="236"/>
      <c r="B288" s="184" t="s">
        <v>269</v>
      </c>
      <c r="C288" s="291"/>
      <c r="D288" s="248"/>
      <c r="E288" s="248"/>
      <c r="F288" s="237" t="s">
        <v>1125</v>
      </c>
      <c r="G288" s="315" t="s">
        <v>269</v>
      </c>
      <c r="H288" s="97" t="s">
        <v>14</v>
      </c>
      <c r="I288" s="166" t="s">
        <v>510</v>
      </c>
      <c r="J288" s="248">
        <v>13137</v>
      </c>
      <c r="K288" s="121">
        <f t="shared" si="71"/>
        <v>38.1</v>
      </c>
      <c r="L288" s="121">
        <f t="shared" si="72"/>
        <v>29.1</v>
      </c>
      <c r="M288" s="334" t="s">
        <v>954</v>
      </c>
      <c r="N288" s="237" t="s">
        <v>15</v>
      </c>
      <c r="O288" s="98" t="s">
        <v>19</v>
      </c>
      <c r="P288" s="237" t="s">
        <v>244</v>
      </c>
      <c r="Q288" s="237" t="s">
        <v>922</v>
      </c>
      <c r="R288" s="37"/>
      <c r="S288" s="36"/>
      <c r="T288" s="23" t="s">
        <v>923</v>
      </c>
      <c r="U288" s="124"/>
      <c r="V288" s="35"/>
      <c r="W288" s="154"/>
      <c r="X288" s="121">
        <v>38.1</v>
      </c>
      <c r="Y288" s="121"/>
      <c r="Z288" s="122">
        <f>X288</f>
        <v>38.1</v>
      </c>
      <c r="AA288" s="123">
        <f>IF(Z288&gt;0,$J288*Z288," ")</f>
        <v>500519.7</v>
      </c>
      <c r="AB288" s="123">
        <f>IF(Z288&gt;0,$J288," ")</f>
        <v>13137</v>
      </c>
      <c r="AC288" s="120"/>
      <c r="AD288" s="39"/>
      <c r="AE288" s="39"/>
      <c r="AF288" s="39">
        <v>29.1</v>
      </c>
      <c r="AG288" s="39"/>
      <c r="AH288" s="39">
        <f t="shared" si="70"/>
        <v>29.1</v>
      </c>
      <c r="AI288" s="123">
        <f>IF(AH288&gt;0,$J288*AH288," ")</f>
        <v>382286.7</v>
      </c>
      <c r="AJ288" s="123">
        <f>IF(AH288&gt;0,$J288," ")</f>
        <v>13137</v>
      </c>
      <c r="AK288" s="35"/>
      <c r="AL288" s="35"/>
      <c r="AM288" s="35"/>
      <c r="AU288" s="35"/>
    </row>
    <row r="289" spans="1:47" ht="12" customHeight="1" x14ac:dyDescent="0.2">
      <c r="A289" s="236"/>
      <c r="B289" s="184" t="s">
        <v>145</v>
      </c>
      <c r="C289" s="121"/>
      <c r="D289" s="167"/>
      <c r="E289" s="167"/>
      <c r="F289" s="169" t="s">
        <v>1132</v>
      </c>
      <c r="G289" s="315" t="s">
        <v>145</v>
      </c>
      <c r="H289" s="97" t="s">
        <v>522</v>
      </c>
      <c r="I289" s="166">
        <v>1992</v>
      </c>
      <c r="J289" s="167">
        <v>200</v>
      </c>
      <c r="K289" s="121">
        <f t="shared" si="71"/>
        <v>60</v>
      </c>
      <c r="L289" s="121" t="str">
        <f t="shared" si="72"/>
        <v/>
      </c>
      <c r="M289" s="332" t="s">
        <v>1041</v>
      </c>
      <c r="N289" s="98" t="s">
        <v>17</v>
      </c>
      <c r="O289" s="98"/>
      <c r="P289" s="168"/>
      <c r="Q289" s="169" t="s">
        <v>523</v>
      </c>
      <c r="R289" s="37"/>
      <c r="S289" s="36"/>
      <c r="T289" s="23"/>
      <c r="U289" s="35"/>
      <c r="V289" s="24"/>
      <c r="W289" s="154"/>
      <c r="X289" s="121"/>
      <c r="Y289" s="121"/>
      <c r="Z289" s="122">
        <v>60</v>
      </c>
      <c r="AA289" s="123">
        <f t="shared" si="64"/>
        <v>12000</v>
      </c>
      <c r="AB289" s="123">
        <f t="shared" si="65"/>
        <v>200</v>
      </c>
      <c r="AC289" s="120"/>
      <c r="AD289" s="39"/>
      <c r="AE289" s="39"/>
      <c r="AF289" s="39"/>
      <c r="AG289" s="39"/>
      <c r="AH289" s="39"/>
      <c r="AI289" s="123" t="str">
        <f t="shared" si="66"/>
        <v xml:space="preserve"> </v>
      </c>
      <c r="AJ289" s="123" t="str">
        <f t="shared" si="67"/>
        <v xml:space="preserve"> </v>
      </c>
      <c r="AK289" s="35"/>
      <c r="AL289" s="35"/>
      <c r="AM289" s="35"/>
      <c r="AU289" s="128"/>
    </row>
    <row r="290" spans="1:47" ht="12" customHeight="1" x14ac:dyDescent="0.2">
      <c r="A290" s="236"/>
      <c r="B290" s="184" t="s">
        <v>145</v>
      </c>
      <c r="C290" s="121"/>
      <c r="D290" s="167"/>
      <c r="E290" s="167"/>
      <c r="F290" s="169" t="s">
        <v>1132</v>
      </c>
      <c r="G290" s="315" t="s">
        <v>145</v>
      </c>
      <c r="H290" s="97" t="s">
        <v>14</v>
      </c>
      <c r="I290" s="166">
        <v>1995</v>
      </c>
      <c r="J290" s="167">
        <v>11657</v>
      </c>
      <c r="K290" s="121" t="str">
        <f t="shared" si="71"/>
        <v/>
      </c>
      <c r="L290" s="121">
        <f t="shared" si="72"/>
        <v>12</v>
      </c>
      <c r="M290" s="332" t="s">
        <v>1041</v>
      </c>
      <c r="N290" s="98" t="s">
        <v>18</v>
      </c>
      <c r="O290" s="98" t="s">
        <v>19</v>
      </c>
      <c r="P290" s="168" t="s">
        <v>248</v>
      </c>
      <c r="Q290" s="169" t="s">
        <v>523</v>
      </c>
      <c r="R290" s="37"/>
      <c r="S290" s="36"/>
      <c r="T290" s="23"/>
      <c r="U290" s="35"/>
      <c r="V290" s="24"/>
      <c r="W290" s="154"/>
      <c r="X290" s="121"/>
      <c r="Y290" s="121"/>
      <c r="Z290" s="122"/>
      <c r="AA290" s="123" t="str">
        <f t="shared" si="64"/>
        <v xml:space="preserve"> </v>
      </c>
      <c r="AB290" s="123" t="str">
        <f t="shared" si="65"/>
        <v xml:space="preserve"> </v>
      </c>
      <c r="AC290" s="120"/>
      <c r="AD290" s="39">
        <v>12</v>
      </c>
      <c r="AE290" s="39"/>
      <c r="AF290" s="39"/>
      <c r="AG290" s="39"/>
      <c r="AH290" s="39">
        <v>12</v>
      </c>
      <c r="AI290" s="123">
        <f t="shared" si="66"/>
        <v>139884</v>
      </c>
      <c r="AJ290" s="123">
        <f t="shared" si="67"/>
        <v>11657</v>
      </c>
      <c r="AK290" s="35"/>
      <c r="AL290" s="35"/>
      <c r="AM290" s="35"/>
      <c r="AU290" s="35"/>
    </row>
    <row r="291" spans="1:47" ht="12" customHeight="1" x14ac:dyDescent="0.2">
      <c r="A291" s="236"/>
      <c r="B291" s="184" t="s">
        <v>145</v>
      </c>
      <c r="C291" s="121"/>
      <c r="D291" s="167"/>
      <c r="E291" s="167"/>
      <c r="F291" s="169" t="s">
        <v>1132</v>
      </c>
      <c r="G291" s="315" t="s">
        <v>145</v>
      </c>
      <c r="H291" s="97"/>
      <c r="I291" s="166">
        <v>2004</v>
      </c>
      <c r="J291" s="167">
        <f>J289</f>
        <v>200</v>
      </c>
      <c r="K291" s="121">
        <f t="shared" si="71"/>
        <v>31</v>
      </c>
      <c r="L291" s="121">
        <f t="shared" si="72"/>
        <v>10</v>
      </c>
      <c r="M291" s="2" t="s">
        <v>1065</v>
      </c>
      <c r="N291" s="98"/>
      <c r="O291" s="98"/>
      <c r="P291" s="168" t="s">
        <v>1123</v>
      </c>
      <c r="Q291" s="169" t="s">
        <v>770</v>
      </c>
      <c r="R291" s="336" t="s">
        <v>772</v>
      </c>
      <c r="S291" s="36"/>
      <c r="T291" s="23"/>
      <c r="U291" s="348" t="s">
        <v>1066</v>
      </c>
      <c r="V291" s="24"/>
      <c r="W291" s="154"/>
      <c r="X291" s="121">
        <v>31</v>
      </c>
      <c r="Y291" s="121"/>
      <c r="Z291" s="122">
        <f>X291</f>
        <v>31</v>
      </c>
      <c r="AA291" s="123">
        <f t="shared" si="64"/>
        <v>6200</v>
      </c>
      <c r="AB291" s="123">
        <f t="shared" si="65"/>
        <v>200</v>
      </c>
      <c r="AC291" s="120"/>
      <c r="AD291" s="39"/>
      <c r="AE291" s="39"/>
      <c r="AF291" s="39">
        <v>10</v>
      </c>
      <c r="AG291" s="39"/>
      <c r="AH291" s="39">
        <f>AF291</f>
        <v>10</v>
      </c>
      <c r="AI291" s="123">
        <f t="shared" si="66"/>
        <v>2000</v>
      </c>
      <c r="AJ291" s="123">
        <f t="shared" si="67"/>
        <v>200</v>
      </c>
      <c r="AK291" s="35"/>
      <c r="AL291" s="35"/>
      <c r="AM291" s="35"/>
      <c r="AU291" s="35"/>
    </row>
    <row r="292" spans="1:47" ht="12" customHeight="1" x14ac:dyDescent="0.2">
      <c r="A292" s="236"/>
      <c r="B292" s="184" t="s">
        <v>109</v>
      </c>
      <c r="C292" s="121"/>
      <c r="D292" s="167"/>
      <c r="E292" s="167"/>
      <c r="F292" s="169" t="s">
        <v>1131</v>
      </c>
      <c r="G292" s="315" t="s">
        <v>109</v>
      </c>
      <c r="H292" s="97" t="s">
        <v>266</v>
      </c>
      <c r="I292" s="166">
        <v>2004</v>
      </c>
      <c r="J292" s="167">
        <v>631</v>
      </c>
      <c r="K292" s="121">
        <f t="shared" si="71"/>
        <v>11</v>
      </c>
      <c r="L292" s="121">
        <f t="shared" si="72"/>
        <v>10.5</v>
      </c>
      <c r="M292" s="332" t="s">
        <v>1041</v>
      </c>
      <c r="N292" s="98" t="s">
        <v>78</v>
      </c>
      <c r="O292" s="98" t="s">
        <v>19</v>
      </c>
      <c r="P292" s="168" t="s">
        <v>245</v>
      </c>
      <c r="Q292" s="169" t="s">
        <v>523</v>
      </c>
      <c r="R292" s="37"/>
      <c r="S292" s="36"/>
      <c r="T292" s="23"/>
      <c r="U292" s="35"/>
      <c r="V292" s="24"/>
      <c r="W292" s="154"/>
      <c r="X292" s="121"/>
      <c r="Y292" s="121"/>
      <c r="Z292" s="122">
        <v>11</v>
      </c>
      <c r="AA292" s="123">
        <f t="shared" si="64"/>
        <v>6941</v>
      </c>
      <c r="AB292" s="123">
        <f t="shared" si="65"/>
        <v>631</v>
      </c>
      <c r="AC292" s="120"/>
      <c r="AD292" s="39">
        <v>10.5</v>
      </c>
      <c r="AE292" s="39"/>
      <c r="AF292" s="39"/>
      <c r="AG292" s="39"/>
      <c r="AH292" s="39">
        <v>10.5</v>
      </c>
      <c r="AI292" s="123">
        <f t="shared" si="66"/>
        <v>6625.5</v>
      </c>
      <c r="AJ292" s="123">
        <f t="shared" si="67"/>
        <v>631</v>
      </c>
      <c r="AK292" s="35"/>
      <c r="AL292" s="35"/>
      <c r="AM292" s="35"/>
      <c r="AU292" s="35"/>
    </row>
    <row r="293" spans="1:47" ht="12" customHeight="1" x14ac:dyDescent="0.2">
      <c r="A293" s="236"/>
      <c r="B293" s="245" t="s">
        <v>109</v>
      </c>
      <c r="C293" s="121"/>
      <c r="D293" s="167"/>
      <c r="E293" s="167"/>
      <c r="F293" s="169" t="s">
        <v>1131</v>
      </c>
      <c r="G293" s="316" t="s">
        <v>109</v>
      </c>
      <c r="H293" s="97"/>
      <c r="I293" s="246">
        <v>2006</v>
      </c>
      <c r="J293" s="167">
        <v>6566</v>
      </c>
      <c r="K293" s="121">
        <f t="shared" si="71"/>
        <v>34.299999999999997</v>
      </c>
      <c r="L293" s="121" t="str">
        <f t="shared" si="72"/>
        <v/>
      </c>
      <c r="M293" s="333" t="s">
        <v>1044</v>
      </c>
      <c r="N293" s="98"/>
      <c r="O293" s="98"/>
      <c r="P293" s="168"/>
      <c r="Q293" s="169" t="s">
        <v>957</v>
      </c>
      <c r="R293" s="37"/>
      <c r="S293" s="36"/>
      <c r="T293" s="23"/>
      <c r="U293" s="35"/>
      <c r="V293" s="24"/>
      <c r="W293" s="154"/>
      <c r="X293" s="121">
        <v>34.299999999999997</v>
      </c>
      <c r="Y293" s="121"/>
      <c r="Z293" s="122">
        <f>X293</f>
        <v>34.299999999999997</v>
      </c>
      <c r="AA293" s="123">
        <f>IF(Z293&gt;0,$J293*Z293," ")</f>
        <v>225213.8</v>
      </c>
      <c r="AB293" s="123">
        <f>IF(Z293&gt;0,$J293," ")</f>
        <v>6566</v>
      </c>
      <c r="AC293" s="120"/>
      <c r="AD293" s="39"/>
      <c r="AE293" s="39"/>
      <c r="AF293" s="39"/>
      <c r="AG293" s="39"/>
      <c r="AH293" s="39"/>
      <c r="AI293" s="123"/>
      <c r="AJ293" s="123"/>
      <c r="AK293" s="35"/>
      <c r="AL293" s="35"/>
      <c r="AM293" s="35"/>
      <c r="AU293" s="35"/>
    </row>
    <row r="294" spans="1:47" ht="12" customHeight="1" x14ac:dyDescent="0.2">
      <c r="A294" s="236"/>
      <c r="B294" s="245" t="s">
        <v>109</v>
      </c>
      <c r="C294" s="291"/>
      <c r="D294" s="248"/>
      <c r="E294" s="248"/>
      <c r="F294" s="19" t="s">
        <v>1131</v>
      </c>
      <c r="G294" s="316" t="s">
        <v>109</v>
      </c>
      <c r="H294" s="186" t="s">
        <v>14</v>
      </c>
      <c r="I294" s="246">
        <v>2005</v>
      </c>
      <c r="J294" s="248">
        <v>19474</v>
      </c>
      <c r="K294" s="121">
        <f t="shared" si="71"/>
        <v>32.700000000000003</v>
      </c>
      <c r="L294" s="121">
        <f t="shared" si="72"/>
        <v>18.2</v>
      </c>
      <c r="M294" s="333" t="s">
        <v>1042</v>
      </c>
      <c r="N294" s="247" t="s">
        <v>15</v>
      </c>
      <c r="O294" s="247" t="s">
        <v>19</v>
      </c>
      <c r="P294" s="237" t="s">
        <v>244</v>
      </c>
      <c r="Q294" s="19" t="s">
        <v>1003</v>
      </c>
      <c r="R294" s="37" t="s">
        <v>1121</v>
      </c>
      <c r="S294" s="36"/>
      <c r="T294" s="23"/>
      <c r="U294" s="128"/>
      <c r="V294" s="128"/>
      <c r="W294" s="127"/>
      <c r="X294" s="121">
        <v>32.700000000000003</v>
      </c>
      <c r="Y294" s="121"/>
      <c r="Z294" s="122">
        <f>X294</f>
        <v>32.700000000000003</v>
      </c>
      <c r="AA294" s="123">
        <f t="shared" si="64"/>
        <v>636799.80000000005</v>
      </c>
      <c r="AB294" s="123">
        <f t="shared" si="65"/>
        <v>19474</v>
      </c>
      <c r="AC294" s="127"/>
      <c r="AD294" s="161"/>
      <c r="AE294" s="161"/>
      <c r="AF294" s="161">
        <v>18.2</v>
      </c>
      <c r="AG294" s="42"/>
      <c r="AH294" s="161">
        <f>AF294</f>
        <v>18.2</v>
      </c>
      <c r="AI294" s="123">
        <f t="shared" si="66"/>
        <v>354426.8</v>
      </c>
      <c r="AJ294" s="123">
        <f t="shared" si="67"/>
        <v>19474</v>
      </c>
      <c r="AK294" s="128"/>
      <c r="AL294" s="128"/>
      <c r="AM294" s="128"/>
      <c r="AU294" s="35"/>
    </row>
    <row r="295" spans="1:47" ht="12" customHeight="1" x14ac:dyDescent="0.2">
      <c r="A295" s="236"/>
      <c r="B295" s="245" t="s">
        <v>109</v>
      </c>
      <c r="C295" s="291"/>
      <c r="D295" s="248"/>
      <c r="E295" s="248"/>
      <c r="F295" s="19" t="s">
        <v>1131</v>
      </c>
      <c r="G295" s="316" t="s">
        <v>109</v>
      </c>
      <c r="H295" s="186" t="s">
        <v>14</v>
      </c>
      <c r="I295" s="246" t="s">
        <v>26</v>
      </c>
      <c r="J295" s="248">
        <v>14779</v>
      </c>
      <c r="K295" s="121">
        <f t="shared" si="71"/>
        <v>12.9</v>
      </c>
      <c r="L295" s="121" t="str">
        <f t="shared" si="72"/>
        <v/>
      </c>
      <c r="M295" s="333" t="s">
        <v>1042</v>
      </c>
      <c r="N295" s="247" t="s">
        <v>15</v>
      </c>
      <c r="O295" s="247" t="s">
        <v>19</v>
      </c>
      <c r="P295" s="237" t="s">
        <v>244</v>
      </c>
      <c r="Q295" s="19" t="s">
        <v>1003</v>
      </c>
      <c r="R295" s="37"/>
      <c r="S295" s="36"/>
      <c r="T295" s="23"/>
      <c r="U295" s="128"/>
      <c r="V295" s="128"/>
      <c r="W295" s="127"/>
      <c r="X295" s="121">
        <v>12.9</v>
      </c>
      <c r="Y295" s="121"/>
      <c r="Z295" s="122">
        <f>X295</f>
        <v>12.9</v>
      </c>
      <c r="AA295" s="123">
        <f t="shared" si="64"/>
        <v>190649.1</v>
      </c>
      <c r="AB295" s="123">
        <f t="shared" si="65"/>
        <v>14779</v>
      </c>
      <c r="AC295" s="127"/>
      <c r="AD295" s="161"/>
      <c r="AE295" s="161"/>
      <c r="AF295" s="161"/>
      <c r="AG295" s="42"/>
      <c r="AH295" s="161"/>
      <c r="AI295" s="123" t="str">
        <f t="shared" si="66"/>
        <v xml:space="preserve"> </v>
      </c>
      <c r="AJ295" s="123" t="str">
        <f t="shared" si="67"/>
        <v xml:space="preserve"> </v>
      </c>
      <c r="AK295" s="128"/>
      <c r="AL295" s="128"/>
      <c r="AM295" s="128"/>
      <c r="AU295" s="128"/>
    </row>
    <row r="296" spans="1:47" ht="12" customHeight="1" x14ac:dyDescent="0.2">
      <c r="A296" s="236"/>
      <c r="B296" s="245" t="s">
        <v>109</v>
      </c>
      <c r="C296" s="291"/>
      <c r="D296" s="248"/>
      <c r="E296" s="248"/>
      <c r="F296" s="278" t="s">
        <v>1131</v>
      </c>
      <c r="G296" s="316" t="s">
        <v>109</v>
      </c>
      <c r="H296" s="186" t="s">
        <v>14</v>
      </c>
      <c r="I296" s="246" t="s">
        <v>235</v>
      </c>
      <c r="J296" s="248">
        <v>2556</v>
      </c>
      <c r="K296" s="121">
        <f t="shared" si="71"/>
        <v>20.3</v>
      </c>
      <c r="L296" s="121" t="str">
        <f t="shared" si="72"/>
        <v/>
      </c>
      <c r="M296" s="333" t="s">
        <v>692</v>
      </c>
      <c r="N296" s="247" t="s">
        <v>17</v>
      </c>
      <c r="O296" s="247" t="s">
        <v>641</v>
      </c>
      <c r="P296" s="168" t="s">
        <v>628</v>
      </c>
      <c r="Q296" s="278" t="s">
        <v>961</v>
      </c>
      <c r="R296" s="37"/>
      <c r="S296" s="36"/>
      <c r="T296" s="23"/>
      <c r="U296" s="35"/>
      <c r="V296" s="24"/>
      <c r="W296" s="154"/>
      <c r="X296" s="121">
        <v>20.3</v>
      </c>
      <c r="Y296" s="121"/>
      <c r="Z296" s="122">
        <f>X296</f>
        <v>20.3</v>
      </c>
      <c r="AA296" s="123">
        <f t="shared" si="64"/>
        <v>51886.8</v>
      </c>
      <c r="AB296" s="123">
        <f t="shared" si="65"/>
        <v>2556</v>
      </c>
      <c r="AC296" s="120"/>
      <c r="AD296" s="39"/>
      <c r="AE296" s="39"/>
      <c r="AF296" s="39"/>
      <c r="AG296" s="39"/>
      <c r="AH296" s="161"/>
      <c r="AI296" s="123" t="str">
        <f t="shared" si="66"/>
        <v xml:space="preserve"> </v>
      </c>
      <c r="AJ296" s="123" t="str">
        <f t="shared" si="67"/>
        <v xml:space="preserve"> </v>
      </c>
      <c r="AK296" s="35"/>
      <c r="AL296" s="35"/>
      <c r="AM296" s="35"/>
      <c r="AU296" s="35"/>
    </row>
    <row r="297" spans="1:47" ht="12" customHeight="1" x14ac:dyDescent="0.2">
      <c r="A297" s="236"/>
      <c r="B297" s="184" t="s">
        <v>39</v>
      </c>
      <c r="C297" s="121"/>
      <c r="D297" s="167"/>
      <c r="E297" s="167"/>
      <c r="F297" s="169" t="s">
        <v>1132</v>
      </c>
      <c r="G297" s="315" t="s">
        <v>39</v>
      </c>
      <c r="H297" s="97" t="s">
        <v>14</v>
      </c>
      <c r="I297" s="166">
        <v>2002</v>
      </c>
      <c r="J297" s="167">
        <v>10689</v>
      </c>
      <c r="K297" s="121">
        <f t="shared" si="71"/>
        <v>20</v>
      </c>
      <c r="L297" s="121">
        <f t="shared" si="72"/>
        <v>6</v>
      </c>
      <c r="M297" s="332" t="s">
        <v>1041</v>
      </c>
      <c r="N297" s="98" t="s">
        <v>15</v>
      </c>
      <c r="O297" s="98" t="s">
        <v>19</v>
      </c>
      <c r="P297" s="168" t="s">
        <v>248</v>
      </c>
      <c r="Q297" s="169" t="s">
        <v>523</v>
      </c>
      <c r="R297" s="37"/>
      <c r="S297" s="36"/>
      <c r="T297" s="23"/>
      <c r="U297" s="35"/>
      <c r="V297" s="24"/>
      <c r="W297" s="154"/>
      <c r="X297" s="121"/>
      <c r="Y297" s="121"/>
      <c r="Z297" s="122">
        <v>20</v>
      </c>
      <c r="AA297" s="123">
        <f t="shared" si="64"/>
        <v>213780</v>
      </c>
      <c r="AB297" s="123">
        <f t="shared" si="65"/>
        <v>10689</v>
      </c>
      <c r="AC297" s="120"/>
      <c r="AD297" s="39">
        <v>6</v>
      </c>
      <c r="AE297" s="39"/>
      <c r="AF297" s="39"/>
      <c r="AG297" s="39"/>
      <c r="AH297" s="39">
        <v>6</v>
      </c>
      <c r="AI297" s="123">
        <f t="shared" si="66"/>
        <v>64134</v>
      </c>
      <c r="AJ297" s="123">
        <f t="shared" si="67"/>
        <v>10689</v>
      </c>
      <c r="AK297" s="35"/>
      <c r="AL297" s="35"/>
      <c r="AM297" s="35"/>
      <c r="AU297" s="35"/>
    </row>
    <row r="298" spans="1:47" ht="12" customHeight="1" x14ac:dyDescent="0.2">
      <c r="A298" s="236"/>
      <c r="B298" s="184" t="s">
        <v>39</v>
      </c>
      <c r="C298" s="121"/>
      <c r="D298" s="167"/>
      <c r="E298" s="167"/>
      <c r="F298" s="169" t="s">
        <v>1132</v>
      </c>
      <c r="G298" s="315" t="s">
        <v>39</v>
      </c>
      <c r="H298" s="97" t="s">
        <v>14</v>
      </c>
      <c r="I298" s="166">
        <v>2008</v>
      </c>
      <c r="J298" s="167">
        <v>999999999</v>
      </c>
      <c r="K298" s="121">
        <f>IF(Z298&gt;0,Z298,"")</f>
        <v>24.2</v>
      </c>
      <c r="L298" s="121">
        <f>IF(AH298&gt;0,AH298,"")</f>
        <v>6.8</v>
      </c>
      <c r="M298" s="326"/>
      <c r="N298" s="98"/>
      <c r="O298" s="98"/>
      <c r="P298" s="168" t="s">
        <v>1123</v>
      </c>
      <c r="Q298" s="169"/>
      <c r="R298" s="37" t="s">
        <v>1121</v>
      </c>
      <c r="S298" s="36"/>
      <c r="T298" s="23"/>
      <c r="U298" s="35"/>
      <c r="V298" s="24"/>
      <c r="W298" s="154"/>
      <c r="X298" s="121">
        <v>24.2</v>
      </c>
      <c r="Y298" s="121"/>
      <c r="Z298" s="122">
        <f>X298</f>
        <v>24.2</v>
      </c>
      <c r="AA298" s="123"/>
      <c r="AB298" s="123"/>
      <c r="AC298" s="120"/>
      <c r="AD298" s="39"/>
      <c r="AE298" s="39"/>
      <c r="AF298" s="39">
        <v>6.8</v>
      </c>
      <c r="AG298" s="39"/>
      <c r="AH298" s="39">
        <f>AF298</f>
        <v>6.8</v>
      </c>
      <c r="AI298" s="123"/>
      <c r="AJ298" s="123"/>
      <c r="AK298" s="35"/>
      <c r="AL298" s="35"/>
      <c r="AM298" s="35"/>
      <c r="AU298" s="35"/>
    </row>
    <row r="299" spans="1:47" ht="12" customHeight="1" x14ac:dyDescent="0.2">
      <c r="A299" s="236"/>
      <c r="B299" s="184" t="s">
        <v>379</v>
      </c>
      <c r="C299" s="121"/>
      <c r="D299" s="167"/>
      <c r="E299" s="167"/>
      <c r="F299" s="169" t="s">
        <v>1131</v>
      </c>
      <c r="G299" s="315" t="s">
        <v>379</v>
      </c>
      <c r="H299" s="97" t="s">
        <v>906</v>
      </c>
      <c r="I299" s="166">
        <v>2001</v>
      </c>
      <c r="J299" s="167">
        <v>999999999</v>
      </c>
      <c r="K299" s="121">
        <f>IF(Z299&gt;0,Z299,"")</f>
        <v>40</v>
      </c>
      <c r="L299" s="121"/>
      <c r="M299" s="124" t="s">
        <v>1082</v>
      </c>
      <c r="N299" s="98"/>
      <c r="O299" s="98"/>
      <c r="P299" s="168"/>
      <c r="Q299" s="169"/>
      <c r="R299" s="131" t="s">
        <v>1081</v>
      </c>
      <c r="S299" s="310">
        <v>40994</v>
      </c>
      <c r="T299" s="36" t="s">
        <v>1083</v>
      </c>
      <c r="U299" s="126" t="s">
        <v>1080</v>
      </c>
      <c r="V299" s="24"/>
      <c r="W299" s="154"/>
      <c r="X299" s="121">
        <v>40</v>
      </c>
      <c r="Y299" s="121"/>
      <c r="Z299" s="122">
        <f>X299</f>
        <v>40</v>
      </c>
      <c r="AA299" s="123">
        <f>IF(Z299&gt;0,$J299*Z299," ")</f>
        <v>39999999960</v>
      </c>
      <c r="AB299" s="123">
        <f>IF(Z299&gt;0,$J299," ")</f>
        <v>999999999</v>
      </c>
      <c r="AC299" s="120"/>
      <c r="AD299" s="39"/>
      <c r="AE299" s="39"/>
      <c r="AF299" s="39"/>
      <c r="AG299" s="39"/>
      <c r="AH299" s="39"/>
      <c r="AI299" s="123"/>
      <c r="AJ299" s="123"/>
      <c r="AK299" s="35"/>
      <c r="AL299" s="35"/>
      <c r="AM299" s="35"/>
      <c r="AU299" s="35"/>
    </row>
    <row r="300" spans="1:47" ht="12" customHeight="1" x14ac:dyDescent="0.2">
      <c r="A300" s="236"/>
      <c r="B300" s="184" t="s">
        <v>379</v>
      </c>
      <c r="C300" s="121"/>
      <c r="D300" s="167"/>
      <c r="E300" s="167"/>
      <c r="F300" s="169" t="s">
        <v>1131</v>
      </c>
      <c r="G300" s="315" t="s">
        <v>379</v>
      </c>
      <c r="H300" s="97" t="s">
        <v>878</v>
      </c>
      <c r="I300" s="166">
        <v>2001</v>
      </c>
      <c r="J300" s="167">
        <v>999999999</v>
      </c>
      <c r="K300" s="121">
        <f t="shared" si="71"/>
        <v>65</v>
      </c>
      <c r="L300" s="121"/>
      <c r="M300" s="334" t="s">
        <v>887</v>
      </c>
      <c r="N300" s="98"/>
      <c r="O300" s="98"/>
      <c r="P300" s="168"/>
      <c r="Q300" s="169" t="s">
        <v>877</v>
      </c>
      <c r="R300" s="37"/>
      <c r="S300" s="36"/>
      <c r="T300" s="23"/>
      <c r="U300" s="35"/>
      <c r="V300" s="24"/>
      <c r="W300" s="154"/>
      <c r="X300" s="121"/>
      <c r="Y300" s="121"/>
      <c r="Z300" s="122">
        <v>65</v>
      </c>
      <c r="AA300" s="123">
        <f>IF(Z300&gt;0,$J300*Z300," ")</f>
        <v>64999999935</v>
      </c>
      <c r="AB300" s="123">
        <f>IF(Z300&gt;0,$J300," ")</f>
        <v>999999999</v>
      </c>
      <c r="AC300" s="120"/>
      <c r="AD300" s="39"/>
      <c r="AE300" s="39"/>
      <c r="AF300" s="39"/>
      <c r="AG300" s="39"/>
      <c r="AH300" s="39"/>
      <c r="AI300" s="123"/>
      <c r="AJ300" s="123"/>
      <c r="AK300" s="35"/>
      <c r="AL300" s="35"/>
      <c r="AM300" s="35"/>
      <c r="AU300" s="35"/>
    </row>
    <row r="301" spans="1:47" ht="12" customHeight="1" x14ac:dyDescent="0.2">
      <c r="A301" s="236"/>
      <c r="B301" s="184" t="s">
        <v>2</v>
      </c>
      <c r="C301" s="121"/>
      <c r="D301" s="167"/>
      <c r="E301" s="167"/>
      <c r="F301" s="237" t="s">
        <v>1131</v>
      </c>
      <c r="G301" s="315" t="s">
        <v>2</v>
      </c>
      <c r="H301" s="97" t="s">
        <v>8</v>
      </c>
      <c r="I301" s="166">
        <v>1995</v>
      </c>
      <c r="J301" s="167">
        <v>673</v>
      </c>
      <c r="K301" s="121">
        <f t="shared" si="71"/>
        <v>45</v>
      </c>
      <c r="L301" s="121">
        <f t="shared" si="72"/>
        <v>10</v>
      </c>
      <c r="M301" s="37" t="s">
        <v>1059</v>
      </c>
      <c r="N301" s="98" t="s">
        <v>18</v>
      </c>
      <c r="O301" s="98" t="s">
        <v>227</v>
      </c>
      <c r="P301" s="168"/>
      <c r="Q301" s="98" t="s">
        <v>218</v>
      </c>
      <c r="R301" s="37"/>
      <c r="S301" s="36"/>
      <c r="T301" s="23"/>
      <c r="U301" s="35"/>
      <c r="V301" s="24"/>
      <c r="W301" s="154"/>
      <c r="X301" s="121"/>
      <c r="Y301" s="121"/>
      <c r="Z301" s="122">
        <v>45</v>
      </c>
      <c r="AA301" s="123">
        <f t="shared" ref="AA301:AA377" si="73">IF(Z301&gt;0,$J301*Z301," ")</f>
        <v>30285</v>
      </c>
      <c r="AB301" s="123">
        <f t="shared" ref="AB301:AB377" si="74">IF(Z301&gt;0,$J301," ")</f>
        <v>673</v>
      </c>
      <c r="AC301" s="120"/>
      <c r="AD301" s="40">
        <v>10</v>
      </c>
      <c r="AE301" s="39"/>
      <c r="AF301" s="39"/>
      <c r="AG301" s="39"/>
      <c r="AH301" s="40">
        <v>10</v>
      </c>
      <c r="AI301" s="123">
        <f t="shared" ref="AI301:AI377" si="75">IF(AH301&gt;0,$J301*AH301," ")</f>
        <v>6730</v>
      </c>
      <c r="AJ301" s="123">
        <f t="shared" ref="AJ301:AJ377" si="76">IF(AH301&gt;0,$J301," ")</f>
        <v>673</v>
      </c>
      <c r="AK301" s="35"/>
      <c r="AL301" s="35"/>
      <c r="AM301" s="35"/>
      <c r="AU301" s="35"/>
    </row>
    <row r="302" spans="1:47" ht="12" customHeight="1" x14ac:dyDescent="0.2">
      <c r="A302" s="236"/>
      <c r="B302" s="184" t="s">
        <v>2</v>
      </c>
      <c r="C302" s="121"/>
      <c r="D302" s="167"/>
      <c r="E302" s="167"/>
      <c r="F302" s="169" t="s">
        <v>1131</v>
      </c>
      <c r="G302" s="315" t="s">
        <v>2</v>
      </c>
      <c r="H302" s="97" t="s">
        <v>8</v>
      </c>
      <c r="I302" s="166">
        <v>2002</v>
      </c>
      <c r="J302" s="167">
        <v>2261</v>
      </c>
      <c r="K302" s="121">
        <f t="shared" si="71"/>
        <v>49</v>
      </c>
      <c r="L302" s="121">
        <f t="shared" si="72"/>
        <v>29</v>
      </c>
      <c r="M302" s="332" t="s">
        <v>1041</v>
      </c>
      <c r="N302" s="98" t="s">
        <v>15</v>
      </c>
      <c r="O302" s="98" t="s">
        <v>19</v>
      </c>
      <c r="P302" s="168" t="s">
        <v>243</v>
      </c>
      <c r="Q302" s="169" t="s">
        <v>523</v>
      </c>
      <c r="R302" s="37"/>
      <c r="S302" s="36"/>
      <c r="T302" s="23"/>
      <c r="U302" s="35"/>
      <c r="V302" s="24"/>
      <c r="W302" s="154"/>
      <c r="X302" s="121"/>
      <c r="Y302" s="121"/>
      <c r="Z302" s="122">
        <v>49</v>
      </c>
      <c r="AA302" s="123">
        <f t="shared" si="73"/>
        <v>110789</v>
      </c>
      <c r="AB302" s="123">
        <f t="shared" si="74"/>
        <v>2261</v>
      </c>
      <c r="AC302" s="120"/>
      <c r="AD302" s="39">
        <v>29</v>
      </c>
      <c r="AE302" s="39"/>
      <c r="AF302" s="39"/>
      <c r="AG302" s="39"/>
      <c r="AH302" s="39">
        <v>29</v>
      </c>
      <c r="AI302" s="123">
        <f t="shared" si="75"/>
        <v>65569</v>
      </c>
      <c r="AJ302" s="123">
        <f t="shared" si="76"/>
        <v>2261</v>
      </c>
      <c r="AK302" s="35"/>
      <c r="AL302" s="35"/>
      <c r="AM302" s="35"/>
      <c r="AU302" s="35"/>
    </row>
    <row r="303" spans="1:47" ht="12" customHeight="1" x14ac:dyDescent="0.2">
      <c r="A303" s="236"/>
      <c r="B303" s="184" t="s">
        <v>2</v>
      </c>
      <c r="C303" s="121"/>
      <c r="D303" s="167"/>
      <c r="E303" s="167"/>
      <c r="F303" s="237" t="s">
        <v>1131</v>
      </c>
      <c r="G303" s="315" t="s">
        <v>2</v>
      </c>
      <c r="H303" s="97" t="s">
        <v>507</v>
      </c>
      <c r="I303" s="166">
        <v>2008</v>
      </c>
      <c r="J303" s="167"/>
      <c r="K303" s="121">
        <f t="shared" si="71"/>
        <v>52.6</v>
      </c>
      <c r="L303" s="121">
        <f t="shared" si="72"/>
        <v>30.2</v>
      </c>
      <c r="M303" s="333" t="s">
        <v>693</v>
      </c>
      <c r="N303" s="98"/>
      <c r="O303" s="98"/>
      <c r="P303" s="168"/>
      <c r="Q303" s="98" t="s">
        <v>962</v>
      </c>
      <c r="R303" s="37"/>
      <c r="S303" s="36"/>
      <c r="T303" s="23"/>
      <c r="U303" s="126" t="s">
        <v>508</v>
      </c>
      <c r="V303" s="24"/>
      <c r="W303" s="154"/>
      <c r="X303" s="121"/>
      <c r="Y303" s="121"/>
      <c r="Z303" s="122">
        <v>52.6</v>
      </c>
      <c r="AA303" s="123">
        <f t="shared" si="73"/>
        <v>0</v>
      </c>
      <c r="AB303" s="123">
        <f t="shared" si="74"/>
        <v>0</v>
      </c>
      <c r="AC303" s="120"/>
      <c r="AD303" s="39"/>
      <c r="AE303" s="39"/>
      <c r="AF303" s="39"/>
      <c r="AG303" s="39"/>
      <c r="AH303" s="39">
        <v>30.2</v>
      </c>
      <c r="AI303" s="123">
        <f t="shared" si="75"/>
        <v>0</v>
      </c>
      <c r="AJ303" s="123">
        <f t="shared" si="76"/>
        <v>0</v>
      </c>
      <c r="AK303" s="35"/>
      <c r="AL303" s="35"/>
      <c r="AM303" s="35"/>
      <c r="AN303" s="136" t="s">
        <v>702</v>
      </c>
      <c r="AO303" s="132">
        <v>40508</v>
      </c>
      <c r="AS303" s="35"/>
      <c r="AU303" s="128"/>
    </row>
    <row r="304" spans="1:47" ht="12" customHeight="1" x14ac:dyDescent="0.2">
      <c r="A304" s="236"/>
      <c r="B304" s="184" t="s">
        <v>382</v>
      </c>
      <c r="C304" s="121"/>
      <c r="D304" s="167"/>
      <c r="E304" s="167"/>
      <c r="F304" s="237" t="s">
        <v>1134</v>
      </c>
      <c r="G304" s="315" t="s">
        <v>382</v>
      </c>
      <c r="H304" s="97" t="s">
        <v>14</v>
      </c>
      <c r="I304" s="166"/>
      <c r="J304" s="167">
        <v>1575</v>
      </c>
      <c r="K304" s="121">
        <v>66</v>
      </c>
      <c r="L304" s="121"/>
      <c r="M304" s="334" t="s">
        <v>1109</v>
      </c>
      <c r="N304" s="98"/>
      <c r="O304" s="98"/>
      <c r="P304" s="168"/>
      <c r="Q304" s="98"/>
      <c r="R304" s="37"/>
      <c r="S304" s="36"/>
      <c r="T304" s="23" t="s">
        <v>1055</v>
      </c>
      <c r="U304" s="126"/>
      <c r="V304" s="24"/>
      <c r="W304" s="154"/>
      <c r="X304" s="121">
        <f>K304</f>
        <v>66</v>
      </c>
      <c r="Y304" s="121"/>
      <c r="Z304" s="122">
        <f>X304</f>
        <v>66</v>
      </c>
      <c r="AA304" s="123">
        <f>IF(Z304&gt;0,$J304*Z304," ")</f>
        <v>103950</v>
      </c>
      <c r="AB304" s="123">
        <f>IF(Z304&gt;0,$J304," ")</f>
        <v>1575</v>
      </c>
      <c r="AC304" s="120"/>
      <c r="AD304" s="39"/>
      <c r="AE304" s="39"/>
      <c r="AF304" s="39"/>
      <c r="AG304" s="39"/>
      <c r="AH304" s="39"/>
      <c r="AI304" s="123"/>
      <c r="AJ304" s="123"/>
      <c r="AK304" s="35"/>
      <c r="AL304" s="35"/>
      <c r="AM304" s="35"/>
      <c r="AN304" s="136"/>
      <c r="AO304" s="132"/>
      <c r="AS304" s="35"/>
      <c r="AU304" s="128"/>
    </row>
    <row r="305" spans="1:47" ht="12" customHeight="1" x14ac:dyDescent="0.2">
      <c r="A305" s="236"/>
      <c r="B305" s="184" t="s">
        <v>92</v>
      </c>
      <c r="C305" s="121"/>
      <c r="D305" s="167"/>
      <c r="E305" s="167"/>
      <c r="F305" s="237" t="s">
        <v>1130</v>
      </c>
      <c r="G305" s="315" t="s">
        <v>92</v>
      </c>
      <c r="H305" s="97" t="s">
        <v>14</v>
      </c>
      <c r="I305" s="166">
        <v>1997</v>
      </c>
      <c r="J305" s="167">
        <v>4955</v>
      </c>
      <c r="K305" s="121">
        <f t="shared" si="71"/>
        <v>28</v>
      </c>
      <c r="L305" s="121">
        <f t="shared" si="72"/>
        <v>7</v>
      </c>
      <c r="M305" s="332" t="s">
        <v>1041</v>
      </c>
      <c r="N305" s="98" t="s">
        <v>17</v>
      </c>
      <c r="O305" s="98" t="s">
        <v>103</v>
      </c>
      <c r="P305" s="168" t="s">
        <v>258</v>
      </c>
      <c r="Q305" s="98" t="s">
        <v>523</v>
      </c>
      <c r="R305" s="37"/>
      <c r="S305" s="36"/>
      <c r="T305" s="23"/>
      <c r="U305" s="35"/>
      <c r="V305" s="24"/>
      <c r="W305" s="154"/>
      <c r="X305" s="121">
        <v>28</v>
      </c>
      <c r="Y305" s="121">
        <v>30</v>
      </c>
      <c r="Z305" s="122">
        <f>X305</f>
        <v>28</v>
      </c>
      <c r="AA305" s="123">
        <f t="shared" si="73"/>
        <v>138740</v>
      </c>
      <c r="AB305" s="123">
        <f t="shared" si="74"/>
        <v>4955</v>
      </c>
      <c r="AC305" s="120"/>
      <c r="AD305" s="39"/>
      <c r="AE305" s="39"/>
      <c r="AF305" s="39">
        <v>7</v>
      </c>
      <c r="AG305" s="39"/>
      <c r="AH305" s="39">
        <f>AF305</f>
        <v>7</v>
      </c>
      <c r="AI305" s="123">
        <f t="shared" si="75"/>
        <v>34685</v>
      </c>
      <c r="AJ305" s="123">
        <f t="shared" si="76"/>
        <v>4955</v>
      </c>
      <c r="AK305" s="35"/>
      <c r="AL305" s="35"/>
      <c r="AM305" s="35"/>
      <c r="AU305" s="128"/>
    </row>
    <row r="306" spans="1:47" ht="12" customHeight="1" x14ac:dyDescent="0.2">
      <c r="A306" s="236"/>
      <c r="B306" s="184" t="s">
        <v>92</v>
      </c>
      <c r="C306" s="121"/>
      <c r="D306" s="167"/>
      <c r="E306" s="167"/>
      <c r="F306" s="237" t="s">
        <v>1130</v>
      </c>
      <c r="G306" s="315" t="s">
        <v>92</v>
      </c>
      <c r="H306" s="186" t="s">
        <v>14</v>
      </c>
      <c r="I306" s="166">
        <v>2005</v>
      </c>
      <c r="J306" s="167">
        <v>7000</v>
      </c>
      <c r="K306" s="121">
        <f t="shared" si="71"/>
        <v>19.600000000000001</v>
      </c>
      <c r="L306" s="121">
        <f t="shared" si="72"/>
        <v>6.3</v>
      </c>
      <c r="M306" s="333" t="s">
        <v>712</v>
      </c>
      <c r="N306" s="237" t="s">
        <v>17</v>
      </c>
      <c r="O306" s="98" t="s">
        <v>103</v>
      </c>
      <c r="P306" s="168"/>
      <c r="Q306" s="98" t="s">
        <v>963</v>
      </c>
      <c r="R306" s="37" t="s">
        <v>1121</v>
      </c>
      <c r="S306" s="36"/>
      <c r="T306" s="23"/>
      <c r="U306" s="126" t="s">
        <v>602</v>
      </c>
      <c r="V306" s="126" t="s">
        <v>726</v>
      </c>
      <c r="W306" s="158"/>
      <c r="X306" s="121">
        <v>19.600000000000001</v>
      </c>
      <c r="Y306" s="121"/>
      <c r="Z306" s="122">
        <f>X306</f>
        <v>19.600000000000001</v>
      </c>
      <c r="AA306" s="123">
        <f t="shared" si="73"/>
        <v>137200</v>
      </c>
      <c r="AB306" s="123">
        <f t="shared" si="74"/>
        <v>7000</v>
      </c>
      <c r="AC306" s="120"/>
      <c r="AD306" s="39"/>
      <c r="AE306" s="39"/>
      <c r="AF306" s="39">
        <v>6.3</v>
      </c>
      <c r="AG306" s="39"/>
      <c r="AH306" s="39">
        <f>AF306</f>
        <v>6.3</v>
      </c>
      <c r="AI306" s="123">
        <f t="shared" si="75"/>
        <v>44100</v>
      </c>
      <c r="AJ306" s="123">
        <f t="shared" si="76"/>
        <v>7000</v>
      </c>
      <c r="AK306" s="35"/>
      <c r="AL306" s="35"/>
      <c r="AM306" s="35"/>
      <c r="AN306" s="119" t="s">
        <v>703</v>
      </c>
      <c r="AO306" s="130">
        <v>40508</v>
      </c>
      <c r="AU306" s="35"/>
    </row>
    <row r="307" spans="1:47" ht="12" customHeight="1" x14ac:dyDescent="0.2">
      <c r="A307" s="236"/>
      <c r="B307" s="184" t="s">
        <v>146</v>
      </c>
      <c r="C307" s="121"/>
      <c r="D307" s="167"/>
      <c r="E307" s="167"/>
      <c r="F307" s="169" t="s">
        <v>1130</v>
      </c>
      <c r="G307" s="315" t="s">
        <v>146</v>
      </c>
      <c r="H307" s="97" t="s">
        <v>14</v>
      </c>
      <c r="I307" s="166">
        <v>2002</v>
      </c>
      <c r="J307" s="167">
        <v>5908</v>
      </c>
      <c r="K307" s="121">
        <f t="shared" si="71"/>
        <v>9</v>
      </c>
      <c r="L307" s="121">
        <f t="shared" si="72"/>
        <v>3</v>
      </c>
      <c r="M307" s="332" t="s">
        <v>1041</v>
      </c>
      <c r="N307" s="98" t="s">
        <v>18</v>
      </c>
      <c r="O307" s="98" t="s">
        <v>33</v>
      </c>
      <c r="P307" s="168" t="s">
        <v>258</v>
      </c>
      <c r="Q307" s="169" t="s">
        <v>523</v>
      </c>
      <c r="R307" s="37"/>
      <c r="S307" s="36"/>
      <c r="T307" s="23"/>
      <c r="U307" s="35"/>
      <c r="V307" s="24"/>
      <c r="W307" s="154"/>
      <c r="X307" s="121"/>
      <c r="Y307" s="121"/>
      <c r="Z307" s="122">
        <v>9</v>
      </c>
      <c r="AA307" s="123">
        <f t="shared" si="73"/>
        <v>53172</v>
      </c>
      <c r="AB307" s="123">
        <f t="shared" si="74"/>
        <v>5908</v>
      </c>
      <c r="AC307" s="120"/>
      <c r="AD307" s="39">
        <v>3</v>
      </c>
      <c r="AE307" s="39"/>
      <c r="AF307" s="39"/>
      <c r="AG307" s="39"/>
      <c r="AH307" s="39">
        <v>3</v>
      </c>
      <c r="AI307" s="123">
        <f t="shared" si="75"/>
        <v>17724</v>
      </c>
      <c r="AJ307" s="123">
        <f t="shared" si="76"/>
        <v>5908</v>
      </c>
      <c r="AK307" s="35"/>
      <c r="AL307" s="35"/>
      <c r="AM307" s="35"/>
      <c r="AU307" s="35"/>
    </row>
    <row r="308" spans="1:47" ht="12" customHeight="1" x14ac:dyDescent="0.2">
      <c r="A308" s="236"/>
      <c r="B308" s="184" t="s">
        <v>84</v>
      </c>
      <c r="C308" s="121"/>
      <c r="D308" s="167"/>
      <c r="E308" s="167"/>
      <c r="F308" s="169" t="s">
        <v>1125</v>
      </c>
      <c r="G308" s="315" t="s">
        <v>84</v>
      </c>
      <c r="H308" s="97" t="s">
        <v>14</v>
      </c>
      <c r="I308" s="166">
        <v>1999</v>
      </c>
      <c r="J308" s="167">
        <v>5694</v>
      </c>
      <c r="K308" s="121">
        <f t="shared" si="71"/>
        <v>5</v>
      </c>
      <c r="L308" s="121">
        <f t="shared" si="72"/>
        <v>2</v>
      </c>
      <c r="M308" s="332" t="s">
        <v>1041</v>
      </c>
      <c r="N308" s="98" t="s">
        <v>15</v>
      </c>
      <c r="O308" s="98" t="s">
        <v>90</v>
      </c>
      <c r="P308" s="168" t="s">
        <v>248</v>
      </c>
      <c r="Q308" s="169" t="s">
        <v>523</v>
      </c>
      <c r="R308" s="37"/>
      <c r="S308" s="36"/>
      <c r="T308" s="23"/>
      <c r="U308" s="35"/>
      <c r="V308" s="24"/>
      <c r="W308" s="154"/>
      <c r="X308" s="121">
        <v>5</v>
      </c>
      <c r="Y308" s="121"/>
      <c r="Z308" s="122">
        <v>5</v>
      </c>
      <c r="AA308" s="123">
        <f t="shared" si="73"/>
        <v>28470</v>
      </c>
      <c r="AB308" s="123">
        <f t="shared" si="74"/>
        <v>5694</v>
      </c>
      <c r="AC308" s="120"/>
      <c r="AD308" s="39">
        <v>2</v>
      </c>
      <c r="AE308" s="39"/>
      <c r="AF308" s="39">
        <v>2</v>
      </c>
      <c r="AG308" s="39"/>
      <c r="AH308" s="39">
        <v>2</v>
      </c>
      <c r="AI308" s="123">
        <f t="shared" si="75"/>
        <v>11388</v>
      </c>
      <c r="AJ308" s="123">
        <f t="shared" si="76"/>
        <v>5694</v>
      </c>
      <c r="AK308" s="35"/>
      <c r="AL308" s="35"/>
      <c r="AM308" s="35"/>
      <c r="AU308" s="35"/>
    </row>
    <row r="309" spans="1:47" ht="12" customHeight="1" x14ac:dyDescent="0.2">
      <c r="A309" s="236"/>
      <c r="B309" s="184" t="s">
        <v>259</v>
      </c>
      <c r="C309" s="121"/>
      <c r="D309" s="167"/>
      <c r="E309" s="167"/>
      <c r="F309" s="169" t="s">
        <v>1130</v>
      </c>
      <c r="G309" s="315" t="s">
        <v>259</v>
      </c>
      <c r="H309" s="97" t="s">
        <v>14</v>
      </c>
      <c r="I309" s="166">
        <v>2003</v>
      </c>
      <c r="J309" s="167">
        <v>10264</v>
      </c>
      <c r="K309" s="121">
        <f t="shared" si="71"/>
        <v>23</v>
      </c>
      <c r="L309" s="121" t="str">
        <f t="shared" si="72"/>
        <v/>
      </c>
      <c r="M309" s="332" t="s">
        <v>1041</v>
      </c>
      <c r="N309" s="98" t="s">
        <v>15</v>
      </c>
      <c r="O309" s="98" t="s">
        <v>260</v>
      </c>
      <c r="P309" s="168" t="s">
        <v>258</v>
      </c>
      <c r="Q309" s="169" t="s">
        <v>523</v>
      </c>
      <c r="R309" s="37"/>
      <c r="S309" s="36"/>
      <c r="T309" s="23"/>
      <c r="U309" s="35"/>
      <c r="V309" s="24"/>
      <c r="W309" s="154"/>
      <c r="X309" s="121"/>
      <c r="Y309" s="121"/>
      <c r="Z309" s="122">
        <v>23</v>
      </c>
      <c r="AA309" s="123">
        <f t="shared" si="73"/>
        <v>236072</v>
      </c>
      <c r="AB309" s="123">
        <f t="shared" si="74"/>
        <v>10264</v>
      </c>
      <c r="AC309" s="120"/>
      <c r="AD309" s="39"/>
      <c r="AE309" s="39"/>
      <c r="AF309" s="39"/>
      <c r="AG309" s="39"/>
      <c r="AH309" s="39"/>
      <c r="AI309" s="123" t="str">
        <f t="shared" si="75"/>
        <v xml:space="preserve"> </v>
      </c>
      <c r="AJ309" s="123" t="str">
        <f t="shared" si="76"/>
        <v xml:space="preserve"> </v>
      </c>
      <c r="AK309" s="35"/>
      <c r="AL309" s="35"/>
      <c r="AM309" s="35"/>
      <c r="AU309" s="35"/>
    </row>
    <row r="310" spans="1:47" ht="12" customHeight="1" x14ac:dyDescent="0.2">
      <c r="A310" s="236"/>
      <c r="B310" s="245" t="s">
        <v>149</v>
      </c>
      <c r="C310" s="291"/>
      <c r="D310" s="248"/>
      <c r="E310" s="248"/>
      <c r="F310" s="19" t="s">
        <v>1131</v>
      </c>
      <c r="G310" s="316" t="s">
        <v>149</v>
      </c>
      <c r="H310" s="186" t="s">
        <v>14</v>
      </c>
      <c r="I310" s="246">
        <v>2008</v>
      </c>
      <c r="J310" s="248">
        <v>4916</v>
      </c>
      <c r="K310" s="121">
        <f t="shared" si="71"/>
        <v>20.73</v>
      </c>
      <c r="L310" s="121" t="str">
        <f t="shared" si="72"/>
        <v/>
      </c>
      <c r="M310" s="333" t="s">
        <v>1042</v>
      </c>
      <c r="N310" s="247" t="s">
        <v>15</v>
      </c>
      <c r="O310" s="247" t="s">
        <v>19</v>
      </c>
      <c r="P310" s="237" t="s">
        <v>244</v>
      </c>
      <c r="Q310" s="19" t="s">
        <v>1003</v>
      </c>
      <c r="R310" s="37"/>
      <c r="S310" s="355"/>
      <c r="T310" s="23"/>
      <c r="U310" s="128"/>
      <c r="V310" s="128"/>
      <c r="W310" s="127"/>
      <c r="X310" s="121">
        <v>20.73</v>
      </c>
      <c r="Y310" s="121"/>
      <c r="Z310" s="122">
        <f>X310</f>
        <v>20.73</v>
      </c>
      <c r="AA310" s="123">
        <f t="shared" si="73"/>
        <v>101908.68000000001</v>
      </c>
      <c r="AB310" s="123">
        <f t="shared" si="74"/>
        <v>4916</v>
      </c>
      <c r="AC310" s="127"/>
      <c r="AD310" s="161"/>
      <c r="AE310" s="161"/>
      <c r="AF310" s="161"/>
      <c r="AG310" s="42"/>
      <c r="AH310" s="161"/>
      <c r="AI310" s="123" t="str">
        <f t="shared" si="75"/>
        <v xml:space="preserve"> </v>
      </c>
      <c r="AJ310" s="123" t="str">
        <f t="shared" si="76"/>
        <v xml:space="preserve"> </v>
      </c>
      <c r="AK310" s="128"/>
      <c r="AL310" s="128"/>
      <c r="AM310" s="128"/>
      <c r="AU310" s="35"/>
    </row>
    <row r="311" spans="1:47" ht="12" customHeight="1" x14ac:dyDescent="0.2">
      <c r="A311" s="236"/>
      <c r="B311" s="250" t="s">
        <v>149</v>
      </c>
      <c r="C311" s="121"/>
      <c r="D311" s="167"/>
      <c r="E311" s="167"/>
      <c r="F311" s="237" t="s">
        <v>1131</v>
      </c>
      <c r="G311" s="317" t="s">
        <v>149</v>
      </c>
      <c r="H311" s="97" t="s">
        <v>14</v>
      </c>
      <c r="I311" s="166" t="s">
        <v>331</v>
      </c>
      <c r="J311" s="121">
        <f>3047*66%</f>
        <v>2011.02</v>
      </c>
      <c r="K311" s="121" t="str">
        <f t="shared" si="71"/>
        <v/>
      </c>
      <c r="L311" s="121">
        <f t="shared" si="72"/>
        <v>23</v>
      </c>
      <c r="M311" s="333" t="s">
        <v>713</v>
      </c>
      <c r="N311" s="98" t="s">
        <v>17</v>
      </c>
      <c r="O311" s="98" t="s">
        <v>227</v>
      </c>
      <c r="P311" s="168"/>
      <c r="Q311" s="98" t="s">
        <v>964</v>
      </c>
      <c r="R311" s="37"/>
      <c r="S311" s="36"/>
      <c r="T311" s="23" t="s">
        <v>333</v>
      </c>
      <c r="U311" s="35" t="s">
        <v>1115</v>
      </c>
      <c r="V311" s="35"/>
      <c r="W311" s="154"/>
      <c r="X311" s="121"/>
      <c r="Y311" s="121"/>
      <c r="Z311" s="122"/>
      <c r="AA311" s="123" t="str">
        <f t="shared" si="73"/>
        <v xml:space="preserve"> </v>
      </c>
      <c r="AB311" s="123" t="str">
        <f t="shared" si="74"/>
        <v xml:space="preserve"> </v>
      </c>
      <c r="AC311" s="120"/>
      <c r="AD311" s="39"/>
      <c r="AE311" s="39"/>
      <c r="AF311" s="39">
        <v>23</v>
      </c>
      <c r="AG311" s="39"/>
      <c r="AH311" s="39">
        <v>23</v>
      </c>
      <c r="AI311" s="123">
        <f t="shared" si="75"/>
        <v>46253.46</v>
      </c>
      <c r="AJ311" s="123">
        <f t="shared" si="76"/>
        <v>2011.02</v>
      </c>
      <c r="AK311" s="35"/>
      <c r="AL311" s="35"/>
      <c r="AM311" s="35"/>
      <c r="AN311" s="25" t="s">
        <v>332</v>
      </c>
      <c r="AO311" s="147">
        <v>40515</v>
      </c>
      <c r="AU311" s="35"/>
    </row>
    <row r="312" spans="1:47" ht="12" customHeight="1" x14ac:dyDescent="0.2">
      <c r="A312" s="236"/>
      <c r="B312" s="250" t="s">
        <v>150</v>
      </c>
      <c r="C312" s="121"/>
      <c r="D312" s="167"/>
      <c r="E312" s="167"/>
      <c r="F312" s="237" t="s">
        <v>1130</v>
      </c>
      <c r="G312" s="250" t="s">
        <v>150</v>
      </c>
      <c r="H312" s="97" t="s">
        <v>14</v>
      </c>
      <c r="I312" s="166" t="s">
        <v>249</v>
      </c>
      <c r="J312" s="167">
        <v>1200</v>
      </c>
      <c r="K312" s="121">
        <v>3.6</v>
      </c>
      <c r="L312" s="121"/>
      <c r="M312" s="336" t="s">
        <v>1108</v>
      </c>
      <c r="N312" s="98" t="s">
        <v>17</v>
      </c>
      <c r="O312" s="98" t="s">
        <v>603</v>
      </c>
      <c r="P312" s="168"/>
      <c r="Q312" s="98"/>
      <c r="R312" s="37"/>
      <c r="S312" s="36"/>
      <c r="T312" s="23"/>
      <c r="U312" s="35"/>
      <c r="V312" s="35"/>
      <c r="W312" s="154"/>
      <c r="X312" s="121">
        <f>K312</f>
        <v>3.6</v>
      </c>
      <c r="Y312" s="121"/>
      <c r="Z312" s="122">
        <f>X312</f>
        <v>3.6</v>
      </c>
      <c r="AA312" s="123">
        <f>IF(Z312&gt;0,$J312*Z312," ")</f>
        <v>4320</v>
      </c>
      <c r="AB312" s="123">
        <f>IF(Z312&gt;0,$J312," ")</f>
        <v>1200</v>
      </c>
      <c r="AC312" s="120"/>
      <c r="AD312" s="39"/>
      <c r="AE312" s="39"/>
      <c r="AF312" s="39"/>
      <c r="AG312" s="39"/>
      <c r="AH312" s="39"/>
      <c r="AI312" s="123"/>
      <c r="AJ312" s="123"/>
      <c r="AK312" s="35"/>
      <c r="AL312" s="35"/>
      <c r="AM312" s="35"/>
      <c r="AN312" s="25"/>
      <c r="AO312" s="147"/>
      <c r="AU312" s="35"/>
    </row>
    <row r="313" spans="1:47" ht="12" customHeight="1" x14ac:dyDescent="0.2">
      <c r="A313" s="236"/>
      <c r="B313" s="184" t="s">
        <v>40</v>
      </c>
      <c r="C313" s="121"/>
      <c r="D313" s="167"/>
      <c r="E313" s="167"/>
      <c r="F313" s="169" t="s">
        <v>1132</v>
      </c>
      <c r="G313" s="315" t="s">
        <v>40</v>
      </c>
      <c r="H313" s="97" t="s">
        <v>526</v>
      </c>
      <c r="I313" s="166">
        <v>1990</v>
      </c>
      <c r="J313" s="167">
        <v>1000</v>
      </c>
      <c r="K313" s="121">
        <f t="shared" si="71"/>
        <v>36.26</v>
      </c>
      <c r="L313" s="121" t="str">
        <f t="shared" si="72"/>
        <v/>
      </c>
      <c r="M313" s="336" t="s">
        <v>1062</v>
      </c>
      <c r="N313" s="98" t="s">
        <v>17</v>
      </c>
      <c r="O313" s="98"/>
      <c r="P313" s="168"/>
      <c r="Q313" s="168" t="s">
        <v>524</v>
      </c>
      <c r="R313" s="131"/>
      <c r="S313" s="357"/>
      <c r="T313" s="23"/>
      <c r="U313" s="35"/>
      <c r="V313" s="24"/>
      <c r="W313" s="154"/>
      <c r="X313" s="121"/>
      <c r="Y313" s="121"/>
      <c r="Z313" s="122">
        <f>49*0.74</f>
        <v>36.26</v>
      </c>
      <c r="AA313" s="123">
        <f t="shared" si="73"/>
        <v>36260</v>
      </c>
      <c r="AB313" s="123">
        <f t="shared" si="74"/>
        <v>1000</v>
      </c>
      <c r="AC313" s="120"/>
      <c r="AD313" s="39"/>
      <c r="AE313" s="39"/>
      <c r="AF313" s="39"/>
      <c r="AG313" s="39"/>
      <c r="AH313" s="39"/>
      <c r="AI313" s="123" t="str">
        <f t="shared" si="75"/>
        <v xml:space="preserve"> </v>
      </c>
      <c r="AJ313" s="123" t="str">
        <f t="shared" si="76"/>
        <v xml:space="preserve"> </v>
      </c>
      <c r="AK313" s="35"/>
      <c r="AL313" s="35"/>
      <c r="AM313" s="35"/>
      <c r="AU313" s="128"/>
    </row>
    <row r="314" spans="1:47" ht="12" customHeight="1" x14ac:dyDescent="0.2">
      <c r="A314" s="236"/>
      <c r="B314" s="184" t="s">
        <v>40</v>
      </c>
      <c r="C314" s="121"/>
      <c r="D314" s="167"/>
      <c r="E314" s="167"/>
      <c r="F314" s="169" t="s">
        <v>1132</v>
      </c>
      <c r="G314" s="315" t="s">
        <v>40</v>
      </c>
      <c r="H314" s="97" t="s">
        <v>14</v>
      </c>
      <c r="I314" s="166">
        <v>2002</v>
      </c>
      <c r="J314" s="167">
        <v>6595</v>
      </c>
      <c r="K314" s="121" t="str">
        <f t="shared" si="71"/>
        <v/>
      </c>
      <c r="L314" s="121">
        <f t="shared" si="72"/>
        <v>9</v>
      </c>
      <c r="M314" s="332" t="s">
        <v>1041</v>
      </c>
      <c r="N314" s="98" t="s">
        <v>47</v>
      </c>
      <c r="O314" s="98" t="s">
        <v>19</v>
      </c>
      <c r="P314" s="168" t="s">
        <v>248</v>
      </c>
      <c r="Q314" s="169" t="s">
        <v>523</v>
      </c>
      <c r="R314" s="37"/>
      <c r="S314" s="36"/>
      <c r="T314" s="23"/>
      <c r="U314" s="35"/>
      <c r="V314" s="24"/>
      <c r="W314" s="154"/>
      <c r="X314" s="121"/>
      <c r="Y314" s="121"/>
      <c r="Z314" s="122"/>
      <c r="AA314" s="123" t="str">
        <f t="shared" si="73"/>
        <v xml:space="preserve"> </v>
      </c>
      <c r="AB314" s="123" t="str">
        <f t="shared" si="74"/>
        <v xml:space="preserve"> </v>
      </c>
      <c r="AC314" s="120"/>
      <c r="AD314" s="39">
        <v>9</v>
      </c>
      <c r="AE314" s="39"/>
      <c r="AF314" s="39"/>
      <c r="AG314" s="39"/>
      <c r="AH314" s="39">
        <v>9</v>
      </c>
      <c r="AI314" s="123">
        <f t="shared" si="75"/>
        <v>59355</v>
      </c>
      <c r="AJ314" s="123">
        <f t="shared" si="76"/>
        <v>6595</v>
      </c>
      <c r="AK314" s="35"/>
      <c r="AL314" s="35"/>
      <c r="AM314" s="35"/>
      <c r="AU314" s="35"/>
    </row>
    <row r="315" spans="1:47" ht="12" customHeight="1" x14ac:dyDescent="0.2">
      <c r="A315" s="236"/>
      <c r="B315" s="184" t="s">
        <v>151</v>
      </c>
      <c r="C315" s="121"/>
      <c r="D315" s="167"/>
      <c r="E315" s="167"/>
      <c r="F315" s="169" t="s">
        <v>1131</v>
      </c>
      <c r="G315" s="315" t="s">
        <v>151</v>
      </c>
      <c r="H315" s="97" t="s">
        <v>880</v>
      </c>
      <c r="I315" s="166"/>
      <c r="J315" s="167">
        <v>999999999</v>
      </c>
      <c r="K315" s="121">
        <f>IF(Z315&gt;0,Z315,"")</f>
        <v>22</v>
      </c>
      <c r="L315" s="121" t="str">
        <f>IF(AH315&gt;0,AH315,"")</f>
        <v/>
      </c>
      <c r="M315" s="334" t="s">
        <v>886</v>
      </c>
      <c r="N315" s="98"/>
      <c r="O315" s="98"/>
      <c r="P315" s="168"/>
      <c r="Q315" s="169" t="s">
        <v>879</v>
      </c>
      <c r="R315" s="37"/>
      <c r="S315" s="36"/>
      <c r="T315" s="23"/>
      <c r="U315" s="35"/>
      <c r="V315" s="24"/>
      <c r="W315" s="154"/>
      <c r="X315" s="121">
        <v>22</v>
      </c>
      <c r="Y315" s="121"/>
      <c r="Z315" s="122">
        <f>X315</f>
        <v>22</v>
      </c>
      <c r="AA315" s="123">
        <f t="shared" si="73"/>
        <v>21999999978</v>
      </c>
      <c r="AB315" s="123">
        <f t="shared" si="74"/>
        <v>999999999</v>
      </c>
      <c r="AC315" s="120"/>
      <c r="AD315" s="39"/>
      <c r="AE315" s="39"/>
      <c r="AF315" s="39"/>
      <c r="AG315" s="39"/>
      <c r="AH315" s="39"/>
      <c r="AI315" s="123"/>
      <c r="AJ315" s="123"/>
      <c r="AK315" s="35"/>
      <c r="AL315" s="35"/>
      <c r="AM315" s="35"/>
      <c r="AU315" s="35"/>
    </row>
    <row r="316" spans="1:47" ht="12" customHeight="1" x14ac:dyDescent="0.2">
      <c r="A316" s="236"/>
      <c r="B316" s="245" t="s">
        <v>46</v>
      </c>
      <c r="C316" s="291"/>
      <c r="D316" s="248"/>
      <c r="E316" s="248"/>
      <c r="F316" s="19" t="s">
        <v>1132</v>
      </c>
      <c r="G316" s="316" t="s">
        <v>46</v>
      </c>
      <c r="H316" s="186" t="s">
        <v>14</v>
      </c>
      <c r="I316" s="246">
        <v>2000</v>
      </c>
      <c r="J316" s="248">
        <v>10159</v>
      </c>
      <c r="K316" s="121">
        <f t="shared" si="71"/>
        <v>17.43</v>
      </c>
      <c r="L316" s="121">
        <f t="shared" si="72"/>
        <v>13.61</v>
      </c>
      <c r="M316" s="333" t="s">
        <v>1042</v>
      </c>
      <c r="N316" s="247" t="s">
        <v>15</v>
      </c>
      <c r="O316" s="247" t="s">
        <v>19</v>
      </c>
      <c r="P316" s="237" t="s">
        <v>244</v>
      </c>
      <c r="Q316" s="19" t="s">
        <v>1003</v>
      </c>
      <c r="R316" s="37"/>
      <c r="S316" s="36"/>
      <c r="T316" s="23"/>
      <c r="U316" s="128"/>
      <c r="V316" s="128"/>
      <c r="W316" s="127"/>
      <c r="X316" s="121">
        <v>17.43</v>
      </c>
      <c r="Y316" s="121"/>
      <c r="Z316" s="122">
        <f>X316</f>
        <v>17.43</v>
      </c>
      <c r="AA316" s="123">
        <f t="shared" si="73"/>
        <v>177071.37</v>
      </c>
      <c r="AB316" s="123">
        <f t="shared" si="74"/>
        <v>10159</v>
      </c>
      <c r="AC316" s="127"/>
      <c r="AD316" s="161"/>
      <c r="AE316" s="161"/>
      <c r="AF316" s="161">
        <v>13.61</v>
      </c>
      <c r="AG316" s="42"/>
      <c r="AH316" s="161">
        <f>AF316</f>
        <v>13.61</v>
      </c>
      <c r="AI316" s="123">
        <f t="shared" si="75"/>
        <v>138263.99</v>
      </c>
      <c r="AJ316" s="123">
        <f t="shared" si="76"/>
        <v>10159</v>
      </c>
      <c r="AK316" s="128"/>
      <c r="AL316" s="128"/>
      <c r="AM316" s="128"/>
      <c r="AU316" s="35"/>
    </row>
    <row r="317" spans="1:47" ht="12" customHeight="1" x14ac:dyDescent="0.2">
      <c r="A317" s="236"/>
      <c r="B317" s="245" t="s">
        <v>46</v>
      </c>
      <c r="C317" s="291"/>
      <c r="D317" s="248"/>
      <c r="E317" s="248"/>
      <c r="F317" s="19" t="s">
        <v>1132</v>
      </c>
      <c r="G317" s="316" t="s">
        <v>46</v>
      </c>
      <c r="H317" s="186" t="s">
        <v>14</v>
      </c>
      <c r="I317" s="246" t="s">
        <v>235</v>
      </c>
      <c r="J317" s="248">
        <v>10757</v>
      </c>
      <c r="K317" s="121">
        <f t="shared" si="71"/>
        <v>13.51</v>
      </c>
      <c r="L317" s="121" t="str">
        <f t="shared" si="72"/>
        <v/>
      </c>
      <c r="M317" s="333" t="s">
        <v>1042</v>
      </c>
      <c r="N317" s="247" t="s">
        <v>15</v>
      </c>
      <c r="O317" s="247" t="s">
        <v>19</v>
      </c>
      <c r="P317" s="237" t="s">
        <v>244</v>
      </c>
      <c r="Q317" s="19" t="s">
        <v>1003</v>
      </c>
      <c r="R317" s="37"/>
      <c r="S317" s="36"/>
      <c r="T317" s="23"/>
      <c r="U317" s="128"/>
      <c r="V317" s="128"/>
      <c r="W317" s="127"/>
      <c r="X317" s="121">
        <v>13.51</v>
      </c>
      <c r="Y317" s="121"/>
      <c r="Z317" s="122">
        <f>X317</f>
        <v>13.51</v>
      </c>
      <c r="AA317" s="123">
        <f t="shared" si="73"/>
        <v>145327.07</v>
      </c>
      <c r="AB317" s="123">
        <f t="shared" si="74"/>
        <v>10757</v>
      </c>
      <c r="AC317" s="127"/>
      <c r="AD317" s="161"/>
      <c r="AE317" s="161"/>
      <c r="AF317" s="161"/>
      <c r="AG317" s="42"/>
      <c r="AH317" s="161"/>
      <c r="AI317" s="123" t="str">
        <f t="shared" si="75"/>
        <v xml:space="preserve"> </v>
      </c>
      <c r="AJ317" s="123" t="str">
        <f t="shared" si="76"/>
        <v xml:space="preserve"> </v>
      </c>
      <c r="AK317" s="128"/>
      <c r="AL317" s="128"/>
      <c r="AM317" s="128"/>
      <c r="AU317" s="35"/>
    </row>
    <row r="318" spans="1:47" ht="12" customHeight="1" x14ac:dyDescent="0.2">
      <c r="A318" s="236"/>
      <c r="B318" s="184" t="s">
        <v>45</v>
      </c>
      <c r="C318" s="121"/>
      <c r="D318" s="167"/>
      <c r="E318" s="167"/>
      <c r="F318" s="169" t="s">
        <v>1132</v>
      </c>
      <c r="G318" s="315" t="s">
        <v>45</v>
      </c>
      <c r="H318" s="97" t="s">
        <v>14</v>
      </c>
      <c r="I318" s="166">
        <v>2001</v>
      </c>
      <c r="J318" s="167">
        <v>6827</v>
      </c>
      <c r="K318" s="121">
        <f t="shared" si="71"/>
        <v>10</v>
      </c>
      <c r="L318" s="121">
        <f t="shared" si="72"/>
        <v>6</v>
      </c>
      <c r="M318" s="332" t="s">
        <v>1041</v>
      </c>
      <c r="N318" s="98" t="s">
        <v>47</v>
      </c>
      <c r="O318" s="98" t="s">
        <v>19</v>
      </c>
      <c r="P318" s="168" t="s">
        <v>248</v>
      </c>
      <c r="Q318" s="169" t="s">
        <v>523</v>
      </c>
      <c r="R318" s="37"/>
      <c r="S318" s="36"/>
      <c r="T318" s="23"/>
      <c r="U318" s="35"/>
      <c r="V318" s="24"/>
      <c r="W318" s="154"/>
      <c r="X318" s="121"/>
      <c r="Y318" s="121"/>
      <c r="Z318" s="122">
        <v>10</v>
      </c>
      <c r="AA318" s="123">
        <f t="shared" si="73"/>
        <v>68270</v>
      </c>
      <c r="AB318" s="123">
        <f t="shared" si="74"/>
        <v>6827</v>
      </c>
      <c r="AC318" s="120"/>
      <c r="AD318" s="39">
        <v>6</v>
      </c>
      <c r="AE318" s="39">
        <v>8.9</v>
      </c>
      <c r="AF318" s="39"/>
      <c r="AG318" s="39"/>
      <c r="AH318" s="39">
        <v>6</v>
      </c>
      <c r="AI318" s="123">
        <f t="shared" si="75"/>
        <v>40962</v>
      </c>
      <c r="AJ318" s="123">
        <f t="shared" si="76"/>
        <v>6827</v>
      </c>
      <c r="AK318" s="35"/>
      <c r="AL318" s="35"/>
      <c r="AM318" s="35"/>
      <c r="AU318" s="35"/>
    </row>
    <row r="319" spans="1:47" ht="12" customHeight="1" x14ac:dyDescent="0.2">
      <c r="A319" s="236"/>
      <c r="B319" s="245" t="s">
        <v>45</v>
      </c>
      <c r="C319" s="291"/>
      <c r="D319" s="248"/>
      <c r="E319" s="248"/>
      <c r="F319" s="19" t="s">
        <v>1132</v>
      </c>
      <c r="G319" s="316" t="s">
        <v>45</v>
      </c>
      <c r="H319" s="186" t="s">
        <v>14</v>
      </c>
      <c r="I319" s="246" t="s">
        <v>235</v>
      </c>
      <c r="J319" s="248">
        <v>19948</v>
      </c>
      <c r="K319" s="121">
        <f t="shared" si="71"/>
        <v>5</v>
      </c>
      <c r="L319" s="121" t="str">
        <f t="shared" si="72"/>
        <v/>
      </c>
      <c r="M319" s="333" t="s">
        <v>1042</v>
      </c>
      <c r="N319" s="247" t="s">
        <v>15</v>
      </c>
      <c r="O319" s="247" t="s">
        <v>19</v>
      </c>
      <c r="P319" s="237" t="s">
        <v>244</v>
      </c>
      <c r="Q319" s="19" t="s">
        <v>1003</v>
      </c>
      <c r="R319" s="37"/>
      <c r="S319" s="36"/>
      <c r="T319" s="23"/>
      <c r="U319" s="128"/>
      <c r="V319" s="128"/>
      <c r="W319" s="127"/>
      <c r="X319" s="121">
        <v>5</v>
      </c>
      <c r="Y319" s="121"/>
      <c r="Z319" s="122">
        <f>X319</f>
        <v>5</v>
      </c>
      <c r="AA319" s="123">
        <f t="shared" si="73"/>
        <v>99740</v>
      </c>
      <c r="AB319" s="123">
        <f t="shared" si="74"/>
        <v>19948</v>
      </c>
      <c r="AC319" s="127"/>
      <c r="AD319" s="161"/>
      <c r="AE319" s="161"/>
      <c r="AF319" s="161"/>
      <c r="AG319" s="42"/>
      <c r="AH319" s="161"/>
      <c r="AI319" s="123" t="str">
        <f t="shared" si="75"/>
        <v xml:space="preserve"> </v>
      </c>
      <c r="AJ319" s="123" t="str">
        <f t="shared" si="76"/>
        <v xml:space="preserve"> </v>
      </c>
      <c r="AK319" s="128"/>
      <c r="AL319" s="128"/>
      <c r="AM319" s="128"/>
      <c r="AU319" s="35"/>
    </row>
    <row r="320" spans="1:47" ht="12" customHeight="1" x14ac:dyDescent="0.2">
      <c r="A320" s="236"/>
      <c r="B320" s="245" t="s">
        <v>154</v>
      </c>
      <c r="C320" s="291"/>
      <c r="D320" s="248"/>
      <c r="E320" s="248"/>
      <c r="F320" s="169" t="s">
        <v>1130</v>
      </c>
      <c r="G320" s="316" t="s">
        <v>154</v>
      </c>
      <c r="H320" s="186"/>
      <c r="I320" s="246">
        <v>2003</v>
      </c>
      <c r="J320" s="248">
        <v>3615</v>
      </c>
      <c r="K320" s="121">
        <f t="shared" si="71"/>
        <v>31.7</v>
      </c>
      <c r="L320" s="121" t="str">
        <f t="shared" si="72"/>
        <v/>
      </c>
      <c r="M320" s="333" t="s">
        <v>1044</v>
      </c>
      <c r="N320" s="247"/>
      <c r="O320" s="247"/>
      <c r="P320" s="237"/>
      <c r="Q320" s="169" t="s">
        <v>957</v>
      </c>
      <c r="R320" s="37"/>
      <c r="S320" s="36"/>
      <c r="T320" s="23"/>
      <c r="U320" s="128"/>
      <c r="V320" s="128"/>
      <c r="W320" s="127"/>
      <c r="X320" s="121">
        <v>31.7</v>
      </c>
      <c r="Y320" s="121"/>
      <c r="Z320" s="122">
        <f>X320</f>
        <v>31.7</v>
      </c>
      <c r="AA320" s="123">
        <f>IF(Z320&gt;0,$J320*Z320," ")</f>
        <v>114595.5</v>
      </c>
      <c r="AB320" s="123">
        <f>IF(Z320&gt;0,$J320," ")</f>
        <v>3615</v>
      </c>
      <c r="AC320" s="127"/>
      <c r="AD320" s="161"/>
      <c r="AE320" s="161"/>
      <c r="AF320" s="161"/>
      <c r="AG320" s="42"/>
      <c r="AH320" s="161"/>
      <c r="AI320" s="123" t="str">
        <f t="shared" si="75"/>
        <v xml:space="preserve"> </v>
      </c>
      <c r="AJ320" s="123" t="str">
        <f t="shared" si="76"/>
        <v xml:space="preserve"> </v>
      </c>
      <c r="AK320" s="128"/>
      <c r="AL320" s="128"/>
      <c r="AM320" s="128"/>
      <c r="AU320" s="35"/>
    </row>
    <row r="321" spans="1:47" ht="12" customHeight="1" x14ac:dyDescent="0.2">
      <c r="A321" s="236"/>
      <c r="B321" s="250" t="s">
        <v>155</v>
      </c>
      <c r="C321" s="121"/>
      <c r="D321" s="167"/>
      <c r="E321" s="167"/>
      <c r="F321" s="169" t="s">
        <v>1130</v>
      </c>
      <c r="G321" s="317" t="s">
        <v>155</v>
      </c>
      <c r="H321" s="97"/>
      <c r="I321" s="166">
        <v>1996</v>
      </c>
      <c r="J321" s="167"/>
      <c r="K321" s="121">
        <f t="shared" si="71"/>
        <v>14</v>
      </c>
      <c r="L321" s="121" t="str">
        <f t="shared" si="72"/>
        <v/>
      </c>
      <c r="M321" s="2" t="s">
        <v>1085</v>
      </c>
      <c r="N321" s="237" t="s">
        <v>17</v>
      </c>
      <c r="O321" s="98"/>
      <c r="P321" s="168"/>
      <c r="Q321" s="169" t="s">
        <v>554</v>
      </c>
      <c r="R321" s="334" t="s">
        <v>657</v>
      </c>
      <c r="S321" s="310">
        <v>40994</v>
      </c>
      <c r="T321" s="23"/>
      <c r="U321" s="35" t="s">
        <v>1084</v>
      </c>
      <c r="V321" s="24"/>
      <c r="W321" s="154"/>
      <c r="X321" s="121"/>
      <c r="Y321" s="121"/>
      <c r="Z321" s="122">
        <v>14</v>
      </c>
      <c r="AA321" s="123">
        <f t="shared" si="73"/>
        <v>0</v>
      </c>
      <c r="AB321" s="123">
        <f t="shared" si="74"/>
        <v>0</v>
      </c>
      <c r="AC321" s="120"/>
      <c r="AD321" s="39"/>
      <c r="AE321" s="39"/>
      <c r="AF321" s="39"/>
      <c r="AG321" s="39"/>
      <c r="AH321" s="39"/>
      <c r="AI321" s="123" t="str">
        <f t="shared" si="75"/>
        <v xml:space="preserve"> </v>
      </c>
      <c r="AJ321" s="123" t="str">
        <f t="shared" si="76"/>
        <v xml:space="preserve"> </v>
      </c>
      <c r="AK321" s="35"/>
      <c r="AL321" s="35"/>
      <c r="AM321" s="35"/>
      <c r="AU321" s="35"/>
    </row>
    <row r="322" spans="1:47" ht="12" customHeight="1" x14ac:dyDescent="0.2">
      <c r="A322" s="236"/>
      <c r="B322" s="250" t="s">
        <v>155</v>
      </c>
      <c r="C322" s="121"/>
      <c r="D322" s="167"/>
      <c r="E322" s="167"/>
      <c r="F322" s="169" t="s">
        <v>1130</v>
      </c>
      <c r="G322" s="317" t="s">
        <v>155</v>
      </c>
      <c r="H322" s="97" t="s">
        <v>14</v>
      </c>
      <c r="I322" s="166" t="s">
        <v>759</v>
      </c>
      <c r="J322" s="167">
        <v>3000</v>
      </c>
      <c r="K322" s="121">
        <f t="shared" si="71"/>
        <v>22</v>
      </c>
      <c r="L322" s="121">
        <f t="shared" si="72"/>
        <v>1.6</v>
      </c>
      <c r="M322" s="336" t="s">
        <v>1107</v>
      </c>
      <c r="N322" s="237" t="s">
        <v>17</v>
      </c>
      <c r="O322" s="98" t="s">
        <v>20</v>
      </c>
      <c r="P322" s="168" t="s">
        <v>258</v>
      </c>
      <c r="Q322" s="169" t="s">
        <v>556</v>
      </c>
      <c r="R322" s="37"/>
      <c r="S322" s="36"/>
      <c r="T322" s="23"/>
      <c r="U322" s="35"/>
      <c r="V322" s="24"/>
      <c r="W322" s="154"/>
      <c r="X322" s="121">
        <v>22</v>
      </c>
      <c r="Y322" s="121"/>
      <c r="Z322" s="122">
        <f>X322</f>
        <v>22</v>
      </c>
      <c r="AA322" s="123">
        <f t="shared" si="73"/>
        <v>66000</v>
      </c>
      <c r="AB322" s="123">
        <f t="shared" si="74"/>
        <v>3000</v>
      </c>
      <c r="AC322" s="120"/>
      <c r="AD322" s="39"/>
      <c r="AE322" s="39"/>
      <c r="AF322" s="39">
        <v>1.6</v>
      </c>
      <c r="AG322" s="39"/>
      <c r="AH322" s="39">
        <f>AF322</f>
        <v>1.6</v>
      </c>
      <c r="AI322" s="123">
        <f t="shared" si="75"/>
        <v>4800</v>
      </c>
      <c r="AJ322" s="123">
        <f t="shared" si="76"/>
        <v>3000</v>
      </c>
      <c r="AK322" s="35"/>
      <c r="AL322" s="35"/>
      <c r="AM322" s="35"/>
      <c r="AU322" s="35"/>
    </row>
    <row r="323" spans="1:47" ht="12" customHeight="1" x14ac:dyDescent="0.2">
      <c r="A323" s="236"/>
      <c r="B323" s="184" t="s">
        <v>70</v>
      </c>
      <c r="C323" s="121"/>
      <c r="D323" s="167"/>
      <c r="E323" s="167"/>
      <c r="F323" s="169" t="s">
        <v>1125</v>
      </c>
      <c r="G323" s="315" t="s">
        <v>70</v>
      </c>
      <c r="H323" s="97" t="s">
        <v>75</v>
      </c>
      <c r="I323" s="166">
        <v>1999</v>
      </c>
      <c r="J323" s="167">
        <v>9938</v>
      </c>
      <c r="K323" s="121">
        <f t="shared" si="71"/>
        <v>40</v>
      </c>
      <c r="L323" s="121">
        <f t="shared" si="72"/>
        <v>14</v>
      </c>
      <c r="M323" s="332" t="s">
        <v>1041</v>
      </c>
      <c r="N323" s="98" t="s">
        <v>15</v>
      </c>
      <c r="O323" s="98" t="s">
        <v>19</v>
      </c>
      <c r="P323" s="168"/>
      <c r="Q323" s="169" t="s">
        <v>523</v>
      </c>
      <c r="R323" s="37"/>
      <c r="S323" s="36"/>
      <c r="T323" s="23"/>
      <c r="U323" s="35"/>
      <c r="V323" s="24"/>
      <c r="W323" s="154"/>
      <c r="X323" s="121"/>
      <c r="Y323" s="121"/>
      <c r="Z323" s="122">
        <v>40</v>
      </c>
      <c r="AA323" s="123">
        <f t="shared" si="73"/>
        <v>397520</v>
      </c>
      <c r="AB323" s="123">
        <f t="shared" si="74"/>
        <v>9938</v>
      </c>
      <c r="AC323" s="120"/>
      <c r="AD323" s="39">
        <v>14</v>
      </c>
      <c r="AE323" s="39"/>
      <c r="AF323" s="39"/>
      <c r="AG323" s="39"/>
      <c r="AH323" s="39">
        <v>14</v>
      </c>
      <c r="AI323" s="123">
        <f t="shared" si="75"/>
        <v>139132</v>
      </c>
      <c r="AJ323" s="123">
        <f t="shared" si="76"/>
        <v>9938</v>
      </c>
      <c r="AK323" s="35"/>
      <c r="AL323" s="35"/>
      <c r="AM323" s="35"/>
      <c r="AU323" s="35"/>
    </row>
    <row r="324" spans="1:47" ht="12" customHeight="1" x14ac:dyDescent="0.2">
      <c r="A324" s="236"/>
      <c r="B324" s="184" t="s">
        <v>70</v>
      </c>
      <c r="C324" s="121"/>
      <c r="D324" s="167"/>
      <c r="E324" s="167"/>
      <c r="F324" s="169" t="s">
        <v>1125</v>
      </c>
      <c r="G324" s="315" t="s">
        <v>70</v>
      </c>
      <c r="H324" s="97"/>
      <c r="I324" s="166">
        <v>2004</v>
      </c>
      <c r="J324" s="167">
        <v>500</v>
      </c>
      <c r="K324" s="121">
        <f t="shared" si="71"/>
        <v>48</v>
      </c>
      <c r="L324" s="121">
        <f t="shared" si="72"/>
        <v>24</v>
      </c>
      <c r="M324" s="333" t="s">
        <v>1044</v>
      </c>
      <c r="N324" s="98"/>
      <c r="O324" s="98"/>
      <c r="P324" s="168"/>
      <c r="Q324" s="169" t="s">
        <v>957</v>
      </c>
      <c r="R324" s="37"/>
      <c r="S324" s="36"/>
      <c r="T324" s="23"/>
      <c r="U324" s="35"/>
      <c r="V324" s="24"/>
      <c r="W324" s="154"/>
      <c r="X324" s="121">
        <v>48</v>
      </c>
      <c r="Y324" s="121"/>
      <c r="Z324" s="122">
        <f>X324</f>
        <v>48</v>
      </c>
      <c r="AA324" s="123">
        <f>IF(Z324&gt;0,$J324*Z324," ")</f>
        <v>24000</v>
      </c>
      <c r="AB324" s="123">
        <f>IF(Z324&gt;0,$J324," ")</f>
        <v>500</v>
      </c>
      <c r="AC324" s="120"/>
      <c r="AD324" s="39"/>
      <c r="AE324" s="39"/>
      <c r="AF324" s="39">
        <v>24</v>
      </c>
      <c r="AG324" s="39"/>
      <c r="AH324" s="39">
        <f>AF324</f>
        <v>24</v>
      </c>
      <c r="AI324" s="123">
        <f>IF(AH324&gt;0,$J324*AH324," ")</f>
        <v>12000</v>
      </c>
      <c r="AJ324" s="123">
        <f>IF(AH324&gt;0,$J324," ")</f>
        <v>500</v>
      </c>
      <c r="AK324" s="35"/>
      <c r="AL324" s="35"/>
      <c r="AM324" s="35"/>
      <c r="AU324" s="35"/>
    </row>
    <row r="325" spans="1:47" ht="12" customHeight="1" x14ac:dyDescent="0.2">
      <c r="A325" s="236"/>
      <c r="B325" s="184" t="s">
        <v>70</v>
      </c>
      <c r="C325" s="121"/>
      <c r="D325" s="167"/>
      <c r="E325" s="167"/>
      <c r="F325" s="169" t="s">
        <v>1125</v>
      </c>
      <c r="G325" s="315" t="s">
        <v>70</v>
      </c>
      <c r="H325" s="97" t="s">
        <v>252</v>
      </c>
      <c r="I325" s="166">
        <v>2004</v>
      </c>
      <c r="J325" s="167">
        <v>506</v>
      </c>
      <c r="K325" s="121">
        <f t="shared" si="71"/>
        <v>35</v>
      </c>
      <c r="L325" s="121">
        <f t="shared" si="72"/>
        <v>25.3</v>
      </c>
      <c r="M325" s="332" t="s">
        <v>1041</v>
      </c>
      <c r="N325" s="98" t="s">
        <v>78</v>
      </c>
      <c r="O325" s="98" t="s">
        <v>19</v>
      </c>
      <c r="P325" s="168"/>
      <c r="Q325" s="169" t="s">
        <v>523</v>
      </c>
      <c r="R325" s="37"/>
      <c r="S325" s="36"/>
      <c r="T325" s="23"/>
      <c r="U325" s="35"/>
      <c r="V325" s="24"/>
      <c r="W325" s="154"/>
      <c r="X325" s="121"/>
      <c r="Y325" s="121"/>
      <c r="Z325" s="122">
        <v>35</v>
      </c>
      <c r="AA325" s="123">
        <f t="shared" si="73"/>
        <v>17710</v>
      </c>
      <c r="AB325" s="123">
        <f t="shared" si="74"/>
        <v>506</v>
      </c>
      <c r="AC325" s="120"/>
      <c r="AD325" s="39">
        <v>25.3</v>
      </c>
      <c r="AE325" s="39"/>
      <c r="AF325" s="39"/>
      <c r="AG325" s="39"/>
      <c r="AH325" s="39">
        <v>25.3</v>
      </c>
      <c r="AI325" s="123">
        <f t="shared" si="75"/>
        <v>12801.800000000001</v>
      </c>
      <c r="AJ325" s="123">
        <f t="shared" si="76"/>
        <v>506</v>
      </c>
      <c r="AK325" s="35"/>
      <c r="AL325" s="35"/>
      <c r="AM325" s="35"/>
      <c r="AU325" s="35"/>
    </row>
    <row r="326" spans="1:47" ht="12" customHeight="1" x14ac:dyDescent="0.2">
      <c r="A326" s="236"/>
      <c r="B326" s="184" t="s">
        <v>70</v>
      </c>
      <c r="C326" s="121"/>
      <c r="D326" s="167"/>
      <c r="E326" s="167"/>
      <c r="F326" s="169" t="s">
        <v>1125</v>
      </c>
      <c r="G326" s="315" t="s">
        <v>70</v>
      </c>
      <c r="H326" s="97" t="s">
        <v>254</v>
      </c>
      <c r="I326" s="166">
        <v>2004</v>
      </c>
      <c r="J326" s="167">
        <v>700</v>
      </c>
      <c r="K326" s="121">
        <f t="shared" si="71"/>
        <v>43</v>
      </c>
      <c r="L326" s="121">
        <f t="shared" si="72"/>
        <v>19.600000000000001</v>
      </c>
      <c r="M326" s="332" t="s">
        <v>1041</v>
      </c>
      <c r="N326" s="98" t="s">
        <v>78</v>
      </c>
      <c r="O326" s="98" t="s">
        <v>19</v>
      </c>
      <c r="P326" s="168"/>
      <c r="Q326" s="169" t="s">
        <v>523</v>
      </c>
      <c r="R326" s="37"/>
      <c r="S326" s="36"/>
      <c r="T326" s="23"/>
      <c r="U326" s="35"/>
      <c r="V326" s="24"/>
      <c r="W326" s="154"/>
      <c r="X326" s="121"/>
      <c r="Y326" s="121"/>
      <c r="Z326" s="122">
        <v>43</v>
      </c>
      <c r="AA326" s="123">
        <f t="shared" si="73"/>
        <v>30100</v>
      </c>
      <c r="AB326" s="123">
        <f t="shared" si="74"/>
        <v>700</v>
      </c>
      <c r="AC326" s="120"/>
      <c r="AD326" s="39">
        <v>19.600000000000001</v>
      </c>
      <c r="AE326" s="39"/>
      <c r="AF326" s="39"/>
      <c r="AG326" s="39"/>
      <c r="AH326" s="39">
        <v>19.600000000000001</v>
      </c>
      <c r="AI326" s="123">
        <f t="shared" si="75"/>
        <v>13720.000000000002</v>
      </c>
      <c r="AJ326" s="123">
        <f t="shared" si="76"/>
        <v>700</v>
      </c>
      <c r="AK326" s="35"/>
      <c r="AL326" s="35"/>
      <c r="AM326" s="35"/>
      <c r="AU326" s="35"/>
    </row>
    <row r="327" spans="1:47" ht="12" customHeight="1" x14ac:dyDescent="0.2">
      <c r="A327" s="236"/>
      <c r="B327" s="184" t="s">
        <v>70</v>
      </c>
      <c r="C327" s="121"/>
      <c r="D327" s="167"/>
      <c r="E327" s="167"/>
      <c r="F327" s="169" t="s">
        <v>1125</v>
      </c>
      <c r="G327" s="315" t="s">
        <v>70</v>
      </c>
      <c r="H327" s="97" t="s">
        <v>253</v>
      </c>
      <c r="I327" s="166">
        <v>2004</v>
      </c>
      <c r="J327" s="167">
        <v>716</v>
      </c>
      <c r="K327" s="121">
        <f t="shared" si="71"/>
        <v>31</v>
      </c>
      <c r="L327" s="121">
        <f t="shared" si="72"/>
        <v>16</v>
      </c>
      <c r="M327" s="332" t="s">
        <v>1041</v>
      </c>
      <c r="N327" s="98" t="s">
        <v>78</v>
      </c>
      <c r="O327" s="98" t="s">
        <v>19</v>
      </c>
      <c r="P327" s="168"/>
      <c r="Q327" s="169" t="s">
        <v>523</v>
      </c>
      <c r="R327" s="37"/>
      <c r="S327" s="36"/>
      <c r="T327" s="23"/>
      <c r="U327" s="35"/>
      <c r="V327" s="24"/>
      <c r="W327" s="154"/>
      <c r="X327" s="121"/>
      <c r="Y327" s="121"/>
      <c r="Z327" s="122">
        <v>31</v>
      </c>
      <c r="AA327" s="123">
        <f t="shared" si="73"/>
        <v>22196</v>
      </c>
      <c r="AB327" s="123">
        <f t="shared" si="74"/>
        <v>716</v>
      </c>
      <c r="AC327" s="120"/>
      <c r="AD327" s="39">
        <v>16</v>
      </c>
      <c r="AE327" s="39"/>
      <c r="AF327" s="39"/>
      <c r="AG327" s="39"/>
      <c r="AH327" s="39">
        <v>16</v>
      </c>
      <c r="AI327" s="123">
        <f t="shared" si="75"/>
        <v>11456</v>
      </c>
      <c r="AJ327" s="123">
        <f t="shared" si="76"/>
        <v>716</v>
      </c>
      <c r="AK327" s="35"/>
      <c r="AL327" s="35"/>
      <c r="AM327" s="35"/>
      <c r="AU327" s="35"/>
    </row>
    <row r="328" spans="1:47" ht="12" customHeight="1" x14ac:dyDescent="0.2">
      <c r="A328" s="236"/>
      <c r="B328" s="184" t="s">
        <v>70</v>
      </c>
      <c r="C328" s="121"/>
      <c r="D328" s="167"/>
      <c r="E328" s="167"/>
      <c r="F328" s="169" t="s">
        <v>1125</v>
      </c>
      <c r="G328" s="315" t="s">
        <v>70</v>
      </c>
      <c r="H328" s="97" t="s">
        <v>864</v>
      </c>
      <c r="I328" s="166">
        <v>2005</v>
      </c>
      <c r="J328" s="167">
        <v>397</v>
      </c>
      <c r="K328" s="121">
        <f t="shared" si="71"/>
        <v>29</v>
      </c>
      <c r="L328" s="121" t="str">
        <f t="shared" si="72"/>
        <v/>
      </c>
      <c r="M328" s="333" t="s">
        <v>1044</v>
      </c>
      <c r="N328" s="98"/>
      <c r="O328" s="98"/>
      <c r="P328" s="168"/>
      <c r="Q328" s="169" t="s">
        <v>957</v>
      </c>
      <c r="R328" s="37"/>
      <c r="S328" s="36"/>
      <c r="T328" s="23"/>
      <c r="U328" s="35"/>
      <c r="V328" s="24"/>
      <c r="W328" s="154"/>
      <c r="X328" s="121">
        <v>29</v>
      </c>
      <c r="Y328" s="121"/>
      <c r="Z328" s="122">
        <f>X328</f>
        <v>29</v>
      </c>
      <c r="AA328" s="123">
        <f>IF(Z328&gt;0,$J328*Z328," ")</f>
        <v>11513</v>
      </c>
      <c r="AB328" s="123">
        <f>IF(Z328&gt;0,$J328," ")</f>
        <v>397</v>
      </c>
      <c r="AC328" s="120"/>
      <c r="AD328" s="39"/>
      <c r="AE328" s="39"/>
      <c r="AF328" s="39"/>
      <c r="AG328" s="39"/>
      <c r="AH328" s="39"/>
      <c r="AI328" s="123"/>
      <c r="AJ328" s="123"/>
      <c r="AK328" s="35"/>
      <c r="AL328" s="35"/>
      <c r="AM328" s="35"/>
      <c r="AU328" s="35"/>
    </row>
    <row r="329" spans="1:47" ht="12" customHeight="1" x14ac:dyDescent="0.2">
      <c r="A329" s="236"/>
      <c r="B329" s="245" t="s">
        <v>70</v>
      </c>
      <c r="C329" s="291"/>
      <c r="D329" s="248"/>
      <c r="E329" s="248"/>
      <c r="F329" s="237" t="s">
        <v>1125</v>
      </c>
      <c r="G329" s="316" t="s">
        <v>70</v>
      </c>
      <c r="H329" s="246" t="s">
        <v>629</v>
      </c>
      <c r="I329" s="246">
        <v>2007</v>
      </c>
      <c r="J329" s="248">
        <v>1238</v>
      </c>
      <c r="K329" s="121">
        <f t="shared" si="71"/>
        <v>7.2</v>
      </c>
      <c r="L329" s="121" t="str">
        <f t="shared" si="72"/>
        <v/>
      </c>
      <c r="M329" s="333" t="s">
        <v>694</v>
      </c>
      <c r="N329" s="247" t="s">
        <v>17</v>
      </c>
      <c r="O329" s="247" t="s">
        <v>642</v>
      </c>
      <c r="P329" s="168" t="s">
        <v>628</v>
      </c>
      <c r="Q329" s="237" t="s">
        <v>965</v>
      </c>
      <c r="R329" s="37"/>
      <c r="S329" s="36"/>
      <c r="T329" s="23"/>
      <c r="U329" s="35"/>
      <c r="V329" s="24"/>
      <c r="W329" s="154"/>
      <c r="X329" s="121">
        <v>7.2</v>
      </c>
      <c r="Y329" s="121"/>
      <c r="Z329" s="122">
        <f>X329</f>
        <v>7.2</v>
      </c>
      <c r="AA329" s="123">
        <f t="shared" si="73"/>
        <v>8913.6</v>
      </c>
      <c r="AB329" s="123">
        <f t="shared" si="74"/>
        <v>1238</v>
      </c>
      <c r="AC329" s="120"/>
      <c r="AD329" s="39"/>
      <c r="AE329" s="39"/>
      <c r="AF329" s="39"/>
      <c r="AG329" s="39"/>
      <c r="AH329" s="39"/>
      <c r="AI329" s="123" t="str">
        <f t="shared" si="75"/>
        <v xml:space="preserve"> </v>
      </c>
      <c r="AJ329" s="123" t="str">
        <f t="shared" si="76"/>
        <v xml:space="preserve"> </v>
      </c>
      <c r="AK329" s="35"/>
      <c r="AL329" s="35"/>
      <c r="AM329" s="35"/>
      <c r="AU329" s="35"/>
    </row>
    <row r="330" spans="1:47" ht="12" customHeight="1" x14ac:dyDescent="0.2">
      <c r="A330" s="236"/>
      <c r="B330" s="184" t="s">
        <v>70</v>
      </c>
      <c r="C330" s="121"/>
      <c r="D330" s="167"/>
      <c r="E330" s="167"/>
      <c r="F330" s="237" t="s">
        <v>1125</v>
      </c>
      <c r="G330" s="315" t="s">
        <v>70</v>
      </c>
      <c r="H330" s="97" t="s">
        <v>211</v>
      </c>
      <c r="I330" s="97" t="s">
        <v>210</v>
      </c>
      <c r="J330" s="167">
        <v>859</v>
      </c>
      <c r="K330" s="121">
        <f t="shared" si="71"/>
        <v>37</v>
      </c>
      <c r="L330" s="121" t="str">
        <f t="shared" si="72"/>
        <v/>
      </c>
      <c r="M330" s="37" t="s">
        <v>1059</v>
      </c>
      <c r="N330" s="98" t="s">
        <v>18</v>
      </c>
      <c r="O330" s="98" t="s">
        <v>233</v>
      </c>
      <c r="P330" s="168"/>
      <c r="Q330" s="98" t="s">
        <v>218</v>
      </c>
      <c r="R330" s="37"/>
      <c r="S330" s="36"/>
      <c r="T330" s="23"/>
      <c r="U330" s="35"/>
      <c r="V330" s="24"/>
      <c r="W330" s="154"/>
      <c r="X330" s="121"/>
      <c r="Y330" s="121"/>
      <c r="Z330" s="122">
        <v>37</v>
      </c>
      <c r="AA330" s="123">
        <f t="shared" si="73"/>
        <v>31783</v>
      </c>
      <c r="AB330" s="123">
        <f t="shared" si="74"/>
        <v>859</v>
      </c>
      <c r="AC330" s="120"/>
      <c r="AD330" s="39"/>
      <c r="AE330" s="39"/>
      <c r="AF330" s="39"/>
      <c r="AG330" s="39"/>
      <c r="AH330" s="38"/>
      <c r="AI330" s="123" t="str">
        <f t="shared" si="75"/>
        <v xml:space="preserve"> </v>
      </c>
      <c r="AJ330" s="123" t="str">
        <f t="shared" si="76"/>
        <v xml:space="preserve"> </v>
      </c>
      <c r="AK330" s="35"/>
      <c r="AL330" s="35"/>
      <c r="AM330" s="35"/>
      <c r="AU330" s="128"/>
    </row>
    <row r="331" spans="1:47" ht="12" customHeight="1" x14ac:dyDescent="0.2">
      <c r="A331" s="236"/>
      <c r="B331" s="184" t="s">
        <v>70</v>
      </c>
      <c r="C331" s="121"/>
      <c r="D331" s="167"/>
      <c r="E331" s="167"/>
      <c r="F331" s="237" t="s">
        <v>1125</v>
      </c>
      <c r="G331" s="315" t="s">
        <v>70</v>
      </c>
      <c r="H331" s="97" t="s">
        <v>212</v>
      </c>
      <c r="I331" s="97" t="s">
        <v>210</v>
      </c>
      <c r="J331" s="167">
        <v>983</v>
      </c>
      <c r="K331" s="121">
        <f t="shared" si="71"/>
        <v>45</v>
      </c>
      <c r="L331" s="121" t="str">
        <f t="shared" si="72"/>
        <v/>
      </c>
      <c r="M331" s="37" t="s">
        <v>1059</v>
      </c>
      <c r="N331" s="98" t="s">
        <v>18</v>
      </c>
      <c r="O331" s="98" t="s">
        <v>233</v>
      </c>
      <c r="P331" s="168"/>
      <c r="Q331" s="98" t="s">
        <v>218</v>
      </c>
      <c r="R331" s="37"/>
      <c r="S331" s="36"/>
      <c r="T331" s="23"/>
      <c r="U331" s="35"/>
      <c r="V331" s="24"/>
      <c r="W331" s="154"/>
      <c r="X331" s="121"/>
      <c r="Y331" s="121"/>
      <c r="Z331" s="122">
        <v>45</v>
      </c>
      <c r="AA331" s="123">
        <f t="shared" si="73"/>
        <v>44235</v>
      </c>
      <c r="AB331" s="123">
        <f t="shared" si="74"/>
        <v>983</v>
      </c>
      <c r="AC331" s="120"/>
      <c r="AD331" s="39"/>
      <c r="AE331" s="39"/>
      <c r="AF331" s="39"/>
      <c r="AG331" s="39"/>
      <c r="AH331" s="38"/>
      <c r="AI331" s="123" t="str">
        <f t="shared" si="75"/>
        <v xml:space="preserve"> </v>
      </c>
      <c r="AJ331" s="123" t="str">
        <f t="shared" si="76"/>
        <v xml:space="preserve"> </v>
      </c>
      <c r="AK331" s="35"/>
      <c r="AL331" s="35"/>
      <c r="AM331" s="35"/>
      <c r="AU331" s="128"/>
    </row>
    <row r="332" spans="1:47" ht="12" customHeight="1" x14ac:dyDescent="0.2">
      <c r="A332" s="236"/>
      <c r="B332" s="184" t="s">
        <v>70</v>
      </c>
      <c r="C332" s="121"/>
      <c r="D332" s="167"/>
      <c r="E332" s="167"/>
      <c r="F332" s="237" t="s">
        <v>1125</v>
      </c>
      <c r="G332" s="315" t="s">
        <v>70</v>
      </c>
      <c r="H332" s="97" t="s">
        <v>213</v>
      </c>
      <c r="I332" s="97" t="s">
        <v>26</v>
      </c>
      <c r="J332" s="167">
        <v>6695</v>
      </c>
      <c r="K332" s="121">
        <f t="shared" si="71"/>
        <v>30</v>
      </c>
      <c r="L332" s="121" t="str">
        <f t="shared" si="72"/>
        <v/>
      </c>
      <c r="M332" s="37" t="s">
        <v>1059</v>
      </c>
      <c r="N332" s="98" t="s">
        <v>78</v>
      </c>
      <c r="O332" s="98" t="s">
        <v>234</v>
      </c>
      <c r="P332" s="168"/>
      <c r="Q332" s="98" t="s">
        <v>218</v>
      </c>
      <c r="R332" s="37"/>
      <c r="S332" s="36"/>
      <c r="T332" s="23"/>
      <c r="U332" s="35"/>
      <c r="V332" s="24"/>
      <c r="W332" s="154"/>
      <c r="X332" s="121"/>
      <c r="Y332" s="121"/>
      <c r="Z332" s="122">
        <v>30</v>
      </c>
      <c r="AA332" s="123">
        <f t="shared" si="73"/>
        <v>200850</v>
      </c>
      <c r="AB332" s="123">
        <f t="shared" si="74"/>
        <v>6695</v>
      </c>
      <c r="AC332" s="120"/>
      <c r="AD332" s="39"/>
      <c r="AE332" s="39"/>
      <c r="AF332" s="39"/>
      <c r="AG332" s="39"/>
      <c r="AH332" s="38"/>
      <c r="AI332" s="123" t="str">
        <f t="shared" si="75"/>
        <v xml:space="preserve"> </v>
      </c>
      <c r="AJ332" s="123" t="str">
        <f t="shared" si="76"/>
        <v xml:space="preserve"> </v>
      </c>
      <c r="AK332" s="35"/>
      <c r="AL332" s="35"/>
      <c r="AM332" s="35"/>
      <c r="AU332" s="128"/>
    </row>
    <row r="333" spans="1:47" ht="12" customHeight="1" x14ac:dyDescent="0.2">
      <c r="A333" s="236"/>
      <c r="B333" s="245" t="s">
        <v>70</v>
      </c>
      <c r="C333" s="291"/>
      <c r="D333" s="248"/>
      <c r="E333" s="248"/>
      <c r="F333" s="19" t="s">
        <v>1125</v>
      </c>
      <c r="G333" s="316" t="s">
        <v>70</v>
      </c>
      <c r="H333" s="186" t="s">
        <v>14</v>
      </c>
      <c r="I333" s="246" t="s">
        <v>74</v>
      </c>
      <c r="J333" s="248">
        <v>90303</v>
      </c>
      <c r="K333" s="121">
        <f t="shared" si="71"/>
        <v>19</v>
      </c>
      <c r="L333" s="121" t="str">
        <f t="shared" si="72"/>
        <v/>
      </c>
      <c r="M333" s="333" t="s">
        <v>1042</v>
      </c>
      <c r="N333" s="247" t="s">
        <v>15</v>
      </c>
      <c r="O333" s="247" t="s">
        <v>19</v>
      </c>
      <c r="P333" s="237" t="s">
        <v>244</v>
      </c>
      <c r="Q333" s="19" t="s">
        <v>1003</v>
      </c>
      <c r="R333" s="37"/>
      <c r="S333" s="36"/>
      <c r="T333" s="23"/>
      <c r="U333" s="128"/>
      <c r="V333" s="128"/>
      <c r="W333" s="127"/>
      <c r="X333" s="121">
        <v>19</v>
      </c>
      <c r="Y333" s="121"/>
      <c r="Z333" s="122">
        <f t="shared" ref="Z333:Z338" si="77">X333</f>
        <v>19</v>
      </c>
      <c r="AA333" s="123">
        <f t="shared" si="73"/>
        <v>1715757</v>
      </c>
      <c r="AB333" s="123">
        <f>IF(Z333&gt;0,$J333," ")</f>
        <v>90303</v>
      </c>
      <c r="AC333" s="127"/>
      <c r="AD333" s="161"/>
      <c r="AE333" s="161"/>
      <c r="AF333" s="161"/>
      <c r="AG333" s="42"/>
      <c r="AH333" s="161"/>
      <c r="AI333" s="123" t="str">
        <f t="shared" si="75"/>
        <v xml:space="preserve"> </v>
      </c>
      <c r="AJ333" s="123" t="str">
        <f t="shared" si="76"/>
        <v xml:space="preserve"> </v>
      </c>
      <c r="AK333" s="128"/>
      <c r="AL333" s="128"/>
      <c r="AM333" s="128"/>
      <c r="AU333" s="35"/>
    </row>
    <row r="334" spans="1:47" ht="12" customHeight="1" x14ac:dyDescent="0.2">
      <c r="A334" s="236"/>
      <c r="B334" s="245" t="s">
        <v>70</v>
      </c>
      <c r="C334" s="291"/>
      <c r="D334" s="248"/>
      <c r="E334" s="248"/>
      <c r="F334" s="19" t="s">
        <v>1125</v>
      </c>
      <c r="G334" s="316" t="s">
        <v>70</v>
      </c>
      <c r="H334" s="186" t="s">
        <v>14</v>
      </c>
      <c r="I334" s="246" t="s">
        <v>235</v>
      </c>
      <c r="J334" s="248">
        <v>124385</v>
      </c>
      <c r="K334" s="121">
        <f t="shared" si="71"/>
        <v>35.83</v>
      </c>
      <c r="L334" s="121">
        <f t="shared" si="72"/>
        <v>21.4</v>
      </c>
      <c r="M334" s="333" t="s">
        <v>1042</v>
      </c>
      <c r="N334" s="247" t="s">
        <v>15</v>
      </c>
      <c r="O334" s="247" t="s">
        <v>19</v>
      </c>
      <c r="P334" s="237" t="s">
        <v>244</v>
      </c>
      <c r="Q334" s="19" t="s">
        <v>1003</v>
      </c>
      <c r="R334" s="37" t="s">
        <v>1121</v>
      </c>
      <c r="S334" s="36"/>
      <c r="T334" s="23"/>
      <c r="U334" s="128"/>
      <c r="V334" s="128"/>
      <c r="W334" s="127"/>
      <c r="X334" s="121">
        <v>35.83</v>
      </c>
      <c r="Y334" s="121"/>
      <c r="Z334" s="122">
        <f t="shared" si="77"/>
        <v>35.83</v>
      </c>
      <c r="AA334" s="123">
        <f t="shared" si="73"/>
        <v>4456714.55</v>
      </c>
      <c r="AB334" s="123">
        <f t="shared" si="74"/>
        <v>124385</v>
      </c>
      <c r="AC334" s="127"/>
      <c r="AD334" s="161"/>
      <c r="AE334" s="161"/>
      <c r="AF334" s="161">
        <f>21.4</f>
        <v>21.4</v>
      </c>
      <c r="AG334" s="42"/>
      <c r="AH334" s="161">
        <f>AF334</f>
        <v>21.4</v>
      </c>
      <c r="AI334" s="123">
        <f t="shared" si="75"/>
        <v>2661839</v>
      </c>
      <c r="AJ334" s="123">
        <f t="shared" si="76"/>
        <v>124385</v>
      </c>
      <c r="AK334" s="128"/>
      <c r="AL334" s="128"/>
      <c r="AM334" s="128"/>
      <c r="AS334" s="72"/>
      <c r="AU334" s="35"/>
    </row>
    <row r="335" spans="1:47" ht="12" customHeight="1" x14ac:dyDescent="0.2">
      <c r="A335" s="236"/>
      <c r="B335" s="184" t="s">
        <v>71</v>
      </c>
      <c r="C335" s="121"/>
      <c r="D335" s="167"/>
      <c r="E335" s="167"/>
      <c r="F335" s="169" t="s">
        <v>1125</v>
      </c>
      <c r="G335" s="315" t="s">
        <v>71</v>
      </c>
      <c r="H335" s="97" t="s">
        <v>76</v>
      </c>
      <c r="I335" s="166">
        <v>2000</v>
      </c>
      <c r="J335" s="167">
        <v>765</v>
      </c>
      <c r="K335" s="121">
        <f t="shared" si="71"/>
        <v>11</v>
      </c>
      <c r="L335" s="121">
        <f t="shared" si="72"/>
        <v>2</v>
      </c>
      <c r="M335" s="332" t="s">
        <v>1041</v>
      </c>
      <c r="N335" s="98" t="s">
        <v>78</v>
      </c>
      <c r="O335" s="98" t="s">
        <v>19</v>
      </c>
      <c r="P335" s="168" t="s">
        <v>243</v>
      </c>
      <c r="Q335" s="169" t="s">
        <v>523</v>
      </c>
      <c r="R335" s="37"/>
      <c r="S335" s="36"/>
      <c r="T335" s="23"/>
      <c r="U335" s="35" t="s">
        <v>780</v>
      </c>
      <c r="V335" s="24"/>
      <c r="W335" s="154"/>
      <c r="X335" s="121">
        <v>11</v>
      </c>
      <c r="Y335" s="121"/>
      <c r="Z335" s="122">
        <f t="shared" si="77"/>
        <v>11</v>
      </c>
      <c r="AA335" s="123">
        <f t="shared" si="73"/>
        <v>8415</v>
      </c>
      <c r="AB335" s="123">
        <f t="shared" si="74"/>
        <v>765</v>
      </c>
      <c r="AC335" s="120"/>
      <c r="AD335" s="39">
        <v>2</v>
      </c>
      <c r="AE335" s="39"/>
      <c r="AF335" s="39"/>
      <c r="AG335" s="39"/>
      <c r="AH335" s="39">
        <v>2</v>
      </c>
      <c r="AI335" s="123">
        <f t="shared" si="75"/>
        <v>1530</v>
      </c>
      <c r="AJ335" s="123">
        <f t="shared" si="76"/>
        <v>765</v>
      </c>
      <c r="AK335" s="35"/>
      <c r="AL335" s="35"/>
      <c r="AM335" s="35"/>
      <c r="AS335" s="72"/>
      <c r="AU335" s="35"/>
    </row>
    <row r="336" spans="1:47" ht="12" customHeight="1" x14ac:dyDescent="0.2">
      <c r="A336" s="236"/>
      <c r="B336" s="245" t="s">
        <v>71</v>
      </c>
      <c r="C336" s="291"/>
      <c r="D336" s="248"/>
      <c r="E336" s="248"/>
      <c r="F336" s="169" t="s">
        <v>1125</v>
      </c>
      <c r="G336" s="316" t="s">
        <v>71</v>
      </c>
      <c r="H336" s="97" t="s">
        <v>684</v>
      </c>
      <c r="I336" s="246">
        <v>2001</v>
      </c>
      <c r="J336" s="248">
        <v>591</v>
      </c>
      <c r="K336" s="121">
        <f t="shared" si="71"/>
        <v>4.7</v>
      </c>
      <c r="L336" s="121" t="str">
        <f t="shared" si="72"/>
        <v/>
      </c>
      <c r="M336" s="335" t="s">
        <v>685</v>
      </c>
      <c r="N336" s="237" t="s">
        <v>17</v>
      </c>
      <c r="O336" s="237" t="s">
        <v>643</v>
      </c>
      <c r="P336" s="168" t="s">
        <v>628</v>
      </c>
      <c r="Q336" s="169" t="s">
        <v>237</v>
      </c>
      <c r="R336" s="37"/>
      <c r="S336" s="36"/>
      <c r="T336" s="23"/>
      <c r="U336" s="35"/>
      <c r="V336" s="24"/>
      <c r="W336" s="154"/>
      <c r="X336" s="121">
        <v>4.7</v>
      </c>
      <c r="Y336" s="121"/>
      <c r="Z336" s="122">
        <f t="shared" si="77"/>
        <v>4.7</v>
      </c>
      <c r="AA336" s="123">
        <f t="shared" si="73"/>
        <v>2777.7000000000003</v>
      </c>
      <c r="AB336" s="123">
        <f t="shared" si="74"/>
        <v>591</v>
      </c>
      <c r="AC336" s="120"/>
      <c r="AD336" s="39"/>
      <c r="AE336" s="39"/>
      <c r="AF336" s="39"/>
      <c r="AG336" s="39"/>
      <c r="AH336" s="39"/>
      <c r="AI336" s="123" t="str">
        <f t="shared" si="75"/>
        <v xml:space="preserve"> </v>
      </c>
      <c r="AJ336" s="123" t="str">
        <f t="shared" si="76"/>
        <v xml:space="preserve"> </v>
      </c>
      <c r="AK336" s="35"/>
      <c r="AL336" s="35"/>
      <c r="AM336" s="35"/>
      <c r="AU336" s="35"/>
    </row>
    <row r="337" spans="1:47" ht="12" customHeight="1" x14ac:dyDescent="0.2">
      <c r="A337" s="236"/>
      <c r="B337" s="245" t="s">
        <v>71</v>
      </c>
      <c r="C337" s="291"/>
      <c r="D337" s="248"/>
      <c r="E337" s="248"/>
      <c r="F337" s="169" t="s">
        <v>1125</v>
      </c>
      <c r="G337" s="316" t="s">
        <v>71</v>
      </c>
      <c r="H337" s="97" t="s">
        <v>684</v>
      </c>
      <c r="I337" s="246">
        <v>2002</v>
      </c>
      <c r="J337" s="248">
        <v>503</v>
      </c>
      <c r="K337" s="121">
        <f t="shared" si="71"/>
        <v>5.6</v>
      </c>
      <c r="L337" s="121" t="str">
        <f t="shared" si="72"/>
        <v/>
      </c>
      <c r="M337" s="335" t="s">
        <v>685</v>
      </c>
      <c r="N337" s="237" t="s">
        <v>17</v>
      </c>
      <c r="O337" s="237" t="s">
        <v>644</v>
      </c>
      <c r="P337" s="168" t="s">
        <v>628</v>
      </c>
      <c r="Q337" s="169" t="s">
        <v>237</v>
      </c>
      <c r="R337" s="136"/>
      <c r="S337" s="358"/>
      <c r="T337" s="23"/>
      <c r="U337" s="35"/>
      <c r="V337" s="24"/>
      <c r="W337" s="154"/>
      <c r="X337" s="121">
        <v>5.6</v>
      </c>
      <c r="Y337" s="121"/>
      <c r="Z337" s="122">
        <f t="shared" si="77"/>
        <v>5.6</v>
      </c>
      <c r="AA337" s="123">
        <f t="shared" si="73"/>
        <v>2816.7999999999997</v>
      </c>
      <c r="AB337" s="123">
        <f t="shared" si="74"/>
        <v>503</v>
      </c>
      <c r="AC337" s="120"/>
      <c r="AD337" s="39"/>
      <c r="AE337" s="39"/>
      <c r="AF337" s="39"/>
      <c r="AG337" s="39"/>
      <c r="AH337" s="39"/>
      <c r="AI337" s="123" t="str">
        <f t="shared" si="75"/>
        <v xml:space="preserve"> </v>
      </c>
      <c r="AJ337" s="123" t="str">
        <f t="shared" si="76"/>
        <v xml:space="preserve"> </v>
      </c>
      <c r="AK337" s="35"/>
      <c r="AL337" s="35"/>
      <c r="AM337" s="35"/>
      <c r="AU337" s="35"/>
    </row>
    <row r="338" spans="1:47" ht="12" customHeight="1" x14ac:dyDescent="0.2">
      <c r="A338" s="236"/>
      <c r="B338" s="184" t="s">
        <v>156</v>
      </c>
      <c r="C338" s="121"/>
      <c r="D338" s="167"/>
      <c r="E338" s="167"/>
      <c r="F338" s="237" t="s">
        <v>1125</v>
      </c>
      <c r="G338" s="315" t="s">
        <v>156</v>
      </c>
      <c r="H338" s="97" t="s">
        <v>351</v>
      </c>
      <c r="I338" s="166" t="s">
        <v>551</v>
      </c>
      <c r="J338" s="167">
        <v>1000</v>
      </c>
      <c r="K338" s="121">
        <f t="shared" si="71"/>
        <v>59</v>
      </c>
      <c r="L338" s="121" t="str">
        <f t="shared" si="72"/>
        <v/>
      </c>
      <c r="M338" s="333" t="s">
        <v>689</v>
      </c>
      <c r="N338" s="98" t="s">
        <v>18</v>
      </c>
      <c r="O338" s="98" t="s">
        <v>567</v>
      </c>
      <c r="P338" s="168"/>
      <c r="Q338" s="237" t="s">
        <v>966</v>
      </c>
      <c r="R338" s="131" t="s">
        <v>568</v>
      </c>
      <c r="S338" s="357"/>
      <c r="T338" s="23"/>
      <c r="U338" s="133" t="s">
        <v>569</v>
      </c>
      <c r="W338" s="154"/>
      <c r="X338" s="121">
        <v>59</v>
      </c>
      <c r="Y338" s="121"/>
      <c r="Z338" s="122">
        <f t="shared" si="77"/>
        <v>59</v>
      </c>
      <c r="AA338" s="123">
        <f t="shared" si="73"/>
        <v>59000</v>
      </c>
      <c r="AB338" s="123">
        <f t="shared" si="74"/>
        <v>1000</v>
      </c>
      <c r="AC338" s="120"/>
      <c r="AD338" s="39"/>
      <c r="AE338" s="39"/>
      <c r="AF338" s="39"/>
      <c r="AG338" s="39"/>
      <c r="AH338" s="39"/>
      <c r="AI338" s="123" t="str">
        <f t="shared" si="75"/>
        <v xml:space="preserve"> </v>
      </c>
      <c r="AJ338" s="123" t="str">
        <f t="shared" si="76"/>
        <v xml:space="preserve"> </v>
      </c>
      <c r="AK338" s="35"/>
      <c r="AL338" s="35"/>
      <c r="AM338" s="35"/>
      <c r="AU338" s="128"/>
    </row>
    <row r="339" spans="1:47" ht="12" customHeight="1" x14ac:dyDescent="0.2">
      <c r="A339" s="236"/>
      <c r="B339" s="184" t="s">
        <v>156</v>
      </c>
      <c r="C339" s="121"/>
      <c r="D339" s="167"/>
      <c r="E339" s="167"/>
      <c r="F339" s="169" t="s">
        <v>1125</v>
      </c>
      <c r="G339" s="315" t="s">
        <v>156</v>
      </c>
      <c r="H339" s="97" t="s">
        <v>14</v>
      </c>
      <c r="I339" s="166">
        <v>2005</v>
      </c>
      <c r="J339" s="167">
        <v>386</v>
      </c>
      <c r="K339" s="121">
        <f t="shared" si="71"/>
        <v>36.799999999999997</v>
      </c>
      <c r="L339" s="121" t="str">
        <f t="shared" si="72"/>
        <v/>
      </c>
      <c r="M339" s="333" t="s">
        <v>1044</v>
      </c>
      <c r="N339" s="98"/>
      <c r="O339" s="98"/>
      <c r="P339" s="168"/>
      <c r="Q339" s="169" t="s">
        <v>957</v>
      </c>
      <c r="R339" s="131"/>
      <c r="S339" s="357"/>
      <c r="T339" s="23"/>
      <c r="U339" s="133" t="s">
        <v>785</v>
      </c>
      <c r="W339" s="154"/>
      <c r="X339" s="121">
        <v>27.2</v>
      </c>
      <c r="Y339" s="121"/>
      <c r="Z339" s="122">
        <v>36.799999999999997</v>
      </c>
      <c r="AA339" s="123">
        <f t="shared" si="73"/>
        <v>14204.8</v>
      </c>
      <c r="AB339" s="123">
        <f t="shared" si="74"/>
        <v>386</v>
      </c>
      <c r="AC339" s="120"/>
      <c r="AD339" s="39"/>
      <c r="AE339" s="39"/>
      <c r="AF339" s="39"/>
      <c r="AG339" s="39"/>
      <c r="AH339" s="39"/>
      <c r="AI339" s="123" t="str">
        <f t="shared" si="75"/>
        <v xml:space="preserve"> </v>
      </c>
      <c r="AJ339" s="123" t="str">
        <f t="shared" si="76"/>
        <v xml:space="preserve"> </v>
      </c>
      <c r="AK339" s="35"/>
      <c r="AL339" s="35"/>
      <c r="AM339" s="35"/>
      <c r="AU339" s="35"/>
    </row>
    <row r="340" spans="1:47" ht="12" customHeight="1" x14ac:dyDescent="0.2">
      <c r="A340" s="236"/>
      <c r="B340" s="184" t="s">
        <v>156</v>
      </c>
      <c r="C340" s="121"/>
      <c r="D340" s="167"/>
      <c r="E340" s="167"/>
      <c r="F340" s="237" t="s">
        <v>1125</v>
      </c>
      <c r="G340" s="315" t="s">
        <v>156</v>
      </c>
      <c r="H340" s="166" t="s">
        <v>572</v>
      </c>
      <c r="I340" s="166">
        <v>2005</v>
      </c>
      <c r="J340" s="167">
        <v>1040</v>
      </c>
      <c r="K340" s="121">
        <f t="shared" si="71"/>
        <v>38</v>
      </c>
      <c r="L340" s="121">
        <f t="shared" si="72"/>
        <v>15</v>
      </c>
      <c r="M340" s="333" t="s">
        <v>688</v>
      </c>
      <c r="N340" s="98" t="s">
        <v>18</v>
      </c>
      <c r="O340" s="98"/>
      <c r="P340" s="168"/>
      <c r="Q340" s="237" t="s">
        <v>967</v>
      </c>
      <c r="R340" s="131" t="s">
        <v>570</v>
      </c>
      <c r="S340" s="357"/>
      <c r="T340" s="23"/>
      <c r="U340" s="133" t="s">
        <v>571</v>
      </c>
      <c r="W340" s="154"/>
      <c r="X340" s="121"/>
      <c r="Y340" s="121"/>
      <c r="Z340" s="122">
        <v>38</v>
      </c>
      <c r="AA340" s="123">
        <f t="shared" si="73"/>
        <v>39520</v>
      </c>
      <c r="AB340" s="123">
        <f t="shared" si="74"/>
        <v>1040</v>
      </c>
      <c r="AC340" s="120"/>
      <c r="AD340" s="39"/>
      <c r="AE340" s="39"/>
      <c r="AF340" s="39"/>
      <c r="AG340" s="39"/>
      <c r="AH340" s="39">
        <v>15</v>
      </c>
      <c r="AI340" s="123">
        <f t="shared" si="75"/>
        <v>15600</v>
      </c>
      <c r="AJ340" s="123">
        <f t="shared" si="76"/>
        <v>1040</v>
      </c>
      <c r="AK340" s="35"/>
      <c r="AL340" s="35"/>
      <c r="AM340" s="35"/>
      <c r="AU340" s="128"/>
    </row>
    <row r="341" spans="1:47" ht="12" customHeight="1" x14ac:dyDescent="0.2">
      <c r="A341" s="236"/>
      <c r="B341" s="184" t="s">
        <v>156</v>
      </c>
      <c r="C341" s="121"/>
      <c r="D341" s="167"/>
      <c r="E341" s="167"/>
      <c r="F341" s="278" t="s">
        <v>1125</v>
      </c>
      <c r="G341" s="315" t="s">
        <v>156</v>
      </c>
      <c r="H341" s="166" t="s">
        <v>573</v>
      </c>
      <c r="I341" s="166">
        <v>2005</v>
      </c>
      <c r="J341" s="167">
        <v>2400</v>
      </c>
      <c r="K341" s="121">
        <f t="shared" si="71"/>
        <v>42.4</v>
      </c>
      <c r="L341" s="121">
        <f t="shared" si="72"/>
        <v>15</v>
      </c>
      <c r="M341" s="333" t="s">
        <v>687</v>
      </c>
      <c r="N341" s="98" t="s">
        <v>18</v>
      </c>
      <c r="O341" s="98"/>
      <c r="P341" s="168" t="s">
        <v>794</v>
      </c>
      <c r="Q341" s="278" t="s">
        <v>968</v>
      </c>
      <c r="R341" s="131" t="s">
        <v>574</v>
      </c>
      <c r="S341" s="357"/>
      <c r="T341" s="23"/>
      <c r="U341" s="133" t="s">
        <v>575</v>
      </c>
      <c r="W341" s="154"/>
      <c r="X341" s="121"/>
      <c r="Y341" s="121"/>
      <c r="Z341" s="122">
        <v>42.4</v>
      </c>
      <c r="AA341" s="123">
        <f t="shared" si="73"/>
        <v>101760</v>
      </c>
      <c r="AB341" s="123">
        <f t="shared" si="74"/>
        <v>2400</v>
      </c>
      <c r="AC341" s="120"/>
      <c r="AD341" s="39">
        <v>15</v>
      </c>
      <c r="AE341" s="39"/>
      <c r="AF341" s="39"/>
      <c r="AG341" s="39"/>
      <c r="AH341" s="39">
        <f>AD341</f>
        <v>15</v>
      </c>
      <c r="AI341" s="123">
        <f t="shared" si="75"/>
        <v>36000</v>
      </c>
      <c r="AJ341" s="123">
        <f t="shared" si="76"/>
        <v>2400</v>
      </c>
      <c r="AK341" s="35"/>
      <c r="AL341" s="35"/>
      <c r="AM341" s="35"/>
      <c r="AU341" s="128"/>
    </row>
    <row r="342" spans="1:47" ht="12" customHeight="1" x14ac:dyDescent="0.2">
      <c r="A342" s="236"/>
      <c r="B342" s="184" t="s">
        <v>157</v>
      </c>
      <c r="C342" s="121"/>
      <c r="D342" s="167"/>
      <c r="E342" s="167"/>
      <c r="F342" s="169" t="s">
        <v>1125</v>
      </c>
      <c r="G342" s="315" t="s">
        <v>157</v>
      </c>
      <c r="H342" s="97" t="s">
        <v>14</v>
      </c>
      <c r="I342" s="166">
        <v>2008</v>
      </c>
      <c r="J342" s="167">
        <v>1700</v>
      </c>
      <c r="K342" s="121">
        <f t="shared" si="71"/>
        <v>12</v>
      </c>
      <c r="L342" s="121" t="str">
        <f t="shared" si="72"/>
        <v/>
      </c>
      <c r="M342" s="15" t="s">
        <v>1106</v>
      </c>
      <c r="N342" s="98" t="s">
        <v>17</v>
      </c>
      <c r="O342" s="98" t="s">
        <v>559</v>
      </c>
      <c r="P342" s="168"/>
      <c r="Q342" s="168" t="s">
        <v>560</v>
      </c>
      <c r="R342" s="334" t="s">
        <v>655</v>
      </c>
      <c r="S342" s="310">
        <v>40994</v>
      </c>
      <c r="T342" s="23"/>
      <c r="U342" s="366" t="s">
        <v>1105</v>
      </c>
      <c r="V342" s="24"/>
      <c r="W342" s="154"/>
      <c r="X342" s="121"/>
      <c r="Y342" s="121"/>
      <c r="Z342" s="122">
        <v>12</v>
      </c>
      <c r="AA342" s="123">
        <f t="shared" si="73"/>
        <v>20400</v>
      </c>
      <c r="AB342" s="123">
        <f t="shared" si="74"/>
        <v>1700</v>
      </c>
      <c r="AC342" s="120"/>
      <c r="AD342" s="39"/>
      <c r="AE342" s="39"/>
      <c r="AF342" s="39"/>
      <c r="AG342" s="39"/>
      <c r="AH342" s="39"/>
      <c r="AI342" s="123" t="str">
        <f t="shared" si="75"/>
        <v xml:space="preserve"> </v>
      </c>
      <c r="AJ342" s="123" t="str">
        <f t="shared" si="76"/>
        <v xml:space="preserve"> </v>
      </c>
      <c r="AK342" s="35"/>
      <c r="AL342" s="35"/>
      <c r="AM342" s="35"/>
      <c r="AU342" s="128"/>
    </row>
    <row r="343" spans="1:47" ht="12" customHeight="1" x14ac:dyDescent="0.2">
      <c r="A343" s="236"/>
      <c r="B343" s="250" t="s">
        <v>158</v>
      </c>
      <c r="C343" s="121"/>
      <c r="D343" s="167"/>
      <c r="E343" s="167"/>
      <c r="F343" s="169" t="s">
        <v>1130</v>
      </c>
      <c r="G343" s="317" t="s">
        <v>158</v>
      </c>
      <c r="H343" s="186" t="s">
        <v>858</v>
      </c>
      <c r="I343" s="166">
        <v>2002</v>
      </c>
      <c r="J343" s="167">
        <v>2615</v>
      </c>
      <c r="K343" s="121">
        <f t="shared" si="71"/>
        <v>39</v>
      </c>
      <c r="L343" s="121" t="str">
        <f t="shared" si="72"/>
        <v/>
      </c>
      <c r="M343" s="333" t="s">
        <v>1044</v>
      </c>
      <c r="N343" s="98"/>
      <c r="O343" s="98"/>
      <c r="P343" s="168"/>
      <c r="Q343" s="169" t="s">
        <v>957</v>
      </c>
      <c r="R343" s="37"/>
      <c r="S343" s="36"/>
      <c r="T343" s="23"/>
      <c r="U343" s="35"/>
      <c r="V343" s="24"/>
      <c r="W343" s="154"/>
      <c r="X343" s="121">
        <v>39</v>
      </c>
      <c r="Y343" s="121"/>
      <c r="Z343" s="122">
        <f>X343</f>
        <v>39</v>
      </c>
      <c r="AA343" s="123">
        <f>IF(Z343&gt;0,$J343*Z343," ")</f>
        <v>101985</v>
      </c>
      <c r="AB343" s="123">
        <f>IF(Z343&gt;0,$J343," ")</f>
        <v>2615</v>
      </c>
      <c r="AC343" s="120"/>
      <c r="AD343" s="39"/>
      <c r="AE343" s="39"/>
      <c r="AF343" s="39"/>
      <c r="AG343" s="39"/>
      <c r="AH343" s="39"/>
      <c r="AI343" s="123" t="str">
        <f t="shared" si="75"/>
        <v xml:space="preserve"> </v>
      </c>
      <c r="AJ343" s="123" t="str">
        <f t="shared" si="76"/>
        <v xml:space="preserve"> </v>
      </c>
      <c r="AK343" s="35"/>
      <c r="AL343" s="35"/>
      <c r="AM343" s="35"/>
      <c r="AU343" s="35"/>
    </row>
    <row r="344" spans="1:47" ht="12" customHeight="1" x14ac:dyDescent="0.2">
      <c r="A344" s="236"/>
      <c r="B344" s="250" t="s">
        <v>158</v>
      </c>
      <c r="C344" s="121"/>
      <c r="D344" s="167"/>
      <c r="E344" s="167"/>
      <c r="F344" s="169" t="s">
        <v>1130</v>
      </c>
      <c r="G344" s="317" t="s">
        <v>158</v>
      </c>
      <c r="H344" s="186" t="s">
        <v>14</v>
      </c>
      <c r="I344" s="166">
        <v>1995</v>
      </c>
      <c r="J344" s="167">
        <v>679</v>
      </c>
      <c r="K344" s="121">
        <f t="shared" si="71"/>
        <v>18</v>
      </c>
      <c r="L344" s="121">
        <f t="shared" si="72"/>
        <v>7</v>
      </c>
      <c r="M344" s="336" t="s">
        <v>769</v>
      </c>
      <c r="N344" s="237" t="s">
        <v>17</v>
      </c>
      <c r="O344" s="98"/>
      <c r="P344" s="168"/>
      <c r="Q344" s="169" t="s">
        <v>768</v>
      </c>
      <c r="R344" s="37"/>
      <c r="S344" s="36"/>
      <c r="T344" s="23"/>
      <c r="U344" s="35"/>
      <c r="V344" s="24"/>
      <c r="W344" s="154"/>
      <c r="X344" s="121">
        <v>18</v>
      </c>
      <c r="Y344" s="122"/>
      <c r="Z344" s="122">
        <f>X344</f>
        <v>18</v>
      </c>
      <c r="AA344" s="123">
        <f t="shared" si="73"/>
        <v>12222</v>
      </c>
      <c r="AB344" s="123">
        <f t="shared" si="74"/>
        <v>679</v>
      </c>
      <c r="AC344" s="120"/>
      <c r="AD344" s="39"/>
      <c r="AE344" s="39"/>
      <c r="AF344" s="39">
        <v>7</v>
      </c>
      <c r="AG344" s="39"/>
      <c r="AH344" s="39">
        <f>AF344</f>
        <v>7</v>
      </c>
      <c r="AI344" s="123">
        <f t="shared" si="75"/>
        <v>4753</v>
      </c>
      <c r="AJ344" s="123">
        <f t="shared" si="76"/>
        <v>679</v>
      </c>
      <c r="AK344" s="35"/>
      <c r="AL344" s="35"/>
      <c r="AM344" s="35"/>
      <c r="AU344" s="35"/>
    </row>
    <row r="345" spans="1:47" ht="12" customHeight="1" x14ac:dyDescent="0.2">
      <c r="A345" s="236"/>
      <c r="B345" s="250" t="s">
        <v>158</v>
      </c>
      <c r="C345" s="121"/>
      <c r="D345" s="167"/>
      <c r="E345" s="167"/>
      <c r="F345" s="169" t="s">
        <v>1130</v>
      </c>
      <c r="G345" s="317" t="s">
        <v>158</v>
      </c>
      <c r="H345" s="186" t="s">
        <v>14</v>
      </c>
      <c r="I345" s="166">
        <v>2003</v>
      </c>
      <c r="J345" s="167"/>
      <c r="K345" s="121">
        <f t="shared" si="71"/>
        <v>13</v>
      </c>
      <c r="L345" s="121"/>
      <c r="M345" s="336"/>
      <c r="N345" s="237"/>
      <c r="O345" s="98"/>
      <c r="P345" s="168"/>
      <c r="Q345" s="169"/>
      <c r="R345" s="37" t="s">
        <v>1121</v>
      </c>
      <c r="S345" s="36"/>
      <c r="T345" s="23"/>
      <c r="U345" s="35"/>
      <c r="V345" s="24"/>
      <c r="W345" s="154"/>
      <c r="X345" s="121">
        <v>13</v>
      </c>
      <c r="Y345" s="122"/>
      <c r="Z345" s="122">
        <f>X345</f>
        <v>13</v>
      </c>
      <c r="AA345" s="123"/>
      <c r="AB345" s="123"/>
      <c r="AC345" s="120"/>
      <c r="AD345" s="39"/>
      <c r="AE345" s="39"/>
      <c r="AF345" s="39">
        <v>1.4</v>
      </c>
      <c r="AG345" s="39"/>
      <c r="AH345" s="39">
        <f>AF345</f>
        <v>1.4</v>
      </c>
      <c r="AI345" s="123"/>
      <c r="AJ345" s="123"/>
      <c r="AK345" s="35"/>
      <c r="AL345" s="35"/>
      <c r="AM345" s="35"/>
      <c r="AU345" s="35"/>
    </row>
    <row r="346" spans="1:47" ht="12" customHeight="1" x14ac:dyDescent="0.2">
      <c r="A346" s="236"/>
      <c r="B346" s="184" t="s">
        <v>110</v>
      </c>
      <c r="C346" s="121"/>
      <c r="D346" s="167"/>
      <c r="E346" s="167"/>
      <c r="F346" s="169" t="s">
        <v>1125</v>
      </c>
      <c r="G346" s="315" t="s">
        <v>110</v>
      </c>
      <c r="H346" s="97" t="s">
        <v>543</v>
      </c>
      <c r="I346" s="166">
        <v>1994</v>
      </c>
      <c r="J346" s="167">
        <v>2410</v>
      </c>
      <c r="K346" s="121">
        <f t="shared" si="71"/>
        <v>69</v>
      </c>
      <c r="L346" s="121">
        <f t="shared" si="72"/>
        <v>52</v>
      </c>
      <c r="M346" s="332" t="s">
        <v>1041</v>
      </c>
      <c r="N346" s="98" t="s">
        <v>18</v>
      </c>
      <c r="O346" s="98" t="s">
        <v>116</v>
      </c>
      <c r="P346" s="168"/>
      <c r="Q346" s="169" t="s">
        <v>523</v>
      </c>
      <c r="R346" s="37"/>
      <c r="S346" s="36"/>
      <c r="T346" s="23"/>
      <c r="U346" s="35" t="s">
        <v>781</v>
      </c>
      <c r="V346" s="24"/>
      <c r="W346" s="154"/>
      <c r="X346" s="121"/>
      <c r="Y346" s="121"/>
      <c r="Z346" s="122">
        <v>69</v>
      </c>
      <c r="AA346" s="123">
        <f t="shared" si="73"/>
        <v>166290</v>
      </c>
      <c r="AB346" s="123">
        <f t="shared" si="74"/>
        <v>2410</v>
      </c>
      <c r="AC346" s="120"/>
      <c r="AD346" s="39">
        <v>52</v>
      </c>
      <c r="AE346" s="39"/>
      <c r="AF346" s="39"/>
      <c r="AG346" s="39"/>
      <c r="AH346" s="39">
        <v>52</v>
      </c>
      <c r="AI346" s="123">
        <f t="shared" si="75"/>
        <v>125320</v>
      </c>
      <c r="AJ346" s="123">
        <f t="shared" si="76"/>
        <v>2410</v>
      </c>
      <c r="AK346" s="35"/>
      <c r="AL346" s="35"/>
      <c r="AM346" s="35"/>
      <c r="AU346" s="35"/>
    </row>
    <row r="347" spans="1:47" ht="12" customHeight="1" x14ac:dyDescent="0.2">
      <c r="A347" s="236"/>
      <c r="B347" s="184" t="s">
        <v>110</v>
      </c>
      <c r="C347" s="121"/>
      <c r="D347" s="167"/>
      <c r="E347" s="167"/>
      <c r="F347" s="169" t="s">
        <v>1125</v>
      </c>
      <c r="G347" s="315" t="s">
        <v>110</v>
      </c>
      <c r="H347" s="97" t="s">
        <v>112</v>
      </c>
      <c r="I347" s="166">
        <v>1997</v>
      </c>
      <c r="J347" s="167">
        <v>1826</v>
      </c>
      <c r="K347" s="121" t="str">
        <f t="shared" si="71"/>
        <v/>
      </c>
      <c r="L347" s="121">
        <f t="shared" si="72"/>
        <v>32</v>
      </c>
      <c r="M347" s="332" t="s">
        <v>1041</v>
      </c>
      <c r="N347" s="98" t="s">
        <v>18</v>
      </c>
      <c r="O347" s="98" t="s">
        <v>115</v>
      </c>
      <c r="P347" s="168"/>
      <c r="Q347" s="169" t="s">
        <v>523</v>
      </c>
      <c r="R347" s="37"/>
      <c r="S347" s="36"/>
      <c r="T347" s="23"/>
      <c r="U347" s="35"/>
      <c r="V347" s="24"/>
      <c r="W347" s="154"/>
      <c r="X347" s="121"/>
      <c r="Y347" s="121"/>
      <c r="Z347" s="122"/>
      <c r="AA347" s="123" t="str">
        <f t="shared" si="73"/>
        <v xml:space="preserve"> </v>
      </c>
      <c r="AB347" s="123" t="str">
        <f t="shared" si="74"/>
        <v xml:space="preserve"> </v>
      </c>
      <c r="AC347" s="120"/>
      <c r="AD347" s="39">
        <v>32</v>
      </c>
      <c r="AE347" s="39"/>
      <c r="AF347" s="39"/>
      <c r="AG347" s="39"/>
      <c r="AH347" s="39">
        <v>32</v>
      </c>
      <c r="AI347" s="123">
        <f t="shared" si="75"/>
        <v>58432</v>
      </c>
      <c r="AJ347" s="123">
        <f t="shared" si="76"/>
        <v>1826</v>
      </c>
      <c r="AK347" s="35"/>
      <c r="AL347" s="35"/>
      <c r="AM347" s="35"/>
      <c r="AU347" s="35"/>
    </row>
    <row r="348" spans="1:47" ht="12" customHeight="1" x14ac:dyDescent="0.2">
      <c r="A348" s="236"/>
      <c r="B348" s="184" t="s">
        <v>110</v>
      </c>
      <c r="C348" s="121"/>
      <c r="D348" s="167"/>
      <c r="E348" s="167"/>
      <c r="F348" s="169" t="s">
        <v>1125</v>
      </c>
      <c r="G348" s="315" t="s">
        <v>110</v>
      </c>
      <c r="H348" s="97" t="s">
        <v>14</v>
      </c>
      <c r="I348" s="166">
        <v>1998</v>
      </c>
      <c r="J348" s="167">
        <v>849</v>
      </c>
      <c r="K348" s="121">
        <f t="shared" si="71"/>
        <v>11</v>
      </c>
      <c r="L348" s="121">
        <f t="shared" si="72"/>
        <v>4</v>
      </c>
      <c r="M348" s="335" t="s">
        <v>280</v>
      </c>
      <c r="N348" s="98"/>
      <c r="O348" s="98" t="s">
        <v>238</v>
      </c>
      <c r="P348" s="168"/>
      <c r="Q348" s="169" t="s">
        <v>226</v>
      </c>
      <c r="R348" s="37"/>
      <c r="S348" s="357"/>
      <c r="T348" s="23"/>
      <c r="U348" s="35"/>
      <c r="V348" s="24"/>
      <c r="W348" s="154"/>
      <c r="X348" s="121"/>
      <c r="Y348" s="121"/>
      <c r="Z348" s="122">
        <v>11</v>
      </c>
      <c r="AA348" s="123">
        <f t="shared" si="73"/>
        <v>9339</v>
      </c>
      <c r="AB348" s="123">
        <f t="shared" si="74"/>
        <v>849</v>
      </c>
      <c r="AC348" s="120"/>
      <c r="AD348" s="39"/>
      <c r="AE348" s="39"/>
      <c r="AF348" s="39">
        <v>4</v>
      </c>
      <c r="AG348" s="39"/>
      <c r="AH348" s="39">
        <v>4</v>
      </c>
      <c r="AI348" s="123">
        <f t="shared" si="75"/>
        <v>3396</v>
      </c>
      <c r="AJ348" s="123">
        <f t="shared" si="76"/>
        <v>849</v>
      </c>
      <c r="AK348" s="35"/>
      <c r="AL348" s="35"/>
      <c r="AM348" s="35"/>
      <c r="AU348" s="35"/>
    </row>
    <row r="349" spans="1:47" ht="12" customHeight="1" x14ac:dyDescent="0.2">
      <c r="A349" s="236"/>
      <c r="B349" s="184" t="s">
        <v>110</v>
      </c>
      <c r="C349" s="121"/>
      <c r="D349" s="167"/>
      <c r="E349" s="167"/>
      <c r="F349" s="169" t="s">
        <v>1125</v>
      </c>
      <c r="G349" s="315" t="s">
        <v>110</v>
      </c>
      <c r="H349" s="97" t="s">
        <v>14</v>
      </c>
      <c r="I349" s="166">
        <v>2004</v>
      </c>
      <c r="J349" s="167">
        <v>2996</v>
      </c>
      <c r="K349" s="121" t="str">
        <f t="shared" si="71"/>
        <v/>
      </c>
      <c r="L349" s="121">
        <f t="shared" si="72"/>
        <v>5.7</v>
      </c>
      <c r="M349" s="333" t="s">
        <v>748</v>
      </c>
      <c r="N349" s="98" t="s">
        <v>17</v>
      </c>
      <c r="O349" s="98"/>
      <c r="P349" s="185"/>
      <c r="Q349" s="169" t="s">
        <v>969</v>
      </c>
      <c r="R349" s="124"/>
      <c r="S349" s="36"/>
      <c r="T349" s="23"/>
      <c r="U349" s="271" t="s">
        <v>749</v>
      </c>
      <c r="V349" s="128" t="s">
        <v>547</v>
      </c>
      <c r="W349" s="154"/>
      <c r="X349" s="121"/>
      <c r="Y349" s="121"/>
      <c r="Z349" s="122"/>
      <c r="AA349" s="123" t="str">
        <f t="shared" si="73"/>
        <v xml:space="preserve"> </v>
      </c>
      <c r="AB349" s="123" t="str">
        <f t="shared" si="74"/>
        <v xml:space="preserve"> </v>
      </c>
      <c r="AC349" s="120"/>
      <c r="AD349" s="39"/>
      <c r="AE349" s="39"/>
      <c r="AF349" s="39"/>
      <c r="AG349" s="39"/>
      <c r="AH349" s="39">
        <v>5.7</v>
      </c>
      <c r="AI349" s="123">
        <f t="shared" si="75"/>
        <v>17077.2</v>
      </c>
      <c r="AJ349" s="123">
        <f t="shared" si="76"/>
        <v>2996</v>
      </c>
      <c r="AK349" s="35"/>
      <c r="AL349" s="35"/>
      <c r="AM349" s="35"/>
      <c r="AU349" s="35"/>
    </row>
    <row r="350" spans="1:47" ht="12" customHeight="1" x14ac:dyDescent="0.2">
      <c r="A350" s="236"/>
      <c r="B350" s="184" t="s">
        <v>110</v>
      </c>
      <c r="C350" s="121"/>
      <c r="D350" s="167"/>
      <c r="E350" s="167"/>
      <c r="F350" s="237" t="s">
        <v>1125</v>
      </c>
      <c r="G350" s="315" t="s">
        <v>110</v>
      </c>
      <c r="H350" s="97" t="s">
        <v>14</v>
      </c>
      <c r="I350" s="166" t="s">
        <v>239</v>
      </c>
      <c r="J350" s="167">
        <v>2544</v>
      </c>
      <c r="K350" s="121">
        <f t="shared" si="71"/>
        <v>13</v>
      </c>
      <c r="L350" s="121">
        <f t="shared" si="72"/>
        <v>6</v>
      </c>
      <c r="M350" s="333" t="s">
        <v>678</v>
      </c>
      <c r="N350" s="98"/>
      <c r="O350" s="98"/>
      <c r="P350" s="185"/>
      <c r="Q350" s="237" t="s">
        <v>971</v>
      </c>
      <c r="R350" s="37"/>
      <c r="S350" s="36"/>
      <c r="T350" s="23"/>
      <c r="U350" s="272" t="s">
        <v>677</v>
      </c>
      <c r="V350" s="170"/>
      <c r="W350" s="154"/>
      <c r="X350" s="121"/>
      <c r="Y350" s="121"/>
      <c r="Z350" s="122">
        <v>13</v>
      </c>
      <c r="AA350" s="123">
        <f t="shared" si="73"/>
        <v>33072</v>
      </c>
      <c r="AB350" s="123">
        <f t="shared" si="74"/>
        <v>2544</v>
      </c>
      <c r="AC350" s="120"/>
      <c r="AD350" s="39">
        <v>6</v>
      </c>
      <c r="AE350" s="39"/>
      <c r="AF350" s="39"/>
      <c r="AG350" s="39"/>
      <c r="AH350" s="39">
        <v>6</v>
      </c>
      <c r="AI350" s="123">
        <f t="shared" si="75"/>
        <v>15264</v>
      </c>
      <c r="AJ350" s="123">
        <f t="shared" si="76"/>
        <v>2544</v>
      </c>
      <c r="AK350" s="35"/>
      <c r="AL350" s="35"/>
      <c r="AM350" s="35"/>
      <c r="AU350" s="128"/>
    </row>
    <row r="351" spans="1:47" ht="12" customHeight="1" x14ac:dyDescent="0.2">
      <c r="A351" s="236"/>
      <c r="B351" s="184" t="s">
        <v>110</v>
      </c>
      <c r="C351" s="121"/>
      <c r="D351" s="167"/>
      <c r="E351" s="167"/>
      <c r="F351" s="169" t="s">
        <v>1125</v>
      </c>
      <c r="G351" s="315" t="s">
        <v>110</v>
      </c>
      <c r="H351" s="97" t="s">
        <v>113</v>
      </c>
      <c r="I351" s="166" t="s">
        <v>235</v>
      </c>
      <c r="J351" s="167">
        <v>4212</v>
      </c>
      <c r="K351" s="121" t="str">
        <f t="shared" si="71"/>
        <v/>
      </c>
      <c r="L351" s="121">
        <f t="shared" si="72"/>
        <v>23.3</v>
      </c>
      <c r="M351" s="338" t="s">
        <v>670</v>
      </c>
      <c r="N351" s="98"/>
      <c r="O351" s="98"/>
      <c r="P351" s="185"/>
      <c r="Q351" s="168" t="s">
        <v>236</v>
      </c>
      <c r="R351" s="37"/>
      <c r="S351" s="36"/>
      <c r="T351" s="23"/>
      <c r="U351" s="35"/>
      <c r="V351" s="24"/>
      <c r="W351" s="154"/>
      <c r="X351" s="121"/>
      <c r="Y351" s="121"/>
      <c r="Z351" s="122"/>
      <c r="AA351" s="123" t="str">
        <f t="shared" si="73"/>
        <v xml:space="preserve"> </v>
      </c>
      <c r="AB351" s="123" t="str">
        <f t="shared" si="74"/>
        <v xml:space="preserve"> </v>
      </c>
      <c r="AC351" s="120"/>
      <c r="AD351" s="39"/>
      <c r="AE351" s="39"/>
      <c r="AF351" s="39"/>
      <c r="AG351" s="39"/>
      <c r="AH351" s="39">
        <v>23.3</v>
      </c>
      <c r="AI351" s="123">
        <f t="shared" si="75"/>
        <v>98139.6</v>
      </c>
      <c r="AJ351" s="123">
        <f t="shared" si="76"/>
        <v>4212</v>
      </c>
      <c r="AK351" s="35"/>
      <c r="AL351" s="35"/>
      <c r="AM351" s="35"/>
      <c r="AU351" s="128"/>
    </row>
    <row r="352" spans="1:47" ht="12" customHeight="1" x14ac:dyDescent="0.2">
      <c r="A352" s="236"/>
      <c r="B352" s="184" t="s">
        <v>159</v>
      </c>
      <c r="C352" s="121"/>
      <c r="D352" s="167"/>
      <c r="E352" s="167"/>
      <c r="F352" s="169" t="s">
        <v>1130</v>
      </c>
      <c r="G352" s="315" t="s">
        <v>159</v>
      </c>
      <c r="H352" s="97" t="s">
        <v>798</v>
      </c>
      <c r="I352" s="166">
        <v>2004</v>
      </c>
      <c r="J352" s="167">
        <v>542</v>
      </c>
      <c r="K352" s="121">
        <f t="shared" si="71"/>
        <v>14.1</v>
      </c>
      <c r="L352" s="121">
        <f t="shared" si="72"/>
        <v>5.2</v>
      </c>
      <c r="M352" s="333" t="s">
        <v>1044</v>
      </c>
      <c r="N352" s="98"/>
      <c r="O352" s="98"/>
      <c r="P352" s="185"/>
      <c r="Q352" s="169" t="s">
        <v>957</v>
      </c>
      <c r="R352" s="37"/>
      <c r="S352" s="36"/>
      <c r="T352" s="23"/>
      <c r="U352" s="35"/>
      <c r="V352" s="24"/>
      <c r="W352" s="154"/>
      <c r="X352" s="121">
        <v>14.1</v>
      </c>
      <c r="Y352" s="121"/>
      <c r="Z352" s="122">
        <f>X352</f>
        <v>14.1</v>
      </c>
      <c r="AA352" s="123">
        <f t="shared" si="73"/>
        <v>7642.2</v>
      </c>
      <c r="AB352" s="123">
        <f t="shared" si="74"/>
        <v>542</v>
      </c>
      <c r="AC352" s="120"/>
      <c r="AD352" s="39"/>
      <c r="AE352" s="39"/>
      <c r="AF352" s="39">
        <v>5.2</v>
      </c>
      <c r="AG352" s="39"/>
      <c r="AH352" s="39">
        <f>AF352</f>
        <v>5.2</v>
      </c>
      <c r="AI352" s="123">
        <f>IF(AH352&gt;0,$J352*AH352," ")</f>
        <v>2818.4</v>
      </c>
      <c r="AJ352" s="123">
        <f>IF(AH352&gt;0,$J352," ")</f>
        <v>542</v>
      </c>
      <c r="AK352" s="35"/>
      <c r="AL352" s="35"/>
      <c r="AM352" s="35"/>
      <c r="AU352" s="35"/>
    </row>
    <row r="353" spans="1:47" ht="12" customHeight="1" x14ac:dyDescent="0.2">
      <c r="A353" s="236"/>
      <c r="B353" s="184" t="s">
        <v>159</v>
      </c>
      <c r="C353" s="121"/>
      <c r="D353" s="167"/>
      <c r="E353" s="167"/>
      <c r="F353" s="169" t="s">
        <v>1130</v>
      </c>
      <c r="G353" s="315" t="s">
        <v>159</v>
      </c>
      <c r="H353" s="186" t="s">
        <v>850</v>
      </c>
      <c r="I353" s="253">
        <v>2005</v>
      </c>
      <c r="J353" s="167">
        <v>444</v>
      </c>
      <c r="K353" s="121">
        <f t="shared" si="71"/>
        <v>27.4</v>
      </c>
      <c r="L353" s="121">
        <f t="shared" si="72"/>
        <v>19.899999999999999</v>
      </c>
      <c r="M353" s="333" t="s">
        <v>1044</v>
      </c>
      <c r="N353" s="98"/>
      <c r="O353" s="98"/>
      <c r="P353" s="185"/>
      <c r="Q353" s="169" t="s">
        <v>957</v>
      </c>
      <c r="R353" s="37"/>
      <c r="S353" s="36"/>
      <c r="T353" s="23"/>
      <c r="U353" s="35"/>
      <c r="V353" s="24"/>
      <c r="W353" s="154"/>
      <c r="X353" s="121"/>
      <c r="Y353" s="121">
        <v>27.4</v>
      </c>
      <c r="Z353" s="122">
        <f>Y353</f>
        <v>27.4</v>
      </c>
      <c r="AA353" s="123">
        <f t="shared" si="73"/>
        <v>12165.599999999999</v>
      </c>
      <c r="AB353" s="123">
        <f t="shared" si="74"/>
        <v>444</v>
      </c>
      <c r="AC353" s="120"/>
      <c r="AD353" s="39"/>
      <c r="AE353" s="39"/>
      <c r="AF353" s="39"/>
      <c r="AG353" s="39">
        <v>19.899999999999999</v>
      </c>
      <c r="AH353" s="39">
        <f>AG353</f>
        <v>19.899999999999999</v>
      </c>
      <c r="AI353" s="123">
        <f>IF(AH353&gt;0,$J353*AH353," ")</f>
        <v>8835.5999999999985</v>
      </c>
      <c r="AJ353" s="123">
        <f>IF(AH353&gt;0,$J353," ")</f>
        <v>444</v>
      </c>
      <c r="AK353" s="35"/>
      <c r="AL353" s="35"/>
      <c r="AM353" s="35"/>
      <c r="AU353" s="35"/>
    </row>
    <row r="354" spans="1:47" ht="12" customHeight="1" x14ac:dyDescent="0.2">
      <c r="A354" s="236"/>
      <c r="B354" s="184" t="s">
        <v>159</v>
      </c>
      <c r="C354" s="121"/>
      <c r="D354" s="167"/>
      <c r="E354" s="167"/>
      <c r="F354" s="169" t="s">
        <v>1130</v>
      </c>
      <c r="G354" s="315" t="s">
        <v>159</v>
      </c>
      <c r="H354" s="97" t="s">
        <v>14</v>
      </c>
      <c r="I354" s="253">
        <v>2006</v>
      </c>
      <c r="J354" s="167">
        <v>25000</v>
      </c>
      <c r="K354" s="121">
        <f t="shared" si="71"/>
        <v>12</v>
      </c>
      <c r="L354" s="121">
        <f t="shared" si="72"/>
        <v>2</v>
      </c>
      <c r="M354" s="336" t="s">
        <v>1065</v>
      </c>
      <c r="N354" s="98" t="s">
        <v>17</v>
      </c>
      <c r="O354" s="98" t="s">
        <v>566</v>
      </c>
      <c r="P354" s="168"/>
      <c r="Q354" s="169" t="s">
        <v>773</v>
      </c>
      <c r="R354" s="37"/>
      <c r="S354" s="36"/>
      <c r="T354" s="23"/>
      <c r="U354" s="35"/>
      <c r="V354" s="126" t="s">
        <v>761</v>
      </c>
      <c r="W354" s="154"/>
      <c r="X354" s="121">
        <v>12</v>
      </c>
      <c r="Y354" s="122"/>
      <c r="Z354" s="122">
        <f>X354</f>
        <v>12</v>
      </c>
      <c r="AA354" s="123">
        <f t="shared" si="73"/>
        <v>300000</v>
      </c>
      <c r="AB354" s="123">
        <f t="shared" si="74"/>
        <v>25000</v>
      </c>
      <c r="AC354" s="120"/>
      <c r="AD354" s="39"/>
      <c r="AE354" s="39"/>
      <c r="AF354" s="39">
        <v>2</v>
      </c>
      <c r="AG354" s="39"/>
      <c r="AH354" s="39">
        <f>AF354</f>
        <v>2</v>
      </c>
      <c r="AI354" s="123">
        <f t="shared" si="75"/>
        <v>50000</v>
      </c>
      <c r="AJ354" s="123">
        <f t="shared" si="76"/>
        <v>25000</v>
      </c>
      <c r="AK354" s="35"/>
      <c r="AL354" s="35"/>
      <c r="AM354" s="35"/>
      <c r="AU354" s="35"/>
    </row>
    <row r="355" spans="1:47" ht="12" customHeight="1" x14ac:dyDescent="0.2">
      <c r="A355" s="236"/>
      <c r="B355" s="184" t="s">
        <v>72</v>
      </c>
      <c r="C355" s="121"/>
      <c r="D355" s="167"/>
      <c r="E355" s="167"/>
      <c r="F355" s="169" t="s">
        <v>1125</v>
      </c>
      <c r="G355" s="315" t="s">
        <v>72</v>
      </c>
      <c r="H355" s="97" t="s">
        <v>77</v>
      </c>
      <c r="I355" s="166">
        <v>2001</v>
      </c>
      <c r="J355" s="167">
        <v>1276</v>
      </c>
      <c r="K355" s="121">
        <f t="shared" si="71"/>
        <v>13</v>
      </c>
      <c r="L355" s="121">
        <f t="shared" si="72"/>
        <v>3</v>
      </c>
      <c r="M355" s="332" t="s">
        <v>1041</v>
      </c>
      <c r="N355" s="98" t="s">
        <v>15</v>
      </c>
      <c r="O355" s="98" t="s">
        <v>21</v>
      </c>
      <c r="P355" s="169" t="s">
        <v>243</v>
      </c>
      <c r="Q355" s="169" t="s">
        <v>523</v>
      </c>
      <c r="R355" s="37"/>
      <c r="S355" s="36"/>
      <c r="T355" s="23"/>
      <c r="U355" s="35"/>
      <c r="V355" s="24"/>
      <c r="W355" s="154"/>
      <c r="X355" s="121"/>
      <c r="Y355" s="121"/>
      <c r="Z355" s="122">
        <v>13</v>
      </c>
      <c r="AA355" s="123">
        <f t="shared" si="73"/>
        <v>16588</v>
      </c>
      <c r="AB355" s="123">
        <f t="shared" si="74"/>
        <v>1276</v>
      </c>
      <c r="AC355" s="120"/>
      <c r="AD355" s="39">
        <v>3</v>
      </c>
      <c r="AE355" s="39"/>
      <c r="AF355" s="39"/>
      <c r="AG355" s="39"/>
      <c r="AH355" s="39">
        <v>3</v>
      </c>
      <c r="AI355" s="123">
        <f t="shared" si="75"/>
        <v>3828</v>
      </c>
      <c r="AJ355" s="123">
        <f t="shared" si="76"/>
        <v>1276</v>
      </c>
      <c r="AK355" s="35"/>
      <c r="AL355" s="35"/>
      <c r="AM355" s="35"/>
      <c r="AU355" s="35"/>
    </row>
    <row r="356" spans="1:47" ht="12" customHeight="1" x14ac:dyDescent="0.2">
      <c r="A356" s="236"/>
      <c r="B356" s="184" t="s">
        <v>72</v>
      </c>
      <c r="C356" s="121"/>
      <c r="D356" s="167"/>
      <c r="E356" s="167"/>
      <c r="F356" s="169" t="s">
        <v>1125</v>
      </c>
      <c r="G356" s="315" t="s">
        <v>72</v>
      </c>
      <c r="H356" s="97"/>
      <c r="I356" s="166">
        <v>2001</v>
      </c>
      <c r="J356" s="167">
        <v>211</v>
      </c>
      <c r="K356" s="121">
        <f t="shared" si="71"/>
        <v>51.7</v>
      </c>
      <c r="L356" s="121" t="str">
        <f t="shared" si="72"/>
        <v/>
      </c>
      <c r="M356" s="333" t="s">
        <v>1044</v>
      </c>
      <c r="N356" s="98"/>
      <c r="O356" s="98"/>
      <c r="P356" s="169"/>
      <c r="Q356" s="169" t="s">
        <v>957</v>
      </c>
      <c r="R356" s="37"/>
      <c r="S356" s="36"/>
      <c r="T356" s="23"/>
      <c r="U356" s="35"/>
      <c r="V356" s="24"/>
      <c r="W356" s="154"/>
      <c r="X356" s="121">
        <v>51.7</v>
      </c>
      <c r="Y356" s="121"/>
      <c r="Z356" s="122">
        <f>X356</f>
        <v>51.7</v>
      </c>
      <c r="AA356" s="123">
        <f>IF(Z356&gt;0,$J356*Z356," ")</f>
        <v>10908.7</v>
      </c>
      <c r="AB356" s="123">
        <f>IF(Z356&gt;0,$J356," ")</f>
        <v>211</v>
      </c>
      <c r="AC356" s="120"/>
      <c r="AD356" s="39"/>
      <c r="AE356" s="39"/>
      <c r="AF356" s="39"/>
      <c r="AG356" s="39"/>
      <c r="AH356" s="39"/>
      <c r="AI356" s="123"/>
      <c r="AJ356" s="123"/>
      <c r="AK356" s="35"/>
      <c r="AL356" s="35"/>
      <c r="AM356" s="35"/>
      <c r="AU356" s="35"/>
    </row>
    <row r="357" spans="1:47" ht="12" customHeight="1" x14ac:dyDescent="0.2">
      <c r="A357" s="236"/>
      <c r="B357" s="184" t="s">
        <v>161</v>
      </c>
      <c r="C357" s="121"/>
      <c r="D357" s="167"/>
      <c r="E357" s="167"/>
      <c r="F357" s="169" t="s">
        <v>1125</v>
      </c>
      <c r="G357" s="315" t="s">
        <v>161</v>
      </c>
      <c r="H357" s="97" t="s">
        <v>14</v>
      </c>
      <c r="I357" s="166">
        <v>2005</v>
      </c>
      <c r="J357" s="167">
        <v>262</v>
      </c>
      <c r="K357" s="121">
        <f t="shared" si="71"/>
        <v>42.5</v>
      </c>
      <c r="L357" s="121">
        <f t="shared" si="72"/>
        <v>17.399999999999999</v>
      </c>
      <c r="M357" s="333" t="s">
        <v>1044</v>
      </c>
      <c r="N357" s="98"/>
      <c r="O357" s="98"/>
      <c r="P357" s="168"/>
      <c r="Q357" s="169" t="s">
        <v>957</v>
      </c>
      <c r="R357" s="37"/>
      <c r="S357" s="36"/>
      <c r="T357" s="23"/>
      <c r="U357" s="35" t="s">
        <v>786</v>
      </c>
      <c r="V357" s="24"/>
      <c r="W357" s="154"/>
      <c r="X357" s="121"/>
      <c r="Y357" s="121"/>
      <c r="Z357" s="122">
        <v>42.5</v>
      </c>
      <c r="AA357" s="123">
        <f t="shared" si="73"/>
        <v>11135</v>
      </c>
      <c r="AB357" s="123">
        <f t="shared" si="74"/>
        <v>262</v>
      </c>
      <c r="AC357" s="120"/>
      <c r="AD357" s="39"/>
      <c r="AE357" s="39"/>
      <c r="AF357" s="39"/>
      <c r="AG357" s="39"/>
      <c r="AH357" s="39">
        <v>17.399999999999999</v>
      </c>
      <c r="AI357" s="123">
        <f t="shared" si="75"/>
        <v>4558.7999999999993</v>
      </c>
      <c r="AJ357" s="123">
        <f t="shared" si="76"/>
        <v>262</v>
      </c>
      <c r="AK357" s="35"/>
      <c r="AL357" s="35"/>
      <c r="AM357" s="35"/>
      <c r="AU357" s="35"/>
    </row>
    <row r="358" spans="1:47" ht="12" customHeight="1" x14ac:dyDescent="0.2">
      <c r="A358" s="236"/>
      <c r="B358" s="245" t="s">
        <v>161</v>
      </c>
      <c r="C358" s="291"/>
      <c r="D358" s="248"/>
      <c r="E358" s="248"/>
      <c r="F358" s="19" t="s">
        <v>1125</v>
      </c>
      <c r="G358" s="316" t="s">
        <v>161</v>
      </c>
      <c r="H358" s="186" t="s">
        <v>14</v>
      </c>
      <c r="I358" s="246">
        <v>2007</v>
      </c>
      <c r="J358" s="248">
        <v>10876</v>
      </c>
      <c r="K358" s="121">
        <f t="shared" ref="K358:K429" si="78">IF(Z358&gt;0,Z358,"")</f>
        <v>20.239999999999998</v>
      </c>
      <c r="L358" s="121">
        <f t="shared" ref="L358:L429" si="79">IF(AH358&gt;0,AH358,"")</f>
        <v>12.2</v>
      </c>
      <c r="M358" s="333" t="s">
        <v>1042</v>
      </c>
      <c r="N358" s="247" t="s">
        <v>15</v>
      </c>
      <c r="O358" s="247" t="s">
        <v>19</v>
      </c>
      <c r="P358" s="237" t="s">
        <v>244</v>
      </c>
      <c r="Q358" s="19" t="s">
        <v>1003</v>
      </c>
      <c r="R358" s="37" t="s">
        <v>1121</v>
      </c>
      <c r="S358" s="36"/>
      <c r="T358" s="23"/>
      <c r="U358" s="128"/>
      <c r="V358" s="128"/>
      <c r="W358" s="127"/>
      <c r="X358" s="121">
        <v>20.239999999999998</v>
      </c>
      <c r="Y358" s="121"/>
      <c r="Z358" s="122">
        <f>X358</f>
        <v>20.239999999999998</v>
      </c>
      <c r="AA358" s="123">
        <f t="shared" si="73"/>
        <v>220130.24</v>
      </c>
      <c r="AB358" s="123">
        <f t="shared" si="74"/>
        <v>10876</v>
      </c>
      <c r="AC358" s="127"/>
      <c r="AD358" s="161"/>
      <c r="AE358" s="161"/>
      <c r="AF358" s="161">
        <v>12.2</v>
      </c>
      <c r="AG358" s="42"/>
      <c r="AH358" s="161">
        <f>AF358</f>
        <v>12.2</v>
      </c>
      <c r="AI358" s="123">
        <f t="shared" si="75"/>
        <v>132687.19999999998</v>
      </c>
      <c r="AJ358" s="123">
        <f t="shared" si="76"/>
        <v>10876</v>
      </c>
      <c r="AK358" s="128"/>
      <c r="AL358" s="128"/>
      <c r="AM358" s="128"/>
      <c r="AU358" s="35"/>
    </row>
    <row r="359" spans="1:47" ht="12" customHeight="1" x14ac:dyDescent="0.2">
      <c r="A359" s="236"/>
      <c r="B359" s="184" t="s">
        <v>162</v>
      </c>
      <c r="C359" s="121"/>
      <c r="D359" s="167"/>
      <c r="E359" s="167"/>
      <c r="F359" s="169" t="s">
        <v>1125</v>
      </c>
      <c r="G359" s="315" t="s">
        <v>162</v>
      </c>
      <c r="H359" s="97" t="s">
        <v>68</v>
      </c>
      <c r="I359" s="166">
        <v>1996</v>
      </c>
      <c r="J359" s="167">
        <v>1374</v>
      </c>
      <c r="K359" s="121">
        <f t="shared" si="78"/>
        <v>16</v>
      </c>
      <c r="L359" s="121" t="str">
        <f t="shared" si="79"/>
        <v/>
      </c>
      <c r="M359" s="2" t="s">
        <v>1063</v>
      </c>
      <c r="N359" s="98" t="s">
        <v>15</v>
      </c>
      <c r="O359" s="98" t="s">
        <v>19</v>
      </c>
      <c r="P359" s="168"/>
      <c r="Q359" s="168" t="s">
        <v>219</v>
      </c>
      <c r="R359" s="338" t="s">
        <v>664</v>
      </c>
      <c r="S359" s="36"/>
      <c r="T359" s="23"/>
      <c r="U359" s="35" t="s">
        <v>1064</v>
      </c>
      <c r="V359" s="24"/>
      <c r="W359" s="154"/>
      <c r="X359" s="121"/>
      <c r="Y359" s="121"/>
      <c r="Z359" s="122">
        <v>16</v>
      </c>
      <c r="AA359" s="123">
        <f t="shared" si="73"/>
        <v>21984</v>
      </c>
      <c r="AB359" s="123">
        <f t="shared" si="74"/>
        <v>1374</v>
      </c>
      <c r="AC359" s="120"/>
      <c r="AD359" s="39"/>
      <c r="AE359" s="39"/>
      <c r="AF359" s="39"/>
      <c r="AG359" s="39"/>
      <c r="AH359" s="39"/>
      <c r="AI359" s="123" t="str">
        <f t="shared" si="75"/>
        <v xml:space="preserve"> </v>
      </c>
      <c r="AJ359" s="123" t="str">
        <f t="shared" si="76"/>
        <v xml:space="preserve"> </v>
      </c>
      <c r="AK359" s="35"/>
      <c r="AL359" s="35"/>
      <c r="AM359" s="35"/>
      <c r="AU359" s="35"/>
    </row>
    <row r="360" spans="1:47" ht="12" customHeight="1" x14ac:dyDescent="0.2">
      <c r="A360" s="236"/>
      <c r="B360" s="184" t="s">
        <v>162</v>
      </c>
      <c r="C360" s="121"/>
      <c r="D360" s="167"/>
      <c r="E360" s="167"/>
      <c r="F360" s="169" t="s">
        <v>1125</v>
      </c>
      <c r="G360" s="315" t="s">
        <v>162</v>
      </c>
      <c r="H360" s="186" t="s">
        <v>14</v>
      </c>
      <c r="I360" s="166">
        <v>2000</v>
      </c>
      <c r="J360" s="167">
        <v>2403</v>
      </c>
      <c r="K360" s="121">
        <f t="shared" si="78"/>
        <v>18</v>
      </c>
      <c r="L360" s="121">
        <f t="shared" si="79"/>
        <v>15</v>
      </c>
      <c r="M360" s="72" t="s">
        <v>1063</v>
      </c>
      <c r="N360" s="237" t="s">
        <v>15</v>
      </c>
      <c r="O360" s="98" t="s">
        <v>19</v>
      </c>
      <c r="P360" s="168"/>
      <c r="Q360" s="168" t="s">
        <v>219</v>
      </c>
      <c r="R360" s="37"/>
      <c r="S360" s="36"/>
      <c r="T360" s="23"/>
      <c r="U360" s="35"/>
      <c r="V360" s="24"/>
      <c r="W360" s="154"/>
      <c r="X360" s="121"/>
      <c r="Y360" s="121"/>
      <c r="Z360" s="122">
        <v>18</v>
      </c>
      <c r="AA360" s="123">
        <f t="shared" si="73"/>
        <v>43254</v>
      </c>
      <c r="AB360" s="123">
        <f t="shared" si="74"/>
        <v>2403</v>
      </c>
      <c r="AC360" s="120"/>
      <c r="AD360" s="39"/>
      <c r="AE360" s="39"/>
      <c r="AF360" s="39"/>
      <c r="AG360" s="39"/>
      <c r="AH360" s="39">
        <v>15</v>
      </c>
      <c r="AI360" s="123">
        <f t="shared" si="75"/>
        <v>36045</v>
      </c>
      <c r="AJ360" s="123">
        <f t="shared" si="76"/>
        <v>2403</v>
      </c>
      <c r="AK360" s="35"/>
      <c r="AL360" s="35"/>
      <c r="AM360" s="35"/>
      <c r="AU360" s="35"/>
    </row>
    <row r="361" spans="1:47" ht="12" customHeight="1" x14ac:dyDescent="0.2">
      <c r="A361" s="236"/>
      <c r="B361" s="245" t="s">
        <v>162</v>
      </c>
      <c r="C361" s="291"/>
      <c r="D361" s="248"/>
      <c r="E361" s="248"/>
      <c r="F361" s="19" t="s">
        <v>1125</v>
      </c>
      <c r="G361" s="316" t="s">
        <v>162</v>
      </c>
      <c r="H361" s="186" t="s">
        <v>14</v>
      </c>
      <c r="I361" s="246">
        <v>2000</v>
      </c>
      <c r="J361" s="248">
        <v>15351</v>
      </c>
      <c r="K361" s="121">
        <f t="shared" si="78"/>
        <v>16.47</v>
      </c>
      <c r="L361" s="121">
        <f t="shared" si="79"/>
        <v>14.43</v>
      </c>
      <c r="M361" s="333" t="s">
        <v>1042</v>
      </c>
      <c r="N361" s="247" t="s">
        <v>15</v>
      </c>
      <c r="O361" s="247" t="s">
        <v>19</v>
      </c>
      <c r="P361" s="237" t="s">
        <v>244</v>
      </c>
      <c r="Q361" s="19" t="s">
        <v>1003</v>
      </c>
      <c r="R361" s="37"/>
      <c r="S361" s="36"/>
      <c r="T361" s="23"/>
      <c r="U361" s="128"/>
      <c r="V361" s="128"/>
      <c r="W361" s="127"/>
      <c r="X361" s="121">
        <v>16.47</v>
      </c>
      <c r="Y361" s="121"/>
      <c r="Z361" s="122">
        <f>X361</f>
        <v>16.47</v>
      </c>
      <c r="AA361" s="123">
        <f t="shared" si="73"/>
        <v>252830.96999999997</v>
      </c>
      <c r="AB361" s="123">
        <f t="shared" si="74"/>
        <v>15351</v>
      </c>
      <c r="AC361" s="127"/>
      <c r="AD361" s="161"/>
      <c r="AE361" s="161"/>
      <c r="AF361" s="161">
        <v>14.43</v>
      </c>
      <c r="AG361" s="42"/>
      <c r="AH361" s="161">
        <f>AF361</f>
        <v>14.43</v>
      </c>
      <c r="AI361" s="123">
        <f t="shared" si="75"/>
        <v>221514.93</v>
      </c>
      <c r="AJ361" s="123">
        <f t="shared" si="76"/>
        <v>15351</v>
      </c>
      <c r="AK361" s="128"/>
      <c r="AL361" s="128"/>
      <c r="AM361" s="128"/>
      <c r="AU361" s="35"/>
    </row>
    <row r="362" spans="1:47" ht="12" customHeight="1" x14ac:dyDescent="0.2">
      <c r="A362" s="236"/>
      <c r="B362" s="245" t="s">
        <v>162</v>
      </c>
      <c r="C362" s="291"/>
      <c r="D362" s="248"/>
      <c r="E362" s="248"/>
      <c r="F362" s="19" t="s">
        <v>1125</v>
      </c>
      <c r="G362" s="316" t="s">
        <v>162</v>
      </c>
      <c r="H362" s="186" t="s">
        <v>14</v>
      </c>
      <c r="I362" s="246" t="s">
        <v>235</v>
      </c>
      <c r="J362" s="248">
        <v>16823</v>
      </c>
      <c r="K362" s="121">
        <f t="shared" si="78"/>
        <v>12.46</v>
      </c>
      <c r="L362" s="121">
        <f t="shared" si="79"/>
        <v>8.64</v>
      </c>
      <c r="M362" s="333" t="s">
        <v>1042</v>
      </c>
      <c r="N362" s="247" t="s">
        <v>15</v>
      </c>
      <c r="O362" s="247" t="s">
        <v>19</v>
      </c>
      <c r="P362" s="237" t="s">
        <v>244</v>
      </c>
      <c r="Q362" s="19" t="s">
        <v>1003</v>
      </c>
      <c r="R362" s="37"/>
      <c r="S362" s="36"/>
      <c r="T362" s="23"/>
      <c r="U362" s="128"/>
      <c r="V362" s="128"/>
      <c r="W362" s="127"/>
      <c r="X362" s="121">
        <v>12.46</v>
      </c>
      <c r="Y362" s="121"/>
      <c r="Z362" s="122">
        <f>X362</f>
        <v>12.46</v>
      </c>
      <c r="AA362" s="123">
        <f t="shared" si="73"/>
        <v>209614.58000000002</v>
      </c>
      <c r="AB362" s="123">
        <f t="shared" si="74"/>
        <v>16823</v>
      </c>
      <c r="AC362" s="127"/>
      <c r="AD362" s="161"/>
      <c r="AE362" s="161"/>
      <c r="AF362" s="161">
        <v>8.64</v>
      </c>
      <c r="AG362" s="42"/>
      <c r="AH362" s="161">
        <f>AF362</f>
        <v>8.64</v>
      </c>
      <c r="AI362" s="123">
        <f t="shared" si="75"/>
        <v>145350.72</v>
      </c>
      <c r="AJ362" s="123">
        <f t="shared" si="76"/>
        <v>16823</v>
      </c>
      <c r="AK362" s="128"/>
      <c r="AL362" s="128"/>
      <c r="AM362" s="128"/>
      <c r="AU362" s="35"/>
    </row>
    <row r="363" spans="1:47" ht="12" customHeight="1" x14ac:dyDescent="0.2">
      <c r="A363" s="236"/>
      <c r="B363" s="184" t="s">
        <v>388</v>
      </c>
      <c r="C363" s="121"/>
      <c r="D363" s="167"/>
      <c r="E363" s="167"/>
      <c r="F363" s="169" t="s">
        <v>1125</v>
      </c>
      <c r="G363" s="315" t="s">
        <v>388</v>
      </c>
      <c r="H363" s="97"/>
      <c r="I363" s="166">
        <v>2006</v>
      </c>
      <c r="J363" s="167">
        <v>999999999</v>
      </c>
      <c r="K363" s="121">
        <f t="shared" si="78"/>
        <v>30</v>
      </c>
      <c r="L363" s="121" t="str">
        <f t="shared" si="79"/>
        <v/>
      </c>
      <c r="M363" s="333" t="s">
        <v>1047</v>
      </c>
      <c r="N363" s="98"/>
      <c r="O363" s="98"/>
      <c r="P363" s="168"/>
      <c r="Q363" s="169" t="s">
        <v>958</v>
      </c>
      <c r="S363" s="36"/>
      <c r="T363" s="23">
        <v>56</v>
      </c>
      <c r="U363" s="35"/>
      <c r="V363" s="24"/>
      <c r="W363" s="154"/>
      <c r="X363" s="121"/>
      <c r="Y363" s="121"/>
      <c r="Z363" s="122">
        <v>30</v>
      </c>
      <c r="AA363" s="123">
        <f t="shared" si="73"/>
        <v>29999999970</v>
      </c>
      <c r="AB363" s="123">
        <f t="shared" si="74"/>
        <v>999999999</v>
      </c>
      <c r="AC363" s="120"/>
      <c r="AD363" s="39"/>
      <c r="AE363" s="39"/>
      <c r="AF363" s="39"/>
      <c r="AG363" s="39"/>
      <c r="AH363" s="39"/>
      <c r="AI363" s="123" t="str">
        <f t="shared" si="75"/>
        <v xml:space="preserve"> </v>
      </c>
      <c r="AJ363" s="123" t="str">
        <f t="shared" si="76"/>
        <v xml:space="preserve"> </v>
      </c>
      <c r="AK363" s="35"/>
      <c r="AL363" s="35"/>
      <c r="AM363" s="35"/>
      <c r="AU363" s="128"/>
    </row>
    <row r="364" spans="1:47" ht="12" customHeight="1" x14ac:dyDescent="0.2">
      <c r="A364" s="236"/>
      <c r="B364" s="245" t="s">
        <v>3</v>
      </c>
      <c r="C364" s="291"/>
      <c r="D364" s="248"/>
      <c r="E364" s="248"/>
      <c r="F364" s="19" t="s">
        <v>1131</v>
      </c>
      <c r="G364" s="316" t="s">
        <v>3</v>
      </c>
      <c r="H364" s="186" t="s">
        <v>14</v>
      </c>
      <c r="I364" s="246">
        <v>2003</v>
      </c>
      <c r="J364" s="248">
        <v>8195</v>
      </c>
      <c r="K364" s="121">
        <f t="shared" si="78"/>
        <v>39.67</v>
      </c>
      <c r="L364" s="121">
        <f t="shared" si="79"/>
        <v>25.55</v>
      </c>
      <c r="M364" s="333" t="s">
        <v>1042</v>
      </c>
      <c r="N364" s="247" t="s">
        <v>15</v>
      </c>
      <c r="O364" s="247" t="s">
        <v>19</v>
      </c>
      <c r="P364" s="237" t="s">
        <v>244</v>
      </c>
      <c r="Q364" s="19" t="s">
        <v>1003</v>
      </c>
      <c r="R364" s="37"/>
      <c r="S364" s="36"/>
      <c r="T364" s="23"/>
      <c r="U364" s="128"/>
      <c r="V364" s="128"/>
      <c r="W364" s="127"/>
      <c r="X364" s="121">
        <v>39.67</v>
      </c>
      <c r="Y364" s="121"/>
      <c r="Z364" s="122">
        <f>X364</f>
        <v>39.67</v>
      </c>
      <c r="AA364" s="123">
        <f t="shared" si="73"/>
        <v>325095.65000000002</v>
      </c>
      <c r="AB364" s="123">
        <f t="shared" si="74"/>
        <v>8195</v>
      </c>
      <c r="AC364" s="127"/>
      <c r="AD364" s="161"/>
      <c r="AE364" s="161"/>
      <c r="AF364" s="161">
        <v>25.55</v>
      </c>
      <c r="AG364" s="42"/>
      <c r="AH364" s="161">
        <f>AF364</f>
        <v>25.55</v>
      </c>
      <c r="AI364" s="123">
        <f t="shared" si="75"/>
        <v>209382.25</v>
      </c>
      <c r="AJ364" s="123">
        <f t="shared" si="76"/>
        <v>8195</v>
      </c>
      <c r="AK364" s="128"/>
      <c r="AL364" s="128"/>
      <c r="AM364" s="128"/>
      <c r="AU364" s="35"/>
    </row>
    <row r="365" spans="1:47" ht="12" customHeight="1" x14ac:dyDescent="0.2">
      <c r="A365" s="236"/>
      <c r="B365" s="245" t="s">
        <v>3</v>
      </c>
      <c r="C365" s="291"/>
      <c r="D365" s="248"/>
      <c r="E365" s="248"/>
      <c r="F365" s="278" t="s">
        <v>1131</v>
      </c>
      <c r="G365" s="316" t="s">
        <v>3</v>
      </c>
      <c r="H365" s="246" t="s">
        <v>14</v>
      </c>
      <c r="I365" s="246">
        <v>2004</v>
      </c>
      <c r="J365" s="248">
        <v>1564</v>
      </c>
      <c r="K365" s="121">
        <f t="shared" si="78"/>
        <v>46.9</v>
      </c>
      <c r="L365" s="121" t="str">
        <f t="shared" si="79"/>
        <v/>
      </c>
      <c r="M365" s="333" t="s">
        <v>955</v>
      </c>
      <c r="N365" s="237" t="s">
        <v>17</v>
      </c>
      <c r="O365" s="237" t="s">
        <v>234</v>
      </c>
      <c r="P365" s="168" t="s">
        <v>628</v>
      </c>
      <c r="Q365" s="278" t="s">
        <v>970</v>
      </c>
      <c r="R365" s="134"/>
      <c r="S365" s="359"/>
      <c r="T365" s="23"/>
      <c r="U365" s="35"/>
      <c r="V365" s="24"/>
      <c r="W365" s="154"/>
      <c r="X365" s="121">
        <v>46.9</v>
      </c>
      <c r="Y365" s="121"/>
      <c r="Z365" s="122">
        <f>X365</f>
        <v>46.9</v>
      </c>
      <c r="AA365" s="123">
        <f t="shared" si="73"/>
        <v>73351.599999999991</v>
      </c>
      <c r="AB365" s="123">
        <f t="shared" si="74"/>
        <v>1564</v>
      </c>
      <c r="AC365" s="120"/>
      <c r="AD365" s="39"/>
      <c r="AE365" s="39"/>
      <c r="AF365" s="39"/>
      <c r="AG365" s="39"/>
      <c r="AH365" s="39"/>
      <c r="AI365" s="123" t="str">
        <f t="shared" si="75"/>
        <v xml:space="preserve"> </v>
      </c>
      <c r="AJ365" s="123" t="str">
        <f t="shared" si="76"/>
        <v xml:space="preserve"> </v>
      </c>
      <c r="AK365" s="35"/>
      <c r="AL365" s="35"/>
      <c r="AM365" s="35"/>
      <c r="AU365" s="35"/>
    </row>
    <row r="366" spans="1:47" ht="12" customHeight="1" x14ac:dyDescent="0.2">
      <c r="A366" s="236"/>
      <c r="B366" s="184" t="s">
        <v>3</v>
      </c>
      <c r="C366" s="121"/>
      <c r="D366" s="167"/>
      <c r="E366" s="167"/>
      <c r="F366" s="169" t="s">
        <v>1131</v>
      </c>
      <c r="G366" s="315" t="s">
        <v>3</v>
      </c>
      <c r="H366" s="97" t="s">
        <v>9</v>
      </c>
      <c r="I366" s="166" t="s">
        <v>7</v>
      </c>
      <c r="J366" s="167">
        <v>612</v>
      </c>
      <c r="K366" s="121">
        <f t="shared" si="78"/>
        <v>42</v>
      </c>
      <c r="L366" s="121" t="str">
        <f t="shared" si="79"/>
        <v/>
      </c>
      <c r="M366" s="332" t="s">
        <v>1041</v>
      </c>
      <c r="N366" s="98" t="s">
        <v>16</v>
      </c>
      <c r="O366" s="237" t="s">
        <v>20</v>
      </c>
      <c r="P366" s="168"/>
      <c r="Q366" s="169" t="s">
        <v>523</v>
      </c>
      <c r="R366" s="134"/>
      <c r="S366" s="359"/>
      <c r="T366" s="23"/>
      <c r="U366" s="35"/>
      <c r="V366" s="24"/>
      <c r="W366" s="154"/>
      <c r="X366" s="121">
        <v>42</v>
      </c>
      <c r="Y366" s="121"/>
      <c r="Z366" s="122">
        <f>X366</f>
        <v>42</v>
      </c>
      <c r="AA366" s="123">
        <f t="shared" si="73"/>
        <v>25704</v>
      </c>
      <c r="AB366" s="123">
        <f t="shared" si="74"/>
        <v>612</v>
      </c>
      <c r="AC366" s="120"/>
      <c r="AD366" s="39"/>
      <c r="AE366" s="39"/>
      <c r="AF366" s="39"/>
      <c r="AG366" s="39"/>
      <c r="AH366" s="39"/>
      <c r="AI366" s="123" t="str">
        <f t="shared" si="75"/>
        <v xml:space="preserve"> </v>
      </c>
      <c r="AJ366" s="123" t="str">
        <f t="shared" si="76"/>
        <v xml:space="preserve"> </v>
      </c>
      <c r="AK366" s="35"/>
      <c r="AL366" s="35"/>
      <c r="AM366" s="35"/>
      <c r="AU366" s="35"/>
    </row>
    <row r="367" spans="1:47" ht="12" customHeight="1" x14ac:dyDescent="0.2">
      <c r="A367" s="236"/>
      <c r="B367" s="245" t="s">
        <v>3</v>
      </c>
      <c r="C367" s="291"/>
      <c r="D367" s="248"/>
      <c r="E367" s="248"/>
      <c r="F367" s="19" t="s">
        <v>1131</v>
      </c>
      <c r="G367" s="316" t="s">
        <v>3</v>
      </c>
      <c r="H367" s="186" t="s">
        <v>14</v>
      </c>
      <c r="I367" s="246" t="s">
        <v>589</v>
      </c>
      <c r="J367" s="248">
        <v>8444</v>
      </c>
      <c r="K367" s="121">
        <f t="shared" si="78"/>
        <v>36.39</v>
      </c>
      <c r="L367" s="121" t="str">
        <f t="shared" si="79"/>
        <v/>
      </c>
      <c r="M367" s="333" t="s">
        <v>1042</v>
      </c>
      <c r="N367" s="247" t="s">
        <v>15</v>
      </c>
      <c r="O367" s="247" t="s">
        <v>19</v>
      </c>
      <c r="P367" s="237" t="s">
        <v>244</v>
      </c>
      <c r="Q367" s="19" t="s">
        <v>1003</v>
      </c>
      <c r="R367" s="37"/>
      <c r="S367" s="36"/>
      <c r="T367" s="23"/>
      <c r="U367" s="128"/>
      <c r="V367" s="128"/>
      <c r="W367" s="127"/>
      <c r="X367" s="121">
        <v>36.39</v>
      </c>
      <c r="Y367" s="121"/>
      <c r="Z367" s="122">
        <f>X367</f>
        <v>36.39</v>
      </c>
      <c r="AA367" s="123">
        <f t="shared" si="73"/>
        <v>307277.16000000003</v>
      </c>
      <c r="AB367" s="123">
        <f t="shared" si="74"/>
        <v>8444</v>
      </c>
      <c r="AC367" s="127"/>
      <c r="AD367" s="161"/>
      <c r="AE367" s="161"/>
      <c r="AF367" s="161"/>
      <c r="AG367" s="42"/>
      <c r="AH367" s="161"/>
      <c r="AI367" s="123" t="str">
        <f t="shared" si="75"/>
        <v xml:space="preserve"> </v>
      </c>
      <c r="AJ367" s="123" t="str">
        <f t="shared" si="76"/>
        <v xml:space="preserve"> </v>
      </c>
      <c r="AK367" s="128"/>
      <c r="AL367" s="128"/>
      <c r="AM367" s="128"/>
      <c r="AU367" s="35"/>
    </row>
    <row r="368" spans="1:47" ht="12" customHeight="1" x14ac:dyDescent="0.2">
      <c r="A368" s="236"/>
      <c r="B368" s="245" t="s">
        <v>502</v>
      </c>
      <c r="C368" s="291"/>
      <c r="D368" s="248"/>
      <c r="E368" s="248"/>
      <c r="F368" s="237" t="s">
        <v>1134</v>
      </c>
      <c r="G368" s="316" t="s">
        <v>502</v>
      </c>
      <c r="H368" s="186" t="s">
        <v>14</v>
      </c>
      <c r="I368" s="246">
        <v>2008</v>
      </c>
      <c r="J368" s="167">
        <v>999999999</v>
      </c>
      <c r="K368" s="121">
        <f>IF(Z368&gt;0,Z368,"")</f>
        <v>60</v>
      </c>
      <c r="L368" s="121">
        <f>IF(AH368&gt;0,AH368,"")</f>
        <v>32.4</v>
      </c>
      <c r="M368" s="15" t="s">
        <v>1069</v>
      </c>
      <c r="N368" s="247"/>
      <c r="O368" s="247"/>
      <c r="P368" s="237" t="s">
        <v>243</v>
      </c>
      <c r="Q368" s="237" t="s">
        <v>876</v>
      </c>
      <c r="R368" s="37"/>
      <c r="S368" s="36"/>
      <c r="T368" s="23"/>
      <c r="U368" s="128"/>
      <c r="V368" s="128"/>
      <c r="W368" s="127"/>
      <c r="X368" s="121">
        <v>60</v>
      </c>
      <c r="Y368" s="121">
        <v>67.599999999999994</v>
      </c>
      <c r="Z368" s="122">
        <f>X368</f>
        <v>60</v>
      </c>
      <c r="AA368" s="123">
        <f t="shared" si="73"/>
        <v>59999999940</v>
      </c>
      <c r="AB368" s="123">
        <f t="shared" si="74"/>
        <v>999999999</v>
      </c>
      <c r="AC368" s="127"/>
      <c r="AD368" s="161"/>
      <c r="AE368" s="161"/>
      <c r="AF368" s="161">
        <v>32.4</v>
      </c>
      <c r="AG368" s="42">
        <v>36.1</v>
      </c>
      <c r="AH368" s="161">
        <f>AF368</f>
        <v>32.4</v>
      </c>
      <c r="AI368" s="123">
        <f>IF(AH368&gt;0,$J368*AH368," ")</f>
        <v>32399999967.599998</v>
      </c>
      <c r="AJ368" s="123">
        <f>IF(AH368&gt;0,$J368," ")</f>
        <v>999999999</v>
      </c>
      <c r="AK368" s="128"/>
      <c r="AL368" s="128"/>
      <c r="AM368" s="128"/>
      <c r="AU368" s="35"/>
    </row>
    <row r="369" spans="1:47" ht="12" customHeight="1" x14ac:dyDescent="0.2">
      <c r="A369" s="236"/>
      <c r="B369" s="184" t="s">
        <v>390</v>
      </c>
      <c r="C369" s="121"/>
      <c r="D369" s="167"/>
      <c r="E369" s="167"/>
      <c r="F369" s="169" t="s">
        <v>1125</v>
      </c>
      <c r="G369" s="315" t="s">
        <v>390</v>
      </c>
      <c r="H369" s="97" t="s">
        <v>224</v>
      </c>
      <c r="I369" s="166">
        <v>1988</v>
      </c>
      <c r="J369" s="167">
        <v>708</v>
      </c>
      <c r="K369" s="121" t="str">
        <f t="shared" si="78"/>
        <v/>
      </c>
      <c r="L369" s="121">
        <f t="shared" si="79"/>
        <v>14</v>
      </c>
      <c r="M369" s="333" t="s">
        <v>1043</v>
      </c>
      <c r="N369" s="98" t="s">
        <v>18</v>
      </c>
      <c r="O369" s="98"/>
      <c r="P369" s="168"/>
      <c r="Q369" s="169" t="s">
        <v>972</v>
      </c>
      <c r="R369" s="37"/>
      <c r="S369" s="36"/>
      <c r="T369" s="23"/>
      <c r="U369" s="35"/>
      <c r="V369" s="24"/>
      <c r="W369" s="154"/>
      <c r="X369" s="121"/>
      <c r="Y369" s="121"/>
      <c r="Z369" s="122"/>
      <c r="AA369" s="123" t="str">
        <f t="shared" si="73"/>
        <v xml:space="preserve"> </v>
      </c>
      <c r="AB369" s="123" t="str">
        <f t="shared" si="74"/>
        <v xml:space="preserve"> </v>
      </c>
      <c r="AC369" s="120"/>
      <c r="AD369" s="39">
        <v>14</v>
      </c>
      <c r="AE369" s="39"/>
      <c r="AF369" s="39"/>
      <c r="AG369" s="39"/>
      <c r="AH369" s="39">
        <v>14</v>
      </c>
      <c r="AI369" s="123">
        <f t="shared" si="75"/>
        <v>9912</v>
      </c>
      <c r="AJ369" s="123">
        <f t="shared" si="76"/>
        <v>708</v>
      </c>
      <c r="AK369" s="35"/>
      <c r="AL369" s="35"/>
      <c r="AM369" s="35"/>
      <c r="AU369" s="128"/>
    </row>
    <row r="370" spans="1:47" ht="12" customHeight="1" x14ac:dyDescent="0.2">
      <c r="A370" s="236"/>
      <c r="B370" s="184" t="s">
        <v>390</v>
      </c>
      <c r="C370" s="121"/>
      <c r="D370" s="167"/>
      <c r="E370" s="167"/>
      <c r="F370" s="169" t="s">
        <v>1125</v>
      </c>
      <c r="G370" s="315" t="s">
        <v>390</v>
      </c>
      <c r="H370" s="97" t="s">
        <v>14</v>
      </c>
      <c r="I370" s="166">
        <v>1989</v>
      </c>
      <c r="J370" s="167">
        <v>707</v>
      </c>
      <c r="K370" s="121" t="str">
        <f t="shared" si="78"/>
        <v/>
      </c>
      <c r="L370" s="121">
        <f t="shared" si="79"/>
        <v>37.5</v>
      </c>
      <c r="M370" s="72" t="s">
        <v>1063</v>
      </c>
      <c r="N370" s="98" t="s">
        <v>18</v>
      </c>
      <c r="O370" s="98" t="s">
        <v>88</v>
      </c>
      <c r="P370" s="168"/>
      <c r="Q370" s="168" t="s">
        <v>219</v>
      </c>
      <c r="R370" s="37"/>
      <c r="S370" s="36"/>
      <c r="T370" s="23"/>
      <c r="U370" s="35"/>
      <c r="V370" s="24"/>
      <c r="W370" s="154"/>
      <c r="X370" s="121"/>
      <c r="Y370" s="121"/>
      <c r="Z370" s="122"/>
      <c r="AA370" s="123" t="str">
        <f t="shared" si="73"/>
        <v xml:space="preserve"> </v>
      </c>
      <c r="AB370" s="123" t="str">
        <f t="shared" si="74"/>
        <v xml:space="preserve"> </v>
      </c>
      <c r="AC370" s="120"/>
      <c r="AD370" s="39">
        <v>37.5</v>
      </c>
      <c r="AE370" s="39"/>
      <c r="AF370" s="39"/>
      <c r="AG370" s="39"/>
      <c r="AH370" s="39">
        <v>37.5</v>
      </c>
      <c r="AI370" s="123">
        <f t="shared" si="75"/>
        <v>26512.5</v>
      </c>
      <c r="AJ370" s="123">
        <f t="shared" si="76"/>
        <v>707</v>
      </c>
      <c r="AK370" s="35"/>
      <c r="AL370" s="35"/>
      <c r="AM370" s="35"/>
      <c r="AU370" s="128"/>
    </row>
    <row r="371" spans="1:47" ht="12" customHeight="1" x14ac:dyDescent="0.2">
      <c r="A371" s="236"/>
      <c r="B371" s="184" t="s">
        <v>390</v>
      </c>
      <c r="C371" s="121"/>
      <c r="D371" s="167"/>
      <c r="E371" s="167"/>
      <c r="F371" s="169" t="s">
        <v>1125</v>
      </c>
      <c r="G371" s="315" t="s">
        <v>390</v>
      </c>
      <c r="H371" s="97" t="s">
        <v>14</v>
      </c>
      <c r="I371" s="166">
        <v>2004</v>
      </c>
      <c r="J371" s="167">
        <v>5916</v>
      </c>
      <c r="K371" s="121">
        <f t="shared" si="78"/>
        <v>20.7</v>
      </c>
      <c r="L371" s="121">
        <f t="shared" si="79"/>
        <v>13.2</v>
      </c>
      <c r="M371" s="2" t="s">
        <v>1086</v>
      </c>
      <c r="N371" s="98" t="s">
        <v>18</v>
      </c>
      <c r="O371" s="98" t="s">
        <v>229</v>
      </c>
      <c r="P371" s="168"/>
      <c r="Q371" s="168" t="s">
        <v>329</v>
      </c>
      <c r="R371" s="334" t="s">
        <v>776</v>
      </c>
      <c r="S371" s="310">
        <v>40994</v>
      </c>
      <c r="T371" s="23"/>
      <c r="U371" s="35" t="s">
        <v>1087</v>
      </c>
      <c r="V371" s="24"/>
      <c r="W371" s="154"/>
      <c r="X371" s="121"/>
      <c r="Y371" s="121"/>
      <c r="Z371" s="122">
        <v>20.7</v>
      </c>
      <c r="AA371" s="123">
        <f t="shared" si="73"/>
        <v>122461.2</v>
      </c>
      <c r="AB371" s="123">
        <f t="shared" si="74"/>
        <v>5916</v>
      </c>
      <c r="AC371" s="120"/>
      <c r="AD371" s="39"/>
      <c r="AE371" s="39"/>
      <c r="AF371" s="39"/>
      <c r="AG371" s="39"/>
      <c r="AH371" s="39">
        <v>13.2</v>
      </c>
      <c r="AI371" s="123">
        <f t="shared" si="75"/>
        <v>78091.199999999997</v>
      </c>
      <c r="AJ371" s="123">
        <f t="shared" si="76"/>
        <v>5916</v>
      </c>
      <c r="AK371" s="35"/>
      <c r="AL371" s="35"/>
      <c r="AM371" s="35"/>
      <c r="AU371" s="35"/>
    </row>
    <row r="372" spans="1:47" ht="12" customHeight="1" x14ac:dyDescent="0.2">
      <c r="A372" s="236"/>
      <c r="B372" s="184" t="s">
        <v>390</v>
      </c>
      <c r="C372" s="121"/>
      <c r="D372" s="167"/>
      <c r="E372" s="167"/>
      <c r="F372" s="169" t="s">
        <v>1125</v>
      </c>
      <c r="G372" s="315" t="s">
        <v>390</v>
      </c>
      <c r="H372" s="97" t="s">
        <v>14</v>
      </c>
      <c r="I372" s="166">
        <v>2007</v>
      </c>
      <c r="J372" s="167"/>
      <c r="K372" s="121">
        <f>IF(Z372&gt;0,Z372,"")</f>
        <v>14</v>
      </c>
      <c r="L372" s="121">
        <f>IF(AH372&gt;0,AH372,"")</f>
        <v>7.7</v>
      </c>
      <c r="M372" s="15" t="s">
        <v>1069</v>
      </c>
      <c r="N372" s="98"/>
      <c r="O372" s="98"/>
      <c r="P372" s="168"/>
      <c r="Q372" s="169" t="s">
        <v>876</v>
      </c>
      <c r="R372" s="131"/>
      <c r="S372" s="357"/>
      <c r="T372" s="23"/>
      <c r="U372" s="35"/>
      <c r="V372" s="24"/>
      <c r="W372" s="154"/>
      <c r="X372" s="121">
        <v>14</v>
      </c>
      <c r="Y372" s="121"/>
      <c r="Z372" s="122">
        <f>X372</f>
        <v>14</v>
      </c>
      <c r="AA372" s="123">
        <f>IF(Z372&gt;0,$J372*Z372," ")</f>
        <v>0</v>
      </c>
      <c r="AB372" s="123">
        <f>IF(Z372&gt;0,$J372," ")</f>
        <v>0</v>
      </c>
      <c r="AC372" s="120"/>
      <c r="AD372" s="39"/>
      <c r="AE372" s="39"/>
      <c r="AF372" s="39">
        <v>7.7</v>
      </c>
      <c r="AG372" s="39"/>
      <c r="AH372" s="39">
        <f>AF372</f>
        <v>7.7</v>
      </c>
      <c r="AI372" s="123">
        <f>IF(AH372&gt;0,$J372*AH372," ")</f>
        <v>0</v>
      </c>
      <c r="AJ372" s="123">
        <f>IF(AH372&gt;0,$J372," ")</f>
        <v>0</v>
      </c>
      <c r="AK372" s="35"/>
      <c r="AL372" s="35"/>
      <c r="AM372" s="35"/>
      <c r="AU372" s="35"/>
    </row>
    <row r="373" spans="1:47" ht="12" customHeight="1" x14ac:dyDescent="0.2">
      <c r="A373" s="236"/>
      <c r="B373" s="250" t="s">
        <v>391</v>
      </c>
      <c r="C373" s="121"/>
      <c r="D373" s="167"/>
      <c r="E373" s="167"/>
      <c r="F373" s="169" t="s">
        <v>1125</v>
      </c>
      <c r="G373" s="317" t="s">
        <v>391</v>
      </c>
      <c r="H373" s="186" t="s">
        <v>14</v>
      </c>
      <c r="I373" s="166"/>
      <c r="J373" s="167">
        <v>1600</v>
      </c>
      <c r="K373" s="121">
        <f t="shared" si="78"/>
        <v>29</v>
      </c>
      <c r="L373" s="121" t="str">
        <f t="shared" si="79"/>
        <v/>
      </c>
      <c r="M373" s="2" t="s">
        <v>1093</v>
      </c>
      <c r="N373" s="237" t="s">
        <v>17</v>
      </c>
      <c r="O373" s="98"/>
      <c r="P373" s="168"/>
      <c r="Q373" s="169" t="s">
        <v>335</v>
      </c>
      <c r="R373" s="334" t="s">
        <v>610</v>
      </c>
      <c r="S373" s="310">
        <v>40994</v>
      </c>
      <c r="T373" s="23"/>
      <c r="U373" s="2" t="s">
        <v>1094</v>
      </c>
      <c r="V373" s="35"/>
      <c r="W373" s="156"/>
      <c r="X373" s="121">
        <v>29</v>
      </c>
      <c r="Y373" s="121"/>
      <c r="Z373" s="122">
        <f>X373</f>
        <v>29</v>
      </c>
      <c r="AA373" s="123">
        <f t="shared" si="73"/>
        <v>46400</v>
      </c>
      <c r="AB373" s="123">
        <f t="shared" si="74"/>
        <v>1600</v>
      </c>
      <c r="AC373" s="120"/>
      <c r="AD373" s="39"/>
      <c r="AE373" s="39"/>
      <c r="AF373" s="39"/>
      <c r="AG373" s="39"/>
      <c r="AH373" s="39"/>
      <c r="AI373" s="123" t="str">
        <f t="shared" si="75"/>
        <v xml:space="preserve"> </v>
      </c>
      <c r="AJ373" s="123" t="str">
        <f t="shared" si="76"/>
        <v xml:space="preserve"> </v>
      </c>
      <c r="AK373" s="35"/>
      <c r="AL373" s="35"/>
      <c r="AM373" s="35"/>
      <c r="AU373" s="128"/>
    </row>
    <row r="374" spans="1:47" ht="12" customHeight="1" x14ac:dyDescent="0.2">
      <c r="A374" s="236"/>
      <c r="B374" s="184" t="s">
        <v>165</v>
      </c>
      <c r="C374" s="121"/>
      <c r="D374" s="167"/>
      <c r="E374" s="167"/>
      <c r="F374" s="169" t="s">
        <v>1125</v>
      </c>
      <c r="G374" s="315" t="s">
        <v>165</v>
      </c>
      <c r="H374" s="97" t="s">
        <v>544</v>
      </c>
      <c r="I374" s="166">
        <v>2004</v>
      </c>
      <c r="J374" s="167">
        <v>417</v>
      </c>
      <c r="K374" s="121">
        <f t="shared" si="78"/>
        <v>22</v>
      </c>
      <c r="L374" s="121">
        <f t="shared" si="79"/>
        <v>9.1</v>
      </c>
      <c r="M374" s="333" t="s">
        <v>748</v>
      </c>
      <c r="N374" s="98" t="s">
        <v>18</v>
      </c>
      <c r="O374" s="98"/>
      <c r="P374" s="168"/>
      <c r="Q374" s="169" t="s">
        <v>969</v>
      </c>
      <c r="R374" s="124"/>
      <c r="S374" s="36"/>
      <c r="T374" s="23"/>
      <c r="U374" s="271" t="s">
        <v>749</v>
      </c>
      <c r="V374" s="128" t="s">
        <v>547</v>
      </c>
      <c r="W374" s="154"/>
      <c r="X374" s="121"/>
      <c r="Y374" s="121"/>
      <c r="Z374" s="122">
        <v>22</v>
      </c>
      <c r="AA374" s="123">
        <f t="shared" si="73"/>
        <v>9174</v>
      </c>
      <c r="AB374" s="123">
        <f t="shared" si="74"/>
        <v>417</v>
      </c>
      <c r="AC374" s="120"/>
      <c r="AD374" s="39"/>
      <c r="AE374" s="39"/>
      <c r="AF374" s="39"/>
      <c r="AG374" s="39"/>
      <c r="AH374" s="39">
        <v>9.1</v>
      </c>
      <c r="AI374" s="123">
        <f t="shared" si="75"/>
        <v>3794.7</v>
      </c>
      <c r="AJ374" s="123">
        <f t="shared" si="76"/>
        <v>417</v>
      </c>
      <c r="AK374" s="35"/>
      <c r="AL374" s="35"/>
      <c r="AM374" s="35"/>
      <c r="AU374" s="128"/>
    </row>
    <row r="375" spans="1:47" ht="12" customHeight="1" x14ac:dyDescent="0.2">
      <c r="A375" s="236"/>
      <c r="B375" s="184" t="s">
        <v>166</v>
      </c>
      <c r="C375" s="277"/>
      <c r="D375" s="254"/>
      <c r="E375" s="254"/>
      <c r="F375" s="169" t="s">
        <v>1131</v>
      </c>
      <c r="G375" s="315" t="s">
        <v>166</v>
      </c>
      <c r="H375" s="186" t="s">
        <v>14</v>
      </c>
      <c r="I375" s="166">
        <v>2002</v>
      </c>
      <c r="J375" s="254">
        <f>1309+179</f>
        <v>1488</v>
      </c>
      <c r="K375" s="121" t="str">
        <f t="shared" si="78"/>
        <v/>
      </c>
      <c r="L375" s="121">
        <f t="shared" si="79"/>
        <v>15.813598166539343</v>
      </c>
      <c r="M375" s="337" t="s">
        <v>1046</v>
      </c>
      <c r="N375" s="237" t="s">
        <v>17</v>
      </c>
      <c r="O375" s="237" t="s">
        <v>577</v>
      </c>
      <c r="P375" s="169" t="s">
        <v>578</v>
      </c>
      <c r="Q375" s="169" t="s">
        <v>576</v>
      </c>
      <c r="R375" s="131"/>
      <c r="S375" s="357"/>
      <c r="T375" s="23"/>
      <c r="U375" s="35"/>
      <c r="V375" s="24"/>
      <c r="W375" s="154"/>
      <c r="X375" s="121"/>
      <c r="Y375" s="121"/>
      <c r="Z375" s="122"/>
      <c r="AA375" s="123" t="str">
        <f t="shared" si="73"/>
        <v xml:space="preserve"> </v>
      </c>
      <c r="AB375" s="123" t="str">
        <f t="shared" si="74"/>
        <v xml:space="preserve"> </v>
      </c>
      <c r="AC375" s="120"/>
      <c r="AD375" s="39"/>
      <c r="AE375" s="39"/>
      <c r="AF375" s="39">
        <f>100*207/1309</f>
        <v>15.813598166539343</v>
      </c>
      <c r="AG375" s="39"/>
      <c r="AH375" s="39">
        <f>AF375</f>
        <v>15.813598166539343</v>
      </c>
      <c r="AI375" s="123">
        <f t="shared" si="75"/>
        <v>23530.634071810542</v>
      </c>
      <c r="AJ375" s="123">
        <f t="shared" si="76"/>
        <v>1488</v>
      </c>
      <c r="AK375" s="35"/>
      <c r="AL375" s="35"/>
      <c r="AM375" s="35"/>
      <c r="AU375" s="35"/>
    </row>
    <row r="376" spans="1:47" ht="12" customHeight="1" x14ac:dyDescent="0.2">
      <c r="A376" s="236"/>
      <c r="B376" s="245" t="s">
        <v>167</v>
      </c>
      <c r="C376" s="291"/>
      <c r="D376" s="248"/>
      <c r="E376" s="248"/>
      <c r="F376" s="19" t="s">
        <v>1131</v>
      </c>
      <c r="G376" s="316" t="s">
        <v>167</v>
      </c>
      <c r="H376" s="186" t="s">
        <v>14</v>
      </c>
      <c r="I376" s="246" t="s">
        <v>585</v>
      </c>
      <c r="J376" s="248">
        <v>7092</v>
      </c>
      <c r="K376" s="121">
        <f t="shared" si="78"/>
        <v>35.61</v>
      </c>
      <c r="L376" s="121" t="str">
        <f t="shared" si="79"/>
        <v/>
      </c>
      <c r="M376" s="333" t="s">
        <v>1042</v>
      </c>
      <c r="N376" s="247" t="s">
        <v>15</v>
      </c>
      <c r="O376" s="247" t="s">
        <v>19</v>
      </c>
      <c r="P376" s="237" t="s">
        <v>244</v>
      </c>
      <c r="Q376" s="19" t="s">
        <v>1003</v>
      </c>
      <c r="R376" s="37"/>
      <c r="S376" s="36"/>
      <c r="T376" s="23"/>
      <c r="U376" s="128"/>
      <c r="V376" s="128"/>
      <c r="W376" s="127"/>
      <c r="X376" s="121">
        <v>35.61</v>
      </c>
      <c r="Y376" s="121"/>
      <c r="Z376" s="122">
        <f>X376</f>
        <v>35.61</v>
      </c>
      <c r="AA376" s="123">
        <f t="shared" si="73"/>
        <v>252546.12</v>
      </c>
      <c r="AB376" s="123">
        <f t="shared" si="74"/>
        <v>7092</v>
      </c>
      <c r="AC376" s="127"/>
      <c r="AD376" s="161"/>
      <c r="AE376" s="161"/>
      <c r="AF376" s="161"/>
      <c r="AG376" s="42"/>
      <c r="AH376" s="161"/>
      <c r="AI376" s="123" t="str">
        <f t="shared" si="75"/>
        <v xml:space="preserve"> </v>
      </c>
      <c r="AJ376" s="123" t="str">
        <f t="shared" si="76"/>
        <v xml:space="preserve"> </v>
      </c>
      <c r="AK376" s="128"/>
      <c r="AL376" s="128"/>
      <c r="AM376" s="128"/>
      <c r="AU376" s="35"/>
    </row>
    <row r="377" spans="1:47" ht="12" customHeight="1" x14ac:dyDescent="0.2">
      <c r="A377" s="236"/>
      <c r="B377" s="184" t="s">
        <v>262</v>
      </c>
      <c r="C377" s="121"/>
      <c r="D377" s="167"/>
      <c r="E377" s="167"/>
      <c r="F377" s="169" t="s">
        <v>1130</v>
      </c>
      <c r="G377" s="315" t="s">
        <v>262</v>
      </c>
      <c r="H377" s="97" t="s">
        <v>14</v>
      </c>
      <c r="I377" s="166">
        <v>1999</v>
      </c>
      <c r="J377" s="167">
        <v>1010</v>
      </c>
      <c r="K377" s="121">
        <f t="shared" si="78"/>
        <v>42</v>
      </c>
      <c r="L377" s="121" t="str">
        <f t="shared" si="79"/>
        <v/>
      </c>
      <c r="M377" s="338" t="s">
        <v>673</v>
      </c>
      <c r="N377" s="98" t="s">
        <v>18</v>
      </c>
      <c r="O377" s="98" t="s">
        <v>103</v>
      </c>
      <c r="P377" s="168" t="s">
        <v>258</v>
      </c>
      <c r="Q377" s="168" t="s">
        <v>261</v>
      </c>
      <c r="R377" s="37"/>
      <c r="S377" s="310">
        <v>40516</v>
      </c>
      <c r="T377" s="23"/>
      <c r="U377" s="35" t="s">
        <v>754</v>
      </c>
      <c r="V377" s="24"/>
      <c r="W377" s="154"/>
      <c r="X377" s="121"/>
      <c r="Y377" s="121"/>
      <c r="Z377" s="122">
        <v>42</v>
      </c>
      <c r="AA377" s="123">
        <f t="shared" si="73"/>
        <v>42420</v>
      </c>
      <c r="AB377" s="123">
        <f t="shared" si="74"/>
        <v>1010</v>
      </c>
      <c r="AC377" s="120"/>
      <c r="AD377" s="39"/>
      <c r="AE377" s="39"/>
      <c r="AF377" s="39"/>
      <c r="AG377" s="39"/>
      <c r="AH377" s="39"/>
      <c r="AI377" s="123" t="str">
        <f t="shared" si="75"/>
        <v xml:space="preserve"> </v>
      </c>
      <c r="AJ377" s="123" t="str">
        <f t="shared" si="76"/>
        <v xml:space="preserve"> </v>
      </c>
      <c r="AK377" s="35"/>
      <c r="AL377" s="35"/>
      <c r="AM377" s="35"/>
      <c r="AU377" s="35"/>
    </row>
    <row r="378" spans="1:47" ht="12" customHeight="1" x14ac:dyDescent="0.2">
      <c r="A378" s="236"/>
      <c r="B378" s="184" t="s">
        <v>262</v>
      </c>
      <c r="C378" s="121"/>
      <c r="D378" s="167"/>
      <c r="E378" s="167"/>
      <c r="F378" s="169" t="s">
        <v>1130</v>
      </c>
      <c r="G378" s="315" t="s">
        <v>262</v>
      </c>
      <c r="H378" s="97" t="s">
        <v>14</v>
      </c>
      <c r="I378" s="166">
        <v>2000</v>
      </c>
      <c r="J378" s="167">
        <v>517</v>
      </c>
      <c r="K378" s="121">
        <f t="shared" si="78"/>
        <v>32.700000000000003</v>
      </c>
      <c r="L378" s="121" t="str">
        <f t="shared" si="79"/>
        <v/>
      </c>
      <c r="M378" s="333" t="s">
        <v>753</v>
      </c>
      <c r="N378" s="237" t="s">
        <v>17</v>
      </c>
      <c r="O378" s="98" t="s">
        <v>103</v>
      </c>
      <c r="P378" s="168"/>
      <c r="Q378" s="169" t="s">
        <v>973</v>
      </c>
      <c r="R378" s="37"/>
      <c r="S378" s="36"/>
      <c r="T378" s="23"/>
      <c r="U378" s="35"/>
      <c r="V378" s="24"/>
      <c r="W378" s="154"/>
      <c r="X378" s="122">
        <v>32.700000000000003</v>
      </c>
      <c r="Y378" s="121"/>
      <c r="Z378" s="122">
        <f>X378</f>
        <v>32.700000000000003</v>
      </c>
      <c r="AA378" s="123">
        <f t="shared" ref="AA378:AA456" si="80">IF(Z378&gt;0,$J378*Z378," ")</f>
        <v>16905.900000000001</v>
      </c>
      <c r="AB378" s="123">
        <f t="shared" ref="AB378:AB456" si="81">IF(Z378&gt;0,$J378," ")</f>
        <v>517</v>
      </c>
      <c r="AC378" s="120"/>
      <c r="AD378" s="39"/>
      <c r="AE378" s="39"/>
      <c r="AF378" s="39"/>
      <c r="AG378" s="39"/>
      <c r="AH378" s="39"/>
      <c r="AI378" s="123" t="str">
        <f t="shared" ref="AI378:AI456" si="82">IF(AH378&gt;0,$J378*AH378," ")</f>
        <v xml:space="preserve"> </v>
      </c>
      <c r="AJ378" s="123" t="str">
        <f t="shared" ref="AJ378:AJ456" si="83">IF(AH378&gt;0,$J378," ")</f>
        <v xml:space="preserve"> </v>
      </c>
      <c r="AK378" s="35"/>
      <c r="AL378" s="35"/>
      <c r="AM378" s="35"/>
      <c r="AU378" s="35"/>
    </row>
    <row r="379" spans="1:47" ht="12" customHeight="1" x14ac:dyDescent="0.2">
      <c r="A379" s="236"/>
      <c r="B379" s="184" t="s">
        <v>394</v>
      </c>
      <c r="C379" s="121"/>
      <c r="D379" s="167"/>
      <c r="E379" s="167"/>
      <c r="F379" s="169" t="s">
        <v>1130</v>
      </c>
      <c r="G379" s="315" t="s">
        <v>394</v>
      </c>
      <c r="H379" s="97" t="s">
        <v>14</v>
      </c>
      <c r="I379" s="166">
        <v>2000</v>
      </c>
      <c r="J379" s="167">
        <v>999999999</v>
      </c>
      <c r="K379" s="121">
        <f t="shared" si="78"/>
        <v>23.9</v>
      </c>
      <c r="L379" s="121" t="str">
        <f t="shared" si="79"/>
        <v/>
      </c>
      <c r="M379" s="333" t="s">
        <v>1047</v>
      </c>
      <c r="N379" s="237" t="s">
        <v>17</v>
      </c>
      <c r="O379" s="98"/>
      <c r="P379" s="168"/>
      <c r="Q379" s="169" t="s">
        <v>958</v>
      </c>
      <c r="R379" s="37"/>
      <c r="S379" s="36"/>
      <c r="T379" s="23"/>
      <c r="U379" s="35"/>
      <c r="V379" s="37" t="s">
        <v>557</v>
      </c>
      <c r="W379" s="157"/>
      <c r="X379" s="122">
        <v>23.9</v>
      </c>
      <c r="Y379" s="121"/>
      <c r="Z379" s="122">
        <f>X379</f>
        <v>23.9</v>
      </c>
      <c r="AA379" s="123">
        <f t="shared" si="80"/>
        <v>23899999976.099998</v>
      </c>
      <c r="AB379" s="123">
        <f t="shared" si="81"/>
        <v>999999999</v>
      </c>
      <c r="AC379" s="120"/>
      <c r="AD379" s="39"/>
      <c r="AE379" s="39"/>
      <c r="AF379" s="39"/>
      <c r="AG379" s="39"/>
      <c r="AH379" s="39"/>
      <c r="AI379" s="123" t="str">
        <f t="shared" si="82"/>
        <v xml:space="preserve"> </v>
      </c>
      <c r="AJ379" s="123" t="str">
        <f t="shared" si="83"/>
        <v xml:space="preserve"> </v>
      </c>
      <c r="AK379" s="35"/>
      <c r="AL379" s="35"/>
      <c r="AM379" s="35"/>
      <c r="AU379" s="35"/>
    </row>
    <row r="380" spans="1:47" ht="12" customHeight="1" x14ac:dyDescent="0.2">
      <c r="A380" s="236"/>
      <c r="B380" s="184" t="s">
        <v>170</v>
      </c>
      <c r="C380" s="42"/>
      <c r="D380" s="97"/>
      <c r="E380" s="97"/>
      <c r="F380" s="169" t="s">
        <v>1131</v>
      </c>
      <c r="G380" s="315" t="s">
        <v>170</v>
      </c>
      <c r="H380" s="97" t="s">
        <v>618</v>
      </c>
      <c r="I380" s="166">
        <v>2007</v>
      </c>
      <c r="J380" s="97">
        <v>400</v>
      </c>
      <c r="K380" s="121">
        <f t="shared" si="78"/>
        <v>65</v>
      </c>
      <c r="L380" s="121" t="str">
        <f t="shared" si="79"/>
        <v/>
      </c>
      <c r="M380" s="333" t="s">
        <v>696</v>
      </c>
      <c r="N380" s="237" t="s">
        <v>17</v>
      </c>
      <c r="O380" s="98" t="s">
        <v>619</v>
      </c>
      <c r="P380" s="168"/>
      <c r="Q380" s="169" t="s">
        <v>974</v>
      </c>
      <c r="R380" s="37"/>
      <c r="S380" s="36"/>
      <c r="T380" s="23"/>
      <c r="U380" s="273" t="s">
        <v>701</v>
      </c>
      <c r="V380" s="37"/>
      <c r="W380" s="157"/>
      <c r="X380" s="122">
        <f>100-35</f>
        <v>65</v>
      </c>
      <c r="Y380" s="121"/>
      <c r="Z380" s="122">
        <f>X380</f>
        <v>65</v>
      </c>
      <c r="AA380" s="123">
        <f t="shared" si="80"/>
        <v>26000</v>
      </c>
      <c r="AB380" s="123">
        <f t="shared" si="81"/>
        <v>400</v>
      </c>
      <c r="AC380" s="120"/>
      <c r="AD380" s="39"/>
      <c r="AE380" s="39"/>
      <c r="AF380" s="39"/>
      <c r="AG380" s="39"/>
      <c r="AH380" s="39"/>
      <c r="AI380" s="123" t="str">
        <f t="shared" si="82"/>
        <v xml:space="preserve"> </v>
      </c>
      <c r="AJ380" s="123" t="str">
        <f t="shared" si="83"/>
        <v xml:space="preserve"> </v>
      </c>
      <c r="AK380" s="35"/>
      <c r="AL380" s="35"/>
      <c r="AM380" s="35"/>
      <c r="AN380" s="25" t="s">
        <v>620</v>
      </c>
      <c r="AO380" s="112">
        <v>40508</v>
      </c>
      <c r="AU380" s="35"/>
    </row>
    <row r="381" spans="1:47" ht="12" customHeight="1" x14ac:dyDescent="0.2">
      <c r="A381" s="236"/>
      <c r="B381" s="245" t="s">
        <v>171</v>
      </c>
      <c r="C381" s="291"/>
      <c r="D381" s="248"/>
      <c r="E381" s="248"/>
      <c r="F381" s="19" t="s">
        <v>1131</v>
      </c>
      <c r="G381" s="316" t="s">
        <v>171</v>
      </c>
      <c r="H381" s="186" t="s">
        <v>14</v>
      </c>
      <c r="I381" s="246">
        <v>2000</v>
      </c>
      <c r="J381" s="248">
        <v>24918</v>
      </c>
      <c r="K381" s="121">
        <f t="shared" si="78"/>
        <v>20.61</v>
      </c>
      <c r="L381" s="121">
        <f t="shared" si="79"/>
        <v>13.17</v>
      </c>
      <c r="M381" s="333" t="s">
        <v>1042</v>
      </c>
      <c r="N381" s="247" t="s">
        <v>15</v>
      </c>
      <c r="O381" s="247" t="s">
        <v>19</v>
      </c>
      <c r="P381" s="237" t="s">
        <v>244</v>
      </c>
      <c r="Q381" s="19" t="s">
        <v>1003</v>
      </c>
      <c r="R381" s="37"/>
      <c r="S381" s="36"/>
      <c r="T381" s="23"/>
      <c r="U381" s="128"/>
      <c r="V381" s="128"/>
      <c r="W381" s="127"/>
      <c r="X381" s="121">
        <v>20.61</v>
      </c>
      <c r="Y381" s="121"/>
      <c r="Z381" s="122">
        <f>X381</f>
        <v>20.61</v>
      </c>
      <c r="AA381" s="123">
        <f t="shared" si="80"/>
        <v>513559.98</v>
      </c>
      <c r="AB381" s="123">
        <f t="shared" si="81"/>
        <v>24918</v>
      </c>
      <c r="AC381" s="127"/>
      <c r="AD381" s="161"/>
      <c r="AE381" s="161"/>
      <c r="AF381" s="161">
        <v>13.17</v>
      </c>
      <c r="AG381" s="42"/>
      <c r="AH381" s="161">
        <f>AF381</f>
        <v>13.17</v>
      </c>
      <c r="AI381" s="123">
        <f t="shared" si="82"/>
        <v>328170.06</v>
      </c>
      <c r="AJ381" s="123">
        <f t="shared" si="83"/>
        <v>24918</v>
      </c>
      <c r="AK381" s="128"/>
      <c r="AL381" s="128"/>
      <c r="AM381" s="128"/>
      <c r="AU381" s="35"/>
    </row>
    <row r="382" spans="1:47" ht="12" customHeight="1" x14ac:dyDescent="0.2">
      <c r="A382" s="236"/>
      <c r="B382" s="184" t="s">
        <v>171</v>
      </c>
      <c r="C382" s="121"/>
      <c r="D382" s="167"/>
      <c r="E382" s="167"/>
      <c r="F382" s="169" t="s">
        <v>1131</v>
      </c>
      <c r="G382" s="315" t="s">
        <v>171</v>
      </c>
      <c r="H382" s="186" t="s">
        <v>14</v>
      </c>
      <c r="I382" s="166">
        <v>2002</v>
      </c>
      <c r="J382" s="167">
        <f>1586+97</f>
        <v>1683</v>
      </c>
      <c r="K382" s="121" t="str">
        <f t="shared" si="78"/>
        <v/>
      </c>
      <c r="L382" s="121">
        <f t="shared" si="79"/>
        <v>11.097099621689786</v>
      </c>
      <c r="M382" s="337" t="s">
        <v>1046</v>
      </c>
      <c r="N382" s="237" t="s">
        <v>17</v>
      </c>
      <c r="O382" s="237" t="s">
        <v>577</v>
      </c>
      <c r="P382" s="169" t="s">
        <v>578</v>
      </c>
      <c r="Q382" s="169" t="s">
        <v>576</v>
      </c>
      <c r="R382" s="37"/>
      <c r="S382" s="36"/>
      <c r="T382" s="23"/>
      <c r="U382" s="35"/>
      <c r="V382" s="37"/>
      <c r="W382" s="157"/>
      <c r="X382" s="122"/>
      <c r="Y382" s="121"/>
      <c r="Z382" s="122"/>
      <c r="AA382" s="123" t="str">
        <f t="shared" si="80"/>
        <v xml:space="preserve"> </v>
      </c>
      <c r="AB382" s="123" t="str">
        <f t="shared" si="81"/>
        <v xml:space="preserve"> </v>
      </c>
      <c r="AC382" s="120"/>
      <c r="AD382" s="39"/>
      <c r="AE382" s="39"/>
      <c r="AF382" s="39">
        <f>100*176/1586</f>
        <v>11.097099621689786</v>
      </c>
      <c r="AG382" s="39"/>
      <c r="AH382" s="39">
        <f>AF382</f>
        <v>11.097099621689786</v>
      </c>
      <c r="AI382" s="123">
        <f t="shared" si="82"/>
        <v>18676.41866330391</v>
      </c>
      <c r="AJ382" s="123">
        <f t="shared" si="83"/>
        <v>1683</v>
      </c>
      <c r="AK382" s="35"/>
      <c r="AL382" s="35"/>
      <c r="AM382" s="35"/>
      <c r="AU382" s="35"/>
    </row>
    <row r="383" spans="1:47" ht="12" customHeight="1" x14ac:dyDescent="0.2">
      <c r="B383" s="184" t="s">
        <v>171</v>
      </c>
      <c r="C383" s="121"/>
      <c r="D383" s="167"/>
      <c r="E383" s="167"/>
      <c r="F383" s="169" t="s">
        <v>1131</v>
      </c>
      <c r="G383" s="315" t="s">
        <v>171</v>
      </c>
      <c r="H383" s="186" t="s">
        <v>14</v>
      </c>
      <c r="I383" s="166">
        <v>2004</v>
      </c>
      <c r="J383" s="167"/>
      <c r="K383" s="121">
        <f>IF(Z383&gt;0,Z383,"")</f>
        <v>22.1</v>
      </c>
      <c r="L383" s="121">
        <f>IF(AH383&gt;0,AH383,"")</f>
        <v>12.4</v>
      </c>
      <c r="M383" s="15" t="s">
        <v>1069</v>
      </c>
      <c r="N383" s="237"/>
      <c r="O383" s="237"/>
      <c r="P383" s="169" t="s">
        <v>244</v>
      </c>
      <c r="Q383" s="169" t="s">
        <v>876</v>
      </c>
      <c r="R383" s="37"/>
      <c r="S383" s="36"/>
      <c r="T383" s="23"/>
      <c r="U383" s="35"/>
      <c r="V383" s="37"/>
      <c r="W383" s="157"/>
      <c r="X383" s="122">
        <v>22.1</v>
      </c>
      <c r="Y383" s="121">
        <v>28.4</v>
      </c>
      <c r="Z383" s="122">
        <f>X383</f>
        <v>22.1</v>
      </c>
      <c r="AA383" s="123">
        <f>IF(Z383&gt;0,$J383*Z383," ")</f>
        <v>0</v>
      </c>
      <c r="AB383" s="123">
        <f>IF(Z383&gt;0,$J383," ")</f>
        <v>0</v>
      </c>
      <c r="AC383" s="120"/>
      <c r="AD383" s="39"/>
      <c r="AE383" s="39"/>
      <c r="AF383" s="39">
        <v>12.4</v>
      </c>
      <c r="AG383" s="39">
        <v>18.5</v>
      </c>
      <c r="AH383" s="39">
        <f>AF383</f>
        <v>12.4</v>
      </c>
      <c r="AI383" s="123">
        <f>IF(AH383&gt;0,$J383*AH383," ")</f>
        <v>0</v>
      </c>
      <c r="AJ383" s="123">
        <f>IF(AH383&gt;0,$J383," ")</f>
        <v>0</v>
      </c>
      <c r="AK383" s="35"/>
      <c r="AL383" s="35"/>
      <c r="AM383" s="35"/>
      <c r="AU383" s="35"/>
    </row>
    <row r="384" spans="1:47" ht="12" customHeight="1" x14ac:dyDescent="0.2">
      <c r="B384" s="184" t="s">
        <v>171</v>
      </c>
      <c r="C384" s="121"/>
      <c r="D384" s="167"/>
      <c r="E384" s="167"/>
      <c r="F384" s="169" t="s">
        <v>1131</v>
      </c>
      <c r="G384" s="315" t="s">
        <v>171</v>
      </c>
      <c r="H384" s="97" t="s">
        <v>14</v>
      </c>
      <c r="I384" s="166">
        <v>2005</v>
      </c>
      <c r="J384" s="167">
        <v>3546</v>
      </c>
      <c r="K384" s="121">
        <f t="shared" si="78"/>
        <v>30</v>
      </c>
      <c r="L384" s="121" t="str">
        <f t="shared" si="79"/>
        <v/>
      </c>
      <c r="M384" s="2" t="s">
        <v>1086</v>
      </c>
      <c r="N384" s="98"/>
      <c r="O384" s="98"/>
      <c r="P384" s="168"/>
      <c r="Q384" s="168" t="s">
        <v>329</v>
      </c>
      <c r="R384" s="175"/>
      <c r="S384" s="357"/>
      <c r="T384" s="23" t="s">
        <v>317</v>
      </c>
      <c r="U384" s="124" t="s">
        <v>318</v>
      </c>
      <c r="V384" s="35"/>
      <c r="W384" s="85"/>
      <c r="X384" s="121"/>
      <c r="Y384" s="121"/>
      <c r="Z384" s="122">
        <v>30</v>
      </c>
      <c r="AA384" s="123">
        <f t="shared" si="80"/>
        <v>106380</v>
      </c>
      <c r="AB384" s="123">
        <f t="shared" si="81"/>
        <v>3546</v>
      </c>
      <c r="AC384" s="120"/>
      <c r="AD384" s="39"/>
      <c r="AE384" s="39"/>
      <c r="AF384" s="39"/>
      <c r="AG384" s="39"/>
      <c r="AH384" s="39"/>
      <c r="AI384" s="123" t="str">
        <f t="shared" si="82"/>
        <v xml:space="preserve"> </v>
      </c>
      <c r="AJ384" s="123" t="str">
        <f t="shared" si="83"/>
        <v xml:space="preserve"> </v>
      </c>
      <c r="AK384" s="35"/>
      <c r="AL384" s="35"/>
      <c r="AM384" s="35"/>
      <c r="AU384" s="35"/>
    </row>
    <row r="385" spans="1:47" ht="12" customHeight="1" x14ac:dyDescent="0.2">
      <c r="A385" s="236"/>
      <c r="B385" s="184" t="s">
        <v>171</v>
      </c>
      <c r="C385" s="121"/>
      <c r="D385" s="167"/>
      <c r="E385" s="167"/>
      <c r="F385" s="169" t="s">
        <v>1131</v>
      </c>
      <c r="G385" s="315" t="s">
        <v>171</v>
      </c>
      <c r="H385" s="97" t="s">
        <v>14</v>
      </c>
      <c r="I385" s="166">
        <v>2010</v>
      </c>
      <c r="J385" s="167">
        <v>6224</v>
      </c>
      <c r="K385" s="121">
        <f>IF(Z385&gt;0,Z385,"")</f>
        <v>28.2</v>
      </c>
      <c r="L385" s="121">
        <f>IF(AH385&gt;0,AH385,"")</f>
        <v>14.2</v>
      </c>
      <c r="M385" s="334" t="s">
        <v>1011</v>
      </c>
      <c r="N385" s="247" t="s">
        <v>15</v>
      </c>
      <c r="O385" s="247" t="s">
        <v>19</v>
      </c>
      <c r="P385" s="169" t="s">
        <v>244</v>
      </c>
      <c r="Q385" s="169" t="s">
        <v>1010</v>
      </c>
      <c r="R385" s="131" t="s">
        <v>1011</v>
      </c>
      <c r="S385" s="360">
        <v>40992</v>
      </c>
      <c r="T385" s="36" t="s">
        <v>1015</v>
      </c>
      <c r="U385" s="124"/>
      <c r="V385" s="35"/>
      <c r="W385" s="85"/>
      <c r="X385" s="121">
        <v>28.2</v>
      </c>
      <c r="Y385" s="121"/>
      <c r="Z385" s="122">
        <f>X385</f>
        <v>28.2</v>
      </c>
      <c r="AA385" s="123">
        <f>IF(Z385&gt;0,$J385*Z385," ")</f>
        <v>175516.79999999999</v>
      </c>
      <c r="AB385" s="123">
        <f>IF(Z385&gt;0,$J385," ")</f>
        <v>6224</v>
      </c>
      <c r="AC385" s="120"/>
      <c r="AD385" s="39"/>
      <c r="AE385" s="39"/>
      <c r="AF385" s="39">
        <v>14.2</v>
      </c>
      <c r="AG385" s="39"/>
      <c r="AH385" s="39">
        <f>AF385</f>
        <v>14.2</v>
      </c>
      <c r="AI385" s="123">
        <f t="shared" si="82"/>
        <v>88380.799999999988</v>
      </c>
      <c r="AJ385" s="123">
        <f t="shared" si="83"/>
        <v>6224</v>
      </c>
      <c r="AK385" s="35"/>
      <c r="AL385" s="35"/>
      <c r="AM385" s="35"/>
      <c r="AN385" s="26" t="s">
        <v>1011</v>
      </c>
      <c r="AO385" s="232">
        <v>40992</v>
      </c>
      <c r="AU385" s="35"/>
    </row>
    <row r="386" spans="1:47" ht="12" customHeight="1" x14ac:dyDescent="0.2">
      <c r="A386" s="236"/>
      <c r="B386" s="184" t="s">
        <v>172</v>
      </c>
      <c r="C386" s="121"/>
      <c r="D386" s="167"/>
      <c r="E386" s="167"/>
      <c r="F386" s="169" t="s">
        <v>1125</v>
      </c>
      <c r="G386" s="315" t="s">
        <v>172</v>
      </c>
      <c r="H386" s="97" t="s">
        <v>14</v>
      </c>
      <c r="I386" s="166">
        <v>1992</v>
      </c>
      <c r="J386" s="167">
        <v>713</v>
      </c>
      <c r="K386" s="121">
        <f t="shared" si="78"/>
        <v>39</v>
      </c>
      <c r="L386" s="121" t="str">
        <f t="shared" si="79"/>
        <v/>
      </c>
      <c r="M386" s="15" t="s">
        <v>1072</v>
      </c>
      <c r="N386" s="98" t="s">
        <v>17</v>
      </c>
      <c r="O386" s="98" t="s">
        <v>20</v>
      </c>
      <c r="P386" s="168"/>
      <c r="Q386" s="168" t="s">
        <v>604</v>
      </c>
      <c r="R386" s="334" t="s">
        <v>653</v>
      </c>
      <c r="S386" s="360">
        <v>40994</v>
      </c>
      <c r="T386" s="23" t="s">
        <v>605</v>
      </c>
      <c r="U386" s="124" t="s">
        <v>1071</v>
      </c>
      <c r="V386" s="35" t="s">
        <v>606</v>
      </c>
      <c r="W386" s="85"/>
      <c r="X386" s="121"/>
      <c r="Y386" s="121"/>
      <c r="Z386" s="122">
        <v>39</v>
      </c>
      <c r="AA386" s="123">
        <f t="shared" si="80"/>
        <v>27807</v>
      </c>
      <c r="AB386" s="123">
        <f t="shared" si="81"/>
        <v>713</v>
      </c>
      <c r="AC386" s="120"/>
      <c r="AD386" s="39"/>
      <c r="AE386" s="39"/>
      <c r="AF386" s="39"/>
      <c r="AG386" s="39"/>
      <c r="AH386" s="39"/>
      <c r="AI386" s="123" t="str">
        <f t="shared" si="82"/>
        <v xml:space="preserve"> </v>
      </c>
      <c r="AJ386" s="123" t="str">
        <f t="shared" si="83"/>
        <v xml:space="preserve"> </v>
      </c>
      <c r="AK386" s="35"/>
      <c r="AL386" s="35"/>
      <c r="AM386" s="35"/>
      <c r="AU386" s="35"/>
    </row>
    <row r="387" spans="1:47" ht="12" customHeight="1" x14ac:dyDescent="0.2">
      <c r="A387" s="236"/>
      <c r="B387" s="184" t="s">
        <v>173</v>
      </c>
      <c r="C387" s="121"/>
      <c r="D387" s="167"/>
      <c r="E387" s="167"/>
      <c r="F387" s="169" t="s">
        <v>1125</v>
      </c>
      <c r="G387" s="315" t="s">
        <v>173</v>
      </c>
      <c r="H387" s="97" t="s">
        <v>14</v>
      </c>
      <c r="I387" s="166">
        <v>2006</v>
      </c>
      <c r="J387" s="167">
        <v>999999999</v>
      </c>
      <c r="K387" s="121">
        <f t="shared" si="78"/>
        <v>18</v>
      </c>
      <c r="L387" s="121">
        <f t="shared" si="79"/>
        <v>5.7</v>
      </c>
      <c r="M387" s="336" t="s">
        <v>1065</v>
      </c>
      <c r="N387" s="98"/>
      <c r="O387" s="98" t="s">
        <v>19</v>
      </c>
      <c r="P387" s="168" t="s">
        <v>243</v>
      </c>
      <c r="Q387" s="168" t="s">
        <v>882</v>
      </c>
      <c r="R387" s="175" t="s">
        <v>1121</v>
      </c>
      <c r="S387" s="357"/>
      <c r="T387" s="23"/>
      <c r="U387" s="37"/>
      <c r="V387" s="35"/>
      <c r="W387" s="85"/>
      <c r="X387" s="121">
        <v>18</v>
      </c>
      <c r="Y387" s="121">
        <v>19.5</v>
      </c>
      <c r="Z387" s="122">
        <f>X387</f>
        <v>18</v>
      </c>
      <c r="AA387" s="123">
        <f t="shared" si="80"/>
        <v>17999999982</v>
      </c>
      <c r="AB387" s="123">
        <f t="shared" si="81"/>
        <v>999999999</v>
      </c>
      <c r="AC387" s="120"/>
      <c r="AD387" s="39"/>
      <c r="AE387" s="39"/>
      <c r="AF387" s="39">
        <v>5.7</v>
      </c>
      <c r="AG387" s="39"/>
      <c r="AH387" s="39">
        <f>AF387</f>
        <v>5.7</v>
      </c>
      <c r="AI387" s="123">
        <f t="shared" si="82"/>
        <v>5699999994.3000002</v>
      </c>
      <c r="AJ387" s="123">
        <f t="shared" si="83"/>
        <v>999999999</v>
      </c>
      <c r="AK387" s="35"/>
      <c r="AL387" s="35"/>
      <c r="AM387" s="35"/>
      <c r="AU387" s="35"/>
    </row>
    <row r="388" spans="1:47" ht="12" customHeight="1" x14ac:dyDescent="0.2">
      <c r="A388" s="236"/>
      <c r="B388" s="245" t="s">
        <v>174</v>
      </c>
      <c r="C388" s="291"/>
      <c r="D388" s="248"/>
      <c r="E388" s="248"/>
      <c r="F388" s="19" t="s">
        <v>1131</v>
      </c>
      <c r="G388" s="316" t="s">
        <v>174</v>
      </c>
      <c r="H388" s="186" t="s">
        <v>14</v>
      </c>
      <c r="I388" s="246">
        <v>2006</v>
      </c>
      <c r="J388" s="248">
        <v>14583</v>
      </c>
      <c r="K388" s="121">
        <f t="shared" si="78"/>
        <v>2.1</v>
      </c>
      <c r="L388" s="121" t="str">
        <f t="shared" si="79"/>
        <v/>
      </c>
      <c r="M388" s="333" t="s">
        <v>1042</v>
      </c>
      <c r="N388" s="247" t="s">
        <v>15</v>
      </c>
      <c r="O388" s="247" t="s">
        <v>19</v>
      </c>
      <c r="P388" s="237" t="s">
        <v>244</v>
      </c>
      <c r="Q388" s="19" t="s">
        <v>1003</v>
      </c>
      <c r="R388" s="37"/>
      <c r="S388" s="36"/>
      <c r="T388" s="23"/>
      <c r="U388" s="128"/>
      <c r="V388" s="128"/>
      <c r="W388" s="127"/>
      <c r="X388" s="121">
        <v>2.1</v>
      </c>
      <c r="Y388" s="121"/>
      <c r="Z388" s="122">
        <f>X388</f>
        <v>2.1</v>
      </c>
      <c r="AA388" s="123">
        <f t="shared" si="80"/>
        <v>30624.300000000003</v>
      </c>
      <c r="AB388" s="123">
        <f t="shared" si="81"/>
        <v>14583</v>
      </c>
      <c r="AC388" s="127"/>
      <c r="AD388" s="161"/>
      <c r="AE388" s="161"/>
      <c r="AF388" s="161"/>
      <c r="AG388" s="42"/>
      <c r="AH388" s="161"/>
      <c r="AI388" s="123" t="str">
        <f t="shared" si="82"/>
        <v xml:space="preserve"> </v>
      </c>
      <c r="AJ388" s="123" t="str">
        <f t="shared" si="83"/>
        <v xml:space="preserve"> </v>
      </c>
      <c r="AK388" s="128"/>
      <c r="AL388" s="128"/>
      <c r="AM388" s="128"/>
      <c r="AU388" s="35"/>
    </row>
    <row r="389" spans="1:47" ht="12" customHeight="1" x14ac:dyDescent="0.2">
      <c r="A389" s="236"/>
      <c r="B389" s="184" t="s">
        <v>50</v>
      </c>
      <c r="C389" s="121"/>
      <c r="D389" s="167"/>
      <c r="E389" s="167"/>
      <c r="F389" s="169" t="s">
        <v>1132</v>
      </c>
      <c r="G389" s="315" t="s">
        <v>50</v>
      </c>
      <c r="H389" s="97" t="s">
        <v>54</v>
      </c>
      <c r="I389" s="166">
        <v>1996</v>
      </c>
      <c r="J389" s="167">
        <v>650</v>
      </c>
      <c r="K389" s="121">
        <f t="shared" si="78"/>
        <v>27</v>
      </c>
      <c r="L389" s="121" t="str">
        <f t="shared" si="79"/>
        <v/>
      </c>
      <c r="M389" s="332" t="s">
        <v>1041</v>
      </c>
      <c r="N389" s="98" t="s">
        <v>15</v>
      </c>
      <c r="O389" s="98" t="s">
        <v>20</v>
      </c>
      <c r="P389" s="168"/>
      <c r="Q389" s="169" t="s">
        <v>523</v>
      </c>
      <c r="R389" s="37"/>
      <c r="S389" s="36"/>
      <c r="T389" s="23"/>
      <c r="U389" s="35"/>
      <c r="V389" s="24"/>
      <c r="W389" s="154"/>
      <c r="X389" s="121"/>
      <c r="Y389" s="121"/>
      <c r="Z389" s="122">
        <v>27</v>
      </c>
      <c r="AA389" s="123">
        <f t="shared" si="80"/>
        <v>17550</v>
      </c>
      <c r="AB389" s="123">
        <f t="shared" si="81"/>
        <v>650</v>
      </c>
      <c r="AC389" s="120"/>
      <c r="AD389" s="39"/>
      <c r="AE389" s="39"/>
      <c r="AF389" s="39"/>
      <c r="AG389" s="39"/>
      <c r="AH389" s="39"/>
      <c r="AI389" s="123" t="str">
        <f t="shared" si="82"/>
        <v xml:space="preserve"> </v>
      </c>
      <c r="AJ389" s="123" t="str">
        <f t="shared" si="83"/>
        <v xml:space="preserve"> </v>
      </c>
      <c r="AK389" s="35"/>
      <c r="AL389" s="35"/>
      <c r="AM389" s="35"/>
      <c r="AU389" s="128"/>
    </row>
    <row r="390" spans="1:47" ht="12" customHeight="1" x14ac:dyDescent="0.2">
      <c r="A390" s="236"/>
      <c r="B390" s="184" t="s">
        <v>50</v>
      </c>
      <c r="C390" s="121"/>
      <c r="D390" s="167"/>
      <c r="E390" s="167"/>
      <c r="F390" s="169" t="s">
        <v>1132</v>
      </c>
      <c r="G390" s="315" t="s">
        <v>50</v>
      </c>
      <c r="H390" s="97" t="s">
        <v>55</v>
      </c>
      <c r="I390" s="166">
        <v>1996</v>
      </c>
      <c r="J390" s="167">
        <v>1064</v>
      </c>
      <c r="K390" s="121">
        <f t="shared" si="78"/>
        <v>17</v>
      </c>
      <c r="L390" s="121" t="str">
        <f t="shared" si="79"/>
        <v/>
      </c>
      <c r="M390" s="332" t="s">
        <v>1041</v>
      </c>
      <c r="N390" s="98" t="s">
        <v>15</v>
      </c>
      <c r="O390" s="98" t="s">
        <v>20</v>
      </c>
      <c r="P390" s="168"/>
      <c r="Q390" s="169" t="s">
        <v>523</v>
      </c>
      <c r="R390" s="37"/>
      <c r="S390" s="36"/>
      <c r="T390" s="23"/>
      <c r="U390" s="35"/>
      <c r="V390" s="24"/>
      <c r="W390" s="154"/>
      <c r="X390" s="121"/>
      <c r="Y390" s="121"/>
      <c r="Z390" s="122">
        <v>17</v>
      </c>
      <c r="AA390" s="123">
        <f t="shared" si="80"/>
        <v>18088</v>
      </c>
      <c r="AB390" s="123">
        <f t="shared" si="81"/>
        <v>1064</v>
      </c>
      <c r="AC390" s="120"/>
      <c r="AD390" s="39"/>
      <c r="AE390" s="39"/>
      <c r="AF390" s="39"/>
      <c r="AG390" s="39"/>
      <c r="AH390" s="39"/>
      <c r="AI390" s="123" t="str">
        <f t="shared" si="82"/>
        <v xml:space="preserve"> </v>
      </c>
      <c r="AJ390" s="123" t="str">
        <f t="shared" si="83"/>
        <v xml:space="preserve"> </v>
      </c>
      <c r="AK390" s="35"/>
      <c r="AL390" s="35"/>
      <c r="AM390" s="35"/>
      <c r="AU390" s="128"/>
    </row>
    <row r="391" spans="1:47" ht="12" customHeight="1" x14ac:dyDescent="0.2">
      <c r="A391" s="236"/>
      <c r="B391" s="184" t="s">
        <v>50</v>
      </c>
      <c r="C391" s="121"/>
      <c r="D391" s="167"/>
      <c r="E391" s="167"/>
      <c r="F391" s="169" t="s">
        <v>1132</v>
      </c>
      <c r="G391" s="315" t="s">
        <v>50</v>
      </c>
      <c r="H391" s="97"/>
      <c r="I391" s="166">
        <v>1999</v>
      </c>
      <c r="J391" s="167">
        <v>2418</v>
      </c>
      <c r="K391" s="121" t="str">
        <f t="shared" si="78"/>
        <v/>
      </c>
      <c r="L391" s="121">
        <f t="shared" si="79"/>
        <v>6.7</v>
      </c>
      <c r="M391" s="333" t="s">
        <v>1044</v>
      </c>
      <c r="N391" s="98"/>
      <c r="O391" s="98"/>
      <c r="P391" s="168"/>
      <c r="Q391" s="169" t="s">
        <v>957</v>
      </c>
      <c r="R391" s="37"/>
      <c r="S391" s="36"/>
      <c r="T391" s="23"/>
      <c r="U391" s="35"/>
      <c r="V391" s="24"/>
      <c r="W391" s="154"/>
      <c r="X391" s="121"/>
      <c r="Y391" s="121"/>
      <c r="Z391" s="122"/>
      <c r="AA391" s="123"/>
      <c r="AB391" s="123"/>
      <c r="AC391" s="120"/>
      <c r="AD391" s="39"/>
      <c r="AE391" s="39"/>
      <c r="AF391" s="39">
        <v>6.7</v>
      </c>
      <c r="AG391" s="39"/>
      <c r="AH391" s="39">
        <f>AF391</f>
        <v>6.7</v>
      </c>
      <c r="AI391" s="123">
        <f t="shared" si="82"/>
        <v>16200.6</v>
      </c>
      <c r="AJ391" s="123">
        <f t="shared" si="83"/>
        <v>2418</v>
      </c>
      <c r="AK391" s="35"/>
      <c r="AL391" s="35"/>
      <c r="AM391" s="35"/>
      <c r="AU391" s="35"/>
    </row>
    <row r="392" spans="1:47" ht="12" customHeight="1" x14ac:dyDescent="0.2">
      <c r="A392" s="236"/>
      <c r="B392" s="184" t="s">
        <v>50</v>
      </c>
      <c r="C392" s="121"/>
      <c r="D392" s="167"/>
      <c r="E392" s="167"/>
      <c r="F392" s="169" t="s">
        <v>1132</v>
      </c>
      <c r="G392" s="315" t="s">
        <v>50</v>
      </c>
      <c r="H392" s="186" t="s">
        <v>859</v>
      </c>
      <c r="I392" s="166">
        <v>2001</v>
      </c>
      <c r="J392" s="167">
        <v>1255</v>
      </c>
      <c r="K392" s="121">
        <f t="shared" si="78"/>
        <v>14</v>
      </c>
      <c r="L392" s="121" t="str">
        <f t="shared" si="79"/>
        <v/>
      </c>
      <c r="M392" s="333" t="s">
        <v>1044</v>
      </c>
      <c r="N392" s="98"/>
      <c r="O392" s="98"/>
      <c r="P392" s="168"/>
      <c r="Q392" s="169" t="s">
        <v>957</v>
      </c>
      <c r="R392" s="37"/>
      <c r="S392" s="36"/>
      <c r="T392" s="23"/>
      <c r="U392" s="35"/>
      <c r="V392" s="24"/>
      <c r="W392" s="154"/>
      <c r="X392" s="121">
        <v>14</v>
      </c>
      <c r="Y392" s="121"/>
      <c r="Z392" s="122">
        <f>X392</f>
        <v>14</v>
      </c>
      <c r="AA392" s="123">
        <f>IF(Z392&gt;0,$J392*Z392," ")</f>
        <v>17570</v>
      </c>
      <c r="AB392" s="123">
        <f>IF(Z392&gt;0,$J392," ")</f>
        <v>1255</v>
      </c>
      <c r="AC392" s="120"/>
      <c r="AD392" s="39"/>
      <c r="AE392" s="39"/>
      <c r="AF392" s="39"/>
      <c r="AG392" s="39"/>
      <c r="AH392" s="39"/>
      <c r="AI392" s="123" t="str">
        <f t="shared" si="82"/>
        <v xml:space="preserve"> </v>
      </c>
      <c r="AJ392" s="123" t="str">
        <f t="shared" si="83"/>
        <v xml:space="preserve"> </v>
      </c>
      <c r="AK392" s="35"/>
      <c r="AL392" s="35"/>
      <c r="AM392" s="35"/>
      <c r="AU392" s="35"/>
    </row>
    <row r="393" spans="1:47" ht="12" customHeight="1" x14ac:dyDescent="0.2">
      <c r="A393" s="236"/>
      <c r="B393" s="184" t="s">
        <v>50</v>
      </c>
      <c r="C393" s="121"/>
      <c r="D393" s="167"/>
      <c r="E393" s="167"/>
      <c r="F393" s="169" t="s">
        <v>1132</v>
      </c>
      <c r="G393" s="315" t="s">
        <v>50</v>
      </c>
      <c r="H393" s="97" t="s">
        <v>804</v>
      </c>
      <c r="I393" s="166">
        <v>2002</v>
      </c>
      <c r="J393" s="167">
        <v>1780</v>
      </c>
      <c r="K393" s="121">
        <f t="shared" si="78"/>
        <v>26.3</v>
      </c>
      <c r="L393" s="121">
        <f t="shared" si="79"/>
        <v>9</v>
      </c>
      <c r="M393" s="333" t="s">
        <v>805</v>
      </c>
      <c r="N393" s="98" t="s">
        <v>78</v>
      </c>
      <c r="O393" s="98" t="s">
        <v>227</v>
      </c>
      <c r="P393" s="168"/>
      <c r="Q393" s="169" t="s">
        <v>975</v>
      </c>
      <c r="R393" s="235" t="s">
        <v>874</v>
      </c>
      <c r="S393" s="36"/>
      <c r="T393" s="23"/>
      <c r="U393" s="35" t="s">
        <v>806</v>
      </c>
      <c r="V393" s="24"/>
      <c r="W393" s="154"/>
      <c r="X393" s="121"/>
      <c r="Y393" s="121">
        <v>26.3</v>
      </c>
      <c r="Z393" s="122">
        <f>Y393</f>
        <v>26.3</v>
      </c>
      <c r="AA393" s="123">
        <f t="shared" si="80"/>
        <v>46814</v>
      </c>
      <c r="AB393" s="123">
        <f t="shared" si="81"/>
        <v>1780</v>
      </c>
      <c r="AC393" s="120"/>
      <c r="AD393" s="39"/>
      <c r="AE393" s="39"/>
      <c r="AF393" s="39"/>
      <c r="AG393" s="39">
        <v>9</v>
      </c>
      <c r="AH393" s="39">
        <f>AG393</f>
        <v>9</v>
      </c>
      <c r="AI393" s="123">
        <f t="shared" si="82"/>
        <v>16020</v>
      </c>
      <c r="AJ393" s="123">
        <f t="shared" si="83"/>
        <v>1780</v>
      </c>
      <c r="AK393" s="35"/>
      <c r="AL393" s="35"/>
      <c r="AM393" s="35"/>
      <c r="AU393" s="35"/>
    </row>
    <row r="394" spans="1:47" ht="12" customHeight="1" x14ac:dyDescent="0.2">
      <c r="A394" s="236"/>
      <c r="B394" s="184" t="s">
        <v>50</v>
      </c>
      <c r="C394" s="121"/>
      <c r="D394" s="167"/>
      <c r="E394" s="167"/>
      <c r="F394" s="169" t="s">
        <v>1132</v>
      </c>
      <c r="G394" s="315" t="s">
        <v>50</v>
      </c>
      <c r="H394" s="97" t="s">
        <v>14</v>
      </c>
      <c r="I394" s="166">
        <v>2003</v>
      </c>
      <c r="J394" s="167">
        <v>34184</v>
      </c>
      <c r="K394" s="121" t="str">
        <f t="shared" si="78"/>
        <v/>
      </c>
      <c r="L394" s="121">
        <f t="shared" si="79"/>
        <v>9</v>
      </c>
      <c r="M394" s="332" t="s">
        <v>1041</v>
      </c>
      <c r="N394" s="98" t="s">
        <v>18</v>
      </c>
      <c r="O394" s="98" t="s">
        <v>20</v>
      </c>
      <c r="P394" s="168"/>
      <c r="Q394" s="169" t="s">
        <v>523</v>
      </c>
      <c r="R394" s="37"/>
      <c r="S394" s="36"/>
      <c r="T394" s="23"/>
      <c r="U394" s="35"/>
      <c r="V394" s="24"/>
      <c r="W394" s="154"/>
      <c r="X394" s="121"/>
      <c r="Y394" s="121"/>
      <c r="Z394" s="122"/>
      <c r="AA394" s="123" t="str">
        <f t="shared" si="80"/>
        <v xml:space="preserve"> </v>
      </c>
      <c r="AB394" s="123" t="str">
        <f t="shared" si="81"/>
        <v xml:space="preserve"> </v>
      </c>
      <c r="AC394" s="120"/>
      <c r="AD394" s="39">
        <v>9</v>
      </c>
      <c r="AE394" s="39"/>
      <c r="AF394" s="39"/>
      <c r="AG394" s="39"/>
      <c r="AH394" s="39">
        <v>9</v>
      </c>
      <c r="AI394" s="123">
        <f t="shared" si="82"/>
        <v>307656</v>
      </c>
      <c r="AJ394" s="123">
        <f t="shared" si="83"/>
        <v>34184</v>
      </c>
      <c r="AK394" s="35"/>
      <c r="AL394" s="35"/>
      <c r="AM394" s="35"/>
      <c r="AU394" s="35"/>
    </row>
    <row r="395" spans="1:47" ht="12" customHeight="1" x14ac:dyDescent="0.2">
      <c r="A395" s="236"/>
      <c r="B395" s="184" t="s">
        <v>50</v>
      </c>
      <c r="C395" s="121"/>
      <c r="D395" s="167"/>
      <c r="E395" s="167"/>
      <c r="F395" s="169" t="s">
        <v>1132</v>
      </c>
      <c r="G395" s="315" t="s">
        <v>50</v>
      </c>
      <c r="H395" s="97"/>
      <c r="I395" s="166">
        <v>2004</v>
      </c>
      <c r="J395" s="167">
        <v>1641</v>
      </c>
      <c r="K395" s="121">
        <f t="shared" si="78"/>
        <v>35.799999999999997</v>
      </c>
      <c r="L395" s="121" t="str">
        <f t="shared" si="79"/>
        <v/>
      </c>
      <c r="M395" s="333" t="s">
        <v>1044</v>
      </c>
      <c r="N395" s="98"/>
      <c r="O395" s="98"/>
      <c r="P395" s="168"/>
      <c r="Q395" s="169" t="s">
        <v>957</v>
      </c>
      <c r="R395" s="37"/>
      <c r="S395" s="36"/>
      <c r="T395" s="23"/>
      <c r="U395" s="35"/>
      <c r="V395" s="24"/>
      <c r="W395" s="154"/>
      <c r="X395" s="121">
        <v>35.799999999999997</v>
      </c>
      <c r="Y395" s="121"/>
      <c r="Z395" s="122">
        <f>X395</f>
        <v>35.799999999999997</v>
      </c>
      <c r="AA395" s="123">
        <f t="shared" si="80"/>
        <v>58747.799999999996</v>
      </c>
      <c r="AB395" s="123">
        <f t="shared" si="81"/>
        <v>1641</v>
      </c>
      <c r="AC395" s="120"/>
      <c r="AD395" s="39"/>
      <c r="AE395" s="39"/>
      <c r="AF395" s="39"/>
      <c r="AG395" s="39"/>
      <c r="AH395" s="39"/>
      <c r="AI395" s="123"/>
      <c r="AJ395" s="123"/>
      <c r="AK395" s="35"/>
      <c r="AL395" s="35"/>
      <c r="AM395" s="35"/>
      <c r="AU395" s="35"/>
    </row>
    <row r="396" spans="1:47" ht="12" customHeight="1" x14ac:dyDescent="0.2">
      <c r="A396" s="236"/>
      <c r="B396" s="184" t="s">
        <v>50</v>
      </c>
      <c r="C396" s="42"/>
      <c r="D396" s="97"/>
      <c r="E396" s="97"/>
      <c r="F396" s="237" t="s">
        <v>1132</v>
      </c>
      <c r="G396" s="315" t="s">
        <v>50</v>
      </c>
      <c r="H396" s="186" t="s">
        <v>14</v>
      </c>
      <c r="I396" s="166">
        <v>2006</v>
      </c>
      <c r="J396" s="97">
        <v>83159</v>
      </c>
      <c r="K396" s="121">
        <f t="shared" si="78"/>
        <v>20.8</v>
      </c>
      <c r="L396" s="121">
        <f t="shared" si="79"/>
        <v>10.199999999999999</v>
      </c>
      <c r="M396" s="15" t="s">
        <v>1103</v>
      </c>
      <c r="N396" s="237" t="s">
        <v>18</v>
      </c>
      <c r="O396" s="98" t="s">
        <v>20</v>
      </c>
      <c r="P396" s="237" t="s">
        <v>681</v>
      </c>
      <c r="Q396" s="237" t="s">
        <v>334</v>
      </c>
      <c r="R396" s="334" t="s">
        <v>682</v>
      </c>
      <c r="S396" s="360">
        <v>40994</v>
      </c>
      <c r="T396" s="23"/>
      <c r="U396" s="126" t="s">
        <v>1102</v>
      </c>
      <c r="V396" s="35"/>
      <c r="W396" s="85"/>
      <c r="X396" s="42">
        <v>20.8</v>
      </c>
      <c r="Y396" s="42"/>
      <c r="Z396" s="122">
        <f>X396</f>
        <v>20.8</v>
      </c>
      <c r="AA396" s="123">
        <f t="shared" si="80"/>
        <v>1729707.2</v>
      </c>
      <c r="AB396" s="123">
        <f t="shared" si="81"/>
        <v>83159</v>
      </c>
      <c r="AC396" s="120"/>
      <c r="AD396" s="39"/>
      <c r="AE396" s="39"/>
      <c r="AF396" s="39"/>
      <c r="AG396" s="39"/>
      <c r="AH396" s="274">
        <v>10.199999999999999</v>
      </c>
      <c r="AI396" s="123">
        <f t="shared" si="82"/>
        <v>848221.79999999993</v>
      </c>
      <c r="AJ396" s="123">
        <f t="shared" si="83"/>
        <v>83159</v>
      </c>
      <c r="AK396" s="35"/>
      <c r="AL396" s="35"/>
      <c r="AM396" s="35"/>
      <c r="AU396" s="35"/>
    </row>
    <row r="397" spans="1:47" ht="12" customHeight="1" x14ac:dyDescent="0.2">
      <c r="A397" s="236"/>
      <c r="B397" s="184" t="s">
        <v>50</v>
      </c>
      <c r="C397" s="121"/>
      <c r="D397" s="167"/>
      <c r="E397" s="167"/>
      <c r="F397" s="169" t="s">
        <v>1132</v>
      </c>
      <c r="G397" s="315" t="s">
        <v>50</v>
      </c>
      <c r="H397" s="186" t="s">
        <v>739</v>
      </c>
      <c r="I397" s="166" t="s">
        <v>74</v>
      </c>
      <c r="J397" s="167">
        <v>914</v>
      </c>
      <c r="K397" s="121">
        <f t="shared" si="78"/>
        <v>12.1</v>
      </c>
      <c r="L397" s="121" t="str">
        <f t="shared" si="79"/>
        <v/>
      </c>
      <c r="M397" s="333" t="s">
        <v>737</v>
      </c>
      <c r="N397" s="98" t="s">
        <v>78</v>
      </c>
      <c r="O397" s="98"/>
      <c r="P397" s="168"/>
      <c r="Q397" s="169" t="s">
        <v>976</v>
      </c>
      <c r="R397" s="37"/>
      <c r="S397" s="357"/>
      <c r="T397" s="23" t="s">
        <v>301</v>
      </c>
      <c r="U397" s="165" t="s">
        <v>738</v>
      </c>
      <c r="V397" s="35" t="s">
        <v>300</v>
      </c>
      <c r="W397" s="85"/>
      <c r="X397" s="121"/>
      <c r="Y397" s="121"/>
      <c r="Z397" s="122">
        <v>12.1</v>
      </c>
      <c r="AA397" s="123">
        <f t="shared" si="80"/>
        <v>11059.4</v>
      </c>
      <c r="AB397" s="123">
        <f t="shared" si="81"/>
        <v>914</v>
      </c>
      <c r="AC397" s="120"/>
      <c r="AD397" s="39"/>
      <c r="AE397" s="39"/>
      <c r="AF397" s="39"/>
      <c r="AG397" s="39"/>
      <c r="AH397" s="39"/>
      <c r="AI397" s="123" t="str">
        <f t="shared" si="82"/>
        <v xml:space="preserve"> </v>
      </c>
      <c r="AJ397" s="123" t="str">
        <f t="shared" si="83"/>
        <v xml:space="preserve"> </v>
      </c>
      <c r="AK397" s="35"/>
      <c r="AL397" s="35"/>
      <c r="AM397" s="35"/>
      <c r="AN397" s="136" t="s">
        <v>299</v>
      </c>
      <c r="AO397" s="164">
        <v>40515</v>
      </c>
      <c r="AU397" s="35"/>
    </row>
    <row r="398" spans="1:47" ht="12" customHeight="1" x14ac:dyDescent="0.2">
      <c r="A398" s="236"/>
      <c r="B398" s="184" t="s">
        <v>396</v>
      </c>
      <c r="C398" s="121"/>
      <c r="D398" s="167"/>
      <c r="E398" s="167"/>
      <c r="F398" s="169" t="s">
        <v>1125</v>
      </c>
      <c r="G398" s="315" t="s">
        <v>396</v>
      </c>
      <c r="H398" s="97" t="s">
        <v>14</v>
      </c>
      <c r="I398" s="166">
        <v>1997</v>
      </c>
      <c r="J398" s="167">
        <v>4790</v>
      </c>
      <c r="K398" s="121">
        <f t="shared" si="78"/>
        <v>15</v>
      </c>
      <c r="L398" s="121">
        <f t="shared" si="79"/>
        <v>8</v>
      </c>
      <c r="M398" s="332" t="s">
        <v>1041</v>
      </c>
      <c r="N398" s="98" t="s">
        <v>15</v>
      </c>
      <c r="O398" s="98" t="s">
        <v>90</v>
      </c>
      <c r="P398" s="168" t="s">
        <v>248</v>
      </c>
      <c r="Q398" s="169" t="s">
        <v>523</v>
      </c>
      <c r="R398" s="37"/>
      <c r="S398" s="36"/>
      <c r="T398" s="23"/>
      <c r="U398" s="35"/>
      <c r="V398" s="24"/>
      <c r="W398" s="154"/>
      <c r="X398" s="121">
        <v>15</v>
      </c>
      <c r="Y398" s="121"/>
      <c r="Z398" s="122">
        <f>X398</f>
        <v>15</v>
      </c>
      <c r="AA398" s="123">
        <f t="shared" si="80"/>
        <v>71850</v>
      </c>
      <c r="AB398" s="123">
        <f t="shared" si="81"/>
        <v>4790</v>
      </c>
      <c r="AC398" s="120"/>
      <c r="AD398" s="39">
        <v>8</v>
      </c>
      <c r="AE398" s="39"/>
      <c r="AF398" s="39"/>
      <c r="AG398" s="39"/>
      <c r="AH398" s="39">
        <v>8</v>
      </c>
      <c r="AI398" s="123">
        <f t="shared" si="82"/>
        <v>38320</v>
      </c>
      <c r="AJ398" s="123">
        <f t="shared" si="83"/>
        <v>4790</v>
      </c>
      <c r="AK398" s="35"/>
      <c r="AL398" s="35"/>
      <c r="AM398" s="35"/>
      <c r="AU398" s="35"/>
    </row>
    <row r="399" spans="1:47" ht="12" customHeight="1" x14ac:dyDescent="0.2">
      <c r="A399" s="236"/>
      <c r="B399" s="245" t="s">
        <v>396</v>
      </c>
      <c r="C399" s="291"/>
      <c r="D399" s="248"/>
      <c r="E399" s="248"/>
      <c r="F399" s="19" t="s">
        <v>1125</v>
      </c>
      <c r="G399" s="316" t="s">
        <v>396</v>
      </c>
      <c r="H399" s="186" t="s">
        <v>14</v>
      </c>
      <c r="I399" s="246">
        <v>2005</v>
      </c>
      <c r="J399" s="248">
        <v>7440</v>
      </c>
      <c r="K399" s="121">
        <f t="shared" si="78"/>
        <v>23.69</v>
      </c>
      <c r="L399" s="121">
        <f t="shared" si="79"/>
        <v>13.62</v>
      </c>
      <c r="M399" s="333" t="s">
        <v>1042</v>
      </c>
      <c r="N399" s="247" t="s">
        <v>15</v>
      </c>
      <c r="O399" s="247" t="s">
        <v>19</v>
      </c>
      <c r="P399" s="237" t="s">
        <v>244</v>
      </c>
      <c r="Q399" s="19" t="s">
        <v>1003</v>
      </c>
      <c r="R399" s="37"/>
      <c r="S399" s="36"/>
      <c r="T399" s="23"/>
      <c r="U399" s="128"/>
      <c r="V399" s="128"/>
      <c r="W399" s="127"/>
      <c r="X399" s="121">
        <v>23.69</v>
      </c>
      <c r="Y399" s="121"/>
      <c r="Z399" s="122">
        <f>X399</f>
        <v>23.69</v>
      </c>
      <c r="AA399" s="123">
        <f t="shared" si="80"/>
        <v>176253.6</v>
      </c>
      <c r="AB399" s="123">
        <f t="shared" si="81"/>
        <v>7440</v>
      </c>
      <c r="AC399" s="127"/>
      <c r="AD399" s="161"/>
      <c r="AE399" s="161"/>
      <c r="AF399" s="161">
        <v>13.62</v>
      </c>
      <c r="AG399" s="42"/>
      <c r="AH399" s="161">
        <f>AF399</f>
        <v>13.62</v>
      </c>
      <c r="AI399" s="123">
        <f t="shared" si="82"/>
        <v>101332.79999999999</v>
      </c>
      <c r="AJ399" s="123">
        <f t="shared" si="83"/>
        <v>7440</v>
      </c>
      <c r="AK399" s="128"/>
      <c r="AL399" s="128"/>
      <c r="AM399" s="128"/>
      <c r="AU399" s="35"/>
    </row>
    <row r="400" spans="1:47" ht="12" customHeight="1" x14ac:dyDescent="0.2">
      <c r="A400" s="236"/>
      <c r="B400" s="245" t="s">
        <v>179</v>
      </c>
      <c r="C400" s="291"/>
      <c r="D400" s="248"/>
      <c r="E400" s="248"/>
      <c r="F400" s="237" t="s">
        <v>1131</v>
      </c>
      <c r="G400" s="316" t="s">
        <v>179</v>
      </c>
      <c r="H400" s="186" t="s">
        <v>14</v>
      </c>
      <c r="I400" s="246" t="s">
        <v>510</v>
      </c>
      <c r="J400" s="167">
        <v>999999999</v>
      </c>
      <c r="K400" s="121">
        <f>IF(Z400&gt;0,Z400,"")</f>
        <v>6.4</v>
      </c>
      <c r="L400" s="121" t="str">
        <f>IF(AH400&gt;0,AH400,"")</f>
        <v/>
      </c>
      <c r="M400" s="15" t="s">
        <v>1069</v>
      </c>
      <c r="N400" s="247"/>
      <c r="O400" s="247"/>
      <c r="P400" s="237"/>
      <c r="Q400" s="237" t="s">
        <v>876</v>
      </c>
      <c r="R400" s="37"/>
      <c r="S400" s="36"/>
      <c r="T400" s="23"/>
      <c r="U400" s="128"/>
      <c r="V400" s="128"/>
      <c r="W400" s="127"/>
      <c r="X400" s="121">
        <v>6.4</v>
      </c>
      <c r="Y400" s="121"/>
      <c r="Z400" s="122">
        <f>X400</f>
        <v>6.4</v>
      </c>
      <c r="AA400" s="123">
        <f>IF(Z400&gt;0,$J400*Z400," ")</f>
        <v>6399999993.6000004</v>
      </c>
      <c r="AB400" s="123">
        <f>IF(Z400&gt;0,$J400," ")</f>
        <v>999999999</v>
      </c>
      <c r="AC400" s="127"/>
      <c r="AD400" s="161"/>
      <c r="AE400" s="161"/>
      <c r="AF400" s="161"/>
      <c r="AG400" s="42"/>
      <c r="AH400" s="161"/>
      <c r="AI400" s="123"/>
      <c r="AJ400" s="123"/>
      <c r="AK400" s="128"/>
      <c r="AL400" s="128"/>
      <c r="AM400" s="128"/>
      <c r="AU400" s="35"/>
    </row>
    <row r="401" spans="1:47" ht="12" customHeight="1" x14ac:dyDescent="0.2">
      <c r="A401" s="236"/>
      <c r="B401" s="184" t="s">
        <v>180</v>
      </c>
      <c r="C401" s="121"/>
      <c r="D401" s="167"/>
      <c r="E401" s="167"/>
      <c r="F401" s="169" t="s">
        <v>1131</v>
      </c>
      <c r="G401" s="315" t="s">
        <v>180</v>
      </c>
      <c r="H401" s="186" t="s">
        <v>14</v>
      </c>
      <c r="I401" s="166">
        <v>2002</v>
      </c>
      <c r="J401" s="167">
        <f>1374+97</f>
        <v>1471</v>
      </c>
      <c r="K401" s="121" t="str">
        <f t="shared" si="78"/>
        <v/>
      </c>
      <c r="L401" s="121">
        <f t="shared" si="79"/>
        <v>10.771470160116449</v>
      </c>
      <c r="M401" s="337" t="s">
        <v>1046</v>
      </c>
      <c r="N401" s="237" t="s">
        <v>17</v>
      </c>
      <c r="O401" s="237" t="s">
        <v>577</v>
      </c>
      <c r="P401" s="169" t="s">
        <v>578</v>
      </c>
      <c r="Q401" s="169" t="s">
        <v>576</v>
      </c>
      <c r="R401" s="37"/>
      <c r="S401" s="36"/>
      <c r="T401" s="23"/>
      <c r="U401" s="35"/>
      <c r="V401" s="24"/>
      <c r="W401" s="154"/>
      <c r="X401" s="121"/>
      <c r="Y401" s="121"/>
      <c r="Z401" s="122"/>
      <c r="AA401" s="123" t="str">
        <f t="shared" si="80"/>
        <v xml:space="preserve"> </v>
      </c>
      <c r="AB401" s="123" t="str">
        <f t="shared" si="81"/>
        <v xml:space="preserve"> </v>
      </c>
      <c r="AC401" s="120"/>
      <c r="AD401" s="39"/>
      <c r="AE401" s="39"/>
      <c r="AF401" s="39">
        <f>100*148/1374</f>
        <v>10.771470160116449</v>
      </c>
      <c r="AG401" s="39"/>
      <c r="AH401" s="39">
        <f>AF401</f>
        <v>10.771470160116449</v>
      </c>
      <c r="AI401" s="123">
        <f t="shared" si="82"/>
        <v>15844.832605531295</v>
      </c>
      <c r="AJ401" s="123">
        <f t="shared" si="83"/>
        <v>1471</v>
      </c>
      <c r="AK401" s="35"/>
      <c r="AL401" s="35"/>
      <c r="AM401" s="35"/>
      <c r="AU401" s="35"/>
    </row>
    <row r="402" spans="1:47" ht="12" customHeight="1" x14ac:dyDescent="0.2">
      <c r="A402" s="236"/>
      <c r="B402" s="184" t="s">
        <v>180</v>
      </c>
      <c r="C402" s="121"/>
      <c r="D402" s="167"/>
      <c r="E402" s="167"/>
      <c r="F402" s="169" t="s">
        <v>1131</v>
      </c>
      <c r="G402" s="315" t="s">
        <v>180</v>
      </c>
      <c r="H402" s="186" t="s">
        <v>14</v>
      </c>
      <c r="I402" s="166">
        <v>2004</v>
      </c>
      <c r="J402" s="167">
        <f>J401</f>
        <v>1471</v>
      </c>
      <c r="K402" s="121">
        <f t="shared" si="78"/>
        <v>36</v>
      </c>
      <c r="L402" s="121">
        <f t="shared" si="79"/>
        <v>15</v>
      </c>
      <c r="M402" s="336" t="s">
        <v>1065</v>
      </c>
      <c r="N402" s="237"/>
      <c r="O402" s="237"/>
      <c r="P402" s="169" t="s">
        <v>258</v>
      </c>
      <c r="Q402" s="169" t="s">
        <v>770</v>
      </c>
      <c r="R402" s="37"/>
      <c r="S402" s="36"/>
      <c r="T402" s="23"/>
      <c r="U402" s="35"/>
      <c r="V402" s="24"/>
      <c r="W402" s="154"/>
      <c r="X402" s="121">
        <v>36</v>
      </c>
      <c r="Y402" s="121"/>
      <c r="Z402" s="122">
        <f>X402</f>
        <v>36</v>
      </c>
      <c r="AA402" s="123">
        <f t="shared" si="80"/>
        <v>52956</v>
      </c>
      <c r="AB402" s="123">
        <f t="shared" si="81"/>
        <v>1471</v>
      </c>
      <c r="AC402" s="120"/>
      <c r="AD402" s="39"/>
      <c r="AE402" s="39"/>
      <c r="AF402" s="39">
        <v>15</v>
      </c>
      <c r="AG402" s="39"/>
      <c r="AH402" s="39">
        <f>AF402</f>
        <v>15</v>
      </c>
      <c r="AI402" s="123">
        <f t="shared" si="82"/>
        <v>22065</v>
      </c>
      <c r="AJ402" s="123">
        <f t="shared" si="83"/>
        <v>1471</v>
      </c>
      <c r="AK402" s="35"/>
      <c r="AL402" s="35"/>
      <c r="AM402" s="35"/>
      <c r="AU402" s="35"/>
    </row>
    <row r="403" spans="1:47" ht="12" customHeight="1" x14ac:dyDescent="0.2">
      <c r="A403" s="236"/>
      <c r="B403" s="250" t="s">
        <v>397</v>
      </c>
      <c r="C403" s="121"/>
      <c r="D403" s="167"/>
      <c r="E403" s="167"/>
      <c r="F403" s="169" t="s">
        <v>1125</v>
      </c>
      <c r="G403" s="317" t="s">
        <v>397</v>
      </c>
      <c r="H403" s="186"/>
      <c r="I403" s="166">
        <v>2005</v>
      </c>
      <c r="J403" s="167">
        <v>286</v>
      </c>
      <c r="K403" s="121" t="str">
        <f t="shared" si="78"/>
        <v/>
      </c>
      <c r="L403" s="121">
        <f t="shared" si="79"/>
        <v>27</v>
      </c>
      <c r="M403" s="333" t="s">
        <v>1044</v>
      </c>
      <c r="N403" s="237"/>
      <c r="O403" s="237"/>
      <c r="P403" s="169" t="s">
        <v>783</v>
      </c>
      <c r="Q403" s="169" t="s">
        <v>957</v>
      </c>
      <c r="R403" s="37"/>
      <c r="S403" s="36"/>
      <c r="T403" s="23"/>
      <c r="U403" s="35"/>
      <c r="V403" s="24"/>
      <c r="W403" s="154"/>
      <c r="X403" s="121"/>
      <c r="Y403" s="121"/>
      <c r="Z403" s="122"/>
      <c r="AA403" s="123"/>
      <c r="AB403" s="123"/>
      <c r="AC403" s="120"/>
      <c r="AD403" s="39"/>
      <c r="AE403" s="39"/>
      <c r="AF403" s="39">
        <v>27</v>
      </c>
      <c r="AG403" s="39"/>
      <c r="AH403" s="39">
        <f>AF403</f>
        <v>27</v>
      </c>
      <c r="AI403" s="123">
        <f>IF(AH403&gt;0,$J403*AH403," ")</f>
        <v>7722</v>
      </c>
      <c r="AJ403" s="123">
        <f>IF(AH403&gt;0,$J403," ")</f>
        <v>286</v>
      </c>
      <c r="AK403" s="35"/>
      <c r="AL403" s="35"/>
      <c r="AM403" s="35"/>
      <c r="AU403" s="35"/>
    </row>
    <row r="404" spans="1:47" ht="12" customHeight="1" x14ac:dyDescent="0.2">
      <c r="A404" s="236"/>
      <c r="B404" s="184" t="s">
        <v>4</v>
      </c>
      <c r="C404" s="121"/>
      <c r="D404" s="167"/>
      <c r="E404" s="167"/>
      <c r="F404" s="169" t="s">
        <v>1131</v>
      </c>
      <c r="G404" s="315" t="s">
        <v>4</v>
      </c>
      <c r="H404" s="97" t="s">
        <v>10</v>
      </c>
      <c r="I404" s="166">
        <v>2002</v>
      </c>
      <c r="J404" s="167">
        <v>1367</v>
      </c>
      <c r="K404" s="121">
        <f t="shared" si="78"/>
        <v>31</v>
      </c>
      <c r="L404" s="121">
        <f t="shared" si="79"/>
        <v>16</v>
      </c>
      <c r="M404" s="72" t="s">
        <v>1063</v>
      </c>
      <c r="N404" s="98" t="s">
        <v>15</v>
      </c>
      <c r="O404" s="98" t="s">
        <v>19</v>
      </c>
      <c r="P404" s="168" t="s">
        <v>243</v>
      </c>
      <c r="Q404" s="168" t="s">
        <v>219</v>
      </c>
      <c r="R404" s="37"/>
      <c r="S404" s="36"/>
      <c r="T404" s="23"/>
      <c r="U404" s="35"/>
      <c r="V404" s="35"/>
      <c r="W404" s="85"/>
      <c r="X404" s="121"/>
      <c r="Y404" s="121"/>
      <c r="Z404" s="122">
        <v>31</v>
      </c>
      <c r="AA404" s="123">
        <f t="shared" si="80"/>
        <v>42377</v>
      </c>
      <c r="AB404" s="123">
        <f t="shared" si="81"/>
        <v>1367</v>
      </c>
      <c r="AC404" s="120"/>
      <c r="AD404" s="39">
        <v>16</v>
      </c>
      <c r="AE404" s="39"/>
      <c r="AF404" s="39"/>
      <c r="AG404" s="39"/>
      <c r="AH404" s="39">
        <v>16</v>
      </c>
      <c r="AI404" s="123">
        <f t="shared" si="82"/>
        <v>21872</v>
      </c>
      <c r="AJ404" s="123">
        <f t="shared" si="83"/>
        <v>1367</v>
      </c>
      <c r="AK404" s="35"/>
      <c r="AL404" s="35"/>
      <c r="AM404" s="35"/>
      <c r="AU404" s="35"/>
    </row>
    <row r="405" spans="1:47" ht="12" customHeight="1" x14ac:dyDescent="0.2">
      <c r="A405" s="236"/>
      <c r="B405" s="184" t="s">
        <v>4</v>
      </c>
      <c r="C405" s="121"/>
      <c r="D405" s="167"/>
      <c r="E405" s="167"/>
      <c r="F405" s="169" t="s">
        <v>1131</v>
      </c>
      <c r="G405" s="315" t="s">
        <v>4</v>
      </c>
      <c r="H405" s="186" t="s">
        <v>14</v>
      </c>
      <c r="I405" s="166">
        <v>2002</v>
      </c>
      <c r="J405" s="167">
        <f>1382+83</f>
        <v>1465</v>
      </c>
      <c r="K405" s="121" t="str">
        <f t="shared" si="78"/>
        <v/>
      </c>
      <c r="L405" s="121">
        <f t="shared" si="79"/>
        <v>16.859623733719246</v>
      </c>
      <c r="M405" s="337" t="s">
        <v>1046</v>
      </c>
      <c r="N405" s="237" t="s">
        <v>17</v>
      </c>
      <c r="O405" s="237" t="s">
        <v>577</v>
      </c>
      <c r="P405" s="169" t="s">
        <v>578</v>
      </c>
      <c r="Q405" s="169" t="s">
        <v>576</v>
      </c>
      <c r="R405" s="37"/>
      <c r="S405" s="36"/>
      <c r="T405" s="23"/>
      <c r="U405" s="35"/>
      <c r="V405" s="35"/>
      <c r="W405" s="85"/>
      <c r="X405" s="121"/>
      <c r="Y405" s="121"/>
      <c r="Z405" s="122"/>
      <c r="AA405" s="123" t="str">
        <f t="shared" si="80"/>
        <v xml:space="preserve"> </v>
      </c>
      <c r="AB405" s="123" t="str">
        <f t="shared" si="81"/>
        <v xml:space="preserve"> </v>
      </c>
      <c r="AC405" s="120"/>
      <c r="AD405" s="39"/>
      <c r="AE405" s="39"/>
      <c r="AF405" s="39">
        <f>100*233/1382</f>
        <v>16.859623733719246</v>
      </c>
      <c r="AG405" s="39"/>
      <c r="AH405" s="39">
        <f>AF405</f>
        <v>16.859623733719246</v>
      </c>
      <c r="AI405" s="123">
        <f t="shared" si="82"/>
        <v>24699.348769898697</v>
      </c>
      <c r="AJ405" s="123">
        <f t="shared" si="83"/>
        <v>1465</v>
      </c>
      <c r="AK405" s="35"/>
      <c r="AL405" s="35"/>
      <c r="AM405" s="35"/>
      <c r="AU405" s="35"/>
    </row>
    <row r="406" spans="1:47" ht="12" customHeight="1" x14ac:dyDescent="0.2">
      <c r="A406" s="236"/>
      <c r="B406" s="184" t="s">
        <v>181</v>
      </c>
      <c r="C406" s="121"/>
      <c r="D406" s="167"/>
      <c r="E406" s="167"/>
      <c r="F406" s="237" t="s">
        <v>1125</v>
      </c>
      <c r="G406" s="315" t="s">
        <v>181</v>
      </c>
      <c r="H406" s="97" t="s">
        <v>14</v>
      </c>
      <c r="I406" s="166">
        <v>2005</v>
      </c>
      <c r="J406" s="167">
        <v>587</v>
      </c>
      <c r="K406" s="121">
        <f t="shared" si="78"/>
        <v>35</v>
      </c>
      <c r="L406" s="121" t="str">
        <f t="shared" si="79"/>
        <v/>
      </c>
      <c r="M406" s="333" t="s">
        <v>715</v>
      </c>
      <c r="N406" s="98" t="s">
        <v>17</v>
      </c>
      <c r="O406" s="98" t="s">
        <v>550</v>
      </c>
      <c r="P406" s="168"/>
      <c r="Q406" s="237" t="s">
        <v>977</v>
      </c>
      <c r="R406" s="37"/>
      <c r="S406" s="36"/>
      <c r="T406" s="23"/>
      <c r="U406" s="35" t="s">
        <v>549</v>
      </c>
      <c r="V406" s="35"/>
      <c r="W406" s="85"/>
      <c r="X406" s="121"/>
      <c r="Y406" s="121"/>
      <c r="Z406" s="122">
        <v>35</v>
      </c>
      <c r="AA406" s="123">
        <f t="shared" si="80"/>
        <v>20545</v>
      </c>
      <c r="AB406" s="123">
        <f t="shared" si="81"/>
        <v>587</v>
      </c>
      <c r="AC406" s="120"/>
      <c r="AD406" s="39"/>
      <c r="AE406" s="39"/>
      <c r="AF406" s="39"/>
      <c r="AG406" s="39"/>
      <c r="AH406" s="39"/>
      <c r="AI406" s="123" t="str">
        <f t="shared" si="82"/>
        <v xml:space="preserve"> </v>
      </c>
      <c r="AJ406" s="123" t="str">
        <f t="shared" si="83"/>
        <v xml:space="preserve"> </v>
      </c>
      <c r="AK406" s="35"/>
      <c r="AL406" s="35"/>
      <c r="AM406" s="35"/>
      <c r="AN406" s="2" t="s">
        <v>668</v>
      </c>
      <c r="AU406" s="35"/>
    </row>
    <row r="407" spans="1:47" ht="12" customHeight="1" x14ac:dyDescent="0.2">
      <c r="A407" s="236"/>
      <c r="B407" s="250" t="s">
        <v>181</v>
      </c>
      <c r="C407" s="121"/>
      <c r="D407" s="167"/>
      <c r="E407" s="167"/>
      <c r="F407" s="237" t="s">
        <v>1125</v>
      </c>
      <c r="G407" s="317" t="s">
        <v>181</v>
      </c>
      <c r="H407" s="309" t="s">
        <v>14</v>
      </c>
      <c r="I407" s="166">
        <v>2011</v>
      </c>
      <c r="J407" s="167">
        <v>4213</v>
      </c>
      <c r="K407" s="121">
        <v>33.6</v>
      </c>
      <c r="L407" s="121">
        <v>9.1999999999999993</v>
      </c>
      <c r="M407" s="334" t="s">
        <v>1017</v>
      </c>
      <c r="N407" s="237" t="s">
        <v>15</v>
      </c>
      <c r="O407" s="237" t="s">
        <v>19</v>
      </c>
      <c r="P407" s="169" t="s">
        <v>244</v>
      </c>
      <c r="Q407" s="237" t="s">
        <v>1016</v>
      </c>
      <c r="R407" s="131" t="s">
        <v>1017</v>
      </c>
      <c r="S407" s="360">
        <v>40992</v>
      </c>
      <c r="T407" s="36" t="s">
        <v>1018</v>
      </c>
      <c r="U407" s="35"/>
      <c r="V407" s="35"/>
      <c r="W407" s="85"/>
      <c r="X407" s="121">
        <f>K407</f>
        <v>33.6</v>
      </c>
      <c r="Y407" s="121"/>
      <c r="Z407" s="122">
        <f>X407</f>
        <v>33.6</v>
      </c>
      <c r="AA407" s="123">
        <f>IF(Z407&gt;0,$J407*Z407," ")</f>
        <v>141556.80000000002</v>
      </c>
      <c r="AB407" s="123">
        <f>IF(Z407&gt;0,$J407," ")</f>
        <v>4213</v>
      </c>
      <c r="AC407" s="120"/>
      <c r="AD407" s="39"/>
      <c r="AE407" s="39"/>
      <c r="AF407" s="39">
        <f>L407</f>
        <v>9.1999999999999993</v>
      </c>
      <c r="AG407" s="39"/>
      <c r="AH407" s="39">
        <f>AF407</f>
        <v>9.1999999999999993</v>
      </c>
      <c r="AI407" s="123">
        <f t="shared" si="82"/>
        <v>38759.599999999999</v>
      </c>
      <c r="AJ407" s="123">
        <f t="shared" si="83"/>
        <v>4213</v>
      </c>
      <c r="AK407" s="35"/>
      <c r="AL407" s="35"/>
      <c r="AM407" s="35"/>
      <c r="AN407" s="2"/>
      <c r="AU407" s="35"/>
    </row>
    <row r="408" spans="1:47" ht="12" customHeight="1" x14ac:dyDescent="0.2">
      <c r="A408" s="236"/>
      <c r="B408" s="184" t="s">
        <v>93</v>
      </c>
      <c r="C408" s="121"/>
      <c r="D408" s="167"/>
      <c r="E408" s="167"/>
      <c r="F408" s="169" t="s">
        <v>1130</v>
      </c>
      <c r="G408" s="315" t="s">
        <v>93</v>
      </c>
      <c r="H408" s="97" t="s">
        <v>14</v>
      </c>
      <c r="I408" s="166">
        <v>1986</v>
      </c>
      <c r="J408" s="167">
        <v>989</v>
      </c>
      <c r="K408" s="121">
        <f t="shared" si="78"/>
        <v>21</v>
      </c>
      <c r="L408" s="121" t="str">
        <f t="shared" si="79"/>
        <v/>
      </c>
      <c r="M408" s="332" t="s">
        <v>1041</v>
      </c>
      <c r="N408" s="98" t="s">
        <v>17</v>
      </c>
      <c r="O408" s="98" t="s">
        <v>104</v>
      </c>
      <c r="P408" s="168"/>
      <c r="Q408" s="169" t="s">
        <v>523</v>
      </c>
      <c r="R408" s="37"/>
      <c r="S408" s="36"/>
      <c r="T408" s="23"/>
      <c r="U408" s="35"/>
      <c r="V408" s="35"/>
      <c r="W408" s="85"/>
      <c r="X408" s="121"/>
      <c r="Y408" s="121"/>
      <c r="Z408" s="122">
        <v>21</v>
      </c>
      <c r="AA408" s="123">
        <f t="shared" si="80"/>
        <v>20769</v>
      </c>
      <c r="AB408" s="123">
        <f t="shared" si="81"/>
        <v>989</v>
      </c>
      <c r="AC408" s="120"/>
      <c r="AD408" s="39"/>
      <c r="AE408" s="39"/>
      <c r="AF408" s="39"/>
      <c r="AG408" s="39"/>
      <c r="AH408" s="39"/>
      <c r="AI408" s="123" t="str">
        <f t="shared" si="82"/>
        <v xml:space="preserve"> </v>
      </c>
      <c r="AJ408" s="123" t="str">
        <f t="shared" si="83"/>
        <v xml:space="preserve"> </v>
      </c>
      <c r="AK408" s="35"/>
      <c r="AL408" s="35"/>
      <c r="AM408" s="35"/>
      <c r="AU408" s="35"/>
    </row>
    <row r="409" spans="1:47" ht="12" customHeight="1" x14ac:dyDescent="0.2">
      <c r="A409" s="236"/>
      <c r="B409" s="184" t="s">
        <v>182</v>
      </c>
      <c r="C409" s="121"/>
      <c r="D409" s="167"/>
      <c r="E409" s="167"/>
      <c r="F409" s="237" t="s">
        <v>1134</v>
      </c>
      <c r="G409" s="315" t="s">
        <v>182</v>
      </c>
      <c r="H409" s="97" t="s">
        <v>14</v>
      </c>
      <c r="I409" s="166">
        <v>2001</v>
      </c>
      <c r="J409" s="167">
        <v>2526</v>
      </c>
      <c r="K409" s="121">
        <f t="shared" si="78"/>
        <v>21.2</v>
      </c>
      <c r="L409" s="121">
        <f t="shared" si="79"/>
        <v>3</v>
      </c>
      <c r="M409" s="338" t="s">
        <v>779</v>
      </c>
      <c r="N409" s="98" t="s">
        <v>17</v>
      </c>
      <c r="O409" s="98" t="s">
        <v>227</v>
      </c>
      <c r="P409" s="168"/>
      <c r="Q409" s="98" t="s">
        <v>268</v>
      </c>
      <c r="R409" s="37"/>
      <c r="S409" s="357"/>
      <c r="T409" s="23"/>
      <c r="U409" s="35"/>
      <c r="V409" s="35"/>
      <c r="W409" s="85"/>
      <c r="X409" s="121">
        <v>21.2</v>
      </c>
      <c r="Y409" s="121"/>
      <c r="Z409" s="122">
        <f>X409</f>
        <v>21.2</v>
      </c>
      <c r="AA409" s="123">
        <f t="shared" si="80"/>
        <v>53551.199999999997</v>
      </c>
      <c r="AB409" s="123">
        <f t="shared" si="81"/>
        <v>2526</v>
      </c>
      <c r="AC409" s="120"/>
      <c r="AD409" s="39"/>
      <c r="AE409" s="39"/>
      <c r="AF409" s="39">
        <v>3</v>
      </c>
      <c r="AG409" s="39"/>
      <c r="AH409" s="39">
        <f>AF409</f>
        <v>3</v>
      </c>
      <c r="AI409" s="123">
        <f t="shared" si="82"/>
        <v>7578</v>
      </c>
      <c r="AJ409" s="123">
        <f t="shared" si="83"/>
        <v>2526</v>
      </c>
      <c r="AK409" s="35"/>
      <c r="AL409" s="35"/>
      <c r="AM409" s="35"/>
      <c r="AU409" s="35"/>
    </row>
    <row r="410" spans="1:47" ht="12" customHeight="1" x14ac:dyDescent="0.2">
      <c r="A410" s="236"/>
      <c r="B410" s="184" t="s">
        <v>182</v>
      </c>
      <c r="C410" s="121"/>
      <c r="D410" s="167"/>
      <c r="E410" s="167"/>
      <c r="F410" s="237" t="s">
        <v>1134</v>
      </c>
      <c r="G410" s="315" t="s">
        <v>182</v>
      </c>
      <c r="H410" s="97" t="s">
        <v>255</v>
      </c>
      <c r="I410" s="166">
        <v>2002</v>
      </c>
      <c r="J410" s="167">
        <v>1309</v>
      </c>
      <c r="K410" s="121">
        <f t="shared" si="78"/>
        <v>30</v>
      </c>
      <c r="L410" s="121">
        <f t="shared" si="79"/>
        <v>5</v>
      </c>
      <c r="M410" s="332" t="s">
        <v>1041</v>
      </c>
      <c r="N410" s="98" t="s">
        <v>15</v>
      </c>
      <c r="O410" s="98" t="s">
        <v>106</v>
      </c>
      <c r="P410" s="168"/>
      <c r="Q410" s="237" t="s">
        <v>523</v>
      </c>
      <c r="R410" s="37"/>
      <c r="S410" s="36"/>
      <c r="T410" s="23"/>
      <c r="U410" s="35"/>
      <c r="V410" s="35"/>
      <c r="W410" s="85"/>
      <c r="X410" s="121"/>
      <c r="Y410" s="121"/>
      <c r="Z410" s="122">
        <v>30</v>
      </c>
      <c r="AA410" s="123">
        <f t="shared" si="80"/>
        <v>39270</v>
      </c>
      <c r="AB410" s="123">
        <f t="shared" si="81"/>
        <v>1309</v>
      </c>
      <c r="AC410" s="120"/>
      <c r="AD410" s="39">
        <v>5</v>
      </c>
      <c r="AE410" s="39"/>
      <c r="AF410" s="39"/>
      <c r="AG410" s="39"/>
      <c r="AH410" s="39">
        <v>5</v>
      </c>
      <c r="AI410" s="123">
        <f t="shared" si="82"/>
        <v>6545</v>
      </c>
      <c r="AJ410" s="123">
        <f t="shared" si="83"/>
        <v>1309</v>
      </c>
      <c r="AK410" s="35"/>
      <c r="AL410" s="35"/>
      <c r="AM410" s="35"/>
      <c r="AU410" s="35"/>
    </row>
    <row r="411" spans="1:47" ht="12" customHeight="1" x14ac:dyDescent="0.2">
      <c r="A411" s="236"/>
      <c r="B411" s="184" t="s">
        <v>182</v>
      </c>
      <c r="C411" s="121"/>
      <c r="D411" s="167"/>
      <c r="E411" s="167"/>
      <c r="F411" s="237" t="s">
        <v>1134</v>
      </c>
      <c r="G411" s="315" t="s">
        <v>182</v>
      </c>
      <c r="H411" s="97" t="s">
        <v>256</v>
      </c>
      <c r="I411" s="166">
        <v>2002</v>
      </c>
      <c r="J411" s="167">
        <v>1360</v>
      </c>
      <c r="K411" s="121">
        <f t="shared" si="78"/>
        <v>34</v>
      </c>
      <c r="L411" s="121" t="str">
        <f t="shared" si="79"/>
        <v/>
      </c>
      <c r="M411" s="332" t="s">
        <v>1041</v>
      </c>
      <c r="N411" s="98" t="s">
        <v>15</v>
      </c>
      <c r="O411" s="98" t="s">
        <v>106</v>
      </c>
      <c r="P411" s="168"/>
      <c r="Q411" s="237" t="s">
        <v>523</v>
      </c>
      <c r="R411" s="37"/>
      <c r="S411" s="36"/>
      <c r="T411" s="23"/>
      <c r="U411" s="35"/>
      <c r="V411" s="35"/>
      <c r="W411" s="85"/>
      <c r="X411" s="121"/>
      <c r="Y411" s="121"/>
      <c r="Z411" s="122">
        <v>34</v>
      </c>
      <c r="AA411" s="123">
        <f t="shared" si="80"/>
        <v>46240</v>
      </c>
      <c r="AB411" s="123">
        <f t="shared" si="81"/>
        <v>1360</v>
      </c>
      <c r="AC411" s="120"/>
      <c r="AD411" s="39"/>
      <c r="AE411" s="39"/>
      <c r="AF411" s="39"/>
      <c r="AG411" s="39"/>
      <c r="AH411" s="38"/>
      <c r="AI411" s="123" t="str">
        <f t="shared" si="82"/>
        <v xml:space="preserve"> </v>
      </c>
      <c r="AJ411" s="123" t="str">
        <f t="shared" si="83"/>
        <v xml:space="preserve"> </v>
      </c>
      <c r="AK411" s="35"/>
      <c r="AL411" s="35"/>
      <c r="AM411" s="35"/>
      <c r="AU411" s="35"/>
    </row>
    <row r="412" spans="1:47" ht="12" customHeight="1" x14ac:dyDescent="0.2">
      <c r="A412" s="236"/>
      <c r="B412" s="184" t="s">
        <v>182</v>
      </c>
      <c r="C412" s="121"/>
      <c r="D412" s="167"/>
      <c r="E412" s="167"/>
      <c r="F412" s="169" t="s">
        <v>1134</v>
      </c>
      <c r="G412" s="315" t="s">
        <v>182</v>
      </c>
      <c r="H412" s="97"/>
      <c r="I412" s="166">
        <v>2004</v>
      </c>
      <c r="J412" s="167">
        <v>174</v>
      </c>
      <c r="K412" s="121">
        <f t="shared" si="78"/>
        <v>44.3</v>
      </c>
      <c r="L412" s="121">
        <f t="shared" si="79"/>
        <v>21.3</v>
      </c>
      <c r="M412" s="333" t="s">
        <v>1044</v>
      </c>
      <c r="N412" s="98"/>
      <c r="O412" s="98"/>
      <c r="P412" s="168"/>
      <c r="Q412" s="169" t="s">
        <v>957</v>
      </c>
      <c r="R412" s="37"/>
      <c r="S412" s="36"/>
      <c r="T412" s="23"/>
      <c r="U412" s="35" t="s">
        <v>790</v>
      </c>
      <c r="V412" s="35"/>
      <c r="W412" s="85"/>
      <c r="X412" s="121">
        <v>44.3</v>
      </c>
      <c r="Y412" s="121"/>
      <c r="Z412" s="122">
        <f>X412</f>
        <v>44.3</v>
      </c>
      <c r="AA412" s="123">
        <f t="shared" si="80"/>
        <v>7708.2</v>
      </c>
      <c r="AB412" s="123">
        <f t="shared" si="81"/>
        <v>174</v>
      </c>
      <c r="AC412" s="120"/>
      <c r="AD412" s="39"/>
      <c r="AE412" s="39"/>
      <c r="AF412" s="39">
        <v>21.3</v>
      </c>
      <c r="AG412" s="39"/>
      <c r="AH412" s="38">
        <f>AF412</f>
        <v>21.3</v>
      </c>
      <c r="AI412" s="123">
        <f t="shared" si="82"/>
        <v>3706.2000000000003</v>
      </c>
      <c r="AJ412" s="123">
        <f t="shared" si="83"/>
        <v>174</v>
      </c>
      <c r="AK412" s="35"/>
      <c r="AL412" s="35"/>
      <c r="AM412" s="35"/>
      <c r="AU412" s="35"/>
    </row>
    <row r="413" spans="1:47" ht="12" customHeight="1" x14ac:dyDescent="0.2">
      <c r="A413" s="236"/>
      <c r="B413" s="184" t="s">
        <v>51</v>
      </c>
      <c r="C413" s="121"/>
      <c r="D413" s="167"/>
      <c r="E413" s="167"/>
      <c r="F413" s="169" t="s">
        <v>1132</v>
      </c>
      <c r="G413" s="315" t="s">
        <v>51</v>
      </c>
      <c r="H413" s="97" t="s">
        <v>52</v>
      </c>
      <c r="I413" s="166">
        <v>1995</v>
      </c>
      <c r="J413" s="167">
        <v>360</v>
      </c>
      <c r="K413" s="121">
        <f t="shared" si="78"/>
        <v>52</v>
      </c>
      <c r="L413" s="121">
        <f t="shared" si="79"/>
        <v>27</v>
      </c>
      <c r="M413" s="332" t="s">
        <v>1041</v>
      </c>
      <c r="N413" s="98" t="s">
        <v>15</v>
      </c>
      <c r="O413" s="98" t="s">
        <v>19</v>
      </c>
      <c r="P413" s="255" t="s">
        <v>794</v>
      </c>
      <c r="Q413" s="169" t="s">
        <v>523</v>
      </c>
      <c r="R413" s="37"/>
      <c r="S413" s="36"/>
      <c r="T413" s="23"/>
      <c r="U413" s="35"/>
      <c r="V413" s="35"/>
      <c r="W413" s="85"/>
      <c r="X413" s="121"/>
      <c r="Y413" s="121"/>
      <c r="Z413" s="122">
        <v>52</v>
      </c>
      <c r="AA413" s="123">
        <f t="shared" si="80"/>
        <v>18720</v>
      </c>
      <c r="AB413" s="123">
        <f t="shared" si="81"/>
        <v>360</v>
      </c>
      <c r="AC413" s="120"/>
      <c r="AD413" s="39">
        <v>27</v>
      </c>
      <c r="AE413" s="39"/>
      <c r="AF413" s="39"/>
      <c r="AG413" s="39"/>
      <c r="AH413" s="39">
        <v>27</v>
      </c>
      <c r="AI413" s="123">
        <f t="shared" si="82"/>
        <v>9720</v>
      </c>
      <c r="AJ413" s="123">
        <f t="shared" si="83"/>
        <v>360</v>
      </c>
      <c r="AK413" s="35"/>
      <c r="AL413" s="35"/>
      <c r="AM413" s="35"/>
      <c r="AU413" s="35"/>
    </row>
    <row r="414" spans="1:47" ht="12" customHeight="1" x14ac:dyDescent="0.2">
      <c r="A414" s="236"/>
      <c r="B414" s="184" t="s">
        <v>51</v>
      </c>
      <c r="C414" s="121"/>
      <c r="D414" s="167"/>
      <c r="E414" s="167"/>
      <c r="F414" s="169" t="s">
        <v>1132</v>
      </c>
      <c r="G414" s="315" t="s">
        <v>51</v>
      </c>
      <c r="H414" s="97" t="s">
        <v>53</v>
      </c>
      <c r="I414" s="166">
        <v>1997</v>
      </c>
      <c r="J414" s="167">
        <v>378</v>
      </c>
      <c r="K414" s="121">
        <f t="shared" si="78"/>
        <v>69</v>
      </c>
      <c r="L414" s="121">
        <f t="shared" si="79"/>
        <v>33</v>
      </c>
      <c r="M414" s="332" t="s">
        <v>1041</v>
      </c>
      <c r="N414" s="98" t="s">
        <v>15</v>
      </c>
      <c r="O414" s="98" t="s">
        <v>19</v>
      </c>
      <c r="P414" s="168"/>
      <c r="Q414" s="169" t="s">
        <v>523</v>
      </c>
      <c r="R414" s="37"/>
      <c r="S414" s="36"/>
      <c r="T414" s="23"/>
      <c r="U414" s="35"/>
      <c r="V414" s="35"/>
      <c r="W414" s="85"/>
      <c r="X414" s="121"/>
      <c r="Y414" s="121"/>
      <c r="Z414" s="122">
        <v>69</v>
      </c>
      <c r="AA414" s="123">
        <f t="shared" si="80"/>
        <v>26082</v>
      </c>
      <c r="AB414" s="123">
        <f t="shared" si="81"/>
        <v>378</v>
      </c>
      <c r="AC414" s="120"/>
      <c r="AD414" s="39">
        <v>33</v>
      </c>
      <c r="AE414" s="39"/>
      <c r="AF414" s="39"/>
      <c r="AG414" s="39"/>
      <c r="AH414" s="39">
        <v>33</v>
      </c>
      <c r="AI414" s="123">
        <f t="shared" si="82"/>
        <v>12474</v>
      </c>
      <c r="AJ414" s="123">
        <f t="shared" si="83"/>
        <v>378</v>
      </c>
      <c r="AK414" s="35"/>
      <c r="AL414" s="35"/>
      <c r="AM414" s="35"/>
      <c r="AU414" s="35"/>
    </row>
    <row r="415" spans="1:47" ht="12" customHeight="1" x14ac:dyDescent="0.2">
      <c r="A415" s="236"/>
      <c r="B415" s="184" t="s">
        <v>51</v>
      </c>
      <c r="C415" s="121"/>
      <c r="D415" s="167"/>
      <c r="E415" s="167"/>
      <c r="F415" s="19" t="s">
        <v>1132</v>
      </c>
      <c r="G415" s="315" t="s">
        <v>51</v>
      </c>
      <c r="H415" s="97" t="s">
        <v>14</v>
      </c>
      <c r="I415" s="166">
        <v>1997</v>
      </c>
      <c r="J415" s="167">
        <v>13634</v>
      </c>
      <c r="K415" s="121">
        <f t="shared" si="78"/>
        <v>17.68</v>
      </c>
      <c r="L415" s="121">
        <f t="shared" si="79"/>
        <v>11.94</v>
      </c>
      <c r="M415" s="333" t="s">
        <v>1042</v>
      </c>
      <c r="N415" s="98" t="s">
        <v>15</v>
      </c>
      <c r="O415" s="98" t="s">
        <v>19</v>
      </c>
      <c r="P415" s="168" t="s">
        <v>244</v>
      </c>
      <c r="Q415" s="19" t="s">
        <v>1003</v>
      </c>
      <c r="R415" s="37"/>
      <c r="S415" s="36"/>
      <c r="T415" s="23"/>
      <c r="U415" s="35"/>
      <c r="V415" s="35"/>
      <c r="W415" s="85"/>
      <c r="X415" s="121">
        <v>17.68</v>
      </c>
      <c r="Y415" s="121"/>
      <c r="Z415" s="122">
        <f>X415</f>
        <v>17.68</v>
      </c>
      <c r="AA415" s="123">
        <f>IF(Z415&gt;0,$J415*Z415," ")</f>
        <v>241049.12</v>
      </c>
      <c r="AB415" s="123">
        <f>IF(Z415&gt;0,$J415," ")</f>
        <v>13634</v>
      </c>
      <c r="AC415" s="120"/>
      <c r="AD415" s="39"/>
      <c r="AE415" s="39"/>
      <c r="AF415" s="39">
        <v>11.94</v>
      </c>
      <c r="AG415" s="39"/>
      <c r="AH415" s="39">
        <f>AF415</f>
        <v>11.94</v>
      </c>
      <c r="AI415" s="123">
        <f>IF(AH415&gt;0,$J415*AH415," ")</f>
        <v>162789.96</v>
      </c>
      <c r="AJ415" s="123">
        <f>IF(AH415&gt;0,$J415," ")</f>
        <v>13634</v>
      </c>
      <c r="AK415" s="35"/>
      <c r="AL415" s="35"/>
      <c r="AM415" s="35"/>
      <c r="AU415" s="128"/>
    </row>
    <row r="416" spans="1:47" ht="12" customHeight="1" x14ac:dyDescent="0.2">
      <c r="A416" s="236"/>
      <c r="B416" s="184" t="s">
        <v>51</v>
      </c>
      <c r="C416" s="277"/>
      <c r="D416" s="254"/>
      <c r="E416" s="254"/>
      <c r="F416" s="169" t="s">
        <v>1132</v>
      </c>
      <c r="G416" s="315" t="s">
        <v>51</v>
      </c>
      <c r="H416" s="186" t="s">
        <v>14</v>
      </c>
      <c r="I416" s="166">
        <v>1998</v>
      </c>
      <c r="J416" s="254">
        <v>8507</v>
      </c>
      <c r="K416" s="121">
        <f t="shared" si="78"/>
        <v>30</v>
      </c>
      <c r="L416" s="121">
        <f t="shared" si="79"/>
        <v>13</v>
      </c>
      <c r="M416" s="332" t="s">
        <v>1041</v>
      </c>
      <c r="N416" s="237" t="s">
        <v>15</v>
      </c>
      <c r="O416" s="98" t="s">
        <v>19</v>
      </c>
      <c r="P416" s="168"/>
      <c r="Q416" s="169" t="s">
        <v>523</v>
      </c>
      <c r="R416" s="37"/>
      <c r="S416" s="36"/>
      <c r="T416" s="23"/>
      <c r="U416" s="35"/>
      <c r="V416" s="35"/>
      <c r="W416" s="85"/>
      <c r="X416" s="121"/>
      <c r="Y416" s="121"/>
      <c r="Z416" s="122">
        <v>30</v>
      </c>
      <c r="AA416" s="123">
        <f t="shared" si="80"/>
        <v>255210</v>
      </c>
      <c r="AB416" s="123">
        <f t="shared" si="81"/>
        <v>8507</v>
      </c>
      <c r="AC416" s="120"/>
      <c r="AD416" s="39">
        <v>13</v>
      </c>
      <c r="AE416" s="39"/>
      <c r="AF416" s="39"/>
      <c r="AG416" s="39"/>
      <c r="AH416" s="39">
        <f>AD416</f>
        <v>13</v>
      </c>
      <c r="AI416" s="123">
        <f t="shared" si="82"/>
        <v>110591</v>
      </c>
      <c r="AJ416" s="123">
        <f t="shared" si="83"/>
        <v>8507</v>
      </c>
      <c r="AK416" s="35"/>
      <c r="AL416" s="35"/>
      <c r="AM416" s="35"/>
      <c r="AU416" s="35"/>
    </row>
    <row r="417" spans="1:47" ht="12" customHeight="1" x14ac:dyDescent="0.2">
      <c r="A417" s="236"/>
      <c r="B417" s="184" t="s">
        <v>51</v>
      </c>
      <c r="C417" s="277"/>
      <c r="D417" s="254"/>
      <c r="E417" s="254"/>
      <c r="F417" s="169" t="s">
        <v>1132</v>
      </c>
      <c r="G417" s="315" t="s">
        <v>51</v>
      </c>
      <c r="H417" s="186" t="s">
        <v>14</v>
      </c>
      <c r="I417" s="166">
        <v>2006</v>
      </c>
      <c r="J417" s="167"/>
      <c r="K417" s="121">
        <f>IF(Z417&gt;0,Z417,"")</f>
        <v>27</v>
      </c>
      <c r="L417" s="121">
        <f>IF(AH417&gt;0,AH417,"")</f>
        <v>8</v>
      </c>
      <c r="M417" s="15" t="s">
        <v>1069</v>
      </c>
      <c r="N417" s="237"/>
      <c r="O417" s="98"/>
      <c r="P417" s="169" t="s">
        <v>248</v>
      </c>
      <c r="Q417" s="169" t="s">
        <v>876</v>
      </c>
      <c r="R417" s="37"/>
      <c r="S417" s="36"/>
      <c r="T417" s="23"/>
      <c r="U417" s="35"/>
      <c r="V417" s="35"/>
      <c r="W417" s="85"/>
      <c r="X417" s="121">
        <v>27</v>
      </c>
      <c r="Y417" s="121">
        <v>29.3</v>
      </c>
      <c r="Z417" s="122">
        <f>X417</f>
        <v>27</v>
      </c>
      <c r="AA417" s="123">
        <f>IF(Z417&gt;0,$J417*Z417," ")</f>
        <v>0</v>
      </c>
      <c r="AB417" s="123">
        <f>IF(Z417&gt;0,$J417," ")</f>
        <v>0</v>
      </c>
      <c r="AC417" s="120"/>
      <c r="AD417" s="39"/>
      <c r="AE417" s="39"/>
      <c r="AF417" s="39">
        <v>8</v>
      </c>
      <c r="AG417" s="39">
        <v>9.3000000000000007</v>
      </c>
      <c r="AH417" s="39">
        <f>AF417</f>
        <v>8</v>
      </c>
      <c r="AI417" s="123">
        <f>IF(AH417&gt;0,$J417*AH417," ")</f>
        <v>0</v>
      </c>
      <c r="AJ417" s="123">
        <f>IF(AH417&gt;0,$J417," ")</f>
        <v>0</v>
      </c>
      <c r="AK417" s="35"/>
      <c r="AL417" s="35"/>
      <c r="AM417" s="35"/>
      <c r="AU417" s="35"/>
    </row>
    <row r="418" spans="1:47" ht="12" customHeight="1" x14ac:dyDescent="0.2">
      <c r="A418" s="236"/>
      <c r="B418" s="184" t="s">
        <v>183</v>
      </c>
      <c r="C418" s="277"/>
      <c r="D418" s="254"/>
      <c r="E418" s="254"/>
      <c r="F418" s="169" t="s">
        <v>1131</v>
      </c>
      <c r="G418" s="315" t="s">
        <v>183</v>
      </c>
      <c r="H418" s="186" t="s">
        <v>14</v>
      </c>
      <c r="I418" s="166">
        <v>2006</v>
      </c>
      <c r="J418" s="254">
        <v>11629</v>
      </c>
      <c r="K418" s="121">
        <f t="shared" si="78"/>
        <v>30.823293172690764</v>
      </c>
      <c r="L418" s="121" t="str">
        <f t="shared" si="79"/>
        <v/>
      </c>
      <c r="M418" s="333" t="s">
        <v>716</v>
      </c>
      <c r="N418" s="237" t="s">
        <v>17</v>
      </c>
      <c r="O418" s="256" t="s">
        <v>587</v>
      </c>
      <c r="P418" s="169" t="s">
        <v>425</v>
      </c>
      <c r="Q418" s="169" t="s">
        <v>978</v>
      </c>
      <c r="R418" s="37"/>
      <c r="S418" s="36"/>
      <c r="T418" s="36" t="s">
        <v>586</v>
      </c>
      <c r="U418" s="275" t="s">
        <v>588</v>
      </c>
      <c r="V418" s="126" t="s">
        <v>596</v>
      </c>
      <c r="W418" s="158"/>
      <c r="X418" s="121">
        <f>100*(508+106)/(508+106+1308+70)</f>
        <v>30.823293172690764</v>
      </c>
      <c r="Y418" s="121"/>
      <c r="Z418" s="122">
        <f>X418</f>
        <v>30.823293172690764</v>
      </c>
      <c r="AA418" s="123">
        <f t="shared" si="80"/>
        <v>358444.07630522089</v>
      </c>
      <c r="AB418" s="123">
        <f t="shared" si="81"/>
        <v>11629</v>
      </c>
      <c r="AC418" s="120"/>
      <c r="AD418" s="39"/>
      <c r="AE418" s="39"/>
      <c r="AF418" s="39"/>
      <c r="AG418" s="39"/>
      <c r="AH418" s="39"/>
      <c r="AI418" s="123" t="str">
        <f t="shared" si="82"/>
        <v xml:space="preserve"> </v>
      </c>
      <c r="AJ418" s="123" t="str">
        <f t="shared" si="83"/>
        <v xml:space="preserve"> </v>
      </c>
      <c r="AK418" s="35"/>
      <c r="AL418" s="35"/>
      <c r="AM418" s="35"/>
      <c r="AN418" s="107" t="s">
        <v>611</v>
      </c>
      <c r="AO418" s="147">
        <v>40505</v>
      </c>
      <c r="AU418" s="35"/>
    </row>
    <row r="419" spans="1:47" ht="12" customHeight="1" x14ac:dyDescent="0.2">
      <c r="A419" s="236"/>
      <c r="B419" s="184" t="s">
        <v>5</v>
      </c>
      <c r="C419" s="121"/>
      <c r="D419" s="167"/>
      <c r="E419" s="167"/>
      <c r="F419" s="169" t="s">
        <v>1131</v>
      </c>
      <c r="G419" s="315" t="s">
        <v>5</v>
      </c>
      <c r="H419" s="97"/>
      <c r="I419" s="166">
        <v>1993</v>
      </c>
      <c r="J419" s="167">
        <v>1000</v>
      </c>
      <c r="K419" s="121">
        <f t="shared" si="78"/>
        <v>31</v>
      </c>
      <c r="L419" s="121" t="str">
        <f t="shared" si="79"/>
        <v/>
      </c>
      <c r="M419" s="37" t="s">
        <v>1059</v>
      </c>
      <c r="N419" s="98" t="s">
        <v>17</v>
      </c>
      <c r="O419" s="98"/>
      <c r="P419" s="168"/>
      <c r="Q419" s="168" t="s">
        <v>218</v>
      </c>
      <c r="R419" s="37"/>
      <c r="S419" s="36"/>
      <c r="T419" s="23"/>
      <c r="U419" s="35"/>
      <c r="V419" s="35"/>
      <c r="W419" s="85"/>
      <c r="X419" s="121"/>
      <c r="Y419" s="121"/>
      <c r="Z419" s="122">
        <v>31</v>
      </c>
      <c r="AA419" s="123">
        <f t="shared" si="80"/>
        <v>31000</v>
      </c>
      <c r="AB419" s="123">
        <f t="shared" si="81"/>
        <v>1000</v>
      </c>
      <c r="AC419" s="120"/>
      <c r="AD419" s="39"/>
      <c r="AE419" s="39"/>
      <c r="AF419" s="39"/>
      <c r="AG419" s="39"/>
      <c r="AH419" s="39"/>
      <c r="AI419" s="123" t="str">
        <f t="shared" si="82"/>
        <v xml:space="preserve"> </v>
      </c>
      <c r="AJ419" s="123" t="str">
        <f t="shared" si="83"/>
        <v xml:space="preserve"> </v>
      </c>
      <c r="AK419" s="35"/>
      <c r="AL419" s="35"/>
      <c r="AM419" s="35"/>
      <c r="AU419" s="128"/>
    </row>
    <row r="420" spans="1:47" ht="12" customHeight="1" x14ac:dyDescent="0.2">
      <c r="A420" s="236"/>
      <c r="B420" s="184" t="s">
        <v>5</v>
      </c>
      <c r="C420" s="121"/>
      <c r="D420" s="167"/>
      <c r="E420" s="167"/>
      <c r="F420" s="169" t="s">
        <v>1131</v>
      </c>
      <c r="G420" s="315" t="s">
        <v>5</v>
      </c>
      <c r="H420" s="97" t="s">
        <v>802</v>
      </c>
      <c r="I420" s="166">
        <v>2000</v>
      </c>
      <c r="J420" s="167">
        <v>308</v>
      </c>
      <c r="K420" s="121">
        <f t="shared" si="78"/>
        <v>78.8</v>
      </c>
      <c r="L420" s="121" t="str">
        <f t="shared" si="79"/>
        <v/>
      </c>
      <c r="M420" s="333" t="s">
        <v>800</v>
      </c>
      <c r="N420" s="98" t="s">
        <v>17</v>
      </c>
      <c r="O420" s="98" t="s">
        <v>799</v>
      </c>
      <c r="P420" s="168"/>
      <c r="Q420" s="168" t="s">
        <v>979</v>
      </c>
      <c r="R420" s="131" t="s">
        <v>801</v>
      </c>
      <c r="S420" s="310">
        <v>40527</v>
      </c>
      <c r="T420" s="23"/>
      <c r="U420" s="35" t="s">
        <v>1117</v>
      </c>
      <c r="V420" s="35"/>
      <c r="W420" s="85"/>
      <c r="X420" s="121">
        <v>78.8</v>
      </c>
      <c r="Y420" s="121"/>
      <c r="Z420" s="122">
        <f>X420</f>
        <v>78.8</v>
      </c>
      <c r="AA420" s="123">
        <f t="shared" si="80"/>
        <v>24270.399999999998</v>
      </c>
      <c r="AB420" s="123">
        <f t="shared" si="81"/>
        <v>308</v>
      </c>
      <c r="AC420" s="120"/>
      <c r="AD420" s="39"/>
      <c r="AE420" s="39"/>
      <c r="AF420" s="39"/>
      <c r="AG420" s="39"/>
      <c r="AH420" s="39"/>
      <c r="AI420" s="123" t="str">
        <f t="shared" si="82"/>
        <v xml:space="preserve"> </v>
      </c>
      <c r="AJ420" s="123" t="str">
        <f t="shared" si="83"/>
        <v xml:space="preserve"> </v>
      </c>
      <c r="AK420" s="35"/>
      <c r="AL420" s="35"/>
      <c r="AM420" s="35"/>
      <c r="AU420" s="128"/>
    </row>
    <row r="421" spans="1:47" ht="12" customHeight="1" x14ac:dyDescent="0.2">
      <c r="A421" s="236"/>
      <c r="B421" s="184" t="s">
        <v>5</v>
      </c>
      <c r="C421" s="121"/>
      <c r="D421" s="167"/>
      <c r="E421" s="167"/>
      <c r="F421" s="169" t="s">
        <v>1131</v>
      </c>
      <c r="G421" s="315" t="s">
        <v>5</v>
      </c>
      <c r="H421" s="97" t="s">
        <v>798</v>
      </c>
      <c r="I421" s="166">
        <v>2002</v>
      </c>
      <c r="J421" s="167">
        <v>300</v>
      </c>
      <c r="K421" s="121" t="str">
        <f t="shared" si="78"/>
        <v/>
      </c>
      <c r="L421" s="121">
        <f t="shared" si="79"/>
        <v>15.8</v>
      </c>
      <c r="M421" s="333" t="s">
        <v>1044</v>
      </c>
      <c r="N421" s="98"/>
      <c r="O421" s="98"/>
      <c r="P421" s="168"/>
      <c r="Q421" s="169" t="s">
        <v>957</v>
      </c>
      <c r="R421" s="37"/>
      <c r="S421" s="36"/>
      <c r="T421" s="23"/>
      <c r="U421" s="35"/>
      <c r="V421" s="35"/>
      <c r="W421" s="85"/>
      <c r="X421" s="121"/>
      <c r="Y421" s="121"/>
      <c r="Z421" s="122"/>
      <c r="AA421" s="123" t="str">
        <f t="shared" si="80"/>
        <v xml:space="preserve"> </v>
      </c>
      <c r="AB421" s="123" t="str">
        <f t="shared" si="81"/>
        <v xml:space="preserve"> </v>
      </c>
      <c r="AC421" s="120"/>
      <c r="AD421" s="39"/>
      <c r="AE421" s="39"/>
      <c r="AF421" s="39">
        <v>15.8</v>
      </c>
      <c r="AG421" s="39">
        <v>40</v>
      </c>
      <c r="AH421" s="39">
        <f>AF421</f>
        <v>15.8</v>
      </c>
      <c r="AI421" s="123">
        <f t="shared" si="82"/>
        <v>4740</v>
      </c>
      <c r="AJ421" s="123">
        <f t="shared" si="83"/>
        <v>300</v>
      </c>
      <c r="AK421" s="35"/>
      <c r="AL421" s="35"/>
      <c r="AM421" s="35"/>
      <c r="AU421" s="35"/>
    </row>
    <row r="422" spans="1:47" ht="12" customHeight="1" x14ac:dyDescent="0.2">
      <c r="A422" s="236"/>
      <c r="B422" s="184" t="s">
        <v>5</v>
      </c>
      <c r="C422" s="121"/>
      <c r="D422" s="121"/>
      <c r="E422" s="121"/>
      <c r="F422" s="169" t="s">
        <v>1131</v>
      </c>
      <c r="G422" s="315" t="s">
        <v>5</v>
      </c>
      <c r="H422" s="97" t="s">
        <v>344</v>
      </c>
      <c r="I422" s="166">
        <v>2004</v>
      </c>
      <c r="J422" s="121">
        <v>581</v>
      </c>
      <c r="K422" s="121">
        <f t="shared" si="78"/>
        <v>34.200000000000003</v>
      </c>
      <c r="L422" s="121" t="str">
        <f t="shared" si="79"/>
        <v/>
      </c>
      <c r="M422" s="335" t="s">
        <v>723</v>
      </c>
      <c r="N422" s="98" t="s">
        <v>17</v>
      </c>
      <c r="O422" s="98" t="s">
        <v>345</v>
      </c>
      <c r="P422" s="168"/>
      <c r="Q422" s="168" t="s">
        <v>346</v>
      </c>
      <c r="R422" s="37"/>
      <c r="S422" s="36"/>
      <c r="T422" s="23"/>
      <c r="U422" s="35"/>
      <c r="V422" s="126" t="s">
        <v>724</v>
      </c>
      <c r="W422" s="158"/>
      <c r="X422" s="121">
        <v>34.200000000000003</v>
      </c>
      <c r="Y422" s="121"/>
      <c r="Z422" s="122">
        <f>X422</f>
        <v>34.200000000000003</v>
      </c>
      <c r="AA422" s="123">
        <f t="shared" si="80"/>
        <v>19870.2</v>
      </c>
      <c r="AB422" s="123">
        <f t="shared" si="81"/>
        <v>581</v>
      </c>
      <c r="AC422" s="120"/>
      <c r="AD422" s="39"/>
      <c r="AE422" s="39"/>
      <c r="AF422" s="39"/>
      <c r="AG422" s="39"/>
      <c r="AH422" s="39"/>
      <c r="AI422" s="123" t="str">
        <f t="shared" si="82"/>
        <v xml:space="preserve"> </v>
      </c>
      <c r="AJ422" s="123" t="str">
        <f t="shared" si="83"/>
        <v xml:space="preserve"> </v>
      </c>
      <c r="AK422" s="35"/>
      <c r="AL422" s="35"/>
      <c r="AM422" s="35"/>
      <c r="AU422" s="128"/>
    </row>
    <row r="423" spans="1:47" ht="12" customHeight="1" x14ac:dyDescent="0.2">
      <c r="A423" s="236"/>
      <c r="B423" s="245" t="s">
        <v>5</v>
      </c>
      <c r="C423" s="121"/>
      <c r="D423" s="121"/>
      <c r="E423" s="121"/>
      <c r="F423" s="169" t="s">
        <v>1131</v>
      </c>
      <c r="G423" s="316" t="s">
        <v>5</v>
      </c>
      <c r="H423" s="97" t="s">
        <v>14</v>
      </c>
      <c r="I423" s="246">
        <v>2005</v>
      </c>
      <c r="J423" s="121">
        <v>431</v>
      </c>
      <c r="K423" s="121" t="str">
        <f t="shared" si="78"/>
        <v/>
      </c>
      <c r="L423" s="121">
        <f t="shared" si="79"/>
        <v>31.3</v>
      </c>
      <c r="M423" s="333" t="s">
        <v>1044</v>
      </c>
      <c r="N423" s="98"/>
      <c r="O423" s="98"/>
      <c r="P423" s="168"/>
      <c r="Q423" s="169" t="s">
        <v>957</v>
      </c>
      <c r="R423" s="37"/>
      <c r="S423" s="36"/>
      <c r="T423" s="23"/>
      <c r="U423" s="35"/>
      <c r="V423" s="126"/>
      <c r="W423" s="158"/>
      <c r="X423" s="121"/>
      <c r="Y423" s="121"/>
      <c r="Z423" s="122"/>
      <c r="AA423" s="123" t="str">
        <f t="shared" si="80"/>
        <v xml:space="preserve"> </v>
      </c>
      <c r="AB423" s="123" t="str">
        <f t="shared" si="81"/>
        <v xml:space="preserve"> </v>
      </c>
      <c r="AC423" s="120"/>
      <c r="AD423" s="39"/>
      <c r="AE423" s="39"/>
      <c r="AF423" s="39"/>
      <c r="AG423" s="39"/>
      <c r="AH423" s="39">
        <v>31.3</v>
      </c>
      <c r="AI423" s="123">
        <f t="shared" si="82"/>
        <v>13490.300000000001</v>
      </c>
      <c r="AJ423" s="123">
        <f t="shared" si="83"/>
        <v>431</v>
      </c>
      <c r="AK423" s="35"/>
      <c r="AL423" s="35"/>
      <c r="AM423" s="35"/>
      <c r="AU423" s="35"/>
    </row>
    <row r="424" spans="1:47" ht="12" customHeight="1" x14ac:dyDescent="0.2">
      <c r="A424" s="236"/>
      <c r="B424" s="245" t="s">
        <v>5</v>
      </c>
      <c r="C424" s="291"/>
      <c r="D424" s="248"/>
      <c r="E424" s="248"/>
      <c r="F424" s="169" t="s">
        <v>1131</v>
      </c>
      <c r="G424" s="316" t="s">
        <v>5</v>
      </c>
      <c r="H424" s="246" t="s">
        <v>14</v>
      </c>
      <c r="I424" s="246">
        <v>2005</v>
      </c>
      <c r="J424" s="248">
        <v>2385</v>
      </c>
      <c r="K424" s="121">
        <f t="shared" si="78"/>
        <v>9</v>
      </c>
      <c r="L424" s="121" t="str">
        <f t="shared" si="79"/>
        <v/>
      </c>
      <c r="M424" s="334" t="s">
        <v>686</v>
      </c>
      <c r="N424" s="247" t="s">
        <v>17</v>
      </c>
      <c r="O424" s="247" t="s">
        <v>645</v>
      </c>
      <c r="P424" s="168" t="s">
        <v>628</v>
      </c>
      <c r="Q424" s="169" t="s">
        <v>343</v>
      </c>
      <c r="R424" s="37"/>
      <c r="S424" s="36"/>
      <c r="T424" s="23"/>
      <c r="U424" s="35"/>
      <c r="V424" s="35"/>
      <c r="W424" s="85"/>
      <c r="X424" s="121">
        <v>9</v>
      </c>
      <c r="Y424" s="121"/>
      <c r="Z424" s="122">
        <f>X424</f>
        <v>9</v>
      </c>
      <c r="AA424" s="123">
        <f t="shared" si="80"/>
        <v>21465</v>
      </c>
      <c r="AB424" s="123">
        <f t="shared" si="81"/>
        <v>2385</v>
      </c>
      <c r="AC424" s="120"/>
      <c r="AD424" s="39"/>
      <c r="AE424" s="39"/>
      <c r="AF424" s="39"/>
      <c r="AG424" s="39"/>
      <c r="AH424" s="39"/>
      <c r="AI424" s="123" t="str">
        <f t="shared" si="82"/>
        <v xml:space="preserve"> </v>
      </c>
      <c r="AJ424" s="123" t="str">
        <f t="shared" si="83"/>
        <v xml:space="preserve"> </v>
      </c>
      <c r="AK424" s="35"/>
      <c r="AL424" s="35"/>
      <c r="AM424" s="35"/>
      <c r="AU424" s="35"/>
    </row>
    <row r="425" spans="1:47" ht="12" customHeight="1" x14ac:dyDescent="0.2">
      <c r="A425" s="236"/>
      <c r="B425" s="245" t="s">
        <v>5</v>
      </c>
      <c r="C425" s="291"/>
      <c r="D425" s="248"/>
      <c r="E425" s="248"/>
      <c r="F425" s="19" t="s">
        <v>1131</v>
      </c>
      <c r="G425" s="316" t="s">
        <v>5</v>
      </c>
      <c r="H425" s="186" t="s">
        <v>14</v>
      </c>
      <c r="I425" s="246">
        <v>2008</v>
      </c>
      <c r="J425" s="248">
        <v>33385</v>
      </c>
      <c r="K425" s="121">
        <f t="shared" si="78"/>
        <v>17.53</v>
      </c>
      <c r="L425" s="121">
        <f t="shared" si="79"/>
        <v>14.2</v>
      </c>
      <c r="M425" s="333" t="s">
        <v>1042</v>
      </c>
      <c r="N425" s="247" t="s">
        <v>15</v>
      </c>
      <c r="O425" s="247" t="s">
        <v>19</v>
      </c>
      <c r="P425" s="237" t="s">
        <v>244</v>
      </c>
      <c r="Q425" s="19" t="s">
        <v>1003</v>
      </c>
      <c r="R425" s="37"/>
      <c r="S425" s="36"/>
      <c r="T425" s="23"/>
      <c r="U425" s="128"/>
      <c r="V425" s="273" t="s">
        <v>999</v>
      </c>
      <c r="W425" s="127"/>
      <c r="X425" s="121">
        <v>17.53</v>
      </c>
      <c r="Y425" s="121"/>
      <c r="Z425" s="122">
        <f>X425</f>
        <v>17.53</v>
      </c>
      <c r="AA425" s="123">
        <f t="shared" si="80"/>
        <v>585239.05000000005</v>
      </c>
      <c r="AB425" s="123">
        <f t="shared" si="81"/>
        <v>33385</v>
      </c>
      <c r="AC425" s="127"/>
      <c r="AD425" s="161"/>
      <c r="AE425" s="161"/>
      <c r="AF425" s="161">
        <v>14.2</v>
      </c>
      <c r="AG425" s="42">
        <v>15.2</v>
      </c>
      <c r="AH425" s="161">
        <f>AF425</f>
        <v>14.2</v>
      </c>
      <c r="AI425" s="123">
        <f t="shared" si="82"/>
        <v>474067</v>
      </c>
      <c r="AJ425" s="123">
        <f t="shared" si="83"/>
        <v>33385</v>
      </c>
      <c r="AK425" s="128"/>
      <c r="AL425" s="128"/>
      <c r="AM425" s="128"/>
      <c r="AU425" s="128"/>
    </row>
    <row r="426" spans="1:47" ht="12" customHeight="1" x14ac:dyDescent="0.2">
      <c r="A426" s="236"/>
      <c r="B426" s="184" t="s">
        <v>94</v>
      </c>
      <c r="C426" s="121"/>
      <c r="D426" s="167"/>
      <c r="E426" s="167"/>
      <c r="F426" s="169" t="s">
        <v>1130</v>
      </c>
      <c r="G426" s="315" t="s">
        <v>94</v>
      </c>
      <c r="H426" s="186" t="s">
        <v>527</v>
      </c>
      <c r="I426" s="166">
        <v>1989</v>
      </c>
      <c r="J426" s="167">
        <v>111</v>
      </c>
      <c r="K426" s="121">
        <f t="shared" si="78"/>
        <v>18</v>
      </c>
      <c r="L426" s="121" t="str">
        <f t="shared" si="79"/>
        <v/>
      </c>
      <c r="M426" s="332" t="s">
        <v>1041</v>
      </c>
      <c r="N426" s="98" t="s">
        <v>15</v>
      </c>
      <c r="O426" s="98" t="s">
        <v>105</v>
      </c>
      <c r="P426" s="168"/>
      <c r="Q426" s="169" t="s">
        <v>523</v>
      </c>
      <c r="R426" s="37"/>
      <c r="S426" s="36"/>
      <c r="T426" s="23"/>
      <c r="U426" s="126" t="s">
        <v>534</v>
      </c>
      <c r="V426" s="35"/>
      <c r="W426" s="85"/>
      <c r="X426" s="121"/>
      <c r="Y426" s="121"/>
      <c r="Z426" s="122">
        <v>18</v>
      </c>
      <c r="AA426" s="123">
        <f t="shared" si="80"/>
        <v>1998</v>
      </c>
      <c r="AB426" s="123">
        <f t="shared" si="81"/>
        <v>111</v>
      </c>
      <c r="AC426" s="120"/>
      <c r="AD426" s="39"/>
      <c r="AE426" s="39"/>
      <c r="AF426" s="39"/>
      <c r="AG426" s="39"/>
      <c r="AH426" s="39"/>
      <c r="AI426" s="123" t="str">
        <f t="shared" si="82"/>
        <v xml:space="preserve"> </v>
      </c>
      <c r="AJ426" s="123" t="str">
        <f t="shared" si="83"/>
        <v xml:space="preserve"> </v>
      </c>
      <c r="AK426" s="35"/>
      <c r="AL426" s="35"/>
      <c r="AM426" s="35"/>
      <c r="AU426" s="35"/>
    </row>
    <row r="427" spans="1:47" ht="12" customHeight="1" x14ac:dyDescent="0.2">
      <c r="A427" s="236"/>
      <c r="B427" s="184" t="s">
        <v>94</v>
      </c>
      <c r="C427" s="121"/>
      <c r="D427" s="167"/>
      <c r="E427" s="167"/>
      <c r="F427" s="169" t="s">
        <v>1130</v>
      </c>
      <c r="G427" s="315" t="s">
        <v>94</v>
      </c>
      <c r="H427" s="97" t="s">
        <v>14</v>
      </c>
      <c r="I427" s="166">
        <v>2003</v>
      </c>
      <c r="J427" s="167">
        <v>2143</v>
      </c>
      <c r="K427" s="121">
        <f t="shared" si="78"/>
        <v>27</v>
      </c>
      <c r="L427" s="121">
        <f t="shared" si="79"/>
        <v>6</v>
      </c>
      <c r="M427" s="332" t="s">
        <v>1041</v>
      </c>
      <c r="N427" s="98" t="s">
        <v>15</v>
      </c>
      <c r="O427" s="98" t="s">
        <v>263</v>
      </c>
      <c r="P427" s="168" t="s">
        <v>258</v>
      </c>
      <c r="Q427" s="169" t="s">
        <v>523</v>
      </c>
      <c r="R427" s="37"/>
      <c r="S427" s="36"/>
      <c r="T427" s="23"/>
      <c r="U427" s="35"/>
      <c r="V427" s="35"/>
      <c r="W427" s="85"/>
      <c r="X427" s="121"/>
      <c r="Y427" s="121"/>
      <c r="Z427" s="122">
        <v>27</v>
      </c>
      <c r="AA427" s="123">
        <f t="shared" si="80"/>
        <v>57861</v>
      </c>
      <c r="AB427" s="123">
        <f t="shared" si="81"/>
        <v>2143</v>
      </c>
      <c r="AC427" s="120"/>
      <c r="AD427" s="39">
        <v>6</v>
      </c>
      <c r="AE427" s="39"/>
      <c r="AF427" s="39"/>
      <c r="AG427" s="39"/>
      <c r="AH427" s="39">
        <v>6</v>
      </c>
      <c r="AI427" s="123">
        <f t="shared" si="82"/>
        <v>12858</v>
      </c>
      <c r="AJ427" s="123">
        <f t="shared" si="83"/>
        <v>2143</v>
      </c>
      <c r="AK427" s="35"/>
      <c r="AL427" s="35"/>
      <c r="AM427" s="35"/>
      <c r="AU427" s="35"/>
    </row>
    <row r="428" spans="1:47" ht="12" customHeight="1" x14ac:dyDescent="0.2">
      <c r="A428" s="236"/>
      <c r="B428" s="184" t="s">
        <v>94</v>
      </c>
      <c r="C428" s="121"/>
      <c r="D428" s="167"/>
      <c r="E428" s="167"/>
      <c r="F428" s="169" t="s">
        <v>1130</v>
      </c>
      <c r="G428" s="315" t="s">
        <v>94</v>
      </c>
      <c r="H428" s="97" t="s">
        <v>14</v>
      </c>
      <c r="I428" s="166">
        <v>2008</v>
      </c>
      <c r="J428" s="167"/>
      <c r="K428" s="121">
        <f>IF(Z428&gt;0,Z428,"")</f>
        <v>13.9</v>
      </c>
      <c r="L428" s="121">
        <f>IF(AH428&gt;0,AH428,"")</f>
        <v>5.5</v>
      </c>
      <c r="M428" s="2" t="s">
        <v>1069</v>
      </c>
      <c r="N428" s="98"/>
      <c r="O428" s="98"/>
      <c r="P428" s="168"/>
      <c r="Q428" s="169" t="s">
        <v>876</v>
      </c>
      <c r="R428" s="334" t="s">
        <v>1049</v>
      </c>
      <c r="S428" s="360">
        <v>40994</v>
      </c>
      <c r="T428" s="23"/>
      <c r="U428" s="35"/>
      <c r="V428" s="35"/>
      <c r="W428" s="85"/>
      <c r="X428" s="121">
        <v>13.9</v>
      </c>
      <c r="Y428" s="121"/>
      <c r="Z428" s="122">
        <f>X428</f>
        <v>13.9</v>
      </c>
      <c r="AA428" s="123">
        <f>IF(Z428&gt;0,$J428*Z428," ")</f>
        <v>0</v>
      </c>
      <c r="AB428" s="123">
        <f>IF(Z428&gt;0,$J428," ")</f>
        <v>0</v>
      </c>
      <c r="AC428" s="120"/>
      <c r="AD428" s="39"/>
      <c r="AE428" s="39"/>
      <c r="AF428" s="39"/>
      <c r="AG428" s="39">
        <v>5.5</v>
      </c>
      <c r="AH428" s="39">
        <f>AG428</f>
        <v>5.5</v>
      </c>
      <c r="AI428" s="123">
        <f>IF(AH428&gt;0,$J428*AH428," ")</f>
        <v>0</v>
      </c>
      <c r="AJ428" s="123">
        <f>IF(AH428&gt;0,$J428," ")</f>
        <v>0</v>
      </c>
      <c r="AK428" s="35"/>
      <c r="AL428" s="35"/>
      <c r="AM428" s="35"/>
      <c r="AU428" s="35"/>
    </row>
    <row r="429" spans="1:47" ht="12" customHeight="1" x14ac:dyDescent="0.2">
      <c r="A429" s="236"/>
      <c r="B429" s="184" t="s">
        <v>184</v>
      </c>
      <c r="C429" s="121"/>
      <c r="D429" s="167"/>
      <c r="E429" s="167"/>
      <c r="F429" s="169" t="s">
        <v>1125</v>
      </c>
      <c r="G429" s="315" t="s">
        <v>184</v>
      </c>
      <c r="H429" s="97" t="s">
        <v>856</v>
      </c>
      <c r="I429" s="166">
        <v>2003</v>
      </c>
      <c r="J429" s="167">
        <v>307</v>
      </c>
      <c r="K429" s="121">
        <f t="shared" si="78"/>
        <v>55.9</v>
      </c>
      <c r="L429" s="121" t="str">
        <f t="shared" si="79"/>
        <v/>
      </c>
      <c r="M429" s="333" t="s">
        <v>1044</v>
      </c>
      <c r="N429" s="98"/>
      <c r="O429" s="98"/>
      <c r="P429" s="168"/>
      <c r="Q429" s="169" t="s">
        <v>957</v>
      </c>
      <c r="R429" s="37"/>
      <c r="S429" s="36"/>
      <c r="T429" s="23"/>
      <c r="U429" s="35"/>
      <c r="V429" s="35"/>
      <c r="W429" s="85"/>
      <c r="X429" s="121">
        <v>55.9</v>
      </c>
      <c r="Y429" s="121"/>
      <c r="Z429" s="122">
        <f>X429</f>
        <v>55.9</v>
      </c>
      <c r="AA429" s="123">
        <f>IF(Z429&gt;0,$J429*Z429," ")</f>
        <v>17161.3</v>
      </c>
      <c r="AB429" s="123">
        <f>IF(Z429&gt;0,$J429," ")</f>
        <v>307</v>
      </c>
      <c r="AC429" s="120"/>
      <c r="AD429" s="39"/>
      <c r="AE429" s="39"/>
      <c r="AF429" s="39"/>
      <c r="AG429" s="39"/>
      <c r="AH429" s="39"/>
      <c r="AI429" s="123"/>
      <c r="AJ429" s="123"/>
      <c r="AK429" s="35"/>
      <c r="AL429" s="35"/>
      <c r="AM429" s="35"/>
      <c r="AU429" s="35"/>
    </row>
    <row r="430" spans="1:47" ht="12" customHeight="1" x14ac:dyDescent="0.2">
      <c r="A430" s="236"/>
      <c r="B430" s="184" t="s">
        <v>184</v>
      </c>
      <c r="C430" s="121"/>
      <c r="D430" s="167"/>
      <c r="E430" s="167"/>
      <c r="F430" s="278" t="s">
        <v>1125</v>
      </c>
      <c r="G430" s="315" t="s">
        <v>184</v>
      </c>
      <c r="H430" s="97" t="s">
        <v>515</v>
      </c>
      <c r="I430" s="166">
        <v>1999</v>
      </c>
      <c r="J430" s="167">
        <v>150</v>
      </c>
      <c r="K430" s="121">
        <f t="shared" ref="K430:K499" si="84">IF(Z430&gt;0,Z430,"")</f>
        <v>34</v>
      </c>
      <c r="L430" s="121" t="str">
        <f t="shared" ref="L430:L499" si="85">IF(AH430&gt;0,AH430,"")</f>
        <v/>
      </c>
      <c r="M430" s="333" t="s">
        <v>717</v>
      </c>
      <c r="N430" s="98"/>
      <c r="O430" s="98"/>
      <c r="P430" s="168"/>
      <c r="Q430" s="278" t="s">
        <v>980</v>
      </c>
      <c r="R430" s="37"/>
      <c r="S430" s="36"/>
      <c r="T430" s="23"/>
      <c r="U430" s="35" t="s">
        <v>517</v>
      </c>
      <c r="V430" s="35"/>
      <c r="W430" s="85"/>
      <c r="X430" s="121"/>
      <c r="Y430" s="121"/>
      <c r="Z430" s="122">
        <v>34</v>
      </c>
      <c r="AA430" s="123">
        <f t="shared" si="80"/>
        <v>5100</v>
      </c>
      <c r="AB430" s="123">
        <f t="shared" si="81"/>
        <v>150</v>
      </c>
      <c r="AC430" s="120"/>
      <c r="AD430" s="39"/>
      <c r="AE430" s="39"/>
      <c r="AF430" s="39"/>
      <c r="AG430" s="39"/>
      <c r="AH430" s="39"/>
      <c r="AI430" s="123" t="str">
        <f t="shared" si="82"/>
        <v xml:space="preserve"> </v>
      </c>
      <c r="AJ430" s="123" t="str">
        <f t="shared" si="83"/>
        <v xml:space="preserve"> </v>
      </c>
      <c r="AK430" s="35"/>
      <c r="AL430" s="35"/>
      <c r="AM430" s="35"/>
      <c r="AN430" s="2" t="s">
        <v>516</v>
      </c>
      <c r="AU430" s="35"/>
    </row>
    <row r="431" spans="1:47" ht="12" customHeight="1" x14ac:dyDescent="0.2">
      <c r="A431" s="236"/>
      <c r="B431" s="184" t="s">
        <v>73</v>
      </c>
      <c r="C431" s="121"/>
      <c r="D431" s="167"/>
      <c r="E431" s="167"/>
      <c r="F431" s="169" t="s">
        <v>1134</v>
      </c>
      <c r="G431" s="315" t="s">
        <v>1034</v>
      </c>
      <c r="H431" s="186" t="s">
        <v>1113</v>
      </c>
      <c r="I431" s="166">
        <v>1982</v>
      </c>
      <c r="J431" s="167">
        <v>628</v>
      </c>
      <c r="K431" s="121">
        <f t="shared" si="84"/>
        <v>67</v>
      </c>
      <c r="L431" s="121" t="str">
        <f t="shared" si="85"/>
        <v/>
      </c>
      <c r="M431" s="332" t="s">
        <v>1041</v>
      </c>
      <c r="N431" s="98" t="s">
        <v>15</v>
      </c>
      <c r="O431" s="98"/>
      <c r="P431" s="168"/>
      <c r="Q431" s="169" t="s">
        <v>523</v>
      </c>
      <c r="R431" s="37"/>
      <c r="S431" s="36"/>
      <c r="T431" s="23"/>
      <c r="U431" s="126" t="s">
        <v>531</v>
      </c>
      <c r="V431" s="35"/>
      <c r="W431" s="85"/>
      <c r="X431" s="121"/>
      <c r="Y431" s="121"/>
      <c r="Z431" s="122">
        <v>67</v>
      </c>
      <c r="AA431" s="123">
        <f t="shared" si="80"/>
        <v>42076</v>
      </c>
      <c r="AB431" s="123">
        <f t="shared" si="81"/>
        <v>628</v>
      </c>
      <c r="AC431" s="120"/>
      <c r="AD431" s="39"/>
      <c r="AE431" s="39"/>
      <c r="AF431" s="39"/>
      <c r="AG431" s="39"/>
      <c r="AH431" s="39"/>
      <c r="AI431" s="123" t="str">
        <f t="shared" si="82"/>
        <v xml:space="preserve"> </v>
      </c>
      <c r="AJ431" s="123" t="str">
        <f t="shared" si="83"/>
        <v xml:space="preserve"> </v>
      </c>
      <c r="AK431" s="35"/>
      <c r="AL431" s="35"/>
      <c r="AM431" s="35"/>
      <c r="AU431" s="35"/>
    </row>
    <row r="432" spans="1:47" ht="12" customHeight="1" x14ac:dyDescent="0.2">
      <c r="A432" s="236"/>
      <c r="B432" s="184" t="s">
        <v>73</v>
      </c>
      <c r="C432" s="121"/>
      <c r="D432" s="167"/>
      <c r="E432" s="167"/>
      <c r="F432" s="237" t="s">
        <v>1134</v>
      </c>
      <c r="G432" s="315" t="s">
        <v>1034</v>
      </c>
      <c r="H432" s="186" t="s">
        <v>529</v>
      </c>
      <c r="I432" s="166">
        <v>1984</v>
      </c>
      <c r="J432" s="167">
        <v>298</v>
      </c>
      <c r="K432" s="121">
        <f t="shared" si="84"/>
        <v>56</v>
      </c>
      <c r="L432" s="121" t="str">
        <f t="shared" si="85"/>
        <v/>
      </c>
      <c r="M432" s="37" t="s">
        <v>1059</v>
      </c>
      <c r="N432" s="98" t="s">
        <v>15</v>
      </c>
      <c r="O432" s="98"/>
      <c r="P432" s="168"/>
      <c r="Q432" s="98" t="s">
        <v>218</v>
      </c>
      <c r="R432" s="37"/>
      <c r="S432" s="36"/>
      <c r="T432" s="23"/>
      <c r="U432" s="126" t="s">
        <v>531</v>
      </c>
      <c r="V432" s="35"/>
      <c r="W432" s="85"/>
      <c r="X432" s="121"/>
      <c r="Y432" s="121"/>
      <c r="Z432" s="122">
        <v>56</v>
      </c>
      <c r="AA432" s="123">
        <f t="shared" si="80"/>
        <v>16688</v>
      </c>
      <c r="AB432" s="123">
        <f t="shared" si="81"/>
        <v>298</v>
      </c>
      <c r="AC432" s="120"/>
      <c r="AD432" s="39"/>
      <c r="AE432" s="39"/>
      <c r="AF432" s="39"/>
      <c r="AG432" s="39"/>
      <c r="AH432" s="38"/>
      <c r="AI432" s="123" t="str">
        <f t="shared" si="82"/>
        <v xml:space="preserve"> </v>
      </c>
      <c r="AJ432" s="123" t="str">
        <f t="shared" si="83"/>
        <v xml:space="preserve"> </v>
      </c>
      <c r="AK432" s="35"/>
      <c r="AL432" s="35"/>
      <c r="AM432" s="35"/>
      <c r="AU432" s="35"/>
    </row>
    <row r="433" spans="1:47" ht="12" customHeight="1" x14ac:dyDescent="0.2">
      <c r="A433" s="236"/>
      <c r="B433" s="184" t="s">
        <v>73</v>
      </c>
      <c r="C433" s="121"/>
      <c r="D433" s="167"/>
      <c r="E433" s="167"/>
      <c r="F433" s="237" t="s">
        <v>1134</v>
      </c>
      <c r="G433" s="315" t="s">
        <v>1034</v>
      </c>
      <c r="H433" s="186" t="s">
        <v>530</v>
      </c>
      <c r="I433" s="166">
        <v>1984</v>
      </c>
      <c r="J433" s="167">
        <v>99</v>
      </c>
      <c r="K433" s="121">
        <f t="shared" si="84"/>
        <v>62</v>
      </c>
      <c r="L433" s="121" t="str">
        <f t="shared" si="85"/>
        <v/>
      </c>
      <c r="M433" s="336" t="s">
        <v>1062</v>
      </c>
      <c r="N433" s="237" t="s">
        <v>15</v>
      </c>
      <c r="O433" s="98"/>
      <c r="P433" s="168"/>
      <c r="Q433" s="237" t="s">
        <v>524</v>
      </c>
      <c r="R433" s="37"/>
      <c r="S433" s="36"/>
      <c r="T433" s="23"/>
      <c r="U433" s="126" t="s">
        <v>531</v>
      </c>
      <c r="V433" s="126" t="s">
        <v>528</v>
      </c>
      <c r="W433" s="158"/>
      <c r="X433" s="121"/>
      <c r="Y433" s="121"/>
      <c r="Z433" s="122">
        <v>62</v>
      </c>
      <c r="AA433" s="123">
        <f t="shared" si="80"/>
        <v>6138</v>
      </c>
      <c r="AB433" s="123">
        <f t="shared" si="81"/>
        <v>99</v>
      </c>
      <c r="AC433" s="120"/>
      <c r="AD433" s="39"/>
      <c r="AE433" s="39"/>
      <c r="AF433" s="39"/>
      <c r="AG433" s="39"/>
      <c r="AH433" s="38"/>
      <c r="AI433" s="123" t="str">
        <f t="shared" si="82"/>
        <v xml:space="preserve"> </v>
      </c>
      <c r="AJ433" s="123" t="str">
        <f t="shared" si="83"/>
        <v xml:space="preserve"> </v>
      </c>
      <c r="AK433" s="35"/>
      <c r="AL433" s="35"/>
      <c r="AM433" s="35"/>
      <c r="AU433" s="128"/>
    </row>
    <row r="434" spans="1:47" ht="12" customHeight="1" x14ac:dyDescent="0.2">
      <c r="A434" s="236"/>
      <c r="B434" s="184" t="s">
        <v>56</v>
      </c>
      <c r="C434" s="121"/>
      <c r="D434" s="167"/>
      <c r="E434" s="167"/>
      <c r="F434" s="169" t="s">
        <v>1132</v>
      </c>
      <c r="G434" s="315" t="s">
        <v>56</v>
      </c>
      <c r="H434" s="97" t="s">
        <v>14</v>
      </c>
      <c r="I434" s="166">
        <v>2004</v>
      </c>
      <c r="J434" s="167">
        <v>5070</v>
      </c>
      <c r="K434" s="121">
        <f t="shared" si="84"/>
        <v>19</v>
      </c>
      <c r="L434" s="121">
        <f t="shared" si="85"/>
        <v>7</v>
      </c>
      <c r="M434" s="332" t="s">
        <v>1041</v>
      </c>
      <c r="N434" s="98" t="s">
        <v>15</v>
      </c>
      <c r="O434" s="98" t="s">
        <v>90</v>
      </c>
      <c r="P434" s="168" t="s">
        <v>248</v>
      </c>
      <c r="Q434" s="169" t="s">
        <v>523</v>
      </c>
      <c r="R434" s="37"/>
      <c r="S434" s="36"/>
      <c r="T434" s="23"/>
      <c r="U434" s="35"/>
      <c r="V434" s="35"/>
      <c r="W434" s="85"/>
      <c r="X434" s="121"/>
      <c r="Y434" s="121"/>
      <c r="Z434" s="122">
        <v>19</v>
      </c>
      <c r="AA434" s="123">
        <f t="shared" si="80"/>
        <v>96330</v>
      </c>
      <c r="AB434" s="123">
        <f t="shared" si="81"/>
        <v>5070</v>
      </c>
      <c r="AC434" s="120"/>
      <c r="AD434" s="39">
        <v>7</v>
      </c>
      <c r="AE434" s="39"/>
      <c r="AF434" s="39"/>
      <c r="AG434" s="39"/>
      <c r="AH434" s="39">
        <v>7</v>
      </c>
      <c r="AI434" s="123">
        <f t="shared" si="82"/>
        <v>35490</v>
      </c>
      <c r="AJ434" s="123">
        <f t="shared" si="83"/>
        <v>5070</v>
      </c>
      <c r="AK434" s="35"/>
      <c r="AL434" s="35"/>
      <c r="AM434" s="35"/>
      <c r="AU434" s="35"/>
    </row>
    <row r="435" spans="1:47" ht="12" customHeight="1" x14ac:dyDescent="0.2">
      <c r="A435" s="236"/>
      <c r="B435" s="184" t="s">
        <v>56</v>
      </c>
      <c r="C435" s="121"/>
      <c r="D435" s="167"/>
      <c r="E435" s="167"/>
      <c r="F435" s="169" t="s">
        <v>1132</v>
      </c>
      <c r="G435" s="315" t="s">
        <v>56</v>
      </c>
      <c r="H435" s="97" t="s">
        <v>230</v>
      </c>
      <c r="I435" s="166" t="s">
        <v>26</v>
      </c>
      <c r="J435" s="167">
        <v>5940</v>
      </c>
      <c r="K435" s="121">
        <f t="shared" si="84"/>
        <v>10</v>
      </c>
      <c r="L435" s="121" t="str">
        <f t="shared" si="85"/>
        <v/>
      </c>
      <c r="M435" s="332" t="s">
        <v>1041</v>
      </c>
      <c r="N435" s="98" t="s">
        <v>15</v>
      </c>
      <c r="O435" s="98" t="s">
        <v>19</v>
      </c>
      <c r="P435" s="168" t="s">
        <v>248</v>
      </c>
      <c r="Q435" s="169" t="s">
        <v>523</v>
      </c>
      <c r="R435" s="37"/>
      <c r="S435" s="36"/>
      <c r="T435" s="23"/>
      <c r="U435" s="35"/>
      <c r="V435" s="35"/>
      <c r="W435" s="85"/>
      <c r="X435" s="121"/>
      <c r="Y435" s="121"/>
      <c r="Z435" s="122">
        <v>10</v>
      </c>
      <c r="AA435" s="123">
        <f t="shared" si="80"/>
        <v>59400</v>
      </c>
      <c r="AB435" s="123">
        <f t="shared" si="81"/>
        <v>5940</v>
      </c>
      <c r="AC435" s="120"/>
      <c r="AD435" s="39"/>
      <c r="AE435" s="39"/>
      <c r="AF435" s="39"/>
      <c r="AG435" s="39"/>
      <c r="AH435" s="39"/>
      <c r="AI435" s="123" t="str">
        <f t="shared" si="82"/>
        <v xml:space="preserve"> </v>
      </c>
      <c r="AJ435" s="123" t="str">
        <f t="shared" si="83"/>
        <v xml:space="preserve"> </v>
      </c>
      <c r="AK435" s="35"/>
      <c r="AL435" s="35"/>
      <c r="AM435" s="35"/>
      <c r="AU435" s="35"/>
    </row>
    <row r="436" spans="1:47" ht="12" customHeight="1" x14ac:dyDescent="0.2">
      <c r="A436" s="236"/>
      <c r="B436" s="184" t="s">
        <v>57</v>
      </c>
      <c r="C436" s="121"/>
      <c r="D436" s="167"/>
      <c r="E436" s="167"/>
      <c r="F436" s="237" t="s">
        <v>1132</v>
      </c>
      <c r="G436" s="315" t="s">
        <v>57</v>
      </c>
      <c r="H436" s="97" t="s">
        <v>945</v>
      </c>
      <c r="I436" s="166">
        <v>1997</v>
      </c>
      <c r="J436" s="167">
        <v>359</v>
      </c>
      <c r="K436" s="121" t="str">
        <f t="shared" si="84"/>
        <v/>
      </c>
      <c r="L436" s="121">
        <f t="shared" si="85"/>
        <v>31</v>
      </c>
      <c r="M436" s="37" t="s">
        <v>1059</v>
      </c>
      <c r="N436" s="98" t="s">
        <v>18</v>
      </c>
      <c r="O436" s="98" t="s">
        <v>231</v>
      </c>
      <c r="P436" s="168"/>
      <c r="Q436" s="98" t="s">
        <v>218</v>
      </c>
      <c r="R436" s="37"/>
      <c r="S436" s="36"/>
      <c r="T436" s="23"/>
      <c r="U436" s="35"/>
      <c r="V436" s="35"/>
      <c r="W436" s="85"/>
      <c r="X436" s="121"/>
      <c r="Y436" s="121"/>
      <c r="Z436" s="122"/>
      <c r="AA436" s="123" t="str">
        <f t="shared" si="80"/>
        <v xml:space="preserve"> </v>
      </c>
      <c r="AB436" s="123" t="str">
        <f t="shared" si="81"/>
        <v xml:space="preserve"> </v>
      </c>
      <c r="AC436" s="120"/>
      <c r="AD436" s="38">
        <v>31</v>
      </c>
      <c r="AE436" s="39"/>
      <c r="AF436" s="38"/>
      <c r="AG436" s="39"/>
      <c r="AH436" s="38">
        <v>31</v>
      </c>
      <c r="AI436" s="123">
        <f t="shared" si="82"/>
        <v>11129</v>
      </c>
      <c r="AJ436" s="123">
        <f t="shared" si="83"/>
        <v>359</v>
      </c>
      <c r="AK436" s="35"/>
      <c r="AL436" s="35"/>
      <c r="AM436" s="35"/>
      <c r="AU436" s="35"/>
    </row>
    <row r="437" spans="1:47" ht="12" customHeight="1" x14ac:dyDescent="0.2">
      <c r="A437" s="236"/>
      <c r="B437" s="245" t="s">
        <v>57</v>
      </c>
      <c r="C437" s="291"/>
      <c r="D437" s="248"/>
      <c r="E437" s="248"/>
      <c r="F437" s="19" t="s">
        <v>1132</v>
      </c>
      <c r="G437" s="316" t="s">
        <v>57</v>
      </c>
      <c r="H437" s="186" t="s">
        <v>14</v>
      </c>
      <c r="I437" s="246">
        <v>2000</v>
      </c>
      <c r="J437" s="248">
        <v>27843</v>
      </c>
      <c r="K437" s="121">
        <f t="shared" si="84"/>
        <v>41.21</v>
      </c>
      <c r="L437" s="121" t="str">
        <f t="shared" si="85"/>
        <v/>
      </c>
      <c r="M437" s="333" t="s">
        <v>1042</v>
      </c>
      <c r="N437" s="247" t="s">
        <v>15</v>
      </c>
      <c r="O437" s="247" t="s">
        <v>19</v>
      </c>
      <c r="P437" s="237" t="s">
        <v>244</v>
      </c>
      <c r="Q437" s="19" t="s">
        <v>1003</v>
      </c>
      <c r="R437" s="37"/>
      <c r="S437" s="36"/>
      <c r="T437" s="23"/>
      <c r="U437" s="128"/>
      <c r="V437" s="128"/>
      <c r="W437" s="127"/>
      <c r="X437" s="121">
        <v>41.21</v>
      </c>
      <c r="Y437" s="121"/>
      <c r="Z437" s="122">
        <f>X437</f>
        <v>41.21</v>
      </c>
      <c r="AA437" s="123">
        <f t="shared" si="80"/>
        <v>1147410.03</v>
      </c>
      <c r="AB437" s="123">
        <f t="shared" si="81"/>
        <v>27843</v>
      </c>
      <c r="AC437" s="127"/>
      <c r="AD437" s="161"/>
      <c r="AE437" s="161"/>
      <c r="AF437" s="161"/>
      <c r="AG437" s="42"/>
      <c r="AH437" s="161"/>
      <c r="AI437" s="123" t="str">
        <f t="shared" si="82"/>
        <v xml:space="preserve"> </v>
      </c>
      <c r="AJ437" s="123" t="str">
        <f t="shared" si="83"/>
        <v xml:space="preserve"> </v>
      </c>
      <c r="AK437" s="128"/>
      <c r="AL437" s="128"/>
      <c r="AM437" s="128"/>
      <c r="AU437" s="35"/>
    </row>
    <row r="438" spans="1:47" ht="12" customHeight="1" x14ac:dyDescent="0.2">
      <c r="A438" s="236"/>
      <c r="B438" s="184" t="s">
        <v>57</v>
      </c>
      <c r="C438" s="121"/>
      <c r="D438" s="167"/>
      <c r="E438" s="167"/>
      <c r="F438" s="169" t="s">
        <v>1132</v>
      </c>
      <c r="G438" s="315" t="s">
        <v>57</v>
      </c>
      <c r="H438" s="97" t="s">
        <v>60</v>
      </c>
      <c r="I438" s="166">
        <v>2001</v>
      </c>
      <c r="J438" s="167">
        <v>1019</v>
      </c>
      <c r="K438" s="121">
        <f t="shared" si="84"/>
        <v>50</v>
      </c>
      <c r="L438" s="121">
        <f t="shared" si="85"/>
        <v>17</v>
      </c>
      <c r="M438" s="332" t="s">
        <v>1041</v>
      </c>
      <c r="N438" s="98" t="s">
        <v>15</v>
      </c>
      <c r="O438" s="98" t="s">
        <v>19</v>
      </c>
      <c r="P438" s="168" t="s">
        <v>243</v>
      </c>
      <c r="Q438" s="169" t="s">
        <v>523</v>
      </c>
      <c r="R438" s="37"/>
      <c r="S438" s="36"/>
      <c r="T438" s="23"/>
      <c r="U438" s="35"/>
      <c r="V438" s="37"/>
      <c r="W438" s="157"/>
      <c r="X438" s="121"/>
      <c r="Y438" s="121"/>
      <c r="Z438" s="122">
        <v>50</v>
      </c>
      <c r="AA438" s="123">
        <f t="shared" si="80"/>
        <v>50950</v>
      </c>
      <c r="AB438" s="123">
        <f t="shared" si="81"/>
        <v>1019</v>
      </c>
      <c r="AC438" s="120"/>
      <c r="AD438" s="39">
        <v>17</v>
      </c>
      <c r="AE438" s="39"/>
      <c r="AF438" s="39"/>
      <c r="AG438" s="39"/>
      <c r="AH438" s="39">
        <v>17</v>
      </c>
      <c r="AI438" s="123">
        <f t="shared" si="82"/>
        <v>17323</v>
      </c>
      <c r="AJ438" s="123">
        <f t="shared" si="83"/>
        <v>1019</v>
      </c>
      <c r="AK438" s="35"/>
      <c r="AL438" s="35"/>
      <c r="AM438" s="35"/>
      <c r="AU438" s="128"/>
    </row>
    <row r="439" spans="1:47" ht="12" customHeight="1" x14ac:dyDescent="0.2">
      <c r="A439" s="236"/>
      <c r="B439" s="184" t="s">
        <v>57</v>
      </c>
      <c r="C439" s="121"/>
      <c r="D439" s="167"/>
      <c r="E439" s="167"/>
      <c r="F439" s="169" t="s">
        <v>1132</v>
      </c>
      <c r="G439" s="315" t="s">
        <v>57</v>
      </c>
      <c r="H439" s="97" t="s">
        <v>61</v>
      </c>
      <c r="I439" s="166">
        <v>2001</v>
      </c>
      <c r="J439" s="167">
        <v>1497</v>
      </c>
      <c r="K439" s="121">
        <f t="shared" si="84"/>
        <v>62</v>
      </c>
      <c r="L439" s="121">
        <f t="shared" si="85"/>
        <v>25</v>
      </c>
      <c r="M439" s="332" t="s">
        <v>1041</v>
      </c>
      <c r="N439" s="98" t="s">
        <v>15</v>
      </c>
      <c r="O439" s="98" t="s">
        <v>19</v>
      </c>
      <c r="P439" s="168" t="s">
        <v>243</v>
      </c>
      <c r="Q439" s="169" t="s">
        <v>523</v>
      </c>
      <c r="R439" s="37"/>
      <c r="S439" s="36"/>
      <c r="T439" s="23"/>
      <c r="U439" s="35"/>
      <c r="V439" s="37"/>
      <c r="W439" s="157"/>
      <c r="X439" s="121"/>
      <c r="Y439" s="121"/>
      <c r="Z439" s="122">
        <v>62</v>
      </c>
      <c r="AA439" s="123">
        <f t="shared" si="80"/>
        <v>92814</v>
      </c>
      <c r="AB439" s="123">
        <f t="shared" si="81"/>
        <v>1497</v>
      </c>
      <c r="AC439" s="120"/>
      <c r="AD439" s="39">
        <v>25</v>
      </c>
      <c r="AE439" s="39"/>
      <c r="AF439" s="39"/>
      <c r="AG439" s="39"/>
      <c r="AH439" s="39">
        <v>25</v>
      </c>
      <c r="AI439" s="123">
        <f t="shared" si="82"/>
        <v>37425</v>
      </c>
      <c r="AJ439" s="123">
        <f t="shared" si="83"/>
        <v>1497</v>
      </c>
      <c r="AK439" s="35"/>
      <c r="AL439" s="35"/>
      <c r="AM439" s="35"/>
      <c r="AU439" s="35"/>
    </row>
    <row r="440" spans="1:47" ht="12" customHeight="1" x14ac:dyDescent="0.2">
      <c r="A440" s="236"/>
      <c r="B440" s="245" t="s">
        <v>57</v>
      </c>
      <c r="C440" s="291"/>
      <c r="D440" s="248"/>
      <c r="E440" s="248"/>
      <c r="F440" s="19" t="s">
        <v>1132</v>
      </c>
      <c r="G440" s="316" t="s">
        <v>57</v>
      </c>
      <c r="H440" s="186" t="s">
        <v>14</v>
      </c>
      <c r="I440" s="246" t="s">
        <v>826</v>
      </c>
      <c r="J440" s="248">
        <v>20915</v>
      </c>
      <c r="K440" s="121">
        <f t="shared" si="84"/>
        <v>39.090000000000003</v>
      </c>
      <c r="L440" s="121" t="str">
        <f t="shared" si="85"/>
        <v/>
      </c>
      <c r="M440" s="333" t="s">
        <v>1042</v>
      </c>
      <c r="N440" s="247" t="s">
        <v>15</v>
      </c>
      <c r="O440" s="247" t="s">
        <v>19</v>
      </c>
      <c r="P440" s="237" t="s">
        <v>244</v>
      </c>
      <c r="Q440" s="19" t="s">
        <v>1003</v>
      </c>
      <c r="R440" s="37"/>
      <c r="S440" s="36"/>
      <c r="T440" s="23"/>
      <c r="U440" s="35"/>
      <c r="V440" s="37"/>
      <c r="W440" s="157"/>
      <c r="X440" s="121">
        <v>39.090000000000003</v>
      </c>
      <c r="Y440" s="121"/>
      <c r="Z440" s="122">
        <f>X440</f>
        <v>39.090000000000003</v>
      </c>
      <c r="AA440" s="123">
        <f t="shared" si="80"/>
        <v>817567.35000000009</v>
      </c>
      <c r="AB440" s="123">
        <f t="shared" si="81"/>
        <v>20915</v>
      </c>
      <c r="AC440" s="120"/>
      <c r="AD440" s="39"/>
      <c r="AE440" s="39"/>
      <c r="AF440" s="39"/>
      <c r="AG440" s="39"/>
      <c r="AH440" s="39"/>
      <c r="AI440" s="123" t="str">
        <f t="shared" si="82"/>
        <v xml:space="preserve"> </v>
      </c>
      <c r="AJ440" s="123" t="str">
        <f t="shared" si="83"/>
        <v xml:space="preserve"> </v>
      </c>
      <c r="AK440" s="35"/>
      <c r="AL440" s="35"/>
      <c r="AM440" s="35"/>
      <c r="AU440" s="35"/>
    </row>
    <row r="441" spans="1:47" ht="12" customHeight="1" x14ac:dyDescent="0.2">
      <c r="A441" s="236"/>
      <c r="B441" s="245" t="s">
        <v>57</v>
      </c>
      <c r="C441" s="291"/>
      <c r="D441" s="248"/>
      <c r="E441" s="248"/>
      <c r="F441" s="237" t="s">
        <v>1132</v>
      </c>
      <c r="G441" s="316" t="s">
        <v>57</v>
      </c>
      <c r="H441" s="186" t="s">
        <v>14</v>
      </c>
      <c r="I441" s="246">
        <v>2009</v>
      </c>
      <c r="J441" s="248"/>
      <c r="K441" s="121">
        <f>IF(Z441&gt;0,Z441,"")</f>
        <v>31.2</v>
      </c>
      <c r="L441" s="121">
        <f>IF(AH441&gt;0,AH441,"")</f>
        <v>11.2</v>
      </c>
      <c r="M441" s="15" t="s">
        <v>1069</v>
      </c>
      <c r="N441" s="247"/>
      <c r="O441" s="247"/>
      <c r="P441" s="237" t="s">
        <v>244</v>
      </c>
      <c r="Q441" s="237" t="s">
        <v>876</v>
      </c>
      <c r="R441" s="37"/>
      <c r="S441" s="36"/>
      <c r="T441" s="23"/>
      <c r="U441" s="35"/>
      <c r="V441" s="37"/>
      <c r="W441" s="157"/>
      <c r="X441" s="121">
        <v>31.2</v>
      </c>
      <c r="Y441" s="121">
        <v>38.799999999999997</v>
      </c>
      <c r="Z441" s="122">
        <f>X441</f>
        <v>31.2</v>
      </c>
      <c r="AA441" s="123">
        <f>IF(Z441&gt;0,$J441*Z441," ")</f>
        <v>0</v>
      </c>
      <c r="AB441" s="123">
        <f>IF(Z441&gt;0,$J441," ")</f>
        <v>0</v>
      </c>
      <c r="AC441" s="120"/>
      <c r="AD441" s="39"/>
      <c r="AE441" s="39"/>
      <c r="AF441" s="39">
        <v>11.2</v>
      </c>
      <c r="AG441" s="39">
        <v>14.2</v>
      </c>
      <c r="AH441" s="39">
        <f>AF441</f>
        <v>11.2</v>
      </c>
      <c r="AI441" s="123">
        <f>IF(AH441&gt;0,$J441*AH441," ")</f>
        <v>0</v>
      </c>
      <c r="AJ441" s="123">
        <f>IF(AH441&gt;0,$J441," ")</f>
        <v>0</v>
      </c>
      <c r="AK441" s="35"/>
      <c r="AL441" s="35"/>
      <c r="AM441" s="35"/>
      <c r="AU441" s="35"/>
    </row>
    <row r="442" spans="1:47" ht="12" customHeight="1" x14ac:dyDescent="0.2">
      <c r="A442" s="236"/>
      <c r="B442" s="184" t="s">
        <v>79</v>
      </c>
      <c r="C442" s="121"/>
      <c r="D442" s="167"/>
      <c r="E442" s="167"/>
      <c r="F442" s="169" t="s">
        <v>1134</v>
      </c>
      <c r="G442" s="315" t="s">
        <v>79</v>
      </c>
      <c r="H442" s="186" t="s">
        <v>14</v>
      </c>
      <c r="I442" s="166">
        <v>1993</v>
      </c>
      <c r="J442" s="167">
        <v>8481</v>
      </c>
      <c r="K442" s="121">
        <f t="shared" si="84"/>
        <v>10</v>
      </c>
      <c r="L442" s="121" t="str">
        <f t="shared" si="85"/>
        <v/>
      </c>
      <c r="M442" s="332" t="s">
        <v>1041</v>
      </c>
      <c r="N442" s="237" t="s">
        <v>78</v>
      </c>
      <c r="O442" s="98" t="s">
        <v>19</v>
      </c>
      <c r="P442" s="168"/>
      <c r="Q442" s="169" t="s">
        <v>523</v>
      </c>
      <c r="R442" s="37"/>
      <c r="S442" s="36"/>
      <c r="T442" s="23"/>
      <c r="U442" s="35"/>
      <c r="V442" s="35"/>
      <c r="W442" s="85"/>
      <c r="X442" s="121"/>
      <c r="Y442" s="121"/>
      <c r="Z442" s="122">
        <v>10</v>
      </c>
      <c r="AA442" s="123">
        <f t="shared" si="80"/>
        <v>84810</v>
      </c>
      <c r="AB442" s="123">
        <f t="shared" si="81"/>
        <v>8481</v>
      </c>
      <c r="AC442" s="120"/>
      <c r="AD442" s="39"/>
      <c r="AE442" s="39"/>
      <c r="AF442" s="39"/>
      <c r="AG442" s="39"/>
      <c r="AH442" s="39"/>
      <c r="AI442" s="123" t="str">
        <f t="shared" si="82"/>
        <v xml:space="preserve"> </v>
      </c>
      <c r="AJ442" s="123" t="str">
        <f t="shared" si="83"/>
        <v xml:space="preserve"> </v>
      </c>
      <c r="AK442" s="35"/>
      <c r="AL442" s="35"/>
      <c r="AM442" s="35"/>
      <c r="AU442" s="35"/>
    </row>
    <row r="443" spans="1:47" ht="12" customHeight="1" x14ac:dyDescent="0.2">
      <c r="A443" s="236"/>
      <c r="B443" s="184" t="s">
        <v>79</v>
      </c>
      <c r="C443" s="121"/>
      <c r="D443" s="167"/>
      <c r="E443" s="167"/>
      <c r="F443" s="169" t="s">
        <v>1134</v>
      </c>
      <c r="G443" s="315" t="s">
        <v>79</v>
      </c>
      <c r="H443" s="97" t="s">
        <v>91</v>
      </c>
      <c r="I443" s="166">
        <v>1998</v>
      </c>
      <c r="J443" s="167">
        <v>1660</v>
      </c>
      <c r="K443" s="121">
        <f t="shared" si="84"/>
        <v>26</v>
      </c>
      <c r="L443" s="121" t="str">
        <f t="shared" si="85"/>
        <v/>
      </c>
      <c r="M443" s="332" t="s">
        <v>1041</v>
      </c>
      <c r="N443" s="98" t="s">
        <v>18</v>
      </c>
      <c r="O443" s="98" t="s">
        <v>19</v>
      </c>
      <c r="P443" s="168"/>
      <c r="Q443" s="169" t="s">
        <v>523</v>
      </c>
      <c r="R443" s="37"/>
      <c r="S443" s="36"/>
      <c r="T443" s="23"/>
      <c r="U443" s="35"/>
      <c r="V443" s="35"/>
      <c r="W443" s="85"/>
      <c r="X443" s="121"/>
      <c r="Y443" s="121"/>
      <c r="Z443" s="122">
        <v>26</v>
      </c>
      <c r="AA443" s="123">
        <f t="shared" si="80"/>
        <v>43160</v>
      </c>
      <c r="AB443" s="123">
        <f t="shared" si="81"/>
        <v>1660</v>
      </c>
      <c r="AC443" s="120"/>
      <c r="AD443" s="39"/>
      <c r="AE443" s="39"/>
      <c r="AF443" s="39"/>
      <c r="AG443" s="39"/>
      <c r="AH443" s="39"/>
      <c r="AI443" s="123" t="str">
        <f t="shared" si="82"/>
        <v xml:space="preserve"> </v>
      </c>
      <c r="AJ443" s="123" t="str">
        <f t="shared" si="83"/>
        <v xml:space="preserve"> </v>
      </c>
      <c r="AK443" s="35"/>
      <c r="AL443" s="35"/>
      <c r="AM443" s="35"/>
      <c r="AU443" s="35"/>
    </row>
    <row r="444" spans="1:47" ht="12" customHeight="1" x14ac:dyDescent="0.2">
      <c r="A444" s="236"/>
      <c r="B444" s="184" t="s">
        <v>79</v>
      </c>
      <c r="C444" s="121"/>
      <c r="D444" s="167"/>
      <c r="E444" s="167"/>
      <c r="F444" s="169" t="s">
        <v>1134</v>
      </c>
      <c r="G444" s="315" t="s">
        <v>79</v>
      </c>
      <c r="H444" s="97" t="s">
        <v>352</v>
      </c>
      <c r="I444" s="166">
        <v>2004</v>
      </c>
      <c r="J444" s="167">
        <v>1000</v>
      </c>
      <c r="K444" s="121">
        <f t="shared" si="84"/>
        <v>47.2</v>
      </c>
      <c r="L444" s="121">
        <f t="shared" si="85"/>
        <v>29</v>
      </c>
      <c r="M444" s="333" t="s">
        <v>1044</v>
      </c>
      <c r="N444" s="98"/>
      <c r="O444" s="98"/>
      <c r="P444" s="168" t="s">
        <v>854</v>
      </c>
      <c r="Q444" s="169" t="s">
        <v>957</v>
      </c>
      <c r="R444" s="37"/>
      <c r="S444" s="36"/>
      <c r="T444" s="23"/>
      <c r="U444" s="35"/>
      <c r="V444" s="35"/>
      <c r="W444" s="85"/>
      <c r="X444" s="121">
        <v>47.2</v>
      </c>
      <c r="Y444" s="121"/>
      <c r="Z444" s="122">
        <f>X444</f>
        <v>47.2</v>
      </c>
      <c r="AA444" s="123">
        <f>IF(Z444&gt;0,$J444*Z444," ")</f>
        <v>47200</v>
      </c>
      <c r="AB444" s="123">
        <f>IF(Z444&gt;0,$J444," ")</f>
        <v>1000</v>
      </c>
      <c r="AC444" s="120"/>
      <c r="AD444" s="39"/>
      <c r="AE444" s="39"/>
      <c r="AF444" s="39">
        <v>29</v>
      </c>
      <c r="AG444" s="39"/>
      <c r="AH444" s="39">
        <f>AF444</f>
        <v>29</v>
      </c>
      <c r="AI444" s="123">
        <f t="shared" si="82"/>
        <v>29000</v>
      </c>
      <c r="AJ444" s="123">
        <f t="shared" si="83"/>
        <v>1000</v>
      </c>
      <c r="AK444" s="35"/>
      <c r="AL444" s="35"/>
      <c r="AM444" s="35"/>
      <c r="AU444" s="128"/>
    </row>
    <row r="445" spans="1:47" ht="12" customHeight="1" x14ac:dyDescent="0.2">
      <c r="A445" s="236"/>
      <c r="B445" s="184" t="s">
        <v>79</v>
      </c>
      <c r="C445" s="121"/>
      <c r="D445" s="167"/>
      <c r="E445" s="167"/>
      <c r="F445" s="169" t="s">
        <v>1134</v>
      </c>
      <c r="G445" s="315" t="s">
        <v>79</v>
      </c>
      <c r="H445" s="97" t="s">
        <v>257</v>
      </c>
      <c r="I445" s="166">
        <v>2004</v>
      </c>
      <c r="J445" s="167">
        <v>1000</v>
      </c>
      <c r="K445" s="121">
        <f t="shared" si="84"/>
        <v>21</v>
      </c>
      <c r="L445" s="121">
        <f t="shared" si="85"/>
        <v>6.2</v>
      </c>
      <c r="M445" s="332" t="s">
        <v>1041</v>
      </c>
      <c r="N445" s="98" t="s">
        <v>78</v>
      </c>
      <c r="O445" s="98" t="s">
        <v>19</v>
      </c>
      <c r="P445" s="98" t="s">
        <v>245</v>
      </c>
      <c r="Q445" s="169" t="s">
        <v>523</v>
      </c>
      <c r="R445" s="37"/>
      <c r="S445" s="36"/>
      <c r="T445" s="23"/>
      <c r="U445" s="35"/>
      <c r="V445" s="35"/>
      <c r="W445" s="85"/>
      <c r="X445" s="121"/>
      <c r="Y445" s="121"/>
      <c r="Z445" s="122">
        <v>21</v>
      </c>
      <c r="AA445" s="123">
        <f t="shared" si="80"/>
        <v>21000</v>
      </c>
      <c r="AB445" s="123">
        <f t="shared" si="81"/>
        <v>1000</v>
      </c>
      <c r="AC445" s="120"/>
      <c r="AD445" s="39">
        <v>6.2</v>
      </c>
      <c r="AE445" s="39"/>
      <c r="AF445" s="39"/>
      <c r="AG445" s="39"/>
      <c r="AH445" s="39">
        <v>6.2</v>
      </c>
      <c r="AI445" s="123">
        <f t="shared" si="82"/>
        <v>6200</v>
      </c>
      <c r="AJ445" s="123">
        <f t="shared" si="83"/>
        <v>1000</v>
      </c>
      <c r="AK445" s="35"/>
      <c r="AL445" s="35"/>
      <c r="AM445" s="35"/>
      <c r="AU445" s="35"/>
    </row>
    <row r="446" spans="1:47" ht="12" customHeight="1" x14ac:dyDescent="0.2">
      <c r="A446" s="236"/>
      <c r="B446" s="245" t="s">
        <v>79</v>
      </c>
      <c r="C446" s="291"/>
      <c r="D446" s="248"/>
      <c r="E446" s="248"/>
      <c r="F446" s="19" t="s">
        <v>1134</v>
      </c>
      <c r="G446" s="316" t="s">
        <v>79</v>
      </c>
      <c r="H446" s="186" t="s">
        <v>14</v>
      </c>
      <c r="I446" s="246">
        <v>2008</v>
      </c>
      <c r="J446" s="248">
        <v>13594</v>
      </c>
      <c r="K446" s="121">
        <f t="shared" si="84"/>
        <v>12.46</v>
      </c>
      <c r="L446" s="121">
        <f t="shared" si="85"/>
        <v>7.5</v>
      </c>
      <c r="M446" s="333" t="s">
        <v>1042</v>
      </c>
      <c r="N446" s="247" t="s">
        <v>15</v>
      </c>
      <c r="O446" s="247" t="s">
        <v>19</v>
      </c>
      <c r="P446" s="237" t="s">
        <v>244</v>
      </c>
      <c r="Q446" s="19" t="s">
        <v>1003</v>
      </c>
      <c r="R446" s="37"/>
      <c r="S446" s="36"/>
      <c r="T446" s="23"/>
      <c r="U446" s="128"/>
      <c r="V446" s="273" t="s">
        <v>999</v>
      </c>
      <c r="W446" s="127"/>
      <c r="X446" s="121">
        <v>12.46</v>
      </c>
      <c r="Y446" s="121"/>
      <c r="Z446" s="122">
        <f>X446</f>
        <v>12.46</v>
      </c>
      <c r="AA446" s="123">
        <f t="shared" si="80"/>
        <v>169381.24000000002</v>
      </c>
      <c r="AB446" s="123">
        <f t="shared" si="81"/>
        <v>13594</v>
      </c>
      <c r="AC446" s="127"/>
      <c r="AD446" s="161"/>
      <c r="AE446" s="161"/>
      <c r="AF446" s="161">
        <v>7.5</v>
      </c>
      <c r="AG446" s="42">
        <v>10.3</v>
      </c>
      <c r="AH446" s="161">
        <f>AF446</f>
        <v>7.5</v>
      </c>
      <c r="AI446" s="123">
        <f t="shared" si="82"/>
        <v>101955</v>
      </c>
      <c r="AJ446" s="123">
        <f t="shared" si="83"/>
        <v>13594</v>
      </c>
      <c r="AK446" s="128"/>
      <c r="AL446" s="128"/>
      <c r="AM446" s="128"/>
      <c r="AU446" s="35"/>
    </row>
    <row r="447" spans="1:47" ht="12" customHeight="1" x14ac:dyDescent="0.2">
      <c r="A447" s="236"/>
      <c r="B447" s="184" t="s">
        <v>186</v>
      </c>
      <c r="C447" s="121"/>
      <c r="D447" s="167"/>
      <c r="E447" s="167"/>
      <c r="F447" s="169" t="s">
        <v>1130</v>
      </c>
      <c r="G447" s="315" t="s">
        <v>186</v>
      </c>
      <c r="H447" s="186" t="s">
        <v>14</v>
      </c>
      <c r="I447" s="166">
        <v>2004</v>
      </c>
      <c r="J447" s="167">
        <v>999999999</v>
      </c>
      <c r="K447" s="121">
        <f t="shared" si="84"/>
        <v>15</v>
      </c>
      <c r="L447" s="121">
        <f t="shared" si="85"/>
        <v>3</v>
      </c>
      <c r="M447" s="335" t="s">
        <v>659</v>
      </c>
      <c r="N447" s="237" t="s">
        <v>17</v>
      </c>
      <c r="O447" s="237" t="s">
        <v>250</v>
      </c>
      <c r="P447" s="169" t="s">
        <v>258</v>
      </c>
      <c r="Q447" s="169" t="s">
        <v>553</v>
      </c>
      <c r="R447" s="37"/>
      <c r="S447" s="36"/>
      <c r="T447" s="23"/>
      <c r="U447" s="35"/>
      <c r="V447" s="126" t="s">
        <v>762</v>
      </c>
      <c r="W447" s="85"/>
      <c r="X447" s="121">
        <v>15</v>
      </c>
      <c r="Y447" s="121">
        <v>16</v>
      </c>
      <c r="Z447" s="122">
        <v>15</v>
      </c>
      <c r="AA447" s="123">
        <f t="shared" si="80"/>
        <v>14999999985</v>
      </c>
      <c r="AB447" s="123">
        <f t="shared" si="81"/>
        <v>999999999</v>
      </c>
      <c r="AC447" s="120"/>
      <c r="AD447" s="39"/>
      <c r="AE447" s="39"/>
      <c r="AF447" s="39">
        <v>3</v>
      </c>
      <c r="AG447" s="39">
        <v>3</v>
      </c>
      <c r="AH447" s="39">
        <f>AG447</f>
        <v>3</v>
      </c>
      <c r="AI447" s="123">
        <f t="shared" si="82"/>
        <v>2999999997</v>
      </c>
      <c r="AJ447" s="123">
        <f t="shared" si="83"/>
        <v>999999999</v>
      </c>
      <c r="AK447" s="35"/>
      <c r="AL447" s="35"/>
      <c r="AM447" s="35"/>
      <c r="AU447" s="35"/>
    </row>
    <row r="448" spans="1:47" ht="12" customHeight="1" x14ac:dyDescent="0.2">
      <c r="A448" s="236"/>
      <c r="B448" s="184" t="s">
        <v>187</v>
      </c>
      <c r="C448" s="121"/>
      <c r="D448" s="167"/>
      <c r="E448" s="167"/>
      <c r="F448" s="169" t="s">
        <v>1130</v>
      </c>
      <c r="G448" s="315" t="s">
        <v>187</v>
      </c>
      <c r="H448" s="186"/>
      <c r="I448" s="166">
        <v>1995</v>
      </c>
      <c r="J448" s="167">
        <v>999999999</v>
      </c>
      <c r="K448" s="121">
        <f t="shared" si="84"/>
        <v>14</v>
      </c>
      <c r="L448" s="121" t="str">
        <f t="shared" si="85"/>
        <v/>
      </c>
      <c r="M448" t="s">
        <v>1085</v>
      </c>
      <c r="N448" s="237" t="s">
        <v>18</v>
      </c>
      <c r="O448" s="237"/>
      <c r="P448" s="169"/>
      <c r="Q448" s="169" t="s">
        <v>554</v>
      </c>
      <c r="R448" s="37"/>
      <c r="S448" s="36"/>
      <c r="T448" s="23"/>
      <c r="U448" s="35"/>
      <c r="V448" s="35"/>
      <c r="W448" s="85"/>
      <c r="X448" s="121">
        <v>14</v>
      </c>
      <c r="Y448" s="121">
        <v>18</v>
      </c>
      <c r="Z448" s="122">
        <f>X448</f>
        <v>14</v>
      </c>
      <c r="AA448" s="123">
        <f t="shared" si="80"/>
        <v>13999999986</v>
      </c>
      <c r="AB448" s="123">
        <f t="shared" si="81"/>
        <v>999999999</v>
      </c>
      <c r="AC448" s="120"/>
      <c r="AD448" s="39"/>
      <c r="AE448" s="39"/>
      <c r="AF448" s="39"/>
      <c r="AG448" s="39"/>
      <c r="AH448" s="39"/>
      <c r="AI448" s="123" t="str">
        <f t="shared" si="82"/>
        <v xml:space="preserve"> </v>
      </c>
      <c r="AJ448" s="123" t="str">
        <f t="shared" si="83"/>
        <v xml:space="preserve"> </v>
      </c>
      <c r="AK448" s="35"/>
      <c r="AL448" s="35"/>
      <c r="AM448" s="35"/>
      <c r="AU448" s="35"/>
    </row>
    <row r="449" spans="1:51" ht="12" customHeight="1" x14ac:dyDescent="0.2">
      <c r="A449" s="236"/>
      <c r="B449" s="184" t="s">
        <v>58</v>
      </c>
      <c r="C449" s="121"/>
      <c r="D449" s="167"/>
      <c r="E449" s="167"/>
      <c r="F449" s="169" t="s">
        <v>422</v>
      </c>
      <c r="G449" s="315" t="s">
        <v>58</v>
      </c>
      <c r="H449" s="97" t="s">
        <v>14</v>
      </c>
      <c r="I449" s="166" t="s">
        <v>26</v>
      </c>
      <c r="J449" s="167">
        <v>4755</v>
      </c>
      <c r="K449" s="121">
        <f t="shared" si="84"/>
        <v>13</v>
      </c>
      <c r="L449" s="121" t="str">
        <f t="shared" si="85"/>
        <v/>
      </c>
      <c r="M449" s="332" t="s">
        <v>1041</v>
      </c>
      <c r="N449" s="98" t="s">
        <v>15</v>
      </c>
      <c r="O449" s="98" t="s">
        <v>19</v>
      </c>
      <c r="P449" s="168" t="s">
        <v>248</v>
      </c>
      <c r="Q449" s="169" t="s">
        <v>523</v>
      </c>
      <c r="R449" s="37"/>
      <c r="S449" s="36"/>
      <c r="T449" s="23"/>
      <c r="U449" s="35"/>
      <c r="V449" s="35"/>
      <c r="W449" s="85"/>
      <c r="X449" s="121"/>
      <c r="Y449" s="121"/>
      <c r="Z449" s="122">
        <v>13</v>
      </c>
      <c r="AA449" s="123">
        <f t="shared" si="80"/>
        <v>61815</v>
      </c>
      <c r="AB449" s="123">
        <f t="shared" si="81"/>
        <v>4755</v>
      </c>
      <c r="AC449" s="120"/>
      <c r="AD449" s="39"/>
      <c r="AE449" s="39"/>
      <c r="AF449" s="39"/>
      <c r="AG449" s="39"/>
      <c r="AH449" s="39"/>
      <c r="AI449" s="123" t="str">
        <f t="shared" si="82"/>
        <v xml:space="preserve"> </v>
      </c>
      <c r="AJ449" s="123" t="str">
        <f t="shared" si="83"/>
        <v xml:space="preserve"> </v>
      </c>
      <c r="AK449" s="35"/>
      <c r="AL449" s="35"/>
      <c r="AM449" s="35"/>
      <c r="AU449" s="35"/>
    </row>
    <row r="450" spans="1:51" ht="12" customHeight="1" x14ac:dyDescent="0.2">
      <c r="A450" s="236"/>
      <c r="B450" s="184" t="s">
        <v>401</v>
      </c>
      <c r="C450" s="121"/>
      <c r="D450" s="167"/>
      <c r="E450" s="167"/>
      <c r="F450" s="169" t="s">
        <v>1125</v>
      </c>
      <c r="G450" s="315" t="s">
        <v>401</v>
      </c>
      <c r="H450" s="186" t="s">
        <v>14</v>
      </c>
      <c r="I450" s="166">
        <v>2007</v>
      </c>
      <c r="J450" s="167">
        <v>1200</v>
      </c>
      <c r="K450" s="121">
        <f t="shared" si="84"/>
        <v>14</v>
      </c>
      <c r="L450" s="121" t="str">
        <f t="shared" si="85"/>
        <v/>
      </c>
      <c r="M450" s="352" t="s">
        <v>1099</v>
      </c>
      <c r="N450" s="237" t="s">
        <v>18</v>
      </c>
      <c r="O450" s="98"/>
      <c r="P450" s="168"/>
      <c r="Q450" s="169" t="s">
        <v>272</v>
      </c>
      <c r="R450" s="37"/>
      <c r="S450" s="36"/>
      <c r="T450" s="23"/>
      <c r="U450" s="126" t="s">
        <v>600</v>
      </c>
      <c r="V450" s="126" t="s">
        <v>623</v>
      </c>
      <c r="W450" s="158"/>
      <c r="X450" s="121"/>
      <c r="Y450" s="121"/>
      <c r="Z450" s="122">
        <v>14</v>
      </c>
      <c r="AA450" s="123">
        <f t="shared" si="80"/>
        <v>16800</v>
      </c>
      <c r="AB450" s="123">
        <f t="shared" si="81"/>
        <v>1200</v>
      </c>
      <c r="AC450" s="120"/>
      <c r="AD450" s="39"/>
      <c r="AE450" s="39"/>
      <c r="AF450" s="39"/>
      <c r="AG450" s="39"/>
      <c r="AH450" s="39"/>
      <c r="AI450" s="123" t="str">
        <f t="shared" si="82"/>
        <v xml:space="preserve"> </v>
      </c>
      <c r="AJ450" s="123" t="str">
        <f t="shared" si="83"/>
        <v xml:space="preserve"> </v>
      </c>
      <c r="AK450" s="35"/>
      <c r="AL450" s="35"/>
      <c r="AM450" s="35"/>
      <c r="AU450" s="35"/>
    </row>
    <row r="451" spans="1:51" ht="12" customHeight="1" x14ac:dyDescent="0.2">
      <c r="A451" s="236"/>
      <c r="B451" s="250" t="s">
        <v>402</v>
      </c>
      <c r="C451" s="42"/>
      <c r="D451" s="97"/>
      <c r="E451" s="97"/>
      <c r="F451" s="237" t="s">
        <v>1131</v>
      </c>
      <c r="G451" s="317" t="s">
        <v>402</v>
      </c>
      <c r="H451" s="186" t="s">
        <v>14</v>
      </c>
      <c r="I451" s="166">
        <v>2002</v>
      </c>
      <c r="J451" s="97">
        <v>1200</v>
      </c>
      <c r="K451" s="121">
        <f t="shared" si="84"/>
        <v>15</v>
      </c>
      <c r="L451" s="121">
        <f t="shared" si="85"/>
        <v>2.8</v>
      </c>
      <c r="M451" s="335" t="s">
        <v>699</v>
      </c>
      <c r="N451" s="237" t="s">
        <v>17</v>
      </c>
      <c r="O451" s="237" t="s">
        <v>698</v>
      </c>
      <c r="P451" s="98" t="s">
        <v>700</v>
      </c>
      <c r="Q451" s="237" t="s">
        <v>336</v>
      </c>
      <c r="R451" s="37"/>
      <c r="S451" s="36"/>
      <c r="T451" s="23"/>
      <c r="U451" s="126"/>
      <c r="V451" s="126"/>
      <c r="W451" s="158"/>
      <c r="X451" s="121">
        <v>15</v>
      </c>
      <c r="Y451" s="42"/>
      <c r="Z451" s="121">
        <v>15</v>
      </c>
      <c r="AA451" s="123">
        <f t="shared" si="80"/>
        <v>18000</v>
      </c>
      <c r="AB451" s="123">
        <f t="shared" si="81"/>
        <v>1200</v>
      </c>
      <c r="AC451" s="85"/>
      <c r="AD451" s="39"/>
      <c r="AE451" s="39"/>
      <c r="AF451" s="274">
        <v>2.8</v>
      </c>
      <c r="AG451" s="39"/>
      <c r="AH451" s="39">
        <f>AF451</f>
        <v>2.8</v>
      </c>
      <c r="AI451" s="123">
        <f t="shared" si="82"/>
        <v>3360</v>
      </c>
      <c r="AJ451" s="123">
        <f t="shared" si="83"/>
        <v>1200</v>
      </c>
      <c r="AK451" s="35"/>
      <c r="AL451" s="35"/>
      <c r="AM451" s="35"/>
      <c r="AU451" s="35"/>
    </row>
    <row r="452" spans="1:51" ht="12" customHeight="1" x14ac:dyDescent="0.2">
      <c r="A452" s="236"/>
      <c r="B452" s="184" t="s">
        <v>95</v>
      </c>
      <c r="C452" s="121"/>
      <c r="D452" s="167"/>
      <c r="E452" s="167"/>
      <c r="F452" s="169" t="s">
        <v>1130</v>
      </c>
      <c r="G452" s="315" t="s">
        <v>95</v>
      </c>
      <c r="H452" s="97" t="s">
        <v>14</v>
      </c>
      <c r="I452" s="166">
        <v>1999</v>
      </c>
      <c r="J452" s="167">
        <v>5322</v>
      </c>
      <c r="K452" s="121">
        <f t="shared" si="84"/>
        <v>29</v>
      </c>
      <c r="L452" s="121">
        <f t="shared" si="85"/>
        <v>10</v>
      </c>
      <c r="M452" s="332" t="s">
        <v>1041</v>
      </c>
      <c r="N452" s="98" t="s">
        <v>15</v>
      </c>
      <c r="O452" s="98" t="s">
        <v>90</v>
      </c>
      <c r="P452" s="168"/>
      <c r="Q452" s="169" t="s">
        <v>523</v>
      </c>
      <c r="R452" s="37"/>
      <c r="S452" s="36"/>
      <c r="T452" s="23"/>
      <c r="U452" s="35"/>
      <c r="V452" s="35"/>
      <c r="W452" s="85"/>
      <c r="X452" s="122">
        <v>29</v>
      </c>
      <c r="Y452" s="121"/>
      <c r="Z452" s="122">
        <f>X452</f>
        <v>29</v>
      </c>
      <c r="AA452" s="123">
        <f t="shared" si="80"/>
        <v>154338</v>
      </c>
      <c r="AB452" s="123">
        <f t="shared" si="81"/>
        <v>5322</v>
      </c>
      <c r="AC452" s="120"/>
      <c r="AD452" s="39">
        <v>10</v>
      </c>
      <c r="AE452" s="39"/>
      <c r="AF452" s="39"/>
      <c r="AG452" s="39"/>
      <c r="AH452" s="39">
        <v>10</v>
      </c>
      <c r="AI452" s="123">
        <f t="shared" si="82"/>
        <v>53220</v>
      </c>
      <c r="AJ452" s="123">
        <f t="shared" si="83"/>
        <v>5322</v>
      </c>
      <c r="AK452" s="35"/>
      <c r="AL452" s="35"/>
      <c r="AM452" s="35"/>
      <c r="AU452" s="121"/>
      <c r="AV452" s="121"/>
      <c r="AW452" s="122"/>
      <c r="AX452" s="123"/>
      <c r="AY452" s="123"/>
    </row>
    <row r="453" spans="1:51" ht="12" customHeight="1" x14ac:dyDescent="0.2">
      <c r="A453" s="236"/>
      <c r="B453" s="184" t="s">
        <v>95</v>
      </c>
      <c r="C453" s="121"/>
      <c r="D453" s="167"/>
      <c r="E453" s="167"/>
      <c r="F453" s="169" t="s">
        <v>1130</v>
      </c>
      <c r="G453" s="315" t="s">
        <v>95</v>
      </c>
      <c r="H453" s="186" t="s">
        <v>14</v>
      </c>
      <c r="I453" s="166">
        <v>2003</v>
      </c>
      <c r="J453" s="167">
        <v>1245</v>
      </c>
      <c r="K453" s="121">
        <f t="shared" si="84"/>
        <v>10.5</v>
      </c>
      <c r="L453" s="121">
        <f t="shared" si="85"/>
        <v>3.6</v>
      </c>
      <c r="M453" s="333" t="s">
        <v>1047</v>
      </c>
      <c r="N453" s="237" t="s">
        <v>17</v>
      </c>
      <c r="O453" s="98" t="s">
        <v>232</v>
      </c>
      <c r="P453" s="168"/>
      <c r="Q453" s="169" t="s">
        <v>958</v>
      </c>
      <c r="S453" s="36"/>
      <c r="T453" s="23"/>
      <c r="U453" s="35"/>
      <c r="V453" s="35" t="s">
        <v>558</v>
      </c>
      <c r="W453" s="85"/>
      <c r="X453" s="122">
        <v>10.5</v>
      </c>
      <c r="Y453" s="121"/>
      <c r="Z453" s="122">
        <f>X453</f>
        <v>10.5</v>
      </c>
      <c r="AA453" s="123">
        <f t="shared" si="80"/>
        <v>13072.5</v>
      </c>
      <c r="AB453" s="123">
        <f t="shared" si="81"/>
        <v>1245</v>
      </c>
      <c r="AC453" s="120"/>
      <c r="AD453" s="39"/>
      <c r="AE453" s="39"/>
      <c r="AF453" s="39"/>
      <c r="AG453" s="39">
        <v>3.2</v>
      </c>
      <c r="AH453" s="39">
        <v>3.6</v>
      </c>
      <c r="AI453" s="123">
        <f t="shared" si="82"/>
        <v>4482</v>
      </c>
      <c r="AJ453" s="123">
        <f t="shared" si="83"/>
        <v>1245</v>
      </c>
      <c r="AK453" s="35"/>
      <c r="AL453" s="35"/>
      <c r="AM453" s="35"/>
      <c r="AU453" s="35"/>
    </row>
    <row r="454" spans="1:51" ht="12" customHeight="1" x14ac:dyDescent="0.2">
      <c r="A454" s="236"/>
      <c r="B454" s="184" t="s">
        <v>95</v>
      </c>
      <c r="C454" s="121"/>
      <c r="D454" s="167"/>
      <c r="E454" s="167"/>
      <c r="F454" s="169" t="s">
        <v>1130</v>
      </c>
      <c r="G454" s="315" t="s">
        <v>95</v>
      </c>
      <c r="H454" s="186" t="s">
        <v>14</v>
      </c>
      <c r="I454" s="166">
        <v>2004</v>
      </c>
      <c r="J454" s="167"/>
      <c r="K454" s="121">
        <f>IF(Z454&gt;0,Z454,"")</f>
        <v>15.1</v>
      </c>
      <c r="L454" s="121" t="str">
        <f>IF(AH454&gt;0,AH454,"")</f>
        <v/>
      </c>
      <c r="M454" s="15" t="s">
        <v>1069</v>
      </c>
      <c r="N454" s="237"/>
      <c r="O454" s="98"/>
      <c r="P454" s="168"/>
      <c r="Q454" s="169" t="s">
        <v>876</v>
      </c>
      <c r="S454" s="36"/>
      <c r="T454" s="23"/>
      <c r="U454" s="35"/>
      <c r="V454" s="35"/>
      <c r="W454" s="85"/>
      <c r="X454" s="122">
        <v>15.1</v>
      </c>
      <c r="Y454" s="121">
        <v>28.5</v>
      </c>
      <c r="Z454" s="122">
        <f>X454</f>
        <v>15.1</v>
      </c>
      <c r="AA454" s="123">
        <f>IF(Z454&gt;0,$J454*Z454," ")</f>
        <v>0</v>
      </c>
      <c r="AB454" s="123">
        <f>IF(Z454&gt;0,$J454," ")</f>
        <v>0</v>
      </c>
      <c r="AC454" s="120"/>
      <c r="AD454" s="39"/>
      <c r="AE454" s="39"/>
      <c r="AF454" s="39"/>
      <c r="AG454" s="39"/>
      <c r="AH454" s="39"/>
      <c r="AI454" s="123"/>
      <c r="AJ454" s="123"/>
      <c r="AK454" s="35"/>
      <c r="AL454" s="35"/>
      <c r="AM454" s="35"/>
      <c r="AU454" s="35"/>
    </row>
    <row r="455" spans="1:51" ht="12" customHeight="1" x14ac:dyDescent="0.2">
      <c r="A455" s="236"/>
      <c r="B455" s="184" t="s">
        <v>403</v>
      </c>
      <c r="C455" s="121"/>
      <c r="D455" s="167"/>
      <c r="E455" s="167"/>
      <c r="F455" s="169" t="s">
        <v>1125</v>
      </c>
      <c r="G455" s="315" t="s">
        <v>403</v>
      </c>
      <c r="H455" s="97" t="s">
        <v>101</v>
      </c>
      <c r="I455" s="166">
        <v>1999</v>
      </c>
      <c r="J455" s="167">
        <v>5482</v>
      </c>
      <c r="K455" s="121">
        <f t="shared" si="84"/>
        <v>22</v>
      </c>
      <c r="L455" s="121">
        <f t="shared" si="85"/>
        <v>7</v>
      </c>
      <c r="M455" s="72" t="s">
        <v>1063</v>
      </c>
      <c r="N455" s="98" t="s">
        <v>15</v>
      </c>
      <c r="O455" s="98" t="s">
        <v>90</v>
      </c>
      <c r="P455" s="168" t="s">
        <v>248</v>
      </c>
      <c r="Q455" s="168" t="s">
        <v>219</v>
      </c>
      <c r="R455" s="37"/>
      <c r="S455" s="36"/>
      <c r="T455" s="23"/>
      <c r="U455" s="35"/>
      <c r="V455" s="35"/>
      <c r="W455" s="85"/>
      <c r="X455" s="122">
        <v>19</v>
      </c>
      <c r="Y455" s="121"/>
      <c r="Z455" s="122">
        <v>22</v>
      </c>
      <c r="AA455" s="123">
        <f t="shared" si="80"/>
        <v>120604</v>
      </c>
      <c r="AB455" s="123">
        <f t="shared" si="81"/>
        <v>5482</v>
      </c>
      <c r="AC455" s="120"/>
      <c r="AD455" s="39">
        <v>6</v>
      </c>
      <c r="AE455" s="39"/>
      <c r="AF455" s="39"/>
      <c r="AG455" s="39"/>
      <c r="AH455" s="39">
        <v>7</v>
      </c>
      <c r="AI455" s="123">
        <f t="shared" si="82"/>
        <v>38374</v>
      </c>
      <c r="AJ455" s="123">
        <f t="shared" si="83"/>
        <v>5482</v>
      </c>
      <c r="AK455" s="35"/>
      <c r="AL455" s="35"/>
      <c r="AM455" s="35"/>
      <c r="AU455" s="35"/>
    </row>
    <row r="456" spans="1:51" ht="12" customHeight="1" x14ac:dyDescent="0.2">
      <c r="A456" s="236"/>
      <c r="B456" s="245" t="s">
        <v>188</v>
      </c>
      <c r="C456" s="291"/>
      <c r="D456" s="248"/>
      <c r="E456" s="248"/>
      <c r="F456" s="19" t="s">
        <v>1131</v>
      </c>
      <c r="G456" s="316" t="s">
        <v>188</v>
      </c>
      <c r="H456" s="186" t="s">
        <v>14</v>
      </c>
      <c r="I456" s="246">
        <v>2005</v>
      </c>
      <c r="J456" s="248">
        <v>11321</v>
      </c>
      <c r="K456" s="121">
        <f t="shared" si="84"/>
        <v>34.409999999999997</v>
      </c>
      <c r="L456" s="121">
        <f t="shared" si="85"/>
        <v>9.6</v>
      </c>
      <c r="M456" s="333" t="s">
        <v>1042</v>
      </c>
      <c r="N456" s="247" t="s">
        <v>15</v>
      </c>
      <c r="O456" s="247" t="s">
        <v>19</v>
      </c>
      <c r="P456" s="237" t="s">
        <v>244</v>
      </c>
      <c r="Q456" s="19" t="s">
        <v>1003</v>
      </c>
      <c r="R456" s="37"/>
      <c r="S456" s="36"/>
      <c r="T456" s="23"/>
      <c r="U456" s="128"/>
      <c r="V456" s="128"/>
      <c r="W456" s="127"/>
      <c r="X456" s="121">
        <v>34.409999999999997</v>
      </c>
      <c r="Y456" s="121"/>
      <c r="Z456" s="122">
        <f>X456</f>
        <v>34.409999999999997</v>
      </c>
      <c r="AA456" s="123">
        <f t="shared" si="80"/>
        <v>389555.61</v>
      </c>
      <c r="AB456" s="123">
        <f t="shared" si="81"/>
        <v>11321</v>
      </c>
      <c r="AC456" s="127"/>
      <c r="AD456" s="161"/>
      <c r="AE456" s="161"/>
      <c r="AF456" s="161">
        <v>9.6</v>
      </c>
      <c r="AG456" s="42"/>
      <c r="AH456" s="161">
        <f>AF456</f>
        <v>9.6</v>
      </c>
      <c r="AI456" s="123">
        <f t="shared" si="82"/>
        <v>108681.59999999999</v>
      </c>
      <c r="AJ456" s="123">
        <f t="shared" si="83"/>
        <v>11321</v>
      </c>
      <c r="AK456" s="128"/>
      <c r="AL456" s="128"/>
      <c r="AM456" s="128"/>
      <c r="AU456" s="128"/>
    </row>
    <row r="457" spans="1:51" ht="12" customHeight="1" x14ac:dyDescent="0.25">
      <c r="A457" s="236"/>
      <c r="B457" s="245" t="s">
        <v>188</v>
      </c>
      <c r="C457" s="291"/>
      <c r="D457" s="248"/>
      <c r="E457" s="248"/>
      <c r="F457" s="237" t="s">
        <v>1131</v>
      </c>
      <c r="G457" s="316" t="s">
        <v>188</v>
      </c>
      <c r="H457" s="186" t="s">
        <v>909</v>
      </c>
      <c r="I457" s="246">
        <v>2008</v>
      </c>
      <c r="J457" s="248">
        <v>1056</v>
      </c>
      <c r="K457" s="121">
        <f>IF(Z457&gt;0,Z457,"")</f>
        <v>26</v>
      </c>
      <c r="L457" s="121" t="str">
        <f>IF(AH457&gt;0,AH457,"")</f>
        <v/>
      </c>
      <c r="M457" s="15" t="s">
        <v>1092</v>
      </c>
      <c r="N457" s="247" t="s">
        <v>17</v>
      </c>
      <c r="O457" s="247" t="s">
        <v>910</v>
      </c>
      <c r="P457" s="237" t="s">
        <v>913</v>
      </c>
      <c r="Q457" s="237" t="s">
        <v>911</v>
      </c>
      <c r="R457" s="334" t="s">
        <v>912</v>
      </c>
      <c r="S457" s="360">
        <v>40994</v>
      </c>
      <c r="T457" s="23"/>
      <c r="U457" s="349" t="s">
        <v>1095</v>
      </c>
      <c r="V457" s="128"/>
      <c r="W457" s="127"/>
      <c r="X457" s="121">
        <v>26</v>
      </c>
      <c r="Y457" s="121"/>
      <c r="Z457" s="122">
        <f>X457</f>
        <v>26</v>
      </c>
      <c r="AA457" s="123">
        <f>IF(Z457&gt;0,$J457*Z457," ")</f>
        <v>27456</v>
      </c>
      <c r="AB457" s="123">
        <f>IF(Z457&gt;0,$J457," ")</f>
        <v>1056</v>
      </c>
      <c r="AC457" s="127"/>
      <c r="AD457" s="161"/>
      <c r="AE457" s="161"/>
      <c r="AF457" s="161"/>
      <c r="AG457" s="42"/>
      <c r="AH457" s="161"/>
      <c r="AI457" s="123"/>
      <c r="AJ457" s="123"/>
      <c r="AK457" s="128"/>
      <c r="AL457" s="128"/>
      <c r="AM457" s="128"/>
      <c r="AU457" s="128"/>
    </row>
    <row r="458" spans="1:51" ht="12" customHeight="1" x14ac:dyDescent="0.2">
      <c r="A458" s="236"/>
      <c r="B458" s="245" t="s">
        <v>188</v>
      </c>
      <c r="C458" s="291"/>
      <c r="D458" s="248"/>
      <c r="E458" s="248"/>
      <c r="F458" s="237" t="s">
        <v>1131</v>
      </c>
      <c r="G458" s="316" t="s">
        <v>188</v>
      </c>
      <c r="H458" s="186" t="s">
        <v>14</v>
      </c>
      <c r="I458" s="246">
        <v>2010</v>
      </c>
      <c r="J458" s="248">
        <v>5008</v>
      </c>
      <c r="K458" s="121">
        <v>25.6</v>
      </c>
      <c r="L458" s="121" t="str">
        <f>IF(AH458&gt;0,AH458,"")</f>
        <v/>
      </c>
      <c r="M458" s="334" t="s">
        <v>1022</v>
      </c>
      <c r="N458" s="247" t="s">
        <v>15</v>
      </c>
      <c r="O458" s="247" t="s">
        <v>19</v>
      </c>
      <c r="P458" s="237" t="s">
        <v>244</v>
      </c>
      <c r="Q458" s="237" t="s">
        <v>1021</v>
      </c>
      <c r="R458" s="131" t="s">
        <v>1022</v>
      </c>
      <c r="S458" s="310">
        <v>40993</v>
      </c>
      <c r="T458" s="36" t="s">
        <v>1023</v>
      </c>
      <c r="U458" s="128"/>
      <c r="V458" s="128"/>
      <c r="W458" s="127"/>
      <c r="X458" s="121"/>
      <c r="Y458" s="121"/>
      <c r="Z458" s="122"/>
      <c r="AA458" s="123"/>
      <c r="AB458" s="123"/>
      <c r="AC458" s="127"/>
      <c r="AD458" s="161"/>
      <c r="AE458" s="161"/>
      <c r="AF458" s="161"/>
      <c r="AG458" s="42"/>
      <c r="AH458" s="161"/>
      <c r="AI458" s="123"/>
      <c r="AJ458" s="123"/>
      <c r="AK458" s="128"/>
      <c r="AL458" s="128"/>
      <c r="AM458" s="128"/>
      <c r="AU458" s="128"/>
    </row>
    <row r="459" spans="1:51" ht="12" customHeight="1" x14ac:dyDescent="0.2">
      <c r="A459" s="236"/>
      <c r="B459" s="184" t="s">
        <v>80</v>
      </c>
      <c r="C459" s="121"/>
      <c r="D459" s="167"/>
      <c r="E459" s="167"/>
      <c r="F459" s="169" t="s">
        <v>1134</v>
      </c>
      <c r="G459" s="315" t="s">
        <v>80</v>
      </c>
      <c r="H459" s="97" t="s">
        <v>14</v>
      </c>
      <c r="I459" s="166">
        <v>2000</v>
      </c>
      <c r="J459" s="167">
        <v>1204</v>
      </c>
      <c r="K459" s="121">
        <f t="shared" si="84"/>
        <v>41</v>
      </c>
      <c r="L459" s="121">
        <f t="shared" si="85"/>
        <v>18</v>
      </c>
      <c r="M459" s="332" t="s">
        <v>1041</v>
      </c>
      <c r="N459" s="98" t="s">
        <v>15</v>
      </c>
      <c r="O459" s="98" t="s">
        <v>19</v>
      </c>
      <c r="P459" s="168" t="s">
        <v>243</v>
      </c>
      <c r="Q459" s="169" t="s">
        <v>523</v>
      </c>
      <c r="R459" s="37"/>
      <c r="S459" s="36"/>
      <c r="T459" s="23"/>
      <c r="U459" s="35"/>
      <c r="V459" s="35"/>
      <c r="W459" s="85"/>
      <c r="X459" s="122"/>
      <c r="Y459" s="121"/>
      <c r="Z459" s="122">
        <v>41</v>
      </c>
      <c r="AA459" s="123">
        <f t="shared" ref="AA459:AA541" si="86">IF(Z459&gt;0,$J459*Z459," ")</f>
        <v>49364</v>
      </c>
      <c r="AB459" s="123">
        <f t="shared" ref="AB459:AB541" si="87">IF(Z459&gt;0,$J459," ")</f>
        <v>1204</v>
      </c>
      <c r="AC459" s="120"/>
      <c r="AD459" s="39">
        <v>18</v>
      </c>
      <c r="AE459" s="39"/>
      <c r="AF459" s="39"/>
      <c r="AG459" s="39"/>
      <c r="AH459" s="39">
        <v>18</v>
      </c>
      <c r="AI459" s="123">
        <f t="shared" ref="AI459:AI543" si="88">IF(AH459&gt;0,$J459*AH459," ")</f>
        <v>21672</v>
      </c>
      <c r="AJ459" s="123">
        <f t="shared" ref="AJ459:AJ543" si="89">IF(AH459&gt;0,$J459," ")</f>
        <v>1204</v>
      </c>
      <c r="AK459" s="35"/>
      <c r="AL459" s="35"/>
      <c r="AM459" s="35"/>
      <c r="AU459" s="35"/>
    </row>
    <row r="460" spans="1:51" ht="12" customHeight="1" x14ac:dyDescent="0.2">
      <c r="A460" s="236"/>
      <c r="B460" s="184" t="s">
        <v>404</v>
      </c>
      <c r="C460" s="121"/>
      <c r="D460" s="167"/>
      <c r="E460" s="167"/>
      <c r="F460" s="19" t="s">
        <v>1131</v>
      </c>
      <c r="G460" s="315" t="s">
        <v>1035</v>
      </c>
      <c r="H460" s="97" t="s">
        <v>14</v>
      </c>
      <c r="I460" s="166" t="s">
        <v>589</v>
      </c>
      <c r="J460" s="167">
        <v>1980</v>
      </c>
      <c r="K460" s="121">
        <f t="shared" si="84"/>
        <v>33.4</v>
      </c>
      <c r="L460" s="121">
        <f t="shared" si="85"/>
        <v>21.1</v>
      </c>
      <c r="M460" s="333" t="s">
        <v>1042</v>
      </c>
      <c r="N460" s="98" t="s">
        <v>17</v>
      </c>
      <c r="O460" s="98" t="s">
        <v>19</v>
      </c>
      <c r="P460" s="168" t="s">
        <v>244</v>
      </c>
      <c r="Q460" s="19" t="s">
        <v>1003</v>
      </c>
      <c r="R460" s="37"/>
      <c r="S460" s="36"/>
      <c r="T460" s="23" t="s">
        <v>825</v>
      </c>
      <c r="U460" s="35" t="s">
        <v>591</v>
      </c>
      <c r="V460" s="35" t="s">
        <v>590</v>
      </c>
      <c r="W460" s="85"/>
      <c r="X460" s="122">
        <v>33.4</v>
      </c>
      <c r="Y460" s="121"/>
      <c r="Z460" s="122">
        <f>X460</f>
        <v>33.4</v>
      </c>
      <c r="AA460" s="123">
        <f t="shared" si="86"/>
        <v>66132</v>
      </c>
      <c r="AB460" s="123">
        <f t="shared" si="87"/>
        <v>1980</v>
      </c>
      <c r="AC460" s="120"/>
      <c r="AD460" s="39"/>
      <c r="AE460" s="39"/>
      <c r="AF460" s="39">
        <v>21.1</v>
      </c>
      <c r="AG460" s="39"/>
      <c r="AH460" s="39">
        <f>AF460</f>
        <v>21.1</v>
      </c>
      <c r="AI460" s="123">
        <f t="shared" si="88"/>
        <v>41778</v>
      </c>
      <c r="AJ460" s="123">
        <f t="shared" si="89"/>
        <v>1980</v>
      </c>
      <c r="AK460" s="35"/>
      <c r="AL460" s="35"/>
      <c r="AM460" s="35"/>
      <c r="AN460" s="107" t="s">
        <v>612</v>
      </c>
      <c r="AO460" s="112">
        <v>40505</v>
      </c>
      <c r="AU460" s="35"/>
    </row>
    <row r="461" spans="1:51" ht="12" customHeight="1" x14ac:dyDescent="0.2">
      <c r="A461" s="236"/>
      <c r="B461" s="184" t="s">
        <v>189</v>
      </c>
      <c r="C461" s="42"/>
      <c r="D461" s="97"/>
      <c r="E461" s="97"/>
      <c r="F461" s="169" t="s">
        <v>1125</v>
      </c>
      <c r="G461" s="315" t="s">
        <v>189</v>
      </c>
      <c r="H461" s="97" t="s">
        <v>562</v>
      </c>
      <c r="I461" s="97"/>
      <c r="J461" s="97">
        <v>230</v>
      </c>
      <c r="K461" s="121">
        <f t="shared" si="84"/>
        <v>41</v>
      </c>
      <c r="L461" s="121" t="str">
        <f t="shared" si="85"/>
        <v/>
      </c>
      <c r="M461" s="333" t="s">
        <v>777</v>
      </c>
      <c r="N461" s="98" t="s">
        <v>646</v>
      </c>
      <c r="O461" s="97" t="s">
        <v>564</v>
      </c>
      <c r="P461" s="98"/>
      <c r="Q461" s="169" t="s">
        <v>981</v>
      </c>
      <c r="R461" s="138"/>
      <c r="S461" s="36"/>
      <c r="T461" s="139"/>
      <c r="U461" s="35" t="s">
        <v>1118</v>
      </c>
      <c r="V461" s="126" t="s">
        <v>1119</v>
      </c>
      <c r="W461" s="159"/>
      <c r="X461" s="142"/>
      <c r="Y461" s="142"/>
      <c r="Z461" s="143">
        <v>41</v>
      </c>
      <c r="AA461" s="123">
        <f t="shared" si="86"/>
        <v>9430</v>
      </c>
      <c r="AB461" s="123">
        <f t="shared" si="87"/>
        <v>230</v>
      </c>
      <c r="AC461" s="141"/>
      <c r="AD461" s="145"/>
      <c r="AE461" s="145"/>
      <c r="AF461" s="145"/>
      <c r="AG461" s="145"/>
      <c r="AH461" s="145"/>
      <c r="AI461" s="123" t="str">
        <f t="shared" si="88"/>
        <v xml:space="preserve"> </v>
      </c>
      <c r="AJ461" s="123" t="str">
        <f t="shared" si="89"/>
        <v xml:space="preserve"> </v>
      </c>
      <c r="AK461" s="137"/>
      <c r="AL461" s="137"/>
      <c r="AM461" s="137"/>
      <c r="AU461" s="35"/>
    </row>
    <row r="462" spans="1:51" ht="12" customHeight="1" x14ac:dyDescent="0.2">
      <c r="A462" s="236"/>
      <c r="B462" s="184" t="s">
        <v>405</v>
      </c>
      <c r="C462" s="121"/>
      <c r="D462" s="167"/>
      <c r="E462" s="167"/>
      <c r="F462" s="169" t="s">
        <v>1130</v>
      </c>
      <c r="G462" s="315" t="s">
        <v>405</v>
      </c>
      <c r="H462" s="97" t="s">
        <v>264</v>
      </c>
      <c r="I462" s="166">
        <v>2003</v>
      </c>
      <c r="J462" s="167">
        <v>1189</v>
      </c>
      <c r="K462" s="121">
        <f t="shared" si="84"/>
        <v>23</v>
      </c>
      <c r="L462" s="121">
        <f t="shared" si="85"/>
        <v>3</v>
      </c>
      <c r="M462" s="332" t="s">
        <v>1041</v>
      </c>
      <c r="N462" s="98" t="s">
        <v>15</v>
      </c>
      <c r="O462" s="98" t="s">
        <v>19</v>
      </c>
      <c r="P462" s="168" t="s">
        <v>243</v>
      </c>
      <c r="Q462" s="169" t="s">
        <v>523</v>
      </c>
      <c r="R462" s="37"/>
      <c r="S462" s="36"/>
      <c r="T462" s="23"/>
      <c r="U462" s="35"/>
      <c r="V462" s="35"/>
      <c r="W462" s="85"/>
      <c r="X462" s="121"/>
      <c r="Y462" s="121"/>
      <c r="Z462" s="122">
        <v>23</v>
      </c>
      <c r="AA462" s="123">
        <f t="shared" si="86"/>
        <v>27347</v>
      </c>
      <c r="AB462" s="123">
        <f t="shared" si="87"/>
        <v>1189</v>
      </c>
      <c r="AC462" s="120"/>
      <c r="AD462" s="39">
        <v>3</v>
      </c>
      <c r="AE462" s="39"/>
      <c r="AF462" s="39"/>
      <c r="AG462" s="39"/>
      <c r="AH462" s="39">
        <v>3</v>
      </c>
      <c r="AI462" s="123">
        <f t="shared" si="88"/>
        <v>3567</v>
      </c>
      <c r="AJ462" s="123">
        <f t="shared" si="89"/>
        <v>1189</v>
      </c>
      <c r="AK462" s="35"/>
      <c r="AL462" s="35"/>
      <c r="AM462" s="35"/>
      <c r="AU462" s="35"/>
    </row>
    <row r="463" spans="1:51" ht="12" customHeight="1" x14ac:dyDescent="0.2">
      <c r="A463" s="236"/>
      <c r="B463" s="184" t="s">
        <v>405</v>
      </c>
      <c r="C463" s="121"/>
      <c r="D463" s="167"/>
      <c r="E463" s="167"/>
      <c r="F463" s="169" t="s">
        <v>1130</v>
      </c>
      <c r="G463" s="315" t="s">
        <v>405</v>
      </c>
      <c r="H463" s="97" t="s">
        <v>867</v>
      </c>
      <c r="I463" s="166">
        <v>2002</v>
      </c>
      <c r="J463" s="167">
        <v>332</v>
      </c>
      <c r="K463" s="121">
        <f t="shared" si="84"/>
        <v>12</v>
      </c>
      <c r="L463" s="121">
        <f t="shared" si="85"/>
        <v>11</v>
      </c>
      <c r="M463" s="333" t="s">
        <v>870</v>
      </c>
      <c r="N463" s="98" t="s">
        <v>18</v>
      </c>
      <c r="O463" s="98" t="s">
        <v>21</v>
      </c>
      <c r="P463" s="168"/>
      <c r="Q463" s="169" t="s">
        <v>983</v>
      </c>
      <c r="R463" s="131" t="s">
        <v>868</v>
      </c>
      <c r="S463" s="310">
        <v>40529</v>
      </c>
      <c r="T463" s="23"/>
      <c r="U463" s="35" t="s">
        <v>869</v>
      </c>
      <c r="V463" s="35"/>
      <c r="W463" s="85"/>
      <c r="X463" s="121">
        <v>12</v>
      </c>
      <c r="Y463" s="121"/>
      <c r="Z463" s="122">
        <f>X463</f>
        <v>12</v>
      </c>
      <c r="AA463" s="123">
        <f>IF(Z463&gt;0,$J463*Z463," ")</f>
        <v>3984</v>
      </c>
      <c r="AB463" s="123">
        <f>IF(Z463&gt;0,$J463," ")</f>
        <v>332</v>
      </c>
      <c r="AC463" s="120"/>
      <c r="AD463" s="39"/>
      <c r="AE463" s="39"/>
      <c r="AF463" s="39">
        <v>11</v>
      </c>
      <c r="AG463" s="39"/>
      <c r="AH463" s="39">
        <f>AF463</f>
        <v>11</v>
      </c>
      <c r="AI463" s="123">
        <f>IF(AH463&gt;0,$J463*AH463," ")</f>
        <v>3652</v>
      </c>
      <c r="AJ463" s="123">
        <f>IF(AH463&gt;0,$J463," ")</f>
        <v>332</v>
      </c>
      <c r="AK463" s="35"/>
      <c r="AL463" s="35"/>
      <c r="AM463" s="35"/>
      <c r="AU463" s="35"/>
    </row>
    <row r="464" spans="1:51" ht="12" customHeight="1" x14ac:dyDescent="0.2">
      <c r="A464" s="236"/>
      <c r="B464" s="250" t="s">
        <v>501</v>
      </c>
      <c r="C464" s="121"/>
      <c r="D464" s="167"/>
      <c r="E464" s="167"/>
      <c r="F464" s="169" t="s">
        <v>1131</v>
      </c>
      <c r="G464" s="317" t="s">
        <v>501</v>
      </c>
      <c r="H464" s="186" t="s">
        <v>14</v>
      </c>
      <c r="I464" s="166"/>
      <c r="J464" s="167">
        <v>999999999</v>
      </c>
      <c r="K464" s="121">
        <f t="shared" si="84"/>
        <v>55</v>
      </c>
      <c r="L464" s="121"/>
      <c r="M464" s="335" t="s">
        <v>884</v>
      </c>
      <c r="N464" s="98"/>
      <c r="O464" s="237" t="s">
        <v>20</v>
      </c>
      <c r="P464" s="168"/>
      <c r="Q464" s="169" t="s">
        <v>883</v>
      </c>
      <c r="R464" s="131"/>
      <c r="S464" s="310"/>
      <c r="T464" s="23"/>
      <c r="U464" s="35"/>
      <c r="V464" s="35"/>
      <c r="W464" s="85"/>
      <c r="X464" s="121">
        <f>27+28</f>
        <v>55</v>
      </c>
      <c r="Y464" s="121"/>
      <c r="Z464" s="122">
        <f>X464</f>
        <v>55</v>
      </c>
      <c r="AA464" s="123">
        <f>IF(Z464&gt;0,$J464*Z464," ")</f>
        <v>54999999945</v>
      </c>
      <c r="AB464" s="123">
        <f>IF(Z464&gt;0,$J464," ")</f>
        <v>999999999</v>
      </c>
      <c r="AC464" s="120"/>
      <c r="AD464" s="39"/>
      <c r="AE464" s="39"/>
      <c r="AF464" s="39"/>
      <c r="AG464" s="39"/>
      <c r="AH464" s="39"/>
      <c r="AI464" s="123"/>
      <c r="AJ464" s="123"/>
      <c r="AK464" s="35"/>
      <c r="AL464" s="35"/>
      <c r="AM464" s="35"/>
      <c r="AU464" s="35"/>
    </row>
    <row r="465" spans="1:47" ht="12" customHeight="1" x14ac:dyDescent="0.2">
      <c r="A465" s="236"/>
      <c r="B465" s="184" t="s">
        <v>191</v>
      </c>
      <c r="C465" s="121"/>
      <c r="D465" s="167"/>
      <c r="E465" s="167"/>
      <c r="F465" s="169" t="s">
        <v>1131</v>
      </c>
      <c r="G465" s="315" t="s">
        <v>191</v>
      </c>
      <c r="H465" s="97" t="s">
        <v>634</v>
      </c>
      <c r="I465" s="166">
        <v>2009</v>
      </c>
      <c r="J465" s="167">
        <v>605</v>
      </c>
      <c r="K465" s="121">
        <f t="shared" si="84"/>
        <v>28</v>
      </c>
      <c r="L465" s="121" t="str">
        <f t="shared" si="85"/>
        <v/>
      </c>
      <c r="M465" s="334" t="s">
        <v>1096</v>
      </c>
      <c r="N465" s="98"/>
      <c r="O465" s="98"/>
      <c r="P465" s="168"/>
      <c r="Q465" s="169" t="s">
        <v>337</v>
      </c>
      <c r="R465" s="37"/>
      <c r="S465" s="36"/>
      <c r="T465" s="23"/>
      <c r="U465" s="35"/>
      <c r="V465" s="23" t="s">
        <v>514</v>
      </c>
      <c r="W465" s="87"/>
      <c r="X465" s="121"/>
      <c r="Y465" s="121"/>
      <c r="Z465" s="122">
        <v>28</v>
      </c>
      <c r="AA465" s="123">
        <f t="shared" si="86"/>
        <v>16940</v>
      </c>
      <c r="AB465" s="123">
        <f t="shared" si="87"/>
        <v>605</v>
      </c>
      <c r="AC465" s="120"/>
      <c r="AD465" s="39"/>
      <c r="AE465" s="39"/>
      <c r="AF465" s="39"/>
      <c r="AG465" s="39"/>
      <c r="AH465" s="39"/>
      <c r="AI465" s="123" t="str">
        <f t="shared" si="88"/>
        <v xml:space="preserve"> </v>
      </c>
      <c r="AJ465" s="123" t="str">
        <f t="shared" si="89"/>
        <v xml:space="preserve"> </v>
      </c>
      <c r="AK465" s="35"/>
      <c r="AL465" s="35"/>
      <c r="AM465" s="35"/>
      <c r="AU465" s="35"/>
    </row>
    <row r="466" spans="1:47" ht="12" customHeight="1" x14ac:dyDescent="0.2">
      <c r="A466" s="236"/>
      <c r="B466" s="184" t="s">
        <v>192</v>
      </c>
      <c r="C466" s="121"/>
      <c r="D466" s="167"/>
      <c r="E466" s="167"/>
      <c r="F466" s="169" t="s">
        <v>1125</v>
      </c>
      <c r="G466" s="315" t="s">
        <v>192</v>
      </c>
      <c r="H466" s="186" t="s">
        <v>14</v>
      </c>
      <c r="I466" s="166">
        <v>2009</v>
      </c>
      <c r="J466" s="167">
        <v>2006</v>
      </c>
      <c r="K466" s="121">
        <f t="shared" si="84"/>
        <v>6.8</v>
      </c>
      <c r="L466" s="121">
        <f t="shared" si="85"/>
        <v>2.1</v>
      </c>
      <c r="M466" s="335" t="s">
        <v>614</v>
      </c>
      <c r="N466" s="237" t="s">
        <v>17</v>
      </c>
      <c r="O466" s="237" t="s">
        <v>250</v>
      </c>
      <c r="P466" s="169" t="s">
        <v>258</v>
      </c>
      <c r="Q466" s="169" t="s">
        <v>339</v>
      </c>
      <c r="R466" s="37"/>
      <c r="S466" s="36"/>
      <c r="T466" s="23"/>
      <c r="U466" s="126" t="s">
        <v>592</v>
      </c>
      <c r="V466" s="23"/>
      <c r="W466" s="87"/>
      <c r="X466" s="121">
        <v>6.8</v>
      </c>
      <c r="Y466" s="121">
        <v>9.1999999999999993</v>
      </c>
      <c r="Z466" s="122">
        <f>X466</f>
        <v>6.8</v>
      </c>
      <c r="AA466" s="123">
        <f t="shared" si="86"/>
        <v>13640.8</v>
      </c>
      <c r="AB466" s="123">
        <f t="shared" si="87"/>
        <v>2006</v>
      </c>
      <c r="AC466" s="120"/>
      <c r="AD466" s="39"/>
      <c r="AE466" s="39"/>
      <c r="AF466" s="39">
        <v>2.1</v>
      </c>
      <c r="AG466" s="39">
        <v>2.6</v>
      </c>
      <c r="AH466" s="39">
        <f>AF466</f>
        <v>2.1</v>
      </c>
      <c r="AI466" s="123">
        <f t="shared" si="88"/>
        <v>4212.6000000000004</v>
      </c>
      <c r="AJ466" s="123">
        <f t="shared" si="89"/>
        <v>2006</v>
      </c>
      <c r="AK466" s="35"/>
      <c r="AL466" s="35"/>
      <c r="AM466" s="35"/>
      <c r="AU466" s="35"/>
    </row>
    <row r="467" spans="1:47" ht="12" customHeight="1" x14ac:dyDescent="0.2">
      <c r="A467" s="236"/>
      <c r="B467" s="184" t="s">
        <v>406</v>
      </c>
      <c r="C467" s="121"/>
      <c r="D467" s="167"/>
      <c r="E467" s="167"/>
      <c r="F467" s="169" t="s">
        <v>1130</v>
      </c>
      <c r="G467" s="315" t="s">
        <v>406</v>
      </c>
      <c r="H467" s="186" t="s">
        <v>14</v>
      </c>
      <c r="I467" s="166">
        <v>2003</v>
      </c>
      <c r="J467" s="167"/>
      <c r="K467" s="121">
        <f t="shared" si="84"/>
        <v>29.3</v>
      </c>
      <c r="L467" s="121" t="str">
        <f t="shared" si="85"/>
        <v/>
      </c>
      <c r="M467" s="335" t="s">
        <v>1100</v>
      </c>
      <c r="N467" s="237" t="s">
        <v>15</v>
      </c>
      <c r="O467" s="237" t="s">
        <v>234</v>
      </c>
      <c r="P467" s="169"/>
      <c r="Q467" s="169" t="s">
        <v>340</v>
      </c>
      <c r="R467" s="37"/>
      <c r="S467" s="36"/>
      <c r="T467" s="23"/>
      <c r="U467" s="126" t="s">
        <v>622</v>
      </c>
      <c r="V467" s="126" t="s">
        <v>623</v>
      </c>
      <c r="W467" s="158"/>
      <c r="X467" s="121"/>
      <c r="Y467" s="121">
        <v>29.3</v>
      </c>
      <c r="Z467" s="122">
        <f>Y467</f>
        <v>29.3</v>
      </c>
      <c r="AA467" s="123">
        <f t="shared" si="86"/>
        <v>0</v>
      </c>
      <c r="AB467" s="123">
        <f t="shared" si="87"/>
        <v>0</v>
      </c>
      <c r="AC467" s="120"/>
      <c r="AD467" s="39"/>
      <c r="AE467" s="39"/>
      <c r="AF467" s="39"/>
      <c r="AG467" s="39"/>
      <c r="AH467" s="39"/>
      <c r="AI467" s="123" t="str">
        <f t="shared" si="88"/>
        <v xml:space="preserve"> </v>
      </c>
      <c r="AJ467" s="123" t="str">
        <f t="shared" si="89"/>
        <v xml:space="preserve"> </v>
      </c>
      <c r="AK467" s="35"/>
      <c r="AL467" s="35"/>
      <c r="AM467" s="35"/>
      <c r="AU467" s="35"/>
    </row>
    <row r="468" spans="1:47" ht="12" customHeight="1" x14ac:dyDescent="0.2">
      <c r="A468" s="236"/>
      <c r="B468" s="184" t="s">
        <v>406</v>
      </c>
      <c r="C468" s="121"/>
      <c r="D468" s="167"/>
      <c r="E468" s="167"/>
      <c r="F468" s="169" t="s">
        <v>1130</v>
      </c>
      <c r="G468" s="315" t="s">
        <v>406</v>
      </c>
      <c r="H468" s="186" t="s">
        <v>14</v>
      </c>
      <c r="I468" s="166">
        <v>2008</v>
      </c>
      <c r="J468" s="167">
        <v>827</v>
      </c>
      <c r="K468" s="121">
        <f t="shared" si="84"/>
        <v>21</v>
      </c>
      <c r="L468" s="121">
        <f t="shared" si="85"/>
        <v>12.2</v>
      </c>
      <c r="M468" s="336" t="s">
        <v>765</v>
      </c>
      <c r="N468" s="237" t="s">
        <v>17</v>
      </c>
      <c r="O468" s="237" t="s">
        <v>763</v>
      </c>
      <c r="P468" s="169"/>
      <c r="Q468" s="169" t="s">
        <v>764</v>
      </c>
      <c r="R468" s="37"/>
      <c r="S468" s="36"/>
      <c r="T468" s="23"/>
      <c r="U468" s="186" t="s">
        <v>1000</v>
      </c>
      <c r="V468" s="126"/>
      <c r="W468" s="158"/>
      <c r="X468" s="121">
        <v>21</v>
      </c>
      <c r="Y468" s="121"/>
      <c r="Z468" s="122">
        <f>X468</f>
        <v>21</v>
      </c>
      <c r="AA468" s="123">
        <f t="shared" si="86"/>
        <v>17367</v>
      </c>
      <c r="AB468" s="123">
        <f t="shared" si="87"/>
        <v>827</v>
      </c>
      <c r="AC468" s="120"/>
      <c r="AD468" s="39"/>
      <c r="AE468" s="39"/>
      <c r="AF468" s="39"/>
      <c r="AG468" s="39">
        <v>12.2</v>
      </c>
      <c r="AH468" s="39">
        <f>AG468</f>
        <v>12.2</v>
      </c>
      <c r="AI468" s="123">
        <f t="shared" si="88"/>
        <v>10089.4</v>
      </c>
      <c r="AJ468" s="123">
        <f t="shared" si="89"/>
        <v>827</v>
      </c>
      <c r="AK468" s="35"/>
      <c r="AL468" s="35"/>
      <c r="AM468" s="35"/>
      <c r="AU468" s="35"/>
    </row>
    <row r="469" spans="1:47" ht="12" customHeight="1" x14ac:dyDescent="0.2">
      <c r="A469" s="236"/>
      <c r="B469" s="184" t="s">
        <v>407</v>
      </c>
      <c r="C469" s="121"/>
      <c r="D469" s="167"/>
      <c r="E469" s="167"/>
      <c r="F469" s="169" t="s">
        <v>1130</v>
      </c>
      <c r="G469" s="184" t="s">
        <v>407</v>
      </c>
      <c r="H469" s="186" t="s">
        <v>14</v>
      </c>
      <c r="I469" s="166">
        <v>2010</v>
      </c>
      <c r="J469" s="167">
        <v>999999999</v>
      </c>
      <c r="K469" s="121">
        <f>23.7*0.386*(71.4/50)</f>
        <v>13.063629600000001</v>
      </c>
      <c r="L469" s="121"/>
      <c r="M469" s="124" t="s">
        <v>1101</v>
      </c>
      <c r="N469" s="237"/>
      <c r="O469" s="237"/>
      <c r="P469" s="169"/>
      <c r="Q469" s="169"/>
      <c r="S469" s="36"/>
      <c r="T469" s="23"/>
      <c r="U469" s="186"/>
      <c r="V469" s="126"/>
      <c r="W469" s="158"/>
      <c r="X469" s="121">
        <f>K469</f>
        <v>13.063629600000001</v>
      </c>
      <c r="Y469" s="121"/>
      <c r="Z469" s="122">
        <f>X469</f>
        <v>13.063629600000001</v>
      </c>
      <c r="AA469" s="123">
        <f>IF(Z469&gt;0,$J469*Z469," ")</f>
        <v>13063629586.936371</v>
      </c>
      <c r="AB469" s="123">
        <f>IF(Z469&gt;0,$J469," ")</f>
        <v>999999999</v>
      </c>
      <c r="AC469" s="120"/>
      <c r="AD469" s="39"/>
      <c r="AE469" s="39"/>
      <c r="AF469" s="39"/>
      <c r="AG469" s="39"/>
      <c r="AH469" s="39"/>
      <c r="AI469" s="123"/>
      <c r="AJ469" s="123"/>
      <c r="AK469" s="35"/>
      <c r="AL469" s="35"/>
      <c r="AM469" s="35"/>
      <c r="AU469" s="35"/>
    </row>
    <row r="470" spans="1:47" ht="12" customHeight="1" x14ac:dyDescent="0.2">
      <c r="A470" s="236"/>
      <c r="B470" s="184" t="s">
        <v>408</v>
      </c>
      <c r="C470" s="121"/>
      <c r="D470" s="167"/>
      <c r="E470" s="167"/>
      <c r="F470" s="169" t="s">
        <v>1134</v>
      </c>
      <c r="G470" s="315" t="s">
        <v>1036</v>
      </c>
      <c r="H470" s="186"/>
      <c r="I470" s="166">
        <v>2008</v>
      </c>
      <c r="J470" s="167">
        <v>999999999</v>
      </c>
      <c r="K470" s="121">
        <f t="shared" si="84"/>
        <v>46</v>
      </c>
      <c r="L470" s="121" t="str">
        <f t="shared" si="85"/>
        <v/>
      </c>
      <c r="M470" s="336" t="s">
        <v>1065</v>
      </c>
      <c r="N470" s="237"/>
      <c r="O470" s="237"/>
      <c r="P470" s="169" t="s">
        <v>243</v>
      </c>
      <c r="Q470" s="169" t="s">
        <v>770</v>
      </c>
      <c r="R470" s="37"/>
      <c r="S470" s="36"/>
      <c r="T470" s="23"/>
      <c r="U470" s="126"/>
      <c r="V470" s="126"/>
      <c r="W470" s="158"/>
      <c r="X470" s="121">
        <v>46</v>
      </c>
      <c r="Y470" s="121"/>
      <c r="Z470" s="122">
        <f>X470</f>
        <v>46</v>
      </c>
      <c r="AA470" s="123">
        <f>IF(Z470&gt;0,$J470*Z470," ")</f>
        <v>45999999954</v>
      </c>
      <c r="AB470" s="123">
        <f>IF(Z470&gt;0,$J470," ")</f>
        <v>999999999</v>
      </c>
      <c r="AC470" s="120"/>
      <c r="AD470" s="39"/>
      <c r="AE470" s="39"/>
      <c r="AF470" s="39"/>
      <c r="AG470" s="39"/>
      <c r="AH470" s="39"/>
      <c r="AI470" s="123" t="str">
        <f t="shared" si="88"/>
        <v xml:space="preserve"> </v>
      </c>
      <c r="AJ470" s="123" t="str">
        <f t="shared" si="89"/>
        <v xml:space="preserve"> </v>
      </c>
      <c r="AK470" s="35"/>
      <c r="AL470" s="35"/>
      <c r="AM470" s="35"/>
      <c r="AU470" s="35"/>
    </row>
    <row r="471" spans="1:47" ht="12" customHeight="1" x14ac:dyDescent="0.2">
      <c r="A471" s="236"/>
      <c r="B471" s="184" t="s">
        <v>194</v>
      </c>
      <c r="C471" s="121"/>
      <c r="D471" s="167"/>
      <c r="E471" s="167"/>
      <c r="F471" s="169" t="s">
        <v>1131</v>
      </c>
      <c r="G471" s="315" t="s">
        <v>194</v>
      </c>
      <c r="H471" s="97" t="s">
        <v>11</v>
      </c>
      <c r="I471" s="166">
        <v>1998</v>
      </c>
      <c r="J471" s="167">
        <v>396</v>
      </c>
      <c r="K471" s="121">
        <f t="shared" si="84"/>
        <v>27</v>
      </c>
      <c r="L471" s="121">
        <f t="shared" si="85"/>
        <v>10.9</v>
      </c>
      <c r="M471" s="332" t="s">
        <v>1041</v>
      </c>
      <c r="N471" s="98" t="s">
        <v>15</v>
      </c>
      <c r="O471" s="98" t="s">
        <v>21</v>
      </c>
      <c r="P471" s="168" t="s">
        <v>248</v>
      </c>
      <c r="Q471" s="169" t="s">
        <v>523</v>
      </c>
      <c r="R471" s="37"/>
      <c r="S471" s="357"/>
      <c r="T471" s="23" t="s">
        <v>291</v>
      </c>
      <c r="U471" s="35"/>
      <c r="V471" s="35"/>
      <c r="W471" s="85"/>
      <c r="X471" s="121"/>
      <c r="Y471" s="121"/>
      <c r="Z471" s="122">
        <v>27</v>
      </c>
      <c r="AA471" s="123">
        <f t="shared" si="86"/>
        <v>10692</v>
      </c>
      <c r="AB471" s="123">
        <f t="shared" si="87"/>
        <v>396</v>
      </c>
      <c r="AC471" s="120"/>
      <c r="AD471" s="39">
        <v>10.9</v>
      </c>
      <c r="AE471" s="39"/>
      <c r="AF471" s="39"/>
      <c r="AG471" s="39"/>
      <c r="AH471" s="39">
        <v>10.9</v>
      </c>
      <c r="AI471" s="123">
        <f t="shared" si="88"/>
        <v>4316.4000000000005</v>
      </c>
      <c r="AJ471" s="123">
        <f t="shared" si="89"/>
        <v>396</v>
      </c>
      <c r="AK471" s="35"/>
      <c r="AL471" s="35"/>
      <c r="AM471" s="35"/>
      <c r="AN471" s="118" t="s">
        <v>293</v>
      </c>
      <c r="AU471" s="35"/>
    </row>
    <row r="472" spans="1:47" ht="12" customHeight="1" x14ac:dyDescent="0.2">
      <c r="A472" s="236"/>
      <c r="B472" s="184" t="s">
        <v>194</v>
      </c>
      <c r="C472" s="121"/>
      <c r="D472" s="167"/>
      <c r="E472" s="167"/>
      <c r="F472" s="169" t="s">
        <v>1131</v>
      </c>
      <c r="G472" s="315" t="s">
        <v>194</v>
      </c>
      <c r="H472" s="97" t="s">
        <v>12</v>
      </c>
      <c r="I472" s="166">
        <v>1998</v>
      </c>
      <c r="J472" s="167">
        <v>419</v>
      </c>
      <c r="K472" s="121">
        <f t="shared" si="84"/>
        <v>28</v>
      </c>
      <c r="L472" s="121">
        <f t="shared" si="85"/>
        <v>11.9</v>
      </c>
      <c r="M472" s="332" t="s">
        <v>1041</v>
      </c>
      <c r="N472" s="98" t="s">
        <v>15</v>
      </c>
      <c r="O472" s="98" t="s">
        <v>21</v>
      </c>
      <c r="P472" s="168"/>
      <c r="Q472" s="169" t="s">
        <v>523</v>
      </c>
      <c r="R472" s="131"/>
      <c r="S472" s="357"/>
      <c r="T472" s="23" t="s">
        <v>291</v>
      </c>
      <c r="U472" s="35"/>
      <c r="V472" s="35"/>
      <c r="W472" s="85"/>
      <c r="X472" s="121"/>
      <c r="Y472" s="121"/>
      <c r="Z472" s="122">
        <v>28</v>
      </c>
      <c r="AA472" s="123">
        <f t="shared" si="86"/>
        <v>11732</v>
      </c>
      <c r="AB472" s="123">
        <f t="shared" si="87"/>
        <v>419</v>
      </c>
      <c r="AC472" s="120"/>
      <c r="AD472" s="39">
        <v>11.9</v>
      </c>
      <c r="AE472" s="39"/>
      <c r="AF472" s="39"/>
      <c r="AG472" s="39"/>
      <c r="AH472" s="39">
        <v>11.9</v>
      </c>
      <c r="AI472" s="123">
        <f t="shared" si="88"/>
        <v>4986.1000000000004</v>
      </c>
      <c r="AJ472" s="123">
        <f t="shared" si="89"/>
        <v>419</v>
      </c>
      <c r="AK472" s="35"/>
      <c r="AL472" s="35"/>
      <c r="AM472" s="35"/>
      <c r="AN472" s="118" t="s">
        <v>293</v>
      </c>
      <c r="AU472" s="35"/>
    </row>
    <row r="473" spans="1:47" ht="12" customHeight="1" x14ac:dyDescent="0.2">
      <c r="A473" s="236"/>
      <c r="B473" s="184" t="s">
        <v>194</v>
      </c>
      <c r="C473" s="121"/>
      <c r="D473" s="167"/>
      <c r="E473" s="167"/>
      <c r="F473" s="169" t="s">
        <v>1131</v>
      </c>
      <c r="G473" s="315" t="s">
        <v>194</v>
      </c>
      <c r="H473" s="97" t="s">
        <v>13</v>
      </c>
      <c r="I473" s="166">
        <v>1998</v>
      </c>
      <c r="J473" s="167">
        <v>464</v>
      </c>
      <c r="K473" s="121">
        <f t="shared" si="84"/>
        <v>19</v>
      </c>
      <c r="L473" s="121">
        <f t="shared" si="85"/>
        <v>4.5</v>
      </c>
      <c r="M473" s="332" t="s">
        <v>1041</v>
      </c>
      <c r="N473" s="98" t="s">
        <v>15</v>
      </c>
      <c r="O473" s="98" t="s">
        <v>21</v>
      </c>
      <c r="P473" s="168"/>
      <c r="Q473" s="169" t="s">
        <v>523</v>
      </c>
      <c r="R473" s="131"/>
      <c r="S473" s="357"/>
      <c r="T473" s="23" t="s">
        <v>291</v>
      </c>
      <c r="U473" s="35"/>
      <c r="V473" s="35"/>
      <c r="W473" s="85"/>
      <c r="X473" s="121"/>
      <c r="Y473" s="121"/>
      <c r="Z473" s="122">
        <v>19</v>
      </c>
      <c r="AA473" s="123">
        <f t="shared" si="86"/>
        <v>8816</v>
      </c>
      <c r="AB473" s="123">
        <f t="shared" si="87"/>
        <v>464</v>
      </c>
      <c r="AC473" s="120"/>
      <c r="AD473" s="39">
        <v>4.5</v>
      </c>
      <c r="AE473" s="39"/>
      <c r="AF473" s="39"/>
      <c r="AG473" s="39"/>
      <c r="AH473" s="39">
        <v>4.5</v>
      </c>
      <c r="AI473" s="123">
        <f t="shared" si="88"/>
        <v>2088</v>
      </c>
      <c r="AJ473" s="123">
        <f t="shared" si="89"/>
        <v>464</v>
      </c>
      <c r="AK473" s="35"/>
      <c r="AL473" s="35"/>
      <c r="AM473" s="35"/>
      <c r="AN473" s="118" t="s">
        <v>293</v>
      </c>
      <c r="AU473" s="35"/>
    </row>
    <row r="474" spans="1:47" ht="12" customHeight="1" x14ac:dyDescent="0.2">
      <c r="A474" s="236"/>
      <c r="B474" s="184" t="s">
        <v>194</v>
      </c>
      <c r="C474" s="121"/>
      <c r="D474" s="167"/>
      <c r="E474" s="167"/>
      <c r="F474" s="169" t="s">
        <v>1131</v>
      </c>
      <c r="G474" s="315" t="s">
        <v>194</v>
      </c>
      <c r="H474" s="97" t="s">
        <v>14</v>
      </c>
      <c r="I474" s="166">
        <v>1998</v>
      </c>
      <c r="J474" s="167">
        <v>10190</v>
      </c>
      <c r="K474" s="121">
        <f t="shared" si="84"/>
        <v>13</v>
      </c>
      <c r="L474" s="121">
        <f t="shared" si="85"/>
        <v>6</v>
      </c>
      <c r="M474" s="332" t="s">
        <v>1041</v>
      </c>
      <c r="N474" s="98" t="s">
        <v>18</v>
      </c>
      <c r="O474" s="98" t="s">
        <v>19</v>
      </c>
      <c r="P474" s="168"/>
      <c r="Q474" s="169" t="s">
        <v>523</v>
      </c>
      <c r="R474" s="131"/>
      <c r="S474" s="357"/>
      <c r="T474" s="23"/>
      <c r="U474" s="35"/>
      <c r="V474" s="35"/>
      <c r="W474" s="85"/>
      <c r="X474" s="121"/>
      <c r="Y474" s="121"/>
      <c r="Z474" s="122">
        <v>13</v>
      </c>
      <c r="AA474" s="123">
        <f t="shared" si="86"/>
        <v>132470</v>
      </c>
      <c r="AB474" s="123">
        <f t="shared" si="87"/>
        <v>10190</v>
      </c>
      <c r="AC474" s="120"/>
      <c r="AD474" s="39">
        <v>6</v>
      </c>
      <c r="AE474" s="39"/>
      <c r="AF474" s="39"/>
      <c r="AG474" s="39"/>
      <c r="AH474" s="39">
        <f>AD474</f>
        <v>6</v>
      </c>
      <c r="AI474" s="123">
        <f t="shared" si="88"/>
        <v>61140</v>
      </c>
      <c r="AJ474" s="123">
        <f t="shared" si="89"/>
        <v>10190</v>
      </c>
      <c r="AK474" s="35"/>
      <c r="AL474" s="35"/>
      <c r="AM474" s="35"/>
      <c r="AU474" s="35"/>
    </row>
    <row r="475" spans="1:47" ht="12" customHeight="1" x14ac:dyDescent="0.2">
      <c r="A475" s="236"/>
      <c r="B475" s="245" t="s">
        <v>194</v>
      </c>
      <c r="C475" s="291"/>
      <c r="D475" s="248"/>
      <c r="E475" s="248"/>
      <c r="F475" s="19" t="s">
        <v>1131</v>
      </c>
      <c r="G475" s="316" t="s">
        <v>194</v>
      </c>
      <c r="H475" s="186" t="s">
        <v>14</v>
      </c>
      <c r="I475" s="246">
        <v>1998</v>
      </c>
      <c r="J475" s="248">
        <v>11735</v>
      </c>
      <c r="K475" s="121">
        <f t="shared" si="84"/>
        <v>11.1</v>
      </c>
      <c r="L475" s="121">
        <f t="shared" si="85"/>
        <v>6.3</v>
      </c>
      <c r="M475" s="333" t="s">
        <v>1042</v>
      </c>
      <c r="N475" s="247" t="s">
        <v>15</v>
      </c>
      <c r="O475" s="247" t="s">
        <v>19</v>
      </c>
      <c r="P475" s="237" t="s">
        <v>244</v>
      </c>
      <c r="Q475" s="19" t="s">
        <v>1003</v>
      </c>
      <c r="R475" s="37"/>
      <c r="S475" s="36"/>
      <c r="T475" s="23"/>
      <c r="U475" s="186" t="s">
        <v>1000</v>
      </c>
      <c r="V475" s="128"/>
      <c r="W475" s="127"/>
      <c r="X475" s="121">
        <v>11.1</v>
      </c>
      <c r="Y475" s="121"/>
      <c r="Z475" s="122">
        <f>X475</f>
        <v>11.1</v>
      </c>
      <c r="AA475" s="123">
        <f t="shared" si="86"/>
        <v>130258.5</v>
      </c>
      <c r="AB475" s="123">
        <f t="shared" si="87"/>
        <v>11735</v>
      </c>
      <c r="AC475" s="127"/>
      <c r="AD475" s="161"/>
      <c r="AE475" s="161"/>
      <c r="AF475" s="161">
        <v>6.3</v>
      </c>
      <c r="AG475" s="42"/>
      <c r="AH475" s="161">
        <f>AF475</f>
        <v>6.3</v>
      </c>
      <c r="AI475" s="123">
        <f t="shared" si="88"/>
        <v>73930.5</v>
      </c>
      <c r="AJ475" s="123">
        <f t="shared" si="89"/>
        <v>11735</v>
      </c>
      <c r="AK475" s="128"/>
      <c r="AL475" s="128"/>
      <c r="AM475" s="128"/>
      <c r="AU475" s="35"/>
    </row>
    <row r="476" spans="1:47" ht="12" customHeight="1" x14ac:dyDescent="0.2">
      <c r="A476" s="236"/>
      <c r="B476" s="245" t="s">
        <v>194</v>
      </c>
      <c r="C476" s="291"/>
      <c r="D476" s="248"/>
      <c r="E476" s="248"/>
      <c r="F476" s="169" t="s">
        <v>1131</v>
      </c>
      <c r="G476" s="316" t="s">
        <v>194</v>
      </c>
      <c r="H476" s="186"/>
      <c r="I476" s="246">
        <v>2002</v>
      </c>
      <c r="J476" s="248">
        <v>1306</v>
      </c>
      <c r="K476" s="121">
        <f t="shared" si="84"/>
        <v>24.6</v>
      </c>
      <c r="L476" s="121">
        <f t="shared" si="85"/>
        <v>9.5</v>
      </c>
      <c r="M476" s="333" t="s">
        <v>1044</v>
      </c>
      <c r="N476" s="247"/>
      <c r="O476" s="247"/>
      <c r="P476" s="237"/>
      <c r="Q476" s="169" t="s">
        <v>957</v>
      </c>
      <c r="R476" s="37"/>
      <c r="S476" s="36"/>
      <c r="T476" s="23"/>
      <c r="U476" s="128" t="s">
        <v>803</v>
      </c>
      <c r="V476" s="128"/>
      <c r="W476" s="127"/>
      <c r="X476" s="121">
        <v>24.6</v>
      </c>
      <c r="Y476" s="121"/>
      <c r="Z476" s="122">
        <f>X476</f>
        <v>24.6</v>
      </c>
      <c r="AA476" s="123">
        <f t="shared" si="86"/>
        <v>32127.600000000002</v>
      </c>
      <c r="AB476" s="123">
        <f t="shared" si="87"/>
        <v>1306</v>
      </c>
      <c r="AC476" s="127"/>
      <c r="AD476" s="161"/>
      <c r="AE476" s="161"/>
      <c r="AF476" s="161">
        <v>9.5</v>
      </c>
      <c r="AG476" s="42"/>
      <c r="AH476" s="161">
        <f>AF476</f>
        <v>9.5</v>
      </c>
      <c r="AI476" s="123">
        <f t="shared" si="88"/>
        <v>12407</v>
      </c>
      <c r="AJ476" s="123">
        <f t="shared" si="89"/>
        <v>1306</v>
      </c>
      <c r="AK476" s="128"/>
      <c r="AL476" s="128"/>
      <c r="AM476" s="128"/>
      <c r="AU476" s="35"/>
    </row>
    <row r="477" spans="1:47" ht="12" customHeight="1" x14ac:dyDescent="0.2">
      <c r="A477" s="236"/>
      <c r="B477" s="184" t="s">
        <v>194</v>
      </c>
      <c r="C477" s="121"/>
      <c r="D477" s="167"/>
      <c r="E477" s="167"/>
      <c r="F477" s="169" t="s">
        <v>1131</v>
      </c>
      <c r="G477" s="315" t="s">
        <v>194</v>
      </c>
      <c r="H477" s="97" t="s">
        <v>292</v>
      </c>
      <c r="I477" s="166" t="s">
        <v>30</v>
      </c>
      <c r="J477" s="167">
        <v>1395</v>
      </c>
      <c r="K477" s="121">
        <f t="shared" si="84"/>
        <v>55.5</v>
      </c>
      <c r="L477" s="121">
        <f t="shared" si="85"/>
        <v>25.5</v>
      </c>
      <c r="M477" s="333" t="s">
        <v>721</v>
      </c>
      <c r="N477" s="98" t="s">
        <v>78</v>
      </c>
      <c r="O477" s="98" t="s">
        <v>20</v>
      </c>
      <c r="P477" s="168"/>
      <c r="Q477" s="168" t="s">
        <v>982</v>
      </c>
      <c r="R477" s="37"/>
      <c r="S477" s="357"/>
      <c r="T477" s="23"/>
      <c r="U477" s="276" t="s">
        <v>722</v>
      </c>
      <c r="V477" s="35"/>
      <c r="W477" s="85"/>
      <c r="X477" s="121"/>
      <c r="Y477" s="121"/>
      <c r="Z477" s="122">
        <v>55.5</v>
      </c>
      <c r="AA477" s="123">
        <f t="shared" si="86"/>
        <v>77422.5</v>
      </c>
      <c r="AB477" s="123">
        <f t="shared" si="87"/>
        <v>1395</v>
      </c>
      <c r="AC477" s="120"/>
      <c r="AD477" s="39"/>
      <c r="AE477" s="39"/>
      <c r="AF477" s="39">
        <v>25.5</v>
      </c>
      <c r="AG477" s="39"/>
      <c r="AH477" s="39">
        <v>25.5</v>
      </c>
      <c r="AI477" s="123">
        <f t="shared" si="88"/>
        <v>35572.5</v>
      </c>
      <c r="AJ477" s="123">
        <f t="shared" si="89"/>
        <v>1395</v>
      </c>
      <c r="AK477" s="35"/>
      <c r="AL477" s="35"/>
      <c r="AM477" s="35"/>
      <c r="AN477" s="117" t="s">
        <v>338</v>
      </c>
      <c r="AO477" s="164">
        <v>40515</v>
      </c>
      <c r="AU477" s="35"/>
    </row>
    <row r="478" spans="1:47" ht="12" customHeight="1" x14ac:dyDescent="0.2">
      <c r="A478" s="236"/>
      <c r="B478" s="184" t="s">
        <v>195</v>
      </c>
      <c r="C478" s="121"/>
      <c r="D478" s="167"/>
      <c r="E478" s="167"/>
      <c r="F478" s="169" t="s">
        <v>1130</v>
      </c>
      <c r="G478" s="315" t="s">
        <v>195</v>
      </c>
      <c r="H478" s="97" t="s">
        <v>755</v>
      </c>
      <c r="I478" s="166">
        <v>2004</v>
      </c>
      <c r="J478" s="167">
        <v>2136</v>
      </c>
      <c r="K478" s="121" t="str">
        <f t="shared" si="84"/>
        <v/>
      </c>
      <c r="L478" s="121">
        <f t="shared" si="85"/>
        <v>2.4</v>
      </c>
      <c r="M478" s="333" t="s">
        <v>757</v>
      </c>
      <c r="N478" s="98" t="s">
        <v>47</v>
      </c>
      <c r="O478" s="98" t="s">
        <v>756</v>
      </c>
      <c r="P478" s="168"/>
      <c r="Q478" s="168" t="s">
        <v>984</v>
      </c>
      <c r="R478" s="37"/>
      <c r="S478" s="357"/>
      <c r="T478" s="23"/>
      <c r="U478" s="276" t="s">
        <v>758</v>
      </c>
      <c r="V478" s="35"/>
      <c r="W478" s="85"/>
      <c r="X478" s="121"/>
      <c r="Y478" s="121"/>
      <c r="Z478" s="122"/>
      <c r="AA478" s="123" t="str">
        <f t="shared" si="86"/>
        <v xml:space="preserve"> </v>
      </c>
      <c r="AB478" s="123" t="str">
        <f t="shared" si="87"/>
        <v xml:space="preserve"> </v>
      </c>
      <c r="AC478" s="120"/>
      <c r="AD478" s="39"/>
      <c r="AE478" s="39"/>
      <c r="AF478" s="39"/>
      <c r="AG478" s="39">
        <v>2.4</v>
      </c>
      <c r="AH478" s="39">
        <f>AG478</f>
        <v>2.4</v>
      </c>
      <c r="AI478" s="123">
        <f t="shared" si="88"/>
        <v>5126.3999999999996</v>
      </c>
      <c r="AJ478" s="123">
        <f t="shared" si="89"/>
        <v>2136</v>
      </c>
      <c r="AK478" s="35"/>
      <c r="AL478" s="35"/>
      <c r="AM478" s="35"/>
      <c r="AN478" s="175"/>
      <c r="AO478" s="164"/>
      <c r="AU478" s="35"/>
    </row>
    <row r="479" spans="1:47" ht="12" customHeight="1" x14ac:dyDescent="0.2">
      <c r="A479" s="236"/>
      <c r="B479" s="184" t="s">
        <v>195</v>
      </c>
      <c r="C479" s="121"/>
      <c r="D479" s="167"/>
      <c r="E479" s="167"/>
      <c r="F479" s="169" t="s">
        <v>1130</v>
      </c>
      <c r="G479" s="315" t="s">
        <v>195</v>
      </c>
      <c r="H479" s="97"/>
      <c r="I479" s="166">
        <v>2003</v>
      </c>
      <c r="J479" s="167">
        <v>2015</v>
      </c>
      <c r="K479" s="121" t="str">
        <f t="shared" si="84"/>
        <v/>
      </c>
      <c r="L479" s="121">
        <f t="shared" si="85"/>
        <v>8.0500000000000007</v>
      </c>
      <c r="M479" s="333" t="s">
        <v>1044</v>
      </c>
      <c r="N479" s="98"/>
      <c r="O479" s="98"/>
      <c r="P479" s="168" t="s">
        <v>783</v>
      </c>
      <c r="Q479" s="169" t="s">
        <v>957</v>
      </c>
      <c r="R479" s="37"/>
      <c r="S479" s="357"/>
      <c r="T479" s="23"/>
      <c r="U479" s="276"/>
      <c r="V479" s="35"/>
      <c r="W479" s="85"/>
      <c r="X479" s="121"/>
      <c r="Y479" s="121"/>
      <c r="Z479" s="122"/>
      <c r="AA479" s="123" t="str">
        <f t="shared" si="86"/>
        <v xml:space="preserve"> </v>
      </c>
      <c r="AB479" s="123" t="str">
        <f t="shared" si="87"/>
        <v xml:space="preserve"> </v>
      </c>
      <c r="AC479" s="120"/>
      <c r="AD479" s="39"/>
      <c r="AE479" s="39"/>
      <c r="AF479" s="39">
        <v>8.0500000000000007</v>
      </c>
      <c r="AG479" s="39"/>
      <c r="AH479" s="39">
        <f>AF479</f>
        <v>8.0500000000000007</v>
      </c>
      <c r="AI479" s="123">
        <f>IF(AH479&gt;0,$J479*AH479," ")</f>
        <v>16220.750000000002</v>
      </c>
      <c r="AJ479" s="123">
        <f>IF(AH479&gt;0,$J479," ")</f>
        <v>2015</v>
      </c>
      <c r="AK479" s="35"/>
      <c r="AL479" s="35"/>
      <c r="AM479" s="35"/>
      <c r="AN479" s="175"/>
      <c r="AO479" s="164"/>
      <c r="AU479" s="35"/>
    </row>
    <row r="480" spans="1:47" ht="12" customHeight="1" x14ac:dyDescent="0.2">
      <c r="A480" s="236"/>
      <c r="B480" s="184" t="s">
        <v>195</v>
      </c>
      <c r="C480" s="121"/>
      <c r="D480" s="167"/>
      <c r="E480" s="167"/>
      <c r="F480" s="169" t="s">
        <v>1130</v>
      </c>
      <c r="G480" s="315" t="s">
        <v>195</v>
      </c>
      <c r="H480" s="97" t="s">
        <v>798</v>
      </c>
      <c r="I480" s="166">
        <v>2006</v>
      </c>
      <c r="J480" s="167">
        <v>449</v>
      </c>
      <c r="K480" s="121">
        <f t="shared" si="84"/>
        <v>22.8</v>
      </c>
      <c r="L480" s="121" t="str">
        <f t="shared" si="85"/>
        <v/>
      </c>
      <c r="M480" s="333" t="s">
        <v>1044</v>
      </c>
      <c r="N480" s="98"/>
      <c r="O480" s="98"/>
      <c r="P480" s="168"/>
      <c r="Q480" s="169" t="s">
        <v>957</v>
      </c>
      <c r="R480" s="37"/>
      <c r="S480" s="357"/>
      <c r="T480" s="23"/>
      <c r="U480" s="276"/>
      <c r="V480" s="35"/>
      <c r="W480" s="85"/>
      <c r="X480" s="121"/>
      <c r="Y480" s="121">
        <v>22.8</v>
      </c>
      <c r="Z480" s="122">
        <f>Y480</f>
        <v>22.8</v>
      </c>
      <c r="AA480" s="123">
        <f t="shared" si="86"/>
        <v>10237.200000000001</v>
      </c>
      <c r="AB480" s="123">
        <f t="shared" si="87"/>
        <v>449</v>
      </c>
      <c r="AC480" s="120"/>
      <c r="AD480" s="39"/>
      <c r="AE480" s="39"/>
      <c r="AF480" s="39"/>
      <c r="AG480" s="39"/>
      <c r="AH480" s="39"/>
      <c r="AI480" s="123"/>
      <c r="AJ480" s="123"/>
      <c r="AK480" s="35"/>
      <c r="AL480" s="35"/>
      <c r="AM480" s="35"/>
      <c r="AN480" s="175"/>
      <c r="AO480" s="164"/>
      <c r="AU480" s="35"/>
    </row>
    <row r="481" spans="1:61" ht="12" customHeight="1" x14ac:dyDescent="0.2">
      <c r="A481" s="236"/>
      <c r="B481" s="184" t="s">
        <v>195</v>
      </c>
      <c r="C481" s="121"/>
      <c r="D481" s="167"/>
      <c r="E481" s="167"/>
      <c r="F481" s="169" t="s">
        <v>1130</v>
      </c>
      <c r="G481" s="315" t="s">
        <v>195</v>
      </c>
      <c r="H481" s="97" t="s">
        <v>14</v>
      </c>
      <c r="I481" s="166" t="s">
        <v>585</v>
      </c>
      <c r="J481" s="167">
        <v>10202</v>
      </c>
      <c r="K481" s="121">
        <f t="shared" si="84"/>
        <v>14.3</v>
      </c>
      <c r="L481" s="121" t="str">
        <f t="shared" si="85"/>
        <v/>
      </c>
      <c r="M481" s="333" t="s">
        <v>718</v>
      </c>
      <c r="N481" s="98" t="s">
        <v>17</v>
      </c>
      <c r="O481" s="98"/>
      <c r="P481" s="168"/>
      <c r="Q481" s="168" t="s">
        <v>985</v>
      </c>
      <c r="R481" s="37"/>
      <c r="S481" s="360"/>
      <c r="T481" s="23"/>
      <c r="U481" s="276" t="s">
        <v>584</v>
      </c>
      <c r="V481" s="35"/>
      <c r="W481" s="85"/>
      <c r="X481" s="121"/>
      <c r="Y481" s="121"/>
      <c r="Z481" s="122">
        <v>14.3</v>
      </c>
      <c r="AA481" s="123">
        <f t="shared" si="86"/>
        <v>145888.6</v>
      </c>
      <c r="AB481" s="123">
        <f t="shared" si="87"/>
        <v>10202</v>
      </c>
      <c r="AC481" s="120"/>
      <c r="AD481" s="39"/>
      <c r="AE481" s="39"/>
      <c r="AF481" s="39"/>
      <c r="AG481" s="39"/>
      <c r="AH481" s="39"/>
      <c r="AI481" s="123" t="str">
        <f t="shared" si="88"/>
        <v xml:space="preserve"> </v>
      </c>
      <c r="AJ481" s="123" t="str">
        <f t="shared" si="89"/>
        <v xml:space="preserve"> </v>
      </c>
      <c r="AK481" s="35"/>
      <c r="AL481" s="35"/>
      <c r="AM481" s="35"/>
      <c r="AN481" s="109" t="s">
        <v>615</v>
      </c>
      <c r="AU481" s="35"/>
    </row>
    <row r="482" spans="1:61" ht="12" customHeight="1" x14ac:dyDescent="0.2">
      <c r="A482" s="236"/>
      <c r="B482" s="184" t="s">
        <v>196</v>
      </c>
      <c r="C482" s="121"/>
      <c r="D482" s="167"/>
      <c r="E482" s="167"/>
      <c r="F482" s="169" t="s">
        <v>1125</v>
      </c>
      <c r="G482" s="315" t="s">
        <v>196</v>
      </c>
      <c r="H482" s="186" t="s">
        <v>946</v>
      </c>
      <c r="I482" s="166">
        <v>1990</v>
      </c>
      <c r="J482" s="167">
        <v>200</v>
      </c>
      <c r="K482" s="121">
        <f t="shared" si="84"/>
        <v>60</v>
      </c>
      <c r="L482" s="121" t="str">
        <f t="shared" si="85"/>
        <v/>
      </c>
      <c r="M482" s="336" t="s">
        <v>1062</v>
      </c>
      <c r="N482" s="237" t="s">
        <v>17</v>
      </c>
      <c r="O482" s="98"/>
      <c r="P482" s="168"/>
      <c r="Q482" s="168" t="s">
        <v>524</v>
      </c>
      <c r="R482" s="37"/>
      <c r="S482" s="357"/>
      <c r="T482" s="23"/>
      <c r="U482" s="126" t="s">
        <v>533</v>
      </c>
      <c r="V482" s="23"/>
      <c r="W482" s="87"/>
      <c r="X482" s="121"/>
      <c r="Y482" s="121"/>
      <c r="Z482" s="122">
        <v>60</v>
      </c>
      <c r="AA482" s="123">
        <f t="shared" si="86"/>
        <v>12000</v>
      </c>
      <c r="AB482" s="123">
        <f t="shared" si="87"/>
        <v>200</v>
      </c>
      <c r="AC482" s="120"/>
      <c r="AD482" s="39"/>
      <c r="AE482" s="39"/>
      <c r="AF482" s="39"/>
      <c r="AG482" s="39"/>
      <c r="AH482" s="39"/>
      <c r="AI482" s="123" t="str">
        <f t="shared" si="88"/>
        <v xml:space="preserve"> </v>
      </c>
      <c r="AJ482" s="123" t="str">
        <f t="shared" si="89"/>
        <v xml:space="preserve"> </v>
      </c>
      <c r="AK482" s="35"/>
      <c r="AL482" s="35"/>
      <c r="AM482" s="35"/>
      <c r="AN482" s="135"/>
      <c r="AU482" s="128"/>
    </row>
    <row r="483" spans="1:61" ht="12" customHeight="1" x14ac:dyDescent="0.2">
      <c r="A483" s="236"/>
      <c r="B483" s="184" t="s">
        <v>196</v>
      </c>
      <c r="C483" s="121"/>
      <c r="D483" s="167"/>
      <c r="E483" s="167"/>
      <c r="F483" s="279" t="s">
        <v>1125</v>
      </c>
      <c r="G483" s="315" t="s">
        <v>196</v>
      </c>
      <c r="H483" s="186" t="s">
        <v>511</v>
      </c>
      <c r="I483" s="166">
        <v>2001</v>
      </c>
      <c r="J483" s="167">
        <v>417</v>
      </c>
      <c r="K483" s="121">
        <f t="shared" si="84"/>
        <v>30</v>
      </c>
      <c r="L483" s="121">
        <f t="shared" si="85"/>
        <v>22</v>
      </c>
      <c r="M483" s="333" t="s">
        <v>720</v>
      </c>
      <c r="N483" s="237" t="s">
        <v>18</v>
      </c>
      <c r="O483" s="237" t="s">
        <v>21</v>
      </c>
      <c r="P483" s="168"/>
      <c r="Q483" s="279" t="s">
        <v>986</v>
      </c>
      <c r="R483" s="37"/>
      <c r="S483" s="357"/>
      <c r="T483" s="23"/>
      <c r="U483" s="271" t="s">
        <v>719</v>
      </c>
      <c r="V483" s="35"/>
      <c r="W483" s="85"/>
      <c r="X483" s="121"/>
      <c r="Y483" s="121"/>
      <c r="Z483" s="122">
        <v>30</v>
      </c>
      <c r="AA483" s="123">
        <f t="shared" si="86"/>
        <v>12510</v>
      </c>
      <c r="AB483" s="123">
        <f t="shared" si="87"/>
        <v>417</v>
      </c>
      <c r="AC483" s="120"/>
      <c r="AD483" s="39"/>
      <c r="AE483" s="39"/>
      <c r="AF483" s="39"/>
      <c r="AG483" s="39"/>
      <c r="AH483" s="39">
        <v>22</v>
      </c>
      <c r="AI483" s="123">
        <f t="shared" si="88"/>
        <v>9174</v>
      </c>
      <c r="AJ483" s="123">
        <f t="shared" si="89"/>
        <v>417</v>
      </c>
      <c r="AK483" s="35"/>
      <c r="AL483" s="35"/>
      <c r="AM483" s="35"/>
      <c r="AN483" s="131" t="s">
        <v>581</v>
      </c>
      <c r="AU483" s="35"/>
    </row>
    <row r="484" spans="1:61" ht="12" customHeight="1" x14ac:dyDescent="0.2">
      <c r="A484" s="236"/>
      <c r="B484" s="184" t="s">
        <v>196</v>
      </c>
      <c r="C484" s="121"/>
      <c r="D484" s="167"/>
      <c r="E484" s="167"/>
      <c r="F484" s="279" t="s">
        <v>1125</v>
      </c>
      <c r="G484" s="315" t="s">
        <v>196</v>
      </c>
      <c r="H484" s="186" t="s">
        <v>512</v>
      </c>
      <c r="I484" s="166">
        <v>2004</v>
      </c>
      <c r="J484" s="167">
        <v>1200</v>
      </c>
      <c r="K484" s="121">
        <f t="shared" si="84"/>
        <v>18.3</v>
      </c>
      <c r="L484" s="121">
        <f t="shared" si="85"/>
        <v>10.6</v>
      </c>
      <c r="M484" s="333" t="s">
        <v>720</v>
      </c>
      <c r="N484" s="237" t="s">
        <v>78</v>
      </c>
      <c r="O484" s="237" t="s">
        <v>19</v>
      </c>
      <c r="P484" s="168"/>
      <c r="Q484" s="279" t="s">
        <v>986</v>
      </c>
      <c r="R484" s="37"/>
      <c r="S484" s="357"/>
      <c r="T484" s="23"/>
      <c r="U484" s="271" t="s">
        <v>719</v>
      </c>
      <c r="V484" s="35"/>
      <c r="W484" s="85"/>
      <c r="X484" s="121"/>
      <c r="Y484" s="121"/>
      <c r="Z484" s="122">
        <v>18.3</v>
      </c>
      <c r="AA484" s="123">
        <f t="shared" si="86"/>
        <v>21960</v>
      </c>
      <c r="AB484" s="123">
        <f t="shared" si="87"/>
        <v>1200</v>
      </c>
      <c r="AC484" s="120"/>
      <c r="AD484" s="39">
        <v>10.6</v>
      </c>
      <c r="AE484" s="39"/>
      <c r="AF484" s="39"/>
      <c r="AG484" s="39"/>
      <c r="AH484" s="39">
        <v>10.6</v>
      </c>
      <c r="AI484" s="123">
        <f t="shared" si="88"/>
        <v>12720</v>
      </c>
      <c r="AJ484" s="123">
        <f t="shared" si="89"/>
        <v>1200</v>
      </c>
      <c r="AK484" s="35"/>
      <c r="AL484" s="35"/>
      <c r="AM484" s="35"/>
      <c r="AN484" s="129" t="s">
        <v>581</v>
      </c>
      <c r="AU484" s="35"/>
    </row>
    <row r="485" spans="1:61" ht="12" customHeight="1" x14ac:dyDescent="0.2">
      <c r="A485" s="236"/>
      <c r="B485" s="184" t="s">
        <v>197</v>
      </c>
      <c r="C485" s="121"/>
      <c r="D485" s="167"/>
      <c r="E485" s="167"/>
      <c r="F485" s="278" t="s">
        <v>1131</v>
      </c>
      <c r="G485" s="315" t="s">
        <v>197</v>
      </c>
      <c r="H485" s="186" t="s">
        <v>583</v>
      </c>
      <c r="I485" s="166" t="s">
        <v>30</v>
      </c>
      <c r="J485" s="167">
        <v>394</v>
      </c>
      <c r="K485" s="121">
        <f t="shared" si="84"/>
        <v>41.6243654822335</v>
      </c>
      <c r="L485" s="121" t="str">
        <f t="shared" si="85"/>
        <v/>
      </c>
      <c r="M485" s="333" t="s">
        <v>697</v>
      </c>
      <c r="N485" s="237" t="s">
        <v>18</v>
      </c>
      <c r="O485" s="237"/>
      <c r="P485" s="168"/>
      <c r="Q485" s="278" t="s">
        <v>987</v>
      </c>
      <c r="R485" s="37"/>
      <c r="S485" s="360"/>
      <c r="T485" s="23"/>
      <c r="U485" s="35" t="s">
        <v>582</v>
      </c>
      <c r="V485" s="35"/>
      <c r="W485" s="85"/>
      <c r="X485" s="122">
        <f>100*164/394</f>
        <v>41.6243654822335</v>
      </c>
      <c r="Y485" s="121"/>
      <c r="Z485" s="122">
        <f>X485</f>
        <v>41.6243654822335</v>
      </c>
      <c r="AA485" s="123">
        <f t="shared" si="86"/>
        <v>16400</v>
      </c>
      <c r="AB485" s="123">
        <f t="shared" si="87"/>
        <v>394</v>
      </c>
      <c r="AC485" s="120"/>
      <c r="AD485" s="39"/>
      <c r="AE485" s="39"/>
      <c r="AF485" s="39"/>
      <c r="AG485" s="39"/>
      <c r="AH485" s="39"/>
      <c r="AI485" s="123" t="str">
        <f t="shared" si="88"/>
        <v xml:space="preserve"> </v>
      </c>
      <c r="AJ485" s="123" t="str">
        <f t="shared" si="89"/>
        <v xml:space="preserve"> </v>
      </c>
      <c r="AK485" s="35"/>
      <c r="AL485" s="35"/>
      <c r="AM485" s="35"/>
      <c r="AN485" s="107" t="s">
        <v>616</v>
      </c>
      <c r="AU485" s="35"/>
    </row>
    <row r="486" spans="1:61" ht="12" customHeight="1" x14ac:dyDescent="0.2">
      <c r="A486" s="236"/>
      <c r="B486" s="184" t="s">
        <v>413</v>
      </c>
      <c r="C486" s="121"/>
      <c r="D486" s="167"/>
      <c r="E486" s="167"/>
      <c r="F486" s="169" t="s">
        <v>1131</v>
      </c>
      <c r="G486" s="315" t="s">
        <v>413</v>
      </c>
      <c r="H486" s="186" t="s">
        <v>14</v>
      </c>
      <c r="I486" s="166">
        <v>2002</v>
      </c>
      <c r="J486" s="167">
        <f>1034+88</f>
        <v>1122</v>
      </c>
      <c r="K486" s="121" t="str">
        <f t="shared" si="84"/>
        <v/>
      </c>
      <c r="L486" s="121">
        <f t="shared" si="85"/>
        <v>21.373307543520308</v>
      </c>
      <c r="M486" s="337" t="s">
        <v>1046</v>
      </c>
      <c r="N486" s="237" t="s">
        <v>17</v>
      </c>
      <c r="O486" s="237" t="s">
        <v>577</v>
      </c>
      <c r="P486" s="169" t="s">
        <v>578</v>
      </c>
      <c r="Q486" s="169" t="s">
        <v>576</v>
      </c>
      <c r="R486" s="37"/>
      <c r="S486" s="36"/>
      <c r="T486" s="23"/>
      <c r="U486" s="35"/>
      <c r="V486" s="35"/>
      <c r="W486" s="85"/>
      <c r="X486" s="121"/>
      <c r="Y486" s="121"/>
      <c r="Z486" s="122"/>
      <c r="AA486" s="123" t="str">
        <f t="shared" si="86"/>
        <v xml:space="preserve"> </v>
      </c>
      <c r="AB486" s="123" t="str">
        <f t="shared" si="87"/>
        <v xml:space="preserve"> </v>
      </c>
      <c r="AC486" s="120"/>
      <c r="AD486" s="39"/>
      <c r="AE486" s="39"/>
      <c r="AF486" s="39">
        <f>100*221/1034</f>
        <v>21.373307543520308</v>
      </c>
      <c r="AG486" s="39"/>
      <c r="AH486" s="39">
        <f>AF486</f>
        <v>21.373307543520308</v>
      </c>
      <c r="AI486" s="123">
        <f t="shared" si="88"/>
        <v>23980.851063829785</v>
      </c>
      <c r="AJ486" s="123">
        <f t="shared" si="89"/>
        <v>1122</v>
      </c>
      <c r="AK486" s="35"/>
      <c r="AL486" s="35"/>
      <c r="AM486" s="35"/>
      <c r="AU486" s="35"/>
    </row>
    <row r="487" spans="1:61" ht="12" customHeight="1" x14ac:dyDescent="0.2">
      <c r="A487" s="236"/>
      <c r="B487" s="184" t="s">
        <v>96</v>
      </c>
      <c r="C487" s="121"/>
      <c r="D487" s="167"/>
      <c r="E487" s="167"/>
      <c r="F487" s="169" t="s">
        <v>1130</v>
      </c>
      <c r="G487" s="315" t="s">
        <v>96</v>
      </c>
      <c r="H487" s="97" t="s">
        <v>14</v>
      </c>
      <c r="I487" s="166">
        <v>2000</v>
      </c>
      <c r="J487" s="167">
        <v>5868</v>
      </c>
      <c r="K487" s="121">
        <f t="shared" si="84"/>
        <v>18</v>
      </c>
      <c r="L487" s="121">
        <f t="shared" si="85"/>
        <v>4</v>
      </c>
      <c r="M487" s="72" t="s">
        <v>1063</v>
      </c>
      <c r="N487" s="98" t="s">
        <v>15</v>
      </c>
      <c r="O487" s="98" t="s">
        <v>106</v>
      </c>
      <c r="P487" s="168" t="s">
        <v>258</v>
      </c>
      <c r="Q487" s="168" t="s">
        <v>219</v>
      </c>
      <c r="R487" s="37"/>
      <c r="S487" s="36"/>
      <c r="T487" s="23"/>
      <c r="U487" s="35"/>
      <c r="V487" s="271" t="s">
        <v>767</v>
      </c>
      <c r="W487" s="85"/>
      <c r="X487" s="121"/>
      <c r="Y487" s="121"/>
      <c r="Z487" s="122">
        <v>18</v>
      </c>
      <c r="AA487" s="123">
        <f t="shared" si="86"/>
        <v>105624</v>
      </c>
      <c r="AB487" s="123">
        <f t="shared" si="87"/>
        <v>5868</v>
      </c>
      <c r="AC487" s="120"/>
      <c r="AD487" s="39">
        <v>4</v>
      </c>
      <c r="AE487" s="39"/>
      <c r="AF487" s="39"/>
      <c r="AG487" s="39"/>
      <c r="AH487" s="39">
        <v>4</v>
      </c>
      <c r="AI487" s="123">
        <f t="shared" si="88"/>
        <v>23472</v>
      </c>
      <c r="AJ487" s="123">
        <f t="shared" si="89"/>
        <v>5868</v>
      </c>
      <c r="AK487" s="35"/>
      <c r="AL487" s="35"/>
      <c r="AM487" s="35"/>
      <c r="AU487" s="35"/>
    </row>
    <row r="488" spans="1:61" ht="12" customHeight="1" x14ac:dyDescent="0.2">
      <c r="A488" s="236"/>
      <c r="B488" s="184" t="s">
        <v>96</v>
      </c>
      <c r="C488" s="121"/>
      <c r="D488" s="167"/>
      <c r="E488" s="167"/>
      <c r="F488" s="169" t="s">
        <v>1130</v>
      </c>
      <c r="G488" s="315" t="s">
        <v>96</v>
      </c>
      <c r="H488" s="97" t="s">
        <v>851</v>
      </c>
      <c r="I488" s="166">
        <v>2000</v>
      </c>
      <c r="J488" s="167">
        <v>207</v>
      </c>
      <c r="K488" s="121" t="str">
        <f t="shared" si="84"/>
        <v/>
      </c>
      <c r="L488" s="121">
        <f t="shared" si="85"/>
        <v>6</v>
      </c>
      <c r="M488" s="333" t="s">
        <v>1044</v>
      </c>
      <c r="N488" s="98"/>
      <c r="O488" s="98"/>
      <c r="P488" s="168" t="s">
        <v>861</v>
      </c>
      <c r="Q488" s="169" t="s">
        <v>957</v>
      </c>
      <c r="R488" s="37"/>
      <c r="S488" s="36"/>
      <c r="T488" s="23"/>
      <c r="U488" s="35"/>
      <c r="V488" s="271"/>
      <c r="W488" s="85"/>
      <c r="X488" s="121"/>
      <c r="Y488" s="121"/>
      <c r="Z488" s="122"/>
      <c r="AA488" s="123"/>
      <c r="AB488" s="123"/>
      <c r="AC488" s="120"/>
      <c r="AD488" s="39"/>
      <c r="AE488" s="39"/>
      <c r="AF488" s="39">
        <v>6</v>
      </c>
      <c r="AG488" s="39"/>
      <c r="AH488" s="39">
        <f>AF488</f>
        <v>6</v>
      </c>
      <c r="AI488" s="123">
        <f>IF(AH488&gt;0,$J488*AH488," ")</f>
        <v>1242</v>
      </c>
      <c r="AJ488" s="123">
        <f>IF(AH488&gt;0,$J488," ")</f>
        <v>207</v>
      </c>
      <c r="AK488" s="35"/>
      <c r="AL488" s="35"/>
      <c r="AM488" s="35"/>
      <c r="AU488" s="35"/>
    </row>
    <row r="489" spans="1:61" ht="12" customHeight="1" x14ac:dyDescent="0.2">
      <c r="A489" s="236"/>
      <c r="B489" s="184" t="s">
        <v>96</v>
      </c>
      <c r="C489" s="121"/>
      <c r="D489" s="167"/>
      <c r="E489" s="167"/>
      <c r="F489" s="169" t="s">
        <v>1130</v>
      </c>
      <c r="G489" s="315" t="s">
        <v>96</v>
      </c>
      <c r="H489" s="98"/>
      <c r="I489" s="166">
        <v>2003</v>
      </c>
      <c r="J489" s="167">
        <v>1168</v>
      </c>
      <c r="K489" s="121">
        <f t="shared" si="84"/>
        <v>36.4</v>
      </c>
      <c r="L489" s="121" t="str">
        <f t="shared" si="85"/>
        <v/>
      </c>
      <c r="M489" s="333" t="s">
        <v>1044</v>
      </c>
      <c r="N489" s="98"/>
      <c r="O489" s="98"/>
      <c r="P489" s="168" t="s">
        <v>795</v>
      </c>
      <c r="Q489" s="169" t="s">
        <v>957</v>
      </c>
      <c r="R489" s="37"/>
      <c r="S489" s="36"/>
      <c r="T489" s="23"/>
      <c r="U489" s="35"/>
      <c r="V489" s="271"/>
      <c r="W489" s="85"/>
      <c r="X489" s="121">
        <v>36.4</v>
      </c>
      <c r="Y489" s="121"/>
      <c r="Z489" s="122">
        <f>X489</f>
        <v>36.4</v>
      </c>
      <c r="AA489" s="123">
        <f t="shared" si="86"/>
        <v>42515.199999999997</v>
      </c>
      <c r="AB489" s="123">
        <f t="shared" si="87"/>
        <v>1168</v>
      </c>
      <c r="AC489" s="120"/>
      <c r="AD489" s="39"/>
      <c r="AE489" s="39"/>
      <c r="AF489" s="39"/>
      <c r="AG489" s="39"/>
      <c r="AH489" s="39"/>
      <c r="AI489" s="123" t="str">
        <f t="shared" si="88"/>
        <v xml:space="preserve"> </v>
      </c>
      <c r="AJ489" s="123" t="str">
        <f t="shared" si="89"/>
        <v xml:space="preserve"> </v>
      </c>
      <c r="AK489" s="35"/>
      <c r="AL489" s="35"/>
      <c r="AM489" s="35"/>
      <c r="AU489" s="35"/>
    </row>
    <row r="490" spans="1:61" ht="12" customHeight="1" x14ac:dyDescent="0.2">
      <c r="A490" s="236"/>
      <c r="B490" s="184" t="s">
        <v>96</v>
      </c>
      <c r="C490" s="121"/>
      <c r="D490" s="167"/>
      <c r="E490" s="167"/>
      <c r="F490" s="169" t="s">
        <v>1130</v>
      </c>
      <c r="G490" s="315" t="s">
        <v>96</v>
      </c>
      <c r="H490" s="97" t="s">
        <v>851</v>
      </c>
      <c r="I490" s="166">
        <v>2004</v>
      </c>
      <c r="J490" s="167">
        <v>2439</v>
      </c>
      <c r="K490" s="121">
        <f t="shared" si="84"/>
        <v>32.1</v>
      </c>
      <c r="L490" s="121" t="str">
        <f t="shared" si="85"/>
        <v/>
      </c>
      <c r="M490" s="333" t="s">
        <v>1044</v>
      </c>
      <c r="N490" s="98"/>
      <c r="O490" s="98"/>
      <c r="P490" s="168" t="s">
        <v>795</v>
      </c>
      <c r="Q490" s="169" t="s">
        <v>957</v>
      </c>
      <c r="R490" s="37"/>
      <c r="S490" s="36"/>
      <c r="T490" s="23"/>
      <c r="U490" s="35"/>
      <c r="V490" s="271"/>
      <c r="W490" s="85"/>
      <c r="X490" s="121">
        <v>32.1</v>
      </c>
      <c r="Y490" s="121"/>
      <c r="Z490" s="122">
        <f>X490</f>
        <v>32.1</v>
      </c>
      <c r="AA490" s="123">
        <f t="shared" si="86"/>
        <v>78291.900000000009</v>
      </c>
      <c r="AB490" s="123">
        <f t="shared" si="87"/>
        <v>2439</v>
      </c>
      <c r="AC490" s="120"/>
      <c r="AD490" s="39"/>
      <c r="AE490" s="39"/>
      <c r="AF490" s="39"/>
      <c r="AG490" s="39"/>
      <c r="AH490" s="39"/>
      <c r="AI490" s="123" t="str">
        <f t="shared" si="88"/>
        <v xml:space="preserve"> </v>
      </c>
      <c r="AJ490" s="123" t="str">
        <f t="shared" si="89"/>
        <v xml:space="preserve"> </v>
      </c>
      <c r="AK490" s="35"/>
      <c r="AL490" s="35"/>
      <c r="AM490" s="35"/>
      <c r="AU490" s="35"/>
    </row>
    <row r="491" spans="1:61" ht="12" customHeight="1" x14ac:dyDescent="0.2">
      <c r="A491" s="236"/>
      <c r="B491" s="184" t="s">
        <v>97</v>
      </c>
      <c r="C491" s="121"/>
      <c r="D491" s="167"/>
      <c r="E491" s="167"/>
      <c r="F491" s="169" t="s">
        <v>1130</v>
      </c>
      <c r="G491" s="315" t="s">
        <v>97</v>
      </c>
      <c r="H491" s="97" t="s">
        <v>14</v>
      </c>
      <c r="I491" s="166">
        <v>2003</v>
      </c>
      <c r="J491" s="167">
        <v>1882</v>
      </c>
      <c r="K491" s="121">
        <f t="shared" si="84"/>
        <v>9</v>
      </c>
      <c r="L491" s="121">
        <f t="shared" si="85"/>
        <v>1</v>
      </c>
      <c r="M491" s="335" t="s">
        <v>659</v>
      </c>
      <c r="N491" s="98" t="s">
        <v>15</v>
      </c>
      <c r="O491" s="237" t="s">
        <v>250</v>
      </c>
      <c r="P491" s="168" t="s">
        <v>258</v>
      </c>
      <c r="Q491" s="169" t="s">
        <v>553</v>
      </c>
      <c r="R491" s="37"/>
      <c r="S491" s="36"/>
      <c r="T491" s="23"/>
      <c r="U491" s="35"/>
      <c r="V491" s="35"/>
      <c r="W491" s="85"/>
      <c r="X491" s="121">
        <v>9</v>
      </c>
      <c r="Y491" s="121">
        <v>10</v>
      </c>
      <c r="Z491" s="122">
        <f>X491</f>
        <v>9</v>
      </c>
      <c r="AA491" s="123">
        <f t="shared" si="86"/>
        <v>16938</v>
      </c>
      <c r="AB491" s="123">
        <f t="shared" si="87"/>
        <v>1882</v>
      </c>
      <c r="AC491" s="120"/>
      <c r="AD491" s="39"/>
      <c r="AE491" s="39"/>
      <c r="AF491" s="39">
        <v>0</v>
      </c>
      <c r="AG491" s="39">
        <v>1</v>
      </c>
      <c r="AH491" s="39">
        <f>AG491</f>
        <v>1</v>
      </c>
      <c r="AI491" s="123">
        <f t="shared" si="88"/>
        <v>1882</v>
      </c>
      <c r="AJ491" s="123">
        <f t="shared" si="89"/>
        <v>1882</v>
      </c>
      <c r="AK491" s="35"/>
      <c r="AL491" s="35"/>
      <c r="AM491" s="35"/>
      <c r="AU491" s="35"/>
    </row>
    <row r="492" spans="1:61" ht="12" customHeight="1" x14ac:dyDescent="0.2">
      <c r="A492" s="236"/>
      <c r="B492" s="184" t="s">
        <v>97</v>
      </c>
      <c r="C492" s="121"/>
      <c r="D492" s="167"/>
      <c r="E492" s="167"/>
      <c r="F492" s="169" t="s">
        <v>1130</v>
      </c>
      <c r="G492" s="315" t="s">
        <v>97</v>
      </c>
      <c r="H492" s="97" t="s">
        <v>14</v>
      </c>
      <c r="I492" s="166" t="s">
        <v>100</v>
      </c>
      <c r="J492" s="167">
        <v>1500</v>
      </c>
      <c r="K492" s="121">
        <f t="shared" si="84"/>
        <v>13</v>
      </c>
      <c r="L492" s="121">
        <f t="shared" si="85"/>
        <v>6</v>
      </c>
      <c r="M492" s="72" t="s">
        <v>1063</v>
      </c>
      <c r="N492" s="98" t="s">
        <v>18</v>
      </c>
      <c r="O492" s="98" t="s">
        <v>104</v>
      </c>
      <c r="P492" s="168"/>
      <c r="Q492" s="168" t="s">
        <v>219</v>
      </c>
      <c r="R492" s="37"/>
      <c r="S492" s="36"/>
      <c r="T492" s="23"/>
      <c r="U492" s="35"/>
      <c r="V492" s="35"/>
      <c r="W492" s="85"/>
      <c r="X492" s="121">
        <v>13</v>
      </c>
      <c r="Y492" s="121">
        <v>21</v>
      </c>
      <c r="Z492" s="122">
        <f>X492</f>
        <v>13</v>
      </c>
      <c r="AA492" s="123">
        <f t="shared" si="86"/>
        <v>19500</v>
      </c>
      <c r="AB492" s="123">
        <f t="shared" si="87"/>
        <v>1500</v>
      </c>
      <c r="AC492" s="120"/>
      <c r="AD492" s="39"/>
      <c r="AE492" s="39">
        <v>6</v>
      </c>
      <c r="AF492" s="39"/>
      <c r="AG492" s="39"/>
      <c r="AH492" s="39">
        <v>6</v>
      </c>
      <c r="AI492" s="123">
        <f t="shared" si="88"/>
        <v>9000</v>
      </c>
      <c r="AJ492" s="123">
        <f t="shared" si="89"/>
        <v>1500</v>
      </c>
      <c r="AK492" s="35"/>
      <c r="AL492" s="35"/>
      <c r="AM492" s="35"/>
      <c r="AU492" s="35"/>
    </row>
    <row r="493" spans="1:61" ht="12" customHeight="1" x14ac:dyDescent="0.2">
      <c r="A493" s="236"/>
      <c r="B493" s="184" t="s">
        <v>198</v>
      </c>
      <c r="C493" s="121"/>
      <c r="D493" s="167"/>
      <c r="E493" s="167"/>
      <c r="F493" s="169" t="s">
        <v>1125</v>
      </c>
      <c r="G493" s="315" t="s">
        <v>198</v>
      </c>
      <c r="H493" s="97"/>
      <c r="I493" s="166">
        <v>2003</v>
      </c>
      <c r="J493" s="167">
        <v>411</v>
      </c>
      <c r="K493" s="121">
        <f t="shared" si="84"/>
        <v>23.1</v>
      </c>
      <c r="L493" s="121" t="str">
        <f t="shared" si="85"/>
        <v/>
      </c>
      <c r="M493" s="333" t="s">
        <v>748</v>
      </c>
      <c r="N493" s="98" t="s">
        <v>17</v>
      </c>
      <c r="O493" s="98" t="s">
        <v>545</v>
      </c>
      <c r="P493" s="168"/>
      <c r="Q493" s="169" t="s">
        <v>969</v>
      </c>
      <c r="R493" s="124"/>
      <c r="S493" s="36"/>
      <c r="T493" s="23"/>
      <c r="U493" s="271" t="s">
        <v>749</v>
      </c>
      <c r="V493" s="273" t="s">
        <v>547</v>
      </c>
      <c r="W493" s="85"/>
      <c r="X493" s="121"/>
      <c r="Y493" s="121"/>
      <c r="Z493" s="122">
        <v>23.1</v>
      </c>
      <c r="AA493" s="123">
        <f t="shared" si="86"/>
        <v>9494.1</v>
      </c>
      <c r="AB493" s="123">
        <f t="shared" si="87"/>
        <v>411</v>
      </c>
      <c r="AC493" s="120"/>
      <c r="AD493" s="39"/>
      <c r="AE493" s="39"/>
      <c r="AF493" s="39"/>
      <c r="AG493" s="39"/>
      <c r="AH493" s="39"/>
      <c r="AI493" s="123" t="str">
        <f t="shared" si="88"/>
        <v xml:space="preserve"> </v>
      </c>
      <c r="AJ493" s="123" t="str">
        <f t="shared" si="89"/>
        <v xml:space="preserve"> </v>
      </c>
      <c r="AK493" s="35"/>
      <c r="AL493" s="35"/>
      <c r="AM493" s="35"/>
      <c r="AU493" s="128"/>
    </row>
    <row r="494" spans="1:61" ht="12" customHeight="1" x14ac:dyDescent="0.2">
      <c r="A494" s="236"/>
      <c r="B494" s="184" t="s">
        <v>198</v>
      </c>
      <c r="C494" s="121"/>
      <c r="D494" s="167"/>
      <c r="E494" s="167"/>
      <c r="F494" s="169" t="s">
        <v>1125</v>
      </c>
      <c r="G494" s="315" t="s">
        <v>198</v>
      </c>
      <c r="H494" s="186" t="s">
        <v>14</v>
      </c>
      <c r="I494" s="166">
        <v>2005</v>
      </c>
      <c r="J494" s="167">
        <v>1891</v>
      </c>
      <c r="K494" s="121">
        <f t="shared" si="84"/>
        <v>19.7</v>
      </c>
      <c r="L494" s="121" t="str">
        <f t="shared" si="85"/>
        <v/>
      </c>
      <c r="M494" s="352" t="s">
        <v>1104</v>
      </c>
      <c r="N494" s="237" t="s">
        <v>17</v>
      </c>
      <c r="O494" s="98"/>
      <c r="P494" s="168"/>
      <c r="Q494" s="168" t="s">
        <v>747</v>
      </c>
      <c r="R494" s="37"/>
      <c r="S494" s="36"/>
      <c r="T494" s="23"/>
      <c r="U494" s="126" t="s">
        <v>601</v>
      </c>
      <c r="V494" s="126" t="s">
        <v>599</v>
      </c>
      <c r="W494" s="158"/>
      <c r="X494" s="121"/>
      <c r="Y494" s="121"/>
      <c r="Z494" s="122">
        <v>19.7</v>
      </c>
      <c r="AA494" s="123">
        <f t="shared" si="86"/>
        <v>37252.699999999997</v>
      </c>
      <c r="AB494" s="123">
        <f t="shared" si="87"/>
        <v>1891</v>
      </c>
      <c r="AC494" s="120"/>
      <c r="AD494" s="39"/>
      <c r="AE494" s="39"/>
      <c r="AF494" s="39"/>
      <c r="AG494" s="39"/>
      <c r="AH494" s="39"/>
      <c r="AI494" s="123" t="str">
        <f t="shared" si="88"/>
        <v xml:space="preserve"> </v>
      </c>
      <c r="AJ494" s="123" t="str">
        <f t="shared" si="89"/>
        <v xml:space="preserve"> </v>
      </c>
      <c r="AK494" s="35"/>
      <c r="AL494" s="35"/>
      <c r="AM494" s="35"/>
      <c r="AU494" s="35"/>
    </row>
    <row r="495" spans="1:61" s="102" customFormat="1" ht="12" customHeight="1" x14ac:dyDescent="0.2">
      <c r="A495" s="236"/>
      <c r="B495" s="184" t="s">
        <v>320</v>
      </c>
      <c r="C495" s="121"/>
      <c r="D495" s="167"/>
      <c r="E495" s="167"/>
      <c r="F495" s="169" t="s">
        <v>1125</v>
      </c>
      <c r="G495" s="315" t="s">
        <v>320</v>
      </c>
      <c r="H495" s="186" t="s">
        <v>14</v>
      </c>
      <c r="I495" s="166">
        <v>2000</v>
      </c>
      <c r="J495" s="167">
        <f>J496</f>
        <v>400</v>
      </c>
      <c r="K495" s="121">
        <f t="shared" si="84"/>
        <v>50</v>
      </c>
      <c r="L495" s="121" t="str">
        <f t="shared" si="85"/>
        <v/>
      </c>
      <c r="M495" s="333" t="s">
        <v>1047</v>
      </c>
      <c r="N495" s="237" t="s">
        <v>17</v>
      </c>
      <c r="O495" s="98"/>
      <c r="P495" s="168"/>
      <c r="Q495" s="169" t="s">
        <v>958</v>
      </c>
      <c r="S495" s="357"/>
      <c r="T495" s="23"/>
      <c r="U495" s="35"/>
      <c r="V495" s="35"/>
      <c r="W495" s="85"/>
      <c r="X495" s="121"/>
      <c r="Y495" s="121"/>
      <c r="Z495" s="122">
        <v>50</v>
      </c>
      <c r="AA495" s="123">
        <f t="shared" si="86"/>
        <v>20000</v>
      </c>
      <c r="AB495" s="123">
        <f t="shared" si="87"/>
        <v>400</v>
      </c>
      <c r="AC495" s="120"/>
      <c r="AD495" s="39"/>
      <c r="AE495" s="39"/>
      <c r="AF495" s="39"/>
      <c r="AG495" s="39"/>
      <c r="AH495" s="39"/>
      <c r="AI495" s="123" t="str">
        <f t="shared" si="88"/>
        <v xml:space="preserve"> </v>
      </c>
      <c r="AJ495" s="123" t="str">
        <f t="shared" si="89"/>
        <v xml:space="preserve"> </v>
      </c>
      <c r="AK495" s="35"/>
      <c r="AL495" s="35"/>
      <c r="AM495" s="35"/>
      <c r="AP495" s="241"/>
      <c r="AS495"/>
      <c r="AT495"/>
      <c r="AU495" s="35"/>
      <c r="AV495"/>
      <c r="AW495"/>
      <c r="AX495"/>
      <c r="AY495"/>
      <c r="AZ495"/>
      <c r="BA495"/>
      <c r="BB495"/>
      <c r="BC495"/>
      <c r="BD495"/>
      <c r="BE495"/>
      <c r="BF495"/>
      <c r="BG495"/>
      <c r="BH495"/>
      <c r="BI495"/>
    </row>
    <row r="496" spans="1:61" s="102" customFormat="1" ht="12" customHeight="1" x14ac:dyDescent="0.2">
      <c r="A496" s="236"/>
      <c r="B496" s="184" t="s">
        <v>320</v>
      </c>
      <c r="C496" s="121"/>
      <c r="D496" s="167"/>
      <c r="E496" s="167"/>
      <c r="F496" s="169" t="s">
        <v>1125</v>
      </c>
      <c r="G496" s="315" t="s">
        <v>320</v>
      </c>
      <c r="H496" s="97" t="s">
        <v>321</v>
      </c>
      <c r="I496" s="166">
        <v>2005</v>
      </c>
      <c r="J496" s="167">
        <v>400</v>
      </c>
      <c r="K496" s="121">
        <f t="shared" si="84"/>
        <v>36</v>
      </c>
      <c r="L496" s="121">
        <f t="shared" si="85"/>
        <v>19</v>
      </c>
      <c r="M496" s="2" t="s">
        <v>1086</v>
      </c>
      <c r="N496" s="98" t="s">
        <v>17</v>
      </c>
      <c r="O496" s="98" t="s">
        <v>322</v>
      </c>
      <c r="P496" s="168"/>
      <c r="Q496" s="168" t="s">
        <v>329</v>
      </c>
      <c r="R496" s="175"/>
      <c r="S496" s="357"/>
      <c r="T496" s="23" t="s">
        <v>319</v>
      </c>
      <c r="U496" s="35" t="s">
        <v>323</v>
      </c>
      <c r="V496" s="35"/>
      <c r="W496" s="85"/>
      <c r="X496" s="121"/>
      <c r="Y496" s="121"/>
      <c r="Z496" s="122">
        <v>36</v>
      </c>
      <c r="AA496" s="123">
        <f t="shared" si="86"/>
        <v>14400</v>
      </c>
      <c r="AB496" s="123">
        <f t="shared" si="87"/>
        <v>400</v>
      </c>
      <c r="AC496" s="120"/>
      <c r="AD496" s="39"/>
      <c r="AE496" s="39"/>
      <c r="AF496" s="39"/>
      <c r="AG496" s="39"/>
      <c r="AH496" s="39">
        <v>19</v>
      </c>
      <c r="AI496" s="123">
        <f t="shared" si="88"/>
        <v>7600</v>
      </c>
      <c r="AJ496" s="123">
        <f t="shared" si="89"/>
        <v>400</v>
      </c>
      <c r="AK496" s="35"/>
      <c r="AL496" s="35"/>
      <c r="AM496" s="35"/>
      <c r="AP496" s="241"/>
      <c r="AS496"/>
      <c r="AT496"/>
      <c r="AU496" s="35"/>
      <c r="AV496"/>
      <c r="AW496"/>
      <c r="AX496"/>
      <c r="AY496"/>
      <c r="AZ496"/>
      <c r="BA496"/>
      <c r="BB496"/>
      <c r="BC496"/>
      <c r="BD496"/>
      <c r="BE496"/>
      <c r="BF496"/>
      <c r="BG496"/>
      <c r="BH496"/>
      <c r="BI496"/>
    </row>
    <row r="497" spans="1:61" s="102" customFormat="1" ht="12" customHeight="1" x14ac:dyDescent="0.2">
      <c r="A497" s="236"/>
      <c r="B497" s="184" t="s">
        <v>22</v>
      </c>
      <c r="C497" s="121"/>
      <c r="D497" s="167"/>
      <c r="E497" s="167"/>
      <c r="F497" s="169" t="s">
        <v>1131</v>
      </c>
      <c r="G497" s="315" t="s">
        <v>22</v>
      </c>
      <c r="H497" s="186" t="s">
        <v>23</v>
      </c>
      <c r="I497" s="166">
        <v>1990</v>
      </c>
      <c r="J497" s="167">
        <v>300</v>
      </c>
      <c r="K497" s="121">
        <f t="shared" si="84"/>
        <v>60</v>
      </c>
      <c r="L497" s="121" t="str">
        <f t="shared" si="85"/>
        <v/>
      </c>
      <c r="M497" s="336" t="s">
        <v>1062</v>
      </c>
      <c r="N497" s="237" t="s">
        <v>17</v>
      </c>
      <c r="O497" s="98"/>
      <c r="P497" s="168"/>
      <c r="Q497" s="169" t="s">
        <v>524</v>
      </c>
      <c r="R497" s="131"/>
      <c r="S497" s="357"/>
      <c r="T497" s="23"/>
      <c r="U497" s="126" t="s">
        <v>532</v>
      </c>
      <c r="V497" s="35"/>
      <c r="W497" s="85"/>
      <c r="X497" s="121"/>
      <c r="Y497" s="121"/>
      <c r="Z497" s="122">
        <v>60</v>
      </c>
      <c r="AA497" s="123">
        <f t="shared" si="86"/>
        <v>18000</v>
      </c>
      <c r="AB497" s="123">
        <f t="shared" si="87"/>
        <v>300</v>
      </c>
      <c r="AC497" s="120"/>
      <c r="AD497" s="39"/>
      <c r="AE497" s="39"/>
      <c r="AF497" s="39"/>
      <c r="AG497" s="39"/>
      <c r="AH497" s="39"/>
      <c r="AI497" s="123" t="str">
        <f t="shared" si="88"/>
        <v xml:space="preserve"> </v>
      </c>
      <c r="AJ497" s="123" t="str">
        <f t="shared" si="89"/>
        <v xml:space="preserve"> </v>
      </c>
      <c r="AK497" s="35"/>
      <c r="AL497" s="35"/>
      <c r="AM497" s="35"/>
      <c r="AP497" s="241"/>
      <c r="AS497"/>
      <c r="AT497"/>
      <c r="AU497" s="35"/>
      <c r="AV497"/>
      <c r="AW497"/>
      <c r="AX497"/>
      <c r="AY497"/>
      <c r="AZ497"/>
      <c r="BA497"/>
      <c r="BB497"/>
      <c r="BC497"/>
      <c r="BD497"/>
      <c r="BE497"/>
      <c r="BF497"/>
      <c r="BG497"/>
      <c r="BH497"/>
    </row>
    <row r="498" spans="1:61" ht="12" customHeight="1" x14ac:dyDescent="0.2">
      <c r="A498" s="236"/>
      <c r="B498" s="184" t="s">
        <v>22</v>
      </c>
      <c r="C498" s="121"/>
      <c r="D498" s="167"/>
      <c r="E498" s="167"/>
      <c r="F498" s="169" t="s">
        <v>1131</v>
      </c>
      <c r="G498" s="315" t="s">
        <v>22</v>
      </c>
      <c r="H498" s="97" t="s">
        <v>23</v>
      </c>
      <c r="I498" s="166">
        <v>2002</v>
      </c>
      <c r="J498" s="167">
        <v>1442</v>
      </c>
      <c r="K498" s="121">
        <f t="shared" si="84"/>
        <v>33</v>
      </c>
      <c r="L498" s="121">
        <f t="shared" si="85"/>
        <v>15</v>
      </c>
      <c r="M498" s="72" t="s">
        <v>1063</v>
      </c>
      <c r="N498" s="98" t="s">
        <v>15</v>
      </c>
      <c r="O498" s="98" t="s">
        <v>19</v>
      </c>
      <c r="P498" s="168" t="s">
        <v>243</v>
      </c>
      <c r="Q498" s="168" t="s">
        <v>219</v>
      </c>
      <c r="R498" s="37"/>
      <c r="S498" s="36"/>
      <c r="T498" s="23"/>
      <c r="U498" s="35"/>
      <c r="V498" s="35"/>
      <c r="W498" s="85"/>
      <c r="X498" s="121"/>
      <c r="Y498" s="121"/>
      <c r="Z498" s="122">
        <v>33</v>
      </c>
      <c r="AA498" s="123">
        <f t="shared" si="86"/>
        <v>47586</v>
      </c>
      <c r="AB498" s="123">
        <f t="shared" si="87"/>
        <v>1442</v>
      </c>
      <c r="AC498" s="120"/>
      <c r="AD498" s="39">
        <v>15</v>
      </c>
      <c r="AE498" s="39"/>
      <c r="AF498" s="39"/>
      <c r="AG498" s="39"/>
      <c r="AH498" s="39">
        <v>15</v>
      </c>
      <c r="AI498" s="123">
        <f t="shared" si="88"/>
        <v>21630</v>
      </c>
      <c r="AJ498" s="123">
        <f t="shared" si="89"/>
        <v>1442</v>
      </c>
      <c r="AK498" s="35"/>
      <c r="AL498" s="35"/>
      <c r="AM498" s="35"/>
      <c r="AU498" s="35"/>
      <c r="BI498" s="102"/>
    </row>
    <row r="499" spans="1:61" ht="12" customHeight="1" x14ac:dyDescent="0.2">
      <c r="A499" s="236"/>
      <c r="B499" s="184" t="s">
        <v>22</v>
      </c>
      <c r="C499" s="121"/>
      <c r="D499" s="167"/>
      <c r="E499" s="167"/>
      <c r="F499" s="169" t="s">
        <v>1131</v>
      </c>
      <c r="G499" s="315" t="s">
        <v>22</v>
      </c>
      <c r="H499" s="97" t="s">
        <v>24</v>
      </c>
      <c r="I499" s="166">
        <v>2002</v>
      </c>
      <c r="J499" s="167">
        <v>1256</v>
      </c>
      <c r="K499" s="121">
        <f t="shared" si="84"/>
        <v>47</v>
      </c>
      <c r="L499" s="121">
        <f t="shared" si="85"/>
        <v>19</v>
      </c>
      <c r="M499" s="72" t="s">
        <v>1063</v>
      </c>
      <c r="N499" s="98" t="s">
        <v>15</v>
      </c>
      <c r="O499" s="98" t="s">
        <v>19</v>
      </c>
      <c r="P499" s="168"/>
      <c r="Q499" s="168" t="s">
        <v>219</v>
      </c>
      <c r="R499" s="37"/>
      <c r="S499" s="36"/>
      <c r="T499" s="23"/>
      <c r="U499" s="35"/>
      <c r="V499" s="35"/>
      <c r="W499" s="85"/>
      <c r="X499" s="121"/>
      <c r="Y499" s="121"/>
      <c r="Z499" s="122">
        <v>47</v>
      </c>
      <c r="AA499" s="123">
        <f t="shared" si="86"/>
        <v>59032</v>
      </c>
      <c r="AB499" s="123">
        <f t="shared" si="87"/>
        <v>1256</v>
      </c>
      <c r="AC499" s="120"/>
      <c r="AD499" s="39">
        <v>19</v>
      </c>
      <c r="AE499" s="39"/>
      <c r="AF499" s="39"/>
      <c r="AG499" s="39"/>
      <c r="AH499" s="39">
        <v>19</v>
      </c>
      <c r="AI499" s="123">
        <f t="shared" si="88"/>
        <v>23864</v>
      </c>
      <c r="AJ499" s="123">
        <f t="shared" si="89"/>
        <v>1256</v>
      </c>
      <c r="AK499" s="35"/>
      <c r="AL499" s="35"/>
      <c r="AM499" s="35"/>
      <c r="AU499" s="35"/>
      <c r="BI499" s="102"/>
    </row>
    <row r="500" spans="1:61" ht="12" customHeight="1" x14ac:dyDescent="0.2">
      <c r="A500" s="236"/>
      <c r="B500" s="184" t="s">
        <v>22</v>
      </c>
      <c r="C500" s="121"/>
      <c r="D500" s="167"/>
      <c r="E500" s="167"/>
      <c r="F500" s="169" t="s">
        <v>1131</v>
      </c>
      <c r="G500" s="315" t="s">
        <v>22</v>
      </c>
      <c r="H500" s="186" t="s">
        <v>849</v>
      </c>
      <c r="I500" s="166">
        <v>2005</v>
      </c>
      <c r="J500" s="167">
        <v>1444</v>
      </c>
      <c r="K500" s="121">
        <f t="shared" ref="K500:K561" si="90">IF(Z500&gt;0,Z500,"")</f>
        <v>19.7</v>
      </c>
      <c r="L500" s="121">
        <f t="shared" ref="L500:L561" si="91">IF(AH500&gt;0,AH500,"")</f>
        <v>16.2</v>
      </c>
      <c r="M500" s="333" t="s">
        <v>1044</v>
      </c>
      <c r="N500" s="98"/>
      <c r="O500" s="98"/>
      <c r="P500" s="168"/>
      <c r="Q500" s="169" t="s">
        <v>957</v>
      </c>
      <c r="R500" s="37"/>
      <c r="S500" s="36"/>
      <c r="T500" s="23"/>
      <c r="U500" s="35"/>
      <c r="V500" s="35"/>
      <c r="W500" s="85"/>
      <c r="X500" s="121">
        <v>19.7</v>
      </c>
      <c r="Y500" s="121"/>
      <c r="Z500" s="122">
        <f>X500</f>
        <v>19.7</v>
      </c>
      <c r="AA500" s="123">
        <f>IF(Z500&gt;0,$J500*Z500," ")</f>
        <v>28446.799999999999</v>
      </c>
      <c r="AB500" s="123">
        <f>IF(Z500&gt;0,$J500," ")</f>
        <v>1444</v>
      </c>
      <c r="AC500" s="120"/>
      <c r="AD500" s="39"/>
      <c r="AE500" s="39"/>
      <c r="AF500" s="39">
        <v>16.2</v>
      </c>
      <c r="AG500" s="39"/>
      <c r="AH500" s="39">
        <f>AF500</f>
        <v>16.2</v>
      </c>
      <c r="AI500" s="123">
        <f>IF(AH500&gt;0,$J500*AH500," ")</f>
        <v>23392.799999999999</v>
      </c>
      <c r="AJ500" s="123">
        <f>IF(AH500&gt;0,$J500," ")</f>
        <v>1444</v>
      </c>
      <c r="AK500" s="35"/>
      <c r="AL500" s="35"/>
      <c r="AM500" s="35"/>
      <c r="AU500" s="35"/>
    </row>
    <row r="501" spans="1:61" ht="12" customHeight="1" x14ac:dyDescent="0.2">
      <c r="A501" s="236"/>
      <c r="B501" s="184" t="s">
        <v>22</v>
      </c>
      <c r="C501" s="121"/>
      <c r="D501" s="167"/>
      <c r="E501" s="167"/>
      <c r="F501" s="169" t="s">
        <v>1131</v>
      </c>
      <c r="G501" s="315" t="s">
        <v>22</v>
      </c>
      <c r="H501" s="186" t="s">
        <v>14</v>
      </c>
      <c r="I501" s="166">
        <v>2010</v>
      </c>
      <c r="J501" s="167">
        <v>7048</v>
      </c>
      <c r="K501" s="121">
        <v>38.700000000000003</v>
      </c>
      <c r="L501" s="121">
        <v>33</v>
      </c>
      <c r="M501" s="334" t="s">
        <v>1027</v>
      </c>
      <c r="N501" s="237" t="s">
        <v>15</v>
      </c>
      <c r="O501" s="98" t="s">
        <v>19</v>
      </c>
      <c r="P501" s="169" t="s">
        <v>244</v>
      </c>
      <c r="Q501" s="169" t="s">
        <v>1026</v>
      </c>
      <c r="R501" s="131" t="s">
        <v>1027</v>
      </c>
      <c r="S501" s="310">
        <v>40993</v>
      </c>
      <c r="T501" s="36" t="s">
        <v>1028</v>
      </c>
      <c r="U501" s="35"/>
      <c r="V501" s="35"/>
      <c r="W501" s="85"/>
      <c r="X501" s="121">
        <f>K501</f>
        <v>38.700000000000003</v>
      </c>
      <c r="Y501" s="121"/>
      <c r="Z501" s="122">
        <f>X501</f>
        <v>38.700000000000003</v>
      </c>
      <c r="AA501" s="123">
        <f>IF(Z501&gt;0,$J501*Z501," ")</f>
        <v>272757.60000000003</v>
      </c>
      <c r="AB501" s="123">
        <f>IF(Z501&gt;0,$J501," ")</f>
        <v>7048</v>
      </c>
      <c r="AC501" s="120"/>
      <c r="AD501" s="39"/>
      <c r="AE501" s="39"/>
      <c r="AF501" s="39">
        <f>L501</f>
        <v>33</v>
      </c>
      <c r="AG501" s="39"/>
      <c r="AH501" s="39">
        <f>AF501</f>
        <v>33</v>
      </c>
      <c r="AI501" s="123">
        <f>IF(AH501&gt;0,$J501*AH501," ")</f>
        <v>232584</v>
      </c>
      <c r="AJ501" s="123">
        <f>IF(AH501&gt;0,$J501," ")</f>
        <v>7048</v>
      </c>
      <c r="AK501" s="35"/>
      <c r="AL501" s="35"/>
      <c r="AM501" s="35"/>
      <c r="AU501" s="35"/>
    </row>
    <row r="502" spans="1:61" ht="12" customHeight="1" x14ac:dyDescent="0.2">
      <c r="A502" s="236"/>
      <c r="B502" s="250" t="s">
        <v>200</v>
      </c>
      <c r="C502" s="121"/>
      <c r="D502" s="167"/>
      <c r="E502" s="167"/>
      <c r="F502" s="169" t="s">
        <v>1131</v>
      </c>
      <c r="G502" s="317" t="s">
        <v>200</v>
      </c>
      <c r="H502" s="186"/>
      <c r="I502" s="166"/>
      <c r="J502" s="167">
        <v>999999999</v>
      </c>
      <c r="K502" s="121">
        <f t="shared" si="90"/>
        <v>41</v>
      </c>
      <c r="L502" s="121"/>
      <c r="M502" s="335" t="s">
        <v>888</v>
      </c>
      <c r="N502" s="98"/>
      <c r="O502" s="98"/>
      <c r="P502" s="168"/>
      <c r="Q502" s="169" t="s">
        <v>889</v>
      </c>
      <c r="R502" s="37"/>
      <c r="S502" s="36"/>
      <c r="T502" s="23"/>
      <c r="U502" s="35"/>
      <c r="V502" s="35"/>
      <c r="W502" s="85"/>
      <c r="X502" s="121">
        <v>41</v>
      </c>
      <c r="Y502" s="121"/>
      <c r="Z502" s="122">
        <f>X502</f>
        <v>41</v>
      </c>
      <c r="AA502" s="123">
        <f>IF(Z502&gt;0,$J502*Z502," ")</f>
        <v>40999999959</v>
      </c>
      <c r="AB502" s="123">
        <f>IF(Z502&gt;0,$J502," ")</f>
        <v>999999999</v>
      </c>
      <c r="AC502" s="120"/>
      <c r="AD502" s="39"/>
      <c r="AE502" s="39"/>
      <c r="AF502" s="39"/>
      <c r="AG502" s="39"/>
      <c r="AH502" s="39"/>
      <c r="AI502" s="123"/>
      <c r="AJ502" s="123"/>
      <c r="AK502" s="35"/>
      <c r="AL502" s="35"/>
      <c r="AM502" s="35"/>
      <c r="AU502" s="128"/>
    </row>
    <row r="503" spans="1:61" ht="12" customHeight="1" x14ac:dyDescent="0.2">
      <c r="A503" s="236"/>
      <c r="B503" s="184" t="s">
        <v>81</v>
      </c>
      <c r="C503" s="121"/>
      <c r="D503" s="167"/>
      <c r="E503" s="167"/>
      <c r="F503" s="237" t="s">
        <v>1125</v>
      </c>
      <c r="G503" s="315" t="s">
        <v>81</v>
      </c>
      <c r="H503" s="97" t="s">
        <v>87</v>
      </c>
      <c r="I503" s="166">
        <v>1994</v>
      </c>
      <c r="J503" s="167">
        <v>619</v>
      </c>
      <c r="K503" s="121">
        <f t="shared" si="90"/>
        <v>20</v>
      </c>
      <c r="L503" s="121" t="str">
        <f t="shared" si="91"/>
        <v/>
      </c>
      <c r="M503" s="37" t="s">
        <v>1059</v>
      </c>
      <c r="N503" s="98" t="s">
        <v>78</v>
      </c>
      <c r="O503" s="98"/>
      <c r="P503" s="168"/>
      <c r="Q503" s="98" t="s">
        <v>218</v>
      </c>
      <c r="R503" s="37"/>
      <c r="S503" s="36"/>
      <c r="T503" s="23"/>
      <c r="U503" s="35"/>
      <c r="V503" s="35"/>
      <c r="W503" s="85"/>
      <c r="X503" s="121"/>
      <c r="Y503" s="121"/>
      <c r="Z503" s="122">
        <v>20</v>
      </c>
      <c r="AA503" s="123">
        <f t="shared" si="86"/>
        <v>12380</v>
      </c>
      <c r="AB503" s="123">
        <f t="shared" si="87"/>
        <v>619</v>
      </c>
      <c r="AC503" s="120"/>
      <c r="AD503" s="39"/>
      <c r="AE503" s="39"/>
      <c r="AF503" s="39"/>
      <c r="AG503" s="39"/>
      <c r="AH503" s="38"/>
      <c r="AI503" s="123" t="str">
        <f t="shared" si="88"/>
        <v xml:space="preserve"> </v>
      </c>
      <c r="AJ503" s="123" t="str">
        <f t="shared" si="89"/>
        <v xml:space="preserve"> </v>
      </c>
      <c r="AK503" s="35"/>
      <c r="AL503" s="35"/>
      <c r="AM503" s="35"/>
      <c r="AU503" s="35"/>
    </row>
    <row r="504" spans="1:61" ht="12" customHeight="1" x14ac:dyDescent="0.2">
      <c r="A504" s="236"/>
      <c r="B504" s="184" t="s">
        <v>81</v>
      </c>
      <c r="C504" s="121"/>
      <c r="D504" s="167"/>
      <c r="E504" s="167"/>
      <c r="F504" s="169" t="s">
        <v>1125</v>
      </c>
      <c r="G504" s="315" t="s">
        <v>81</v>
      </c>
      <c r="H504" s="97" t="s">
        <v>87</v>
      </c>
      <c r="I504" s="166">
        <v>2002</v>
      </c>
      <c r="J504" s="167">
        <v>1048</v>
      </c>
      <c r="K504" s="121">
        <f t="shared" si="90"/>
        <v>23</v>
      </c>
      <c r="L504" s="121">
        <f t="shared" si="91"/>
        <v>8</v>
      </c>
      <c r="M504" s="332" t="s">
        <v>1041</v>
      </c>
      <c r="N504" s="98" t="s">
        <v>15</v>
      </c>
      <c r="O504" s="98" t="s">
        <v>19</v>
      </c>
      <c r="P504" s="168" t="s">
        <v>243</v>
      </c>
      <c r="Q504" s="169" t="s">
        <v>523</v>
      </c>
      <c r="R504" s="37"/>
      <c r="S504" s="36"/>
      <c r="T504" s="23"/>
      <c r="U504" s="35"/>
      <c r="V504" s="35"/>
      <c r="W504" s="85"/>
      <c r="X504" s="121"/>
      <c r="Y504" s="121"/>
      <c r="Z504" s="122">
        <v>23</v>
      </c>
      <c r="AA504" s="123">
        <f t="shared" si="86"/>
        <v>24104</v>
      </c>
      <c r="AB504" s="123">
        <f t="shared" si="87"/>
        <v>1048</v>
      </c>
      <c r="AC504" s="120"/>
      <c r="AD504" s="39">
        <v>8</v>
      </c>
      <c r="AE504" s="39"/>
      <c r="AF504" s="39"/>
      <c r="AG504" s="39"/>
      <c r="AH504" s="39">
        <v>8</v>
      </c>
      <c r="AI504" s="123">
        <f t="shared" si="88"/>
        <v>8384</v>
      </c>
      <c r="AJ504" s="123">
        <f t="shared" si="89"/>
        <v>1048</v>
      </c>
      <c r="AK504" s="35"/>
      <c r="AL504" s="35"/>
      <c r="AM504" s="35"/>
      <c r="AU504" s="35"/>
    </row>
    <row r="505" spans="1:61" ht="12" customHeight="1" x14ac:dyDescent="0.2">
      <c r="A505" s="236"/>
      <c r="B505" s="184" t="s">
        <v>81</v>
      </c>
      <c r="C505" s="121"/>
      <c r="D505" s="167"/>
      <c r="E505" s="167"/>
      <c r="F505" s="169" t="s">
        <v>1125</v>
      </c>
      <c r="G505" s="315" t="s">
        <v>81</v>
      </c>
      <c r="H505" s="97" t="s">
        <v>86</v>
      </c>
      <c r="I505" s="166">
        <v>2002</v>
      </c>
      <c r="J505" s="167">
        <v>1024</v>
      </c>
      <c r="K505" s="121">
        <f t="shared" si="90"/>
        <v>34</v>
      </c>
      <c r="L505" s="121">
        <f t="shared" si="91"/>
        <v>13</v>
      </c>
      <c r="M505" s="332" t="s">
        <v>1041</v>
      </c>
      <c r="N505" s="98" t="s">
        <v>15</v>
      </c>
      <c r="O505" s="98" t="s">
        <v>19</v>
      </c>
      <c r="P505" s="168"/>
      <c r="Q505" s="169" t="s">
        <v>523</v>
      </c>
      <c r="R505" s="37"/>
      <c r="S505" s="36"/>
      <c r="T505" s="23"/>
      <c r="U505" s="35"/>
      <c r="V505" s="35"/>
      <c r="W505" s="85"/>
      <c r="X505" s="121"/>
      <c r="Y505" s="121"/>
      <c r="Z505" s="122">
        <v>34</v>
      </c>
      <c r="AA505" s="123">
        <f t="shared" si="86"/>
        <v>34816</v>
      </c>
      <c r="AB505" s="123">
        <f t="shared" si="87"/>
        <v>1024</v>
      </c>
      <c r="AC505" s="120"/>
      <c r="AD505" s="39">
        <v>13</v>
      </c>
      <c r="AE505" s="39"/>
      <c r="AF505" s="39"/>
      <c r="AG505" s="39"/>
      <c r="AH505" s="39">
        <v>13</v>
      </c>
      <c r="AI505" s="123">
        <f t="shared" si="88"/>
        <v>13312</v>
      </c>
      <c r="AJ505" s="123">
        <f t="shared" si="89"/>
        <v>1024</v>
      </c>
      <c r="AK505" s="35"/>
      <c r="AL505" s="35"/>
      <c r="AM505" s="35"/>
      <c r="AU505" s="35"/>
    </row>
    <row r="506" spans="1:61" ht="12" customHeight="1" x14ac:dyDescent="0.2">
      <c r="A506" s="236"/>
      <c r="B506" s="184" t="s">
        <v>353</v>
      </c>
      <c r="C506" s="121"/>
      <c r="D506" s="167"/>
      <c r="E506" s="167"/>
      <c r="F506" s="169" t="s">
        <v>1132</v>
      </c>
      <c r="G506" s="315" t="s">
        <v>1037</v>
      </c>
      <c r="H506" s="186" t="s">
        <v>947</v>
      </c>
      <c r="I506" s="166">
        <v>2010</v>
      </c>
      <c r="J506" s="167">
        <v>999999999</v>
      </c>
      <c r="K506" s="121">
        <f t="shared" si="90"/>
        <v>41</v>
      </c>
      <c r="L506" s="121" t="str">
        <f t="shared" si="91"/>
        <v/>
      </c>
      <c r="M506" s="333" t="s">
        <v>751</v>
      </c>
      <c r="N506" s="98"/>
      <c r="O506" s="237" t="s">
        <v>114</v>
      </c>
      <c r="P506" s="168"/>
      <c r="Q506" s="169" t="s">
        <v>988</v>
      </c>
      <c r="R506" s="37"/>
      <c r="S506" s="36"/>
      <c r="T506" s="23"/>
      <c r="U506" s="271" t="s">
        <v>750</v>
      </c>
      <c r="V506" s="35"/>
      <c r="W506" s="85"/>
      <c r="X506" s="121"/>
      <c r="Y506" s="121"/>
      <c r="Z506" s="122">
        <v>41</v>
      </c>
      <c r="AA506" s="123">
        <f t="shared" si="86"/>
        <v>40999999959</v>
      </c>
      <c r="AB506" s="123">
        <f t="shared" si="87"/>
        <v>999999999</v>
      </c>
      <c r="AC506" s="120"/>
      <c r="AD506" s="39"/>
      <c r="AE506" s="39"/>
      <c r="AF506" s="39"/>
      <c r="AG506" s="39"/>
      <c r="AH506" s="39"/>
      <c r="AI506" s="123" t="str">
        <f t="shared" si="88"/>
        <v xml:space="preserve"> </v>
      </c>
      <c r="AJ506" s="123" t="str">
        <f t="shared" si="89"/>
        <v xml:space="preserve"> </v>
      </c>
      <c r="AK506" s="35"/>
      <c r="AL506" s="35"/>
      <c r="AM506" s="35"/>
      <c r="AN506" s="107" t="s">
        <v>624</v>
      </c>
      <c r="AU506" s="35"/>
    </row>
    <row r="507" spans="1:61" ht="12" customHeight="1" x14ac:dyDescent="0.2">
      <c r="A507" s="236"/>
      <c r="B507" s="184" t="s">
        <v>202</v>
      </c>
      <c r="C507" s="121"/>
      <c r="D507" s="167"/>
      <c r="E507" s="167"/>
      <c r="F507" s="169" t="s">
        <v>1131</v>
      </c>
      <c r="G507" s="315" t="s">
        <v>202</v>
      </c>
      <c r="H507" s="186"/>
      <c r="I507" s="166">
        <v>2008</v>
      </c>
      <c r="J507" s="167">
        <v>999999999</v>
      </c>
      <c r="K507" s="121">
        <f t="shared" si="90"/>
        <v>20</v>
      </c>
      <c r="L507" s="121" t="str">
        <f t="shared" si="91"/>
        <v/>
      </c>
      <c r="M507" s="335" t="s">
        <v>625</v>
      </c>
      <c r="N507" s="98"/>
      <c r="O507" s="237"/>
      <c r="P507" s="168"/>
      <c r="Q507" s="169" t="s">
        <v>548</v>
      </c>
      <c r="R507" s="37"/>
      <c r="S507" s="36"/>
      <c r="T507" s="23"/>
      <c r="U507" s="126"/>
      <c r="V507" s="35"/>
      <c r="W507" s="85"/>
      <c r="X507" s="121"/>
      <c r="Y507" s="121"/>
      <c r="Z507" s="122">
        <v>20</v>
      </c>
      <c r="AA507" s="123">
        <f t="shared" si="86"/>
        <v>19999999980</v>
      </c>
      <c r="AB507" s="123">
        <f t="shared" si="87"/>
        <v>999999999</v>
      </c>
      <c r="AC507" s="120"/>
      <c r="AD507" s="39"/>
      <c r="AE507" s="39"/>
      <c r="AF507" s="39"/>
      <c r="AG507" s="39"/>
      <c r="AH507" s="39"/>
      <c r="AI507" s="123" t="str">
        <f t="shared" si="88"/>
        <v xml:space="preserve"> </v>
      </c>
      <c r="AJ507" s="123" t="str">
        <f t="shared" si="89"/>
        <v xml:space="preserve"> </v>
      </c>
      <c r="AK507" s="35"/>
      <c r="AL507" s="35"/>
      <c r="AM507" s="35"/>
      <c r="AU507" s="35"/>
    </row>
    <row r="508" spans="1:61" ht="12" customHeight="1" x14ac:dyDescent="0.2">
      <c r="A508" s="236"/>
      <c r="B508" s="184" t="s">
        <v>98</v>
      </c>
      <c r="C508" s="121"/>
      <c r="D508" s="167"/>
      <c r="E508" s="167"/>
      <c r="F508" s="169" t="s">
        <v>1125</v>
      </c>
      <c r="G508" s="315" t="s">
        <v>98</v>
      </c>
      <c r="H508" s="97" t="s">
        <v>102</v>
      </c>
      <c r="I508" s="166">
        <v>1998</v>
      </c>
      <c r="J508" s="167">
        <v>599</v>
      </c>
      <c r="K508" s="121">
        <f t="shared" si="90"/>
        <v>58</v>
      </c>
      <c r="L508" s="121" t="str">
        <f t="shared" si="91"/>
        <v/>
      </c>
      <c r="M508" s="72" t="s">
        <v>1063</v>
      </c>
      <c r="N508" s="98" t="s">
        <v>17</v>
      </c>
      <c r="O508" s="98" t="s">
        <v>107</v>
      </c>
      <c r="P508" s="168"/>
      <c r="Q508" s="168" t="s">
        <v>219</v>
      </c>
      <c r="R508" s="37"/>
      <c r="S508" s="36"/>
      <c r="T508" s="23"/>
      <c r="U508" s="35"/>
      <c r="V508" s="35"/>
      <c r="W508" s="85"/>
      <c r="X508" s="121"/>
      <c r="Y508" s="121"/>
      <c r="Z508" s="122">
        <v>58</v>
      </c>
      <c r="AA508" s="123">
        <f t="shared" si="86"/>
        <v>34742</v>
      </c>
      <c r="AB508" s="123">
        <f t="shared" si="87"/>
        <v>599</v>
      </c>
      <c r="AC508" s="120"/>
      <c r="AD508" s="39"/>
      <c r="AE508" s="39"/>
      <c r="AF508" s="39"/>
      <c r="AG508" s="39"/>
      <c r="AH508" s="39"/>
      <c r="AI508" s="123" t="str">
        <f t="shared" si="88"/>
        <v xml:space="preserve"> </v>
      </c>
      <c r="AJ508" s="123" t="str">
        <f t="shared" si="89"/>
        <v xml:space="preserve"> </v>
      </c>
      <c r="AK508" s="35"/>
      <c r="AL508" s="35"/>
      <c r="AM508" s="35"/>
      <c r="AU508" s="35"/>
    </row>
    <row r="509" spans="1:61" ht="12" customHeight="1" x14ac:dyDescent="0.2">
      <c r="A509" s="236"/>
      <c r="B509" s="184" t="s">
        <v>98</v>
      </c>
      <c r="C509" s="121"/>
      <c r="D509" s="167"/>
      <c r="E509" s="167"/>
      <c r="F509" s="169" t="s">
        <v>1125</v>
      </c>
      <c r="G509" s="315" t="s">
        <v>98</v>
      </c>
      <c r="H509" s="97"/>
      <c r="I509" s="166">
        <v>2003</v>
      </c>
      <c r="J509" s="167">
        <v>475</v>
      </c>
      <c r="K509" s="121">
        <f t="shared" si="90"/>
        <v>64.599999999999994</v>
      </c>
      <c r="L509" s="121" t="str">
        <f t="shared" si="91"/>
        <v/>
      </c>
      <c r="M509" s="333" t="s">
        <v>748</v>
      </c>
      <c r="N509" s="98" t="s">
        <v>78</v>
      </c>
      <c r="O509" s="98" t="s">
        <v>546</v>
      </c>
      <c r="P509" s="168"/>
      <c r="Q509" s="169" t="s">
        <v>969</v>
      </c>
      <c r="R509" s="124"/>
      <c r="S509" s="36"/>
      <c r="T509" s="23"/>
      <c r="U509" s="271" t="s">
        <v>749</v>
      </c>
      <c r="V509" s="128" t="s">
        <v>547</v>
      </c>
      <c r="W509" s="127"/>
      <c r="X509" s="161">
        <v>64.599999999999994</v>
      </c>
      <c r="Y509" s="161"/>
      <c r="Z509" s="122">
        <f>X509</f>
        <v>64.599999999999994</v>
      </c>
      <c r="AA509" s="123">
        <f t="shared" si="86"/>
        <v>30684.999999999996</v>
      </c>
      <c r="AB509" s="123">
        <f t="shared" si="87"/>
        <v>475</v>
      </c>
      <c r="AC509" s="85"/>
      <c r="AD509" s="161"/>
      <c r="AE509" s="161"/>
      <c r="AF509" s="42"/>
      <c r="AG509" s="42"/>
      <c r="AH509" s="42"/>
      <c r="AI509" s="123" t="str">
        <f t="shared" si="88"/>
        <v xml:space="preserve"> </v>
      </c>
      <c r="AJ509" s="123" t="str">
        <f t="shared" si="89"/>
        <v xml:space="preserve"> </v>
      </c>
      <c r="AK509" s="35"/>
      <c r="AL509" s="35"/>
      <c r="AM509" s="35"/>
      <c r="AN509" s="174" t="s">
        <v>660</v>
      </c>
      <c r="AU509" s="35"/>
    </row>
    <row r="510" spans="1:61" ht="12" customHeight="1" x14ac:dyDescent="0.2">
      <c r="A510" s="236"/>
      <c r="B510" s="184" t="s">
        <v>98</v>
      </c>
      <c r="C510" s="121"/>
      <c r="D510" s="167"/>
      <c r="E510" s="167"/>
      <c r="F510" s="169" t="s">
        <v>1125</v>
      </c>
      <c r="G510" s="315" t="s">
        <v>98</v>
      </c>
      <c r="H510" s="97"/>
      <c r="I510" s="166">
        <v>2005</v>
      </c>
      <c r="J510" s="167">
        <v>506</v>
      </c>
      <c r="K510" s="121">
        <f t="shared" si="90"/>
        <v>58.7</v>
      </c>
      <c r="L510" s="121">
        <f t="shared" si="91"/>
        <v>41.1</v>
      </c>
      <c r="M510" s="333" t="s">
        <v>1044</v>
      </c>
      <c r="N510" s="98"/>
      <c r="O510" s="98"/>
      <c r="P510" s="168"/>
      <c r="Q510" s="169" t="s">
        <v>957</v>
      </c>
      <c r="R510" s="124"/>
      <c r="S510" s="36"/>
      <c r="T510" s="23"/>
      <c r="U510" s="271"/>
      <c r="V510" s="128"/>
      <c r="W510" s="127"/>
      <c r="X510" s="161">
        <v>58.7</v>
      </c>
      <c r="Y510" s="161"/>
      <c r="Z510" s="122">
        <f>X510</f>
        <v>58.7</v>
      </c>
      <c r="AA510" s="123">
        <f t="shared" si="86"/>
        <v>29702.2</v>
      </c>
      <c r="AB510" s="123">
        <f t="shared" si="87"/>
        <v>506</v>
      </c>
      <c r="AC510" s="85"/>
      <c r="AD510" s="161"/>
      <c r="AE510" s="161"/>
      <c r="AF510" s="42">
        <v>41.1</v>
      </c>
      <c r="AG510" s="42"/>
      <c r="AH510" s="42">
        <f>AF510</f>
        <v>41.1</v>
      </c>
      <c r="AI510" s="123">
        <f t="shared" si="88"/>
        <v>20796.600000000002</v>
      </c>
      <c r="AJ510" s="123">
        <f t="shared" si="89"/>
        <v>506</v>
      </c>
      <c r="AK510" s="35"/>
      <c r="AL510" s="35"/>
      <c r="AM510" s="35"/>
      <c r="AN510" s="174"/>
      <c r="AU510" s="35"/>
    </row>
    <row r="511" spans="1:61" s="72" customFormat="1" ht="12" customHeight="1" x14ac:dyDescent="0.2">
      <c r="A511" s="236"/>
      <c r="B511" s="184" t="s">
        <v>98</v>
      </c>
      <c r="C511" s="121"/>
      <c r="D511" s="167"/>
      <c r="E511" s="167"/>
      <c r="F511" s="169" t="s">
        <v>1125</v>
      </c>
      <c r="G511" s="315" t="s">
        <v>98</v>
      </c>
      <c r="H511" s="97"/>
      <c r="I511" s="166">
        <v>2004</v>
      </c>
      <c r="J511" s="167">
        <v>116</v>
      </c>
      <c r="K511" s="121">
        <f t="shared" si="90"/>
        <v>50.9</v>
      </c>
      <c r="L511" s="121">
        <f t="shared" si="91"/>
        <v>41.4</v>
      </c>
      <c r="M511" s="333" t="s">
        <v>748</v>
      </c>
      <c r="N511" s="98" t="s">
        <v>18</v>
      </c>
      <c r="O511" s="98" t="s">
        <v>229</v>
      </c>
      <c r="P511" s="168"/>
      <c r="Q511" s="169" t="s">
        <v>969</v>
      </c>
      <c r="R511" s="37"/>
      <c r="S511" s="36"/>
      <c r="T511" s="23"/>
      <c r="U511" s="271" t="s">
        <v>749</v>
      </c>
      <c r="V511" s="128" t="s">
        <v>547</v>
      </c>
      <c r="W511" s="85"/>
      <c r="X511" s="121"/>
      <c r="Y511" s="121"/>
      <c r="Z511" s="122">
        <v>50.9</v>
      </c>
      <c r="AA511" s="123">
        <f t="shared" si="86"/>
        <v>5904.4</v>
      </c>
      <c r="AB511" s="123">
        <f t="shared" si="87"/>
        <v>116</v>
      </c>
      <c r="AC511" s="120"/>
      <c r="AD511" s="39">
        <v>41.4</v>
      </c>
      <c r="AE511" s="39"/>
      <c r="AF511" s="39"/>
      <c r="AG511" s="39"/>
      <c r="AH511" s="39">
        <v>41.4</v>
      </c>
      <c r="AI511" s="123">
        <f t="shared" si="88"/>
        <v>4802.3999999999996</v>
      </c>
      <c r="AJ511" s="123">
        <f t="shared" si="89"/>
        <v>116</v>
      </c>
      <c r="AK511" s="35"/>
      <c r="AL511" s="35"/>
      <c r="AM511" s="35"/>
      <c r="AP511" s="240"/>
      <c r="AS511"/>
      <c r="AT511"/>
      <c r="AU511" s="128"/>
      <c r="AV511"/>
      <c r="AW511"/>
      <c r="AX511"/>
      <c r="AY511"/>
      <c r="AZ511"/>
      <c r="BA511"/>
      <c r="BB511"/>
      <c r="BC511"/>
      <c r="BD511"/>
      <c r="BE511"/>
      <c r="BF511"/>
      <c r="BG511"/>
      <c r="BH511"/>
      <c r="BI511"/>
    </row>
    <row r="512" spans="1:61" s="72" customFormat="1" ht="12" customHeight="1" x14ac:dyDescent="0.2">
      <c r="A512" s="236"/>
      <c r="B512" s="184" t="s">
        <v>98</v>
      </c>
      <c r="C512" s="121"/>
      <c r="D512" s="167"/>
      <c r="E512" s="167"/>
      <c r="F512" s="169" t="s">
        <v>1125</v>
      </c>
      <c r="G512" s="315" t="s">
        <v>98</v>
      </c>
      <c r="H512" s="186" t="s">
        <v>848</v>
      </c>
      <c r="I512" s="166">
        <v>2005</v>
      </c>
      <c r="J512" s="167">
        <v>1427</v>
      </c>
      <c r="K512" s="121">
        <f t="shared" si="90"/>
        <v>34.1</v>
      </c>
      <c r="L512" s="121" t="str">
        <f t="shared" si="91"/>
        <v/>
      </c>
      <c r="M512" s="333" t="s">
        <v>1044</v>
      </c>
      <c r="N512" s="98"/>
      <c r="O512" s="98"/>
      <c r="P512" s="169" t="s">
        <v>794</v>
      </c>
      <c r="Q512" s="169" t="s">
        <v>957</v>
      </c>
      <c r="R512" s="37"/>
      <c r="S512" s="36"/>
      <c r="T512" s="23"/>
      <c r="U512" s="271"/>
      <c r="V512" s="128"/>
      <c r="W512" s="85"/>
      <c r="X512" s="121">
        <v>34.1</v>
      </c>
      <c r="Y512" s="121"/>
      <c r="Z512" s="122">
        <f>X512</f>
        <v>34.1</v>
      </c>
      <c r="AA512" s="123">
        <f>IF(Z512&gt;0,$J512*Z512," ")</f>
        <v>48660.700000000004</v>
      </c>
      <c r="AB512" s="123">
        <f>IF(Z512&gt;0,$J512," ")</f>
        <v>1427</v>
      </c>
      <c r="AC512" s="120"/>
      <c r="AD512" s="39"/>
      <c r="AE512" s="39"/>
      <c r="AF512" s="39"/>
      <c r="AG512" s="39"/>
      <c r="AH512" s="39"/>
      <c r="AI512" s="123"/>
      <c r="AJ512" s="123"/>
      <c r="AK512" s="35"/>
      <c r="AL512" s="35"/>
      <c r="AM512" s="35"/>
      <c r="AP512" s="240"/>
      <c r="AS512"/>
      <c r="AT512"/>
      <c r="AU512" s="35"/>
      <c r="AV512"/>
      <c r="AW512"/>
      <c r="AX512"/>
      <c r="AY512"/>
      <c r="AZ512"/>
      <c r="BA512"/>
      <c r="BB512"/>
      <c r="BC512"/>
      <c r="BD512"/>
      <c r="BE512"/>
      <c r="BF512"/>
      <c r="BG512"/>
      <c r="BH512"/>
      <c r="BI512"/>
    </row>
    <row r="513" spans="1:60" s="72" customFormat="1" ht="12" customHeight="1" x14ac:dyDescent="0.2">
      <c r="A513" s="236"/>
      <c r="B513" s="184" t="s">
        <v>98</v>
      </c>
      <c r="C513" s="121"/>
      <c r="D513" s="167"/>
      <c r="E513" s="167"/>
      <c r="F513" s="169" t="s">
        <v>1125</v>
      </c>
      <c r="G513" s="315" t="s">
        <v>98</v>
      </c>
      <c r="H513" s="97"/>
      <c r="I513" s="166">
        <v>2006</v>
      </c>
      <c r="J513" s="167">
        <v>583</v>
      </c>
      <c r="K513" s="121">
        <f t="shared" si="90"/>
        <v>38.299999999999997</v>
      </c>
      <c r="L513" s="121" t="str">
        <f t="shared" si="91"/>
        <v/>
      </c>
      <c r="M513" s="333" t="s">
        <v>1044</v>
      </c>
      <c r="N513" s="98"/>
      <c r="O513" s="98"/>
      <c r="P513" s="168"/>
      <c r="Q513" s="169" t="s">
        <v>957</v>
      </c>
      <c r="R513" s="37"/>
      <c r="S513" s="36"/>
      <c r="T513" s="23"/>
      <c r="U513" s="271"/>
      <c r="V513" s="128"/>
      <c r="W513" s="85"/>
      <c r="X513" s="121">
        <v>38.299999999999997</v>
      </c>
      <c r="Y513" s="121"/>
      <c r="Z513" s="122">
        <f>X513</f>
        <v>38.299999999999997</v>
      </c>
      <c r="AA513" s="123">
        <f>IF(Z513&gt;0,$J513*Z513," ")</f>
        <v>22328.899999999998</v>
      </c>
      <c r="AB513" s="123">
        <f>IF(Z513&gt;0,$J513," ")</f>
        <v>583</v>
      </c>
      <c r="AC513" s="120"/>
      <c r="AD513" s="39"/>
      <c r="AE513" s="39"/>
      <c r="AF513" s="39"/>
      <c r="AG513" s="39"/>
      <c r="AH513" s="39"/>
      <c r="AI513" s="123"/>
      <c r="AJ513" s="123"/>
      <c r="AK513" s="35"/>
      <c r="AL513" s="35"/>
      <c r="AM513" s="35"/>
      <c r="AP513" s="240"/>
      <c r="AS513"/>
      <c r="AT513"/>
      <c r="AU513" s="35"/>
      <c r="AV513"/>
      <c r="AW513"/>
      <c r="AX513"/>
      <c r="AY513"/>
      <c r="AZ513"/>
      <c r="BA513"/>
      <c r="BB513"/>
      <c r="BC513"/>
      <c r="BD513"/>
      <c r="BE513"/>
      <c r="BF513"/>
      <c r="BG513"/>
      <c r="BH513"/>
    </row>
    <row r="514" spans="1:60" s="72" customFormat="1" ht="12" customHeight="1" x14ac:dyDescent="0.2">
      <c r="A514" s="236"/>
      <c r="B514" s="184" t="s">
        <v>98</v>
      </c>
      <c r="C514" s="121"/>
      <c r="D514" s="167"/>
      <c r="E514" s="167"/>
      <c r="F514" s="169" t="s">
        <v>1125</v>
      </c>
      <c r="G514" s="315" t="s">
        <v>98</v>
      </c>
      <c r="H514" s="97" t="s">
        <v>14</v>
      </c>
      <c r="I514" s="166">
        <v>2009</v>
      </c>
      <c r="J514" s="167">
        <v>12795</v>
      </c>
      <c r="K514" s="121">
        <f t="shared" si="90"/>
        <v>39</v>
      </c>
      <c r="L514" s="121">
        <f t="shared" si="91"/>
        <v>10</v>
      </c>
      <c r="M514" s="336" t="s">
        <v>1097</v>
      </c>
      <c r="N514" s="98" t="s">
        <v>17</v>
      </c>
      <c r="O514" s="98" t="s">
        <v>627</v>
      </c>
      <c r="P514" s="168"/>
      <c r="Q514" s="168" t="s">
        <v>752</v>
      </c>
      <c r="R514" s="37" t="s">
        <v>626</v>
      </c>
      <c r="S514" s="360">
        <v>40994</v>
      </c>
      <c r="T514" s="23"/>
      <c r="U514" s="336" t="s">
        <v>1098</v>
      </c>
      <c r="V514" s="35"/>
      <c r="W514" s="85"/>
      <c r="X514" s="121"/>
      <c r="Y514" s="121"/>
      <c r="Z514" s="122">
        <v>39</v>
      </c>
      <c r="AA514" s="123">
        <f t="shared" si="86"/>
        <v>499005</v>
      </c>
      <c r="AB514" s="123">
        <f t="shared" si="87"/>
        <v>12795</v>
      </c>
      <c r="AC514" s="120"/>
      <c r="AD514" s="39"/>
      <c r="AE514" s="39"/>
      <c r="AF514" s="39">
        <v>10</v>
      </c>
      <c r="AG514" s="39"/>
      <c r="AH514" s="39">
        <f>AF514</f>
        <v>10</v>
      </c>
      <c r="AI514" s="123">
        <f t="shared" si="88"/>
        <v>127950</v>
      </c>
      <c r="AJ514" s="123">
        <f t="shared" si="89"/>
        <v>12795</v>
      </c>
      <c r="AK514" s="35"/>
      <c r="AL514" s="35"/>
      <c r="AM514" s="35"/>
      <c r="AP514" s="240"/>
      <c r="AS514"/>
      <c r="AT514"/>
      <c r="AU514" s="137"/>
      <c r="AV514"/>
      <c r="AW514"/>
      <c r="AX514"/>
      <c r="AY514"/>
      <c r="AZ514"/>
      <c r="BA514"/>
      <c r="BB514"/>
      <c r="BC514"/>
      <c r="BD514"/>
      <c r="BE514"/>
      <c r="BF514"/>
      <c r="BG514"/>
      <c r="BH514"/>
    </row>
    <row r="515" spans="1:60" s="72" customFormat="1" ht="12" customHeight="1" x14ac:dyDescent="0.2">
      <c r="A515" s="236"/>
      <c r="B515" s="184" t="s">
        <v>25</v>
      </c>
      <c r="C515" s="121"/>
      <c r="D515" s="167"/>
      <c r="E515" s="167"/>
      <c r="F515" s="169" t="s">
        <v>1131</v>
      </c>
      <c r="G515" s="315" t="s">
        <v>25</v>
      </c>
      <c r="H515" s="186" t="s">
        <v>354</v>
      </c>
      <c r="I515" s="166">
        <v>1991</v>
      </c>
      <c r="J515" s="167">
        <v>80</v>
      </c>
      <c r="K515" s="121">
        <f t="shared" si="90"/>
        <v>46</v>
      </c>
      <c r="L515" s="121" t="str">
        <f t="shared" si="91"/>
        <v/>
      </c>
      <c r="M515" s="336" t="s">
        <v>1062</v>
      </c>
      <c r="N515" s="237" t="s">
        <v>17</v>
      </c>
      <c r="O515" s="98"/>
      <c r="P515" s="168"/>
      <c r="Q515" s="168" t="s">
        <v>524</v>
      </c>
      <c r="R515" s="37"/>
      <c r="S515" s="36"/>
      <c r="T515" s="23"/>
      <c r="U515" s="35"/>
      <c r="V515" s="35"/>
      <c r="W515" s="85"/>
      <c r="X515" s="121"/>
      <c r="Y515" s="121"/>
      <c r="Z515" s="122">
        <v>46</v>
      </c>
      <c r="AA515" s="123">
        <f t="shared" si="86"/>
        <v>3680</v>
      </c>
      <c r="AB515" s="123">
        <f t="shared" si="87"/>
        <v>80</v>
      </c>
      <c r="AC515" s="120"/>
      <c r="AD515" s="39"/>
      <c r="AE515" s="39"/>
      <c r="AF515" s="39"/>
      <c r="AG515" s="39"/>
      <c r="AH515" s="39"/>
      <c r="AI515" s="123" t="str">
        <f t="shared" si="88"/>
        <v xml:space="preserve"> </v>
      </c>
      <c r="AJ515" s="123" t="str">
        <f t="shared" si="89"/>
        <v xml:space="preserve"> </v>
      </c>
      <c r="AK515" s="35"/>
      <c r="AL515" s="35"/>
      <c r="AM515" s="35"/>
      <c r="AP515" s="240"/>
      <c r="AS515"/>
      <c r="AT515"/>
      <c r="AU515" s="35"/>
      <c r="AV515"/>
      <c r="AW515"/>
      <c r="AX515"/>
      <c r="AY515"/>
      <c r="AZ515"/>
      <c r="BA515"/>
      <c r="BB515"/>
      <c r="BC515"/>
      <c r="BD515"/>
      <c r="BE515"/>
      <c r="BF515"/>
      <c r="BG515"/>
      <c r="BH515"/>
    </row>
    <row r="516" spans="1:60" s="72" customFormat="1" ht="12" customHeight="1" x14ac:dyDescent="0.2">
      <c r="A516" s="236"/>
      <c r="B516" s="184" t="s">
        <v>25</v>
      </c>
      <c r="C516" s="121"/>
      <c r="D516" s="167"/>
      <c r="E516" s="167"/>
      <c r="F516" s="169" t="s">
        <v>1131</v>
      </c>
      <c r="G516" s="315" t="s">
        <v>25</v>
      </c>
      <c r="H516" s="97" t="s">
        <v>302</v>
      </c>
      <c r="I516" s="166">
        <v>2003</v>
      </c>
      <c r="J516" s="167">
        <v>457</v>
      </c>
      <c r="K516" s="121">
        <f t="shared" si="90"/>
        <v>54</v>
      </c>
      <c r="L516" s="121">
        <f t="shared" si="91"/>
        <v>14</v>
      </c>
      <c r="M516" s="333" t="s">
        <v>743</v>
      </c>
      <c r="N516" s="98" t="s">
        <v>78</v>
      </c>
      <c r="O516" s="98" t="s">
        <v>232</v>
      </c>
      <c r="P516" s="168"/>
      <c r="Q516" s="169" t="s">
        <v>989</v>
      </c>
      <c r="R516" s="131"/>
      <c r="S516" s="357"/>
      <c r="T516" s="23"/>
      <c r="U516" s="271" t="s">
        <v>744</v>
      </c>
      <c r="V516" s="35"/>
      <c r="W516" s="85"/>
      <c r="X516" s="121"/>
      <c r="Y516" s="121"/>
      <c r="Z516" s="122">
        <v>54</v>
      </c>
      <c r="AA516" s="123">
        <f t="shared" si="86"/>
        <v>24678</v>
      </c>
      <c r="AB516" s="123">
        <f t="shared" si="87"/>
        <v>457</v>
      </c>
      <c r="AC516" s="120"/>
      <c r="AD516" s="39"/>
      <c r="AE516" s="39"/>
      <c r="AF516" s="39"/>
      <c r="AG516" s="39">
        <v>14</v>
      </c>
      <c r="AH516" s="39">
        <v>14</v>
      </c>
      <c r="AI516" s="123">
        <f t="shared" si="88"/>
        <v>6398</v>
      </c>
      <c r="AJ516" s="123">
        <f t="shared" si="89"/>
        <v>457</v>
      </c>
      <c r="AK516" s="35"/>
      <c r="AL516" s="35"/>
      <c r="AM516" s="35"/>
      <c r="AN516" s="107" t="s">
        <v>303</v>
      </c>
      <c r="AO516" s="147">
        <v>39098</v>
      </c>
      <c r="AP516" s="240"/>
      <c r="AS516"/>
      <c r="AT516"/>
      <c r="AU516" s="35"/>
      <c r="AV516"/>
      <c r="AW516"/>
      <c r="AX516"/>
      <c r="AY516"/>
      <c r="AZ516"/>
      <c r="BA516"/>
      <c r="BB516"/>
      <c r="BC516"/>
      <c r="BD516"/>
      <c r="BE516"/>
      <c r="BF516"/>
      <c r="BG516"/>
      <c r="BH516"/>
    </row>
    <row r="517" spans="1:60" s="72" customFormat="1" ht="12" customHeight="1" x14ac:dyDescent="0.2">
      <c r="A517" s="236"/>
      <c r="B517" s="245" t="s">
        <v>25</v>
      </c>
      <c r="C517" s="291"/>
      <c r="D517" s="248"/>
      <c r="E517" s="248"/>
      <c r="F517" s="19" t="s">
        <v>1131</v>
      </c>
      <c r="G517" s="316" t="s">
        <v>25</v>
      </c>
      <c r="H517" s="186" t="s">
        <v>14</v>
      </c>
      <c r="I517" s="246">
        <v>2006</v>
      </c>
      <c r="J517" s="248">
        <v>8531</v>
      </c>
      <c r="K517" s="121">
        <f t="shared" si="90"/>
        <v>47.39</v>
      </c>
      <c r="L517" s="121">
        <f t="shared" si="91"/>
        <v>34.9</v>
      </c>
      <c r="M517" s="333" t="s">
        <v>1042</v>
      </c>
      <c r="N517" s="247" t="s">
        <v>15</v>
      </c>
      <c r="O517" s="247" t="s">
        <v>19</v>
      </c>
      <c r="P517" s="237" t="s">
        <v>244</v>
      </c>
      <c r="Q517" s="19" t="s">
        <v>1003</v>
      </c>
      <c r="R517" s="37"/>
      <c r="S517" s="36"/>
      <c r="T517" s="23"/>
      <c r="U517" s="128"/>
      <c r="V517" s="273" t="s">
        <v>1000</v>
      </c>
      <c r="W517" s="127"/>
      <c r="X517" s="121">
        <v>47.39</v>
      </c>
      <c r="Y517" s="121"/>
      <c r="Z517" s="122">
        <f>X517</f>
        <v>47.39</v>
      </c>
      <c r="AA517" s="123">
        <f t="shared" si="86"/>
        <v>404284.09</v>
      </c>
      <c r="AB517" s="123">
        <f t="shared" si="87"/>
        <v>8531</v>
      </c>
      <c r="AC517" s="127"/>
      <c r="AD517" s="161"/>
      <c r="AE517" s="161"/>
      <c r="AF517" s="161">
        <v>34.9</v>
      </c>
      <c r="AG517" s="42"/>
      <c r="AH517" s="161">
        <f>AF517</f>
        <v>34.9</v>
      </c>
      <c r="AI517" s="123">
        <f t="shared" si="88"/>
        <v>297731.89999999997</v>
      </c>
      <c r="AJ517" s="123">
        <f t="shared" si="89"/>
        <v>8531</v>
      </c>
      <c r="AK517" s="128"/>
      <c r="AL517" s="128"/>
      <c r="AM517" s="128"/>
      <c r="AP517" s="240"/>
      <c r="AS517"/>
      <c r="AT517"/>
      <c r="AU517" s="35"/>
      <c r="AV517"/>
      <c r="AW517"/>
      <c r="AX517"/>
      <c r="AY517"/>
      <c r="AZ517"/>
      <c r="BA517"/>
      <c r="BB517"/>
      <c r="BC517"/>
      <c r="BD517"/>
      <c r="BE517"/>
      <c r="BF517"/>
      <c r="BG517"/>
      <c r="BH517"/>
    </row>
    <row r="518" spans="1:60" s="72" customFormat="1" ht="12" customHeight="1" x14ac:dyDescent="0.2">
      <c r="A518" s="236"/>
      <c r="B518" s="184" t="s">
        <v>25</v>
      </c>
      <c r="C518" s="121"/>
      <c r="D518" s="167"/>
      <c r="E518" s="167"/>
      <c r="F518" s="169" t="s">
        <v>1131</v>
      </c>
      <c r="G518" s="315" t="s">
        <v>25</v>
      </c>
      <c r="H518" s="97" t="s">
        <v>27</v>
      </c>
      <c r="I518" s="166" t="s">
        <v>26</v>
      </c>
      <c r="J518" s="167">
        <v>1660</v>
      </c>
      <c r="K518" s="121">
        <f t="shared" si="90"/>
        <v>41</v>
      </c>
      <c r="L518" s="121" t="str">
        <f t="shared" si="91"/>
        <v/>
      </c>
      <c r="M518" s="332" t="s">
        <v>1041</v>
      </c>
      <c r="N518" s="98" t="s">
        <v>18</v>
      </c>
      <c r="O518" s="98" t="s">
        <v>28</v>
      </c>
      <c r="P518" s="168"/>
      <c r="Q518" s="169" t="s">
        <v>523</v>
      </c>
      <c r="R518" s="37"/>
      <c r="S518" s="36"/>
      <c r="T518" s="23"/>
      <c r="U518" s="35"/>
      <c r="V518" s="35"/>
      <c r="W518" s="85"/>
      <c r="X518" s="121"/>
      <c r="Y518" s="121"/>
      <c r="Z518" s="122">
        <v>41</v>
      </c>
      <c r="AA518" s="123">
        <f t="shared" si="86"/>
        <v>68060</v>
      </c>
      <c r="AB518" s="123">
        <f t="shared" si="87"/>
        <v>1660</v>
      </c>
      <c r="AC518" s="120"/>
      <c r="AD518" s="39"/>
      <c r="AE518" s="39"/>
      <c r="AF518" s="39"/>
      <c r="AG518" s="39"/>
      <c r="AH518" s="39"/>
      <c r="AI518" s="123" t="str">
        <f t="shared" si="88"/>
        <v xml:space="preserve"> </v>
      </c>
      <c r="AJ518" s="123" t="str">
        <f t="shared" si="89"/>
        <v xml:space="preserve"> </v>
      </c>
      <c r="AK518" s="35"/>
      <c r="AL518" s="35"/>
      <c r="AM518" s="35"/>
      <c r="AP518" s="240"/>
      <c r="AS518"/>
      <c r="AT518"/>
      <c r="AU518" s="35"/>
      <c r="AV518"/>
      <c r="AW518"/>
      <c r="AX518"/>
      <c r="AY518"/>
      <c r="AZ518"/>
      <c r="BA518"/>
      <c r="BB518"/>
      <c r="BC518"/>
      <c r="BD518"/>
      <c r="BE518"/>
      <c r="BF518"/>
      <c r="BG518"/>
      <c r="BH518"/>
    </row>
    <row r="519" spans="1:60" s="72" customFormat="1" ht="12" customHeight="1" x14ac:dyDescent="0.2">
      <c r="A519" s="236"/>
      <c r="B519" s="184" t="s">
        <v>99</v>
      </c>
      <c r="C519" s="121"/>
      <c r="D519" s="167"/>
      <c r="E519" s="167"/>
      <c r="F519" s="169" t="s">
        <v>1125</v>
      </c>
      <c r="G519" s="315" t="s">
        <v>99</v>
      </c>
      <c r="H519" s="97" t="s">
        <v>14</v>
      </c>
      <c r="I519" s="166">
        <v>1999</v>
      </c>
      <c r="J519" s="167">
        <v>5596</v>
      </c>
      <c r="K519" s="121">
        <f t="shared" si="90"/>
        <v>19</v>
      </c>
      <c r="L519" s="121">
        <f t="shared" si="91"/>
        <v>7</v>
      </c>
      <c r="M519" s="72" t="s">
        <v>1063</v>
      </c>
      <c r="N519" s="98" t="s">
        <v>15</v>
      </c>
      <c r="O519" s="98" t="s">
        <v>90</v>
      </c>
      <c r="P519" s="168" t="s">
        <v>248</v>
      </c>
      <c r="Q519" s="168" t="s">
        <v>219</v>
      </c>
      <c r="R519" s="37"/>
      <c r="S519" s="36"/>
      <c r="T519" s="23"/>
      <c r="U519" s="35"/>
      <c r="V519" s="35"/>
      <c r="W519" s="85"/>
      <c r="X519" s="121"/>
      <c r="Y519" s="121"/>
      <c r="Z519" s="122">
        <v>19</v>
      </c>
      <c r="AA519" s="123">
        <f t="shared" si="86"/>
        <v>106324</v>
      </c>
      <c r="AB519" s="123">
        <f t="shared" si="87"/>
        <v>5596</v>
      </c>
      <c r="AC519" s="120"/>
      <c r="AD519" s="39">
        <v>7</v>
      </c>
      <c r="AE519" s="39"/>
      <c r="AF519" s="39"/>
      <c r="AG519" s="39"/>
      <c r="AH519" s="39">
        <v>7</v>
      </c>
      <c r="AI519" s="123">
        <f t="shared" si="88"/>
        <v>39172</v>
      </c>
      <c r="AJ519" s="123">
        <f t="shared" si="89"/>
        <v>5596</v>
      </c>
      <c r="AK519" s="35"/>
      <c r="AL519" s="35"/>
      <c r="AM519" s="35"/>
      <c r="AP519" s="240"/>
      <c r="AS519"/>
      <c r="AT519"/>
      <c r="AU519" s="35"/>
      <c r="AV519"/>
      <c r="AW519"/>
      <c r="AX519"/>
      <c r="AY519"/>
      <c r="AZ519"/>
      <c r="BA519"/>
      <c r="BB519"/>
      <c r="BC519"/>
      <c r="BD519"/>
      <c r="BE519"/>
      <c r="BF519"/>
      <c r="BG519"/>
      <c r="BH519"/>
    </row>
    <row r="520" spans="1:60" s="72" customFormat="1" ht="12" customHeight="1" x14ac:dyDescent="0.2">
      <c r="A520" s="236"/>
      <c r="B520" s="184" t="s">
        <v>99</v>
      </c>
      <c r="C520" s="121"/>
      <c r="D520" s="167"/>
      <c r="E520" s="167"/>
      <c r="F520" s="169" t="s">
        <v>1125</v>
      </c>
      <c r="G520" s="315" t="s">
        <v>99</v>
      </c>
      <c r="H520" s="186" t="s">
        <v>14</v>
      </c>
      <c r="I520" s="166">
        <v>2001</v>
      </c>
      <c r="J520" s="167"/>
      <c r="K520" s="121">
        <f t="shared" si="90"/>
        <v>21.1</v>
      </c>
      <c r="L520" s="121">
        <f t="shared" si="91"/>
        <v>7.9</v>
      </c>
      <c r="M520" s="333" t="s">
        <v>1047</v>
      </c>
      <c r="N520" s="237" t="s">
        <v>17</v>
      </c>
      <c r="O520" s="98"/>
      <c r="P520" s="168"/>
      <c r="Q520" s="169" t="s">
        <v>958</v>
      </c>
      <c r="S520" s="357"/>
      <c r="T520" s="23"/>
      <c r="U520" s="35"/>
      <c r="V520" s="35"/>
      <c r="W520" s="85"/>
      <c r="X520" s="121"/>
      <c r="Y520" s="121"/>
      <c r="Z520" s="122">
        <v>21.1</v>
      </c>
      <c r="AA520" s="123">
        <f t="shared" si="86"/>
        <v>0</v>
      </c>
      <c r="AB520" s="123">
        <f t="shared" si="87"/>
        <v>0</v>
      </c>
      <c r="AC520" s="120"/>
      <c r="AD520" s="39"/>
      <c r="AE520" s="39"/>
      <c r="AF520" s="39"/>
      <c r="AG520" s="39"/>
      <c r="AH520" s="39">
        <v>7.9</v>
      </c>
      <c r="AI520" s="123">
        <f t="shared" si="88"/>
        <v>0</v>
      </c>
      <c r="AJ520" s="123">
        <f t="shared" si="89"/>
        <v>0</v>
      </c>
      <c r="AK520" s="35"/>
      <c r="AL520" s="35"/>
      <c r="AM520" s="35"/>
      <c r="AP520" s="240"/>
      <c r="AS520"/>
      <c r="AT520"/>
      <c r="AU520" s="35"/>
      <c r="AV520"/>
      <c r="AW520"/>
      <c r="AX520"/>
      <c r="AY520"/>
      <c r="AZ520"/>
      <c r="BA520"/>
      <c r="BB520"/>
      <c r="BC520"/>
      <c r="BD520"/>
      <c r="BE520"/>
      <c r="BF520"/>
      <c r="BG520"/>
      <c r="BH520"/>
    </row>
    <row r="521" spans="1:60" s="72" customFormat="1" ht="12" customHeight="1" x14ac:dyDescent="0.2">
      <c r="A521" s="236"/>
      <c r="B521" s="245" t="s">
        <v>99</v>
      </c>
      <c r="C521" s="291"/>
      <c r="D521" s="248"/>
      <c r="E521" s="248"/>
      <c r="F521" s="19" t="s">
        <v>1125</v>
      </c>
      <c r="G521" s="316" t="s">
        <v>99</v>
      </c>
      <c r="H521" s="186" t="s">
        <v>14</v>
      </c>
      <c r="I521" s="246">
        <v>2007</v>
      </c>
      <c r="J521" s="248">
        <v>6841</v>
      </c>
      <c r="K521" s="121">
        <f t="shared" si="90"/>
        <v>12.31</v>
      </c>
      <c r="L521" s="121" t="str">
        <f t="shared" si="91"/>
        <v/>
      </c>
      <c r="M521" s="333" t="s">
        <v>1042</v>
      </c>
      <c r="N521" s="247" t="s">
        <v>15</v>
      </c>
      <c r="O521" s="247" t="s">
        <v>19</v>
      </c>
      <c r="P521" s="237" t="s">
        <v>244</v>
      </c>
      <c r="Q521" s="19" t="s">
        <v>1003</v>
      </c>
      <c r="R521" s="367" t="s">
        <v>1121</v>
      </c>
      <c r="S521" s="36"/>
      <c r="T521" s="23"/>
      <c r="U521" s="128"/>
      <c r="V521" s="128"/>
      <c r="W521" s="127"/>
      <c r="X521" s="121">
        <v>12.31</v>
      </c>
      <c r="Y521" s="121"/>
      <c r="Z521" s="122">
        <f>X521</f>
        <v>12.31</v>
      </c>
      <c r="AA521" s="123">
        <f t="shared" si="86"/>
        <v>84212.71</v>
      </c>
      <c r="AB521" s="123">
        <f t="shared" si="87"/>
        <v>6841</v>
      </c>
      <c r="AC521" s="127"/>
      <c r="AD521" s="161"/>
      <c r="AE521" s="161"/>
      <c r="AF521" s="161"/>
      <c r="AG521" s="42"/>
      <c r="AH521" s="161"/>
      <c r="AI521" s="123" t="str">
        <f t="shared" si="88"/>
        <v xml:space="preserve"> </v>
      </c>
      <c r="AJ521" s="123" t="str">
        <f t="shared" si="89"/>
        <v xml:space="preserve"> </v>
      </c>
      <c r="AK521" s="128"/>
      <c r="AL521" s="128"/>
      <c r="AM521" s="128"/>
      <c r="AP521" s="240"/>
      <c r="AS521"/>
      <c r="AT521"/>
      <c r="AU521" s="35"/>
      <c r="AV521"/>
      <c r="AW521"/>
      <c r="AX521"/>
      <c r="AY521"/>
      <c r="AZ521"/>
      <c r="BA521"/>
      <c r="BB521"/>
      <c r="BC521"/>
      <c r="BD521"/>
      <c r="BE521"/>
      <c r="BF521"/>
      <c r="BG521"/>
      <c r="BH521"/>
    </row>
    <row r="522" spans="1:60" s="72" customFormat="1" ht="12" customHeight="1" x14ac:dyDescent="0.2">
      <c r="A522" s="236"/>
      <c r="B522" s="184" t="s">
        <v>203</v>
      </c>
      <c r="C522" s="121"/>
      <c r="D522" s="167"/>
      <c r="E522" s="167"/>
      <c r="F522" s="169" t="s">
        <v>1130</v>
      </c>
      <c r="G522" s="315" t="s">
        <v>108</v>
      </c>
      <c r="H522" s="97" t="s">
        <v>111</v>
      </c>
      <c r="I522" s="166">
        <v>1993</v>
      </c>
      <c r="J522" s="167">
        <v>430</v>
      </c>
      <c r="K522" s="121">
        <f t="shared" si="90"/>
        <v>30</v>
      </c>
      <c r="L522" s="121">
        <f t="shared" si="91"/>
        <v>12</v>
      </c>
      <c r="M522" s="332" t="s">
        <v>1041</v>
      </c>
      <c r="N522" s="98" t="s">
        <v>17</v>
      </c>
      <c r="O522" s="98" t="s">
        <v>114</v>
      </c>
      <c r="P522" s="168"/>
      <c r="Q522" s="169" t="s">
        <v>523</v>
      </c>
      <c r="R522" s="37"/>
      <c r="S522" s="36"/>
      <c r="T522" s="23"/>
      <c r="U522" s="35"/>
      <c r="V522" s="35"/>
      <c r="W522" s="85"/>
      <c r="X522" s="121"/>
      <c r="Y522" s="121"/>
      <c r="Z522" s="122">
        <v>30</v>
      </c>
      <c r="AA522" s="123">
        <f t="shared" si="86"/>
        <v>12900</v>
      </c>
      <c r="AB522" s="123">
        <f t="shared" si="87"/>
        <v>430</v>
      </c>
      <c r="AC522" s="120"/>
      <c r="AD522" s="39"/>
      <c r="AE522" s="39"/>
      <c r="AF522" s="39">
        <v>12</v>
      </c>
      <c r="AG522" s="39"/>
      <c r="AH522" s="39">
        <v>12</v>
      </c>
      <c r="AI522" s="123">
        <f t="shared" si="88"/>
        <v>5160</v>
      </c>
      <c r="AJ522" s="123">
        <f t="shared" si="89"/>
        <v>430</v>
      </c>
      <c r="AK522" s="35"/>
      <c r="AL522" s="35"/>
      <c r="AM522" s="35"/>
      <c r="AP522" s="240"/>
      <c r="AS522"/>
      <c r="AT522"/>
      <c r="AU522" s="35"/>
      <c r="AV522"/>
      <c r="AW522"/>
      <c r="AX522"/>
      <c r="AY522"/>
      <c r="AZ522"/>
      <c r="BA522"/>
      <c r="BB522"/>
      <c r="BC522"/>
      <c r="BD522"/>
      <c r="BE522"/>
      <c r="BF522"/>
      <c r="BG522"/>
      <c r="BH522"/>
    </row>
    <row r="523" spans="1:60" s="72" customFormat="1" ht="12" customHeight="1" x14ac:dyDescent="0.2">
      <c r="A523" s="236"/>
      <c r="B523" s="184" t="s">
        <v>203</v>
      </c>
      <c r="C523" s="121"/>
      <c r="D523" s="167"/>
      <c r="E523" s="167"/>
      <c r="F523" s="169" t="s">
        <v>1130</v>
      </c>
      <c r="G523" s="315" t="s">
        <v>108</v>
      </c>
      <c r="H523" s="97" t="s">
        <v>857</v>
      </c>
      <c r="I523" s="166">
        <v>1999</v>
      </c>
      <c r="J523" s="167">
        <v>1207</v>
      </c>
      <c r="K523" s="121">
        <f t="shared" si="90"/>
        <v>41</v>
      </c>
      <c r="L523" s="121">
        <f t="shared" si="91"/>
        <v>17</v>
      </c>
      <c r="M523" s="333" t="s">
        <v>741</v>
      </c>
      <c r="N523" s="98" t="s">
        <v>17</v>
      </c>
      <c r="O523" s="98" t="s">
        <v>20</v>
      </c>
      <c r="P523" s="98"/>
      <c r="Q523" s="169" t="s">
        <v>990</v>
      </c>
      <c r="R523" s="128"/>
      <c r="S523" s="357"/>
      <c r="T523" s="23"/>
      <c r="U523" s="271" t="s">
        <v>742</v>
      </c>
      <c r="V523" s="35"/>
      <c r="W523" s="85"/>
      <c r="X523" s="121"/>
      <c r="Y523" s="121"/>
      <c r="Z523" s="122">
        <v>41</v>
      </c>
      <c r="AA523" s="123">
        <f t="shared" si="86"/>
        <v>49487</v>
      </c>
      <c r="AB523" s="123">
        <f t="shared" si="87"/>
        <v>1207</v>
      </c>
      <c r="AC523" s="120"/>
      <c r="AD523" s="38"/>
      <c r="AE523" s="38"/>
      <c r="AF523" s="38"/>
      <c r="AG523" s="38">
        <v>17</v>
      </c>
      <c r="AH523" s="39">
        <v>17</v>
      </c>
      <c r="AI523" s="123">
        <f t="shared" si="88"/>
        <v>20519</v>
      </c>
      <c r="AJ523" s="123">
        <f t="shared" si="89"/>
        <v>1207</v>
      </c>
      <c r="AK523" s="35"/>
      <c r="AL523" s="35"/>
      <c r="AM523" s="35"/>
      <c r="AN523" s="136" t="s">
        <v>307</v>
      </c>
      <c r="AO523" s="171">
        <v>40515</v>
      </c>
      <c r="AP523" s="240"/>
      <c r="AS523"/>
      <c r="AT523"/>
      <c r="AU523" s="35"/>
      <c r="AV523"/>
      <c r="AW523"/>
      <c r="AX523"/>
      <c r="AY523"/>
      <c r="AZ523"/>
      <c r="BA523"/>
      <c r="BB523"/>
      <c r="BC523"/>
      <c r="BD523"/>
      <c r="BE523"/>
      <c r="BF523"/>
      <c r="BG523"/>
      <c r="BH523"/>
    </row>
    <row r="524" spans="1:60" s="72" customFormat="1" ht="12" customHeight="1" x14ac:dyDescent="0.2">
      <c r="A524" s="236"/>
      <c r="B524" s="184" t="s">
        <v>203</v>
      </c>
      <c r="C524" s="121"/>
      <c r="D524" s="167"/>
      <c r="E524" s="167"/>
      <c r="F524" s="169" t="s">
        <v>1130</v>
      </c>
      <c r="G524" s="315" t="s">
        <v>108</v>
      </c>
      <c r="H524" s="97" t="s">
        <v>853</v>
      </c>
      <c r="I524" s="166">
        <v>2004</v>
      </c>
      <c r="J524" s="167">
        <v>920</v>
      </c>
      <c r="K524" s="121">
        <f t="shared" si="90"/>
        <v>21</v>
      </c>
      <c r="L524" s="121">
        <f t="shared" si="91"/>
        <v>4</v>
      </c>
      <c r="M524" s="333" t="s">
        <v>1044</v>
      </c>
      <c r="N524" s="98"/>
      <c r="O524" s="98"/>
      <c r="P524" s="98"/>
      <c r="Q524" s="169" t="s">
        <v>957</v>
      </c>
      <c r="R524" s="128"/>
      <c r="S524" s="357"/>
      <c r="T524" s="23"/>
      <c r="U524" s="271"/>
      <c r="V524" s="35"/>
      <c r="W524" s="85"/>
      <c r="X524" s="121">
        <v>21</v>
      </c>
      <c r="Y524" s="121"/>
      <c r="Z524" s="122">
        <f>X524</f>
        <v>21</v>
      </c>
      <c r="AA524" s="123">
        <f>IF(Z524&gt;0,$J524*Z524," ")</f>
        <v>19320</v>
      </c>
      <c r="AB524" s="123">
        <f>IF(Z524&gt;0,$J524," ")</f>
        <v>920</v>
      </c>
      <c r="AC524" s="120"/>
      <c r="AD524" s="38"/>
      <c r="AE524" s="38"/>
      <c r="AF524" s="38">
        <v>4</v>
      </c>
      <c r="AG524" s="38"/>
      <c r="AH524" s="39">
        <f>AF524</f>
        <v>4</v>
      </c>
      <c r="AI524" s="123">
        <f>IF(AH524&gt;0,$J524*AH524," ")</f>
        <v>3680</v>
      </c>
      <c r="AJ524" s="123">
        <f>IF(AH524&gt;0,$J524," ")</f>
        <v>920</v>
      </c>
      <c r="AK524" s="35"/>
      <c r="AL524" s="35"/>
      <c r="AM524" s="35"/>
      <c r="AN524" s="136"/>
      <c r="AO524" s="171"/>
      <c r="AP524" s="240"/>
      <c r="AS524"/>
      <c r="AT524"/>
      <c r="AU524" s="35"/>
      <c r="AV524"/>
      <c r="AW524"/>
      <c r="AX524"/>
      <c r="AY524"/>
      <c r="AZ524"/>
      <c r="BA524"/>
      <c r="BB524"/>
      <c r="BC524"/>
      <c r="BD524"/>
      <c r="BE524"/>
      <c r="BF524"/>
      <c r="BG524"/>
      <c r="BH524"/>
    </row>
    <row r="525" spans="1:60" s="72" customFormat="1" ht="12" customHeight="1" x14ac:dyDescent="0.2">
      <c r="A525" s="236"/>
      <c r="B525" s="184" t="s">
        <v>203</v>
      </c>
      <c r="C525" s="121"/>
      <c r="D525" s="167"/>
      <c r="E525" s="167"/>
      <c r="F525" s="169" t="s">
        <v>1130</v>
      </c>
      <c r="G525" s="315" t="s">
        <v>108</v>
      </c>
      <c r="H525" s="97" t="s">
        <v>14</v>
      </c>
      <c r="I525" s="166">
        <v>2001</v>
      </c>
      <c r="J525" s="167">
        <v>12226</v>
      </c>
      <c r="K525" s="121">
        <f t="shared" si="90"/>
        <v>19</v>
      </c>
      <c r="L525" s="121">
        <f t="shared" si="91"/>
        <v>3</v>
      </c>
      <c r="M525" s="332" t="s">
        <v>1041</v>
      </c>
      <c r="N525" s="98" t="s">
        <v>17</v>
      </c>
      <c r="O525" s="98" t="s">
        <v>265</v>
      </c>
      <c r="P525" s="168"/>
      <c r="Q525" s="169" t="s">
        <v>523</v>
      </c>
      <c r="R525" s="37"/>
      <c r="S525" s="36"/>
      <c r="T525" s="23"/>
      <c r="U525" s="35"/>
      <c r="V525" s="35"/>
      <c r="W525" s="85"/>
      <c r="X525" s="121"/>
      <c r="Y525" s="121"/>
      <c r="Z525" s="122">
        <v>19</v>
      </c>
      <c r="AA525" s="123">
        <f t="shared" si="86"/>
        <v>232294</v>
      </c>
      <c r="AB525" s="123">
        <f t="shared" si="87"/>
        <v>12226</v>
      </c>
      <c r="AC525" s="120"/>
      <c r="AD525" s="39"/>
      <c r="AE525" s="39"/>
      <c r="AF525" s="39">
        <v>3</v>
      </c>
      <c r="AG525" s="39"/>
      <c r="AH525" s="39">
        <v>3</v>
      </c>
      <c r="AI525" s="123">
        <f t="shared" si="88"/>
        <v>36678</v>
      </c>
      <c r="AJ525" s="123">
        <f t="shared" si="89"/>
        <v>12226</v>
      </c>
      <c r="AK525" s="35"/>
      <c r="AL525" s="35"/>
      <c r="AM525" s="35"/>
      <c r="AP525" s="240"/>
      <c r="AS525"/>
      <c r="AT525"/>
      <c r="AU525" s="35"/>
      <c r="AV525"/>
      <c r="AW525"/>
      <c r="AX525"/>
      <c r="AY525"/>
      <c r="AZ525"/>
      <c r="BA525"/>
      <c r="BB525"/>
      <c r="BC525"/>
      <c r="BD525"/>
      <c r="BE525"/>
      <c r="BF525"/>
      <c r="BG525"/>
      <c r="BH525"/>
    </row>
    <row r="526" spans="1:60" s="72" customFormat="1" ht="12" customHeight="1" x14ac:dyDescent="0.2">
      <c r="A526" s="236"/>
      <c r="B526" s="184" t="s">
        <v>203</v>
      </c>
      <c r="C526" s="121"/>
      <c r="D526" s="167"/>
      <c r="E526" s="167"/>
      <c r="F526" s="169" t="s">
        <v>1130</v>
      </c>
      <c r="G526" s="315" t="s">
        <v>108</v>
      </c>
      <c r="H526" s="186" t="s">
        <v>774</v>
      </c>
      <c r="I526" s="166">
        <v>2006</v>
      </c>
      <c r="J526" s="167"/>
      <c r="K526" s="121">
        <f t="shared" si="90"/>
        <v>19</v>
      </c>
      <c r="L526" s="121">
        <f t="shared" si="91"/>
        <v>3</v>
      </c>
      <c r="M526" s="336" t="s">
        <v>1065</v>
      </c>
      <c r="N526" s="237" t="s">
        <v>17</v>
      </c>
      <c r="O526" s="98"/>
      <c r="P526" s="168"/>
      <c r="Q526" s="169" t="s">
        <v>770</v>
      </c>
      <c r="R526" s="37"/>
      <c r="S526" s="36"/>
      <c r="T526" s="23"/>
      <c r="U526" s="35"/>
      <c r="V526" s="35"/>
      <c r="W526" s="85"/>
      <c r="X526" s="121">
        <v>19</v>
      </c>
      <c r="Y526" s="121"/>
      <c r="Z526" s="122">
        <f>X526</f>
        <v>19</v>
      </c>
      <c r="AA526" s="123">
        <f t="shared" si="86"/>
        <v>0</v>
      </c>
      <c r="AB526" s="123">
        <f t="shared" si="87"/>
        <v>0</v>
      </c>
      <c r="AC526" s="120"/>
      <c r="AD526" s="39"/>
      <c r="AE526" s="39"/>
      <c r="AF526" s="39">
        <v>3</v>
      </c>
      <c r="AG526" s="39"/>
      <c r="AH526" s="39">
        <f>AF526</f>
        <v>3</v>
      </c>
      <c r="AI526" s="123">
        <f t="shared" si="88"/>
        <v>0</v>
      </c>
      <c r="AJ526" s="123">
        <f t="shared" si="89"/>
        <v>0</v>
      </c>
      <c r="AK526" s="35"/>
      <c r="AL526" s="35"/>
      <c r="AM526" s="35"/>
      <c r="AP526" s="240"/>
      <c r="AS526"/>
      <c r="AT526"/>
      <c r="AU526" s="35"/>
      <c r="AV526"/>
      <c r="AW526"/>
      <c r="AX526"/>
      <c r="AY526"/>
      <c r="AZ526"/>
      <c r="BA526"/>
      <c r="BB526"/>
      <c r="BC526"/>
      <c r="BD526"/>
      <c r="BE526"/>
      <c r="BF526"/>
      <c r="BG526"/>
      <c r="BH526"/>
    </row>
    <row r="527" spans="1:60" s="72" customFormat="1" ht="12" customHeight="1" x14ac:dyDescent="0.2">
      <c r="A527" s="236"/>
      <c r="B527" s="184" t="s">
        <v>63</v>
      </c>
      <c r="C527" s="121"/>
      <c r="D527" s="167"/>
      <c r="E527" s="167"/>
      <c r="F527" s="169" t="s">
        <v>422</v>
      </c>
      <c r="G527" s="315" t="s">
        <v>355</v>
      </c>
      <c r="H527" s="97" t="s">
        <v>14</v>
      </c>
      <c r="I527" s="166">
        <v>1986</v>
      </c>
      <c r="J527" s="167">
        <v>2143</v>
      </c>
      <c r="K527" s="121">
        <f t="shared" si="90"/>
        <v>28</v>
      </c>
      <c r="L527" s="121">
        <f t="shared" si="91"/>
        <v>11.3</v>
      </c>
      <c r="M527" s="336" t="s">
        <v>1062</v>
      </c>
      <c r="N527" s="237" t="s">
        <v>18</v>
      </c>
      <c r="O527" s="98"/>
      <c r="P527" s="168"/>
      <c r="Q527" s="169" t="s">
        <v>524</v>
      </c>
      <c r="R527" s="37"/>
      <c r="S527" s="36"/>
      <c r="T527" s="23"/>
      <c r="U527" s="35"/>
      <c r="V527" s="35"/>
      <c r="W527" s="85"/>
      <c r="X527" s="121"/>
      <c r="Y527" s="121"/>
      <c r="Z527" s="122">
        <v>28</v>
      </c>
      <c r="AA527" s="123">
        <f t="shared" si="86"/>
        <v>60004</v>
      </c>
      <c r="AB527" s="123">
        <f t="shared" si="87"/>
        <v>2143</v>
      </c>
      <c r="AC527" s="120"/>
      <c r="AD527" s="39"/>
      <c r="AE527" s="39"/>
      <c r="AF527" s="39"/>
      <c r="AG527" s="39"/>
      <c r="AH527" s="39">
        <v>11.3</v>
      </c>
      <c r="AI527" s="123">
        <f t="shared" si="88"/>
        <v>24215.9</v>
      </c>
      <c r="AJ527" s="123">
        <f t="shared" si="89"/>
        <v>2143</v>
      </c>
      <c r="AK527" s="35"/>
      <c r="AL527" s="35"/>
      <c r="AM527" s="35"/>
      <c r="AP527" s="240"/>
      <c r="AS527"/>
      <c r="AT527"/>
      <c r="AU527" s="128"/>
      <c r="AV527"/>
      <c r="AW527"/>
      <c r="AX527"/>
      <c r="AY527"/>
      <c r="AZ527"/>
      <c r="BA527"/>
      <c r="BB527"/>
      <c r="BC527"/>
      <c r="BD527"/>
      <c r="BE527"/>
      <c r="BF527"/>
      <c r="BG527"/>
      <c r="BH527"/>
    </row>
    <row r="528" spans="1:60" s="72" customFormat="1" ht="12" customHeight="1" x14ac:dyDescent="0.2">
      <c r="A528" s="236"/>
      <c r="B528" s="184" t="s">
        <v>63</v>
      </c>
      <c r="C528" s="121"/>
      <c r="D528" s="167"/>
      <c r="E528" s="167"/>
      <c r="F528" s="169" t="s">
        <v>422</v>
      </c>
      <c r="G528" s="315" t="s">
        <v>355</v>
      </c>
      <c r="H528" s="97" t="s">
        <v>14</v>
      </c>
      <c r="I528" s="166">
        <v>1994</v>
      </c>
      <c r="J528" s="167">
        <v>2555</v>
      </c>
      <c r="K528" s="121" t="str">
        <f t="shared" si="90"/>
        <v/>
      </c>
      <c r="L528" s="121">
        <f t="shared" si="91"/>
        <v>5.8</v>
      </c>
      <c r="M528" s="334" t="s">
        <v>1051</v>
      </c>
      <c r="N528" s="98" t="s">
        <v>17</v>
      </c>
      <c r="O528" s="98"/>
      <c r="P528" s="168"/>
      <c r="Q528" s="168" t="s">
        <v>342</v>
      </c>
      <c r="R528" s="131"/>
      <c r="S528" s="357"/>
      <c r="T528" s="23" t="s">
        <v>296</v>
      </c>
      <c r="U528" s="35"/>
      <c r="V528" s="35" t="s">
        <v>298</v>
      </c>
      <c r="W528" s="85"/>
      <c r="X528" s="121"/>
      <c r="Y528" s="121"/>
      <c r="Z528" s="122"/>
      <c r="AA528" s="123" t="str">
        <f t="shared" si="86"/>
        <v xml:space="preserve"> </v>
      </c>
      <c r="AB528" s="123" t="str">
        <f t="shared" si="87"/>
        <v xml:space="preserve"> </v>
      </c>
      <c r="AC528" s="120"/>
      <c r="AD528" s="39"/>
      <c r="AE528" s="39"/>
      <c r="AF528" s="39">
        <v>5.8</v>
      </c>
      <c r="AG528" s="39"/>
      <c r="AH528" s="39">
        <v>5.8</v>
      </c>
      <c r="AI528" s="123">
        <f t="shared" si="88"/>
        <v>14819</v>
      </c>
      <c r="AJ528" s="123">
        <f t="shared" si="89"/>
        <v>2555</v>
      </c>
      <c r="AK528" s="35"/>
      <c r="AL528" s="35"/>
      <c r="AM528" s="35"/>
      <c r="AP528" s="240"/>
      <c r="AS528"/>
      <c r="AT528"/>
      <c r="AU528" s="128"/>
      <c r="AV528"/>
      <c r="AW528"/>
      <c r="AX528"/>
      <c r="AY528"/>
      <c r="AZ528"/>
      <c r="BA528"/>
      <c r="BB528"/>
      <c r="BC528"/>
      <c r="BD528"/>
      <c r="BE528"/>
      <c r="BF528"/>
      <c r="BG528"/>
      <c r="BH528"/>
    </row>
    <row r="529" spans="1:61" s="72" customFormat="1" ht="12" customHeight="1" x14ac:dyDescent="0.2">
      <c r="A529" s="236"/>
      <c r="B529" s="184" t="s">
        <v>63</v>
      </c>
      <c r="C529" s="121"/>
      <c r="D529" s="167"/>
      <c r="E529" s="167"/>
      <c r="F529" s="169" t="s">
        <v>422</v>
      </c>
      <c r="G529" s="315" t="s">
        <v>355</v>
      </c>
      <c r="H529" s="97" t="s">
        <v>309</v>
      </c>
      <c r="I529" s="166" t="s">
        <v>308</v>
      </c>
      <c r="J529" s="167">
        <f>2975+2500+3505+3632</f>
        <v>12612</v>
      </c>
      <c r="K529" s="121" t="str">
        <f t="shared" si="90"/>
        <v/>
      </c>
      <c r="L529" s="121">
        <f t="shared" si="91"/>
        <v>5.5784332381858546</v>
      </c>
      <c r="M529" s="334" t="s">
        <v>1090</v>
      </c>
      <c r="N529" s="98" t="s">
        <v>78</v>
      </c>
      <c r="O529" s="98"/>
      <c r="P529" s="169" t="s">
        <v>248</v>
      </c>
      <c r="Q529" s="169" t="s">
        <v>341</v>
      </c>
      <c r="R529" s="128"/>
      <c r="S529" s="357"/>
      <c r="T529" s="23" t="s">
        <v>311</v>
      </c>
      <c r="U529" s="35"/>
      <c r="V529" s="35"/>
      <c r="W529" s="85"/>
      <c r="X529" s="121"/>
      <c r="Y529" s="121"/>
      <c r="Z529" s="122"/>
      <c r="AA529" s="123" t="str">
        <f t="shared" si="86"/>
        <v xml:space="preserve"> </v>
      </c>
      <c r="AB529" s="123" t="str">
        <f t="shared" si="87"/>
        <v xml:space="preserve"> </v>
      </c>
      <c r="AC529" s="120"/>
      <c r="AD529" s="39">
        <f>(6.1*2975 +3.8*2500 +6.9*3505 +5.1*3632)/(2975+2500+3505+3632)</f>
        <v>5.5784332381858546</v>
      </c>
      <c r="AE529" s="39"/>
      <c r="AF529" s="38"/>
      <c r="AG529" s="39"/>
      <c r="AH529" s="39">
        <f>(6.1*2975 +3.8*2500 +6.9*3505 +5.1*3632)/(2975+2500+3505+3632)</f>
        <v>5.5784332381858546</v>
      </c>
      <c r="AI529" s="123">
        <f t="shared" si="88"/>
        <v>70355.199999999997</v>
      </c>
      <c r="AJ529" s="123">
        <f t="shared" si="89"/>
        <v>12612</v>
      </c>
      <c r="AK529" s="35"/>
      <c r="AL529" s="35"/>
      <c r="AM529" s="35"/>
      <c r="AP529" s="240"/>
      <c r="AS529"/>
      <c r="AT529"/>
      <c r="AU529" s="35"/>
      <c r="AV529"/>
      <c r="AW529"/>
      <c r="AX529"/>
      <c r="AY529"/>
      <c r="AZ529"/>
      <c r="BA529"/>
      <c r="BB529"/>
      <c r="BC529"/>
      <c r="BD529"/>
      <c r="BE529"/>
      <c r="BF529"/>
      <c r="BG529"/>
      <c r="BH529"/>
    </row>
    <row r="530" spans="1:61" s="72" customFormat="1" ht="12" customHeight="1" x14ac:dyDescent="0.2">
      <c r="A530" s="236"/>
      <c r="B530" s="184" t="s">
        <v>63</v>
      </c>
      <c r="C530" s="121"/>
      <c r="D530" s="167"/>
      <c r="E530" s="167"/>
      <c r="F530" s="169" t="s">
        <v>422</v>
      </c>
      <c r="G530" s="315" t="s">
        <v>355</v>
      </c>
      <c r="H530" s="97" t="s">
        <v>865</v>
      </c>
      <c r="I530" s="166">
        <v>1999</v>
      </c>
      <c r="J530" s="167">
        <v>409</v>
      </c>
      <c r="K530" s="121" t="str">
        <f t="shared" si="90"/>
        <v/>
      </c>
      <c r="L530" s="121">
        <f t="shared" si="91"/>
        <v>8.4</v>
      </c>
      <c r="M530" s="333" t="s">
        <v>1044</v>
      </c>
      <c r="N530" s="98"/>
      <c r="O530" s="98"/>
      <c r="P530" s="169" t="s">
        <v>866</v>
      </c>
      <c r="Q530" s="169" t="s">
        <v>957</v>
      </c>
      <c r="R530" s="128"/>
      <c r="S530" s="357"/>
      <c r="T530" s="23"/>
      <c r="U530" s="35"/>
      <c r="V530" s="35"/>
      <c r="W530" s="85"/>
      <c r="X530" s="121"/>
      <c r="Y530" s="121"/>
      <c r="Z530" s="122"/>
      <c r="AA530" s="123"/>
      <c r="AB530" s="123"/>
      <c r="AC530" s="120"/>
      <c r="AD530" s="39"/>
      <c r="AE530" s="39"/>
      <c r="AF530" s="38"/>
      <c r="AG530" s="39">
        <v>8.4</v>
      </c>
      <c r="AH530" s="39">
        <f>AG530</f>
        <v>8.4</v>
      </c>
      <c r="AI530" s="123">
        <f t="shared" si="88"/>
        <v>3435.6000000000004</v>
      </c>
      <c r="AJ530" s="123">
        <f t="shared" si="89"/>
        <v>409</v>
      </c>
      <c r="AK530" s="35"/>
      <c r="AL530" s="35"/>
      <c r="AM530" s="35"/>
      <c r="AP530" s="240"/>
      <c r="AS530"/>
      <c r="AT530"/>
      <c r="AU530" s="35"/>
      <c r="AV530"/>
      <c r="AW530"/>
      <c r="AX530"/>
      <c r="AY530"/>
      <c r="AZ530"/>
      <c r="BA530"/>
      <c r="BB530"/>
      <c r="BC530"/>
      <c r="BD530"/>
      <c r="BE530"/>
      <c r="BF530"/>
      <c r="BG530"/>
      <c r="BH530"/>
    </row>
    <row r="531" spans="1:61" s="72" customFormat="1" ht="12" customHeight="1" x14ac:dyDescent="0.2">
      <c r="A531" s="236"/>
      <c r="B531" s="184" t="s">
        <v>63</v>
      </c>
      <c r="C531" s="121"/>
      <c r="D531" s="167"/>
      <c r="E531" s="167"/>
      <c r="F531" s="169" t="s">
        <v>422</v>
      </c>
      <c r="G531" s="315" t="s">
        <v>355</v>
      </c>
      <c r="H531" s="97" t="s">
        <v>862</v>
      </c>
      <c r="I531" s="166">
        <v>1999</v>
      </c>
      <c r="J531" s="167">
        <v>10599</v>
      </c>
      <c r="K531" s="121">
        <f t="shared" si="90"/>
        <v>36.9</v>
      </c>
      <c r="L531" s="121">
        <f t="shared" si="91"/>
        <v>4</v>
      </c>
      <c r="M531" s="333" t="s">
        <v>1044</v>
      </c>
      <c r="N531" s="98"/>
      <c r="O531" s="98"/>
      <c r="P531" s="169" t="s">
        <v>794</v>
      </c>
      <c r="Q531" s="169" t="s">
        <v>957</v>
      </c>
      <c r="R531" s="128"/>
      <c r="S531" s="357"/>
      <c r="T531" s="23"/>
      <c r="U531" s="35"/>
      <c r="V531" s="35"/>
      <c r="W531" s="85"/>
      <c r="X531" s="121"/>
      <c r="Y531" s="121">
        <v>36.9</v>
      </c>
      <c r="Z531" s="122">
        <f>Y531</f>
        <v>36.9</v>
      </c>
      <c r="AA531" s="123">
        <f>IF(Z531&gt;0,$J531*Z531," ")</f>
        <v>391103.1</v>
      </c>
      <c r="AB531" s="123">
        <f>IF(Z531&gt;0,$J531," ")</f>
        <v>10599</v>
      </c>
      <c r="AC531" s="120"/>
      <c r="AD531" s="39"/>
      <c r="AE531" s="39"/>
      <c r="AF531" s="38"/>
      <c r="AG531" s="39">
        <v>4</v>
      </c>
      <c r="AH531" s="39">
        <f>AG531</f>
        <v>4</v>
      </c>
      <c r="AI531" s="123">
        <f>IF(AH531&gt;0,$J531*AH531," ")</f>
        <v>42396</v>
      </c>
      <c r="AJ531" s="123">
        <f>IF(AH531&gt;0,$J531," ")</f>
        <v>10599</v>
      </c>
      <c r="AK531" s="35"/>
      <c r="AL531" s="35"/>
      <c r="AM531" s="35"/>
      <c r="AP531" s="240"/>
      <c r="AS531"/>
      <c r="AT531"/>
      <c r="AU531" s="35"/>
      <c r="AV531"/>
      <c r="AW531"/>
      <c r="AX531"/>
      <c r="AY531"/>
      <c r="AZ531"/>
      <c r="BA531"/>
      <c r="BB531"/>
      <c r="BC531"/>
      <c r="BD531"/>
      <c r="BE531"/>
      <c r="BF531"/>
      <c r="BG531"/>
      <c r="BH531"/>
    </row>
    <row r="532" spans="1:61" s="72" customFormat="1" ht="12" customHeight="1" x14ac:dyDescent="0.2">
      <c r="A532" s="236"/>
      <c r="B532" s="184" t="s">
        <v>63</v>
      </c>
      <c r="C532" s="121"/>
      <c r="D532" s="167"/>
      <c r="E532" s="167"/>
      <c r="F532" s="169" t="s">
        <v>422</v>
      </c>
      <c r="G532" s="315" t="s">
        <v>355</v>
      </c>
      <c r="H532" s="97" t="s">
        <v>793</v>
      </c>
      <c r="I532" s="166">
        <v>2000</v>
      </c>
      <c r="J532" s="167">
        <v>2012</v>
      </c>
      <c r="K532" s="121">
        <f t="shared" si="90"/>
        <v>23.6</v>
      </c>
      <c r="L532" s="121" t="str">
        <f t="shared" si="91"/>
        <v/>
      </c>
      <c r="M532" s="333" t="s">
        <v>1044</v>
      </c>
      <c r="N532" s="98"/>
      <c r="O532" s="98"/>
      <c r="P532" s="169" t="s">
        <v>248</v>
      </c>
      <c r="Q532" s="169" t="s">
        <v>957</v>
      </c>
      <c r="R532" s="128"/>
      <c r="S532" s="357"/>
      <c r="T532" s="23"/>
      <c r="U532" s="35"/>
      <c r="V532" s="35"/>
      <c r="W532" s="85"/>
      <c r="X532" s="121">
        <v>23.6</v>
      </c>
      <c r="Y532" s="121"/>
      <c r="Z532" s="122">
        <f>X532</f>
        <v>23.6</v>
      </c>
      <c r="AA532" s="123">
        <f t="shared" si="86"/>
        <v>47483.200000000004</v>
      </c>
      <c r="AB532" s="123">
        <f t="shared" si="87"/>
        <v>2012</v>
      </c>
      <c r="AC532" s="120"/>
      <c r="AD532" s="39"/>
      <c r="AE532" s="39"/>
      <c r="AF532" s="38"/>
      <c r="AG532" s="39"/>
      <c r="AH532" s="39"/>
      <c r="AI532" s="123" t="str">
        <f t="shared" si="88"/>
        <v xml:space="preserve"> </v>
      </c>
      <c r="AJ532" s="123" t="str">
        <f t="shared" si="89"/>
        <v xml:space="preserve"> </v>
      </c>
      <c r="AK532" s="35"/>
      <c r="AL532" s="35"/>
      <c r="AM532" s="35"/>
      <c r="AP532" s="240"/>
      <c r="AS532"/>
      <c r="AT532"/>
      <c r="AU532" s="35"/>
      <c r="AV532"/>
      <c r="AW532"/>
      <c r="AX532"/>
      <c r="AY532"/>
      <c r="AZ532"/>
      <c r="BA532"/>
      <c r="BB532"/>
      <c r="BC532"/>
      <c r="BD532"/>
      <c r="BE532"/>
      <c r="BF532"/>
      <c r="BG532"/>
      <c r="BH532"/>
    </row>
    <row r="533" spans="1:61" s="72" customFormat="1" ht="12" customHeight="1" x14ac:dyDescent="0.2">
      <c r="A533" s="236"/>
      <c r="B533" s="184" t="s">
        <v>63</v>
      </c>
      <c r="C533" s="121"/>
      <c r="D533" s="167"/>
      <c r="E533" s="167"/>
      <c r="F533" s="169" t="s">
        <v>422</v>
      </c>
      <c r="G533" s="315" t="s">
        <v>355</v>
      </c>
      <c r="H533" s="186" t="s">
        <v>823</v>
      </c>
      <c r="I533" s="166">
        <v>2000</v>
      </c>
      <c r="J533" s="167">
        <v>1017</v>
      </c>
      <c r="K533" s="121" t="str">
        <f t="shared" si="90"/>
        <v/>
      </c>
      <c r="L533" s="121">
        <f t="shared" si="91"/>
        <v>3</v>
      </c>
      <c r="M533" s="333" t="s">
        <v>1044</v>
      </c>
      <c r="N533" s="98"/>
      <c r="O533" s="98"/>
      <c r="P533" s="169"/>
      <c r="Q533" s="169" t="s">
        <v>957</v>
      </c>
      <c r="R533" s="128"/>
      <c r="S533" s="357"/>
      <c r="T533" s="23"/>
      <c r="U533" s="35"/>
      <c r="V533" s="35"/>
      <c r="W533" s="85"/>
      <c r="X533" s="121"/>
      <c r="Y533" s="121"/>
      <c r="Z533" s="122"/>
      <c r="AA533" s="123" t="str">
        <f t="shared" si="86"/>
        <v xml:space="preserve"> </v>
      </c>
      <c r="AB533" s="123" t="str">
        <f t="shared" si="87"/>
        <v xml:space="preserve"> </v>
      </c>
      <c r="AC533" s="120"/>
      <c r="AD533" s="39"/>
      <c r="AE533" s="39"/>
      <c r="AF533" s="38">
        <v>3</v>
      </c>
      <c r="AG533" s="39"/>
      <c r="AH533" s="39">
        <f>AF533</f>
        <v>3</v>
      </c>
      <c r="AI533" s="123">
        <f t="shared" si="88"/>
        <v>3051</v>
      </c>
      <c r="AJ533" s="123">
        <f t="shared" si="89"/>
        <v>1017</v>
      </c>
      <c r="AK533" s="35"/>
      <c r="AL533" s="35"/>
      <c r="AM533" s="35"/>
      <c r="AP533" s="240"/>
      <c r="AS533"/>
      <c r="AT533"/>
      <c r="AU533" s="35"/>
      <c r="AV533"/>
      <c r="AW533"/>
      <c r="AX533"/>
      <c r="AY533"/>
      <c r="AZ533"/>
      <c r="BA533"/>
      <c r="BB533"/>
      <c r="BC533"/>
      <c r="BD533"/>
      <c r="BE533"/>
      <c r="BF533"/>
      <c r="BG533"/>
      <c r="BH533"/>
    </row>
    <row r="534" spans="1:61" s="72" customFormat="1" ht="12" customHeight="1" x14ac:dyDescent="0.2">
      <c r="A534" s="236"/>
      <c r="B534" s="184" t="s">
        <v>63</v>
      </c>
      <c r="C534" s="121"/>
      <c r="D534" s="167"/>
      <c r="E534" s="167"/>
      <c r="F534" s="169" t="s">
        <v>422</v>
      </c>
      <c r="G534" s="315" t="s">
        <v>355</v>
      </c>
      <c r="H534" s="186" t="s">
        <v>807</v>
      </c>
      <c r="I534" s="166">
        <v>2000</v>
      </c>
      <c r="J534" s="167">
        <v>314</v>
      </c>
      <c r="K534" s="121">
        <f t="shared" si="90"/>
        <v>10.6</v>
      </c>
      <c r="L534" s="121" t="str">
        <f t="shared" si="91"/>
        <v/>
      </c>
      <c r="M534" s="333" t="s">
        <v>1044</v>
      </c>
      <c r="N534" s="237" t="s">
        <v>17</v>
      </c>
      <c r="O534" s="98"/>
      <c r="P534" s="169" t="s">
        <v>824</v>
      </c>
      <c r="Q534" s="169" t="s">
        <v>957</v>
      </c>
      <c r="R534" s="128"/>
      <c r="S534" s="357"/>
      <c r="T534" s="23"/>
      <c r="U534" s="35"/>
      <c r="V534" s="35"/>
      <c r="W534" s="85"/>
      <c r="X534" s="121">
        <v>10.6</v>
      </c>
      <c r="Y534" s="121"/>
      <c r="Z534" s="122">
        <f>X534</f>
        <v>10.6</v>
      </c>
      <c r="AA534" s="123">
        <f t="shared" si="86"/>
        <v>3328.4</v>
      </c>
      <c r="AB534" s="123">
        <f t="shared" si="87"/>
        <v>314</v>
      </c>
      <c r="AC534" s="120"/>
      <c r="AD534" s="39"/>
      <c r="AE534" s="39"/>
      <c r="AF534" s="38"/>
      <c r="AG534" s="39"/>
      <c r="AH534" s="39"/>
      <c r="AI534" s="123" t="str">
        <f t="shared" si="88"/>
        <v xml:space="preserve"> </v>
      </c>
      <c r="AJ534" s="123" t="str">
        <f t="shared" si="89"/>
        <v xml:space="preserve"> </v>
      </c>
      <c r="AK534" s="35"/>
      <c r="AL534" s="35"/>
      <c r="AM534" s="35"/>
      <c r="AP534" s="240"/>
      <c r="AS534"/>
      <c r="AT534"/>
      <c r="AU534" s="35"/>
      <c r="AV534"/>
      <c r="AW534"/>
      <c r="AX534"/>
      <c r="AY534"/>
      <c r="AZ534"/>
      <c r="BA534"/>
      <c r="BB534"/>
      <c r="BC534"/>
      <c r="BD534"/>
      <c r="BE534"/>
      <c r="BF534"/>
      <c r="BG534"/>
      <c r="BH534"/>
    </row>
    <row r="535" spans="1:61" s="72" customFormat="1" ht="12" customHeight="1" x14ac:dyDescent="0.2">
      <c r="A535" s="236"/>
      <c r="B535" s="184" t="s">
        <v>63</v>
      </c>
      <c r="C535" s="121"/>
      <c r="D535" s="167"/>
      <c r="E535" s="167"/>
      <c r="F535" s="169" t="s">
        <v>422</v>
      </c>
      <c r="G535" s="315" t="s">
        <v>355</v>
      </c>
      <c r="H535" s="186" t="s">
        <v>1114</v>
      </c>
      <c r="I535" s="166">
        <v>2001</v>
      </c>
      <c r="J535" s="167">
        <v>375</v>
      </c>
      <c r="K535" s="121">
        <f t="shared" si="90"/>
        <v>37.6</v>
      </c>
      <c r="L535" s="121">
        <f t="shared" si="91"/>
        <v>15.5</v>
      </c>
      <c r="M535" s="333" t="s">
        <v>1044</v>
      </c>
      <c r="N535" s="237"/>
      <c r="O535" s="98"/>
      <c r="P535" s="169" t="s">
        <v>794</v>
      </c>
      <c r="Q535" s="169" t="s">
        <v>957</v>
      </c>
      <c r="R535" s="128"/>
      <c r="S535" s="357"/>
      <c r="T535" s="23"/>
      <c r="U535" s="35"/>
      <c r="V535" s="35"/>
      <c r="W535" s="85"/>
      <c r="X535" s="121">
        <v>37.6</v>
      </c>
      <c r="Y535" s="121"/>
      <c r="Z535" s="122">
        <f>X535</f>
        <v>37.6</v>
      </c>
      <c r="AA535" s="123">
        <f>IF(Z535&gt;0,$J535*Z535," ")</f>
        <v>14100</v>
      </c>
      <c r="AB535" s="123">
        <f>IF(Z535&gt;0,$J535," ")</f>
        <v>375</v>
      </c>
      <c r="AC535" s="120"/>
      <c r="AD535" s="39"/>
      <c r="AE535" s="39"/>
      <c r="AF535" s="38">
        <v>15.5</v>
      </c>
      <c r="AG535" s="39"/>
      <c r="AH535" s="39">
        <f>AF535</f>
        <v>15.5</v>
      </c>
      <c r="AI535" s="123">
        <f t="shared" si="88"/>
        <v>5812.5</v>
      </c>
      <c r="AJ535" s="123">
        <f t="shared" si="89"/>
        <v>375</v>
      </c>
      <c r="AK535" s="35"/>
      <c r="AL535" s="35"/>
      <c r="AM535" s="35"/>
      <c r="AP535" s="240"/>
      <c r="AS535"/>
      <c r="AT535"/>
      <c r="AU535" s="35"/>
      <c r="AV535"/>
      <c r="AW535"/>
      <c r="AX535"/>
      <c r="AY535"/>
      <c r="AZ535"/>
      <c r="BA535"/>
      <c r="BB535"/>
      <c r="BC535"/>
      <c r="BD535"/>
      <c r="BE535"/>
      <c r="BF535"/>
      <c r="BG535"/>
      <c r="BH535"/>
    </row>
    <row r="536" spans="1:61" s="72" customFormat="1" ht="12" customHeight="1" x14ac:dyDescent="0.2">
      <c r="A536" s="236"/>
      <c r="B536" s="184" t="s">
        <v>63</v>
      </c>
      <c r="C536" s="121"/>
      <c r="D536" s="167"/>
      <c r="E536" s="167"/>
      <c r="F536" s="169" t="s">
        <v>422</v>
      </c>
      <c r="G536" s="315" t="s">
        <v>355</v>
      </c>
      <c r="H536" s="97"/>
      <c r="I536" s="166">
        <v>2001</v>
      </c>
      <c r="J536" s="167">
        <v>1821</v>
      </c>
      <c r="K536" s="121">
        <f t="shared" si="90"/>
        <v>19.100000000000001</v>
      </c>
      <c r="L536" s="121" t="str">
        <f t="shared" si="91"/>
        <v/>
      </c>
      <c r="M536" s="333" t="s">
        <v>1044</v>
      </c>
      <c r="N536" s="98"/>
      <c r="O536" s="98"/>
      <c r="P536" s="169" t="s">
        <v>783</v>
      </c>
      <c r="Q536" s="169" t="s">
        <v>957</v>
      </c>
      <c r="R536" s="128"/>
      <c r="S536" s="357"/>
      <c r="T536" s="23"/>
      <c r="U536" s="35"/>
      <c r="V536" s="35"/>
      <c r="W536" s="85"/>
      <c r="X536" s="121">
        <v>19.100000000000001</v>
      </c>
      <c r="Y536" s="121"/>
      <c r="Z536" s="122">
        <f>X536</f>
        <v>19.100000000000001</v>
      </c>
      <c r="AA536" s="123">
        <f t="shared" si="86"/>
        <v>34781.100000000006</v>
      </c>
      <c r="AB536" s="123">
        <f t="shared" si="87"/>
        <v>1821</v>
      </c>
      <c r="AC536" s="120"/>
      <c r="AD536" s="39"/>
      <c r="AE536" s="39"/>
      <c r="AF536" s="38"/>
      <c r="AG536" s="39"/>
      <c r="AH536" s="39"/>
      <c r="AI536" s="123" t="str">
        <f t="shared" si="88"/>
        <v xml:space="preserve"> </v>
      </c>
      <c r="AJ536" s="123" t="str">
        <f t="shared" si="89"/>
        <v xml:space="preserve"> </v>
      </c>
      <c r="AK536" s="35"/>
      <c r="AL536" s="35"/>
      <c r="AM536" s="35"/>
      <c r="AP536" s="240"/>
      <c r="AS536"/>
      <c r="AT536"/>
      <c r="AU536" s="35"/>
      <c r="AV536"/>
      <c r="AW536"/>
      <c r="AX536"/>
      <c r="AY536"/>
      <c r="AZ536"/>
      <c r="BA536"/>
      <c r="BB536"/>
      <c r="BC536"/>
      <c r="BD536"/>
      <c r="BE536"/>
      <c r="BF536"/>
      <c r="BG536"/>
      <c r="BH536"/>
    </row>
    <row r="537" spans="1:61" s="72" customFormat="1" ht="12" customHeight="1" x14ac:dyDescent="0.2">
      <c r="A537" s="236"/>
      <c r="B537" s="184" t="s">
        <v>63</v>
      </c>
      <c r="C537" s="121"/>
      <c r="D537" s="167"/>
      <c r="E537" s="167"/>
      <c r="F537" s="169" t="s">
        <v>422</v>
      </c>
      <c r="G537" s="315" t="s">
        <v>355</v>
      </c>
      <c r="H537" s="97" t="s">
        <v>821</v>
      </c>
      <c r="I537" s="166">
        <v>2006</v>
      </c>
      <c r="J537" s="167">
        <v>1786</v>
      </c>
      <c r="K537" s="121" t="str">
        <f t="shared" si="90"/>
        <v/>
      </c>
      <c r="L537" s="121">
        <f t="shared" si="91"/>
        <v>27.4</v>
      </c>
      <c r="M537" s="333" t="s">
        <v>1044</v>
      </c>
      <c r="N537" s="98"/>
      <c r="O537" s="98"/>
      <c r="P537" s="169" t="s">
        <v>783</v>
      </c>
      <c r="Q537" s="169" t="s">
        <v>957</v>
      </c>
      <c r="R537" s="128"/>
      <c r="S537" s="357"/>
      <c r="T537" s="23"/>
      <c r="U537" s="35"/>
      <c r="V537" s="35"/>
      <c r="W537" s="85"/>
      <c r="X537" s="121"/>
      <c r="Y537" s="121"/>
      <c r="Z537" s="122"/>
      <c r="AA537" s="123"/>
      <c r="AB537" s="123"/>
      <c r="AC537" s="120"/>
      <c r="AD537" s="39"/>
      <c r="AE537" s="39"/>
      <c r="AF537" s="38">
        <v>27.4</v>
      </c>
      <c r="AG537" s="39"/>
      <c r="AH537" s="39">
        <f>AF537</f>
        <v>27.4</v>
      </c>
      <c r="AI537" s="123">
        <f t="shared" si="88"/>
        <v>48936.399999999994</v>
      </c>
      <c r="AJ537" s="123">
        <f t="shared" si="89"/>
        <v>1786</v>
      </c>
      <c r="AK537" s="35"/>
      <c r="AL537" s="35"/>
      <c r="AM537" s="35"/>
      <c r="AP537" s="240"/>
      <c r="AS537"/>
      <c r="AT537"/>
      <c r="AU537" s="35"/>
      <c r="AV537"/>
      <c r="AW537"/>
      <c r="AX537"/>
      <c r="AY537"/>
      <c r="AZ537"/>
      <c r="BA537"/>
      <c r="BB537"/>
      <c r="BC537"/>
      <c r="BD537"/>
      <c r="BE537"/>
      <c r="BF537"/>
      <c r="BG537"/>
      <c r="BH537"/>
    </row>
    <row r="538" spans="1:61" s="72" customFormat="1" ht="12" customHeight="1" x14ac:dyDescent="0.2">
      <c r="A538" s="236"/>
      <c r="B538" s="184" t="s">
        <v>63</v>
      </c>
      <c r="C538" s="121"/>
      <c r="D538" s="167"/>
      <c r="E538" s="167"/>
      <c r="F538" s="169" t="s">
        <v>422</v>
      </c>
      <c r="G538" s="315" t="s">
        <v>355</v>
      </c>
      <c r="H538" s="186" t="s">
        <v>821</v>
      </c>
      <c r="I538" s="166">
        <v>2000</v>
      </c>
      <c r="J538" s="167">
        <v>734</v>
      </c>
      <c r="K538" s="121">
        <f t="shared" si="90"/>
        <v>45</v>
      </c>
      <c r="L538" s="121">
        <f t="shared" si="91"/>
        <v>10</v>
      </c>
      <c r="M538" s="333" t="s">
        <v>1044</v>
      </c>
      <c r="N538" s="98"/>
      <c r="O538" s="98"/>
      <c r="P538" s="169" t="s">
        <v>794</v>
      </c>
      <c r="Q538" s="169" t="s">
        <v>957</v>
      </c>
      <c r="R538" s="128"/>
      <c r="S538" s="357"/>
      <c r="T538" s="23"/>
      <c r="U538" s="35"/>
      <c r="V538" s="35"/>
      <c r="W538" s="85"/>
      <c r="X538" s="121">
        <v>45</v>
      </c>
      <c r="Y538" s="121"/>
      <c r="Z538" s="122">
        <f>X538</f>
        <v>45</v>
      </c>
      <c r="AA538" s="123">
        <f>IF(Z538&gt;0,$J538*Z538," ")</f>
        <v>33030</v>
      </c>
      <c r="AB538" s="123">
        <f>IF(Z538&gt;0,$J538," ")</f>
        <v>734</v>
      </c>
      <c r="AC538" s="120"/>
      <c r="AD538" s="39"/>
      <c r="AE538" s="39"/>
      <c r="AF538" s="38">
        <v>10</v>
      </c>
      <c r="AG538" s="39"/>
      <c r="AH538" s="39">
        <f>AF538</f>
        <v>10</v>
      </c>
      <c r="AI538" s="123">
        <f>IF(AH538&gt;0,$J538*AH538," ")</f>
        <v>7340</v>
      </c>
      <c r="AJ538" s="123">
        <f>IF(AH538&gt;0,$J538," ")</f>
        <v>734</v>
      </c>
      <c r="AK538" s="35"/>
      <c r="AL538" s="35"/>
      <c r="AM538" s="35"/>
      <c r="AP538" s="240"/>
      <c r="AS538"/>
      <c r="AT538"/>
      <c r="AU538" s="35"/>
      <c r="AV538"/>
      <c r="AW538"/>
      <c r="AX538"/>
      <c r="AY538"/>
      <c r="AZ538"/>
      <c r="BA538"/>
      <c r="BB538"/>
      <c r="BC538"/>
      <c r="BD538"/>
      <c r="BE538"/>
      <c r="BF538"/>
      <c r="BG538"/>
      <c r="BH538"/>
    </row>
    <row r="539" spans="1:61" s="72" customFormat="1" ht="12" customHeight="1" x14ac:dyDescent="0.2">
      <c r="A539" s="236"/>
      <c r="B539" s="184" t="s">
        <v>63</v>
      </c>
      <c r="C539" s="121"/>
      <c r="D539" s="167"/>
      <c r="E539" s="167"/>
      <c r="F539" s="169" t="s">
        <v>422</v>
      </c>
      <c r="G539" s="315" t="s">
        <v>355</v>
      </c>
      <c r="H539" s="186" t="s">
        <v>860</v>
      </c>
      <c r="I539" s="166">
        <v>2001</v>
      </c>
      <c r="J539" s="167">
        <v>1155</v>
      </c>
      <c r="K539" s="121" t="str">
        <f t="shared" si="90"/>
        <v/>
      </c>
      <c r="L539" s="121">
        <f t="shared" si="91"/>
        <v>10.7</v>
      </c>
      <c r="M539" s="333" t="s">
        <v>1044</v>
      </c>
      <c r="N539" s="98"/>
      <c r="O539" s="98"/>
      <c r="P539" s="169" t="s">
        <v>794</v>
      </c>
      <c r="Q539" s="169" t="s">
        <v>957</v>
      </c>
      <c r="R539" s="128"/>
      <c r="S539" s="357"/>
      <c r="T539" s="23"/>
      <c r="U539" s="35"/>
      <c r="V539" s="35"/>
      <c r="W539" s="85"/>
      <c r="X539" s="121"/>
      <c r="Y539" s="121"/>
      <c r="Z539" s="122"/>
      <c r="AA539" s="123"/>
      <c r="AB539" s="123"/>
      <c r="AC539" s="120"/>
      <c r="AD539" s="39"/>
      <c r="AE539" s="39"/>
      <c r="AF539" s="38">
        <v>10.7</v>
      </c>
      <c r="AG539" s="39"/>
      <c r="AH539" s="39">
        <f>AF539</f>
        <v>10.7</v>
      </c>
      <c r="AI539" s="123">
        <f>IF(AH539&gt;0,$J539*AH539," ")</f>
        <v>12358.5</v>
      </c>
      <c r="AJ539" s="123">
        <f>IF(AH539&gt;0,$J539," ")</f>
        <v>1155</v>
      </c>
      <c r="AK539" s="35"/>
      <c r="AL539" s="35"/>
      <c r="AM539" s="35"/>
      <c r="AP539" s="240"/>
      <c r="AS539"/>
      <c r="AT539"/>
      <c r="AU539" s="35"/>
      <c r="AV539"/>
      <c r="AW539"/>
      <c r="AX539"/>
      <c r="AY539"/>
      <c r="AZ539"/>
      <c r="BA539"/>
      <c r="BB539"/>
      <c r="BC539"/>
      <c r="BD539"/>
      <c r="BE539"/>
      <c r="BF539"/>
      <c r="BG539"/>
      <c r="BH539"/>
    </row>
    <row r="540" spans="1:61" s="72" customFormat="1" ht="12" customHeight="1" x14ac:dyDescent="0.2">
      <c r="A540" s="236"/>
      <c r="B540" s="184" t="s">
        <v>63</v>
      </c>
      <c r="C540" s="121"/>
      <c r="D540" s="167"/>
      <c r="E540" s="167"/>
      <c r="F540" s="169" t="s">
        <v>422</v>
      </c>
      <c r="G540" s="315" t="s">
        <v>355</v>
      </c>
      <c r="H540" s="186" t="s">
        <v>821</v>
      </c>
      <c r="I540" s="166">
        <v>2001</v>
      </c>
      <c r="J540" s="167">
        <v>3408</v>
      </c>
      <c r="K540" s="121" t="str">
        <f t="shared" si="90"/>
        <v/>
      </c>
      <c r="L540" s="121">
        <f t="shared" si="91"/>
        <v>6</v>
      </c>
      <c r="M540" s="333" t="s">
        <v>1044</v>
      </c>
      <c r="N540" s="98"/>
      <c r="O540" s="98"/>
      <c r="P540" s="169"/>
      <c r="Q540" s="169" t="s">
        <v>957</v>
      </c>
      <c r="R540" s="128"/>
      <c r="S540" s="357"/>
      <c r="T540" s="23"/>
      <c r="U540" s="35"/>
      <c r="V540" s="35"/>
      <c r="W540" s="85"/>
      <c r="X540" s="121"/>
      <c r="Y540" s="121"/>
      <c r="Z540" s="122"/>
      <c r="AA540" s="123" t="str">
        <f t="shared" si="86"/>
        <v xml:space="preserve"> </v>
      </c>
      <c r="AB540" s="123" t="str">
        <f t="shared" si="87"/>
        <v xml:space="preserve"> </v>
      </c>
      <c r="AC540" s="120"/>
      <c r="AD540" s="39"/>
      <c r="AE540" s="39"/>
      <c r="AF540" s="38">
        <v>6</v>
      </c>
      <c r="AG540" s="39"/>
      <c r="AH540" s="39">
        <f>AF540</f>
        <v>6</v>
      </c>
      <c r="AI540" s="123">
        <f t="shared" si="88"/>
        <v>20448</v>
      </c>
      <c r="AJ540" s="123">
        <f t="shared" si="89"/>
        <v>3408</v>
      </c>
      <c r="AK540" s="35"/>
      <c r="AL540" s="35"/>
      <c r="AM540" s="35"/>
      <c r="AP540" s="240"/>
      <c r="AS540"/>
      <c r="AT540"/>
      <c r="AU540" s="35"/>
      <c r="AV540"/>
      <c r="AW540"/>
      <c r="AX540"/>
      <c r="AY540"/>
      <c r="AZ540"/>
      <c r="BA540"/>
      <c r="BB540"/>
      <c r="BC540"/>
      <c r="BD540"/>
      <c r="BE540"/>
      <c r="BF540"/>
      <c r="BG540"/>
      <c r="BH540"/>
    </row>
    <row r="541" spans="1:61" s="72" customFormat="1" ht="12" customHeight="1" x14ac:dyDescent="0.2">
      <c r="A541" s="236"/>
      <c r="B541" s="184" t="s">
        <v>63</v>
      </c>
      <c r="C541" s="121"/>
      <c r="D541" s="167"/>
      <c r="E541" s="167"/>
      <c r="F541" s="169" t="s">
        <v>422</v>
      </c>
      <c r="G541" s="315" t="s">
        <v>355</v>
      </c>
      <c r="H541" s="97"/>
      <c r="I541" s="166">
        <v>2002</v>
      </c>
      <c r="J541" s="167">
        <v>6790</v>
      </c>
      <c r="K541" s="121">
        <f t="shared" si="90"/>
        <v>13.3</v>
      </c>
      <c r="L541" s="121" t="str">
        <f t="shared" si="91"/>
        <v/>
      </c>
      <c r="M541" s="333" t="s">
        <v>1044</v>
      </c>
      <c r="N541" s="98"/>
      <c r="O541" s="98"/>
      <c r="P541" s="169" t="s">
        <v>783</v>
      </c>
      <c r="Q541" s="169" t="s">
        <v>957</v>
      </c>
      <c r="R541" s="128"/>
      <c r="S541" s="357"/>
      <c r="T541" s="23"/>
      <c r="U541" s="35"/>
      <c r="V541" s="35"/>
      <c r="W541" s="85"/>
      <c r="X541" s="121">
        <v>13.3</v>
      </c>
      <c r="Y541" s="121"/>
      <c r="Z541" s="122">
        <f>X541</f>
        <v>13.3</v>
      </c>
      <c r="AA541" s="123">
        <f t="shared" si="86"/>
        <v>90307</v>
      </c>
      <c r="AB541" s="123">
        <f t="shared" si="87"/>
        <v>6790</v>
      </c>
      <c r="AC541" s="120"/>
      <c r="AD541" s="39"/>
      <c r="AE541" s="39"/>
      <c r="AF541" s="38"/>
      <c r="AG541" s="39"/>
      <c r="AH541" s="39"/>
      <c r="AI541" s="123" t="str">
        <f t="shared" si="88"/>
        <v xml:space="preserve"> </v>
      </c>
      <c r="AJ541" s="123" t="str">
        <f t="shared" si="89"/>
        <v xml:space="preserve"> </v>
      </c>
      <c r="AK541" s="35"/>
      <c r="AL541" s="35"/>
      <c r="AM541" s="35"/>
      <c r="AP541" s="240"/>
      <c r="AS541"/>
      <c r="AT541"/>
      <c r="AU541" s="35"/>
      <c r="AV541"/>
      <c r="AW541"/>
      <c r="AX541"/>
      <c r="AY541"/>
      <c r="AZ541"/>
      <c r="BA541"/>
      <c r="BB541"/>
      <c r="BC541"/>
      <c r="BD541"/>
      <c r="BE541"/>
      <c r="BF541"/>
      <c r="BG541"/>
      <c r="BH541"/>
    </row>
    <row r="542" spans="1:61" s="72" customFormat="1" ht="12" customHeight="1" x14ac:dyDescent="0.2">
      <c r="A542" s="236"/>
      <c r="B542" s="184" t="s">
        <v>63</v>
      </c>
      <c r="C542" s="121"/>
      <c r="D542" s="167"/>
      <c r="E542" s="167"/>
      <c r="F542" s="169" t="s">
        <v>422</v>
      </c>
      <c r="G542" s="315" t="s">
        <v>355</v>
      </c>
      <c r="H542" s="186" t="s">
        <v>84</v>
      </c>
      <c r="I542" s="166">
        <v>1998</v>
      </c>
      <c r="J542" s="167">
        <v>3130</v>
      </c>
      <c r="K542" s="121">
        <f t="shared" si="90"/>
        <v>30</v>
      </c>
      <c r="L542" s="121">
        <f t="shared" si="91"/>
        <v>6</v>
      </c>
      <c r="M542" s="333" t="s">
        <v>1044</v>
      </c>
      <c r="N542" s="98"/>
      <c r="O542" s="98"/>
      <c r="P542" s="169"/>
      <c r="Q542" s="169" t="s">
        <v>957</v>
      </c>
      <c r="R542" s="128"/>
      <c r="S542" s="357"/>
      <c r="T542" s="23"/>
      <c r="U542" s="35"/>
      <c r="V542" s="35"/>
      <c r="W542" s="85"/>
      <c r="X542" s="121">
        <v>30</v>
      </c>
      <c r="Y542" s="121"/>
      <c r="Z542" s="122">
        <f>X542</f>
        <v>30</v>
      </c>
      <c r="AA542" s="123">
        <f>IF(Z542&gt;0,$J542*Z542," ")</f>
        <v>93900</v>
      </c>
      <c r="AB542" s="123">
        <f>IF(Z542&gt;0,$J542," ")</f>
        <v>3130</v>
      </c>
      <c r="AC542" s="120"/>
      <c r="AD542" s="39"/>
      <c r="AE542" s="39"/>
      <c r="AF542" s="38">
        <v>6</v>
      </c>
      <c r="AG542" s="39"/>
      <c r="AH542" s="39">
        <f>AF542</f>
        <v>6</v>
      </c>
      <c r="AI542" s="123">
        <f>IF(AH542&gt;0,$J542*AH542," ")</f>
        <v>18780</v>
      </c>
      <c r="AJ542" s="123">
        <f>IF(AH542&gt;0,$J542," ")</f>
        <v>3130</v>
      </c>
      <c r="AK542" s="35"/>
      <c r="AL542" s="35"/>
      <c r="AM542" s="35"/>
      <c r="AP542" s="240"/>
      <c r="AS542"/>
      <c r="AT542"/>
      <c r="AU542" s="35"/>
      <c r="AV542"/>
      <c r="AW542"/>
      <c r="AX542"/>
      <c r="AY542"/>
      <c r="AZ542"/>
      <c r="BA542"/>
      <c r="BB542"/>
      <c r="BC542"/>
      <c r="BD542"/>
      <c r="BE542"/>
      <c r="BF542"/>
      <c r="BG542"/>
      <c r="BH542"/>
    </row>
    <row r="543" spans="1:61" x14ac:dyDescent="0.2">
      <c r="A543" s="236"/>
      <c r="B543" s="184" t="s">
        <v>63</v>
      </c>
      <c r="C543" s="121"/>
      <c r="D543" s="167"/>
      <c r="E543" s="167"/>
      <c r="F543" s="169" t="s">
        <v>422</v>
      </c>
      <c r="G543" s="315" t="s">
        <v>355</v>
      </c>
      <c r="H543" s="166" t="s">
        <v>843</v>
      </c>
      <c r="I543" s="166">
        <v>1996</v>
      </c>
      <c r="J543" s="167">
        <v>2418</v>
      </c>
      <c r="K543" s="121" t="str">
        <f t="shared" si="90"/>
        <v/>
      </c>
      <c r="L543" s="121">
        <f t="shared" si="91"/>
        <v>6.7</v>
      </c>
      <c r="M543" s="333" t="s">
        <v>992</v>
      </c>
      <c r="N543" s="98" t="s">
        <v>47</v>
      </c>
      <c r="O543" s="98" t="s">
        <v>845</v>
      </c>
      <c r="P543" s="169" t="s">
        <v>783</v>
      </c>
      <c r="Q543" s="169" t="s">
        <v>991</v>
      </c>
      <c r="R543" s="37"/>
      <c r="S543" s="36"/>
      <c r="T543" s="23"/>
      <c r="U543" s="126" t="s">
        <v>1120</v>
      </c>
      <c r="V543" s="35"/>
      <c r="W543" s="35"/>
      <c r="X543" s="42"/>
      <c r="Y543" s="42"/>
      <c r="Z543" s="122"/>
      <c r="AA543" s="230"/>
      <c r="AB543" s="230"/>
      <c r="AC543" s="85"/>
      <c r="AD543" s="38"/>
      <c r="AE543" s="38"/>
      <c r="AF543" s="38">
        <v>6.7</v>
      </c>
      <c r="AG543" s="38"/>
      <c r="AH543" s="38">
        <f>AF543</f>
        <v>6.7</v>
      </c>
      <c r="AI543" s="230">
        <f t="shared" si="88"/>
        <v>16200.6</v>
      </c>
      <c r="AJ543" s="230">
        <f t="shared" si="89"/>
        <v>2418</v>
      </c>
      <c r="AK543" s="35"/>
      <c r="AL543" s="35"/>
      <c r="AM543" s="35"/>
      <c r="AN543" s="233" t="s">
        <v>844</v>
      </c>
      <c r="AO543" s="232">
        <v>40529</v>
      </c>
      <c r="AU543" s="35"/>
      <c r="AW543" s="102"/>
      <c r="BI543" s="72"/>
    </row>
    <row r="544" spans="1:61" s="72" customFormat="1" ht="12" customHeight="1" x14ac:dyDescent="0.2">
      <c r="A544" s="236"/>
      <c r="B544" s="184" t="s">
        <v>63</v>
      </c>
      <c r="C544" s="121"/>
      <c r="D544" s="167"/>
      <c r="E544" s="167"/>
      <c r="F544" s="169" t="s">
        <v>422</v>
      </c>
      <c r="G544" s="315" t="s">
        <v>355</v>
      </c>
      <c r="H544" s="97" t="s">
        <v>792</v>
      </c>
      <c r="I544" s="166">
        <v>2003</v>
      </c>
      <c r="J544" s="167">
        <v>689</v>
      </c>
      <c r="K544" s="121" t="str">
        <f t="shared" si="90"/>
        <v/>
      </c>
      <c r="L544" s="121">
        <f t="shared" si="91"/>
        <v>2.9</v>
      </c>
      <c r="M544" s="333" t="s">
        <v>1044</v>
      </c>
      <c r="N544" s="98"/>
      <c r="O544" s="98"/>
      <c r="P544" s="169" t="s">
        <v>783</v>
      </c>
      <c r="Q544" s="169" t="s">
        <v>957</v>
      </c>
      <c r="R544" s="128"/>
      <c r="S544" s="357"/>
      <c r="T544" s="23"/>
      <c r="U544" s="35"/>
      <c r="V544" s="35"/>
      <c r="W544" s="85"/>
      <c r="X544" s="121"/>
      <c r="Y544" s="121"/>
      <c r="Z544" s="122"/>
      <c r="AA544" s="123" t="str">
        <f t="shared" ref="AA544:AA561" si="92">IF(Z544&gt;0,$J544*Z544," ")</f>
        <v xml:space="preserve"> </v>
      </c>
      <c r="AB544" s="123" t="str">
        <f t="shared" ref="AB544:AB561" si="93">IF(Z544&gt;0,$J544," ")</f>
        <v xml:space="preserve"> </v>
      </c>
      <c r="AC544" s="120"/>
      <c r="AD544" s="39"/>
      <c r="AE544" s="39"/>
      <c r="AF544" s="38">
        <v>2.9</v>
      </c>
      <c r="AG544" s="39"/>
      <c r="AH544" s="39">
        <f>AF544</f>
        <v>2.9</v>
      </c>
      <c r="AI544" s="123">
        <f t="shared" ref="AI544:AI561" si="94">IF(AH544&gt;0,$J544*AH544," ")</f>
        <v>1998.1</v>
      </c>
      <c r="AJ544" s="123">
        <f t="shared" ref="AJ544:AJ561" si="95">IF(AH544&gt;0,$J544," ")</f>
        <v>689</v>
      </c>
      <c r="AK544" s="35"/>
      <c r="AL544" s="35"/>
      <c r="AM544" s="35"/>
      <c r="AP544" s="240"/>
      <c r="AS544"/>
      <c r="AT544"/>
      <c r="AU544" s="35"/>
      <c r="AV544"/>
      <c r="AW544" s="102"/>
      <c r="AX544"/>
      <c r="AY544"/>
      <c r="AZ544"/>
      <c r="BA544"/>
      <c r="BB544"/>
      <c r="BC544"/>
      <c r="BD544"/>
      <c r="BE544"/>
      <c r="BF544"/>
      <c r="BG544"/>
      <c r="BH544"/>
    </row>
    <row r="545" spans="1:61" s="72" customFormat="1" ht="12" customHeight="1" x14ac:dyDescent="0.2">
      <c r="A545" s="236"/>
      <c r="B545" s="184" t="s">
        <v>63</v>
      </c>
      <c r="C545" s="121"/>
      <c r="D545" s="167"/>
      <c r="E545" s="167"/>
      <c r="F545" s="169" t="s">
        <v>422</v>
      </c>
      <c r="G545" s="315" t="s">
        <v>355</v>
      </c>
      <c r="H545" s="97" t="s">
        <v>793</v>
      </c>
      <c r="I545" s="166">
        <v>2003</v>
      </c>
      <c r="J545" s="167">
        <v>3527</v>
      </c>
      <c r="K545" s="121" t="str">
        <f t="shared" si="90"/>
        <v/>
      </c>
      <c r="L545" s="121">
        <f t="shared" si="91"/>
        <v>1.9</v>
      </c>
      <c r="M545" s="333" t="s">
        <v>1044</v>
      </c>
      <c r="N545" s="98"/>
      <c r="O545" s="98"/>
      <c r="P545" s="169" t="s">
        <v>796</v>
      </c>
      <c r="Q545" s="169" t="s">
        <v>957</v>
      </c>
      <c r="R545" s="128"/>
      <c r="S545" s="357"/>
      <c r="T545" s="23"/>
      <c r="U545" s="35"/>
      <c r="V545" s="35"/>
      <c r="W545" s="85"/>
      <c r="X545" s="121"/>
      <c r="Y545" s="121"/>
      <c r="Z545" s="122"/>
      <c r="AA545" s="123" t="str">
        <f t="shared" si="92"/>
        <v xml:space="preserve"> </v>
      </c>
      <c r="AB545" s="123" t="str">
        <f t="shared" si="93"/>
        <v xml:space="preserve"> </v>
      </c>
      <c r="AC545" s="120"/>
      <c r="AD545" s="39"/>
      <c r="AE545" s="39"/>
      <c r="AF545" s="38">
        <v>1.9</v>
      </c>
      <c r="AG545" s="39"/>
      <c r="AH545" s="39">
        <f>AF545</f>
        <v>1.9</v>
      </c>
      <c r="AI545" s="123">
        <f t="shared" si="94"/>
        <v>6701.2999999999993</v>
      </c>
      <c r="AJ545" s="123">
        <f t="shared" si="95"/>
        <v>3527</v>
      </c>
      <c r="AK545" s="35"/>
      <c r="AL545" s="35"/>
      <c r="AM545" s="35"/>
      <c r="AP545" s="240"/>
      <c r="AS545"/>
      <c r="AT545"/>
      <c r="AU545" s="35"/>
      <c r="AV545"/>
      <c r="AW545"/>
      <c r="AX545"/>
      <c r="AY545"/>
      <c r="AZ545"/>
      <c r="BA545"/>
      <c r="BB545"/>
      <c r="BC545"/>
      <c r="BD545"/>
      <c r="BE545"/>
      <c r="BF545"/>
      <c r="BG545"/>
      <c r="BH545"/>
      <c r="BI545"/>
    </row>
    <row r="546" spans="1:61" s="72" customFormat="1" ht="12" customHeight="1" x14ac:dyDescent="0.2">
      <c r="A546" s="236"/>
      <c r="B546" s="184" t="s">
        <v>63</v>
      </c>
      <c r="C546" s="121"/>
      <c r="D546" s="167"/>
      <c r="E546" s="167"/>
      <c r="F546" s="169" t="s">
        <v>422</v>
      </c>
      <c r="G546" s="315" t="s">
        <v>355</v>
      </c>
      <c r="H546" s="97" t="s">
        <v>855</v>
      </c>
      <c r="I546" s="166">
        <v>2006</v>
      </c>
      <c r="J546" s="167">
        <v>112</v>
      </c>
      <c r="K546" s="121">
        <f t="shared" si="90"/>
        <v>40</v>
      </c>
      <c r="L546" s="121" t="str">
        <f t="shared" si="91"/>
        <v/>
      </c>
      <c r="M546" s="333" t="s">
        <v>1044</v>
      </c>
      <c r="N546" s="98" t="s">
        <v>17</v>
      </c>
      <c r="O546" s="98"/>
      <c r="P546" s="169"/>
      <c r="Q546" s="169" t="s">
        <v>957</v>
      </c>
      <c r="R546" s="128"/>
      <c r="S546" s="357"/>
      <c r="T546" s="23"/>
      <c r="U546" s="35"/>
      <c r="V546" s="35"/>
      <c r="W546" s="85"/>
      <c r="X546" s="121">
        <v>40</v>
      </c>
      <c r="Y546" s="121"/>
      <c r="Z546" s="122">
        <f>X546</f>
        <v>40</v>
      </c>
      <c r="AA546" s="123">
        <f t="shared" si="92"/>
        <v>4480</v>
      </c>
      <c r="AB546" s="123">
        <f t="shared" si="93"/>
        <v>112</v>
      </c>
      <c r="AC546" s="120"/>
      <c r="AD546" s="39"/>
      <c r="AE546" s="39"/>
      <c r="AF546" s="38"/>
      <c r="AG546" s="39"/>
      <c r="AH546" s="39"/>
      <c r="AI546" s="123"/>
      <c r="AJ546" s="123"/>
      <c r="AK546" s="35"/>
      <c r="AL546" s="35"/>
      <c r="AM546" s="35"/>
      <c r="AP546" s="240"/>
      <c r="AS546"/>
      <c r="AT546"/>
      <c r="AU546" s="35"/>
      <c r="AV546"/>
      <c r="AW546"/>
      <c r="AX546"/>
      <c r="AY546"/>
      <c r="AZ546"/>
      <c r="BA546"/>
      <c r="BB546"/>
      <c r="BC546"/>
      <c r="BD546"/>
      <c r="BE546"/>
      <c r="BF546"/>
      <c r="BG546"/>
      <c r="BH546"/>
    </row>
    <row r="547" spans="1:61" ht="12" customHeight="1" x14ac:dyDescent="0.2">
      <c r="A547" s="236"/>
      <c r="B547" s="184" t="s">
        <v>63</v>
      </c>
      <c r="C547" s="121"/>
      <c r="D547" s="167"/>
      <c r="E547" s="167"/>
      <c r="F547" s="169" t="s">
        <v>422</v>
      </c>
      <c r="G547" s="315" t="s">
        <v>355</v>
      </c>
      <c r="H547" s="186"/>
      <c r="I547" s="166">
        <v>2005</v>
      </c>
      <c r="J547" s="167">
        <v>637</v>
      </c>
      <c r="K547" s="121">
        <f t="shared" si="90"/>
        <v>16</v>
      </c>
      <c r="L547" s="121" t="str">
        <f t="shared" si="91"/>
        <v/>
      </c>
      <c r="M547" s="333" t="s">
        <v>1044</v>
      </c>
      <c r="N547" s="237"/>
      <c r="O547" s="237"/>
      <c r="P547" s="169"/>
      <c r="Q547" s="169" t="s">
        <v>957</v>
      </c>
      <c r="R547" s="136"/>
      <c r="S547" s="360"/>
      <c r="T547" s="23"/>
      <c r="U547" s="126" t="s">
        <v>788</v>
      </c>
      <c r="V547" s="126"/>
      <c r="W547" s="158"/>
      <c r="X547" s="277">
        <v>16</v>
      </c>
      <c r="Y547" s="121"/>
      <c r="Z547" s="122">
        <f>X547</f>
        <v>16</v>
      </c>
      <c r="AA547" s="123">
        <f t="shared" si="92"/>
        <v>10192</v>
      </c>
      <c r="AB547" s="123">
        <f t="shared" si="93"/>
        <v>637</v>
      </c>
      <c r="AC547" s="120"/>
      <c r="AD547" s="39"/>
      <c r="AE547" s="39"/>
      <c r="AF547" s="39"/>
      <c r="AG547" s="39"/>
      <c r="AH547" s="39"/>
      <c r="AI547" s="123" t="str">
        <f t="shared" si="94"/>
        <v xml:space="preserve"> </v>
      </c>
      <c r="AJ547" s="123" t="str">
        <f t="shared" si="95"/>
        <v xml:space="preserve"> </v>
      </c>
      <c r="AK547" s="35"/>
      <c r="AL547" s="35"/>
      <c r="AM547" s="35"/>
      <c r="AS547" s="102"/>
      <c r="AT547" s="102"/>
      <c r="AU547" s="35"/>
      <c r="AV547" s="102"/>
      <c r="AX547" s="102"/>
      <c r="AY547" s="102"/>
      <c r="AZ547" s="102"/>
      <c r="BA547" s="102"/>
      <c r="BB547" s="102"/>
      <c r="BC547" s="102"/>
      <c r="BD547" s="102"/>
      <c r="BE547" s="102"/>
      <c r="BF547" s="102"/>
      <c r="BG547" s="102"/>
      <c r="BH547" s="102"/>
      <c r="BI547" s="72"/>
    </row>
    <row r="548" spans="1:61" s="72" customFormat="1" ht="12" customHeight="1" x14ac:dyDescent="0.2">
      <c r="A548" s="236"/>
      <c r="B548" s="184" t="s">
        <v>63</v>
      </c>
      <c r="C548" s="121"/>
      <c r="D548" s="167"/>
      <c r="E548" s="167"/>
      <c r="F548" s="169" t="s">
        <v>422</v>
      </c>
      <c r="G548" s="315" t="s">
        <v>355</v>
      </c>
      <c r="H548" s="97" t="s">
        <v>14</v>
      </c>
      <c r="I548" s="166" t="s">
        <v>26</v>
      </c>
      <c r="J548" s="167">
        <v>8000</v>
      </c>
      <c r="K548" s="121">
        <f t="shared" si="90"/>
        <v>22</v>
      </c>
      <c r="L548" s="121">
        <f t="shared" si="91"/>
        <v>1.3</v>
      </c>
      <c r="M548" s="332" t="s">
        <v>1041</v>
      </c>
      <c r="N548" s="98" t="s">
        <v>17</v>
      </c>
      <c r="O548" s="98" t="s">
        <v>33</v>
      </c>
      <c r="P548" s="168"/>
      <c r="Q548" s="169" t="s">
        <v>523</v>
      </c>
      <c r="R548" s="37"/>
      <c r="S548" s="36"/>
      <c r="T548" s="23"/>
      <c r="U548" s="35"/>
      <c r="V548" s="35"/>
      <c r="W548" s="85"/>
      <c r="X548" s="121"/>
      <c r="Y548" s="121"/>
      <c r="Z548" s="122">
        <v>22</v>
      </c>
      <c r="AA548" s="123">
        <f t="shared" si="92"/>
        <v>176000</v>
      </c>
      <c r="AB548" s="123">
        <f t="shared" si="93"/>
        <v>8000</v>
      </c>
      <c r="AC548" s="120"/>
      <c r="AD548" s="39"/>
      <c r="AE548" s="39"/>
      <c r="AF548" s="39">
        <v>1.3</v>
      </c>
      <c r="AG548" s="39"/>
      <c r="AH548" s="39">
        <v>1.3</v>
      </c>
      <c r="AI548" s="123">
        <f t="shared" si="94"/>
        <v>10400</v>
      </c>
      <c r="AJ548" s="123">
        <f t="shared" si="95"/>
        <v>8000</v>
      </c>
      <c r="AK548" s="35"/>
      <c r="AL548" s="35"/>
      <c r="AM548" s="35"/>
      <c r="AP548" s="240"/>
      <c r="AS548" s="102"/>
      <c r="AT548" s="102"/>
      <c r="AU548" s="35"/>
      <c r="AV548" s="102"/>
      <c r="AW548"/>
      <c r="AX548" s="102"/>
      <c r="AY548" s="102"/>
      <c r="AZ548" s="102"/>
      <c r="BA548" s="102"/>
      <c r="BB548" s="102"/>
      <c r="BC548" s="102"/>
      <c r="BD548" s="102"/>
      <c r="BE548" s="102"/>
      <c r="BF548" s="102"/>
      <c r="BG548" s="102"/>
      <c r="BH548" s="102"/>
    </row>
    <row r="549" spans="1:61" s="72" customFormat="1" ht="12" customHeight="1" x14ac:dyDescent="0.2">
      <c r="A549" s="236"/>
      <c r="B549" s="184" t="s">
        <v>63</v>
      </c>
      <c r="C549" s="121"/>
      <c r="D549" s="167"/>
      <c r="E549" s="167"/>
      <c r="F549" s="169" t="s">
        <v>422</v>
      </c>
      <c r="G549" s="315" t="s">
        <v>355</v>
      </c>
      <c r="H549" s="97" t="s">
        <v>14</v>
      </c>
      <c r="I549" s="166">
        <v>2000</v>
      </c>
      <c r="J549" s="167"/>
      <c r="K549" s="121"/>
      <c r="L549" s="121"/>
      <c r="M549" s="332"/>
      <c r="N549" s="98"/>
      <c r="O549" s="98"/>
      <c r="P549" s="168" t="s">
        <v>1123</v>
      </c>
      <c r="Q549" s="169"/>
      <c r="R549" s="37" t="s">
        <v>1121</v>
      </c>
      <c r="S549" s="36"/>
      <c r="T549" s="23"/>
      <c r="U549" s="35"/>
      <c r="V549" s="35"/>
      <c r="W549" s="85"/>
      <c r="X549" s="121">
        <v>22.1</v>
      </c>
      <c r="Y549" s="121"/>
      <c r="Z549" s="122">
        <f>X549</f>
        <v>22.1</v>
      </c>
      <c r="AA549" s="123"/>
      <c r="AB549" s="123"/>
      <c r="AC549" s="120"/>
      <c r="AD549" s="39"/>
      <c r="AE549" s="39"/>
      <c r="AF549" s="39">
        <v>1.3</v>
      </c>
      <c r="AG549" s="39"/>
      <c r="AH549" s="39">
        <f>AF549</f>
        <v>1.3</v>
      </c>
      <c r="AI549" s="123"/>
      <c r="AJ549" s="123"/>
      <c r="AK549" s="35"/>
      <c r="AL549" s="35"/>
      <c r="AM549" s="35"/>
      <c r="AP549" s="240"/>
      <c r="AS549" s="102"/>
      <c r="AT549" s="102"/>
      <c r="AU549" s="35"/>
      <c r="AV549" s="102"/>
      <c r="AW549"/>
      <c r="AX549" s="102"/>
      <c r="AY549" s="102"/>
      <c r="AZ549" s="102"/>
      <c r="BA549" s="102"/>
      <c r="BB549" s="102"/>
      <c r="BC549" s="102"/>
      <c r="BD549" s="102"/>
      <c r="BE549" s="102"/>
      <c r="BF549" s="102"/>
      <c r="BG549" s="102"/>
      <c r="BH549" s="102"/>
    </row>
    <row r="550" spans="1:61" s="72" customFormat="1" ht="12" customHeight="1" x14ac:dyDescent="0.2">
      <c r="A550" s="236"/>
      <c r="B550" s="184" t="s">
        <v>63</v>
      </c>
      <c r="C550" s="121"/>
      <c r="D550" s="167"/>
      <c r="E550" s="167"/>
      <c r="F550" s="169" t="s">
        <v>422</v>
      </c>
      <c r="G550" s="315" t="s">
        <v>355</v>
      </c>
      <c r="H550" s="97" t="s">
        <v>313</v>
      </c>
      <c r="I550" s="166" t="s">
        <v>312</v>
      </c>
      <c r="J550" s="167">
        <v>3568</v>
      </c>
      <c r="K550" s="121">
        <f t="shared" si="90"/>
        <v>44</v>
      </c>
      <c r="L550" s="121">
        <f t="shared" si="91"/>
        <v>4</v>
      </c>
      <c r="M550" s="333" t="s">
        <v>746</v>
      </c>
      <c r="N550" s="98" t="s">
        <v>17</v>
      </c>
      <c r="O550" s="98" t="s">
        <v>106</v>
      </c>
      <c r="P550" s="168"/>
      <c r="Q550" s="169" t="s">
        <v>993</v>
      </c>
      <c r="R550" s="128"/>
      <c r="S550" s="357"/>
      <c r="T550" s="23"/>
      <c r="U550" s="271" t="s">
        <v>745</v>
      </c>
      <c r="V550" s="35"/>
      <c r="W550" s="85"/>
      <c r="X550" s="121"/>
      <c r="Y550" s="121"/>
      <c r="Z550" s="122">
        <v>44</v>
      </c>
      <c r="AA550" s="123">
        <f t="shared" si="92"/>
        <v>156992</v>
      </c>
      <c r="AB550" s="123">
        <f t="shared" si="93"/>
        <v>3568</v>
      </c>
      <c r="AC550" s="120"/>
      <c r="AD550" s="39"/>
      <c r="AE550" s="39"/>
      <c r="AF550" s="39">
        <v>4</v>
      </c>
      <c r="AG550" s="39">
        <v>7.9</v>
      </c>
      <c r="AH550" s="39">
        <f>AF550</f>
        <v>4</v>
      </c>
      <c r="AI550" s="123">
        <f t="shared" si="94"/>
        <v>14272</v>
      </c>
      <c r="AJ550" s="123">
        <f t="shared" si="95"/>
        <v>3568</v>
      </c>
      <c r="AK550" s="35"/>
      <c r="AL550" s="35"/>
      <c r="AM550" s="35"/>
      <c r="AN550" s="119" t="s">
        <v>314</v>
      </c>
      <c r="AO550" s="171">
        <v>40515</v>
      </c>
      <c r="AP550" s="240"/>
      <c r="AS550" s="102"/>
      <c r="AT550" s="102"/>
      <c r="AU550" s="35"/>
      <c r="AV550" s="102"/>
      <c r="AW550"/>
      <c r="AX550" s="102"/>
      <c r="AY550" s="102"/>
      <c r="AZ550" s="102"/>
      <c r="BA550" s="102"/>
      <c r="BB550" s="102"/>
      <c r="BC550" s="102"/>
      <c r="BD550" s="102"/>
      <c r="BE550" s="102"/>
      <c r="BF550" s="102"/>
      <c r="BG550" s="102"/>
      <c r="BH550" s="102"/>
      <c r="BI550"/>
    </row>
    <row r="551" spans="1:61" s="72" customFormat="1" ht="12" customHeight="1" x14ac:dyDescent="0.2">
      <c r="A551" s="236"/>
      <c r="B551" s="184" t="s">
        <v>59</v>
      </c>
      <c r="C551" s="121"/>
      <c r="D551" s="167"/>
      <c r="E551" s="167"/>
      <c r="F551" s="169" t="s">
        <v>1132</v>
      </c>
      <c r="G551" s="315" t="s">
        <v>59</v>
      </c>
      <c r="H551" s="186" t="s">
        <v>561</v>
      </c>
      <c r="I551" s="166">
        <v>1997</v>
      </c>
      <c r="J551" s="167">
        <v>545</v>
      </c>
      <c r="K551" s="121">
        <f t="shared" si="90"/>
        <v>10</v>
      </c>
      <c r="L551" s="121">
        <f t="shared" si="91"/>
        <v>10</v>
      </c>
      <c r="M551" s="332" t="s">
        <v>1041</v>
      </c>
      <c r="N551" s="98" t="s">
        <v>18</v>
      </c>
      <c r="O551" s="98" t="s">
        <v>49</v>
      </c>
      <c r="P551" s="168"/>
      <c r="Q551" s="169" t="s">
        <v>523</v>
      </c>
      <c r="R551" s="136"/>
      <c r="S551" s="36"/>
      <c r="T551" s="23"/>
      <c r="U551" s="35"/>
      <c r="V551" s="35"/>
      <c r="W551" s="85"/>
      <c r="X551" s="121"/>
      <c r="Y551" s="121">
        <v>10</v>
      </c>
      <c r="Z551" s="122">
        <f>Y551</f>
        <v>10</v>
      </c>
      <c r="AA551" s="123">
        <f t="shared" si="92"/>
        <v>5450</v>
      </c>
      <c r="AB551" s="123">
        <f t="shared" si="93"/>
        <v>545</v>
      </c>
      <c r="AC551" s="120"/>
      <c r="AD551" s="39"/>
      <c r="AE551" s="39">
        <v>10</v>
      </c>
      <c r="AF551" s="39"/>
      <c r="AG551" s="39"/>
      <c r="AH551" s="39">
        <v>10</v>
      </c>
      <c r="AI551" s="123">
        <f t="shared" si="94"/>
        <v>5450</v>
      </c>
      <c r="AJ551" s="123">
        <f t="shared" si="95"/>
        <v>545</v>
      </c>
      <c r="AK551" s="35"/>
      <c r="AL551" s="35"/>
      <c r="AM551" s="35"/>
      <c r="AP551" s="240"/>
      <c r="AS551"/>
      <c r="AT551"/>
      <c r="AU551" s="35"/>
      <c r="AV551"/>
      <c r="AW551"/>
      <c r="AX551"/>
      <c r="AY551"/>
      <c r="AZ551"/>
      <c r="BA551"/>
      <c r="BB551"/>
      <c r="BC551"/>
      <c r="BD551"/>
      <c r="BE551"/>
      <c r="BF551"/>
      <c r="BG551"/>
      <c r="BH551"/>
    </row>
    <row r="552" spans="1:61" s="72" customFormat="1" ht="12" customHeight="1" x14ac:dyDescent="0.2">
      <c r="A552" s="236"/>
      <c r="B552" s="184" t="s">
        <v>82</v>
      </c>
      <c r="C552" s="121"/>
      <c r="D552" s="167"/>
      <c r="E552" s="167"/>
      <c r="F552" s="169" t="s">
        <v>1125</v>
      </c>
      <c r="G552" s="315" t="s">
        <v>82</v>
      </c>
      <c r="H552" s="97" t="s">
        <v>85</v>
      </c>
      <c r="I552" s="166">
        <v>2004</v>
      </c>
      <c r="J552" s="167">
        <v>1090</v>
      </c>
      <c r="K552" s="121">
        <f t="shared" si="90"/>
        <v>25</v>
      </c>
      <c r="L552" s="121">
        <f t="shared" si="91"/>
        <v>14</v>
      </c>
      <c r="M552" s="332" t="s">
        <v>1041</v>
      </c>
      <c r="N552" s="98" t="s">
        <v>15</v>
      </c>
      <c r="O552" s="98" t="s">
        <v>89</v>
      </c>
      <c r="P552" s="168"/>
      <c r="Q552" s="169" t="s">
        <v>523</v>
      </c>
      <c r="R552" s="37"/>
      <c r="S552" s="36"/>
      <c r="T552" s="23"/>
      <c r="U552" s="35"/>
      <c r="V552" s="35"/>
      <c r="W552" s="85"/>
      <c r="X552" s="121"/>
      <c r="Y552" s="121"/>
      <c r="Z552" s="122">
        <v>25</v>
      </c>
      <c r="AA552" s="123">
        <f t="shared" si="92"/>
        <v>27250</v>
      </c>
      <c r="AB552" s="123">
        <f t="shared" si="93"/>
        <v>1090</v>
      </c>
      <c r="AC552" s="120"/>
      <c r="AD552" s="39">
        <v>14</v>
      </c>
      <c r="AE552" s="39"/>
      <c r="AF552" s="39"/>
      <c r="AG552" s="39"/>
      <c r="AH552" s="39">
        <v>14</v>
      </c>
      <c r="AI552" s="123">
        <f t="shared" si="94"/>
        <v>15260</v>
      </c>
      <c r="AJ552" s="123">
        <f t="shared" si="95"/>
        <v>1090</v>
      </c>
      <c r="AK552" s="35"/>
      <c r="AL552" s="35"/>
      <c r="AM552" s="35"/>
      <c r="AP552" s="240"/>
      <c r="AS552"/>
      <c r="AT552"/>
      <c r="AU552" s="35"/>
      <c r="AV552"/>
      <c r="AW552"/>
      <c r="AX552"/>
      <c r="AY552"/>
      <c r="AZ552"/>
      <c r="BA552"/>
      <c r="BB552"/>
      <c r="BC552"/>
      <c r="BD552"/>
      <c r="BE552"/>
      <c r="BF552"/>
      <c r="BG552"/>
      <c r="BH552"/>
    </row>
    <row r="553" spans="1:61" s="72" customFormat="1" ht="12" customHeight="1" x14ac:dyDescent="0.2">
      <c r="A553" s="236"/>
      <c r="B553" s="184" t="s">
        <v>82</v>
      </c>
      <c r="C553" s="121"/>
      <c r="D553" s="167"/>
      <c r="E553" s="167"/>
      <c r="F553" s="169" t="s">
        <v>1125</v>
      </c>
      <c r="G553" s="315" t="s">
        <v>82</v>
      </c>
      <c r="H553" s="97"/>
      <c r="I553" s="166">
        <v>2009</v>
      </c>
      <c r="J553" s="167"/>
      <c r="K553" s="121">
        <f>IF(Z553&gt;0,Z553,"")</f>
        <v>32</v>
      </c>
      <c r="L553" s="121">
        <f>IF(AH553&gt;0,AH553,"")</f>
        <v>6</v>
      </c>
      <c r="M553" s="15" t="s">
        <v>1069</v>
      </c>
      <c r="N553" s="98"/>
      <c r="O553" s="98"/>
      <c r="P553" s="169" t="s">
        <v>243</v>
      </c>
      <c r="Q553" s="169" t="s">
        <v>876</v>
      </c>
      <c r="R553" s="37"/>
      <c r="S553" s="36"/>
      <c r="T553" s="23"/>
      <c r="U553" s="35"/>
      <c r="V553" s="35"/>
      <c r="W553" s="85"/>
      <c r="X553" s="121">
        <v>32</v>
      </c>
      <c r="Y553" s="121">
        <v>34.4</v>
      </c>
      <c r="Z553" s="122">
        <f>X553</f>
        <v>32</v>
      </c>
      <c r="AA553" s="123">
        <f>IF(Z553&gt;0,$J553*Z553," ")</f>
        <v>0</v>
      </c>
      <c r="AB553" s="123">
        <f>IF(Z553&gt;0,$J553," ")</f>
        <v>0</v>
      </c>
      <c r="AC553" s="120"/>
      <c r="AD553" s="39"/>
      <c r="AE553" s="39"/>
      <c r="AF553" s="39">
        <v>6</v>
      </c>
      <c r="AG553" s="39">
        <v>9</v>
      </c>
      <c r="AH553" s="39">
        <f>AF553</f>
        <v>6</v>
      </c>
      <c r="AI553" s="123">
        <f>IF(AH553&gt;0,$J553*AH553," ")</f>
        <v>0</v>
      </c>
      <c r="AJ553" s="123">
        <f>IF(AH553&gt;0,$J553," ")</f>
        <v>0</v>
      </c>
      <c r="AK553" s="35"/>
      <c r="AL553" s="35"/>
      <c r="AM553" s="35"/>
      <c r="AP553" s="240"/>
      <c r="AS553"/>
      <c r="AT553"/>
      <c r="AU553" s="35"/>
      <c r="AV553"/>
      <c r="AW553"/>
      <c r="AX553"/>
      <c r="AY553"/>
      <c r="AZ553"/>
      <c r="BA553"/>
      <c r="BB553"/>
      <c r="BC553"/>
      <c r="BD553"/>
      <c r="BE553"/>
      <c r="BF553"/>
      <c r="BG553"/>
      <c r="BH553"/>
    </row>
    <row r="554" spans="1:61" s="72" customFormat="1" ht="12" customHeight="1" x14ac:dyDescent="0.2">
      <c r="A554" s="236"/>
      <c r="B554" s="184" t="s">
        <v>357</v>
      </c>
      <c r="C554" s="121"/>
      <c r="D554" s="167"/>
      <c r="E554" s="167"/>
      <c r="F554" s="169" t="s">
        <v>1125</v>
      </c>
      <c r="G554" s="315" t="s">
        <v>357</v>
      </c>
      <c r="H554" s="97"/>
      <c r="I554" s="166">
        <v>2000</v>
      </c>
      <c r="J554" s="167">
        <v>999999999</v>
      </c>
      <c r="K554" s="121">
        <f t="shared" si="90"/>
        <v>47</v>
      </c>
      <c r="L554" s="121" t="str">
        <f t="shared" si="91"/>
        <v/>
      </c>
      <c r="M554" s="333" t="s">
        <v>777</v>
      </c>
      <c r="N554" s="98" t="s">
        <v>17</v>
      </c>
      <c r="O554" s="98"/>
      <c r="P554" s="98"/>
      <c r="Q554" s="169" t="s">
        <v>981</v>
      </c>
      <c r="S554" s="36"/>
      <c r="T554" s="23"/>
      <c r="U554" s="35"/>
      <c r="V554" s="35" t="s">
        <v>563</v>
      </c>
      <c r="W554" s="85"/>
      <c r="X554" s="42"/>
      <c r="Y554" s="42"/>
      <c r="Z554" s="122">
        <v>47</v>
      </c>
      <c r="AA554" s="123">
        <f t="shared" si="92"/>
        <v>46999999953</v>
      </c>
      <c r="AB554" s="123">
        <f t="shared" si="93"/>
        <v>999999999</v>
      </c>
      <c r="AC554" s="85"/>
      <c r="AD554" s="38"/>
      <c r="AE554" s="38"/>
      <c r="AF554" s="38"/>
      <c r="AG554" s="38"/>
      <c r="AH554" s="38"/>
      <c r="AI554" s="123" t="str">
        <f t="shared" si="94"/>
        <v xml:space="preserve"> </v>
      </c>
      <c r="AJ554" s="123" t="str">
        <f t="shared" si="95"/>
        <v xml:space="preserve"> </v>
      </c>
      <c r="AK554" s="35"/>
      <c r="AL554" s="35"/>
      <c r="AM554" s="35"/>
      <c r="AP554" s="240"/>
      <c r="AS554"/>
      <c r="AT554"/>
      <c r="AU554" s="35"/>
      <c r="AV554"/>
      <c r="AW554"/>
      <c r="AX554"/>
      <c r="AY554"/>
      <c r="AZ554"/>
      <c r="BA554"/>
      <c r="BB554"/>
      <c r="BC554"/>
      <c r="BD554"/>
      <c r="BE554"/>
      <c r="BF554"/>
      <c r="BG554"/>
      <c r="BH554"/>
    </row>
    <row r="555" spans="1:61" s="72" customFormat="1" ht="12" customHeight="1" x14ac:dyDescent="0.2">
      <c r="A555" s="236"/>
      <c r="B555" s="184" t="s">
        <v>29</v>
      </c>
      <c r="C555" s="121"/>
      <c r="D555" s="167"/>
      <c r="E555" s="167"/>
      <c r="F555" s="169" t="s">
        <v>1131</v>
      </c>
      <c r="G555" s="315" t="s">
        <v>29</v>
      </c>
      <c r="H555" s="186" t="s">
        <v>924</v>
      </c>
      <c r="I555" s="166">
        <v>1992</v>
      </c>
      <c r="J555" s="167">
        <v>171</v>
      </c>
      <c r="K555" s="121">
        <f t="shared" si="90"/>
        <v>40</v>
      </c>
      <c r="L555" s="121" t="str">
        <f t="shared" si="91"/>
        <v/>
      </c>
      <c r="M555" s="336" t="s">
        <v>1062</v>
      </c>
      <c r="N555" s="237" t="s">
        <v>17</v>
      </c>
      <c r="O555" s="237" t="s">
        <v>541</v>
      </c>
      <c r="P555" s="168"/>
      <c r="Q555" s="169" t="s">
        <v>524</v>
      </c>
      <c r="R555" s="37"/>
      <c r="S555" s="36"/>
      <c r="T555" s="23"/>
      <c r="U555" s="35"/>
      <c r="V555" s="35"/>
      <c r="W555" s="85"/>
      <c r="X555" s="121"/>
      <c r="Y555" s="121"/>
      <c r="Z555" s="122">
        <v>40</v>
      </c>
      <c r="AA555" s="123">
        <f t="shared" si="92"/>
        <v>6840</v>
      </c>
      <c r="AB555" s="123">
        <f t="shared" si="93"/>
        <v>171</v>
      </c>
      <c r="AC555" s="120"/>
      <c r="AD555" s="39"/>
      <c r="AE555" s="39"/>
      <c r="AF555" s="39"/>
      <c r="AG555" s="39"/>
      <c r="AH555" s="39"/>
      <c r="AI555" s="123" t="str">
        <f t="shared" si="94"/>
        <v xml:space="preserve"> </v>
      </c>
      <c r="AJ555" s="123" t="str">
        <f t="shared" si="95"/>
        <v xml:space="preserve"> </v>
      </c>
      <c r="AK555" s="35"/>
      <c r="AL555" s="35"/>
      <c r="AM555" s="35"/>
      <c r="AP555" s="240"/>
      <c r="AS555"/>
      <c r="AT555"/>
      <c r="AU555" s="35"/>
      <c r="AV555"/>
      <c r="AW555"/>
      <c r="AX555"/>
      <c r="AY555"/>
      <c r="AZ555"/>
      <c r="BA555"/>
      <c r="BB555"/>
      <c r="BC555"/>
      <c r="BD555"/>
      <c r="BE555"/>
      <c r="BF555"/>
      <c r="BG555"/>
      <c r="BH555"/>
    </row>
    <row r="556" spans="1:61" s="72" customFormat="1" ht="12" customHeight="1" x14ac:dyDescent="0.2">
      <c r="A556" s="236"/>
      <c r="B556" s="184" t="s">
        <v>29</v>
      </c>
      <c r="C556" s="42"/>
      <c r="D556" s="97"/>
      <c r="E556" s="97"/>
      <c r="F556" s="169" t="s">
        <v>1131</v>
      </c>
      <c r="G556" s="315" t="s">
        <v>29</v>
      </c>
      <c r="H556" s="186" t="s">
        <v>14</v>
      </c>
      <c r="I556" s="166">
        <v>2002</v>
      </c>
      <c r="J556" s="97">
        <f>1509+96</f>
        <v>1605</v>
      </c>
      <c r="K556" s="121" t="str">
        <f t="shared" si="90"/>
        <v/>
      </c>
      <c r="L556" s="121">
        <f t="shared" si="91"/>
        <v>35.652750165672629</v>
      </c>
      <c r="M556" s="337" t="s">
        <v>1046</v>
      </c>
      <c r="N556" s="237" t="s">
        <v>17</v>
      </c>
      <c r="O556" s="237" t="s">
        <v>577</v>
      </c>
      <c r="P556" s="169" t="s">
        <v>578</v>
      </c>
      <c r="Q556" s="169" t="s">
        <v>576</v>
      </c>
      <c r="R556" s="37"/>
      <c r="S556" s="36"/>
      <c r="T556" s="23"/>
      <c r="U556" s="35"/>
      <c r="V556" s="35"/>
      <c r="W556" s="85"/>
      <c r="X556" s="121"/>
      <c r="Y556" s="121"/>
      <c r="Z556" s="122"/>
      <c r="AA556" s="123" t="str">
        <f t="shared" si="92"/>
        <v xml:space="preserve"> </v>
      </c>
      <c r="AB556" s="123" t="str">
        <f t="shared" si="93"/>
        <v xml:space="preserve"> </v>
      </c>
      <c r="AC556" s="120"/>
      <c r="AD556" s="39"/>
      <c r="AE556" s="39"/>
      <c r="AF556" s="39">
        <f>100*538/1509</f>
        <v>35.652750165672629</v>
      </c>
      <c r="AG556" s="39"/>
      <c r="AH556" s="39">
        <f>AF556</f>
        <v>35.652750165672629</v>
      </c>
      <c r="AI556" s="123">
        <f t="shared" si="94"/>
        <v>57222.664015904571</v>
      </c>
      <c r="AJ556" s="123">
        <f t="shared" si="95"/>
        <v>1605</v>
      </c>
      <c r="AK556" s="35"/>
      <c r="AL556" s="35"/>
      <c r="AM556" s="35"/>
      <c r="AP556" s="240"/>
      <c r="AS556"/>
      <c r="AT556"/>
      <c r="AU556" s="35"/>
      <c r="AV556"/>
      <c r="AW556"/>
      <c r="AX556"/>
      <c r="AY556"/>
      <c r="AZ556"/>
      <c r="BA556"/>
      <c r="BB556"/>
      <c r="BC556"/>
      <c r="BD556"/>
      <c r="BE556"/>
      <c r="BF556"/>
      <c r="BG556"/>
      <c r="BH556"/>
    </row>
    <row r="557" spans="1:61" s="72" customFormat="1" ht="12" customHeight="1" x14ac:dyDescent="0.2">
      <c r="A557" s="236"/>
      <c r="B557" s="245" t="s">
        <v>29</v>
      </c>
      <c r="C557" s="291"/>
      <c r="D557" s="248"/>
      <c r="E557" s="248"/>
      <c r="F557" s="19" t="s">
        <v>1131</v>
      </c>
      <c r="G557" s="316" t="s">
        <v>29</v>
      </c>
      <c r="H557" s="186" t="s">
        <v>14</v>
      </c>
      <c r="I557" s="246">
        <v>2007</v>
      </c>
      <c r="J557" s="248">
        <v>7146</v>
      </c>
      <c r="K557" s="121">
        <f t="shared" si="90"/>
        <v>46.69</v>
      </c>
      <c r="L557" s="121">
        <f t="shared" si="91"/>
        <v>39.6</v>
      </c>
      <c r="M557" s="333" t="s">
        <v>1042</v>
      </c>
      <c r="N557" s="247" t="s">
        <v>15</v>
      </c>
      <c r="O557" s="247" t="s">
        <v>19</v>
      </c>
      <c r="P557" s="237" t="s">
        <v>244</v>
      </c>
      <c r="Q557" s="19" t="s">
        <v>1003</v>
      </c>
      <c r="R557" s="37"/>
      <c r="S557" s="36"/>
      <c r="T557" s="23"/>
      <c r="U557" s="128"/>
      <c r="V557" s="273" t="s">
        <v>1000</v>
      </c>
      <c r="W557" s="127"/>
      <c r="X557" s="121">
        <v>46.69</v>
      </c>
      <c r="Y557" s="121"/>
      <c r="Z557" s="122">
        <f>X557</f>
        <v>46.69</v>
      </c>
      <c r="AA557" s="123">
        <f t="shared" si="92"/>
        <v>333646.74</v>
      </c>
      <c r="AB557" s="123">
        <f t="shared" si="93"/>
        <v>7146</v>
      </c>
      <c r="AC557" s="127"/>
      <c r="AD557" s="161"/>
      <c r="AE557" s="161"/>
      <c r="AF557" s="161">
        <v>39.6</v>
      </c>
      <c r="AG557" s="42">
        <v>43</v>
      </c>
      <c r="AH557" s="161">
        <f>AF557</f>
        <v>39.6</v>
      </c>
      <c r="AI557" s="123">
        <f t="shared" si="94"/>
        <v>282981.60000000003</v>
      </c>
      <c r="AJ557" s="123">
        <f t="shared" si="95"/>
        <v>7146</v>
      </c>
      <c r="AK557" s="128"/>
      <c r="AL557" s="128"/>
      <c r="AM557" s="128"/>
      <c r="AP557" s="240"/>
      <c r="AS557"/>
      <c r="AT557"/>
      <c r="AU557" s="35"/>
      <c r="AV557"/>
      <c r="AW557"/>
      <c r="AX557"/>
      <c r="AY557"/>
      <c r="AZ557"/>
      <c r="BA557"/>
      <c r="BB557"/>
      <c r="BC557"/>
      <c r="BD557"/>
      <c r="BE557"/>
      <c r="BF557"/>
      <c r="BG557"/>
      <c r="BH557"/>
    </row>
    <row r="558" spans="1:61" s="72" customFormat="1" ht="12" customHeight="1" x14ac:dyDescent="0.2">
      <c r="A558" s="236"/>
      <c r="B558" s="245" t="s">
        <v>29</v>
      </c>
      <c r="C558" s="291"/>
      <c r="D558" s="248"/>
      <c r="E558" s="248"/>
      <c r="F558" s="19" t="s">
        <v>1131</v>
      </c>
      <c r="G558" s="316" t="s">
        <v>29</v>
      </c>
      <c r="H558" s="186" t="s">
        <v>14</v>
      </c>
      <c r="I558" s="246" t="s">
        <v>30</v>
      </c>
      <c r="J558" s="248">
        <v>7658</v>
      </c>
      <c r="K558" s="121">
        <f t="shared" si="90"/>
        <v>45.8</v>
      </c>
      <c r="L558" s="121" t="str">
        <f t="shared" si="91"/>
        <v/>
      </c>
      <c r="M558" s="333" t="s">
        <v>1042</v>
      </c>
      <c r="N558" s="247" t="s">
        <v>15</v>
      </c>
      <c r="O558" s="247" t="s">
        <v>19</v>
      </c>
      <c r="P558" s="237" t="s">
        <v>244</v>
      </c>
      <c r="Q558" s="19" t="s">
        <v>1003</v>
      </c>
      <c r="R558" s="37"/>
      <c r="S558" s="36"/>
      <c r="T558" s="23"/>
      <c r="U558" s="128"/>
      <c r="V558" s="128"/>
      <c r="W558" s="127"/>
      <c r="X558" s="121">
        <v>45.8</v>
      </c>
      <c r="Y558" s="121"/>
      <c r="Z558" s="122">
        <f>X558</f>
        <v>45.8</v>
      </c>
      <c r="AA558" s="123">
        <f t="shared" si="92"/>
        <v>350736.39999999997</v>
      </c>
      <c r="AB558" s="123">
        <f t="shared" si="93"/>
        <v>7658</v>
      </c>
      <c r="AC558" s="127"/>
      <c r="AD558" s="161"/>
      <c r="AE558" s="161"/>
      <c r="AF558" s="161"/>
      <c r="AG558" s="42"/>
      <c r="AH558" s="161"/>
      <c r="AI558" s="123" t="str">
        <f t="shared" si="94"/>
        <v xml:space="preserve"> </v>
      </c>
      <c r="AJ558" s="123" t="str">
        <f t="shared" si="95"/>
        <v xml:space="preserve"> </v>
      </c>
      <c r="AK558" s="128"/>
      <c r="AL558" s="128"/>
      <c r="AM558" s="128"/>
      <c r="AP558" s="240"/>
      <c r="AS558"/>
      <c r="AT558"/>
      <c r="AU558" s="35"/>
      <c r="AV558"/>
      <c r="AW558"/>
      <c r="AX558"/>
      <c r="AY558"/>
      <c r="AZ558"/>
      <c r="BA558"/>
      <c r="BB558"/>
      <c r="BC558"/>
      <c r="BD558"/>
      <c r="BE558"/>
      <c r="BF558"/>
      <c r="BG558"/>
      <c r="BH558"/>
    </row>
    <row r="559" spans="1:61" s="72" customFormat="1" ht="12" customHeight="1" x14ac:dyDescent="0.2">
      <c r="A559" s="236"/>
      <c r="B559" s="184" t="s">
        <v>31</v>
      </c>
      <c r="C559" s="121"/>
      <c r="D559" s="167"/>
      <c r="E559" s="167"/>
      <c r="F559" s="169" t="s">
        <v>1131</v>
      </c>
      <c r="G559" s="315" t="s">
        <v>31</v>
      </c>
      <c r="H559" s="97" t="s">
        <v>32</v>
      </c>
      <c r="I559" s="166">
        <v>1996</v>
      </c>
      <c r="J559" s="167">
        <v>966</v>
      </c>
      <c r="K559" s="121">
        <f t="shared" si="90"/>
        <v>17</v>
      </c>
      <c r="L559" s="121" t="str">
        <f t="shared" si="91"/>
        <v/>
      </c>
      <c r="M559" s="332" t="s">
        <v>1041</v>
      </c>
      <c r="N559" s="98" t="s">
        <v>17</v>
      </c>
      <c r="O559" s="98" t="s">
        <v>33</v>
      </c>
      <c r="P559" s="168"/>
      <c r="Q559" s="169" t="s">
        <v>523</v>
      </c>
      <c r="R559" s="37"/>
      <c r="S559" s="36"/>
      <c r="T559" s="23"/>
      <c r="U559" s="35"/>
      <c r="V559" s="35"/>
      <c r="W559" s="85"/>
      <c r="X559" s="121"/>
      <c r="Y559" s="121"/>
      <c r="Z559" s="122">
        <v>17</v>
      </c>
      <c r="AA559" s="123">
        <f t="shared" si="92"/>
        <v>16422</v>
      </c>
      <c r="AB559" s="123">
        <f t="shared" si="93"/>
        <v>966</v>
      </c>
      <c r="AC559" s="120"/>
      <c r="AD559" s="39"/>
      <c r="AE559" s="39"/>
      <c r="AF559" s="39"/>
      <c r="AG559" s="39"/>
      <c r="AH559" s="39"/>
      <c r="AI559" s="123" t="str">
        <f t="shared" si="94"/>
        <v xml:space="preserve"> </v>
      </c>
      <c r="AJ559" s="123" t="str">
        <f t="shared" si="95"/>
        <v xml:space="preserve"> </v>
      </c>
      <c r="AK559" s="35"/>
      <c r="AL559" s="35"/>
      <c r="AM559" s="35"/>
      <c r="AP559" s="240"/>
      <c r="AS559"/>
      <c r="AT559"/>
      <c r="AU559" s="35"/>
      <c r="AV559"/>
      <c r="AW559"/>
      <c r="AX559"/>
      <c r="AY559"/>
      <c r="AZ559"/>
      <c r="BA559"/>
      <c r="BB559"/>
      <c r="BC559"/>
      <c r="BD559"/>
      <c r="BE559"/>
      <c r="BF559"/>
      <c r="BG559"/>
      <c r="BH559"/>
    </row>
    <row r="560" spans="1:61" s="72" customFormat="1" ht="12" customHeight="1" x14ac:dyDescent="0.2">
      <c r="A560" s="236"/>
      <c r="B560" s="184" t="s">
        <v>31</v>
      </c>
      <c r="C560" s="121"/>
      <c r="D560" s="167"/>
      <c r="E560" s="167"/>
      <c r="F560" s="169" t="s">
        <v>1131</v>
      </c>
      <c r="G560" s="315" t="s">
        <v>31</v>
      </c>
      <c r="H560" s="186" t="s">
        <v>14</v>
      </c>
      <c r="I560" s="166">
        <v>2002</v>
      </c>
      <c r="J560" s="167">
        <f>1498+45</f>
        <v>1543</v>
      </c>
      <c r="K560" s="121" t="str">
        <f t="shared" si="90"/>
        <v/>
      </c>
      <c r="L560" s="121">
        <f t="shared" si="91"/>
        <v>16.822429906542055</v>
      </c>
      <c r="M560" s="337" t="s">
        <v>1046</v>
      </c>
      <c r="N560" s="237" t="s">
        <v>17</v>
      </c>
      <c r="O560" s="237" t="s">
        <v>577</v>
      </c>
      <c r="P560" s="169" t="s">
        <v>578</v>
      </c>
      <c r="Q560" s="169" t="s">
        <v>576</v>
      </c>
      <c r="R560" s="37"/>
      <c r="S560" s="36"/>
      <c r="T560" s="23"/>
      <c r="U560" s="35"/>
      <c r="V560" s="35"/>
      <c r="W560" s="85"/>
      <c r="X560" s="121"/>
      <c r="Y560" s="121"/>
      <c r="Z560" s="122"/>
      <c r="AA560" s="123" t="str">
        <f t="shared" si="92"/>
        <v xml:space="preserve"> </v>
      </c>
      <c r="AB560" s="123" t="str">
        <f t="shared" si="93"/>
        <v xml:space="preserve"> </v>
      </c>
      <c r="AC560" s="120"/>
      <c r="AD560" s="39"/>
      <c r="AE560" s="39"/>
      <c r="AF560" s="39">
        <f>100*252/1498</f>
        <v>16.822429906542055</v>
      </c>
      <c r="AG560" s="39"/>
      <c r="AH560" s="39">
        <f>AF560</f>
        <v>16.822429906542055</v>
      </c>
      <c r="AI560" s="123">
        <f t="shared" si="94"/>
        <v>25957.009345794391</v>
      </c>
      <c r="AJ560" s="123">
        <f t="shared" si="95"/>
        <v>1543</v>
      </c>
      <c r="AK560" s="35"/>
      <c r="AL560" s="35"/>
      <c r="AM560" s="35"/>
      <c r="AP560" s="240"/>
      <c r="AS560"/>
      <c r="AT560"/>
      <c r="AU560" s="35"/>
      <c r="AV560"/>
      <c r="AX560"/>
      <c r="AY560"/>
      <c r="AZ560"/>
      <c r="BA560"/>
      <c r="BB560"/>
      <c r="BC560"/>
      <c r="BD560"/>
      <c r="BE560"/>
      <c r="BF560"/>
      <c r="BG560"/>
      <c r="BH560"/>
    </row>
    <row r="561" spans="1:61" s="72" customFormat="1" ht="12" customHeight="1" thickBot="1" x14ac:dyDescent="0.25">
      <c r="A561" s="236"/>
      <c r="B561" s="249" t="s">
        <v>31</v>
      </c>
      <c r="C561" s="292"/>
      <c r="D561" s="252"/>
      <c r="E561" s="252"/>
      <c r="F561" s="375" t="s">
        <v>1131</v>
      </c>
      <c r="G561" s="318" t="s">
        <v>31</v>
      </c>
      <c r="H561" s="319" t="s">
        <v>14</v>
      </c>
      <c r="I561" s="320" t="s">
        <v>235</v>
      </c>
      <c r="J561" s="321">
        <v>8907</v>
      </c>
      <c r="K561" s="322">
        <f t="shared" si="90"/>
        <v>30.38</v>
      </c>
      <c r="L561" s="322">
        <f t="shared" si="91"/>
        <v>25.3</v>
      </c>
      <c r="M561" s="339" t="s">
        <v>1042</v>
      </c>
      <c r="N561" s="251" t="s">
        <v>15</v>
      </c>
      <c r="O561" s="251" t="s">
        <v>19</v>
      </c>
      <c r="P561" s="244" t="s">
        <v>244</v>
      </c>
      <c r="Q561" s="19" t="s">
        <v>1003</v>
      </c>
      <c r="R561" s="37"/>
      <c r="S561" s="36"/>
      <c r="T561" s="23"/>
      <c r="U561" s="128"/>
      <c r="V561" s="273" t="s">
        <v>1000</v>
      </c>
      <c r="W561" s="127"/>
      <c r="X561" s="121">
        <v>30.38</v>
      </c>
      <c r="Y561" s="121"/>
      <c r="Z561" s="122">
        <f>X561</f>
        <v>30.38</v>
      </c>
      <c r="AA561" s="123">
        <f t="shared" si="92"/>
        <v>270594.65999999997</v>
      </c>
      <c r="AB561" s="123">
        <f t="shared" si="93"/>
        <v>8907</v>
      </c>
      <c r="AC561" s="127"/>
      <c r="AD561" s="161"/>
      <c r="AE561" s="161"/>
      <c r="AF561" s="161">
        <v>25.3</v>
      </c>
      <c r="AG561" s="42">
        <v>30.5</v>
      </c>
      <c r="AH561" s="161">
        <f>AF561</f>
        <v>25.3</v>
      </c>
      <c r="AI561" s="123">
        <f t="shared" si="94"/>
        <v>225347.1</v>
      </c>
      <c r="AJ561" s="123">
        <f t="shared" si="95"/>
        <v>8907</v>
      </c>
      <c r="AK561" s="128"/>
      <c r="AL561" s="128"/>
      <c r="AM561" s="128"/>
      <c r="AP561" s="240"/>
      <c r="AS561"/>
      <c r="AT561"/>
      <c r="AU561" s="35"/>
      <c r="AV561" s="35"/>
      <c r="AX561"/>
      <c r="AY561"/>
      <c r="AZ561"/>
      <c r="BA561"/>
      <c r="BB561"/>
      <c r="BC561"/>
      <c r="BD561"/>
      <c r="BE561"/>
      <c r="BF561"/>
      <c r="BG561"/>
      <c r="BH561"/>
    </row>
    <row r="562" spans="1:61" s="72" customFormat="1" ht="13.5" customHeight="1" x14ac:dyDescent="0.2">
      <c r="B562" s="137" t="s">
        <v>729</v>
      </c>
      <c r="C562" s="145"/>
      <c r="D562" s="140"/>
      <c r="E562" s="140"/>
      <c r="F562" s="146"/>
      <c r="G562" s="137"/>
      <c r="H562" s="137"/>
      <c r="I562" s="138"/>
      <c r="J562" s="140"/>
      <c r="K562" s="145">
        <f>AVERAGE(K212:K561)</f>
        <v>29.65267399962395</v>
      </c>
      <c r="L562" s="145">
        <f>AVERAGE(L212:L561)</f>
        <v>13.680879564746068</v>
      </c>
      <c r="M562" s="329"/>
      <c r="N562" s="139"/>
      <c r="O562" s="139"/>
      <c r="P562" s="146"/>
      <c r="Q562" s="146"/>
      <c r="R562" s="138"/>
      <c r="S562" s="36"/>
      <c r="T562" s="139"/>
      <c r="U562" s="137"/>
      <c r="V562" s="137"/>
      <c r="W562" s="159"/>
      <c r="X562" s="202" t="s">
        <v>828</v>
      </c>
      <c r="Y562" s="142"/>
      <c r="Z562" s="143"/>
      <c r="AA562" s="144"/>
      <c r="AB562" s="144"/>
      <c r="AC562" s="141"/>
      <c r="AD562" s="145"/>
      <c r="AE562" s="145"/>
      <c r="AF562" s="145"/>
      <c r="AG562" s="145"/>
      <c r="AH562" s="145"/>
      <c r="AI562" s="123"/>
      <c r="AJ562" s="123"/>
      <c r="AK562" s="137"/>
      <c r="AL562" s="137"/>
      <c r="AM562" s="137"/>
      <c r="AP562" s="240"/>
      <c r="AS562"/>
      <c r="AT562"/>
      <c r="AU562" s="35"/>
      <c r="AV562" s="35"/>
      <c r="AX562"/>
      <c r="AY562"/>
      <c r="AZ562"/>
      <c r="BA562"/>
      <c r="BB562"/>
      <c r="BC562"/>
      <c r="BD562"/>
      <c r="BE562"/>
      <c r="BF562"/>
      <c r="BG562"/>
      <c r="BH562"/>
    </row>
    <row r="563" spans="1:61" s="72" customFormat="1" ht="13.5" customHeight="1" x14ac:dyDescent="0.2">
      <c r="B563" s="229" t="s">
        <v>730</v>
      </c>
      <c r="C563" s="17"/>
      <c r="D563" s="3"/>
      <c r="E563" s="3"/>
      <c r="F563" s="18"/>
      <c r="G563" s="229"/>
      <c r="H563"/>
      <c r="I563" s="2"/>
      <c r="J563" s="3"/>
      <c r="K563" s="121" t="str">
        <f>IF(Z563&gt;0,Z563,"")</f>
        <v/>
      </c>
      <c r="L563" s="3"/>
      <c r="M563" s="2"/>
      <c r="N563" s="1"/>
      <c r="O563" s="1"/>
      <c r="P563" s="18"/>
      <c r="Q563" s="18"/>
      <c r="R563" s="2"/>
      <c r="S563" s="36"/>
      <c r="T563" s="23"/>
      <c r="U563" s="35"/>
      <c r="V563" s="280" t="s">
        <v>816</v>
      </c>
      <c r="W563" s="85"/>
      <c r="X563" s="99"/>
      <c r="Y563" s="99"/>
      <c r="Z563" s="100"/>
      <c r="AA563" s="123"/>
      <c r="AB563" s="123"/>
      <c r="AC563" s="120"/>
      <c r="AD563" s="39"/>
      <c r="AE563" s="39"/>
      <c r="AF563" s="39"/>
      <c r="AG563" s="39"/>
      <c r="AH563" s="39"/>
      <c r="AI563" s="123"/>
      <c r="AJ563" s="123"/>
      <c r="AK563"/>
      <c r="AL563"/>
      <c r="AM563"/>
      <c r="AP563" s="240"/>
      <c r="AS563"/>
      <c r="AT563"/>
      <c r="AU563" s="35"/>
      <c r="AV563" s="35"/>
      <c r="AX563"/>
      <c r="AY563"/>
      <c r="AZ563"/>
      <c r="BA563"/>
      <c r="BB563"/>
      <c r="BC563"/>
      <c r="BD563"/>
      <c r="BE563"/>
      <c r="BF563"/>
      <c r="BG563"/>
      <c r="BH563"/>
    </row>
    <row r="564" spans="1:61" s="72" customFormat="1" ht="13.5" customHeight="1" x14ac:dyDescent="0.2">
      <c r="A564" s="227"/>
      <c r="B564" s="97" t="s">
        <v>368</v>
      </c>
      <c r="C564" s="99"/>
      <c r="D564" s="176"/>
      <c r="E564" s="176"/>
      <c r="F564" s="177"/>
      <c r="G564" s="97"/>
      <c r="H564" s="74" t="s">
        <v>926</v>
      </c>
      <c r="I564" s="111">
        <v>2006</v>
      </c>
      <c r="J564" s="176">
        <v>283</v>
      </c>
      <c r="K564" s="121">
        <v>75.900000000000006</v>
      </c>
      <c r="L564" s="121"/>
      <c r="M564" s="330"/>
      <c r="N564" s="75"/>
      <c r="O564" s="75"/>
      <c r="P564" s="177" t="s">
        <v>927</v>
      </c>
      <c r="Q564" s="177" t="s">
        <v>957</v>
      </c>
      <c r="R564" s="2"/>
      <c r="S564" s="36"/>
      <c r="T564" s="23"/>
      <c r="U564" s="35"/>
      <c r="V564" s="174"/>
      <c r="W564" s="158"/>
      <c r="X564" s="189"/>
      <c r="Y564" s="189"/>
      <c r="Z564" s="100"/>
      <c r="AA564" s="49"/>
      <c r="AB564" s="49"/>
      <c r="AC564" s="84"/>
      <c r="AD564" s="27"/>
      <c r="AE564" s="27"/>
      <c r="AF564" s="27"/>
      <c r="AG564" s="27"/>
      <c r="AH564" s="27"/>
      <c r="AI564" s="49"/>
      <c r="AJ564" s="49"/>
      <c r="AK564"/>
      <c r="AL564"/>
      <c r="AM564"/>
      <c r="AN564"/>
      <c r="AO564"/>
      <c r="AP564" s="240"/>
      <c r="AU564" s="35"/>
      <c r="AV564" s="128"/>
    </row>
    <row r="565" spans="1:61" s="72" customFormat="1" ht="13.5" customHeight="1" x14ac:dyDescent="0.2">
      <c r="A565" s="227"/>
      <c r="B565" s="14" t="s">
        <v>150</v>
      </c>
      <c r="C565" s="293"/>
      <c r="D565" s="16"/>
      <c r="E565" s="16"/>
      <c r="F565" s="94"/>
      <c r="G565" s="14"/>
      <c r="H565" s="108" t="s">
        <v>14</v>
      </c>
      <c r="I565" s="2" t="s">
        <v>249</v>
      </c>
      <c r="J565" s="16">
        <v>1200</v>
      </c>
      <c r="K565" s="121" t="str">
        <f t="shared" ref="K565:K571" si="96">IF(Z565&gt;0,Z565,"")</f>
        <v/>
      </c>
      <c r="L565" s="121" t="str">
        <f t="shared" ref="L565:L571" si="97">IF(AH565&gt;0,AH565,"")</f>
        <v/>
      </c>
      <c r="M565" s="330"/>
      <c r="N565" s="19" t="s">
        <v>17</v>
      </c>
      <c r="O565" s="106" t="s">
        <v>603</v>
      </c>
      <c r="P565" s="94"/>
      <c r="Q565" s="94"/>
      <c r="R565" s="25" t="s">
        <v>815</v>
      </c>
      <c r="S565" s="357"/>
      <c r="T565" s="36"/>
      <c r="U565" s="275"/>
      <c r="V565" s="170" t="s">
        <v>814</v>
      </c>
      <c r="W565" s="158"/>
      <c r="X565" s="99"/>
      <c r="Y565" s="99"/>
      <c r="Z565" s="100"/>
      <c r="AA565" s="123"/>
      <c r="AB565" s="123"/>
      <c r="AC565" s="120"/>
      <c r="AD565" s="39"/>
      <c r="AE565" s="39"/>
      <c r="AF565" s="39"/>
      <c r="AG565" s="39"/>
      <c r="AH565" s="39"/>
      <c r="AI565" s="123"/>
      <c r="AJ565" s="123"/>
      <c r="AK565"/>
      <c r="AL565"/>
      <c r="AM565"/>
      <c r="AP565" s="240"/>
      <c r="AU565" s="35"/>
      <c r="AV565" s="128"/>
    </row>
    <row r="566" spans="1:61" s="72" customFormat="1" ht="13.5" customHeight="1" x14ac:dyDescent="0.2">
      <c r="A566" s="227"/>
      <c r="B566" s="14" t="s">
        <v>156</v>
      </c>
      <c r="C566" s="17"/>
      <c r="D566" s="3"/>
      <c r="E566" s="3"/>
      <c r="F566" s="18"/>
      <c r="G566" s="14"/>
      <c r="H566" s="15" t="s">
        <v>509</v>
      </c>
      <c r="I566" s="14" t="s">
        <v>510</v>
      </c>
      <c r="J566" s="3"/>
      <c r="K566" s="121" t="str">
        <f t="shared" si="96"/>
        <v/>
      </c>
      <c r="L566" s="121" t="str">
        <f t="shared" si="97"/>
        <v/>
      </c>
      <c r="M566" s="330"/>
      <c r="N566" s="1"/>
      <c r="O566" s="1"/>
      <c r="P566" s="18"/>
      <c r="Q566" s="18"/>
      <c r="R566" s="107" t="s">
        <v>593</v>
      </c>
      <c r="S566" s="357"/>
      <c r="T566" s="23"/>
      <c r="U566" s="35"/>
      <c r="V566" s="170" t="s">
        <v>817</v>
      </c>
      <c r="W566" s="85"/>
      <c r="X566" s="99"/>
      <c r="Y566" s="99"/>
      <c r="Z566" s="100"/>
      <c r="AA566" s="123"/>
      <c r="AB566" s="123"/>
      <c r="AC566" s="120"/>
      <c r="AD566" s="39"/>
      <c r="AE566" s="39"/>
      <c r="AF566" s="39"/>
      <c r="AG566" s="39"/>
      <c r="AH566" s="39"/>
      <c r="AI566" s="123"/>
      <c r="AJ566" s="123"/>
      <c r="AK566"/>
      <c r="AL566"/>
      <c r="AM566"/>
      <c r="AP566" s="240"/>
      <c r="AU566" s="35"/>
      <c r="AV566" s="128"/>
    </row>
    <row r="567" spans="1:61" ht="12" customHeight="1" x14ac:dyDescent="0.2">
      <c r="A567" s="227"/>
      <c r="B567" s="14" t="s">
        <v>110</v>
      </c>
      <c r="C567" s="17"/>
      <c r="D567" s="3"/>
      <c r="E567" s="3"/>
      <c r="F567" s="177"/>
      <c r="G567" s="14"/>
      <c r="H567" s="15" t="s">
        <v>798</v>
      </c>
      <c r="I567" s="15">
        <v>2001</v>
      </c>
      <c r="J567" s="3">
        <v>133</v>
      </c>
      <c r="K567" s="121" t="str">
        <f t="shared" si="96"/>
        <v/>
      </c>
      <c r="L567" s="121">
        <f t="shared" si="97"/>
        <v>21.7</v>
      </c>
      <c r="M567" s="330"/>
      <c r="P567" s="18"/>
      <c r="Q567" s="177" t="s">
        <v>957</v>
      </c>
      <c r="R567" s="107"/>
      <c r="S567" s="357"/>
      <c r="T567" s="23"/>
      <c r="U567" s="35"/>
      <c r="V567" s="174" t="s">
        <v>810</v>
      </c>
      <c r="W567" s="85"/>
      <c r="X567" s="99"/>
      <c r="Y567" s="99"/>
      <c r="AA567" s="123"/>
      <c r="AB567" s="123"/>
      <c r="AC567" s="120"/>
      <c r="AD567" s="39"/>
      <c r="AE567" s="39"/>
      <c r="AF567" s="39">
        <v>21.7</v>
      </c>
      <c r="AG567" s="39"/>
      <c r="AH567" s="39">
        <f>AF567</f>
        <v>21.7</v>
      </c>
      <c r="AI567" s="123"/>
      <c r="AJ567" s="123"/>
      <c r="AN567" s="72"/>
      <c r="AO567" s="72"/>
      <c r="AS567" s="72"/>
      <c r="AT567" s="72"/>
      <c r="AU567" s="35"/>
      <c r="AV567" s="128"/>
      <c r="AW567" s="72"/>
      <c r="AX567" s="72"/>
      <c r="AY567" s="72"/>
      <c r="AZ567" s="72"/>
      <c r="BA567" s="72"/>
      <c r="BB567" s="72"/>
      <c r="BC567" s="72"/>
      <c r="BD567" s="72"/>
      <c r="BE567" s="72"/>
      <c r="BF567" s="72"/>
      <c r="BG567" s="72"/>
      <c r="BH567" s="72"/>
      <c r="BI567" s="72"/>
    </row>
    <row r="568" spans="1:61" s="72" customFormat="1" ht="13.5" customHeight="1" x14ac:dyDescent="0.2">
      <c r="A568" s="227"/>
      <c r="B568" s="45" t="s">
        <v>159</v>
      </c>
      <c r="C568" s="121"/>
      <c r="D568" s="167"/>
      <c r="E568" s="167"/>
      <c r="F568" s="177"/>
      <c r="G568" s="45"/>
      <c r="H568" s="97" t="s">
        <v>809</v>
      </c>
      <c r="I568" s="82">
        <v>2002</v>
      </c>
      <c r="J568" s="167">
        <v>510</v>
      </c>
      <c r="K568" s="121" t="str">
        <f t="shared" si="96"/>
        <v/>
      </c>
      <c r="L568" s="121">
        <f t="shared" si="97"/>
        <v>10.199999999999999</v>
      </c>
      <c r="M568" s="330"/>
      <c r="N568" s="98"/>
      <c r="O568" s="98"/>
      <c r="P568" s="185"/>
      <c r="Q568" s="177" t="s">
        <v>957</v>
      </c>
      <c r="R568" s="37"/>
      <c r="S568" s="36"/>
      <c r="T568" s="23"/>
      <c r="U568" s="35"/>
      <c r="V568" s="174" t="s">
        <v>810</v>
      </c>
      <c r="W568" s="154"/>
      <c r="X568" s="121"/>
      <c r="Y568" s="121"/>
      <c r="Z568" s="122"/>
      <c r="AA568" s="123"/>
      <c r="AB568" s="123"/>
      <c r="AC568" s="120"/>
      <c r="AD568" s="39"/>
      <c r="AE568" s="39"/>
      <c r="AF568" s="39"/>
      <c r="AG568" s="39">
        <v>10.199999999999999</v>
      </c>
      <c r="AH568" s="39">
        <f>AG568</f>
        <v>10.199999999999999</v>
      </c>
      <c r="AI568" s="123"/>
      <c r="AJ568" s="123"/>
      <c r="AK568" s="35"/>
      <c r="AL568" s="35"/>
      <c r="AM568" s="35"/>
      <c r="AN568"/>
      <c r="AO568"/>
      <c r="AP568" s="240"/>
      <c r="AU568" s="35"/>
      <c r="AV568" s="128"/>
    </row>
    <row r="569" spans="1:61" s="72" customFormat="1" ht="13.5" customHeight="1" x14ac:dyDescent="0.2">
      <c r="A569" s="227"/>
      <c r="B569" s="14" t="s">
        <v>182</v>
      </c>
      <c r="C569" s="28"/>
      <c r="D569" s="14"/>
      <c r="E569" s="14"/>
      <c r="F569" s="19"/>
      <c r="G569" s="14"/>
      <c r="H569" s="14" t="s">
        <v>14</v>
      </c>
      <c r="I569" s="15">
        <v>1994</v>
      </c>
      <c r="J569" s="14">
        <v>2000</v>
      </c>
      <c r="K569" s="121" t="str">
        <f t="shared" si="96"/>
        <v/>
      </c>
      <c r="L569" s="121">
        <f t="shared" si="97"/>
        <v>21</v>
      </c>
      <c r="M569" s="330"/>
      <c r="N569" s="19" t="s">
        <v>289</v>
      </c>
      <c r="O569" s="14"/>
      <c r="P569" s="19"/>
      <c r="Q569" s="19" t="s">
        <v>218</v>
      </c>
      <c r="S569" s="23"/>
      <c r="T569" s="23"/>
      <c r="U569" s="128"/>
      <c r="V569" s="170" t="s">
        <v>813</v>
      </c>
      <c r="W569" s="158"/>
      <c r="X569" s="99"/>
      <c r="Y569" s="99"/>
      <c r="Z569" s="100"/>
      <c r="AA569" s="123"/>
      <c r="AB569" s="123"/>
      <c r="AC569" s="120"/>
      <c r="AD569" s="39"/>
      <c r="AE569" s="39"/>
      <c r="AF569" s="39"/>
      <c r="AG569" s="39"/>
      <c r="AH569" s="39">
        <v>21</v>
      </c>
      <c r="AI569" s="123"/>
      <c r="AJ569" s="123"/>
      <c r="AK569"/>
      <c r="AL569"/>
      <c r="AM569"/>
      <c r="AP569" s="240"/>
      <c r="AU569" s="35"/>
      <c r="AV569" s="128"/>
      <c r="BI569"/>
    </row>
    <row r="570" spans="1:61" ht="12" customHeight="1" x14ac:dyDescent="0.2">
      <c r="A570" s="227"/>
      <c r="B570" s="14" t="s">
        <v>183</v>
      </c>
      <c r="C570" s="293"/>
      <c r="D570" s="16"/>
      <c r="E570" s="16"/>
      <c r="F570" s="94"/>
      <c r="G570" s="14"/>
      <c r="H570" s="108" t="s">
        <v>595</v>
      </c>
      <c r="I570" s="2">
        <v>2008</v>
      </c>
      <c r="J570" s="16"/>
      <c r="K570" s="121">
        <f t="shared" si="96"/>
        <v>51.5</v>
      </c>
      <c r="L570" s="121" t="str">
        <f t="shared" si="97"/>
        <v/>
      </c>
      <c r="M570" s="330"/>
      <c r="N570" s="19"/>
      <c r="O570" s="106"/>
      <c r="P570" s="94"/>
      <c r="Q570" s="94"/>
      <c r="R570" s="25" t="s">
        <v>617</v>
      </c>
      <c r="S570" s="360">
        <v>40505</v>
      </c>
      <c r="T570" s="36"/>
      <c r="U570" s="275"/>
      <c r="V570" s="170" t="s">
        <v>814</v>
      </c>
      <c r="W570" s="158"/>
      <c r="X570" s="99">
        <f>(34+36+50+86)/4</f>
        <v>51.5</v>
      </c>
      <c r="Y570" s="99"/>
      <c r="Z570" s="100">
        <f>X570</f>
        <v>51.5</v>
      </c>
      <c r="AA570" s="123"/>
      <c r="AB570" s="123"/>
      <c r="AC570" s="120"/>
      <c r="AD570" s="39"/>
      <c r="AE570" s="39"/>
      <c r="AF570" s="39"/>
      <c r="AG570" s="39"/>
      <c r="AH570" s="39"/>
      <c r="AI570" s="123"/>
      <c r="AJ570" s="123"/>
      <c r="AN570" s="72"/>
      <c r="AO570" s="72"/>
      <c r="AS570" s="72"/>
      <c r="AT570" s="72"/>
      <c r="AU570" s="128"/>
      <c r="AV570" s="128"/>
      <c r="AW570" s="72"/>
      <c r="AX570" s="72"/>
      <c r="AY570" s="72"/>
      <c r="AZ570" s="72"/>
      <c r="BA570" s="72"/>
      <c r="BB570" s="72"/>
      <c r="BC570" s="72"/>
      <c r="BD570" s="72"/>
      <c r="BE570" s="72"/>
      <c r="BF570" s="72"/>
      <c r="BG570" s="72"/>
      <c r="BH570" s="72"/>
      <c r="BI570" s="72"/>
    </row>
    <row r="571" spans="1:61" ht="12" customHeight="1" x14ac:dyDescent="0.2">
      <c r="A571" s="227"/>
      <c r="B571" s="45" t="s">
        <v>407</v>
      </c>
      <c r="C571" s="99"/>
      <c r="D571" s="176"/>
      <c r="E571" s="176"/>
      <c r="F571" s="178"/>
      <c r="G571" s="45"/>
      <c r="H571" s="74" t="s">
        <v>14</v>
      </c>
      <c r="I571" s="111">
        <v>2010</v>
      </c>
      <c r="J571" s="176">
        <v>999999999</v>
      </c>
      <c r="K571" s="121" t="str">
        <f t="shared" si="96"/>
        <v/>
      </c>
      <c r="L571" s="121" t="str">
        <f t="shared" si="97"/>
        <v/>
      </c>
      <c r="M571" s="330"/>
      <c r="N571" s="75" t="s">
        <v>17</v>
      </c>
      <c r="O571" s="75"/>
      <c r="P571" s="177"/>
      <c r="Q571" s="178"/>
      <c r="R571" s="107" t="s">
        <v>766</v>
      </c>
      <c r="S571" s="360">
        <v>40516</v>
      </c>
      <c r="T571" s="23"/>
      <c r="U571" s="126"/>
      <c r="V571" s="126"/>
      <c r="W571" s="158"/>
      <c r="X571" s="201"/>
      <c r="Y571" s="99"/>
      <c r="AA571" s="123"/>
      <c r="AB571" s="123"/>
      <c r="AC571" s="120"/>
      <c r="AD571" s="39"/>
      <c r="AE571" s="39"/>
      <c r="AF571" s="39"/>
      <c r="AG571" s="39"/>
      <c r="AH571" s="39"/>
      <c r="AI571" s="123"/>
      <c r="AJ571" s="123"/>
      <c r="AP571" s="239"/>
      <c r="AQ571" s="35"/>
      <c r="AR571" s="35"/>
      <c r="AS571" s="72"/>
      <c r="AT571" s="72"/>
      <c r="AU571" s="35"/>
      <c r="AV571" s="128"/>
      <c r="AW571" s="72"/>
      <c r="AX571" s="72"/>
      <c r="AY571" s="72"/>
      <c r="AZ571" s="72"/>
      <c r="BA571" s="72"/>
      <c r="BB571" s="72"/>
      <c r="BC571" s="72"/>
      <c r="BD571" s="72"/>
      <c r="BE571" s="72"/>
      <c r="BF571" s="72"/>
      <c r="BG571" s="72"/>
      <c r="BH571" s="72"/>
      <c r="BI571" s="72"/>
    </row>
    <row r="572" spans="1:61" ht="12" customHeight="1" x14ac:dyDescent="0.2">
      <c r="A572" s="227"/>
      <c r="B572" s="184" t="s">
        <v>96</v>
      </c>
      <c r="C572" s="99"/>
      <c r="D572" s="176"/>
      <c r="E572" s="176"/>
      <c r="F572" s="177"/>
      <c r="G572" s="97"/>
      <c r="H572" s="74" t="s">
        <v>926</v>
      </c>
      <c r="I572" s="111">
        <v>2005</v>
      </c>
      <c r="J572" s="176">
        <v>1382</v>
      </c>
      <c r="K572" s="121">
        <v>28</v>
      </c>
      <c r="L572" s="121">
        <v>6</v>
      </c>
      <c r="M572" s="330"/>
      <c r="N572" s="75"/>
      <c r="O572" s="75"/>
      <c r="P572" s="177"/>
      <c r="Q572" s="177" t="s">
        <v>957</v>
      </c>
      <c r="S572" s="36"/>
      <c r="T572" s="23"/>
      <c r="U572" s="35"/>
      <c r="V572" s="174" t="s">
        <v>810</v>
      </c>
      <c r="W572" s="158"/>
      <c r="AS572" s="72"/>
      <c r="AT572" s="72"/>
      <c r="AU572" s="35"/>
      <c r="AV572" s="128"/>
      <c r="AW572" s="72"/>
      <c r="AX572" s="72"/>
      <c r="AY572" s="72"/>
      <c r="AZ572" s="72"/>
      <c r="BA572" s="72"/>
      <c r="BB572" s="72"/>
      <c r="BC572" s="72"/>
      <c r="BD572" s="72"/>
      <c r="BE572" s="72"/>
      <c r="BF572" s="72"/>
      <c r="BG572" s="72"/>
      <c r="BH572" s="72"/>
    </row>
    <row r="573" spans="1:61" x14ac:dyDescent="0.2">
      <c r="A573" s="227"/>
      <c r="B573" s="184" t="s">
        <v>97</v>
      </c>
      <c r="C573" s="99"/>
      <c r="D573" s="176"/>
      <c r="E573" s="176"/>
      <c r="F573" s="177"/>
      <c r="G573" s="97"/>
      <c r="H573" s="74" t="s">
        <v>842</v>
      </c>
      <c r="I573" s="111">
        <v>2005</v>
      </c>
      <c r="J573" s="176">
        <v>1894</v>
      </c>
      <c r="K573" s="121"/>
      <c r="L573" s="121">
        <v>10.8</v>
      </c>
      <c r="M573" s="330"/>
      <c r="N573" s="75"/>
      <c r="O573" s="75"/>
      <c r="P573" s="177"/>
      <c r="Q573" s="177" t="s">
        <v>957</v>
      </c>
      <c r="S573" s="36"/>
      <c r="T573" s="23"/>
      <c r="U573" s="35"/>
      <c r="V573" s="174"/>
      <c r="W573" s="158"/>
      <c r="AS573" s="72"/>
      <c r="AT573" s="72"/>
      <c r="AU573" s="35"/>
      <c r="AV573" s="128"/>
      <c r="AW573" s="72"/>
      <c r="AX573" s="72"/>
      <c r="AY573" s="72"/>
      <c r="AZ573" s="72"/>
      <c r="BA573" s="72"/>
      <c r="BB573" s="72"/>
      <c r="BC573" s="72"/>
      <c r="BD573" s="72"/>
      <c r="BE573" s="72"/>
      <c r="BF573" s="72"/>
      <c r="BG573" s="72"/>
      <c r="BH573" s="72"/>
    </row>
    <row r="574" spans="1:61" x14ac:dyDescent="0.2">
      <c r="A574" s="227"/>
      <c r="B574" s="184" t="s">
        <v>198</v>
      </c>
      <c r="C574" s="121"/>
      <c r="D574" s="167"/>
      <c r="E574" s="167"/>
      <c r="F574" s="169"/>
      <c r="G574" s="97"/>
      <c r="H574" s="97" t="s">
        <v>315</v>
      </c>
      <c r="I574" s="166">
        <v>2002</v>
      </c>
      <c r="J574" s="167">
        <v>412</v>
      </c>
      <c r="K574" s="121" t="str">
        <f>IF(Z574&gt;0,Z574,"")</f>
        <v/>
      </c>
      <c r="L574" s="121">
        <f>IF(AH574&gt;0,AH574,"")</f>
        <v>26</v>
      </c>
      <c r="M574" s="330"/>
      <c r="N574" s="98" t="s">
        <v>18</v>
      </c>
      <c r="O574" s="98"/>
      <c r="P574" s="168"/>
      <c r="Q574" s="169"/>
      <c r="R574" s="136" t="s">
        <v>316</v>
      </c>
      <c r="S574" s="357"/>
      <c r="T574" s="23"/>
      <c r="U574" s="35"/>
      <c r="V574" s="170" t="s">
        <v>740</v>
      </c>
      <c r="W574" s="85"/>
      <c r="X574" s="121"/>
      <c r="Y574" s="121"/>
      <c r="Z574" s="122"/>
      <c r="AA574" s="123"/>
      <c r="AB574" s="123"/>
      <c r="AC574" s="120"/>
      <c r="AD574" s="39">
        <v>26</v>
      </c>
      <c r="AE574" s="39"/>
      <c r="AF574" s="39">
        <v>23</v>
      </c>
      <c r="AG574" s="39"/>
      <c r="AH574" s="39">
        <v>26</v>
      </c>
      <c r="AI574" s="123"/>
      <c r="AJ574" s="123"/>
      <c r="AK574" s="35"/>
      <c r="AL574" s="35"/>
      <c r="AM574" s="35"/>
      <c r="AN574" s="35"/>
      <c r="AO574" s="35"/>
      <c r="AS574" s="72"/>
      <c r="AT574" s="72"/>
      <c r="AU574" s="128"/>
      <c r="AV574" s="128"/>
      <c r="AW574" s="72"/>
      <c r="AX574" s="72"/>
      <c r="AY574" s="72"/>
      <c r="AZ574" s="72"/>
      <c r="BA574" s="72"/>
      <c r="BB574" s="72"/>
      <c r="BC574" s="72"/>
      <c r="BD574" s="72"/>
      <c r="BE574" s="72"/>
      <c r="BF574" s="72"/>
      <c r="BG574" s="72"/>
      <c r="BH574" s="72"/>
    </row>
    <row r="575" spans="1:61" x14ac:dyDescent="0.2">
      <c r="A575" s="227"/>
      <c r="B575" s="184" t="s">
        <v>199</v>
      </c>
      <c r="C575" s="99"/>
      <c r="D575" s="176"/>
      <c r="E575" s="176"/>
      <c r="F575" s="177"/>
      <c r="G575" s="97"/>
      <c r="H575" s="74" t="s">
        <v>930</v>
      </c>
      <c r="I575" s="111">
        <v>2006</v>
      </c>
      <c r="J575" s="176">
        <v>876</v>
      </c>
      <c r="K575" s="121">
        <v>15</v>
      </c>
      <c r="L575" s="121"/>
      <c r="M575" s="330"/>
      <c r="N575" s="75"/>
      <c r="O575" s="75"/>
      <c r="P575" s="177"/>
      <c r="Q575" s="177" t="s">
        <v>957</v>
      </c>
      <c r="S575" s="36"/>
      <c r="T575" s="23"/>
      <c r="U575" s="35"/>
      <c r="V575" s="174"/>
      <c r="W575" s="158"/>
      <c r="AS575" s="72"/>
      <c r="AT575" s="72"/>
      <c r="AU575" s="35"/>
      <c r="AV575" s="128"/>
      <c r="AW575" s="72"/>
      <c r="AX575" s="72"/>
      <c r="AY575" s="72"/>
      <c r="AZ575" s="72"/>
      <c r="BA575" s="72"/>
      <c r="BB575" s="72"/>
      <c r="BC575" s="72"/>
      <c r="BD575" s="72"/>
      <c r="BE575" s="72"/>
      <c r="BF575" s="72"/>
      <c r="BG575" s="72"/>
      <c r="BH575" s="72"/>
    </row>
    <row r="576" spans="1:61" x14ac:dyDescent="0.2">
      <c r="A576" s="227"/>
      <c r="B576" s="184" t="s">
        <v>203</v>
      </c>
      <c r="C576" s="99"/>
      <c r="D576" s="176"/>
      <c r="E576" s="176"/>
      <c r="F576" s="177"/>
      <c r="G576" s="97"/>
      <c r="H576" s="74" t="s">
        <v>936</v>
      </c>
      <c r="I576" s="111">
        <v>2003</v>
      </c>
      <c r="J576" s="176">
        <v>307</v>
      </c>
      <c r="K576" s="121">
        <v>21.3</v>
      </c>
      <c r="L576" s="121">
        <v>6.1</v>
      </c>
      <c r="M576" s="330"/>
      <c r="N576" s="75"/>
      <c r="O576" s="75"/>
      <c r="P576" s="177"/>
      <c r="Q576" s="177" t="s">
        <v>957</v>
      </c>
      <c r="S576" s="36"/>
      <c r="T576" s="23"/>
      <c r="U576" s="35"/>
      <c r="V576" s="174"/>
      <c r="W576" s="158"/>
      <c r="AS576" s="72"/>
      <c r="AT576" s="72"/>
      <c r="AU576" s="35"/>
      <c r="AV576" s="128"/>
      <c r="AW576" s="72"/>
      <c r="AX576" s="72"/>
      <c r="AY576" s="72"/>
      <c r="AZ576" s="72"/>
      <c r="BA576" s="72"/>
      <c r="BB576" s="72"/>
      <c r="BC576" s="72"/>
      <c r="BD576" s="72"/>
      <c r="BE576" s="72"/>
      <c r="BF576" s="72"/>
      <c r="BG576" s="72"/>
      <c r="BH576" s="72"/>
    </row>
    <row r="577" spans="1:61" ht="12" customHeight="1" x14ac:dyDescent="0.2">
      <c r="A577" s="227"/>
      <c r="B577" s="184" t="s">
        <v>203</v>
      </c>
      <c r="C577" s="99"/>
      <c r="D577" s="176"/>
      <c r="E577" s="176"/>
      <c r="F577" s="177"/>
      <c r="G577" s="97"/>
      <c r="H577" s="74" t="s">
        <v>842</v>
      </c>
      <c r="I577" s="111">
        <v>2004</v>
      </c>
      <c r="J577" s="176">
        <v>228</v>
      </c>
      <c r="K577" s="121">
        <v>34.799999999999997</v>
      </c>
      <c r="L577" s="121">
        <v>6.1</v>
      </c>
      <c r="M577" s="330"/>
      <c r="N577" s="75"/>
      <c r="O577" s="75"/>
      <c r="P577" s="177" t="s">
        <v>243</v>
      </c>
      <c r="Q577" s="177" t="s">
        <v>957</v>
      </c>
      <c r="S577" s="36"/>
      <c r="T577" s="23"/>
      <c r="U577" s="35"/>
      <c r="V577" s="174" t="s">
        <v>810</v>
      </c>
      <c r="W577" s="158"/>
      <c r="AS577" s="72"/>
      <c r="AT577" s="72"/>
      <c r="AU577" s="35"/>
      <c r="AV577" s="128"/>
      <c r="AW577" s="72"/>
      <c r="AX577" s="72"/>
      <c r="AY577" s="72"/>
      <c r="AZ577" s="72"/>
      <c r="BA577" s="72"/>
      <c r="BB577" s="72"/>
      <c r="BC577" s="72"/>
      <c r="BD577" s="72"/>
      <c r="BE577" s="72"/>
      <c r="BF577" s="72"/>
      <c r="BG577" s="72"/>
      <c r="BH577" s="72"/>
    </row>
    <row r="578" spans="1:61" ht="12" customHeight="1" x14ac:dyDescent="0.2">
      <c r="A578" s="227"/>
      <c r="B578" s="184" t="s">
        <v>203</v>
      </c>
      <c r="C578" s="99"/>
      <c r="D578" s="176"/>
      <c r="E578" s="176"/>
      <c r="F578" s="177"/>
      <c r="G578" s="97"/>
      <c r="H578" s="74" t="s">
        <v>932</v>
      </c>
      <c r="I578" s="111">
        <v>2004</v>
      </c>
      <c r="J578" s="176">
        <v>294</v>
      </c>
      <c r="K578" s="121">
        <v>34.9</v>
      </c>
      <c r="L578" s="121">
        <v>14</v>
      </c>
      <c r="M578" s="330"/>
      <c r="N578" s="75"/>
      <c r="O578" s="75"/>
      <c r="P578" s="177" t="s">
        <v>794</v>
      </c>
      <c r="Q578" s="177" t="s">
        <v>957</v>
      </c>
      <c r="S578" s="36"/>
      <c r="T578" s="23"/>
      <c r="U578" s="35"/>
      <c r="V578" s="174" t="s">
        <v>810</v>
      </c>
      <c r="W578" s="158"/>
      <c r="AS578" s="72"/>
      <c r="AT578" s="72"/>
      <c r="AU578" s="35"/>
      <c r="AV578" s="128"/>
      <c r="AW578" s="72"/>
      <c r="AX578" s="72"/>
      <c r="AY578" s="72"/>
      <c r="AZ578" s="72"/>
      <c r="BA578" s="72"/>
      <c r="BB578" s="72"/>
      <c r="BC578" s="72"/>
      <c r="BD578" s="72"/>
      <c r="BE578" s="72"/>
      <c r="BF578" s="72"/>
      <c r="BG578" s="72"/>
      <c r="BH578" s="72"/>
    </row>
    <row r="579" spans="1:61" s="72" customFormat="1" ht="12" customHeight="1" x14ac:dyDescent="0.2">
      <c r="A579" s="227"/>
      <c r="B579" s="184" t="s">
        <v>63</v>
      </c>
      <c r="C579" s="99"/>
      <c r="D579" s="176"/>
      <c r="E579" s="176"/>
      <c r="F579" s="177"/>
      <c r="G579" s="97"/>
      <c r="H579" s="74" t="s">
        <v>942</v>
      </c>
      <c r="I579" s="111">
        <v>1997</v>
      </c>
      <c r="J579" s="176">
        <v>322</v>
      </c>
      <c r="K579" s="121"/>
      <c r="L579" s="121">
        <v>25.5</v>
      </c>
      <c r="M579" s="330"/>
      <c r="N579" s="75"/>
      <c r="O579" s="75"/>
      <c r="P579" s="177" t="s">
        <v>866</v>
      </c>
      <c r="Q579" s="177" t="s">
        <v>957</v>
      </c>
      <c r="R579" s="2"/>
      <c r="S579" s="36"/>
      <c r="T579" s="23"/>
      <c r="U579" s="35"/>
      <c r="V579" s="174"/>
      <c r="W579" s="158"/>
      <c r="X579" s="189"/>
      <c r="Y579" s="189"/>
      <c r="Z579" s="100"/>
      <c r="AA579" s="49"/>
      <c r="AB579" s="49"/>
      <c r="AC579" s="84"/>
      <c r="AD579" s="27"/>
      <c r="AE579" s="27"/>
      <c r="AF579" s="27"/>
      <c r="AG579" s="27"/>
      <c r="AH579" s="27"/>
      <c r="AI579" s="49"/>
      <c r="AJ579" s="49"/>
      <c r="AK579"/>
      <c r="AL579"/>
      <c r="AM579"/>
      <c r="AN579"/>
      <c r="AO579"/>
      <c r="AP579" s="240"/>
      <c r="AU579" s="35"/>
      <c r="AV579" s="128"/>
      <c r="BI579"/>
    </row>
    <row r="580" spans="1:61" s="72" customFormat="1" ht="12" customHeight="1" x14ac:dyDescent="0.2">
      <c r="A580" s="227"/>
      <c r="B580" s="184" t="s">
        <v>63</v>
      </c>
      <c r="C580" s="99"/>
      <c r="D580" s="176"/>
      <c r="E580" s="176"/>
      <c r="F580" s="177"/>
      <c r="G580" s="97"/>
      <c r="H580" s="74" t="s">
        <v>940</v>
      </c>
      <c r="I580" s="111">
        <v>1997</v>
      </c>
      <c r="J580" s="176">
        <v>283</v>
      </c>
      <c r="K580" s="121">
        <v>33</v>
      </c>
      <c r="L580" s="121">
        <v>19</v>
      </c>
      <c r="M580" s="330"/>
      <c r="N580" s="75"/>
      <c r="O580" s="75"/>
      <c r="P580" s="177" t="s">
        <v>941</v>
      </c>
      <c r="Q580" s="177" t="s">
        <v>957</v>
      </c>
      <c r="R580" s="2"/>
      <c r="S580" s="36"/>
      <c r="T580" s="23"/>
      <c r="U580" s="35"/>
      <c r="V580" s="174"/>
      <c r="W580" s="158"/>
      <c r="X580" s="189"/>
      <c r="Y580" s="189"/>
      <c r="Z580" s="100"/>
      <c r="AA580" s="49"/>
      <c r="AB580" s="49"/>
      <c r="AC580" s="84"/>
      <c r="AD580" s="27"/>
      <c r="AE580" s="27"/>
      <c r="AF580" s="27"/>
      <c r="AG580" s="27"/>
      <c r="AH580" s="27"/>
      <c r="AI580" s="49"/>
      <c r="AJ580" s="49"/>
      <c r="AK580"/>
      <c r="AL580"/>
      <c r="AM580"/>
      <c r="AN580"/>
      <c r="AO580"/>
      <c r="AP580" s="240"/>
      <c r="AU580" s="35"/>
      <c r="AV580" s="128"/>
      <c r="BI580"/>
    </row>
    <row r="581" spans="1:61" s="72" customFormat="1" ht="12" customHeight="1" x14ac:dyDescent="0.2">
      <c r="A581" s="227"/>
      <c r="B581" s="184" t="s">
        <v>63</v>
      </c>
      <c r="C581" s="99"/>
      <c r="D581" s="176"/>
      <c r="E581" s="176"/>
      <c r="F581" s="177"/>
      <c r="G581" s="97"/>
      <c r="H581" s="74" t="s">
        <v>846</v>
      </c>
      <c r="I581" s="111">
        <v>1998</v>
      </c>
      <c r="J581" s="176">
        <v>1693</v>
      </c>
      <c r="K581" s="121">
        <f>IF(Z581&gt;0,Z581,"")</f>
        <v>37</v>
      </c>
      <c r="L581" s="121">
        <f>IF(AH581&gt;0,AH581,"")</f>
        <v>6.6</v>
      </c>
      <c r="M581" s="330"/>
      <c r="N581" s="75"/>
      <c r="O581" s="75"/>
      <c r="P581" s="177"/>
      <c r="Q581" s="177" t="s">
        <v>957</v>
      </c>
      <c r="R581" s="107"/>
      <c r="S581" s="360"/>
      <c r="T581" s="23"/>
      <c r="U581" s="126"/>
      <c r="V581" s="174" t="s">
        <v>810</v>
      </c>
      <c r="W581" s="158"/>
      <c r="X581" s="201">
        <v>37</v>
      </c>
      <c r="Y581" s="99"/>
      <c r="Z581" s="100">
        <f>X581</f>
        <v>37</v>
      </c>
      <c r="AA581" s="123"/>
      <c r="AB581" s="123"/>
      <c r="AC581" s="120"/>
      <c r="AD581" s="39"/>
      <c r="AE581" s="39"/>
      <c r="AF581" s="39">
        <v>6.6</v>
      </c>
      <c r="AG581" s="39"/>
      <c r="AH581" s="39">
        <f>AF581</f>
        <v>6.6</v>
      </c>
      <c r="AI581" s="123"/>
      <c r="AJ581" s="123"/>
      <c r="AK581"/>
      <c r="AL581"/>
      <c r="AM581"/>
      <c r="AN581"/>
      <c r="AO581"/>
      <c r="AP581" s="240"/>
      <c r="AU581" s="35"/>
      <c r="AV581" s="128"/>
    </row>
    <row r="582" spans="1:61" s="72" customFormat="1" ht="12" customHeight="1" x14ac:dyDescent="0.2">
      <c r="A582" s="227"/>
      <c r="B582" s="184" t="s">
        <v>63</v>
      </c>
      <c r="C582" s="99"/>
      <c r="D582" s="176"/>
      <c r="E582" s="176"/>
      <c r="F582" s="177"/>
      <c r="G582" s="97"/>
      <c r="H582" s="74" t="s">
        <v>938</v>
      </c>
      <c r="I582" s="111">
        <v>1998</v>
      </c>
      <c r="J582" s="176">
        <v>4641</v>
      </c>
      <c r="K582" s="121"/>
      <c r="L582" s="121">
        <v>14.4</v>
      </c>
      <c r="M582" s="330"/>
      <c r="N582" s="75"/>
      <c r="O582" s="75"/>
      <c r="P582" s="177" t="s">
        <v>794</v>
      </c>
      <c r="Q582" s="177" t="s">
        <v>957</v>
      </c>
      <c r="R582" s="2"/>
      <c r="S582" s="36"/>
      <c r="T582" s="23"/>
      <c r="U582" s="35"/>
      <c r="V582" s="174" t="s">
        <v>939</v>
      </c>
      <c r="W582" s="158"/>
      <c r="X582" s="189"/>
      <c r="Y582" s="189"/>
      <c r="Z582" s="100"/>
      <c r="AA582" s="49"/>
      <c r="AB582" s="49"/>
      <c r="AC582" s="84"/>
      <c r="AD582" s="27"/>
      <c r="AE582" s="27"/>
      <c r="AF582" s="27"/>
      <c r="AG582" s="27"/>
      <c r="AH582" s="27"/>
      <c r="AI582" s="49"/>
      <c r="AJ582" s="49"/>
      <c r="AK582"/>
      <c r="AL582"/>
      <c r="AM582"/>
      <c r="AN582"/>
      <c r="AO582"/>
      <c r="AP582" s="240"/>
      <c r="AU582" s="35"/>
      <c r="AV582" s="128"/>
    </row>
    <row r="583" spans="1:61" ht="12" customHeight="1" x14ac:dyDescent="0.2">
      <c r="A583" s="227"/>
      <c r="B583" s="184" t="s">
        <v>63</v>
      </c>
      <c r="C583" s="99"/>
      <c r="D583" s="176"/>
      <c r="E583" s="176"/>
      <c r="F583" s="177"/>
      <c r="G583" s="97"/>
      <c r="H583" s="74" t="s">
        <v>847</v>
      </c>
      <c r="I583" s="111">
        <v>1998</v>
      </c>
      <c r="J583" s="176">
        <v>4448</v>
      </c>
      <c r="K583" s="121">
        <f>IF(Z583&gt;0,Z583,"")</f>
        <v>37</v>
      </c>
      <c r="L583" s="121">
        <f>IF(AH583&gt;0,AH583,"")</f>
        <v>10</v>
      </c>
      <c r="M583" s="330"/>
      <c r="N583" s="75"/>
      <c r="O583" s="75"/>
      <c r="P583" s="177"/>
      <c r="Q583" s="177" t="s">
        <v>957</v>
      </c>
      <c r="S583" s="36"/>
      <c r="T583" s="23"/>
      <c r="U583" s="35"/>
      <c r="V583" s="174" t="s">
        <v>810</v>
      </c>
      <c r="W583" s="158"/>
      <c r="X583" s="189">
        <v>37</v>
      </c>
      <c r="Z583" s="100">
        <f>X583</f>
        <v>37</v>
      </c>
      <c r="AF583" s="27">
        <v>10</v>
      </c>
      <c r="AH583" s="27">
        <f>AF583</f>
        <v>10</v>
      </c>
      <c r="AS583" s="72"/>
      <c r="AT583" s="72"/>
      <c r="AU583" s="35"/>
      <c r="AV583" s="128"/>
      <c r="AW583" s="72"/>
      <c r="AX583" s="72"/>
      <c r="AY583" s="72"/>
      <c r="AZ583" s="72"/>
      <c r="BA583" s="72"/>
      <c r="BB583" s="72"/>
      <c r="BC583" s="72"/>
      <c r="BD583" s="72"/>
      <c r="BE583" s="72"/>
      <c r="BF583" s="72"/>
      <c r="BG583" s="72"/>
      <c r="BH583" s="72"/>
      <c r="BI583" s="72"/>
    </row>
    <row r="584" spans="1:61" ht="12" customHeight="1" x14ac:dyDescent="0.2">
      <c r="A584" s="227"/>
      <c r="B584" s="184" t="s">
        <v>63</v>
      </c>
      <c r="C584" s="99"/>
      <c r="D584" s="176"/>
      <c r="E584" s="176"/>
      <c r="F584" s="177"/>
      <c r="G584" s="97"/>
      <c r="H584" s="74" t="s">
        <v>937</v>
      </c>
      <c r="I584" s="111">
        <v>1999</v>
      </c>
      <c r="J584" s="176">
        <v>157</v>
      </c>
      <c r="K584" s="121">
        <v>52</v>
      </c>
      <c r="L584" s="121"/>
      <c r="M584" s="330"/>
      <c r="N584" s="75"/>
      <c r="O584" s="75"/>
      <c r="P584" s="177" t="s">
        <v>794</v>
      </c>
      <c r="Q584" s="177" t="s">
        <v>957</v>
      </c>
      <c r="S584" s="36"/>
      <c r="T584" s="23"/>
      <c r="U584" s="35"/>
      <c r="V584" s="174"/>
      <c r="W584" s="158"/>
      <c r="AS584" s="72"/>
      <c r="AT584" s="72"/>
      <c r="AU584" s="35"/>
      <c r="AV584" s="128"/>
      <c r="AW584" s="72"/>
      <c r="AX584" s="72"/>
      <c r="AY584" s="72"/>
      <c r="AZ584" s="72"/>
      <c r="BA584" s="72"/>
      <c r="BB584" s="72"/>
      <c r="BC584" s="72"/>
      <c r="BD584" s="72"/>
      <c r="BE584" s="72"/>
      <c r="BF584" s="72"/>
      <c r="BG584" s="72"/>
      <c r="BH584" s="72"/>
      <c r="BI584" s="72"/>
    </row>
    <row r="585" spans="1:61" ht="12" customHeight="1" x14ac:dyDescent="0.2">
      <c r="A585" s="227"/>
      <c r="B585" s="184" t="s">
        <v>63</v>
      </c>
      <c r="C585" s="99"/>
      <c r="D585" s="176"/>
      <c r="E585" s="176"/>
      <c r="F585" s="177"/>
      <c r="G585" s="97"/>
      <c r="H585" s="186" t="s">
        <v>841</v>
      </c>
      <c r="I585" s="111">
        <v>2000</v>
      </c>
      <c r="J585" s="176">
        <v>1401</v>
      </c>
      <c r="K585" s="121">
        <f>IF(Z585&gt;0,Z585,"")</f>
        <v>32</v>
      </c>
      <c r="L585" s="121">
        <f>IF(AH585&gt;0,AH585,"")</f>
        <v>18.899999999999999</v>
      </c>
      <c r="M585" s="330"/>
      <c r="N585" s="75"/>
      <c r="O585" s="75"/>
      <c r="P585" s="177"/>
      <c r="Q585" s="177" t="s">
        <v>957</v>
      </c>
      <c r="R585" s="107"/>
      <c r="S585" s="360"/>
      <c r="T585" s="23"/>
      <c r="U585" s="126"/>
      <c r="V585" s="170" t="s">
        <v>820</v>
      </c>
      <c r="W585" s="158"/>
      <c r="X585" s="201">
        <v>32</v>
      </c>
      <c r="Y585" s="99"/>
      <c r="Z585" s="100">
        <f>X585</f>
        <v>32</v>
      </c>
      <c r="AA585" s="123"/>
      <c r="AB585" s="123"/>
      <c r="AC585" s="120"/>
      <c r="AD585" s="39"/>
      <c r="AE585" s="39"/>
      <c r="AF585" s="39">
        <v>18.899999999999999</v>
      </c>
      <c r="AG585" s="39"/>
      <c r="AH585" s="39">
        <f>AF585</f>
        <v>18.899999999999999</v>
      </c>
      <c r="AI585" s="123"/>
      <c r="AJ585" s="123"/>
      <c r="AS585" s="72"/>
      <c r="AT585" s="72"/>
      <c r="AU585" s="35"/>
      <c r="AV585" s="128"/>
      <c r="AW585" s="72"/>
      <c r="AX585" s="72"/>
      <c r="AY585" s="72"/>
      <c r="AZ585" s="72"/>
      <c r="BA585" s="72"/>
      <c r="BB585" s="72"/>
      <c r="BC585" s="72"/>
      <c r="BD585" s="72"/>
      <c r="BE585" s="72"/>
      <c r="BF585" s="72"/>
      <c r="BG585" s="72"/>
      <c r="BH585" s="72"/>
    </row>
    <row r="586" spans="1:61" x14ac:dyDescent="0.2">
      <c r="A586" s="227"/>
      <c r="B586" s="184" t="s">
        <v>63</v>
      </c>
      <c r="C586" s="121"/>
      <c r="D586" s="167"/>
      <c r="E586" s="167"/>
      <c r="F586" s="177"/>
      <c r="G586" s="97"/>
      <c r="H586" s="186" t="s">
        <v>827</v>
      </c>
      <c r="I586" s="166">
        <v>2000</v>
      </c>
      <c r="J586" s="167">
        <f>555+358+527</f>
        <v>1440</v>
      </c>
      <c r="K586" s="121" t="str">
        <f>IF(Z586&gt;0,Z586,"")</f>
        <v/>
      </c>
      <c r="L586" s="121">
        <f>IF(AH586&gt;0,AH586,"")</f>
        <v>16.564583333333335</v>
      </c>
      <c r="M586" s="330"/>
      <c r="N586" s="98" t="s">
        <v>646</v>
      </c>
      <c r="O586" s="98"/>
      <c r="P586" s="169" t="s">
        <v>783</v>
      </c>
      <c r="Q586" s="177" t="s">
        <v>957</v>
      </c>
      <c r="R586" s="72"/>
      <c r="S586" s="357"/>
      <c r="T586" s="23"/>
      <c r="U586" s="35"/>
      <c r="V586" s="35"/>
      <c r="W586" s="85"/>
      <c r="X586" s="203"/>
      <c r="Y586" s="121"/>
      <c r="Z586" s="122"/>
      <c r="AA586" s="123"/>
      <c r="AB586" s="123"/>
      <c r="AC586" s="120"/>
      <c r="AD586" s="39"/>
      <c r="AE586" s="39"/>
      <c r="AF586" s="121">
        <f>(23*358+17*527+12*555)/(358+527+555)</f>
        <v>16.564583333333335</v>
      </c>
      <c r="AG586" s="39"/>
      <c r="AH586" s="39">
        <f>AF586</f>
        <v>16.564583333333335</v>
      </c>
      <c r="AI586" s="123"/>
      <c r="AJ586" s="123"/>
      <c r="AK586" s="35"/>
      <c r="AL586" s="35"/>
      <c r="AM586" s="35"/>
      <c r="AN586" s="72"/>
      <c r="AO586" s="72"/>
      <c r="AS586" s="72"/>
      <c r="AT586" s="72"/>
      <c r="AU586" s="35"/>
      <c r="AV586" s="128"/>
      <c r="AW586" s="72"/>
      <c r="AX586" s="72"/>
      <c r="AY586" s="72"/>
      <c r="AZ586" s="72"/>
      <c r="BA586" s="72"/>
      <c r="BB586" s="72"/>
      <c r="BC586" s="72"/>
      <c r="BD586" s="72"/>
      <c r="BE586" s="72"/>
      <c r="BF586" s="72"/>
      <c r="BG586" s="72"/>
      <c r="BH586" s="72"/>
    </row>
    <row r="587" spans="1:61" x14ac:dyDescent="0.2">
      <c r="A587" s="227"/>
      <c r="B587" s="184" t="s">
        <v>63</v>
      </c>
      <c r="C587" s="99"/>
      <c r="D587" s="176"/>
      <c r="E587" s="176"/>
      <c r="F587" s="177"/>
      <c r="G587" s="97"/>
      <c r="H587" s="74" t="s">
        <v>842</v>
      </c>
      <c r="I587" s="111">
        <v>2000</v>
      </c>
      <c r="J587" s="176">
        <v>57</v>
      </c>
      <c r="K587" s="121">
        <f>IF(Z587&gt;0,Z587,"")</f>
        <v>38.6</v>
      </c>
      <c r="L587" s="121">
        <f>IF(AH587&gt;0,AH587,"")</f>
        <v>5</v>
      </c>
      <c r="M587" s="330"/>
      <c r="N587" s="75"/>
      <c r="O587" s="75"/>
      <c r="P587" s="177"/>
      <c r="Q587" s="177" t="s">
        <v>957</v>
      </c>
      <c r="R587" s="107"/>
      <c r="S587" s="360"/>
      <c r="T587" s="23"/>
      <c r="U587" s="126"/>
      <c r="V587" s="170" t="s">
        <v>820</v>
      </c>
      <c r="W587" s="158"/>
      <c r="X587" s="201">
        <v>38.6</v>
      </c>
      <c r="Y587" s="99"/>
      <c r="Z587" s="100">
        <f>X587</f>
        <v>38.6</v>
      </c>
      <c r="AA587" s="123"/>
      <c r="AB587" s="123"/>
      <c r="AC587" s="120"/>
      <c r="AD587" s="39"/>
      <c r="AE587" s="39"/>
      <c r="AF587" s="39">
        <v>5</v>
      </c>
      <c r="AG587" s="39"/>
      <c r="AH587" s="39">
        <f>AF587</f>
        <v>5</v>
      </c>
      <c r="AI587" s="123"/>
      <c r="AJ587" s="123"/>
      <c r="AS587" s="72"/>
      <c r="AT587" s="72"/>
      <c r="AU587" s="35"/>
      <c r="AV587" s="128"/>
      <c r="AW587" s="72"/>
      <c r="AX587" s="72"/>
      <c r="AY587" s="72"/>
      <c r="AZ587" s="72"/>
      <c r="BA587" s="72"/>
      <c r="BB587" s="72"/>
      <c r="BC587" s="72"/>
      <c r="BD587" s="72"/>
      <c r="BE587" s="72"/>
      <c r="BF587" s="72"/>
      <c r="BG587" s="72"/>
      <c r="BH587" s="72"/>
    </row>
    <row r="588" spans="1:61" x14ac:dyDescent="0.2">
      <c r="A588" s="227"/>
      <c r="B588" s="184" t="s">
        <v>63</v>
      </c>
      <c r="C588" s="99"/>
      <c r="D588" s="176"/>
      <c r="E588" s="176"/>
      <c r="F588" s="177"/>
      <c r="G588" s="97"/>
      <c r="H588" s="74" t="s">
        <v>819</v>
      </c>
      <c r="I588" s="111">
        <v>2001</v>
      </c>
      <c r="J588" s="176">
        <v>179</v>
      </c>
      <c r="K588" s="121">
        <f>IF(Z588&gt;0,Z588,"")</f>
        <v>15.6</v>
      </c>
      <c r="L588" s="121" t="str">
        <f>IF(AH588&gt;0,AH588,"")</f>
        <v/>
      </c>
      <c r="M588" s="330"/>
      <c r="N588" s="75"/>
      <c r="O588" s="75"/>
      <c r="P588" s="177"/>
      <c r="Q588" s="177" t="s">
        <v>957</v>
      </c>
      <c r="R588" s="107"/>
      <c r="S588" s="360"/>
      <c r="T588" s="23"/>
      <c r="U588" s="126"/>
      <c r="V588" s="170" t="s">
        <v>820</v>
      </c>
      <c r="W588" s="158"/>
      <c r="X588" s="201">
        <v>15.6</v>
      </c>
      <c r="Y588" s="99"/>
      <c r="Z588" s="100">
        <f>X588</f>
        <v>15.6</v>
      </c>
      <c r="AA588" s="123"/>
      <c r="AB588" s="123"/>
      <c r="AC588" s="120"/>
      <c r="AD588" s="39"/>
      <c r="AE588" s="39"/>
      <c r="AF588" s="39"/>
      <c r="AG588" s="39"/>
      <c r="AH588" s="39"/>
      <c r="AI588" s="123"/>
      <c r="AJ588" s="123"/>
      <c r="AS588" s="72"/>
      <c r="AT588" s="72"/>
      <c r="AU588" s="35"/>
      <c r="AV588" s="128"/>
      <c r="AW588" s="72"/>
      <c r="AX588" s="72"/>
      <c r="AY588" s="72"/>
      <c r="AZ588" s="72"/>
      <c r="BA588" s="72"/>
      <c r="BB588" s="72"/>
      <c r="BC588" s="72"/>
      <c r="BD588" s="72"/>
      <c r="BE588" s="72"/>
      <c r="BF588" s="72"/>
      <c r="BG588" s="72"/>
      <c r="BH588" s="72"/>
    </row>
    <row r="589" spans="1:61" x14ac:dyDescent="0.2">
      <c r="A589" s="227"/>
      <c r="B589" s="184" t="s">
        <v>63</v>
      </c>
      <c r="C589" s="99"/>
      <c r="D589" s="176"/>
      <c r="E589" s="176"/>
      <c r="F589" s="177"/>
      <c r="G589" s="97"/>
      <c r="H589" s="74" t="s">
        <v>822</v>
      </c>
      <c r="I589" s="111">
        <v>2001</v>
      </c>
      <c r="J589" s="176">
        <v>553</v>
      </c>
      <c r="K589" s="121">
        <f>IF(Z589&gt;0,Z589,"")</f>
        <v>16.5</v>
      </c>
      <c r="L589" s="121">
        <f>IF(AH589&gt;0,AH589,"")</f>
        <v>2.5</v>
      </c>
      <c r="M589" s="330"/>
      <c r="N589" s="75"/>
      <c r="O589" s="75"/>
      <c r="P589" s="177"/>
      <c r="Q589" s="177" t="s">
        <v>957</v>
      </c>
      <c r="R589" s="107"/>
      <c r="S589" s="360"/>
      <c r="T589" s="23"/>
      <c r="U589" s="126"/>
      <c r="V589" s="174" t="s">
        <v>810</v>
      </c>
      <c r="W589" s="158"/>
      <c r="X589" s="201">
        <v>16.5</v>
      </c>
      <c r="Y589" s="99"/>
      <c r="Z589" s="100">
        <f>X589</f>
        <v>16.5</v>
      </c>
      <c r="AA589" s="123"/>
      <c r="AB589" s="123"/>
      <c r="AC589" s="120"/>
      <c r="AD589" s="39"/>
      <c r="AE589" s="39"/>
      <c r="AF589" s="39">
        <v>2.5</v>
      </c>
      <c r="AG589" s="39"/>
      <c r="AH589" s="39">
        <f>AF589</f>
        <v>2.5</v>
      </c>
      <c r="AI589" s="123"/>
      <c r="AJ589" s="123"/>
      <c r="AS589" s="72"/>
      <c r="AT589" s="72"/>
      <c r="AU589" s="35"/>
      <c r="AV589" s="128"/>
      <c r="AW589" s="72"/>
      <c r="AX589" s="72"/>
      <c r="AY589" s="72"/>
      <c r="AZ589" s="72"/>
      <c r="BA589" s="72"/>
      <c r="BB589" s="72"/>
      <c r="BC589" s="72"/>
      <c r="BD589" s="72"/>
      <c r="BE589" s="72"/>
      <c r="BF589" s="72"/>
      <c r="BG589" s="72"/>
      <c r="BH589" s="72"/>
    </row>
    <row r="590" spans="1:61" x14ac:dyDescent="0.2">
      <c r="A590" s="227"/>
      <c r="B590" s="184" t="s">
        <v>63</v>
      </c>
      <c r="C590" s="99"/>
      <c r="D590" s="176"/>
      <c r="E590" s="176"/>
      <c r="F590" s="177"/>
      <c r="G590" s="97"/>
      <c r="H590" s="74" t="s">
        <v>935</v>
      </c>
      <c r="I590" s="111">
        <v>2001</v>
      </c>
      <c r="J590" s="176">
        <v>795</v>
      </c>
      <c r="K590" s="121">
        <v>38</v>
      </c>
      <c r="L590" s="121">
        <v>7.9</v>
      </c>
      <c r="M590" s="330"/>
      <c r="N590" s="75"/>
      <c r="O590" s="75"/>
      <c r="P590" s="177"/>
      <c r="Q590" s="177" t="s">
        <v>957</v>
      </c>
      <c r="S590" s="36"/>
      <c r="T590" s="23"/>
      <c r="U590" s="35"/>
      <c r="V590" s="174" t="s">
        <v>810</v>
      </c>
      <c r="W590" s="158"/>
      <c r="AS590" s="72"/>
      <c r="AT590" s="72"/>
      <c r="AU590" s="35"/>
      <c r="AV590" s="128"/>
      <c r="AW590" s="72"/>
      <c r="AX590" s="72"/>
      <c r="AY590" s="72"/>
      <c r="AZ590" s="72"/>
      <c r="BA590" s="72"/>
      <c r="BB590" s="72"/>
      <c r="BC590" s="72"/>
      <c r="BD590" s="72"/>
      <c r="BE590" s="72"/>
      <c r="BF590" s="72"/>
      <c r="BG590" s="72"/>
      <c r="BH590" s="72"/>
    </row>
    <row r="591" spans="1:61" x14ac:dyDescent="0.2">
      <c r="A591" s="227"/>
      <c r="B591" s="184" t="s">
        <v>63</v>
      </c>
      <c r="C591" s="99"/>
      <c r="D591" s="176"/>
      <c r="E591" s="176"/>
      <c r="F591" s="177"/>
      <c r="G591" s="97"/>
      <c r="H591" s="74" t="s">
        <v>842</v>
      </c>
      <c r="I591" s="111">
        <v>2002</v>
      </c>
      <c r="J591" s="176">
        <v>421</v>
      </c>
      <c r="K591" s="121">
        <f t="shared" ref="K591:K597" si="98">IF(Z591&gt;0,Z591,"")</f>
        <v>47.3</v>
      </c>
      <c r="L591" s="121" t="str">
        <f t="shared" ref="L591:L597" si="99">IF(AH591&gt;0,AH591,"")</f>
        <v/>
      </c>
      <c r="M591" s="330"/>
      <c r="Q591" s="177" t="s">
        <v>957</v>
      </c>
      <c r="S591" s="36"/>
      <c r="T591" s="23"/>
      <c r="U591" s="35"/>
      <c r="V591" s="170" t="s">
        <v>818</v>
      </c>
      <c r="X591" s="189">
        <v>47.3</v>
      </c>
      <c r="Z591" s="100">
        <f>X591</f>
        <v>47.3</v>
      </c>
      <c r="AA591" s="230"/>
      <c r="AB591" s="230"/>
      <c r="AC591" s="85"/>
      <c r="AD591" s="38"/>
      <c r="AE591" s="38"/>
      <c r="AF591" s="38"/>
      <c r="AG591" s="38"/>
      <c r="AH591" s="38"/>
      <c r="AI591" s="123"/>
      <c r="AJ591" s="123"/>
      <c r="AS591" s="72"/>
      <c r="AT591" s="72"/>
      <c r="AU591" s="35"/>
      <c r="AV591" s="128"/>
      <c r="AW591" s="72"/>
      <c r="AX591" s="72"/>
      <c r="AY591" s="72"/>
      <c r="AZ591" s="72"/>
      <c r="BA591" s="72"/>
      <c r="BB591" s="72"/>
      <c r="BC591" s="72"/>
      <c r="BD591" s="72"/>
      <c r="BE591" s="72"/>
      <c r="BF591" s="72"/>
      <c r="BG591" s="72"/>
      <c r="BH591" s="72"/>
    </row>
    <row r="592" spans="1:61" x14ac:dyDescent="0.2">
      <c r="A592" s="227"/>
      <c r="B592" s="184" t="s">
        <v>63</v>
      </c>
      <c r="C592" s="99"/>
      <c r="D592" s="176"/>
      <c r="E592" s="176"/>
      <c r="F592" s="177"/>
      <c r="G592" s="97"/>
      <c r="H592" s="74" t="s">
        <v>842</v>
      </c>
      <c r="I592" s="111">
        <v>2002</v>
      </c>
      <c r="J592" s="176">
        <v>87</v>
      </c>
      <c r="K592" s="121">
        <f t="shared" si="98"/>
        <v>72</v>
      </c>
      <c r="L592" s="121" t="str">
        <f t="shared" si="99"/>
        <v/>
      </c>
      <c r="M592" s="330"/>
      <c r="Q592" s="177" t="s">
        <v>957</v>
      </c>
      <c r="S592" s="36"/>
      <c r="T592" s="23"/>
      <c r="U592" s="35"/>
      <c r="V592" s="174" t="s">
        <v>810</v>
      </c>
      <c r="X592" s="189">
        <v>72</v>
      </c>
      <c r="Z592" s="100">
        <f>X592</f>
        <v>72</v>
      </c>
      <c r="AA592" s="230"/>
      <c r="AB592" s="230"/>
      <c r="AC592" s="85"/>
      <c r="AD592" s="38"/>
      <c r="AE592" s="38"/>
      <c r="AF592" s="38"/>
      <c r="AG592" s="38"/>
      <c r="AH592" s="38"/>
      <c r="AI592" s="123"/>
      <c r="AJ592" s="123"/>
      <c r="AS592" s="72"/>
      <c r="AT592" s="72"/>
      <c r="AU592" s="35"/>
      <c r="AV592" s="128"/>
      <c r="AW592" s="72"/>
      <c r="AX592" s="72"/>
      <c r="AY592" s="72"/>
      <c r="AZ592" s="72"/>
      <c r="BA592" s="72"/>
      <c r="BB592" s="72"/>
      <c r="BC592" s="72"/>
      <c r="BD592" s="72"/>
      <c r="BE592" s="72"/>
      <c r="BF592" s="72"/>
      <c r="BG592" s="72"/>
      <c r="BH592" s="72"/>
    </row>
    <row r="593" spans="1:60" x14ac:dyDescent="0.2">
      <c r="A593" s="227"/>
      <c r="B593" s="184" t="s">
        <v>63</v>
      </c>
      <c r="C593" s="99"/>
      <c r="D593" s="176"/>
      <c r="E593" s="176"/>
      <c r="F593" s="177"/>
      <c r="G593" s="97"/>
      <c r="H593" s="74" t="s">
        <v>812</v>
      </c>
      <c r="I593" s="111">
        <v>2002</v>
      </c>
      <c r="J593" s="176">
        <v>160</v>
      </c>
      <c r="K593" s="121">
        <f t="shared" si="98"/>
        <v>30.4</v>
      </c>
      <c r="L593" s="121">
        <f t="shared" si="99"/>
        <v>26.6</v>
      </c>
      <c r="M593" s="330"/>
      <c r="Q593" s="177" t="s">
        <v>957</v>
      </c>
      <c r="S593" s="36"/>
      <c r="T593" s="23"/>
      <c r="U593" s="35"/>
      <c r="V593" s="170" t="s">
        <v>811</v>
      </c>
      <c r="X593" s="189">
        <v>30.4</v>
      </c>
      <c r="Z593" s="100">
        <f>X593</f>
        <v>30.4</v>
      </c>
      <c r="AA593" s="230"/>
      <c r="AB593" s="230"/>
      <c r="AC593" s="85"/>
      <c r="AD593" s="38"/>
      <c r="AE593" s="38"/>
      <c r="AF593" s="39">
        <v>26.6</v>
      </c>
      <c r="AG593" s="38"/>
      <c r="AH593" s="38">
        <f>AF593</f>
        <v>26.6</v>
      </c>
      <c r="AI593" s="123"/>
      <c r="AJ593" s="123"/>
      <c r="AS593" s="72"/>
      <c r="AT593" s="72"/>
      <c r="AU593" s="35"/>
      <c r="AV593" s="128"/>
      <c r="AW593" s="72"/>
      <c r="AX593" s="72"/>
      <c r="AY593" s="72"/>
      <c r="AZ593" s="72"/>
      <c r="BA593" s="72"/>
      <c r="BB593" s="72"/>
      <c r="BC593" s="72"/>
      <c r="BD593" s="72"/>
      <c r="BE593" s="72"/>
      <c r="BF593" s="72"/>
      <c r="BG593" s="72"/>
      <c r="BH593" s="72"/>
    </row>
    <row r="594" spans="1:60" x14ac:dyDescent="0.2">
      <c r="A594" s="227"/>
      <c r="B594" s="184" t="s">
        <v>63</v>
      </c>
      <c r="C594" s="121"/>
      <c r="D594" s="167"/>
      <c r="E594" s="167"/>
      <c r="F594" s="177"/>
      <c r="G594" s="97"/>
      <c r="H594" s="97" t="s">
        <v>807</v>
      </c>
      <c r="I594" s="111">
        <v>2002</v>
      </c>
      <c r="J594" s="167">
        <v>1152</v>
      </c>
      <c r="K594" s="121">
        <f t="shared" si="98"/>
        <v>40</v>
      </c>
      <c r="L594" s="121" t="str">
        <f t="shared" si="99"/>
        <v/>
      </c>
      <c r="M594" s="330"/>
      <c r="N594" s="98"/>
      <c r="O594" s="98"/>
      <c r="P594" s="169"/>
      <c r="Q594" s="177" t="s">
        <v>957</v>
      </c>
      <c r="R594" s="72"/>
      <c r="S594" s="357"/>
      <c r="T594" s="23"/>
      <c r="U594" s="35"/>
      <c r="V594" s="174" t="s">
        <v>810</v>
      </c>
      <c r="W594" s="85"/>
      <c r="X594" s="121">
        <v>40</v>
      </c>
      <c r="Y594" s="121"/>
      <c r="Z594" s="122">
        <f>X594</f>
        <v>40</v>
      </c>
      <c r="AA594" s="123"/>
      <c r="AB594" s="123"/>
      <c r="AC594" s="120"/>
      <c r="AD594" s="39"/>
      <c r="AE594" s="39"/>
      <c r="AF594" s="38"/>
      <c r="AG594" s="39"/>
      <c r="AH594" s="39"/>
      <c r="AI594" s="123" t="str">
        <f>IF(AH594&gt;0,$J594*AH594," ")</f>
        <v xml:space="preserve"> </v>
      </c>
      <c r="AJ594" s="123" t="str">
        <f>IF(AH594&gt;0,$J594," ")</f>
        <v xml:space="preserve"> </v>
      </c>
      <c r="AK594" s="35"/>
      <c r="AL594" s="35"/>
      <c r="AM594" s="35"/>
      <c r="AN594" s="72"/>
      <c r="AO594" s="72"/>
      <c r="AS594" s="72"/>
      <c r="AT594" s="72"/>
      <c r="AU594" s="35"/>
      <c r="AV594" s="128"/>
      <c r="AW594" s="72"/>
      <c r="AX594" s="72"/>
      <c r="AY594" s="72"/>
      <c r="AZ594" s="72"/>
      <c r="BA594" s="72"/>
      <c r="BB594" s="72"/>
      <c r="BC594" s="72"/>
      <c r="BD594" s="72"/>
      <c r="BE594" s="72"/>
      <c r="BF594" s="72"/>
      <c r="BG594" s="72"/>
      <c r="BH594" s="72"/>
    </row>
    <row r="595" spans="1:60" x14ac:dyDescent="0.2">
      <c r="A595" s="227"/>
      <c r="B595" s="184" t="s">
        <v>63</v>
      </c>
      <c r="C595" s="121"/>
      <c r="D595" s="167"/>
      <c r="E595" s="167"/>
      <c r="F595" s="177"/>
      <c r="G595" s="97"/>
      <c r="H595" s="97" t="s">
        <v>808</v>
      </c>
      <c r="I595" s="111">
        <v>2002</v>
      </c>
      <c r="J595" s="167">
        <v>127</v>
      </c>
      <c r="K595" s="121" t="str">
        <f t="shared" si="98"/>
        <v/>
      </c>
      <c r="L595" s="121">
        <f t="shared" si="99"/>
        <v>18</v>
      </c>
      <c r="M595" s="330"/>
      <c r="N595" s="98"/>
      <c r="O595" s="98"/>
      <c r="P595" s="169"/>
      <c r="Q595" s="177" t="s">
        <v>957</v>
      </c>
      <c r="R595" s="72"/>
      <c r="S595" s="357"/>
      <c r="T595" s="23"/>
      <c r="U595" s="35"/>
      <c r="V595" s="170" t="s">
        <v>820</v>
      </c>
      <c r="W595" s="85"/>
      <c r="X595" s="121"/>
      <c r="Y595" s="121"/>
      <c r="Z595" s="122"/>
      <c r="AA595" s="123"/>
      <c r="AB595" s="123"/>
      <c r="AC595" s="120"/>
      <c r="AD595" s="39"/>
      <c r="AE595" s="39"/>
      <c r="AF595" s="38">
        <v>18</v>
      </c>
      <c r="AG595" s="39"/>
      <c r="AH595" s="39">
        <f>AF595</f>
        <v>18</v>
      </c>
      <c r="AI595" s="123"/>
      <c r="AJ595" s="123"/>
      <c r="AK595" s="35"/>
      <c r="AL595" s="35"/>
      <c r="AM595" s="35"/>
      <c r="AN595" s="72"/>
      <c r="AO595" s="72"/>
      <c r="AS595" s="72"/>
      <c r="AT595" s="72"/>
      <c r="AU595" s="35"/>
      <c r="AV595" s="128"/>
      <c r="AW595" s="72"/>
      <c r="AX595" s="72"/>
      <c r="AY595" s="72"/>
      <c r="AZ595" s="72"/>
      <c r="BA595" s="72"/>
      <c r="BB595" s="72"/>
      <c r="BC595" s="72"/>
      <c r="BD595" s="72"/>
      <c r="BE595" s="72"/>
      <c r="BF595" s="72"/>
      <c r="BG595" s="72"/>
      <c r="BH595" s="72"/>
    </row>
    <row r="596" spans="1:60" x14ac:dyDescent="0.2">
      <c r="A596" s="227"/>
      <c r="B596" s="184" t="s">
        <v>63</v>
      </c>
      <c r="C596" s="99"/>
      <c r="D596" s="176"/>
      <c r="E596" s="176"/>
      <c r="F596" s="177"/>
      <c r="G596" s="97"/>
      <c r="H596" s="74" t="s">
        <v>791</v>
      </c>
      <c r="I596" s="111">
        <v>2003</v>
      </c>
      <c r="J596" s="176">
        <v>588</v>
      </c>
      <c r="K596" s="121" t="str">
        <f t="shared" si="98"/>
        <v/>
      </c>
      <c r="L596" s="121">
        <f t="shared" si="99"/>
        <v>5</v>
      </c>
      <c r="M596" s="330"/>
      <c r="Q596" s="177" t="s">
        <v>957</v>
      </c>
      <c r="S596" s="36"/>
      <c r="T596" s="23"/>
      <c r="U596" s="35"/>
      <c r="V596" s="35"/>
      <c r="AA596" s="230"/>
      <c r="AB596" s="230"/>
      <c r="AC596" s="85"/>
      <c r="AD596" s="38"/>
      <c r="AE596" s="38"/>
      <c r="AF596" s="38">
        <v>5</v>
      </c>
      <c r="AG596" s="38"/>
      <c r="AH596" s="38">
        <f>AF596</f>
        <v>5</v>
      </c>
      <c r="AI596" s="123"/>
      <c r="AJ596" s="123"/>
      <c r="AS596" s="72"/>
      <c r="AT596" s="72"/>
      <c r="AU596" s="35"/>
      <c r="AV596" s="128"/>
      <c r="AW596" s="72"/>
      <c r="AX596" s="72"/>
      <c r="AY596" s="72"/>
      <c r="AZ596" s="72"/>
      <c r="BA596" s="72"/>
      <c r="BB596" s="72"/>
      <c r="BC596" s="72"/>
      <c r="BD596" s="72"/>
      <c r="BE596" s="72"/>
      <c r="BF596" s="72"/>
      <c r="BG596" s="72"/>
      <c r="BH596" s="72"/>
    </row>
    <row r="597" spans="1:60" x14ac:dyDescent="0.2">
      <c r="A597" s="227"/>
      <c r="B597" s="184" t="s">
        <v>63</v>
      </c>
      <c r="C597" s="121"/>
      <c r="D597" s="167"/>
      <c r="E597" s="167"/>
      <c r="F597" s="177"/>
      <c r="G597" s="97"/>
      <c r="H597" s="97" t="s">
        <v>797</v>
      </c>
      <c r="I597" s="111">
        <v>2003</v>
      </c>
      <c r="J597" s="167">
        <v>143</v>
      </c>
      <c r="K597" s="121">
        <f t="shared" si="98"/>
        <v>43</v>
      </c>
      <c r="L597" s="121">
        <f t="shared" si="99"/>
        <v>15</v>
      </c>
      <c r="M597" s="330"/>
      <c r="N597" s="98"/>
      <c r="O597" s="98"/>
      <c r="P597" s="169"/>
      <c r="Q597" s="177" t="s">
        <v>957</v>
      </c>
      <c r="R597" s="72"/>
      <c r="S597" s="357"/>
      <c r="T597" s="23"/>
      <c r="U597" s="35"/>
      <c r="V597" s="170" t="s">
        <v>820</v>
      </c>
      <c r="W597" s="85"/>
      <c r="X597" s="121">
        <v>43</v>
      </c>
      <c r="Y597" s="121"/>
      <c r="Z597" s="122">
        <f>X597</f>
        <v>43</v>
      </c>
      <c r="AA597" s="123"/>
      <c r="AB597" s="123"/>
      <c r="AC597" s="120"/>
      <c r="AD597" s="39"/>
      <c r="AE597" s="39"/>
      <c r="AF597" s="38">
        <v>15</v>
      </c>
      <c r="AG597" s="39"/>
      <c r="AH597" s="39">
        <f>AF597</f>
        <v>15</v>
      </c>
      <c r="AI597" s="123"/>
      <c r="AJ597" s="123"/>
      <c r="AK597" s="35"/>
      <c r="AL597" s="35"/>
      <c r="AM597" s="35"/>
      <c r="AN597" s="72"/>
      <c r="AO597" s="72"/>
      <c r="AS597" s="72"/>
      <c r="AT597" s="72"/>
      <c r="AU597" s="35"/>
      <c r="AV597" s="128"/>
      <c r="AW597" s="72"/>
      <c r="AX597" s="72"/>
      <c r="AY597" s="72"/>
      <c r="AZ597" s="72"/>
      <c r="BA597" s="72"/>
      <c r="BB597" s="72"/>
      <c r="BC597" s="72"/>
      <c r="BD597" s="72"/>
      <c r="BE597" s="72"/>
      <c r="BF597" s="72"/>
      <c r="BG597" s="72"/>
      <c r="BH597" s="72"/>
    </row>
    <row r="598" spans="1:60" x14ac:dyDescent="0.2">
      <c r="A598" s="227"/>
      <c r="B598" s="184" t="s">
        <v>63</v>
      </c>
      <c r="C598" s="99"/>
      <c r="D598" s="176"/>
      <c r="E598" s="176"/>
      <c r="F598" s="177"/>
      <c r="G598" s="97"/>
      <c r="H598" s="74" t="s">
        <v>934</v>
      </c>
      <c r="I598" s="111">
        <v>2003</v>
      </c>
      <c r="J598" s="176">
        <v>435</v>
      </c>
      <c r="K598" s="121">
        <v>22</v>
      </c>
      <c r="L598" s="121">
        <v>16</v>
      </c>
      <c r="M598" s="330"/>
      <c r="N598" s="75"/>
      <c r="O598" s="75"/>
      <c r="P598" s="177"/>
      <c r="Q598" s="177" t="s">
        <v>957</v>
      </c>
      <c r="S598" s="36"/>
      <c r="T598" s="23"/>
      <c r="U598" s="35"/>
      <c r="V598" s="174" t="s">
        <v>810</v>
      </c>
      <c r="W598" s="158"/>
      <c r="AS598" s="72"/>
      <c r="AT598" s="72"/>
      <c r="AU598" s="35"/>
      <c r="AV598" s="128"/>
      <c r="AW598" s="72"/>
      <c r="AX598" s="72"/>
      <c r="AY598" s="72"/>
      <c r="AZ598" s="72"/>
      <c r="BA598" s="72"/>
      <c r="BB598" s="72"/>
      <c r="BC598" s="72"/>
      <c r="BD598" s="72"/>
      <c r="BE598" s="72"/>
      <c r="BF598" s="72"/>
      <c r="BG598" s="72"/>
      <c r="BH598" s="72"/>
    </row>
    <row r="599" spans="1:60" x14ac:dyDescent="0.2">
      <c r="A599" s="227"/>
      <c r="B599" s="184" t="s">
        <v>63</v>
      </c>
      <c r="C599" s="99"/>
      <c r="D599" s="176"/>
      <c r="E599" s="176"/>
      <c r="F599" s="177"/>
      <c r="G599" s="97"/>
      <c r="H599" s="74" t="s">
        <v>933</v>
      </c>
      <c r="I599" s="111">
        <v>2003</v>
      </c>
      <c r="J599" s="176">
        <v>399</v>
      </c>
      <c r="K599" s="121"/>
      <c r="L599" s="121">
        <v>10.3</v>
      </c>
      <c r="M599" s="330"/>
      <c r="N599" s="75"/>
      <c r="O599" s="75"/>
      <c r="P599" s="177" t="s">
        <v>783</v>
      </c>
      <c r="Q599" s="177" t="s">
        <v>957</v>
      </c>
      <c r="S599" s="36"/>
      <c r="T599" s="23"/>
      <c r="U599" s="35"/>
      <c r="V599" s="174" t="s">
        <v>810</v>
      </c>
      <c r="W599" s="158"/>
      <c r="AS599" s="72"/>
      <c r="AT599" s="72"/>
      <c r="AU599" s="35"/>
      <c r="AV599" s="128"/>
      <c r="AW599" s="72"/>
      <c r="AX599" s="72"/>
      <c r="AY599" s="72"/>
      <c r="AZ599" s="72"/>
      <c r="BA599" s="72"/>
      <c r="BB599" s="72"/>
      <c r="BC599" s="72"/>
      <c r="BD599" s="72"/>
      <c r="BE599" s="72"/>
      <c r="BF599" s="72"/>
      <c r="BG599" s="72"/>
      <c r="BH599" s="72"/>
    </row>
    <row r="600" spans="1:60" x14ac:dyDescent="0.2">
      <c r="A600" s="227"/>
      <c r="B600" s="184" t="s">
        <v>63</v>
      </c>
      <c r="C600" s="99"/>
      <c r="D600" s="176"/>
      <c r="E600" s="176"/>
      <c r="F600" s="177"/>
      <c r="G600" s="97"/>
      <c r="H600" s="74" t="s">
        <v>798</v>
      </c>
      <c r="I600" s="111">
        <v>2004</v>
      </c>
      <c r="J600" s="176">
        <v>1268</v>
      </c>
      <c r="K600" s="121">
        <v>49.5</v>
      </c>
      <c r="L600" s="121">
        <v>11.7</v>
      </c>
      <c r="M600" s="330"/>
      <c r="N600" s="75"/>
      <c r="O600" s="75"/>
      <c r="P600" s="177" t="s">
        <v>794</v>
      </c>
      <c r="Q600" s="177" t="s">
        <v>957</v>
      </c>
      <c r="S600" s="36"/>
      <c r="T600" s="23"/>
      <c r="U600" s="35"/>
      <c r="V600" s="174" t="s">
        <v>810</v>
      </c>
      <c r="W600" s="158"/>
      <c r="AS600" s="72"/>
      <c r="AT600" s="72"/>
      <c r="AU600" s="35"/>
      <c r="AV600" s="128"/>
      <c r="AW600" s="72"/>
      <c r="AX600" s="72"/>
      <c r="AY600" s="72"/>
      <c r="AZ600" s="72"/>
      <c r="BA600" s="72"/>
      <c r="BB600" s="72"/>
      <c r="BC600" s="72"/>
      <c r="BD600" s="72"/>
      <c r="BE600" s="72"/>
      <c r="BF600" s="72"/>
      <c r="BG600" s="72"/>
      <c r="BH600" s="72"/>
    </row>
    <row r="601" spans="1:60" x14ac:dyDescent="0.2">
      <c r="A601" s="227"/>
      <c r="B601" s="184" t="s">
        <v>63</v>
      </c>
      <c r="C601" s="99"/>
      <c r="D601" s="176"/>
      <c r="E601" s="176"/>
      <c r="F601" s="177"/>
      <c r="G601" s="97"/>
      <c r="H601" s="74" t="s">
        <v>943</v>
      </c>
      <c r="I601" s="111">
        <v>2004</v>
      </c>
      <c r="J601" s="176">
        <v>309</v>
      </c>
      <c r="K601" s="121">
        <v>70</v>
      </c>
      <c r="L601" s="121">
        <v>17</v>
      </c>
      <c r="M601" s="330"/>
      <c r="N601" s="75"/>
      <c r="O601" s="75"/>
      <c r="P601" s="177"/>
      <c r="Q601" s="177" t="s">
        <v>957</v>
      </c>
      <c r="S601" s="36"/>
      <c r="T601" s="23"/>
      <c r="U601" s="35"/>
      <c r="V601" s="174" t="s">
        <v>810</v>
      </c>
      <c r="W601" s="158"/>
      <c r="AS601" s="72"/>
      <c r="AT601" s="72"/>
      <c r="AU601" s="35"/>
      <c r="AV601" s="128"/>
      <c r="AW601" s="72"/>
      <c r="AX601" s="72"/>
      <c r="AY601" s="72"/>
      <c r="AZ601" s="72"/>
      <c r="BA601" s="72"/>
      <c r="BB601" s="72"/>
      <c r="BC601" s="72"/>
      <c r="BD601" s="72"/>
      <c r="BE601" s="72"/>
      <c r="BF601" s="72"/>
      <c r="BG601" s="72"/>
      <c r="BH601" s="72"/>
    </row>
    <row r="602" spans="1:60" x14ac:dyDescent="0.2">
      <c r="A602" s="227"/>
      <c r="B602" s="184" t="s">
        <v>63</v>
      </c>
      <c r="C602" s="99"/>
      <c r="D602" s="176"/>
      <c r="E602" s="176"/>
      <c r="F602" s="177"/>
      <c r="G602" s="97"/>
      <c r="H602" s="74" t="s">
        <v>787</v>
      </c>
      <c r="I602" s="111">
        <v>2005</v>
      </c>
      <c r="J602" s="176">
        <v>863</v>
      </c>
      <c r="K602" s="121" t="str">
        <f>IF(Z602&gt;0,Z602,"")</f>
        <v/>
      </c>
      <c r="L602" s="121">
        <f>IF(AH602&gt;0,AH602,"")</f>
        <v>48</v>
      </c>
      <c r="M602" s="330"/>
      <c r="N602" s="75"/>
      <c r="O602" s="75"/>
      <c r="P602" s="177" t="s">
        <v>794</v>
      </c>
      <c r="Q602" s="177" t="s">
        <v>957</v>
      </c>
      <c r="R602" s="107"/>
      <c r="S602" s="360"/>
      <c r="T602" s="23"/>
      <c r="U602" s="126" t="s">
        <v>789</v>
      </c>
      <c r="V602" s="126"/>
      <c r="W602" s="158"/>
      <c r="X602" s="201"/>
      <c r="Y602" s="99"/>
      <c r="AA602" s="123"/>
      <c r="AB602" s="123"/>
      <c r="AC602" s="120"/>
      <c r="AD602" s="39"/>
      <c r="AE602" s="39"/>
      <c r="AF602" s="39">
        <v>48</v>
      </c>
      <c r="AG602" s="39"/>
      <c r="AH602" s="39">
        <f>AF602</f>
        <v>48</v>
      </c>
      <c r="AI602" s="123"/>
      <c r="AJ602" s="123"/>
      <c r="AS602" s="72"/>
      <c r="AT602" s="72"/>
      <c r="AU602" s="35"/>
      <c r="AV602" s="128"/>
      <c r="AW602" s="72"/>
      <c r="AX602" s="72"/>
      <c r="AY602" s="72"/>
      <c r="AZ602" s="72"/>
      <c r="BA602" s="72"/>
      <c r="BB602" s="72"/>
      <c r="BC602" s="72"/>
      <c r="BD602" s="72"/>
      <c r="BE602" s="72"/>
      <c r="BF602" s="72"/>
      <c r="BG602" s="72"/>
      <c r="BH602" s="72"/>
    </row>
    <row r="603" spans="1:60" x14ac:dyDescent="0.2">
      <c r="A603" s="227"/>
      <c r="B603" s="184" t="s">
        <v>63</v>
      </c>
      <c r="C603" s="99"/>
      <c r="D603" s="176"/>
      <c r="E603" s="176"/>
      <c r="F603" s="177"/>
      <c r="G603" s="97"/>
      <c r="H603" s="74" t="s">
        <v>931</v>
      </c>
      <c r="I603" s="111">
        <v>2005</v>
      </c>
      <c r="J603" s="176">
        <v>461</v>
      </c>
      <c r="K603" s="121"/>
      <c r="L603" s="121">
        <v>11</v>
      </c>
      <c r="M603" s="330"/>
      <c r="N603" s="75"/>
      <c r="O603" s="75"/>
      <c r="P603" s="177" t="s">
        <v>794</v>
      </c>
      <c r="Q603" s="177" t="s">
        <v>957</v>
      </c>
      <c r="S603" s="36"/>
      <c r="T603" s="23"/>
      <c r="U603" s="35"/>
      <c r="V603" s="174" t="s">
        <v>810</v>
      </c>
      <c r="W603" s="158"/>
      <c r="AS603" s="72"/>
      <c r="AT603" s="72"/>
      <c r="AU603" s="35"/>
      <c r="AV603" s="128"/>
      <c r="AW603" s="72"/>
      <c r="AX603" s="72"/>
      <c r="AY603" s="72"/>
      <c r="AZ603" s="72"/>
      <c r="BA603" s="72"/>
      <c r="BB603" s="72"/>
      <c r="BC603" s="72"/>
      <c r="BD603" s="72"/>
      <c r="BE603" s="72"/>
      <c r="BF603" s="72"/>
      <c r="BG603" s="72"/>
      <c r="BH603" s="72"/>
    </row>
    <row r="604" spans="1:60" x14ac:dyDescent="0.2">
      <c r="A604" s="227"/>
      <c r="B604" s="184" t="s">
        <v>63</v>
      </c>
      <c r="C604" s="99"/>
      <c r="D604" s="176"/>
      <c r="E604" s="176"/>
      <c r="F604" s="177"/>
      <c r="G604" s="97"/>
      <c r="H604" s="74" t="s">
        <v>929</v>
      </c>
      <c r="I604" s="111">
        <v>2006</v>
      </c>
      <c r="J604" s="176">
        <v>323</v>
      </c>
      <c r="K604" s="121">
        <v>13</v>
      </c>
      <c r="L604" s="121"/>
      <c r="M604" s="330"/>
      <c r="N604" s="75"/>
      <c r="O604" s="75"/>
      <c r="P604" s="177" t="s">
        <v>783</v>
      </c>
      <c r="Q604" s="177" t="s">
        <v>957</v>
      </c>
      <c r="S604" s="36"/>
      <c r="T604" s="23"/>
      <c r="U604" s="35"/>
      <c r="V604" s="174"/>
      <c r="W604" s="158"/>
      <c r="AS604" s="72"/>
      <c r="AT604" s="72"/>
      <c r="AU604" s="35"/>
      <c r="AV604" s="128"/>
      <c r="AW604" s="72"/>
      <c r="AX604" s="72"/>
      <c r="AY604" s="72"/>
      <c r="AZ604" s="72"/>
      <c r="BA604" s="72"/>
      <c r="BB604" s="72"/>
      <c r="BC604" s="72"/>
      <c r="BD604" s="72"/>
      <c r="BE604" s="72"/>
      <c r="BF604" s="72"/>
      <c r="BG604" s="72"/>
      <c r="BH604" s="72"/>
    </row>
    <row r="605" spans="1:60" x14ac:dyDescent="0.2">
      <c r="A605" s="227"/>
      <c r="B605" s="184" t="s">
        <v>63</v>
      </c>
      <c r="C605" s="99"/>
      <c r="D605" s="176"/>
      <c r="E605" s="176"/>
      <c r="F605" s="177"/>
      <c r="G605" s="97"/>
      <c r="H605" s="74" t="s">
        <v>944</v>
      </c>
      <c r="I605" s="111">
        <v>2006</v>
      </c>
      <c r="J605" s="176">
        <v>2926</v>
      </c>
      <c r="K605" s="121">
        <v>38.799999999999997</v>
      </c>
      <c r="L605" s="121"/>
      <c r="M605" s="330"/>
      <c r="N605" s="75"/>
      <c r="O605" s="75"/>
      <c r="P605" s="177"/>
      <c r="Q605" s="177" t="s">
        <v>957</v>
      </c>
      <c r="S605" s="36"/>
      <c r="T605" s="23"/>
      <c r="U605" s="35"/>
      <c r="V605" s="174"/>
      <c r="W605" s="158"/>
      <c r="AS605" s="72"/>
      <c r="AT605" s="72"/>
      <c r="AU605" s="35"/>
      <c r="AV605" s="128"/>
      <c r="AW605" s="72"/>
      <c r="AX605" s="72"/>
      <c r="AY605" s="72"/>
      <c r="AZ605" s="72"/>
      <c r="BA605" s="72"/>
      <c r="BB605" s="72"/>
      <c r="BC605" s="72"/>
      <c r="BD605" s="72"/>
      <c r="BE605" s="72"/>
      <c r="BF605" s="72"/>
      <c r="BG605" s="72"/>
      <c r="BH605" s="72"/>
    </row>
    <row r="606" spans="1:60" x14ac:dyDescent="0.2">
      <c r="A606" s="227"/>
      <c r="B606" s="184" t="s">
        <v>63</v>
      </c>
      <c r="C606" s="99"/>
      <c r="D606" s="176"/>
      <c r="E606" s="176"/>
      <c r="F606" s="177"/>
      <c r="G606" s="97"/>
      <c r="H606" s="74" t="s">
        <v>928</v>
      </c>
      <c r="I606" s="111">
        <v>2006</v>
      </c>
      <c r="J606" s="176">
        <v>793</v>
      </c>
      <c r="K606">
        <v>45</v>
      </c>
      <c r="L606" s="121"/>
      <c r="M606" s="330"/>
      <c r="P606" s="177"/>
      <c r="Q606" s="177" t="s">
        <v>957</v>
      </c>
      <c r="S606" s="36"/>
      <c r="T606" s="23"/>
      <c r="U606" s="35"/>
      <c r="V606" s="174"/>
      <c r="W606" s="158"/>
      <c r="AS606" s="72"/>
      <c r="AT606" s="72"/>
      <c r="AU606" s="35"/>
      <c r="AV606" s="128"/>
      <c r="AW606" s="72"/>
      <c r="AX606" s="72"/>
      <c r="AY606" s="72"/>
      <c r="AZ606" s="72"/>
      <c r="BA606" s="72"/>
      <c r="BB606" s="72"/>
      <c r="BC606" s="72"/>
      <c r="BD606" s="72"/>
      <c r="BE606" s="72"/>
      <c r="BF606" s="72"/>
      <c r="BG606" s="72"/>
      <c r="BH606" s="72"/>
    </row>
    <row r="607" spans="1:60" x14ac:dyDescent="0.2">
      <c r="A607" s="227"/>
      <c r="B607" s="184" t="s">
        <v>63</v>
      </c>
      <c r="C607" s="99"/>
      <c r="D607" s="176"/>
      <c r="E607" s="176"/>
      <c r="F607" s="177"/>
      <c r="G607" s="97"/>
      <c r="H607" s="74" t="s">
        <v>925</v>
      </c>
      <c r="I607" s="111"/>
      <c r="J607" s="176">
        <v>480</v>
      </c>
      <c r="K607" s="121">
        <v>14.7</v>
      </c>
      <c r="L607" s="121">
        <v>3.9</v>
      </c>
      <c r="M607" s="330"/>
      <c r="N607" s="75"/>
      <c r="O607" s="75"/>
      <c r="P607" s="177"/>
      <c r="Q607" s="177" t="s">
        <v>957</v>
      </c>
      <c r="S607" s="36"/>
      <c r="T607" s="23"/>
      <c r="U607" s="35"/>
      <c r="V607" s="174"/>
      <c r="W607" s="158"/>
      <c r="AS607" s="72"/>
      <c r="AT607" s="72"/>
      <c r="AU607" s="35"/>
      <c r="AV607" s="128"/>
      <c r="AW607" s="72"/>
      <c r="AX607" s="72"/>
      <c r="AY607" s="72"/>
      <c r="AZ607" s="72"/>
      <c r="BA607" s="72"/>
      <c r="BB607" s="72"/>
      <c r="BC607" s="72"/>
      <c r="BD607" s="72"/>
      <c r="BE607" s="72"/>
      <c r="BF607" s="72"/>
      <c r="BG607" s="72"/>
      <c r="BH607" s="72"/>
    </row>
    <row r="608" spans="1:60" ht="12" customHeight="1" x14ac:dyDescent="0.2">
      <c r="A608" s="227"/>
      <c r="B608" s="234"/>
      <c r="C608" s="99"/>
      <c r="D608" s="176"/>
      <c r="E608" s="176"/>
      <c r="F608" s="177"/>
      <c r="G608" s="311"/>
      <c r="H608" s="74"/>
      <c r="I608" s="111"/>
      <c r="J608" s="176"/>
      <c r="K608" s="121"/>
      <c r="L608" s="121"/>
      <c r="M608" s="330"/>
      <c r="N608" s="75"/>
      <c r="O608" s="75"/>
      <c r="P608" s="177"/>
      <c r="Q608" s="177"/>
      <c r="R608" s="107"/>
      <c r="S608" s="361"/>
      <c r="U608" s="14"/>
      <c r="V608" s="170"/>
      <c r="W608" s="158"/>
      <c r="X608" s="201"/>
      <c r="Y608" s="99"/>
      <c r="AA608" s="123"/>
      <c r="AB608" s="123"/>
      <c r="AC608" s="120"/>
      <c r="AD608" s="39"/>
      <c r="AE608" s="39"/>
      <c r="AF608" s="39"/>
      <c r="AG608" s="39"/>
      <c r="AH608" s="39"/>
      <c r="AI608" s="123"/>
      <c r="AJ608" s="123"/>
      <c r="AS608" s="72"/>
      <c r="AT608" s="72"/>
      <c r="AU608" s="35"/>
      <c r="AV608" s="128"/>
      <c r="AW608" s="72"/>
      <c r="AX608" s="72"/>
      <c r="AY608" s="72"/>
      <c r="AZ608" s="72"/>
      <c r="BA608" s="72"/>
      <c r="BB608" s="72"/>
      <c r="BC608" s="72"/>
      <c r="BD608" s="72"/>
      <c r="BE608" s="72"/>
      <c r="BF608" s="72"/>
      <c r="BG608" s="72"/>
      <c r="BH608" s="72"/>
    </row>
    <row r="609" spans="1:61" ht="12" customHeight="1" x14ac:dyDescent="0.2">
      <c r="B609" s="45"/>
      <c r="C609" s="99"/>
      <c r="D609" s="176"/>
      <c r="E609" s="176"/>
      <c r="G609" s="45"/>
      <c r="H609" s="74"/>
      <c r="I609" s="111"/>
      <c r="J609" s="176"/>
      <c r="K609" s="121"/>
      <c r="L609" s="121"/>
      <c r="M609" s="330"/>
      <c r="N609" s="75"/>
      <c r="O609" s="75"/>
      <c r="AS609" s="72"/>
      <c r="AT609" s="72"/>
      <c r="AU609" s="35"/>
      <c r="AV609" s="128"/>
      <c r="AW609" s="72"/>
      <c r="AX609" s="72"/>
      <c r="AY609" s="72"/>
      <c r="AZ609" s="72"/>
      <c r="BA609" s="72"/>
      <c r="BB609" s="72"/>
      <c r="BC609" s="72"/>
      <c r="BD609" s="72"/>
      <c r="BE609" s="72"/>
      <c r="BF609" s="72"/>
      <c r="BG609" s="72"/>
      <c r="BH609" s="72"/>
    </row>
    <row r="610" spans="1:61" s="72" customFormat="1" ht="13.5" customHeight="1" x14ac:dyDescent="0.2">
      <c r="A610" s="147"/>
      <c r="B610"/>
      <c r="C610" s="203"/>
      <c r="F610" s="21"/>
      <c r="G610"/>
      <c r="I610"/>
      <c r="M610" s="2"/>
      <c r="P610" s="1"/>
      <c r="Q610" s="21" t="s">
        <v>648</v>
      </c>
      <c r="R610" s="103"/>
      <c r="S610" s="19"/>
      <c r="T610" s="351"/>
      <c r="U610" s="102"/>
      <c r="W610" s="160"/>
      <c r="X610" s="104"/>
      <c r="Y610" s="104"/>
      <c r="Z610" s="105"/>
      <c r="AA610" s="144"/>
      <c r="AB610" s="144"/>
      <c r="AC610" s="141"/>
      <c r="AD610" s="145"/>
      <c r="AE610" s="145"/>
      <c r="AF610" s="145"/>
      <c r="AG610" s="145"/>
      <c r="AH610" s="231"/>
      <c r="AI610" s="144"/>
      <c r="AJ610" s="144"/>
      <c r="AK610" s="102"/>
      <c r="AL610" s="102"/>
      <c r="AM610" s="102"/>
      <c r="AP610" s="240"/>
      <c r="AU610" s="35"/>
      <c r="AV610" s="128"/>
      <c r="BI610"/>
    </row>
    <row r="611" spans="1:61" s="72" customFormat="1" ht="13.5" customHeight="1" x14ac:dyDescent="0.2">
      <c r="C611" s="294"/>
      <c r="D611" s="116"/>
      <c r="E611" s="116"/>
      <c r="F611" s="372"/>
      <c r="H611" s="116"/>
      <c r="J611" s="116"/>
      <c r="K611" s="116"/>
      <c r="L611" s="116"/>
      <c r="M611" s="72" t="s">
        <v>1063</v>
      </c>
      <c r="N611" s="116"/>
      <c r="O611" s="116"/>
      <c r="P611" s="113"/>
      <c r="Q611" s="180" t="s">
        <v>219</v>
      </c>
      <c r="R611" s="181" t="s">
        <v>664</v>
      </c>
      <c r="S611" s="362">
        <v>39095</v>
      </c>
      <c r="T611" s="19" t="s">
        <v>649</v>
      </c>
      <c r="V611" t="s">
        <v>665</v>
      </c>
      <c r="W611" s="89"/>
      <c r="X611" s="99"/>
      <c r="Y611" s="99"/>
      <c r="Z611" s="100"/>
      <c r="AA611" s="81"/>
      <c r="AB611" s="81"/>
      <c r="AC611" s="90"/>
      <c r="AD611" s="200"/>
      <c r="AE611" s="200"/>
      <c r="AF611" s="200"/>
      <c r="AG611" s="189"/>
      <c r="AH611" s="200"/>
      <c r="AI611" s="81"/>
      <c r="AJ611" s="81"/>
      <c r="AP611" s="240"/>
      <c r="AU611" s="35"/>
      <c r="AV611" s="128"/>
      <c r="BI611"/>
    </row>
    <row r="612" spans="1:61" s="72" customFormat="1" ht="13.5" customHeight="1" x14ac:dyDescent="0.2">
      <c r="C612" s="295"/>
      <c r="D612" s="115"/>
      <c r="E612" s="115"/>
      <c r="F612" s="23"/>
      <c r="H612" s="116"/>
      <c r="J612" s="115"/>
      <c r="K612" s="115"/>
      <c r="L612" s="115"/>
      <c r="M612" s="131" t="s">
        <v>1059</v>
      </c>
      <c r="N612" s="116"/>
      <c r="O612" s="148"/>
      <c r="P612" s="73"/>
      <c r="Q612" s="34" t="s">
        <v>218</v>
      </c>
      <c r="R612" s="131" t="s">
        <v>1050</v>
      </c>
      <c r="S612" s="363">
        <v>39094</v>
      </c>
      <c r="T612" s="1" t="s">
        <v>667</v>
      </c>
      <c r="U612" s="149" t="s">
        <v>666</v>
      </c>
      <c r="V612" s="3"/>
      <c r="W612" s="89"/>
      <c r="X612" s="99"/>
      <c r="Y612" s="99"/>
      <c r="Z612" s="100"/>
      <c r="AA612" s="81"/>
      <c r="AB612" s="81"/>
      <c r="AC612" s="90"/>
      <c r="AD612" s="200"/>
      <c r="AE612" s="200"/>
      <c r="AF612" s="200"/>
      <c r="AG612" s="189"/>
      <c r="AH612" s="200"/>
      <c r="AI612" s="81"/>
      <c r="AJ612" s="81"/>
      <c r="AP612" s="240"/>
      <c r="AU612" s="35"/>
      <c r="AV612" s="128"/>
    </row>
    <row r="613" spans="1:61" s="72" customFormat="1" ht="13.5" customHeight="1" x14ac:dyDescent="0.2">
      <c r="C613" s="294"/>
      <c r="D613" s="116"/>
      <c r="E613" s="116"/>
      <c r="F613" s="36"/>
      <c r="H613"/>
      <c r="J613" s="116"/>
      <c r="K613" s="116"/>
      <c r="L613" s="116"/>
      <c r="M613" s="331" t="s">
        <v>952</v>
      </c>
      <c r="P613" s="73"/>
      <c r="Q613" s="182" t="s">
        <v>222</v>
      </c>
      <c r="R613" s="131" t="s">
        <v>952</v>
      </c>
      <c r="S613" s="363">
        <v>40767</v>
      </c>
      <c r="T613" s="1">
        <v>34</v>
      </c>
      <c r="U613"/>
      <c r="V613" s="3"/>
      <c r="W613" s="89"/>
      <c r="X613" s="99"/>
      <c r="Y613" s="99"/>
      <c r="Z613" s="100"/>
      <c r="AA613" s="81"/>
      <c r="AB613" s="81"/>
      <c r="AC613" s="90"/>
      <c r="AD613" s="200"/>
      <c r="AE613" s="200"/>
      <c r="AF613" s="200"/>
      <c r="AG613" s="189"/>
      <c r="AH613" s="200"/>
      <c r="AI613" s="81"/>
      <c r="AJ613" s="81"/>
      <c r="AP613" s="240"/>
      <c r="AU613" s="35"/>
      <c r="AV613" s="128"/>
    </row>
    <row r="614" spans="1:61" s="72" customFormat="1" ht="13.5" customHeight="1" x14ac:dyDescent="0.2">
      <c r="C614" s="295"/>
      <c r="D614" s="115"/>
      <c r="E614" s="115"/>
      <c r="F614" s="36"/>
      <c r="H614"/>
      <c r="J614" s="115"/>
      <c r="K614" s="115"/>
      <c r="L614" s="115"/>
      <c r="M614" s="326" t="s">
        <v>636</v>
      </c>
      <c r="P614" s="73"/>
      <c r="Q614" s="182" t="s">
        <v>223</v>
      </c>
      <c r="R614" s="131" t="s">
        <v>636</v>
      </c>
      <c r="S614" s="363">
        <v>40498</v>
      </c>
      <c r="T614" s="1"/>
      <c r="U614" s="14" t="s">
        <v>704</v>
      </c>
      <c r="V614" s="3"/>
      <c r="W614" s="89"/>
      <c r="X614" s="99"/>
      <c r="Y614" s="99"/>
      <c r="Z614" s="100"/>
      <c r="AA614" s="81"/>
      <c r="AB614" s="81"/>
      <c r="AC614" s="90"/>
      <c r="AD614" s="200"/>
      <c r="AE614" s="200"/>
      <c r="AF614" s="200"/>
      <c r="AG614" s="189"/>
      <c r="AH614" s="200"/>
      <c r="AI614" s="81"/>
      <c r="AJ614" s="81"/>
      <c r="AP614" s="240"/>
      <c r="AU614" s="35"/>
      <c r="AV614" s="128"/>
    </row>
    <row r="615" spans="1:61" s="72" customFormat="1" ht="13.5" customHeight="1" x14ac:dyDescent="0.2">
      <c r="C615" s="294"/>
      <c r="D615" s="116"/>
      <c r="E615" s="116"/>
      <c r="F615" s="36"/>
      <c r="H615"/>
      <c r="J615" s="116"/>
      <c r="K615" s="116"/>
      <c r="L615" s="116"/>
      <c r="M615" s="131" t="s">
        <v>637</v>
      </c>
      <c r="P615" s="73"/>
      <c r="Q615" s="182" t="s">
        <v>225</v>
      </c>
      <c r="R615" s="131" t="s">
        <v>637</v>
      </c>
      <c r="S615" s="363">
        <v>40499</v>
      </c>
      <c r="T615" s="1"/>
      <c r="U615" s="14" t="s">
        <v>705</v>
      </c>
      <c r="V615" s="3"/>
      <c r="W615" s="89"/>
      <c r="X615" s="99"/>
      <c r="Y615" s="99"/>
      <c r="Z615" s="100"/>
      <c r="AA615" s="81"/>
      <c r="AB615" s="81"/>
      <c r="AC615" s="90"/>
      <c r="AD615" s="200"/>
      <c r="AE615" s="200"/>
      <c r="AF615" s="200"/>
      <c r="AG615" s="189"/>
      <c r="AH615" s="200"/>
      <c r="AI615" s="81"/>
      <c r="AJ615" s="81"/>
      <c r="AP615" s="240"/>
      <c r="AU615" s="35"/>
      <c r="AV615" s="128"/>
    </row>
    <row r="616" spans="1:61" s="72" customFormat="1" ht="13.5" customHeight="1" x14ac:dyDescent="0.2">
      <c r="C616" s="294"/>
      <c r="D616" s="116"/>
      <c r="E616" s="116"/>
      <c r="F616" s="36"/>
      <c r="H616"/>
      <c r="J616" s="116"/>
      <c r="K616" s="116"/>
      <c r="L616" s="116"/>
      <c r="M616" s="136" t="s">
        <v>280</v>
      </c>
      <c r="P616" s="73"/>
      <c r="Q616" s="182" t="s">
        <v>226</v>
      </c>
      <c r="R616" s="136" t="s">
        <v>280</v>
      </c>
      <c r="S616" s="363">
        <v>39095</v>
      </c>
      <c r="T616" s="1"/>
      <c r="U616" s="149" t="s">
        <v>672</v>
      </c>
      <c r="V616" s="3"/>
      <c r="W616" s="89"/>
      <c r="X616" s="99"/>
      <c r="Y616" s="99"/>
      <c r="Z616" s="100"/>
      <c r="AA616" s="81"/>
      <c r="AB616" s="81"/>
      <c r="AC616" s="90"/>
      <c r="AD616" s="200"/>
      <c r="AE616" s="200"/>
      <c r="AF616" s="200"/>
      <c r="AG616" s="189"/>
      <c r="AH616" s="200"/>
      <c r="AI616" s="81"/>
      <c r="AJ616" s="81"/>
      <c r="AP616" s="240"/>
      <c r="AU616" s="35"/>
      <c r="AV616" s="128"/>
    </row>
    <row r="617" spans="1:61" s="72" customFormat="1" ht="13.5" customHeight="1" x14ac:dyDescent="0.2">
      <c r="C617" s="294"/>
      <c r="D617" s="116"/>
      <c r="E617" s="116"/>
      <c r="F617" s="23"/>
      <c r="H617"/>
      <c r="J617" s="116"/>
      <c r="K617" s="116"/>
      <c r="L617" s="116"/>
      <c r="M617" s="173" t="s">
        <v>670</v>
      </c>
      <c r="P617" s="73"/>
      <c r="Q617" s="34" t="s">
        <v>236</v>
      </c>
      <c r="R617" s="173" t="s">
        <v>670</v>
      </c>
      <c r="S617" s="363">
        <v>39095</v>
      </c>
      <c r="T617" s="1">
        <v>5</v>
      </c>
      <c r="U617" s="149" t="s">
        <v>671</v>
      </c>
      <c r="V617" s="3"/>
      <c r="W617" s="89"/>
      <c r="X617" s="99"/>
      <c r="Y617" s="99"/>
      <c r="Z617" s="100"/>
      <c r="AA617" s="81"/>
      <c r="AB617" s="81"/>
      <c r="AC617" s="90"/>
      <c r="AD617" s="200"/>
      <c r="AE617" s="200"/>
      <c r="AF617" s="200"/>
      <c r="AG617" s="189"/>
      <c r="AH617" s="200"/>
      <c r="AI617" s="81"/>
      <c r="AJ617" s="81"/>
      <c r="AP617" s="240"/>
      <c r="AS617"/>
      <c r="AT617"/>
      <c r="AU617"/>
      <c r="AV617"/>
      <c r="AW617"/>
      <c r="AX617"/>
      <c r="AY617"/>
      <c r="AZ617"/>
      <c r="BA617"/>
      <c r="BB617"/>
      <c r="BC617"/>
      <c r="BD617"/>
      <c r="BE617"/>
      <c r="BF617"/>
      <c r="BG617"/>
      <c r="BH617"/>
    </row>
    <row r="618" spans="1:61" s="72" customFormat="1" ht="13.5" customHeight="1" x14ac:dyDescent="0.2">
      <c r="C618" s="295"/>
      <c r="D618" s="115"/>
      <c r="E618" s="115"/>
      <c r="F618" s="23"/>
      <c r="H618"/>
      <c r="J618" s="115"/>
      <c r="K618" s="115"/>
      <c r="L618" s="115"/>
      <c r="M618" s="136" t="s">
        <v>685</v>
      </c>
      <c r="P618" s="73"/>
      <c r="Q618" s="34" t="s">
        <v>237</v>
      </c>
      <c r="R618" s="136" t="s">
        <v>685</v>
      </c>
      <c r="S618" s="363">
        <v>40513</v>
      </c>
      <c r="T618" s="1"/>
      <c r="W618" s="89"/>
      <c r="X618" s="99"/>
      <c r="Y618" s="99"/>
      <c r="Z618" s="100"/>
      <c r="AA618" s="81"/>
      <c r="AB618" s="81"/>
      <c r="AC618" s="90"/>
      <c r="AD618" s="200"/>
      <c r="AE618" s="200"/>
      <c r="AF618" s="200"/>
      <c r="AG618" s="189"/>
      <c r="AH618" s="200"/>
      <c r="AI618" s="81"/>
      <c r="AJ618" s="81"/>
      <c r="AP618" s="240"/>
      <c r="AU618" s="35"/>
      <c r="AV618" s="128"/>
    </row>
    <row r="619" spans="1:61" s="72" customFormat="1" ht="13.5" customHeight="1" x14ac:dyDescent="0.2">
      <c r="C619" s="295"/>
      <c r="D619" s="115"/>
      <c r="E619" s="115"/>
      <c r="F619" s="36"/>
      <c r="H619"/>
      <c r="J619" s="115"/>
      <c r="K619" s="115"/>
      <c r="L619" s="115"/>
      <c r="M619" s="136" t="s">
        <v>691</v>
      </c>
      <c r="P619" s="73"/>
      <c r="Q619" s="182" t="s">
        <v>240</v>
      </c>
      <c r="R619" s="136" t="s">
        <v>691</v>
      </c>
      <c r="S619" s="363">
        <v>40513</v>
      </c>
      <c r="T619" s="1"/>
      <c r="U619"/>
      <c r="V619" s="3"/>
      <c r="W619" s="89"/>
      <c r="X619" s="99"/>
      <c r="Y619" s="99"/>
      <c r="Z619" s="100"/>
      <c r="AA619" s="81"/>
      <c r="AB619" s="81"/>
      <c r="AC619" s="90"/>
      <c r="AD619" s="200"/>
      <c r="AE619" s="200"/>
      <c r="AF619" s="200"/>
      <c r="AG619" s="189"/>
      <c r="AH619" s="200"/>
      <c r="AI619" s="81"/>
      <c r="AJ619" s="81"/>
      <c r="AP619" s="240"/>
      <c r="AU619" s="35"/>
      <c r="AV619" s="128"/>
    </row>
    <row r="620" spans="1:61" s="72" customFormat="1" ht="13.5" customHeight="1" x14ac:dyDescent="0.2">
      <c r="C620" s="295"/>
      <c r="D620" s="115"/>
      <c r="E620" s="115"/>
      <c r="F620" s="36"/>
      <c r="H620"/>
      <c r="J620" s="115"/>
      <c r="K620" s="115"/>
      <c r="L620" s="115"/>
      <c r="M620" s="131" t="s">
        <v>686</v>
      </c>
      <c r="P620" s="73"/>
      <c r="Q620" s="182" t="s">
        <v>343</v>
      </c>
      <c r="R620" s="131" t="s">
        <v>686</v>
      </c>
      <c r="S620" s="363">
        <v>40513</v>
      </c>
      <c r="T620" s="1"/>
      <c r="U620"/>
      <c r="W620" s="90"/>
      <c r="X620" s="99"/>
      <c r="Y620" s="99"/>
      <c r="Z620" s="100"/>
      <c r="AA620" s="81"/>
      <c r="AB620" s="81"/>
      <c r="AC620" s="90"/>
      <c r="AD620" s="200"/>
      <c r="AE620" s="200"/>
      <c r="AF620" s="200"/>
      <c r="AG620" s="189"/>
      <c r="AH620" s="200"/>
      <c r="AI620" s="81"/>
      <c r="AJ620" s="81"/>
      <c r="AP620" s="240"/>
      <c r="AU620" s="35"/>
      <c r="AV620" s="128"/>
    </row>
    <row r="621" spans="1:61" s="72" customFormat="1" ht="13.5" customHeight="1" x14ac:dyDescent="0.2">
      <c r="C621" s="295"/>
      <c r="D621" s="115"/>
      <c r="E621" s="115"/>
      <c r="F621" s="36"/>
      <c r="H621"/>
      <c r="J621" s="115"/>
      <c r="K621" s="115"/>
      <c r="L621" s="115"/>
      <c r="M621" s="136" t="s">
        <v>690</v>
      </c>
      <c r="P621" s="73"/>
      <c r="Q621" s="182" t="s">
        <v>246</v>
      </c>
      <c r="R621" s="136" t="s">
        <v>690</v>
      </c>
      <c r="S621" s="363">
        <v>40515</v>
      </c>
      <c r="T621" s="1"/>
      <c r="U621"/>
      <c r="W621" s="90"/>
      <c r="X621" s="99"/>
      <c r="Y621" s="99"/>
      <c r="Z621" s="100"/>
      <c r="AA621" s="81"/>
      <c r="AB621" s="81"/>
      <c r="AC621" s="90"/>
      <c r="AD621" s="200"/>
      <c r="AE621" s="200"/>
      <c r="AF621" s="200"/>
      <c r="AG621" s="189"/>
      <c r="AH621" s="200"/>
      <c r="AI621" s="81"/>
      <c r="AJ621" s="81"/>
      <c r="AP621" s="240"/>
      <c r="AS621"/>
      <c r="AT621"/>
      <c r="AU621" s="35"/>
      <c r="AV621"/>
      <c r="AW621"/>
      <c r="AX621"/>
      <c r="AY621"/>
      <c r="AZ621"/>
      <c r="BA621"/>
      <c r="BB621"/>
      <c r="BC621"/>
      <c r="BD621"/>
      <c r="BE621"/>
      <c r="BF621"/>
      <c r="BG621"/>
      <c r="BH621"/>
    </row>
    <row r="622" spans="1:61" s="72" customFormat="1" ht="13.5" customHeight="1" x14ac:dyDescent="0.2">
      <c r="C622" s="295"/>
      <c r="D622" s="115"/>
      <c r="E622" s="115"/>
      <c r="F622" s="23"/>
      <c r="H622" s="115"/>
      <c r="J622" s="115"/>
      <c r="K622" s="115"/>
      <c r="L622" s="115"/>
      <c r="M622" s="173" t="s">
        <v>673</v>
      </c>
      <c r="N622" s="148"/>
      <c r="O622" s="148"/>
      <c r="P622" s="73"/>
      <c r="Q622" s="34" t="s">
        <v>261</v>
      </c>
      <c r="R622" s="173" t="s">
        <v>673</v>
      </c>
      <c r="S622" s="363">
        <v>39096</v>
      </c>
      <c r="T622" s="1"/>
      <c r="U622" s="149" t="s">
        <v>674</v>
      </c>
      <c r="W622" s="90"/>
      <c r="X622" s="99"/>
      <c r="Y622" s="99"/>
      <c r="Z622" s="100"/>
      <c r="AA622" s="81"/>
      <c r="AB622" s="81"/>
      <c r="AC622" s="90"/>
      <c r="AD622" s="200"/>
      <c r="AE622" s="200"/>
      <c r="AF622" s="200"/>
      <c r="AG622" s="189"/>
      <c r="AH622" s="200"/>
      <c r="AI622" s="81"/>
      <c r="AJ622" s="81"/>
      <c r="AP622" s="240"/>
      <c r="AU622" s="35"/>
      <c r="AV622" s="128"/>
    </row>
    <row r="623" spans="1:61" s="72" customFormat="1" ht="13.5" customHeight="1" x14ac:dyDescent="0.2">
      <c r="C623" s="295"/>
      <c r="D623" s="115"/>
      <c r="E623" s="115"/>
      <c r="F623" s="23"/>
      <c r="H623" s="115"/>
      <c r="J623" s="115"/>
      <c r="K623" s="115"/>
      <c r="L623" s="115"/>
      <c r="M623" s="173" t="s">
        <v>779</v>
      </c>
      <c r="N623" s="148"/>
      <c r="O623" s="148"/>
      <c r="P623" s="73"/>
      <c r="Q623" s="34" t="s">
        <v>268</v>
      </c>
      <c r="R623" s="173" t="s">
        <v>779</v>
      </c>
      <c r="S623" s="363">
        <v>40517</v>
      </c>
      <c r="T623" s="1"/>
      <c r="U623"/>
      <c r="W623" s="90"/>
      <c r="X623" s="99"/>
      <c r="Y623" s="99"/>
      <c r="Z623" s="100"/>
      <c r="AA623" s="81"/>
      <c r="AB623" s="81"/>
      <c r="AC623" s="90"/>
      <c r="AD623" s="200"/>
      <c r="AE623" s="200"/>
      <c r="AF623" s="200"/>
      <c r="AG623" s="189"/>
      <c r="AH623" s="200"/>
      <c r="AI623" s="81"/>
      <c r="AJ623" s="81"/>
      <c r="AP623" s="240"/>
      <c r="AU623" s="35"/>
      <c r="AV623" s="128"/>
    </row>
    <row r="624" spans="1:61" s="72" customFormat="1" ht="13.5" customHeight="1" x14ac:dyDescent="0.2">
      <c r="C624" s="295"/>
      <c r="D624" s="115"/>
      <c r="E624" s="115"/>
      <c r="F624" s="23"/>
      <c r="H624" s="115"/>
      <c r="J624" s="115"/>
      <c r="K624" s="115"/>
      <c r="L624" s="115"/>
      <c r="M624" s="136" t="s">
        <v>723</v>
      </c>
      <c r="N624" s="148"/>
      <c r="O624" s="148"/>
      <c r="P624" s="73"/>
      <c r="Q624" s="34" t="s">
        <v>346</v>
      </c>
      <c r="R624" s="136" t="s">
        <v>723</v>
      </c>
      <c r="S624" s="363">
        <v>40515</v>
      </c>
      <c r="T624" s="1"/>
      <c r="U624"/>
      <c r="V624" s="3"/>
      <c r="W624" s="89"/>
      <c r="X624" s="99"/>
      <c r="Y624" s="99"/>
      <c r="Z624" s="100"/>
      <c r="AA624" s="81"/>
      <c r="AB624" s="81"/>
      <c r="AC624" s="90"/>
      <c r="AD624" s="200"/>
      <c r="AE624" s="200"/>
      <c r="AF624" s="200"/>
      <c r="AG624" s="189"/>
      <c r="AH624" s="200"/>
      <c r="AI624" s="81"/>
      <c r="AJ624" s="81"/>
      <c r="AP624" s="240"/>
      <c r="AU624" s="35"/>
      <c r="AV624" s="128"/>
    </row>
    <row r="625" spans="3:61" s="72" customFormat="1" ht="13.5" customHeight="1" x14ac:dyDescent="0.2">
      <c r="C625" s="294"/>
      <c r="D625" s="116"/>
      <c r="E625" s="116"/>
      <c r="F625" s="23"/>
      <c r="H625" s="116"/>
      <c r="J625" s="116"/>
      <c r="K625" s="116"/>
      <c r="L625" s="116"/>
      <c r="M625" s="136" t="s">
        <v>725</v>
      </c>
      <c r="N625" s="116"/>
      <c r="O625" s="116"/>
      <c r="P625" s="73"/>
      <c r="Q625" s="34" t="s">
        <v>270</v>
      </c>
      <c r="R625" s="136" t="s">
        <v>725</v>
      </c>
      <c r="S625" s="363">
        <v>40515</v>
      </c>
      <c r="T625" s="1"/>
      <c r="U625"/>
      <c r="W625" s="90"/>
      <c r="X625" s="99"/>
      <c r="Y625" s="99"/>
      <c r="Z625" s="100"/>
      <c r="AA625" s="81"/>
      <c r="AB625" s="81"/>
      <c r="AC625" s="90"/>
      <c r="AD625" s="200"/>
      <c r="AE625" s="200"/>
      <c r="AF625" s="200"/>
      <c r="AG625" s="189"/>
      <c r="AH625" s="200"/>
      <c r="AI625" s="81"/>
      <c r="AJ625" s="81"/>
      <c r="AP625" s="240"/>
      <c r="AU625" s="35"/>
      <c r="AV625" s="128"/>
    </row>
    <row r="626" spans="3:61" s="72" customFormat="1" ht="13.5" customHeight="1" x14ac:dyDescent="0.2">
      <c r="C626" s="295"/>
      <c r="D626" s="115"/>
      <c r="E626" s="115"/>
      <c r="F626" s="36"/>
      <c r="H626" s="115"/>
      <c r="J626" s="115"/>
      <c r="K626" s="115"/>
      <c r="L626" s="115"/>
      <c r="M626" s="136" t="s">
        <v>669</v>
      </c>
      <c r="N626" s="148"/>
      <c r="O626" s="148"/>
      <c r="P626" s="73"/>
      <c r="Q626" s="182" t="s">
        <v>272</v>
      </c>
      <c r="R626" s="136" t="s">
        <v>669</v>
      </c>
      <c r="S626" s="363">
        <v>40508</v>
      </c>
      <c r="T626" s="1"/>
      <c r="U626"/>
      <c r="W626" s="90"/>
      <c r="X626" s="99"/>
      <c r="Y626" s="99"/>
      <c r="Z626" s="100"/>
      <c r="AA626" s="45"/>
      <c r="AB626" s="45"/>
      <c r="AC626" s="84"/>
      <c r="AD626" s="200"/>
      <c r="AE626" s="189"/>
      <c r="AF626" s="189"/>
      <c r="AG626" s="189"/>
      <c r="AH626" s="189"/>
      <c r="AI626" s="45"/>
      <c r="AJ626" s="45"/>
      <c r="AK626"/>
      <c r="AL626"/>
      <c r="AM626"/>
      <c r="AP626" s="240"/>
      <c r="AU626" s="35"/>
      <c r="AV626" s="128"/>
    </row>
    <row r="627" spans="3:61" x14ac:dyDescent="0.2">
      <c r="C627" s="294"/>
      <c r="D627" s="116"/>
      <c r="E627" s="116"/>
      <c r="F627" s="36"/>
      <c r="H627" s="116"/>
      <c r="J627" s="116"/>
      <c r="K627" s="116"/>
      <c r="L627" s="116"/>
      <c r="M627" s="136" t="s">
        <v>638</v>
      </c>
      <c r="N627" s="116"/>
      <c r="O627" s="116"/>
      <c r="P627" s="73"/>
      <c r="Q627" s="182" t="s">
        <v>273</v>
      </c>
      <c r="R627" s="136" t="s">
        <v>638</v>
      </c>
      <c r="S627" s="363">
        <v>40502</v>
      </c>
      <c r="U627" s="14" t="s">
        <v>735</v>
      </c>
      <c r="V627" s="31"/>
      <c r="W627" s="90"/>
      <c r="X627" s="200"/>
      <c r="Y627" s="99"/>
      <c r="AA627" s="45"/>
      <c r="AB627" s="45"/>
      <c r="AD627" s="200"/>
      <c r="AE627" s="200"/>
      <c r="AF627" s="189"/>
      <c r="AG627" s="189"/>
      <c r="AH627" s="189"/>
      <c r="AI627" s="45"/>
      <c r="AJ627" s="45"/>
      <c r="AS627" s="72"/>
      <c r="AT627" s="72"/>
      <c r="AU627" s="35"/>
      <c r="AV627" s="128"/>
      <c r="AW627" s="72"/>
      <c r="AX627" s="72"/>
      <c r="AY627" s="72"/>
      <c r="AZ627" s="72"/>
      <c r="BA627" s="72"/>
      <c r="BB627" s="72"/>
      <c r="BC627" s="72"/>
      <c r="BD627" s="72"/>
      <c r="BE627" s="72"/>
      <c r="BF627" s="72"/>
      <c r="BG627" s="72"/>
      <c r="BH627" s="72"/>
      <c r="BI627" s="72"/>
    </row>
    <row r="628" spans="3:61" x14ac:dyDescent="0.2">
      <c r="C628" s="295"/>
      <c r="D628" s="115"/>
      <c r="E628" s="115"/>
      <c r="F628" s="36"/>
      <c r="H628" s="115"/>
      <c r="J628" s="115"/>
      <c r="K628" s="115"/>
      <c r="L628" s="115"/>
      <c r="M628" s="2" t="s">
        <v>1086</v>
      </c>
      <c r="N628" s="148"/>
      <c r="O628" s="148"/>
      <c r="P628" s="73"/>
      <c r="Q628" s="182" t="s">
        <v>329</v>
      </c>
      <c r="R628" s="2" t="s">
        <v>1086</v>
      </c>
      <c r="S628" s="363">
        <v>40517</v>
      </c>
      <c r="V628" s="72"/>
      <c r="W628" s="90"/>
      <c r="X628" s="200"/>
      <c r="Y628" s="200"/>
      <c r="AA628" s="45"/>
      <c r="AB628" s="45"/>
      <c r="AD628" s="200"/>
      <c r="AE628" s="200"/>
      <c r="AF628" s="189"/>
      <c r="AG628" s="189"/>
      <c r="AH628" s="189"/>
      <c r="AI628" s="45"/>
      <c r="AJ628" s="45"/>
      <c r="AS628" s="72"/>
      <c r="AT628" s="72"/>
      <c r="AU628" s="35"/>
      <c r="AV628" s="128"/>
      <c r="AW628" s="72"/>
      <c r="AX628" s="72"/>
      <c r="AY628" s="72"/>
      <c r="AZ628" s="72"/>
      <c r="BA628" s="72"/>
      <c r="BB628" s="72"/>
      <c r="BC628" s="72"/>
      <c r="BD628" s="72"/>
      <c r="BE628" s="72"/>
      <c r="BF628" s="72"/>
      <c r="BG628" s="72"/>
      <c r="BH628" s="72"/>
      <c r="BI628" s="72"/>
    </row>
    <row r="629" spans="3:61" x14ac:dyDescent="0.2">
      <c r="C629" s="295"/>
      <c r="D629" s="115"/>
      <c r="E629" s="115"/>
      <c r="F629" s="36"/>
      <c r="H629" s="115"/>
      <c r="J629" s="115"/>
      <c r="K629" s="115"/>
      <c r="L629" s="115"/>
      <c r="M629" s="136" t="s">
        <v>682</v>
      </c>
      <c r="N629" s="148"/>
      <c r="O629" s="148"/>
      <c r="P629" s="73"/>
      <c r="Q629" s="182" t="s">
        <v>334</v>
      </c>
      <c r="R629" s="136" t="s">
        <v>682</v>
      </c>
      <c r="S629" s="363">
        <v>40513</v>
      </c>
      <c r="T629" s="19" t="s">
        <v>683</v>
      </c>
      <c r="U629" s="14" t="s">
        <v>736</v>
      </c>
      <c r="V629" s="125"/>
      <c r="W629" s="90"/>
      <c r="X629" s="200"/>
      <c r="Y629" s="200"/>
      <c r="AA629" s="45"/>
      <c r="AB629" s="45"/>
      <c r="AD629" s="200"/>
      <c r="AE629" s="200"/>
      <c r="AF629" s="189"/>
      <c r="AG629" s="189"/>
      <c r="AH629" s="189"/>
      <c r="AI629" s="45"/>
      <c r="AJ629" s="45"/>
      <c r="AS629" s="72"/>
      <c r="AT629" s="72"/>
      <c r="AU629" s="128"/>
      <c r="AV629" s="128"/>
      <c r="AW629" s="72"/>
      <c r="AX629" s="72"/>
      <c r="AY629" s="72"/>
      <c r="AZ629" s="72"/>
      <c r="BA629" s="72"/>
      <c r="BB629" s="72"/>
      <c r="BC629" s="72"/>
      <c r="BD629" s="72"/>
      <c r="BE629" s="72"/>
      <c r="BF629" s="72"/>
      <c r="BG629" s="72"/>
      <c r="BH629" s="72"/>
    </row>
    <row r="630" spans="3:61" x14ac:dyDescent="0.2">
      <c r="C630" s="295"/>
      <c r="D630" s="115"/>
      <c r="E630" s="115"/>
      <c r="F630" s="36"/>
      <c r="H630" s="115"/>
      <c r="J630" s="115"/>
      <c r="K630" s="115"/>
      <c r="L630" s="115"/>
      <c r="M630" s="136" t="s">
        <v>610</v>
      </c>
      <c r="N630" s="148"/>
      <c r="O630" s="148"/>
      <c r="P630" s="73"/>
      <c r="Q630" s="182" t="s">
        <v>335</v>
      </c>
      <c r="R630" s="136" t="s">
        <v>610</v>
      </c>
      <c r="S630" s="363">
        <v>40506</v>
      </c>
      <c r="U630" s="14" t="s">
        <v>598</v>
      </c>
      <c r="V630" s="151" t="s">
        <v>597</v>
      </c>
      <c r="W630" s="90"/>
      <c r="X630" s="200"/>
      <c r="Y630" s="200"/>
      <c r="AA630" s="45"/>
      <c r="AB630" s="45"/>
      <c r="AD630" s="200"/>
      <c r="AE630" s="200"/>
      <c r="AF630" s="189"/>
      <c r="AG630" s="189"/>
      <c r="AH630" s="189"/>
      <c r="AI630" s="45"/>
      <c r="AJ630" s="45"/>
      <c r="AS630" s="72"/>
      <c r="AT630" s="72"/>
      <c r="AU630" s="128"/>
      <c r="AV630" s="128"/>
      <c r="AW630" s="72"/>
      <c r="AX630" s="72"/>
      <c r="AY630" s="72"/>
      <c r="AZ630" s="72"/>
      <c r="BA630" s="72"/>
      <c r="BB630" s="72"/>
      <c r="BC630" s="72"/>
      <c r="BD630" s="72"/>
      <c r="BE630" s="72"/>
      <c r="BF630" s="72"/>
      <c r="BG630" s="72"/>
      <c r="BH630" s="72"/>
    </row>
    <row r="631" spans="3:61" x14ac:dyDescent="0.2">
      <c r="C631" s="295"/>
      <c r="D631" s="115"/>
      <c r="E631" s="115"/>
      <c r="F631" s="36"/>
      <c r="H631" s="115"/>
      <c r="J631" s="115"/>
      <c r="K631" s="115"/>
      <c r="L631" s="115"/>
      <c r="M631" s="136" t="s">
        <v>699</v>
      </c>
      <c r="N631" s="148"/>
      <c r="O631" s="148"/>
      <c r="P631" s="75"/>
      <c r="Q631" s="182" t="s">
        <v>336</v>
      </c>
      <c r="R631" s="136" t="s">
        <v>699</v>
      </c>
      <c r="S631" s="363">
        <v>40514</v>
      </c>
      <c r="V631" s="72"/>
      <c r="W631" s="90"/>
      <c r="X631" s="200"/>
      <c r="Y631" s="200"/>
      <c r="AA631" s="45"/>
      <c r="AB631" s="45"/>
      <c r="AD631" s="200"/>
      <c r="AE631" s="200"/>
      <c r="AF631" s="189"/>
      <c r="AG631" s="189"/>
      <c r="AH631" s="189"/>
      <c r="AI631" s="45"/>
      <c r="AJ631" s="45"/>
      <c r="AS631" s="72"/>
      <c r="AT631" s="72"/>
      <c r="AU631" s="35"/>
      <c r="AV631" s="128"/>
      <c r="AW631" s="72"/>
      <c r="AX631" s="72"/>
      <c r="AY631" s="72"/>
      <c r="AZ631" s="72"/>
      <c r="BA631" s="72"/>
      <c r="BB631" s="72"/>
      <c r="BC631" s="72"/>
      <c r="BD631" s="72"/>
      <c r="BE631" s="72"/>
      <c r="BF631" s="72"/>
      <c r="BG631" s="72"/>
      <c r="BH631" s="72"/>
    </row>
    <row r="632" spans="3:61" x14ac:dyDescent="0.2">
      <c r="C632" s="294"/>
      <c r="D632" s="116"/>
      <c r="E632" s="116"/>
      <c r="F632" s="36"/>
      <c r="H632" s="116"/>
      <c r="J632" s="116"/>
      <c r="K632" s="116"/>
      <c r="L632" s="116"/>
      <c r="M632" s="334" t="s">
        <v>1052</v>
      </c>
      <c r="N632" s="116"/>
      <c r="O632" s="116"/>
      <c r="P632" s="73"/>
      <c r="Q632" s="182" t="s">
        <v>337</v>
      </c>
      <c r="R632" s="136" t="s">
        <v>613</v>
      </c>
      <c r="S632" s="363">
        <v>40496</v>
      </c>
      <c r="V632" s="72"/>
      <c r="W632" s="90"/>
      <c r="X632" s="200"/>
      <c r="Y632" s="200"/>
      <c r="AA632" s="45"/>
      <c r="AB632" s="45"/>
      <c r="AD632" s="200"/>
      <c r="AE632" s="200"/>
      <c r="AF632" s="189"/>
      <c r="AG632" s="189"/>
      <c r="AH632" s="189"/>
      <c r="AI632" s="45"/>
      <c r="AJ632" s="45"/>
      <c r="AS632" s="72"/>
      <c r="AT632" s="72"/>
      <c r="AU632" s="35"/>
      <c r="AV632" s="128"/>
      <c r="AW632" s="72"/>
      <c r="AX632" s="72"/>
      <c r="AY632" s="72"/>
      <c r="AZ632" s="72"/>
      <c r="BA632" s="72"/>
      <c r="BB632" s="72"/>
      <c r="BC632" s="72"/>
      <c r="BD632" s="72"/>
      <c r="BE632" s="72"/>
      <c r="BF632" s="72"/>
      <c r="BG632" s="72"/>
      <c r="BH632" s="72"/>
    </row>
    <row r="633" spans="3:61" x14ac:dyDescent="0.2">
      <c r="C633" s="294"/>
      <c r="D633" s="116"/>
      <c r="E633" s="116"/>
      <c r="F633" s="36"/>
      <c r="H633" s="116"/>
      <c r="J633" s="116"/>
      <c r="K633" s="116"/>
      <c r="L633" s="116"/>
      <c r="M633" s="136" t="s">
        <v>614</v>
      </c>
      <c r="N633" s="116"/>
      <c r="O633" s="116"/>
      <c r="P633" s="73"/>
      <c r="Q633" s="182" t="s">
        <v>339</v>
      </c>
      <c r="R633" s="136" t="s">
        <v>614</v>
      </c>
      <c r="S633" s="363">
        <v>40505</v>
      </c>
      <c r="V633" s="72"/>
      <c r="W633" s="90"/>
      <c r="X633" s="200"/>
      <c r="Y633" s="200"/>
      <c r="AA633" s="45"/>
      <c r="AB633" s="45"/>
      <c r="AD633" s="200"/>
      <c r="AE633" s="200"/>
      <c r="AF633" s="189"/>
      <c r="AG633" s="189"/>
      <c r="AH633" s="189"/>
      <c r="AI633" s="45"/>
      <c r="AJ633" s="45"/>
      <c r="AS633" s="72"/>
      <c r="AT633" s="72"/>
      <c r="AU633" s="128"/>
      <c r="AV633" s="128"/>
      <c r="AW633" s="72"/>
      <c r="AX633" s="72"/>
      <c r="AY633" s="72"/>
      <c r="AZ633" s="72"/>
      <c r="BA633" s="72"/>
      <c r="BB633" s="72"/>
      <c r="BC633" s="72"/>
      <c r="BD633" s="72"/>
      <c r="BE633" s="72"/>
      <c r="BF633" s="72"/>
      <c r="BG633" s="72"/>
      <c r="BH633" s="72"/>
    </row>
    <row r="634" spans="3:61" x14ac:dyDescent="0.2">
      <c r="C634" s="295"/>
      <c r="D634" s="115"/>
      <c r="E634" s="115"/>
      <c r="F634" s="36"/>
      <c r="H634" s="115"/>
      <c r="J634" s="115"/>
      <c r="K634" s="115"/>
      <c r="L634" s="115"/>
      <c r="M634" s="136" t="s">
        <v>621</v>
      </c>
      <c r="N634" s="148"/>
      <c r="O634" s="148"/>
      <c r="P634" s="73"/>
      <c r="Q634" s="182" t="s">
        <v>340</v>
      </c>
      <c r="R634" s="136" t="s">
        <v>621</v>
      </c>
      <c r="S634" s="363">
        <v>40508</v>
      </c>
      <c r="V634" s="72"/>
      <c r="W634" s="90"/>
      <c r="X634" s="200"/>
      <c r="Y634" s="200"/>
      <c r="AA634" s="45"/>
      <c r="AB634" s="45"/>
      <c r="AD634" s="200"/>
      <c r="AE634" s="200"/>
      <c r="AF634" s="189"/>
      <c r="AG634" s="189"/>
      <c r="AH634" s="189"/>
      <c r="AI634" s="45"/>
      <c r="AJ634" s="45"/>
      <c r="AS634" s="72"/>
      <c r="AT634" s="72"/>
      <c r="AU634" s="137"/>
      <c r="AV634" s="128"/>
      <c r="AW634" s="72"/>
      <c r="AX634" s="72"/>
      <c r="AY634" s="72"/>
      <c r="AZ634" s="72"/>
      <c r="BA634" s="72"/>
      <c r="BB634" s="72"/>
      <c r="BC634" s="72"/>
      <c r="BD634" s="72"/>
      <c r="BE634" s="72"/>
      <c r="BF634" s="72"/>
      <c r="BG634" s="72"/>
      <c r="BH634" s="72"/>
    </row>
    <row r="635" spans="3:61" x14ac:dyDescent="0.2">
      <c r="C635" s="295"/>
      <c r="D635" s="115"/>
      <c r="E635" s="115"/>
      <c r="F635" s="23"/>
      <c r="H635" s="115"/>
      <c r="J635" s="115"/>
      <c r="K635" s="115"/>
      <c r="L635" s="115"/>
      <c r="M635" s="136" t="s">
        <v>310</v>
      </c>
      <c r="N635" s="148"/>
      <c r="O635" s="148"/>
      <c r="Q635" s="34" t="s">
        <v>341</v>
      </c>
      <c r="R635" s="136" t="s">
        <v>310</v>
      </c>
      <c r="S635" s="363">
        <v>39098</v>
      </c>
      <c r="V635" s="72"/>
      <c r="W635" s="90"/>
      <c r="X635" s="200"/>
      <c r="Y635" s="200"/>
      <c r="AA635" s="45"/>
      <c r="AB635" s="45"/>
      <c r="AD635" s="200"/>
      <c r="AE635" s="200"/>
      <c r="AF635" s="189"/>
      <c r="AG635" s="189"/>
      <c r="AH635" s="189"/>
      <c r="AI635" s="45"/>
      <c r="AJ635" s="45"/>
      <c r="AS635" s="72"/>
      <c r="AT635" s="72"/>
      <c r="AU635" s="35"/>
      <c r="AV635" s="72"/>
      <c r="AW635" s="72"/>
      <c r="AX635" s="72"/>
      <c r="AY635" s="72"/>
      <c r="AZ635" s="72"/>
      <c r="BA635" s="72"/>
      <c r="BB635" s="72"/>
      <c r="BC635" s="72"/>
      <c r="BD635" s="72"/>
      <c r="BE635" s="72"/>
      <c r="BF635" s="72"/>
      <c r="BG635" s="72"/>
      <c r="BH635" s="72"/>
    </row>
    <row r="636" spans="3:61" x14ac:dyDescent="0.2">
      <c r="C636" s="295"/>
      <c r="D636" s="115"/>
      <c r="E636" s="115"/>
      <c r="F636" s="23"/>
      <c r="H636" s="115"/>
      <c r="J636" s="115"/>
      <c r="K636" s="115"/>
      <c r="L636" s="115"/>
      <c r="M636" s="136" t="s">
        <v>295</v>
      </c>
      <c r="N636" s="148"/>
      <c r="O636" s="148"/>
      <c r="P636" s="73"/>
      <c r="Q636" s="34" t="s">
        <v>342</v>
      </c>
      <c r="R636" s="136" t="s">
        <v>295</v>
      </c>
      <c r="S636" s="363">
        <v>39098</v>
      </c>
      <c r="V636" s="72"/>
      <c r="W636" s="90"/>
      <c r="X636" s="200"/>
      <c r="Y636" s="200"/>
      <c r="AA636" s="45"/>
      <c r="AB636" s="45"/>
      <c r="AD636" s="200"/>
      <c r="AE636" s="200"/>
      <c r="AF636" s="189"/>
      <c r="AG636" s="189"/>
      <c r="AH636" s="189"/>
      <c r="AI636" s="45"/>
      <c r="AJ636" s="45"/>
      <c r="AS636" s="72"/>
      <c r="AT636" s="72"/>
      <c r="AV636" s="72"/>
      <c r="AW636" s="72"/>
      <c r="AX636" s="72"/>
      <c r="AY636" s="72"/>
      <c r="AZ636" s="72"/>
      <c r="BA636" s="72"/>
      <c r="BB636" s="72"/>
      <c r="BC636" s="72"/>
      <c r="BD636" s="72"/>
      <c r="BE636" s="72"/>
      <c r="BF636" s="72"/>
      <c r="BG636" s="72"/>
      <c r="BH636" s="72"/>
    </row>
    <row r="637" spans="3:61" ht="12.75" customHeight="1" x14ac:dyDescent="0.2">
      <c r="C637" s="295"/>
      <c r="D637" s="115"/>
      <c r="E637" s="115"/>
      <c r="F637" s="23"/>
      <c r="H637" s="115"/>
      <c r="J637" s="115"/>
      <c r="K637" s="115"/>
      <c r="L637" s="115"/>
      <c r="M637" s="124" t="s">
        <v>1062</v>
      </c>
      <c r="N637" s="148"/>
      <c r="O637" s="148"/>
      <c r="P637" s="75"/>
      <c r="Q637" s="34" t="s">
        <v>524</v>
      </c>
      <c r="R637" s="124" t="s">
        <v>663</v>
      </c>
      <c r="S637" s="363">
        <v>40497</v>
      </c>
      <c r="V637" s="72"/>
      <c r="W637" s="90"/>
      <c r="X637" s="200"/>
      <c r="Y637" s="200"/>
      <c r="AA637" s="45"/>
      <c r="AB637" s="45"/>
      <c r="AD637" s="200"/>
      <c r="AE637" s="200"/>
      <c r="AF637" s="189"/>
      <c r="AG637" s="189"/>
      <c r="AH637" s="189"/>
      <c r="AI637" s="45"/>
      <c r="AJ637" s="45"/>
      <c r="AS637" s="72"/>
      <c r="AT637" s="72"/>
      <c r="AV637" s="72"/>
      <c r="AW637" s="72"/>
      <c r="AX637" s="72"/>
      <c r="AY637" s="72"/>
      <c r="AZ637" s="72"/>
      <c r="BA637" s="72"/>
      <c r="BB637" s="72"/>
      <c r="BC637" s="72"/>
      <c r="BD637" s="72"/>
      <c r="BE637" s="72"/>
      <c r="BF637" s="72"/>
      <c r="BG637" s="72"/>
      <c r="BH637" s="72"/>
    </row>
    <row r="638" spans="3:61" x14ac:dyDescent="0.2">
      <c r="C638" s="295"/>
      <c r="D638" s="115"/>
      <c r="E638" s="115"/>
      <c r="F638" s="23"/>
      <c r="H638" s="115"/>
      <c r="J638" s="115"/>
      <c r="K638" s="115"/>
      <c r="L638" s="115"/>
      <c r="M638" s="326" t="s">
        <v>1041</v>
      </c>
      <c r="N638" s="148"/>
      <c r="O638" s="148"/>
      <c r="P638" s="73"/>
      <c r="Q638" s="34" t="s">
        <v>523</v>
      </c>
      <c r="R638" s="136" t="s">
        <v>662</v>
      </c>
      <c r="S638" s="363">
        <v>40497</v>
      </c>
      <c r="U638" s="14" t="s">
        <v>650</v>
      </c>
      <c r="V638" s="72"/>
      <c r="W638" s="90"/>
      <c r="X638" s="200"/>
      <c r="Y638" s="200"/>
      <c r="AA638" s="45"/>
      <c r="AB638" s="45"/>
      <c r="AD638" s="200"/>
      <c r="AE638" s="200"/>
      <c r="AF638" s="189"/>
      <c r="AG638" s="189"/>
      <c r="AH638" s="189"/>
      <c r="AI638" s="45"/>
      <c r="AJ638" s="45"/>
      <c r="AS638" s="72"/>
      <c r="AT638" s="72"/>
      <c r="AV638" s="72"/>
      <c r="AW638" s="72"/>
      <c r="AX638" s="72"/>
      <c r="AY638" s="72"/>
      <c r="AZ638" s="72"/>
      <c r="BA638" s="72"/>
      <c r="BB638" s="72"/>
      <c r="BC638" s="72"/>
      <c r="BD638" s="72"/>
      <c r="BE638" s="72"/>
      <c r="BF638" s="72"/>
      <c r="BG638" s="72"/>
      <c r="BH638" s="72"/>
    </row>
    <row r="639" spans="3:61" x14ac:dyDescent="0.2">
      <c r="C639" s="295"/>
      <c r="D639" s="115"/>
      <c r="E639" s="115"/>
      <c r="F639" s="23"/>
      <c r="H639" s="115"/>
      <c r="J639" s="115"/>
      <c r="K639" s="115"/>
      <c r="L639" s="115"/>
      <c r="M639" s="131" t="s">
        <v>661</v>
      </c>
      <c r="N639" s="148"/>
      <c r="O639" s="148"/>
      <c r="P639" s="73"/>
      <c r="Q639" s="34" t="s">
        <v>525</v>
      </c>
      <c r="R639" s="131" t="s">
        <v>661</v>
      </c>
      <c r="S639" s="363">
        <v>40507</v>
      </c>
      <c r="V639" s="72"/>
      <c r="W639" s="90"/>
      <c r="X639" s="200"/>
      <c r="Y639" s="200"/>
      <c r="AA639" s="45"/>
      <c r="AB639" s="45"/>
      <c r="AD639" s="200"/>
      <c r="AE639" s="200"/>
      <c r="AF639" s="189"/>
      <c r="AG639" s="189"/>
      <c r="AH639" s="189"/>
      <c r="AI639" s="45"/>
      <c r="AJ639" s="45"/>
      <c r="AU639" s="35"/>
    </row>
    <row r="640" spans="3:61" x14ac:dyDescent="0.2">
      <c r="C640" s="294"/>
      <c r="D640" s="116"/>
      <c r="E640" s="116"/>
      <c r="F640" s="23"/>
      <c r="H640" s="116"/>
      <c r="J640" s="116"/>
      <c r="K640" s="116"/>
      <c r="L640" s="116"/>
      <c r="M640" s="131" t="s">
        <v>538</v>
      </c>
      <c r="N640" s="116"/>
      <c r="O640" s="116"/>
      <c r="P640" s="73"/>
      <c r="Q640" s="34" t="s">
        <v>537</v>
      </c>
      <c r="R640" s="131" t="s">
        <v>538</v>
      </c>
      <c r="S640" s="363">
        <v>40516</v>
      </c>
      <c r="V640" s="72"/>
      <c r="W640" s="90"/>
      <c r="X640" s="200"/>
      <c r="Y640" s="200"/>
      <c r="AA640" s="45"/>
      <c r="AB640" s="45"/>
      <c r="AD640" s="200"/>
      <c r="AE640" s="200"/>
      <c r="AF640" s="189"/>
      <c r="AG640" s="189"/>
      <c r="AH640" s="189"/>
      <c r="AI640" s="45"/>
      <c r="AJ640" s="45"/>
      <c r="AS640" s="72"/>
      <c r="AT640" s="72"/>
      <c r="AV640" s="72"/>
      <c r="AW640" s="72"/>
      <c r="AX640" s="72"/>
      <c r="AY640" s="72"/>
      <c r="AZ640" s="72"/>
      <c r="BA640" s="72"/>
      <c r="BB640" s="72"/>
      <c r="BC640" s="72"/>
      <c r="BD640" s="72"/>
      <c r="BE640" s="72"/>
      <c r="BF640" s="72"/>
      <c r="BG640" s="72"/>
      <c r="BH640" s="72"/>
    </row>
    <row r="641" spans="1:60" x14ac:dyDescent="0.2">
      <c r="C641" s="295"/>
      <c r="D641" s="115"/>
      <c r="E641" s="115"/>
      <c r="F641" s="36"/>
      <c r="H641" s="115"/>
      <c r="J641" s="115"/>
      <c r="K641" s="115"/>
      <c r="L641" s="115"/>
      <c r="M641" s="136" t="s">
        <v>625</v>
      </c>
      <c r="N641" s="148"/>
      <c r="O641" s="148"/>
      <c r="P641" s="73"/>
      <c r="Q641" s="182" t="s">
        <v>548</v>
      </c>
      <c r="R641" s="136" t="s">
        <v>625</v>
      </c>
      <c r="S641" s="363">
        <v>40508</v>
      </c>
      <c r="AS641" s="72"/>
      <c r="AT641" s="72"/>
      <c r="AV641" s="72"/>
      <c r="AW641" s="72"/>
      <c r="AX641" s="72"/>
      <c r="AY641" s="72"/>
      <c r="AZ641" s="72"/>
      <c r="BA641" s="72"/>
      <c r="BB641" s="72"/>
      <c r="BC641" s="72"/>
      <c r="BD641" s="72"/>
      <c r="BE641" s="72"/>
      <c r="BF641" s="72"/>
      <c r="BG641" s="72"/>
      <c r="BH641" s="72"/>
    </row>
    <row r="642" spans="1:60" x14ac:dyDescent="0.2">
      <c r="C642" s="295"/>
      <c r="D642" s="115"/>
      <c r="E642" s="115"/>
      <c r="F642" s="23"/>
      <c r="H642" s="115"/>
      <c r="J642" s="115"/>
      <c r="K642" s="115"/>
      <c r="L642" s="115"/>
      <c r="M642" s="136" t="s">
        <v>659</v>
      </c>
      <c r="N642" s="148"/>
      <c r="O642" s="148"/>
      <c r="P642" s="73"/>
      <c r="Q642" s="34" t="s">
        <v>553</v>
      </c>
      <c r="R642" s="136" t="s">
        <v>659</v>
      </c>
      <c r="S642" s="363">
        <v>40499</v>
      </c>
      <c r="V642" s="72"/>
      <c r="W642" s="90"/>
      <c r="X642" s="200"/>
      <c r="Y642" s="200"/>
      <c r="AA642" s="45"/>
      <c r="AB642" s="45"/>
      <c r="AD642" s="200"/>
      <c r="AE642" s="200"/>
      <c r="AF642" s="189"/>
      <c r="AG642" s="189"/>
      <c r="AH642" s="189"/>
      <c r="AI642" s="45"/>
      <c r="AJ642" s="45"/>
      <c r="AU642" s="35"/>
    </row>
    <row r="643" spans="1:60" x14ac:dyDescent="0.2">
      <c r="C643" s="295"/>
      <c r="D643" s="115"/>
      <c r="E643" s="115"/>
      <c r="F643" s="23"/>
      <c r="H643" s="116"/>
      <c r="J643" s="115"/>
      <c r="K643" s="115"/>
      <c r="L643" s="115"/>
      <c r="M643" s="131" t="s">
        <v>658</v>
      </c>
      <c r="N643" s="148"/>
      <c r="O643" s="116"/>
      <c r="P643" s="73"/>
      <c r="Q643" s="34" t="s">
        <v>651</v>
      </c>
      <c r="R643" s="131" t="s">
        <v>658</v>
      </c>
      <c r="S643" s="363">
        <v>40499</v>
      </c>
      <c r="V643" s="72"/>
      <c r="W643" s="90"/>
      <c r="X643" s="200"/>
      <c r="Y643" s="200"/>
      <c r="AA643" s="45"/>
      <c r="AB643" s="45"/>
      <c r="AD643" s="200"/>
      <c r="AE643" s="200"/>
      <c r="AF643" s="189"/>
      <c r="AG643" s="189"/>
      <c r="AH643" s="189"/>
      <c r="AI643" s="45"/>
      <c r="AJ643" s="45"/>
      <c r="AS643" s="35"/>
      <c r="AT643" s="35"/>
      <c r="AU643" s="35"/>
      <c r="AV643" s="35"/>
      <c r="AW643" s="102"/>
    </row>
    <row r="644" spans="1:60" x14ac:dyDescent="0.2">
      <c r="C644" s="295"/>
      <c r="D644" s="115"/>
      <c r="E644" s="115"/>
      <c r="F644" s="23"/>
      <c r="H644" s="115"/>
      <c r="J644" s="115"/>
      <c r="K644" s="115"/>
      <c r="L644" s="115"/>
      <c r="M644" s="136" t="s">
        <v>1085</v>
      </c>
      <c r="N644" s="148"/>
      <c r="O644" s="148"/>
      <c r="P644" s="73"/>
      <c r="Q644" s="34" t="s">
        <v>554</v>
      </c>
      <c r="R644" s="136" t="s">
        <v>657</v>
      </c>
      <c r="S644" s="363">
        <v>40516</v>
      </c>
      <c r="V644" s="72"/>
      <c r="W644" s="90"/>
      <c r="X644" s="200"/>
      <c r="Y644" s="200"/>
      <c r="AA644" s="45"/>
      <c r="AB644" s="45"/>
      <c r="AD644" s="200"/>
      <c r="AE644" s="200"/>
      <c r="AF644" s="189"/>
      <c r="AG644" s="189"/>
      <c r="AH644" s="189"/>
      <c r="AI644" s="45"/>
      <c r="AJ644" s="45"/>
      <c r="AU644" s="35"/>
    </row>
    <row r="645" spans="1:60" ht="12" customHeight="1" x14ac:dyDescent="0.2">
      <c r="C645" s="295"/>
      <c r="D645" s="115"/>
      <c r="E645" s="115"/>
      <c r="F645" s="23"/>
      <c r="H645" s="115"/>
      <c r="J645" s="115"/>
      <c r="K645" s="115"/>
      <c r="L645" s="115"/>
      <c r="M645" s="37" t="s">
        <v>760</v>
      </c>
      <c r="N645" s="148"/>
      <c r="O645" s="148"/>
      <c r="P645" s="73"/>
      <c r="Q645" s="34" t="s">
        <v>556</v>
      </c>
      <c r="R645" s="37" t="s">
        <v>760</v>
      </c>
      <c r="S645" s="363">
        <v>40516</v>
      </c>
      <c r="V645" s="72"/>
      <c r="W645" s="90"/>
      <c r="X645" s="200"/>
      <c r="Y645" s="200"/>
      <c r="AA645" s="45"/>
      <c r="AB645" s="45"/>
      <c r="AD645" s="200"/>
      <c r="AE645" s="200"/>
      <c r="AF645" s="189"/>
      <c r="AG645" s="189"/>
      <c r="AH645" s="189"/>
      <c r="AI645" s="45"/>
      <c r="AJ645" s="45"/>
    </row>
    <row r="646" spans="1:60" x14ac:dyDescent="0.2">
      <c r="C646" s="295"/>
      <c r="D646" s="115"/>
      <c r="E646" s="115"/>
      <c r="F646" s="23"/>
      <c r="H646" s="115"/>
      <c r="J646" s="115"/>
      <c r="K646" s="115"/>
      <c r="L646" s="115"/>
      <c r="M646" s="131" t="s">
        <v>655</v>
      </c>
      <c r="N646" s="148"/>
      <c r="O646" s="148"/>
      <c r="P646" s="73"/>
      <c r="Q646" s="34" t="s">
        <v>560</v>
      </c>
      <c r="R646" s="131" t="s">
        <v>655</v>
      </c>
      <c r="S646" s="363">
        <v>40502</v>
      </c>
      <c r="V646" s="72"/>
      <c r="W646" s="90"/>
      <c r="X646" s="200"/>
      <c r="Y646" s="200"/>
      <c r="AA646" s="45"/>
      <c r="AB646" s="45"/>
      <c r="AD646" s="200"/>
      <c r="AE646" s="200"/>
      <c r="AF646" s="189"/>
      <c r="AG646" s="189"/>
      <c r="AH646" s="189"/>
      <c r="AI646" s="45"/>
      <c r="AJ646" s="45"/>
    </row>
    <row r="647" spans="1:60" x14ac:dyDescent="0.2">
      <c r="A647" s="14"/>
      <c r="C647" s="294"/>
      <c r="D647" s="116"/>
      <c r="E647" s="116"/>
      <c r="F647" s="98"/>
      <c r="H647" s="116"/>
      <c r="J647" s="116"/>
      <c r="K647" s="116"/>
      <c r="L647" s="116"/>
      <c r="M647" s="136" t="s">
        <v>778</v>
      </c>
      <c r="N647" s="116"/>
      <c r="O647" s="116"/>
      <c r="P647" s="73"/>
      <c r="Q647" s="183" t="s">
        <v>565</v>
      </c>
      <c r="R647" s="136" t="s">
        <v>778</v>
      </c>
      <c r="S647" s="363">
        <v>40517</v>
      </c>
      <c r="V647" s="72"/>
      <c r="W647" s="90"/>
      <c r="X647" s="200"/>
      <c r="Y647" s="200"/>
      <c r="AA647" s="45"/>
      <c r="AB647" s="45"/>
      <c r="AD647" s="200"/>
      <c r="AE647" s="200"/>
      <c r="AF647" s="189"/>
      <c r="AG647" s="189"/>
      <c r="AH647" s="189"/>
      <c r="AI647" s="45"/>
      <c r="AJ647" s="45"/>
    </row>
    <row r="648" spans="1:60" x14ac:dyDescent="0.2">
      <c r="C648" s="295"/>
      <c r="D648" s="115"/>
      <c r="E648" s="115"/>
      <c r="F648" s="23"/>
      <c r="H648" s="115"/>
      <c r="J648" s="115"/>
      <c r="K648" s="115"/>
      <c r="L648" s="115"/>
      <c r="M648" s="328" t="s">
        <v>1046</v>
      </c>
      <c r="N648" s="148"/>
      <c r="O648" s="148"/>
      <c r="P648" s="242"/>
      <c r="Q648" s="34" t="s">
        <v>576</v>
      </c>
      <c r="R648" s="131" t="s">
        <v>654</v>
      </c>
      <c r="S648" s="363">
        <v>40503</v>
      </c>
      <c r="V648" s="72"/>
      <c r="W648" s="90"/>
      <c r="X648" s="200"/>
      <c r="Y648" s="200"/>
      <c r="AA648" s="45"/>
      <c r="AB648" s="45"/>
      <c r="AD648" s="200"/>
      <c r="AE648" s="200"/>
      <c r="AF648" s="189"/>
      <c r="AG648" s="189"/>
      <c r="AH648" s="189"/>
      <c r="AI648" s="45"/>
      <c r="AJ648" s="45"/>
    </row>
    <row r="649" spans="1:60" x14ac:dyDescent="0.2">
      <c r="C649" s="295"/>
      <c r="D649" s="115"/>
      <c r="E649" s="115"/>
      <c r="F649" s="23"/>
      <c r="H649" s="115"/>
      <c r="J649" s="115"/>
      <c r="K649" s="115"/>
      <c r="M649" s="326" t="s">
        <v>1072</v>
      </c>
      <c r="N649" s="148"/>
      <c r="O649" s="148"/>
      <c r="P649" s="73"/>
      <c r="Q649" s="34" t="s">
        <v>604</v>
      </c>
      <c r="R649" s="131" t="s">
        <v>653</v>
      </c>
      <c r="S649" s="363">
        <v>40508</v>
      </c>
      <c r="V649" s="72"/>
      <c r="W649" s="84"/>
      <c r="X649" s="200"/>
      <c r="Y649" s="200"/>
      <c r="AA649" s="45"/>
      <c r="AB649" s="45"/>
      <c r="AD649" s="200"/>
      <c r="AE649" s="200"/>
      <c r="AF649" s="189"/>
      <c r="AG649" s="189"/>
      <c r="AH649" s="189"/>
      <c r="AI649" s="45"/>
      <c r="AJ649" s="45"/>
      <c r="AU649" s="35"/>
    </row>
    <row r="650" spans="1:60" x14ac:dyDescent="0.2">
      <c r="C650" s="295"/>
      <c r="D650" s="115"/>
      <c r="E650" s="115"/>
      <c r="F650" s="23"/>
      <c r="H650" s="115"/>
      <c r="J650" s="115"/>
      <c r="K650" s="115"/>
      <c r="L650" s="115"/>
      <c r="M650" s="131" t="s">
        <v>652</v>
      </c>
      <c r="N650" s="148"/>
      <c r="O650" s="148"/>
      <c r="P650" s="73"/>
      <c r="Q650" s="34" t="s">
        <v>632</v>
      </c>
      <c r="R650" s="131" t="s">
        <v>652</v>
      </c>
      <c r="S650" s="363">
        <v>40513</v>
      </c>
      <c r="V650" s="72"/>
      <c r="W650" s="84"/>
      <c r="X650" s="200"/>
      <c r="Y650" s="200"/>
      <c r="AA650" s="45"/>
      <c r="AB650" s="45"/>
      <c r="AD650" s="200"/>
      <c r="AE650" s="200"/>
      <c r="AF650" s="189"/>
      <c r="AG650" s="189"/>
      <c r="AH650" s="189"/>
      <c r="AI650" s="45"/>
      <c r="AJ650" s="45"/>
      <c r="AU650" s="35"/>
    </row>
    <row r="651" spans="1:60" x14ac:dyDescent="0.2">
      <c r="C651" s="295"/>
      <c r="D651" s="115"/>
      <c r="E651" s="115"/>
      <c r="F651" s="23"/>
      <c r="H651" s="115"/>
      <c r="J651" s="115"/>
      <c r="K651" s="115"/>
      <c r="L651" s="115"/>
      <c r="M651" s="136" t="s">
        <v>734</v>
      </c>
      <c r="N651" s="148"/>
      <c r="O651" s="148"/>
      <c r="P651" s="73"/>
      <c r="Q651" s="34" t="s">
        <v>747</v>
      </c>
      <c r="R651" s="136" t="s">
        <v>734</v>
      </c>
      <c r="S651" s="363">
        <v>40508</v>
      </c>
      <c r="W651" s="84"/>
      <c r="X651" s="200"/>
      <c r="Y651" s="200"/>
      <c r="AA651" s="45"/>
      <c r="AB651" s="45"/>
      <c r="AD651" s="200"/>
      <c r="AE651" s="200"/>
      <c r="AF651" s="189"/>
      <c r="AG651" s="189"/>
      <c r="AH651" s="189"/>
      <c r="AI651" s="45"/>
      <c r="AJ651" s="45"/>
      <c r="AS651" s="72"/>
      <c r="AT651" s="72"/>
      <c r="AU651" s="35"/>
      <c r="AV651" s="128"/>
      <c r="AW651" s="72"/>
      <c r="AX651" s="72"/>
      <c r="AY651" s="72"/>
      <c r="AZ651" s="72"/>
      <c r="BA651" s="72"/>
      <c r="BB651" s="72"/>
      <c r="BC651" s="72"/>
      <c r="BD651" s="72"/>
      <c r="BE651" s="72"/>
      <c r="BF651" s="72"/>
      <c r="BG651" s="72"/>
      <c r="BH651" s="72"/>
    </row>
    <row r="652" spans="1:60" x14ac:dyDescent="0.2">
      <c r="C652" s="295"/>
      <c r="D652" s="115"/>
      <c r="E652" s="115"/>
      <c r="F652" s="23"/>
      <c r="H652" s="115"/>
      <c r="J652" s="115"/>
      <c r="K652" s="115"/>
      <c r="L652" s="115"/>
      <c r="M652" s="37" t="s">
        <v>626</v>
      </c>
      <c r="N652" s="148"/>
      <c r="O652" s="148"/>
      <c r="P652" s="73"/>
      <c r="Q652" s="34" t="s">
        <v>752</v>
      </c>
      <c r="R652" s="37" t="s">
        <v>626</v>
      </c>
      <c r="S652" s="363">
        <v>40508</v>
      </c>
      <c r="W652" s="84"/>
      <c r="X652" s="200"/>
      <c r="Y652" s="200"/>
      <c r="AA652" s="45"/>
      <c r="AB652" s="45"/>
      <c r="AD652" s="200"/>
      <c r="AE652" s="200"/>
      <c r="AF652" s="189"/>
      <c r="AG652" s="189"/>
      <c r="AH652" s="189"/>
      <c r="AI652" s="45"/>
      <c r="AJ652" s="45"/>
      <c r="AS652" s="72"/>
      <c r="AT652" s="72"/>
      <c r="AU652" s="35"/>
      <c r="AV652" s="128"/>
      <c r="AW652" s="72"/>
      <c r="AX652" s="72"/>
      <c r="AY652" s="72"/>
      <c r="AZ652" s="72"/>
      <c r="BA652" s="72"/>
      <c r="BB652" s="72"/>
      <c r="BC652" s="72"/>
      <c r="BD652" s="72"/>
      <c r="BE652" s="72"/>
      <c r="BF652" s="72"/>
      <c r="BG652" s="72"/>
      <c r="BH652" s="72"/>
    </row>
    <row r="653" spans="1:60" x14ac:dyDescent="0.2">
      <c r="C653" s="295"/>
      <c r="D653" s="115"/>
      <c r="E653" s="115"/>
      <c r="F653" s="36"/>
      <c r="H653" s="115"/>
      <c r="J653" s="115"/>
      <c r="K653" s="115"/>
      <c r="L653" s="115"/>
      <c r="M653" s="124" t="s">
        <v>765</v>
      </c>
      <c r="N653" s="148"/>
      <c r="O653" s="148"/>
      <c r="P653" s="73"/>
      <c r="Q653" s="182" t="s">
        <v>764</v>
      </c>
      <c r="R653" s="124" t="s">
        <v>765</v>
      </c>
      <c r="S653" s="363">
        <v>40516</v>
      </c>
      <c r="W653" s="84"/>
      <c r="X653" s="200"/>
      <c r="Y653" s="200"/>
      <c r="AA653" s="45"/>
      <c r="AB653" s="45"/>
      <c r="AD653" s="200"/>
      <c r="AE653" s="200"/>
      <c r="AF653" s="189"/>
      <c r="AG653" s="189"/>
      <c r="AH653" s="189"/>
      <c r="AI653" s="45"/>
      <c r="AJ653" s="45"/>
      <c r="AS653" s="72"/>
      <c r="AT653" s="72"/>
      <c r="AU653" s="35"/>
      <c r="AV653" s="128"/>
      <c r="AW653" s="72"/>
      <c r="AX653" s="72"/>
      <c r="AY653" s="72"/>
      <c r="AZ653" s="72"/>
      <c r="BA653" s="72"/>
      <c r="BB653" s="72"/>
      <c r="BC653" s="72"/>
      <c r="BD653" s="72"/>
      <c r="BE653" s="72"/>
      <c r="BF653" s="72"/>
      <c r="BG653" s="72"/>
      <c r="BH653" s="72"/>
    </row>
    <row r="654" spans="1:60" x14ac:dyDescent="0.2">
      <c r="C654" s="295"/>
      <c r="D654" s="115"/>
      <c r="E654" s="115"/>
      <c r="F654" s="36"/>
      <c r="H654" s="115"/>
      <c r="J654" s="115"/>
      <c r="K654" s="115"/>
      <c r="L654" s="115"/>
      <c r="M654" s="124" t="s">
        <v>769</v>
      </c>
      <c r="N654" s="148"/>
      <c r="O654" s="148"/>
      <c r="P654" s="73"/>
      <c r="Q654" s="182" t="s">
        <v>768</v>
      </c>
      <c r="R654" s="124" t="s">
        <v>769</v>
      </c>
      <c r="S654" s="363">
        <v>40516</v>
      </c>
      <c r="W654" s="84"/>
      <c r="X654" s="200"/>
      <c r="Y654" s="200"/>
      <c r="AA654" s="45"/>
      <c r="AB654" s="45"/>
      <c r="AD654" s="200"/>
      <c r="AE654" s="200"/>
      <c r="AF654" s="189"/>
      <c r="AG654" s="189"/>
      <c r="AH654" s="189"/>
      <c r="AI654" s="45"/>
      <c r="AJ654" s="45"/>
      <c r="AS654" s="72"/>
      <c r="AT654" s="72"/>
      <c r="AU654" s="35"/>
      <c r="AV654" s="128"/>
      <c r="AW654" s="72"/>
      <c r="AX654" s="72"/>
      <c r="AY654" s="72"/>
      <c r="AZ654" s="72"/>
      <c r="BA654" s="72"/>
      <c r="BB654" s="72"/>
      <c r="BC654" s="72"/>
      <c r="BD654" s="72"/>
      <c r="BE654" s="72"/>
      <c r="BF654" s="72"/>
      <c r="BG654" s="72"/>
      <c r="BH654" s="72"/>
    </row>
    <row r="655" spans="1:60" x14ac:dyDescent="0.2">
      <c r="C655" s="295"/>
      <c r="D655" s="115"/>
      <c r="E655" s="115"/>
      <c r="F655" s="23"/>
      <c r="H655" s="115"/>
      <c r="J655" s="115"/>
      <c r="K655" s="115"/>
      <c r="L655" s="115"/>
      <c r="M655" s="124" t="s">
        <v>1065</v>
      </c>
      <c r="N655" s="148"/>
      <c r="O655" s="148"/>
      <c r="P655" s="73"/>
      <c r="Q655" s="34" t="s">
        <v>770</v>
      </c>
      <c r="R655" s="336" t="s">
        <v>772</v>
      </c>
      <c r="S655" s="363">
        <v>40530</v>
      </c>
      <c r="T655" s="23"/>
      <c r="U655" s="348" t="s">
        <v>1066</v>
      </c>
      <c r="W655" s="84"/>
      <c r="X655" s="200"/>
      <c r="Y655" s="200"/>
      <c r="AA655" s="45"/>
      <c r="AB655" s="45"/>
      <c r="AD655" s="200"/>
      <c r="AE655" s="200"/>
      <c r="AF655" s="189"/>
      <c r="AG655" s="189"/>
      <c r="AH655" s="189"/>
      <c r="AI655" s="45"/>
      <c r="AJ655" s="45"/>
      <c r="AU655" s="35"/>
    </row>
    <row r="656" spans="1:60" ht="15.75" x14ac:dyDescent="0.25">
      <c r="C656" s="295"/>
      <c r="D656" s="115"/>
      <c r="E656" s="115"/>
      <c r="F656" s="98"/>
      <c r="H656" s="115"/>
      <c r="J656" s="115"/>
      <c r="K656" s="115"/>
      <c r="L656" s="350"/>
      <c r="M656" s="131" t="s">
        <v>872</v>
      </c>
      <c r="N656" s="148"/>
      <c r="O656" s="148"/>
      <c r="P656" s="73"/>
      <c r="Q656" s="98" t="s">
        <v>775</v>
      </c>
      <c r="R656" s="131" t="s">
        <v>872</v>
      </c>
      <c r="S656" s="355">
        <v>40529</v>
      </c>
      <c r="W656" s="84"/>
      <c r="X656" s="200"/>
      <c r="Y656" s="200"/>
      <c r="AA656" s="45"/>
      <c r="AB656" s="45"/>
      <c r="AD656" s="200"/>
      <c r="AE656" s="200"/>
      <c r="AF656" s="189"/>
      <c r="AG656" s="189"/>
      <c r="AH656" s="189"/>
      <c r="AI656" s="45"/>
      <c r="AJ656" s="45"/>
      <c r="AU656" s="35"/>
    </row>
    <row r="657" spans="1:60" x14ac:dyDescent="0.2">
      <c r="C657" s="295"/>
      <c r="D657" s="115"/>
      <c r="E657" s="115"/>
      <c r="F657" s="98"/>
      <c r="H657" s="115"/>
      <c r="J657" s="115"/>
      <c r="K657" s="115"/>
      <c r="L657" s="115"/>
      <c r="M657" s="15" t="s">
        <v>1069</v>
      </c>
      <c r="N657" s="148"/>
      <c r="O657" s="148"/>
      <c r="P657" s="73"/>
      <c r="Q657" s="98" t="s">
        <v>876</v>
      </c>
      <c r="R657" s="15" t="s">
        <v>1069</v>
      </c>
      <c r="S657" s="364" t="s">
        <v>994</v>
      </c>
      <c r="W657" s="84"/>
      <c r="X657" s="200"/>
      <c r="Y657" s="200"/>
      <c r="AA657" s="45"/>
      <c r="AB657" s="45"/>
      <c r="AD657" s="200"/>
      <c r="AE657" s="200"/>
      <c r="AF657" s="189"/>
      <c r="AG657" s="189"/>
      <c r="AH657" s="189"/>
      <c r="AI657" s="45"/>
      <c r="AJ657" s="45"/>
      <c r="AU657" s="35"/>
    </row>
    <row r="658" spans="1:60" x14ac:dyDescent="0.2">
      <c r="C658" s="295"/>
      <c r="D658" s="115"/>
      <c r="E658" s="115"/>
      <c r="F658" s="98"/>
      <c r="H658" s="115"/>
      <c r="J658" s="115"/>
      <c r="K658" s="115"/>
      <c r="L658" s="115"/>
      <c r="M658" s="131" t="s">
        <v>887</v>
      </c>
      <c r="N658" s="148"/>
      <c r="O658" s="148"/>
      <c r="P658" s="73"/>
      <c r="Q658" s="98" t="s">
        <v>877</v>
      </c>
      <c r="R658" s="131" t="s">
        <v>887</v>
      </c>
      <c r="S658" s="355">
        <v>40530</v>
      </c>
      <c r="W658" s="84"/>
      <c r="X658" s="200"/>
      <c r="Y658" s="200"/>
      <c r="AA658" s="45"/>
      <c r="AB658" s="45"/>
      <c r="AD658" s="200"/>
      <c r="AE658" s="200"/>
      <c r="AF658" s="189"/>
      <c r="AG658" s="189"/>
      <c r="AH658" s="189"/>
      <c r="AI658" s="45"/>
      <c r="AJ658" s="45"/>
    </row>
    <row r="659" spans="1:60" x14ac:dyDescent="0.2">
      <c r="C659" s="295"/>
      <c r="D659" s="115"/>
      <c r="E659" s="115"/>
      <c r="F659" s="98"/>
      <c r="H659" s="115"/>
      <c r="J659" s="115"/>
      <c r="K659" s="115"/>
      <c r="L659" s="115"/>
      <c r="M659" s="131" t="s">
        <v>886</v>
      </c>
      <c r="N659" s="148"/>
      <c r="O659" s="148"/>
      <c r="P659" s="73"/>
      <c r="Q659" s="98" t="s">
        <v>879</v>
      </c>
      <c r="R659" s="131" t="s">
        <v>886</v>
      </c>
      <c r="S659" s="355">
        <v>40530</v>
      </c>
      <c r="W659" s="84"/>
      <c r="X659" s="200"/>
      <c r="Y659" s="200"/>
      <c r="AA659" s="45"/>
      <c r="AB659" s="45"/>
      <c r="AD659" s="200"/>
      <c r="AE659" s="200"/>
      <c r="AF659" s="189"/>
      <c r="AG659" s="189"/>
      <c r="AH659" s="189"/>
      <c r="AI659" s="45"/>
      <c r="AJ659" s="45"/>
      <c r="AU659" s="35"/>
    </row>
    <row r="660" spans="1:60" x14ac:dyDescent="0.2">
      <c r="C660" s="295"/>
      <c r="D660" s="115"/>
      <c r="E660" s="115"/>
      <c r="F660" s="98"/>
      <c r="H660" s="115"/>
      <c r="J660" s="115"/>
      <c r="K660" s="115"/>
      <c r="L660" s="115"/>
      <c r="M660" s="131" t="s">
        <v>885</v>
      </c>
      <c r="N660" s="148"/>
      <c r="O660" s="148"/>
      <c r="P660" s="73"/>
      <c r="Q660" s="98" t="s">
        <v>881</v>
      </c>
      <c r="R660" s="131" t="s">
        <v>885</v>
      </c>
      <c r="S660" s="355">
        <v>40530</v>
      </c>
      <c r="W660" s="84"/>
      <c r="X660" s="200"/>
      <c r="Y660" s="200"/>
      <c r="AA660" s="45"/>
      <c r="AB660" s="45"/>
      <c r="AD660" s="200"/>
      <c r="AE660" s="200"/>
      <c r="AF660" s="189"/>
      <c r="AG660" s="189"/>
      <c r="AH660" s="189"/>
      <c r="AI660" s="45"/>
      <c r="AJ660" s="45"/>
      <c r="AU660" s="35"/>
    </row>
    <row r="661" spans="1:60" x14ac:dyDescent="0.2">
      <c r="C661" s="295"/>
      <c r="D661" s="115"/>
      <c r="E661" s="115"/>
      <c r="F661" s="237"/>
      <c r="H661" s="115"/>
      <c r="J661" s="115"/>
      <c r="K661" s="115"/>
      <c r="L661" s="115"/>
      <c r="M661" s="136" t="s">
        <v>884</v>
      </c>
      <c r="N661" s="148"/>
      <c r="O661" s="148"/>
      <c r="P661" s="73"/>
      <c r="Q661" s="237" t="s">
        <v>883</v>
      </c>
      <c r="R661" s="136" t="s">
        <v>884</v>
      </c>
      <c r="S661" s="355">
        <v>40531</v>
      </c>
      <c r="W661" s="84"/>
      <c r="X661" s="200"/>
      <c r="Y661" s="200"/>
      <c r="AA661" s="45"/>
      <c r="AB661" s="45"/>
      <c r="AD661" s="200"/>
      <c r="AE661" s="200"/>
      <c r="AF661" s="189"/>
      <c r="AG661" s="189"/>
      <c r="AH661" s="189"/>
      <c r="AI661" s="45"/>
      <c r="AJ661" s="45"/>
      <c r="AS661" s="72"/>
      <c r="AT661" s="72"/>
      <c r="AV661" s="72"/>
      <c r="AW661" s="72"/>
      <c r="AX661" s="72"/>
      <c r="AY661" s="72"/>
      <c r="AZ661" s="72"/>
      <c r="BA661" s="72"/>
      <c r="BB661" s="72"/>
      <c r="BC661" s="72"/>
      <c r="BD661" s="72"/>
      <c r="BE661" s="72"/>
      <c r="BF661" s="72"/>
      <c r="BG661" s="72"/>
      <c r="BH661" s="72"/>
    </row>
    <row r="662" spans="1:60" x14ac:dyDescent="0.2">
      <c r="C662" s="295"/>
      <c r="D662" s="115"/>
      <c r="E662" s="115"/>
      <c r="F662" s="237"/>
      <c r="H662" s="115"/>
      <c r="J662" s="115"/>
      <c r="K662" s="115"/>
      <c r="L662" s="115"/>
      <c r="M662" s="136" t="s">
        <v>888</v>
      </c>
      <c r="N662" s="148"/>
      <c r="O662" s="148"/>
      <c r="P662" s="73"/>
      <c r="Q662" s="237" t="s">
        <v>889</v>
      </c>
      <c r="R662" s="136" t="s">
        <v>888</v>
      </c>
      <c r="S662" s="355">
        <v>40531</v>
      </c>
      <c r="W662" s="84"/>
      <c r="X662" s="200"/>
      <c r="Y662" s="200"/>
      <c r="AA662" s="45"/>
      <c r="AB662" s="45"/>
      <c r="AD662" s="200"/>
      <c r="AE662" s="200"/>
      <c r="AF662" s="189"/>
      <c r="AG662" s="189"/>
      <c r="AH662" s="189"/>
      <c r="AI662" s="45"/>
      <c r="AJ662" s="45"/>
      <c r="AS662" s="72"/>
      <c r="AT662" s="72"/>
      <c r="AV662" s="72"/>
      <c r="AW662" s="72"/>
      <c r="AX662" s="72"/>
      <c r="AY662" s="72"/>
      <c r="AZ662" s="72"/>
      <c r="BA662" s="72"/>
      <c r="BB662" s="72"/>
      <c r="BC662" s="72"/>
      <c r="BD662" s="72"/>
      <c r="BE662" s="72"/>
      <c r="BF662" s="72"/>
      <c r="BG662" s="72"/>
      <c r="BH662" s="72"/>
    </row>
    <row r="663" spans="1:60" x14ac:dyDescent="0.2">
      <c r="C663" s="295"/>
      <c r="D663" s="115"/>
      <c r="E663" s="115"/>
      <c r="F663" s="237"/>
      <c r="H663" s="115"/>
      <c r="J663" s="115"/>
      <c r="K663" s="115"/>
      <c r="L663" s="115"/>
      <c r="M663" s="131" t="s">
        <v>908</v>
      </c>
      <c r="N663" s="148"/>
      <c r="O663" s="148"/>
      <c r="P663" s="73"/>
      <c r="Q663" s="237" t="s">
        <v>907</v>
      </c>
      <c r="R663" s="131" t="s">
        <v>908</v>
      </c>
      <c r="S663" s="355">
        <v>40532</v>
      </c>
      <c r="W663" s="84"/>
      <c r="X663" s="200"/>
      <c r="Y663" s="200"/>
      <c r="AA663" s="45"/>
      <c r="AB663" s="45"/>
      <c r="AD663" s="200"/>
      <c r="AE663" s="200"/>
      <c r="AF663" s="189"/>
      <c r="AG663" s="189"/>
      <c r="AH663" s="189"/>
      <c r="AI663" s="45"/>
      <c r="AJ663" s="45"/>
      <c r="AS663" s="72"/>
      <c r="AT663" s="72"/>
      <c r="AV663" s="72"/>
      <c r="AW663" s="72"/>
      <c r="AX663" s="72"/>
      <c r="AY663" s="72"/>
      <c r="AZ663" s="72"/>
      <c r="BA663" s="72"/>
      <c r="BB663" s="72"/>
      <c r="BC663" s="72"/>
      <c r="BD663" s="72"/>
      <c r="BE663" s="72"/>
      <c r="BF663" s="72"/>
      <c r="BG663" s="72"/>
      <c r="BH663" s="72"/>
    </row>
    <row r="664" spans="1:60" x14ac:dyDescent="0.2">
      <c r="C664" s="295"/>
      <c r="D664" s="115"/>
      <c r="E664" s="115"/>
      <c r="F664" s="237"/>
      <c r="H664" s="115"/>
      <c r="J664" s="115"/>
      <c r="K664" s="115"/>
      <c r="L664" s="115"/>
      <c r="M664" s="131" t="s">
        <v>912</v>
      </c>
      <c r="N664" s="148"/>
      <c r="O664" s="148"/>
      <c r="P664" s="73"/>
      <c r="Q664" s="237" t="s">
        <v>911</v>
      </c>
      <c r="R664" s="131" t="s">
        <v>912</v>
      </c>
      <c r="S664" s="355">
        <v>40532</v>
      </c>
      <c r="W664" s="84"/>
      <c r="X664" s="200"/>
      <c r="Y664" s="200"/>
      <c r="AA664" s="45"/>
      <c r="AB664" s="45"/>
      <c r="AD664" s="200"/>
      <c r="AE664" s="200"/>
      <c r="AF664" s="189"/>
      <c r="AG664" s="189"/>
      <c r="AH664" s="189"/>
      <c r="AI664" s="45"/>
      <c r="AJ664" s="45"/>
      <c r="AS664" s="72"/>
      <c r="AT664" s="72"/>
      <c r="AV664" s="72"/>
      <c r="AW664" s="72"/>
      <c r="AX664" s="72"/>
      <c r="AY664" s="72"/>
      <c r="AZ664" s="72"/>
      <c r="BA664" s="72"/>
      <c r="BB664" s="72"/>
      <c r="BC664" s="72"/>
      <c r="BD664" s="72"/>
      <c r="BE664" s="72"/>
      <c r="BF664" s="72"/>
      <c r="BG664" s="72"/>
      <c r="BH664" s="72"/>
    </row>
    <row r="665" spans="1:60" x14ac:dyDescent="0.2">
      <c r="C665" s="295"/>
      <c r="D665" s="115"/>
      <c r="E665" s="115"/>
      <c r="F665" s="237"/>
      <c r="H665" s="115"/>
      <c r="J665" s="115"/>
      <c r="K665" s="115"/>
      <c r="L665" s="115"/>
      <c r="M665" s="131" t="s">
        <v>919</v>
      </c>
      <c r="N665" s="148"/>
      <c r="O665" s="148"/>
      <c r="P665" s="73"/>
      <c r="Q665" s="237" t="s">
        <v>918</v>
      </c>
      <c r="R665" s="131" t="s">
        <v>919</v>
      </c>
      <c r="S665" s="355">
        <v>40533</v>
      </c>
      <c r="W665" s="84"/>
      <c r="X665" s="200"/>
      <c r="Y665" s="200"/>
      <c r="AA665" s="45"/>
      <c r="AB665" s="45"/>
      <c r="AD665" s="200"/>
      <c r="AE665" s="200"/>
      <c r="AF665" s="189"/>
      <c r="AG665" s="189"/>
      <c r="AH665" s="189"/>
      <c r="AI665" s="45"/>
      <c r="AJ665" s="45"/>
      <c r="AS665" s="72"/>
      <c r="AT665" s="72"/>
      <c r="AV665" s="72"/>
      <c r="AW665" s="72"/>
      <c r="AX665" s="72"/>
      <c r="AY665" s="72"/>
      <c r="AZ665" s="72"/>
      <c r="BA665" s="72"/>
      <c r="BB665" s="72"/>
      <c r="BC665" s="72"/>
      <c r="BD665" s="72"/>
      <c r="BE665" s="72"/>
      <c r="BF665" s="72"/>
      <c r="BG665" s="72"/>
      <c r="BH665" s="72"/>
    </row>
    <row r="666" spans="1:60" x14ac:dyDescent="0.2">
      <c r="C666" s="295"/>
      <c r="D666" s="115"/>
      <c r="E666" s="115"/>
      <c r="F666" s="237"/>
      <c r="H666" s="115"/>
      <c r="J666" s="115"/>
      <c r="K666" s="115"/>
      <c r="L666" s="115"/>
      <c r="M666" s="131" t="s">
        <v>921</v>
      </c>
      <c r="N666" s="148"/>
      <c r="O666" s="148"/>
      <c r="P666" s="73"/>
      <c r="Q666" s="237" t="s">
        <v>920</v>
      </c>
      <c r="R666" s="131" t="s">
        <v>921</v>
      </c>
      <c r="S666" s="355">
        <v>40533</v>
      </c>
      <c r="W666" s="84"/>
      <c r="X666" s="200"/>
      <c r="Y666" s="200"/>
      <c r="AA666" s="45"/>
      <c r="AB666" s="45"/>
      <c r="AD666" s="200"/>
      <c r="AE666" s="200"/>
      <c r="AF666" s="189"/>
      <c r="AG666" s="189"/>
      <c r="AH666" s="189"/>
      <c r="AI666" s="45"/>
      <c r="AJ666" s="45"/>
      <c r="AS666" s="72"/>
      <c r="AT666" s="72"/>
      <c r="AV666" s="72"/>
      <c r="AW666" s="72"/>
      <c r="AX666" s="72"/>
      <c r="AY666" s="72"/>
      <c r="AZ666" s="72"/>
      <c r="BA666" s="72"/>
      <c r="BB666" s="72"/>
      <c r="BC666" s="72"/>
      <c r="BD666" s="72"/>
      <c r="BE666" s="72"/>
      <c r="BF666" s="72"/>
      <c r="BG666" s="72"/>
      <c r="BH666" s="72"/>
    </row>
    <row r="667" spans="1:60" x14ac:dyDescent="0.2">
      <c r="C667" s="295"/>
      <c r="D667" s="115"/>
      <c r="E667" s="115"/>
      <c r="F667" s="237"/>
      <c r="H667" s="115"/>
      <c r="J667" s="115"/>
      <c r="K667" s="115"/>
      <c r="L667" s="115"/>
      <c r="M667" s="131" t="s">
        <v>954</v>
      </c>
      <c r="N667" s="148"/>
      <c r="O667" s="148"/>
      <c r="P667" s="73"/>
      <c r="Q667" s="237" t="s">
        <v>922</v>
      </c>
      <c r="R667" s="131" t="s">
        <v>954</v>
      </c>
      <c r="S667" s="355">
        <v>40534</v>
      </c>
      <c r="T667" s="1" t="s">
        <v>923</v>
      </c>
      <c r="W667" s="84"/>
      <c r="X667" s="200"/>
      <c r="Y667" s="200"/>
      <c r="AA667" s="45"/>
      <c r="AB667" s="45"/>
      <c r="AD667" s="200"/>
      <c r="AE667" s="200"/>
      <c r="AF667" s="189"/>
      <c r="AG667" s="189"/>
      <c r="AH667" s="189"/>
      <c r="AI667" s="45"/>
      <c r="AJ667" s="45"/>
      <c r="AS667" s="72"/>
      <c r="AT667" s="72"/>
      <c r="AV667" s="72"/>
      <c r="AW667" s="72"/>
      <c r="AX667" s="72"/>
      <c r="AY667" s="72"/>
      <c r="AZ667" s="72"/>
      <c r="BA667" s="72"/>
      <c r="BB667" s="72"/>
      <c r="BC667" s="72"/>
      <c r="BD667" s="72"/>
      <c r="BE667" s="72"/>
      <c r="BF667" s="72"/>
      <c r="BG667" s="72"/>
      <c r="BH667" s="72"/>
    </row>
    <row r="668" spans="1:60" x14ac:dyDescent="0.2">
      <c r="C668" s="295"/>
      <c r="D668" s="115"/>
      <c r="E668" s="115"/>
      <c r="F668" s="237"/>
      <c r="H668" s="115"/>
      <c r="J668" s="115"/>
      <c r="K668" s="115"/>
      <c r="L668" s="115"/>
      <c r="M668" s="2" t="s">
        <v>1045</v>
      </c>
      <c r="N668" s="148"/>
      <c r="O668" s="148"/>
      <c r="P668" s="73"/>
      <c r="Q668" s="237" t="s">
        <v>953</v>
      </c>
      <c r="R668" s="2" t="s">
        <v>675</v>
      </c>
      <c r="S668" s="355"/>
      <c r="W668" s="84"/>
      <c r="X668" s="200"/>
      <c r="Y668" s="200"/>
      <c r="AA668" s="45"/>
      <c r="AB668" s="45"/>
      <c r="AD668" s="200"/>
      <c r="AE668" s="200"/>
      <c r="AF668" s="189"/>
      <c r="AG668" s="189"/>
      <c r="AH668" s="189"/>
      <c r="AI668" s="45"/>
      <c r="AJ668" s="45"/>
      <c r="AS668" s="72"/>
      <c r="AT668" s="72"/>
      <c r="AV668" s="72"/>
      <c r="AW668" s="72"/>
      <c r="AX668" s="72"/>
      <c r="AY668" s="72"/>
      <c r="AZ668" s="72"/>
      <c r="BA668" s="72"/>
      <c r="BB668" s="72"/>
      <c r="BC668" s="72"/>
      <c r="BD668" s="72"/>
      <c r="BE668" s="72"/>
      <c r="BF668" s="72"/>
      <c r="BG668" s="72"/>
      <c r="BH668" s="72"/>
    </row>
    <row r="669" spans="1:60" x14ac:dyDescent="0.2">
      <c r="A669" s="72"/>
      <c r="C669" s="295"/>
      <c r="D669" s="115"/>
      <c r="E669" s="115"/>
      <c r="H669" s="115"/>
      <c r="I669" s="114"/>
      <c r="J669" s="115"/>
      <c r="K669" s="115"/>
      <c r="L669" s="115"/>
      <c r="M669" s="2" t="s">
        <v>707</v>
      </c>
      <c r="N669" s="148"/>
      <c r="O669" s="148"/>
      <c r="P669" s="19"/>
      <c r="Q669" s="1" t="s">
        <v>956</v>
      </c>
      <c r="R669" s="2" t="s">
        <v>707</v>
      </c>
      <c r="S669" s="356"/>
      <c r="W669" s="84"/>
      <c r="X669" s="200"/>
      <c r="Y669" s="200"/>
      <c r="AA669" s="45"/>
      <c r="AB669" s="45"/>
      <c r="AD669" s="200"/>
      <c r="AE669" s="200"/>
      <c r="AF669" s="189"/>
      <c r="AG669" s="189"/>
      <c r="AH669" s="189"/>
      <c r="AI669" s="45"/>
      <c r="AJ669" s="45"/>
      <c r="AS669" s="72"/>
      <c r="AT669" s="72"/>
      <c r="AV669" s="72"/>
      <c r="AW669" s="72"/>
      <c r="AX669" s="72"/>
      <c r="AY669" s="72"/>
      <c r="AZ669" s="72"/>
      <c r="BA669" s="72"/>
      <c r="BB669" s="72"/>
      <c r="BC669" s="72"/>
      <c r="BD669" s="72"/>
      <c r="BE669" s="72"/>
      <c r="BF669" s="72"/>
      <c r="BG669" s="72"/>
      <c r="BH669" s="72"/>
    </row>
    <row r="670" spans="1:60" x14ac:dyDescent="0.2">
      <c r="A670" s="72"/>
      <c r="C670" s="294"/>
      <c r="D670" s="116"/>
      <c r="E670" s="116"/>
      <c r="H670" s="116"/>
      <c r="I670" s="114"/>
      <c r="J670" s="116"/>
      <c r="K670" s="116"/>
      <c r="L670" s="116"/>
      <c r="M670" s="2" t="s">
        <v>1044</v>
      </c>
      <c r="N670" s="116"/>
      <c r="O670" s="116"/>
      <c r="P670" s="243"/>
      <c r="Q670" s="1" t="s">
        <v>957</v>
      </c>
      <c r="R670" s="2" t="s">
        <v>873</v>
      </c>
      <c r="W670" s="84"/>
      <c r="X670" s="200"/>
      <c r="Y670" s="200"/>
      <c r="AA670" s="45"/>
      <c r="AB670" s="45"/>
      <c r="AD670" s="200"/>
      <c r="AE670" s="200"/>
      <c r="AF670" s="189"/>
      <c r="AG670" s="189"/>
      <c r="AH670" s="189"/>
      <c r="AI670" s="45"/>
      <c r="AJ670" s="45"/>
      <c r="AS670" s="72"/>
      <c r="AT670" s="72"/>
      <c r="AU670" s="72"/>
      <c r="AV670" s="72"/>
      <c r="AW670" s="72"/>
      <c r="AX670" s="72"/>
      <c r="AY670" s="72"/>
      <c r="AZ670" s="72"/>
      <c r="BA670" s="72"/>
      <c r="BB670" s="72"/>
      <c r="BC670" s="72"/>
      <c r="BD670" s="72"/>
      <c r="BE670" s="72"/>
      <c r="BF670" s="72"/>
      <c r="BG670" s="72"/>
      <c r="BH670" s="72"/>
    </row>
    <row r="671" spans="1:60" x14ac:dyDescent="0.2">
      <c r="A671" s="72"/>
      <c r="C671" s="295"/>
      <c r="D671" s="115"/>
      <c r="E671" s="115"/>
      <c r="H671" s="115"/>
      <c r="I671" s="114"/>
      <c r="J671" s="115"/>
      <c r="K671" s="115"/>
      <c r="L671" s="115"/>
      <c r="M671" s="37" t="s">
        <v>1047</v>
      </c>
      <c r="N671" s="148"/>
      <c r="O671" s="148"/>
      <c r="P671" s="73"/>
      <c r="Q671" s="1" t="s">
        <v>958</v>
      </c>
      <c r="R671" s="26" t="s">
        <v>656</v>
      </c>
      <c r="S671" s="365">
        <v>41268</v>
      </c>
      <c r="W671" s="84"/>
      <c r="X671" s="200"/>
      <c r="Y671" s="200"/>
      <c r="AA671" s="45"/>
      <c r="AB671" s="45"/>
      <c r="AD671" s="200"/>
      <c r="AE671" s="200"/>
      <c r="AF671" s="189"/>
      <c r="AG671" s="189"/>
      <c r="AH671" s="189"/>
      <c r="AI671" s="45"/>
      <c r="AJ671" s="45"/>
      <c r="AS671" s="72"/>
      <c r="AT671" s="72"/>
      <c r="AU671" s="72"/>
      <c r="AV671" s="72"/>
      <c r="AW671" s="72"/>
      <c r="AX671" s="72"/>
      <c r="AY671" s="72"/>
      <c r="AZ671" s="72"/>
      <c r="BA671" s="72"/>
      <c r="BB671" s="72"/>
      <c r="BC671" s="72"/>
      <c r="BD671" s="72"/>
      <c r="BE671" s="72"/>
      <c r="BF671" s="72"/>
      <c r="BG671" s="72"/>
      <c r="BH671" s="72"/>
    </row>
    <row r="672" spans="1:60" x14ac:dyDescent="0.2">
      <c r="A672" s="72"/>
      <c r="C672" s="38"/>
      <c r="D672" s="35"/>
      <c r="E672" s="35"/>
      <c r="H672" s="35"/>
      <c r="I672" s="35"/>
      <c r="J672" s="35"/>
      <c r="K672" s="35"/>
      <c r="L672" s="35"/>
      <c r="M672" s="2" t="s">
        <v>706</v>
      </c>
      <c r="N672" s="23"/>
      <c r="O672" s="23"/>
      <c r="P672" s="73"/>
      <c r="Q672" s="1" t="s">
        <v>959</v>
      </c>
      <c r="R672" s="2" t="s">
        <v>706</v>
      </c>
      <c r="W672" s="84"/>
      <c r="X672" s="200"/>
      <c r="Y672" s="200"/>
      <c r="AA672" s="45"/>
      <c r="AB672" s="45"/>
      <c r="AD672" s="200"/>
      <c r="AE672" s="200"/>
      <c r="AF672" s="189"/>
      <c r="AG672" s="189"/>
      <c r="AH672" s="189"/>
      <c r="AI672" s="45"/>
      <c r="AJ672" s="45"/>
      <c r="AS672" s="72"/>
      <c r="AT672" s="72"/>
      <c r="AU672" s="72"/>
      <c r="AV672" s="72"/>
      <c r="AW672" s="72"/>
      <c r="AX672" s="72"/>
      <c r="AY672" s="72"/>
      <c r="AZ672" s="72"/>
      <c r="BA672" s="72"/>
      <c r="BB672" s="72"/>
      <c r="BC672" s="72"/>
      <c r="BD672" s="72"/>
      <c r="BE672" s="72"/>
      <c r="BF672" s="72"/>
      <c r="BG672" s="72"/>
      <c r="BH672" s="72"/>
    </row>
    <row r="673" spans="1:60" x14ac:dyDescent="0.2">
      <c r="A673" s="72"/>
      <c r="C673" s="38"/>
      <c r="D673" s="35"/>
      <c r="E673" s="35"/>
      <c r="H673" s="35"/>
      <c r="I673" s="35"/>
      <c r="J673" s="35"/>
      <c r="K673" s="35"/>
      <c r="L673" s="35"/>
      <c r="M673" s="2" t="s">
        <v>710</v>
      </c>
      <c r="N673" s="23"/>
      <c r="O673" s="23"/>
      <c r="P673" s="73"/>
      <c r="Q673" s="1" t="s">
        <v>960</v>
      </c>
      <c r="R673" s="2" t="s">
        <v>710</v>
      </c>
      <c r="W673" s="84"/>
      <c r="X673" s="200"/>
      <c r="Y673" s="200"/>
      <c r="AA673" s="45"/>
      <c r="AB673" s="45"/>
      <c r="AD673" s="200"/>
      <c r="AE673" s="200"/>
      <c r="AF673" s="189"/>
      <c r="AG673" s="189"/>
      <c r="AH673" s="189"/>
      <c r="AI673" s="45"/>
      <c r="AJ673" s="45"/>
      <c r="AS673" s="72"/>
      <c r="AT673" s="72"/>
      <c r="AU673" s="72"/>
      <c r="AV673" s="72"/>
      <c r="AW673" s="72"/>
      <c r="AX673" s="72"/>
      <c r="AY673" s="72"/>
      <c r="AZ673" s="72"/>
      <c r="BA673" s="72"/>
      <c r="BB673" s="72"/>
      <c r="BC673" s="72"/>
      <c r="BD673" s="72"/>
      <c r="BE673" s="72"/>
      <c r="BF673" s="72"/>
      <c r="BG673" s="72"/>
      <c r="BH673" s="72"/>
    </row>
    <row r="674" spans="1:60" x14ac:dyDescent="0.2">
      <c r="A674" s="72"/>
      <c r="M674" s="2" t="s">
        <v>692</v>
      </c>
      <c r="P674" s="73"/>
      <c r="Q674" s="1" t="s">
        <v>961</v>
      </c>
      <c r="R674" s="2" t="s">
        <v>692</v>
      </c>
      <c r="W674" s="84"/>
      <c r="X674" s="200"/>
      <c r="Y674" s="200"/>
      <c r="AA674" s="45"/>
      <c r="AB674" s="45"/>
      <c r="AD674" s="200"/>
      <c r="AE674" s="200"/>
      <c r="AF674" s="189"/>
      <c r="AG674" s="189"/>
      <c r="AH674" s="189"/>
      <c r="AI674" s="45"/>
      <c r="AJ674" s="45"/>
      <c r="AS674" s="72"/>
      <c r="AT674" s="72"/>
      <c r="AU674" s="72"/>
      <c r="AV674" s="72"/>
      <c r="AW674" s="72"/>
      <c r="AX674" s="72"/>
      <c r="AY674" s="72"/>
      <c r="AZ674" s="72"/>
      <c r="BA674" s="72"/>
      <c r="BB674" s="72"/>
      <c r="BC674" s="72"/>
      <c r="BD674" s="72"/>
      <c r="BE674" s="72"/>
      <c r="BF674" s="72"/>
      <c r="BG674" s="72"/>
      <c r="BH674" s="72"/>
    </row>
    <row r="675" spans="1:60" x14ac:dyDescent="0.2">
      <c r="A675" s="72"/>
      <c r="M675" s="2" t="s">
        <v>693</v>
      </c>
      <c r="P675" s="73"/>
      <c r="Q675" s="1" t="s">
        <v>962</v>
      </c>
      <c r="R675" s="2" t="s">
        <v>693</v>
      </c>
      <c r="W675" s="84"/>
      <c r="X675" s="200"/>
      <c r="Y675" s="200"/>
      <c r="AA675" s="45"/>
      <c r="AB675" s="45"/>
      <c r="AD675" s="200"/>
      <c r="AE675" s="200"/>
      <c r="AF675" s="189"/>
      <c r="AG675" s="189"/>
      <c r="AH675" s="189"/>
      <c r="AI675" s="45"/>
      <c r="AJ675" s="45"/>
      <c r="AS675" s="72"/>
      <c r="AT675" s="72"/>
      <c r="AU675" s="72"/>
      <c r="AV675" s="72"/>
      <c r="AW675" s="72"/>
      <c r="AX675" s="72"/>
      <c r="AY675" s="72"/>
      <c r="AZ675" s="72"/>
      <c r="BA675" s="72"/>
      <c r="BB675" s="72"/>
      <c r="BC675" s="72"/>
      <c r="BD675" s="72"/>
      <c r="BE675" s="72"/>
      <c r="BF675" s="72"/>
      <c r="BG675" s="72"/>
      <c r="BH675" s="72"/>
    </row>
    <row r="676" spans="1:60" x14ac:dyDescent="0.2">
      <c r="A676" s="72"/>
      <c r="M676" s="2" t="s">
        <v>712</v>
      </c>
      <c r="P676" s="73"/>
      <c r="Q676" s="1" t="s">
        <v>963</v>
      </c>
      <c r="R676" s="2" t="s">
        <v>712</v>
      </c>
      <c r="W676" s="84"/>
      <c r="X676" s="200"/>
      <c r="Y676" s="200"/>
      <c r="AA676" s="45"/>
      <c r="AB676" s="45"/>
      <c r="AD676" s="200"/>
      <c r="AE676" s="200"/>
      <c r="AF676" s="189"/>
      <c r="AG676" s="189"/>
      <c r="AH676" s="189"/>
      <c r="AI676" s="45"/>
      <c r="AJ676" s="45"/>
      <c r="AS676" s="72"/>
      <c r="AT676" s="72"/>
      <c r="AU676" s="72"/>
      <c r="AV676" s="72"/>
      <c r="AW676" s="72"/>
      <c r="AX676" s="72"/>
      <c r="AY676" s="72"/>
      <c r="AZ676" s="72"/>
      <c r="BA676" s="72"/>
      <c r="BB676" s="72"/>
      <c r="BC676" s="72"/>
      <c r="BD676" s="72"/>
      <c r="BE676" s="72"/>
      <c r="BF676" s="72"/>
      <c r="BG676" s="72"/>
      <c r="BH676" s="72"/>
    </row>
    <row r="677" spans="1:60" x14ac:dyDescent="0.2">
      <c r="A677" s="72"/>
      <c r="M677" s="2" t="s">
        <v>713</v>
      </c>
      <c r="P677" s="73"/>
      <c r="Q677" s="1" t="s">
        <v>964</v>
      </c>
      <c r="R677" s="2" t="s">
        <v>713</v>
      </c>
      <c r="W677" s="84"/>
      <c r="X677" s="200"/>
      <c r="Y677" s="200"/>
      <c r="AA677" s="45"/>
      <c r="AB677" s="45"/>
      <c r="AD677" s="200"/>
      <c r="AE677" s="200"/>
      <c r="AF677" s="189"/>
      <c r="AG677" s="189"/>
      <c r="AH677" s="189"/>
      <c r="AI677" s="45"/>
      <c r="AJ677" s="45"/>
      <c r="AS677" s="72"/>
      <c r="AT677" s="72"/>
      <c r="AU677" s="72"/>
      <c r="AV677" s="72"/>
      <c r="AW677" s="72"/>
      <c r="AX677" s="72"/>
      <c r="AY677" s="72"/>
      <c r="AZ677" s="72"/>
      <c r="BA677" s="72"/>
      <c r="BB677" s="72"/>
      <c r="BC677" s="72"/>
      <c r="BD677" s="72"/>
      <c r="BE677" s="72"/>
      <c r="BF677" s="72"/>
      <c r="BG677" s="72"/>
      <c r="BH677" s="72"/>
    </row>
    <row r="678" spans="1:60" x14ac:dyDescent="0.2">
      <c r="A678" s="72"/>
      <c r="M678" s="2" t="s">
        <v>694</v>
      </c>
      <c r="P678" s="73"/>
      <c r="Q678" s="1" t="s">
        <v>965</v>
      </c>
      <c r="R678" s="2" t="s">
        <v>694</v>
      </c>
      <c r="W678" s="84"/>
      <c r="X678" s="200"/>
      <c r="Y678" s="200"/>
      <c r="AA678" s="45"/>
      <c r="AB678" s="45"/>
      <c r="AD678" s="200"/>
      <c r="AE678" s="200"/>
      <c r="AF678" s="189"/>
      <c r="AG678" s="189"/>
      <c r="AH678" s="189"/>
      <c r="AI678" s="45"/>
      <c r="AJ678" s="45"/>
      <c r="AS678" s="72"/>
      <c r="AT678" s="72"/>
      <c r="AU678" s="72"/>
      <c r="AV678" s="72"/>
      <c r="AX678" s="72"/>
      <c r="AY678" s="72"/>
      <c r="AZ678" s="72"/>
      <c r="BA678" s="72"/>
      <c r="BB678" s="72"/>
      <c r="BC678" s="72"/>
      <c r="BD678" s="72"/>
      <c r="BE678" s="72"/>
      <c r="BF678" s="72"/>
      <c r="BG678" s="72"/>
      <c r="BH678" s="72"/>
    </row>
    <row r="679" spans="1:60" x14ac:dyDescent="0.2">
      <c r="A679" s="72"/>
      <c r="M679" s="2" t="s">
        <v>689</v>
      </c>
      <c r="P679" s="73"/>
      <c r="Q679" s="1" t="s">
        <v>966</v>
      </c>
      <c r="R679" s="2" t="s">
        <v>689</v>
      </c>
      <c r="W679" s="84"/>
      <c r="X679" s="200"/>
      <c r="Y679" s="200"/>
      <c r="AA679" s="45"/>
      <c r="AB679" s="45"/>
      <c r="AD679" s="200"/>
      <c r="AE679" s="200"/>
      <c r="AF679" s="189"/>
      <c r="AG679" s="189"/>
      <c r="AH679" s="189"/>
      <c r="AI679" s="45"/>
      <c r="AJ679" s="45"/>
      <c r="AS679" s="72"/>
      <c r="AT679" s="72"/>
      <c r="AU679" s="72"/>
      <c r="AV679" s="72"/>
      <c r="AX679" s="72"/>
      <c r="AY679" s="72"/>
      <c r="AZ679" s="72"/>
      <c r="BA679" s="72"/>
      <c r="BB679" s="72"/>
      <c r="BC679" s="72"/>
      <c r="BD679" s="72"/>
      <c r="BE679" s="72"/>
      <c r="BF679" s="72"/>
      <c r="BG679" s="72"/>
      <c r="BH679" s="72"/>
    </row>
    <row r="680" spans="1:60" x14ac:dyDescent="0.2">
      <c r="A680" s="72"/>
      <c r="M680" s="2" t="s">
        <v>688</v>
      </c>
      <c r="P680" s="73"/>
      <c r="Q680" s="1" t="s">
        <v>967</v>
      </c>
      <c r="R680" s="2" t="s">
        <v>688</v>
      </c>
      <c r="W680" s="84"/>
      <c r="X680" s="200"/>
      <c r="Y680" s="200"/>
      <c r="AA680" s="45"/>
      <c r="AB680" s="45"/>
      <c r="AD680" s="200"/>
      <c r="AE680" s="200"/>
      <c r="AF680" s="189"/>
      <c r="AG680" s="189"/>
      <c r="AH680" s="189"/>
      <c r="AI680" s="45"/>
      <c r="AJ680" s="45"/>
      <c r="AS680" s="72"/>
      <c r="AT680" s="72"/>
      <c r="AU680" s="72"/>
      <c r="AV680" s="72"/>
      <c r="AX680" s="72"/>
      <c r="AY680" s="72"/>
      <c r="AZ680" s="72"/>
      <c r="BA680" s="72"/>
      <c r="BB680" s="72"/>
      <c r="BC680" s="72"/>
      <c r="BD680" s="72"/>
      <c r="BE680" s="72"/>
      <c r="BF680" s="72"/>
      <c r="BG680" s="72"/>
      <c r="BH680" s="72"/>
    </row>
    <row r="681" spans="1:60" x14ac:dyDescent="0.2">
      <c r="A681" s="72"/>
      <c r="M681" s="2" t="s">
        <v>687</v>
      </c>
      <c r="P681" s="73"/>
      <c r="Q681" s="1" t="s">
        <v>968</v>
      </c>
      <c r="R681" s="2" t="s">
        <v>687</v>
      </c>
      <c r="W681" s="84"/>
      <c r="X681" s="200"/>
      <c r="Y681" s="200"/>
      <c r="AA681" s="45"/>
      <c r="AB681" s="45"/>
      <c r="AD681" s="200"/>
      <c r="AE681" s="200"/>
      <c r="AF681" s="189"/>
      <c r="AG681" s="189"/>
      <c r="AH681" s="189"/>
      <c r="AI681" s="45"/>
      <c r="AJ681" s="45"/>
      <c r="AS681" s="72"/>
      <c r="AT681" s="72"/>
      <c r="AU681" s="72"/>
      <c r="AV681" s="72"/>
      <c r="AX681" s="72"/>
      <c r="AY681" s="72"/>
      <c r="AZ681" s="72"/>
      <c r="BA681" s="72"/>
      <c r="BB681" s="72"/>
      <c r="BC681" s="72"/>
      <c r="BD681" s="72"/>
      <c r="BE681" s="72"/>
      <c r="BF681" s="72"/>
      <c r="BG681" s="72"/>
      <c r="BH681" s="72"/>
    </row>
    <row r="682" spans="1:60" x14ac:dyDescent="0.2">
      <c r="A682" s="72"/>
      <c r="M682" s="2" t="s">
        <v>748</v>
      </c>
      <c r="P682" s="73"/>
      <c r="Q682" s="1" t="s">
        <v>969</v>
      </c>
      <c r="R682" s="2" t="s">
        <v>748</v>
      </c>
      <c r="W682" s="84"/>
      <c r="X682" s="200"/>
      <c r="Y682" s="200"/>
      <c r="AA682" s="45"/>
      <c r="AB682" s="45"/>
      <c r="AD682" s="200"/>
      <c r="AE682" s="200"/>
      <c r="AF682" s="189"/>
      <c r="AG682" s="189"/>
      <c r="AH682" s="189"/>
      <c r="AI682" s="45"/>
      <c r="AJ682" s="45"/>
      <c r="AS682" s="72"/>
      <c r="AT682" s="72"/>
      <c r="AU682" s="72"/>
      <c r="AV682" s="72"/>
      <c r="AX682" s="72"/>
      <c r="AY682" s="72"/>
      <c r="AZ682" s="72"/>
      <c r="BA682" s="72"/>
      <c r="BB682" s="72"/>
      <c r="BC682" s="72"/>
      <c r="BD682" s="72"/>
      <c r="BE682" s="72"/>
      <c r="BF682" s="72"/>
      <c r="BG682" s="72"/>
      <c r="BH682" s="72"/>
    </row>
    <row r="683" spans="1:60" x14ac:dyDescent="0.2">
      <c r="A683" s="72"/>
      <c r="M683" s="2" t="s">
        <v>955</v>
      </c>
      <c r="P683" s="73"/>
      <c r="Q683" s="1" t="s">
        <v>970</v>
      </c>
      <c r="R683" s="2" t="s">
        <v>955</v>
      </c>
      <c r="W683" s="84"/>
      <c r="X683" s="200"/>
      <c r="Y683" s="200"/>
      <c r="AA683" s="45"/>
      <c r="AB683" s="45"/>
      <c r="AD683" s="200"/>
      <c r="AE683" s="200"/>
      <c r="AF683" s="189"/>
      <c r="AG683" s="189"/>
      <c r="AH683" s="189"/>
      <c r="AI683" s="45"/>
      <c r="AJ683" s="45"/>
      <c r="AU683" s="72"/>
    </row>
    <row r="684" spans="1:60" x14ac:dyDescent="0.2">
      <c r="A684" s="72"/>
      <c r="M684" s="2" t="s">
        <v>678</v>
      </c>
      <c r="P684" s="73"/>
      <c r="Q684" s="1" t="s">
        <v>971</v>
      </c>
      <c r="R684" s="2" t="s">
        <v>678</v>
      </c>
      <c r="W684" s="84"/>
      <c r="X684" s="200"/>
      <c r="Y684" s="200"/>
      <c r="AA684" s="45"/>
      <c r="AB684" s="45"/>
      <c r="AD684" s="200"/>
      <c r="AE684" s="200"/>
      <c r="AF684" s="189"/>
      <c r="AG684" s="189"/>
      <c r="AH684" s="189"/>
      <c r="AI684" s="45"/>
      <c r="AJ684" s="45"/>
      <c r="AU684" s="72"/>
    </row>
    <row r="685" spans="1:60" x14ac:dyDescent="0.2">
      <c r="A685" s="72"/>
      <c r="M685" s="2" t="s">
        <v>1043</v>
      </c>
      <c r="P685" s="73"/>
      <c r="Q685" s="1" t="s">
        <v>972</v>
      </c>
      <c r="R685" s="2" t="s">
        <v>727</v>
      </c>
      <c r="W685" s="84"/>
      <c r="X685" s="200"/>
      <c r="Y685" s="200"/>
      <c r="AA685" s="45"/>
      <c r="AB685" s="45"/>
      <c r="AD685" s="200"/>
      <c r="AE685" s="200"/>
      <c r="AF685" s="189"/>
      <c r="AG685" s="189"/>
      <c r="AH685" s="189"/>
      <c r="AI685" s="45"/>
      <c r="AJ685" s="45"/>
      <c r="AU685" s="72"/>
    </row>
    <row r="686" spans="1:60" x14ac:dyDescent="0.2">
      <c r="A686" s="72"/>
      <c r="M686" s="2" t="s">
        <v>753</v>
      </c>
      <c r="P686" s="73"/>
      <c r="Q686" s="1" t="s">
        <v>973</v>
      </c>
      <c r="R686" s="2" t="s">
        <v>753</v>
      </c>
      <c r="W686" s="84"/>
      <c r="X686" s="200"/>
      <c r="Y686" s="200"/>
      <c r="AA686" s="45"/>
      <c r="AB686" s="45"/>
      <c r="AD686" s="200"/>
      <c r="AE686" s="200"/>
      <c r="AF686" s="189"/>
      <c r="AG686" s="189"/>
      <c r="AH686" s="189"/>
      <c r="AI686" s="45"/>
      <c r="AJ686" s="45"/>
      <c r="AU686" s="72"/>
    </row>
    <row r="687" spans="1:60" x14ac:dyDescent="0.2">
      <c r="A687" s="72"/>
      <c r="M687" s="2" t="s">
        <v>696</v>
      </c>
      <c r="P687" s="73"/>
      <c r="Q687" s="1" t="s">
        <v>974</v>
      </c>
      <c r="R687" s="2" t="s">
        <v>696</v>
      </c>
      <c r="W687" s="84"/>
      <c r="X687" s="200"/>
      <c r="Y687" s="200"/>
      <c r="AA687" s="45"/>
      <c r="AB687" s="45"/>
      <c r="AD687" s="200"/>
      <c r="AE687" s="200"/>
      <c r="AF687" s="189"/>
      <c r="AG687" s="189"/>
      <c r="AH687" s="189"/>
      <c r="AI687" s="45"/>
      <c r="AJ687" s="45"/>
      <c r="AU687" s="72"/>
    </row>
    <row r="688" spans="1:60" x14ac:dyDescent="0.2">
      <c r="A688" s="72"/>
      <c r="M688" s="2" t="s">
        <v>805</v>
      </c>
      <c r="P688" s="73"/>
      <c r="Q688" s="1" t="s">
        <v>975</v>
      </c>
      <c r="R688" s="2" t="s">
        <v>805</v>
      </c>
      <c r="W688" s="84"/>
      <c r="X688" s="200"/>
      <c r="Y688" s="200"/>
      <c r="AA688" s="45"/>
      <c r="AB688" s="45"/>
      <c r="AD688" s="200"/>
      <c r="AE688" s="200"/>
      <c r="AF688" s="189"/>
      <c r="AG688" s="189"/>
      <c r="AH688" s="189"/>
      <c r="AI688" s="45"/>
      <c r="AJ688" s="45"/>
      <c r="AU688" s="72"/>
    </row>
    <row r="689" spans="1:47" x14ac:dyDescent="0.2">
      <c r="A689" s="72"/>
      <c r="M689" s="2" t="s">
        <v>737</v>
      </c>
      <c r="P689" s="73"/>
      <c r="Q689" s="1" t="s">
        <v>976</v>
      </c>
      <c r="R689" s="2" t="s">
        <v>737</v>
      </c>
      <c r="W689" s="84"/>
      <c r="X689" s="200"/>
      <c r="Y689" s="200"/>
      <c r="AA689" s="45"/>
      <c r="AB689" s="45"/>
      <c r="AD689" s="200"/>
      <c r="AE689" s="200"/>
      <c r="AF689" s="189"/>
      <c r="AG689" s="189"/>
      <c r="AH689" s="189"/>
      <c r="AI689" s="45"/>
      <c r="AJ689" s="45"/>
      <c r="AU689" s="72"/>
    </row>
    <row r="690" spans="1:47" x14ac:dyDescent="0.2">
      <c r="A690" s="72"/>
      <c r="M690" s="2" t="s">
        <v>715</v>
      </c>
      <c r="P690" s="73"/>
      <c r="Q690" s="1" t="s">
        <v>977</v>
      </c>
      <c r="R690" s="2" t="s">
        <v>715</v>
      </c>
      <c r="W690" s="84"/>
      <c r="X690" s="200"/>
      <c r="Y690" s="200"/>
      <c r="AA690" s="45"/>
      <c r="AB690" s="45"/>
      <c r="AD690" s="200"/>
      <c r="AE690" s="200"/>
      <c r="AF690" s="189"/>
      <c r="AG690" s="189"/>
      <c r="AH690" s="189"/>
      <c r="AI690" s="45"/>
      <c r="AJ690" s="45"/>
      <c r="AU690" s="72"/>
    </row>
    <row r="691" spans="1:47" x14ac:dyDescent="0.2">
      <c r="A691" s="72"/>
      <c r="M691" s="2" t="s">
        <v>716</v>
      </c>
      <c r="P691" s="73"/>
      <c r="Q691" s="1" t="s">
        <v>978</v>
      </c>
      <c r="R691" s="2" t="s">
        <v>716</v>
      </c>
      <c r="W691" s="84"/>
      <c r="X691" s="200"/>
      <c r="Y691" s="200"/>
      <c r="AA691" s="45"/>
      <c r="AB691" s="45"/>
      <c r="AD691" s="200"/>
      <c r="AE691" s="200"/>
      <c r="AF691" s="189"/>
      <c r="AG691" s="189"/>
      <c r="AH691" s="189"/>
      <c r="AI691" s="45"/>
      <c r="AJ691" s="45"/>
      <c r="AU691" s="72"/>
    </row>
    <row r="692" spans="1:47" x14ac:dyDescent="0.2">
      <c r="A692" s="72"/>
      <c r="M692" s="2" t="s">
        <v>800</v>
      </c>
      <c r="P692" s="73"/>
      <c r="Q692" s="1" t="s">
        <v>979</v>
      </c>
      <c r="R692" s="2" t="s">
        <v>800</v>
      </c>
      <c r="W692" s="84"/>
      <c r="X692" s="200"/>
      <c r="Y692" s="200"/>
      <c r="AA692" s="45"/>
      <c r="AB692" s="45"/>
      <c r="AD692" s="200"/>
      <c r="AE692" s="200"/>
      <c r="AF692" s="189"/>
      <c r="AG692" s="189"/>
      <c r="AH692" s="189"/>
      <c r="AI692" s="45"/>
      <c r="AJ692" s="45"/>
      <c r="AU692" s="72"/>
    </row>
    <row r="693" spans="1:47" x14ac:dyDescent="0.2">
      <c r="A693" s="72"/>
      <c r="M693" s="2" t="s">
        <v>717</v>
      </c>
      <c r="P693" s="73"/>
      <c r="Q693" s="1" t="s">
        <v>980</v>
      </c>
      <c r="R693" s="2" t="s">
        <v>717</v>
      </c>
      <c r="W693" s="84"/>
      <c r="X693" s="200"/>
      <c r="Y693" s="200"/>
      <c r="AA693" s="45"/>
      <c r="AB693" s="45"/>
      <c r="AD693" s="189"/>
      <c r="AE693" s="200"/>
      <c r="AF693" s="189"/>
      <c r="AG693" s="189"/>
      <c r="AH693" s="189"/>
      <c r="AI693" s="45"/>
      <c r="AJ693" s="45"/>
      <c r="AU693" s="72"/>
    </row>
    <row r="694" spans="1:47" x14ac:dyDescent="0.2">
      <c r="A694" s="72"/>
      <c r="M694" s="37" t="s">
        <v>777</v>
      </c>
      <c r="P694" s="73"/>
      <c r="Q694" s="1" t="s">
        <v>981</v>
      </c>
      <c r="R694" s="37" t="s">
        <v>777</v>
      </c>
      <c r="W694" s="84"/>
      <c r="X694" s="200"/>
      <c r="Y694" s="200"/>
      <c r="AA694" s="45"/>
      <c r="AB694" s="45"/>
      <c r="AD694" s="189"/>
      <c r="AE694" s="200"/>
      <c r="AF694" s="189"/>
      <c r="AG694" s="189"/>
      <c r="AH694" s="189"/>
      <c r="AI694" s="45"/>
      <c r="AJ694" s="45"/>
      <c r="AU694" s="72"/>
    </row>
    <row r="695" spans="1:47" x14ac:dyDescent="0.2">
      <c r="A695" s="72"/>
      <c r="M695" s="2" t="s">
        <v>721</v>
      </c>
      <c r="P695" s="73"/>
      <c r="Q695" s="1" t="s">
        <v>982</v>
      </c>
      <c r="R695" s="2" t="s">
        <v>721</v>
      </c>
      <c r="W695" s="84"/>
      <c r="X695" s="200"/>
      <c r="Y695" s="200"/>
      <c r="AA695" s="45"/>
      <c r="AB695" s="45"/>
      <c r="AD695" s="189"/>
      <c r="AE695" s="200"/>
      <c r="AF695" s="189"/>
      <c r="AG695" s="189"/>
      <c r="AH695" s="189"/>
      <c r="AI695" s="45"/>
      <c r="AJ695" s="45"/>
      <c r="AU695" s="72"/>
    </row>
    <row r="696" spans="1:47" x14ac:dyDescent="0.2">
      <c r="A696" s="72"/>
      <c r="M696" s="2" t="s">
        <v>870</v>
      </c>
      <c r="P696" s="73"/>
      <c r="Q696" s="1" t="s">
        <v>983</v>
      </c>
      <c r="R696" s="2" t="s">
        <v>870</v>
      </c>
      <c r="W696" s="84"/>
      <c r="X696" s="200"/>
      <c r="Y696" s="200"/>
      <c r="AA696" s="45"/>
      <c r="AB696" s="45"/>
      <c r="AD696" s="189"/>
      <c r="AE696" s="200"/>
      <c r="AF696" s="189"/>
      <c r="AG696" s="189"/>
      <c r="AH696" s="189"/>
      <c r="AI696" s="45"/>
      <c r="AJ696" s="45"/>
      <c r="AU696" s="72"/>
    </row>
    <row r="697" spans="1:47" x14ac:dyDescent="0.2">
      <c r="A697" s="72"/>
      <c r="M697" s="2" t="s">
        <v>757</v>
      </c>
      <c r="P697" s="73"/>
      <c r="Q697" s="1" t="s">
        <v>984</v>
      </c>
      <c r="R697" s="2" t="s">
        <v>757</v>
      </c>
      <c r="W697" s="84"/>
      <c r="X697" s="200"/>
      <c r="Y697" s="200"/>
      <c r="AA697" s="45"/>
      <c r="AB697" s="45"/>
      <c r="AD697" s="189"/>
      <c r="AE697" s="200"/>
      <c r="AF697" s="189"/>
      <c r="AG697" s="189"/>
      <c r="AH697" s="189"/>
      <c r="AI697" s="45"/>
      <c r="AJ697" s="45"/>
      <c r="AU697" s="72"/>
    </row>
    <row r="698" spans="1:47" x14ac:dyDescent="0.2">
      <c r="A698" s="72"/>
      <c r="M698" s="2" t="s">
        <v>718</v>
      </c>
      <c r="P698" s="73"/>
      <c r="Q698" s="1" t="s">
        <v>985</v>
      </c>
      <c r="R698" s="2" t="s">
        <v>718</v>
      </c>
      <c r="W698" s="84"/>
      <c r="X698" s="200"/>
      <c r="Y698" s="200"/>
      <c r="AA698" s="45"/>
      <c r="AB698" s="45"/>
      <c r="AD698" s="189"/>
      <c r="AE698" s="200"/>
      <c r="AF698" s="189"/>
      <c r="AG698" s="189"/>
      <c r="AH698" s="189"/>
      <c r="AI698" s="45"/>
      <c r="AJ698" s="45"/>
      <c r="AU698" s="72"/>
    </row>
    <row r="699" spans="1:47" x14ac:dyDescent="0.2">
      <c r="A699" s="72"/>
      <c r="M699" s="2" t="s">
        <v>720</v>
      </c>
      <c r="P699" s="73"/>
      <c r="Q699" s="1" t="s">
        <v>986</v>
      </c>
      <c r="R699" s="2" t="s">
        <v>720</v>
      </c>
      <c r="W699" s="84"/>
      <c r="X699" s="200"/>
      <c r="Y699" s="200"/>
      <c r="AA699" s="45"/>
      <c r="AB699" s="45"/>
      <c r="AD699" s="189"/>
      <c r="AE699" s="200"/>
      <c r="AF699" s="189"/>
      <c r="AG699" s="189"/>
      <c r="AH699" s="189"/>
      <c r="AI699" s="45"/>
      <c r="AJ699" s="45"/>
      <c r="AU699" s="72"/>
    </row>
    <row r="700" spans="1:47" x14ac:dyDescent="0.2">
      <c r="A700" s="72"/>
      <c r="M700" s="2" t="s">
        <v>697</v>
      </c>
      <c r="P700" s="73"/>
      <c r="Q700" s="1" t="s">
        <v>987</v>
      </c>
      <c r="R700" s="2" t="s">
        <v>697</v>
      </c>
      <c r="W700" s="84"/>
      <c r="X700" s="200"/>
      <c r="Y700" s="200"/>
      <c r="AA700" s="45"/>
      <c r="AB700" s="45"/>
      <c r="AD700" s="189"/>
      <c r="AE700" s="200"/>
      <c r="AF700" s="189"/>
      <c r="AG700" s="189"/>
      <c r="AH700" s="189"/>
      <c r="AI700" s="45"/>
      <c r="AJ700" s="45"/>
      <c r="AU700" s="72"/>
    </row>
    <row r="701" spans="1:47" x14ac:dyDescent="0.2">
      <c r="A701" s="72"/>
      <c r="M701" s="2" t="s">
        <v>751</v>
      </c>
      <c r="P701" s="73"/>
      <c r="Q701" s="1" t="s">
        <v>988</v>
      </c>
      <c r="R701" s="2" t="s">
        <v>751</v>
      </c>
      <c r="W701" s="84"/>
      <c r="X701" s="200"/>
      <c r="Y701" s="200"/>
      <c r="AA701" s="45"/>
      <c r="AB701" s="45"/>
      <c r="AD701" s="189"/>
      <c r="AE701" s="200"/>
      <c r="AF701" s="189"/>
      <c r="AG701" s="189"/>
      <c r="AH701" s="189"/>
      <c r="AI701" s="45"/>
      <c r="AJ701" s="45"/>
      <c r="AU701" s="72"/>
    </row>
    <row r="702" spans="1:47" x14ac:dyDescent="0.2">
      <c r="A702" s="72"/>
      <c r="M702" s="2" t="s">
        <v>743</v>
      </c>
      <c r="P702" s="73"/>
      <c r="Q702" s="1" t="s">
        <v>989</v>
      </c>
      <c r="R702" s="2" t="s">
        <v>743</v>
      </c>
      <c r="W702" s="84"/>
      <c r="X702" s="200"/>
      <c r="Y702" s="200"/>
      <c r="AA702" s="45"/>
      <c r="AB702" s="45"/>
      <c r="AD702" s="189"/>
      <c r="AE702" s="200"/>
      <c r="AF702" s="189"/>
      <c r="AG702" s="189"/>
      <c r="AH702" s="189"/>
      <c r="AI702" s="45"/>
      <c r="AJ702" s="45"/>
      <c r="AU702" s="72"/>
    </row>
    <row r="703" spans="1:47" x14ac:dyDescent="0.2">
      <c r="A703" s="72"/>
      <c r="M703" s="2" t="s">
        <v>741</v>
      </c>
      <c r="P703" s="73"/>
      <c r="Q703" s="1" t="s">
        <v>990</v>
      </c>
      <c r="R703" s="2" t="s">
        <v>741</v>
      </c>
      <c r="W703" s="84"/>
      <c r="Y703" s="200"/>
      <c r="AA703" s="45"/>
      <c r="AB703" s="45"/>
      <c r="AD703" s="189"/>
      <c r="AE703" s="200"/>
      <c r="AF703" s="189"/>
      <c r="AG703" s="189"/>
      <c r="AH703" s="189"/>
      <c r="AI703" s="45"/>
      <c r="AJ703" s="45"/>
      <c r="AU703" s="72"/>
    </row>
    <row r="704" spans="1:47" x14ac:dyDescent="0.2">
      <c r="A704" s="72"/>
      <c r="M704" s="2" t="s">
        <v>992</v>
      </c>
      <c r="P704" s="73"/>
      <c r="Q704" s="1" t="s">
        <v>991</v>
      </c>
      <c r="R704" s="2" t="s">
        <v>992</v>
      </c>
      <c r="W704" s="84"/>
      <c r="AA704" s="45"/>
      <c r="AB704" s="45"/>
      <c r="AD704" s="189"/>
      <c r="AE704" s="189"/>
      <c r="AF704" s="189"/>
      <c r="AG704" s="189"/>
      <c r="AH704" s="189"/>
      <c r="AI704" s="45"/>
      <c r="AJ704" s="45"/>
      <c r="AU704" s="72"/>
    </row>
    <row r="705" spans="1:36" x14ac:dyDescent="0.2">
      <c r="A705" s="72"/>
      <c r="M705" s="2" t="s">
        <v>746</v>
      </c>
      <c r="P705" s="73"/>
      <c r="Q705" s="1" t="s">
        <v>993</v>
      </c>
      <c r="R705" s="2" t="s">
        <v>746</v>
      </c>
      <c r="W705" s="84"/>
      <c r="AA705" s="45"/>
      <c r="AB705" s="45"/>
      <c r="AD705" s="189"/>
      <c r="AE705" s="189"/>
      <c r="AF705" s="189"/>
      <c r="AG705" s="189"/>
      <c r="AH705" s="189"/>
      <c r="AI705" s="45"/>
      <c r="AJ705" s="45"/>
    </row>
    <row r="706" spans="1:36" x14ac:dyDescent="0.2">
      <c r="F706" s="19"/>
      <c r="M706" s="2" t="s">
        <v>1042</v>
      </c>
      <c r="P706" s="73"/>
      <c r="Q706" s="19" t="s">
        <v>1003</v>
      </c>
      <c r="R706" s="15" t="s">
        <v>1004</v>
      </c>
      <c r="W706" s="84"/>
      <c r="AA706" s="45"/>
      <c r="AB706" s="45"/>
      <c r="AD706" s="189"/>
      <c r="AE706" s="189"/>
      <c r="AF706" s="189"/>
      <c r="AG706" s="189"/>
      <c r="AH706" s="189"/>
      <c r="AI706" s="45"/>
      <c r="AJ706" s="45"/>
    </row>
    <row r="707" spans="1:36" x14ac:dyDescent="0.2">
      <c r="F707" s="19"/>
      <c r="P707" s="73"/>
      <c r="Q707" s="19" t="s">
        <v>1006</v>
      </c>
      <c r="R707" s="15" t="s">
        <v>1007</v>
      </c>
      <c r="S707" s="365">
        <v>40992</v>
      </c>
      <c r="T707" s="1">
        <v>371</v>
      </c>
      <c r="U707" t="s">
        <v>1012</v>
      </c>
      <c r="W707" s="84"/>
      <c r="AA707" s="45"/>
      <c r="AB707" s="45"/>
      <c r="AD707" s="189"/>
      <c r="AE707" s="189"/>
      <c r="AF707" s="189"/>
      <c r="AG707" s="189"/>
      <c r="AH707" s="189"/>
      <c r="AI707" s="45"/>
      <c r="AJ707" s="45"/>
    </row>
    <row r="708" spans="1:36" x14ac:dyDescent="0.2">
      <c r="F708" s="19"/>
      <c r="M708" s="131" t="s">
        <v>1011</v>
      </c>
      <c r="P708" s="73"/>
      <c r="Q708" s="19" t="s">
        <v>1010</v>
      </c>
      <c r="R708" s="15" t="s">
        <v>1014</v>
      </c>
      <c r="S708" s="365">
        <v>40992</v>
      </c>
      <c r="T708" s="1">
        <v>241</v>
      </c>
      <c r="U708" s="14" t="s">
        <v>1013</v>
      </c>
      <c r="W708" s="84"/>
      <c r="AA708" s="45"/>
      <c r="AB708" s="45"/>
      <c r="AD708" s="189"/>
      <c r="AE708" s="189"/>
      <c r="AF708" s="189"/>
      <c r="AG708" s="189"/>
      <c r="AH708" s="189"/>
      <c r="AI708" s="45"/>
      <c r="AJ708" s="45"/>
    </row>
    <row r="709" spans="1:36" x14ac:dyDescent="0.2">
      <c r="F709" s="19"/>
      <c r="M709" s="131" t="s">
        <v>1017</v>
      </c>
      <c r="P709" s="73"/>
      <c r="Q709" s="19" t="s">
        <v>1016</v>
      </c>
      <c r="R709" s="15" t="s">
        <v>1020</v>
      </c>
      <c r="S709" s="365">
        <v>40992</v>
      </c>
      <c r="T709" s="1">
        <v>27</v>
      </c>
      <c r="U709" s="14" t="s">
        <v>1019</v>
      </c>
      <c r="W709" s="84"/>
      <c r="AA709" s="45"/>
      <c r="AB709" s="45"/>
      <c r="AD709" s="189"/>
      <c r="AE709" s="189"/>
      <c r="AF709" s="189"/>
      <c r="AG709" s="189"/>
      <c r="AH709" s="189"/>
      <c r="AI709" s="45"/>
      <c r="AJ709" s="45"/>
    </row>
    <row r="710" spans="1:36" x14ac:dyDescent="0.2">
      <c r="F710" s="19"/>
      <c r="M710" s="131" t="s">
        <v>1022</v>
      </c>
      <c r="P710" s="73"/>
      <c r="Q710" s="19" t="s">
        <v>1021</v>
      </c>
      <c r="R710" s="308" t="s">
        <v>1025</v>
      </c>
      <c r="S710" s="365">
        <v>40993</v>
      </c>
      <c r="T710" s="36">
        <v>246</v>
      </c>
      <c r="U710" s="14" t="s">
        <v>1024</v>
      </c>
      <c r="W710" s="84"/>
      <c r="AA710" s="45"/>
      <c r="AB710" s="45"/>
      <c r="AD710" s="189"/>
      <c r="AE710" s="189"/>
      <c r="AF710" s="189"/>
      <c r="AG710" s="189"/>
      <c r="AH710" s="189"/>
      <c r="AI710" s="45"/>
      <c r="AJ710" s="45"/>
    </row>
    <row r="711" spans="1:36" x14ac:dyDescent="0.2">
      <c r="F711" s="19"/>
      <c r="M711" s="131" t="s">
        <v>1027</v>
      </c>
      <c r="P711" s="73"/>
      <c r="Q711" s="19" t="s">
        <v>1026</v>
      </c>
      <c r="R711" s="308" t="s">
        <v>1030</v>
      </c>
      <c r="S711" s="365">
        <v>40993</v>
      </c>
      <c r="T711" s="36">
        <v>271</v>
      </c>
      <c r="U711" s="14" t="s">
        <v>1029</v>
      </c>
      <c r="W711" s="84"/>
      <c r="AA711" s="45"/>
      <c r="AB711" s="45"/>
      <c r="AD711" s="189"/>
      <c r="AE711" s="189"/>
      <c r="AF711" s="189"/>
      <c r="AG711" s="189"/>
      <c r="AH711" s="189"/>
      <c r="AI711" s="45"/>
      <c r="AJ711" s="45"/>
    </row>
    <row r="712" spans="1:36" x14ac:dyDescent="0.2">
      <c r="F712" s="19"/>
      <c r="M712" s="308" t="s">
        <v>1033</v>
      </c>
      <c r="P712" s="73"/>
      <c r="Q712" s="19" t="s">
        <v>1032</v>
      </c>
      <c r="R712" s="308" t="s">
        <v>1033</v>
      </c>
      <c r="S712" s="365"/>
      <c r="T712" s="36"/>
      <c r="U712" s="14"/>
      <c r="W712" s="84"/>
      <c r="AA712" s="45"/>
      <c r="AB712" s="45"/>
      <c r="AD712" s="189"/>
      <c r="AE712" s="189"/>
      <c r="AF712" s="189"/>
      <c r="AG712" s="189"/>
      <c r="AH712" s="189"/>
      <c r="AI712" s="45"/>
      <c r="AJ712" s="45"/>
    </row>
    <row r="713" spans="1:36" x14ac:dyDescent="0.2">
      <c r="P713" s="296" t="s">
        <v>995</v>
      </c>
      <c r="W713" s="84"/>
      <c r="AA713" s="45"/>
      <c r="AB713" s="45"/>
      <c r="AD713" s="189"/>
      <c r="AE713" s="189"/>
      <c r="AF713" s="189"/>
      <c r="AG713" s="189"/>
      <c r="AH713" s="189"/>
      <c r="AI713" s="45"/>
      <c r="AJ713" s="45"/>
    </row>
    <row r="714" spans="1:36" x14ac:dyDescent="0.2">
      <c r="F714" s="15"/>
      <c r="P714" s="177"/>
      <c r="Q714" s="15" t="s">
        <v>680</v>
      </c>
      <c r="R714" s="58" t="s">
        <v>714</v>
      </c>
      <c r="S714" s="356">
        <v>40513</v>
      </c>
      <c r="T714" s="1">
        <v>30</v>
      </c>
      <c r="U714" s="14" t="s">
        <v>679</v>
      </c>
      <c r="W714" s="158"/>
      <c r="X714" s="201"/>
      <c r="Y714" s="99"/>
      <c r="AA714" s="123"/>
      <c r="AB714" s="123"/>
      <c r="AC714" s="120"/>
      <c r="AD714" s="39"/>
      <c r="AE714" s="39"/>
      <c r="AF714" s="39"/>
      <c r="AG714" s="39"/>
      <c r="AH714" s="39"/>
      <c r="AI714" s="123"/>
      <c r="AJ714" s="123"/>
    </row>
    <row r="715" spans="1:36" x14ac:dyDescent="0.2">
      <c r="P715" s="73"/>
      <c r="W715" s="84"/>
      <c r="AA715" s="45"/>
      <c r="AB715" s="45"/>
      <c r="AD715" s="189"/>
      <c r="AE715" s="189"/>
      <c r="AF715" s="189"/>
      <c r="AG715" s="189"/>
      <c r="AH715" s="189"/>
      <c r="AI715" s="45"/>
      <c r="AJ715" s="45"/>
    </row>
    <row r="716" spans="1:36" x14ac:dyDescent="0.2">
      <c r="P716" s="73"/>
      <c r="W716" s="84"/>
      <c r="AA716" s="45"/>
      <c r="AB716" s="45"/>
      <c r="AD716" s="189"/>
      <c r="AE716" s="189"/>
      <c r="AF716" s="189"/>
      <c r="AG716" s="189"/>
      <c r="AH716" s="189"/>
      <c r="AI716" s="45"/>
      <c r="AJ716" s="45"/>
    </row>
    <row r="717" spans="1:36" x14ac:dyDescent="0.2">
      <c r="P717" s="73"/>
      <c r="W717" s="84"/>
      <c r="AA717" s="45"/>
      <c r="AB717" s="45"/>
      <c r="AD717" s="189"/>
      <c r="AE717" s="189"/>
      <c r="AF717" s="189"/>
      <c r="AG717" s="189"/>
      <c r="AH717" s="189"/>
      <c r="AI717" s="45"/>
      <c r="AJ717" s="45"/>
    </row>
    <row r="718" spans="1:36" x14ac:dyDescent="0.2">
      <c r="P718" s="73"/>
      <c r="W718" s="84"/>
      <c r="AA718" s="45"/>
      <c r="AB718" s="45"/>
      <c r="AD718" s="189"/>
      <c r="AE718" s="189"/>
      <c r="AF718" s="189"/>
      <c r="AG718" s="189"/>
      <c r="AH718" s="189"/>
      <c r="AI718" s="45"/>
      <c r="AJ718" s="45"/>
    </row>
    <row r="719" spans="1:36" x14ac:dyDescent="0.2">
      <c r="P719" s="73"/>
      <c r="W719" s="84"/>
      <c r="AA719" s="45"/>
      <c r="AB719" s="45"/>
      <c r="AD719" s="189"/>
      <c r="AE719" s="189"/>
      <c r="AF719" s="189"/>
      <c r="AG719" s="189"/>
      <c r="AH719" s="189"/>
      <c r="AI719" s="45"/>
      <c r="AJ719" s="45"/>
    </row>
    <row r="720" spans="1:36" x14ac:dyDescent="0.2">
      <c r="P720" s="73"/>
      <c r="W720" s="84"/>
      <c r="AA720" s="45"/>
      <c r="AB720" s="45"/>
      <c r="AD720" s="189"/>
      <c r="AE720" s="189"/>
      <c r="AF720" s="189"/>
      <c r="AG720" s="189"/>
      <c r="AH720" s="189"/>
      <c r="AI720" s="45"/>
      <c r="AJ720" s="45"/>
    </row>
    <row r="721" spans="16:36" x14ac:dyDescent="0.2">
      <c r="P721" s="73"/>
      <c r="W721" s="84"/>
      <c r="AA721" s="45"/>
      <c r="AB721" s="45"/>
      <c r="AD721" s="189"/>
      <c r="AE721" s="189"/>
      <c r="AF721" s="189"/>
      <c r="AG721" s="189"/>
      <c r="AH721" s="189"/>
      <c r="AI721" s="45"/>
      <c r="AJ721" s="45"/>
    </row>
    <row r="722" spans="16:36" x14ac:dyDescent="0.2">
      <c r="P722" s="73"/>
      <c r="W722" s="84"/>
      <c r="AA722" s="45"/>
      <c r="AB722" s="45"/>
      <c r="AD722" s="189"/>
      <c r="AE722" s="189"/>
      <c r="AF722" s="189"/>
      <c r="AG722" s="189"/>
      <c r="AH722" s="189"/>
      <c r="AI722" s="45"/>
      <c r="AJ722" s="45"/>
    </row>
    <row r="723" spans="16:36" x14ac:dyDescent="0.2">
      <c r="P723" s="73"/>
      <c r="W723" s="84"/>
      <c r="AA723" s="45"/>
      <c r="AB723" s="45"/>
      <c r="AD723" s="189"/>
      <c r="AE723" s="189"/>
      <c r="AF723" s="189"/>
      <c r="AG723" s="189"/>
      <c r="AH723" s="189"/>
      <c r="AI723" s="45"/>
      <c r="AJ723" s="45"/>
    </row>
    <row r="724" spans="16:36" x14ac:dyDescent="0.2">
      <c r="P724" s="73"/>
      <c r="W724" s="84"/>
      <c r="AA724" s="45"/>
      <c r="AB724" s="45"/>
      <c r="AD724" s="189"/>
      <c r="AE724" s="189"/>
      <c r="AF724" s="189"/>
      <c r="AG724" s="189"/>
      <c r="AH724" s="189"/>
      <c r="AI724" s="45"/>
      <c r="AJ724" s="45"/>
    </row>
    <row r="725" spans="16:36" x14ac:dyDescent="0.2">
      <c r="P725" s="73"/>
      <c r="W725" s="84"/>
      <c r="AA725" s="45"/>
      <c r="AB725" s="45"/>
      <c r="AD725" s="189"/>
      <c r="AE725" s="189"/>
      <c r="AF725" s="189"/>
      <c r="AG725" s="189"/>
      <c r="AH725" s="189"/>
      <c r="AI725" s="45"/>
      <c r="AJ725" s="45"/>
    </row>
    <row r="726" spans="16:36" x14ac:dyDescent="0.2">
      <c r="P726" s="73"/>
      <c r="W726" s="84"/>
      <c r="AA726" s="45"/>
      <c r="AB726" s="45"/>
      <c r="AD726" s="189"/>
      <c r="AE726" s="189"/>
      <c r="AF726" s="189"/>
      <c r="AG726" s="189"/>
      <c r="AH726" s="189"/>
      <c r="AI726" s="45"/>
      <c r="AJ726" s="45"/>
    </row>
    <row r="727" spans="16:36" x14ac:dyDescent="0.2">
      <c r="P727" s="73"/>
      <c r="W727" s="84"/>
      <c r="AA727" s="45"/>
      <c r="AB727" s="45"/>
      <c r="AD727" s="189"/>
      <c r="AE727" s="189"/>
      <c r="AF727" s="189"/>
      <c r="AG727" s="189"/>
      <c r="AH727" s="189"/>
      <c r="AI727" s="45"/>
      <c r="AJ727" s="45"/>
    </row>
    <row r="728" spans="16:36" x14ac:dyDescent="0.2">
      <c r="P728" s="73"/>
      <c r="W728" s="84"/>
      <c r="AA728" s="45"/>
      <c r="AB728" s="45"/>
      <c r="AD728" s="189"/>
      <c r="AE728" s="189"/>
      <c r="AF728" s="189"/>
      <c r="AG728" s="189"/>
      <c r="AH728" s="189"/>
      <c r="AI728" s="45"/>
      <c r="AJ728" s="45"/>
    </row>
    <row r="729" spans="16:36" x14ac:dyDescent="0.2">
      <c r="P729" s="73"/>
      <c r="W729" s="84"/>
      <c r="AA729" s="45"/>
      <c r="AB729" s="45"/>
      <c r="AD729" s="189"/>
      <c r="AE729" s="189"/>
      <c r="AF729" s="189"/>
      <c r="AG729" s="189"/>
      <c r="AH729" s="189"/>
      <c r="AI729" s="45"/>
      <c r="AJ729" s="45"/>
    </row>
    <row r="730" spans="16:36" x14ac:dyDescent="0.2">
      <c r="P730" s="73"/>
      <c r="W730" s="84"/>
      <c r="AA730" s="45"/>
      <c r="AB730" s="45"/>
      <c r="AD730" s="189"/>
      <c r="AE730" s="189"/>
      <c r="AF730" s="189"/>
      <c r="AG730" s="189"/>
      <c r="AH730" s="189"/>
      <c r="AI730" s="45"/>
      <c r="AJ730" s="45"/>
    </row>
    <row r="731" spans="16:36" x14ac:dyDescent="0.2">
      <c r="P731" s="73"/>
      <c r="W731" s="84"/>
      <c r="AA731" s="45"/>
      <c r="AB731" s="45"/>
      <c r="AD731" s="189"/>
      <c r="AE731" s="189"/>
      <c r="AF731" s="189"/>
      <c r="AG731" s="189"/>
      <c r="AH731" s="189"/>
      <c r="AI731" s="45"/>
      <c r="AJ731" s="45"/>
    </row>
    <row r="732" spans="16:36" x14ac:dyDescent="0.2">
      <c r="P732" s="73"/>
      <c r="W732" s="84"/>
      <c r="AA732" s="45"/>
      <c r="AB732" s="45"/>
      <c r="AD732" s="189"/>
      <c r="AE732" s="189"/>
      <c r="AF732" s="189"/>
      <c r="AG732" s="189"/>
      <c r="AH732" s="189"/>
      <c r="AI732" s="45"/>
      <c r="AJ732" s="45"/>
    </row>
    <row r="733" spans="16:36" x14ac:dyDescent="0.2">
      <c r="P733" s="73"/>
      <c r="W733" s="84"/>
      <c r="AA733" s="45"/>
      <c r="AB733" s="45"/>
      <c r="AD733" s="189"/>
      <c r="AE733" s="189"/>
      <c r="AF733" s="189"/>
      <c r="AG733" s="189"/>
      <c r="AH733" s="189"/>
      <c r="AI733" s="45"/>
      <c r="AJ733" s="45"/>
    </row>
    <row r="734" spans="16:36" x14ac:dyDescent="0.2">
      <c r="P734" s="73"/>
      <c r="W734" s="84"/>
      <c r="AA734" s="45"/>
      <c r="AB734" s="45"/>
      <c r="AD734" s="189"/>
      <c r="AE734" s="189"/>
      <c r="AF734" s="189"/>
      <c r="AG734" s="189"/>
      <c r="AH734" s="189"/>
      <c r="AI734" s="45"/>
      <c r="AJ734" s="45"/>
    </row>
    <row r="735" spans="16:36" x14ac:dyDescent="0.2">
      <c r="P735" s="73"/>
      <c r="W735" s="84"/>
      <c r="AA735" s="45"/>
      <c r="AB735" s="45"/>
      <c r="AD735" s="189"/>
      <c r="AE735" s="189"/>
      <c r="AF735" s="189"/>
      <c r="AG735" s="189"/>
      <c r="AH735" s="189"/>
      <c r="AI735" s="45"/>
      <c r="AJ735" s="45"/>
    </row>
    <row r="736" spans="16:36" x14ac:dyDescent="0.2">
      <c r="P736" s="73"/>
      <c r="W736" s="84"/>
      <c r="AA736" s="45"/>
      <c r="AB736" s="45"/>
      <c r="AD736" s="189"/>
      <c r="AE736" s="189"/>
      <c r="AF736" s="189"/>
      <c r="AG736" s="189"/>
      <c r="AH736" s="189"/>
      <c r="AI736" s="45"/>
      <c r="AJ736" s="45"/>
    </row>
    <row r="737" spans="16:36" x14ac:dyDescent="0.2">
      <c r="P737" s="73"/>
      <c r="W737" s="84"/>
      <c r="AA737" s="45"/>
      <c r="AB737" s="45"/>
      <c r="AD737" s="189"/>
      <c r="AE737" s="189"/>
      <c r="AF737" s="189"/>
      <c r="AG737" s="189"/>
      <c r="AH737" s="189"/>
      <c r="AI737" s="45"/>
      <c r="AJ737" s="45"/>
    </row>
    <row r="738" spans="16:36" x14ac:dyDescent="0.2">
      <c r="P738" s="73"/>
      <c r="W738" s="84"/>
      <c r="AA738" s="45"/>
      <c r="AB738" s="45"/>
      <c r="AD738" s="189"/>
      <c r="AE738" s="189"/>
      <c r="AF738" s="189"/>
      <c r="AG738" s="189"/>
      <c r="AH738" s="189"/>
      <c r="AI738" s="45"/>
      <c r="AJ738" s="45"/>
    </row>
    <row r="739" spans="16:36" x14ac:dyDescent="0.2">
      <c r="P739" s="73"/>
      <c r="W739" s="84"/>
      <c r="AA739" s="45"/>
      <c r="AB739" s="45"/>
      <c r="AD739" s="189"/>
      <c r="AE739" s="189"/>
      <c r="AF739" s="189"/>
      <c r="AG739" s="189"/>
      <c r="AH739" s="189"/>
      <c r="AI739" s="45"/>
      <c r="AJ739" s="45"/>
    </row>
    <row r="740" spans="16:36" x14ac:dyDescent="0.2">
      <c r="P740" s="73"/>
      <c r="W740" s="84"/>
      <c r="AA740" s="45"/>
      <c r="AB740" s="45"/>
      <c r="AD740" s="189"/>
      <c r="AE740" s="189"/>
      <c r="AF740" s="189"/>
      <c r="AG740" s="189"/>
      <c r="AH740" s="189"/>
      <c r="AI740" s="45"/>
      <c r="AJ740" s="45"/>
    </row>
    <row r="741" spans="16:36" x14ac:dyDescent="0.2">
      <c r="P741" s="73"/>
      <c r="W741" s="84"/>
      <c r="AA741" s="45"/>
      <c r="AB741" s="45"/>
      <c r="AD741" s="189"/>
      <c r="AE741" s="189"/>
      <c r="AF741" s="189"/>
      <c r="AG741" s="189"/>
      <c r="AH741" s="189"/>
      <c r="AI741" s="45"/>
      <c r="AJ741" s="45"/>
    </row>
    <row r="742" spans="16:36" x14ac:dyDescent="0.2">
      <c r="P742" s="73"/>
      <c r="W742" s="84"/>
      <c r="AA742" s="45"/>
      <c r="AB742" s="45"/>
      <c r="AD742" s="189"/>
      <c r="AE742" s="189"/>
      <c r="AF742" s="189"/>
      <c r="AG742" s="189"/>
      <c r="AH742" s="189"/>
      <c r="AI742" s="45"/>
      <c r="AJ742" s="45"/>
    </row>
    <row r="743" spans="16:36" x14ac:dyDescent="0.2">
      <c r="P743" s="73"/>
      <c r="W743" s="84"/>
      <c r="AA743" s="45"/>
      <c r="AB743" s="45"/>
      <c r="AD743" s="189"/>
      <c r="AE743" s="189"/>
      <c r="AF743" s="189"/>
      <c r="AG743" s="189"/>
      <c r="AH743" s="189"/>
      <c r="AI743" s="45"/>
      <c r="AJ743" s="45"/>
    </row>
    <row r="744" spans="16:36" x14ac:dyDescent="0.2">
      <c r="P744" s="73"/>
      <c r="W744" s="84"/>
      <c r="AA744" s="45"/>
      <c r="AB744" s="45"/>
      <c r="AD744" s="189"/>
      <c r="AE744" s="189"/>
      <c r="AF744" s="189"/>
      <c r="AG744" s="189"/>
      <c r="AH744" s="189"/>
      <c r="AI744" s="45"/>
      <c r="AJ744" s="45"/>
    </row>
    <row r="745" spans="16:36" x14ac:dyDescent="0.2">
      <c r="P745" s="73"/>
      <c r="W745" s="84"/>
      <c r="AA745" s="45"/>
      <c r="AB745" s="45"/>
      <c r="AD745" s="189"/>
      <c r="AE745" s="189"/>
      <c r="AF745" s="189"/>
      <c r="AG745" s="189"/>
      <c r="AH745" s="189"/>
      <c r="AI745" s="45"/>
      <c r="AJ745" s="45"/>
    </row>
    <row r="746" spans="16:36" x14ac:dyDescent="0.2">
      <c r="P746" s="73"/>
      <c r="W746" s="84"/>
      <c r="AA746" s="45"/>
      <c r="AB746" s="45"/>
      <c r="AD746" s="189"/>
      <c r="AE746" s="189"/>
      <c r="AF746" s="189"/>
      <c r="AG746" s="189"/>
      <c r="AH746" s="189"/>
      <c r="AI746" s="45"/>
      <c r="AJ746" s="45"/>
    </row>
    <row r="747" spans="16:36" x14ac:dyDescent="0.2">
      <c r="P747" s="73"/>
      <c r="W747" s="84"/>
      <c r="AA747" s="45"/>
      <c r="AB747" s="45"/>
      <c r="AD747" s="189"/>
      <c r="AE747" s="189"/>
      <c r="AF747" s="189"/>
      <c r="AG747" s="189"/>
      <c r="AH747" s="189"/>
      <c r="AI747" s="45"/>
      <c r="AJ747" s="45"/>
    </row>
    <row r="748" spans="16:36" x14ac:dyDescent="0.2">
      <c r="P748" s="73"/>
      <c r="W748" s="84"/>
      <c r="AA748" s="45"/>
      <c r="AB748" s="45"/>
      <c r="AD748" s="189"/>
      <c r="AE748" s="189"/>
      <c r="AF748" s="189"/>
      <c r="AG748" s="189"/>
      <c r="AH748" s="189"/>
      <c r="AI748" s="45"/>
      <c r="AJ748" s="45"/>
    </row>
    <row r="749" spans="16:36" x14ac:dyDescent="0.2">
      <c r="P749" s="73"/>
      <c r="W749" s="84"/>
      <c r="AA749" s="45"/>
      <c r="AB749" s="45"/>
      <c r="AD749" s="189"/>
      <c r="AE749" s="189"/>
      <c r="AF749" s="189"/>
      <c r="AG749" s="189"/>
      <c r="AH749" s="189"/>
      <c r="AI749" s="45"/>
      <c r="AJ749" s="45"/>
    </row>
    <row r="750" spans="16:36" x14ac:dyDescent="0.2">
      <c r="P750" s="73"/>
      <c r="W750" s="84"/>
      <c r="AA750" s="45"/>
      <c r="AB750" s="45"/>
      <c r="AD750" s="189"/>
      <c r="AE750" s="189"/>
      <c r="AF750" s="189"/>
      <c r="AG750" s="189"/>
      <c r="AH750" s="189"/>
      <c r="AI750" s="45"/>
      <c r="AJ750" s="45"/>
    </row>
    <row r="751" spans="16:36" x14ac:dyDescent="0.2">
      <c r="P751" s="73"/>
      <c r="W751" s="84"/>
      <c r="AA751" s="45"/>
      <c r="AB751" s="45"/>
      <c r="AD751" s="189"/>
      <c r="AE751" s="189"/>
      <c r="AF751" s="189"/>
      <c r="AG751" s="189"/>
      <c r="AH751" s="189"/>
      <c r="AI751" s="45"/>
      <c r="AJ751" s="45"/>
    </row>
    <row r="752" spans="16:36" x14ac:dyDescent="0.2">
      <c r="P752" s="73"/>
      <c r="W752" s="84"/>
      <c r="AA752" s="45"/>
      <c r="AB752" s="45"/>
      <c r="AD752" s="189"/>
      <c r="AE752" s="189"/>
      <c r="AF752" s="189"/>
      <c r="AG752" s="189"/>
      <c r="AH752" s="189"/>
      <c r="AI752" s="45"/>
      <c r="AJ752" s="45"/>
    </row>
    <row r="753" spans="16:36" x14ac:dyDescent="0.2">
      <c r="P753" s="73"/>
      <c r="W753" s="84"/>
      <c r="AA753" s="45"/>
      <c r="AB753" s="45"/>
      <c r="AD753" s="189"/>
      <c r="AE753" s="189"/>
      <c r="AF753" s="189"/>
      <c r="AG753" s="189"/>
      <c r="AH753" s="189"/>
      <c r="AI753" s="45"/>
      <c r="AJ753" s="45"/>
    </row>
    <row r="754" spans="16:36" x14ac:dyDescent="0.2">
      <c r="P754" s="73"/>
      <c r="W754" s="84"/>
      <c r="AA754" s="45"/>
      <c r="AB754" s="45"/>
      <c r="AD754" s="189"/>
      <c r="AE754" s="189"/>
      <c r="AF754" s="189"/>
      <c r="AG754" s="189"/>
      <c r="AH754" s="189"/>
      <c r="AI754" s="45"/>
      <c r="AJ754" s="45"/>
    </row>
    <row r="755" spans="16:36" x14ac:dyDescent="0.2">
      <c r="P755" s="73"/>
      <c r="W755" s="84"/>
      <c r="AA755" s="45"/>
      <c r="AB755" s="45"/>
      <c r="AD755" s="189"/>
      <c r="AE755" s="189"/>
      <c r="AF755" s="189"/>
      <c r="AG755" s="189"/>
      <c r="AH755" s="189"/>
      <c r="AI755" s="45"/>
      <c r="AJ755" s="45"/>
    </row>
    <row r="756" spans="16:36" x14ac:dyDescent="0.2">
      <c r="P756" s="73"/>
      <c r="W756" s="84"/>
      <c r="AA756" s="45"/>
      <c r="AB756" s="45"/>
      <c r="AD756" s="189"/>
      <c r="AE756" s="189"/>
      <c r="AF756" s="189"/>
      <c r="AG756" s="189"/>
      <c r="AH756" s="189"/>
      <c r="AI756" s="45"/>
      <c r="AJ756" s="45"/>
    </row>
    <row r="757" spans="16:36" x14ac:dyDescent="0.2">
      <c r="P757" s="73"/>
      <c r="W757" s="84"/>
      <c r="AA757" s="45"/>
      <c r="AB757" s="45"/>
      <c r="AD757" s="189"/>
      <c r="AE757" s="189"/>
      <c r="AF757" s="189"/>
      <c r="AG757" s="189"/>
      <c r="AH757" s="189"/>
      <c r="AI757" s="45"/>
      <c r="AJ757" s="45"/>
    </row>
    <row r="758" spans="16:36" x14ac:dyDescent="0.2">
      <c r="P758" s="73"/>
      <c r="W758" s="84"/>
      <c r="AA758" s="45"/>
      <c r="AB758" s="45"/>
      <c r="AD758" s="189"/>
      <c r="AE758" s="189"/>
      <c r="AF758" s="189"/>
      <c r="AG758" s="189"/>
      <c r="AH758" s="189"/>
      <c r="AI758" s="45"/>
      <c r="AJ758" s="45"/>
    </row>
    <row r="759" spans="16:36" x14ac:dyDescent="0.2">
      <c r="P759" s="73"/>
      <c r="W759" s="84"/>
      <c r="AA759" s="45"/>
      <c r="AB759" s="45"/>
      <c r="AD759" s="189"/>
      <c r="AE759" s="189"/>
      <c r="AF759" s="189"/>
      <c r="AG759" s="189"/>
      <c r="AH759" s="189"/>
      <c r="AI759" s="45"/>
      <c r="AJ759" s="45"/>
    </row>
    <row r="760" spans="16:36" x14ac:dyDescent="0.2">
      <c r="P760" s="73"/>
      <c r="W760" s="84"/>
      <c r="AA760" s="45"/>
      <c r="AB760" s="45"/>
      <c r="AD760" s="189"/>
      <c r="AE760" s="189"/>
      <c r="AF760" s="189"/>
      <c r="AG760" s="189"/>
      <c r="AH760" s="189"/>
      <c r="AI760" s="45"/>
      <c r="AJ760" s="45"/>
    </row>
    <row r="761" spans="16:36" x14ac:dyDescent="0.2">
      <c r="P761" s="73"/>
      <c r="W761" s="84"/>
      <c r="AA761" s="45"/>
      <c r="AB761" s="45"/>
      <c r="AD761" s="189"/>
      <c r="AE761" s="189"/>
      <c r="AF761" s="189"/>
      <c r="AG761" s="189"/>
      <c r="AH761" s="189"/>
      <c r="AI761" s="45"/>
      <c r="AJ761" s="45"/>
    </row>
    <row r="762" spans="16:36" x14ac:dyDescent="0.2">
      <c r="P762" s="73"/>
      <c r="W762" s="84"/>
      <c r="AA762" s="45"/>
      <c r="AB762" s="45"/>
      <c r="AD762" s="189"/>
      <c r="AE762" s="189"/>
      <c r="AF762" s="189"/>
      <c r="AG762" s="189"/>
      <c r="AH762" s="189"/>
      <c r="AI762" s="45"/>
      <c r="AJ762" s="45"/>
    </row>
    <row r="763" spans="16:36" x14ac:dyDescent="0.2">
      <c r="P763" s="73"/>
      <c r="W763" s="84"/>
      <c r="AA763" s="45"/>
      <c r="AB763" s="45"/>
      <c r="AD763" s="189"/>
      <c r="AE763" s="189"/>
      <c r="AF763" s="189"/>
      <c r="AG763" s="189"/>
      <c r="AH763" s="189"/>
      <c r="AI763" s="45"/>
      <c r="AJ763" s="45"/>
    </row>
    <row r="764" spans="16:36" x14ac:dyDescent="0.2">
      <c r="P764" s="73"/>
      <c r="W764" s="84"/>
      <c r="AA764" s="45"/>
      <c r="AB764" s="45"/>
      <c r="AD764" s="189"/>
      <c r="AE764" s="189"/>
      <c r="AF764" s="189"/>
      <c r="AG764" s="189"/>
      <c r="AH764" s="189"/>
      <c r="AI764" s="45"/>
      <c r="AJ764" s="45"/>
    </row>
    <row r="765" spans="16:36" x14ac:dyDescent="0.2">
      <c r="P765" s="73"/>
      <c r="W765" s="84"/>
      <c r="AA765" s="45"/>
      <c r="AB765" s="45"/>
      <c r="AD765" s="189"/>
      <c r="AE765" s="189"/>
      <c r="AF765" s="189"/>
      <c r="AG765" s="189"/>
      <c r="AH765" s="189"/>
      <c r="AI765" s="45"/>
      <c r="AJ765" s="45"/>
    </row>
    <row r="766" spans="16:36" x14ac:dyDescent="0.2">
      <c r="P766" s="73"/>
      <c r="W766" s="84"/>
      <c r="AA766" s="45"/>
      <c r="AB766" s="45"/>
      <c r="AD766" s="189"/>
      <c r="AE766" s="189"/>
      <c r="AF766" s="189"/>
      <c r="AG766" s="189"/>
      <c r="AH766" s="189"/>
      <c r="AI766" s="45"/>
      <c r="AJ766" s="45"/>
    </row>
    <row r="767" spans="16:36" x14ac:dyDescent="0.2">
      <c r="P767" s="73"/>
      <c r="W767" s="84"/>
      <c r="AA767" s="45"/>
      <c r="AB767" s="45"/>
      <c r="AD767" s="189"/>
      <c r="AE767" s="189"/>
      <c r="AF767" s="189"/>
      <c r="AG767" s="189"/>
      <c r="AH767" s="189"/>
      <c r="AI767" s="45"/>
      <c r="AJ767" s="45"/>
    </row>
    <row r="768" spans="16:36" x14ac:dyDescent="0.2">
      <c r="P768" s="73"/>
      <c r="W768" s="84"/>
      <c r="AA768" s="45"/>
      <c r="AB768" s="45"/>
      <c r="AD768" s="189"/>
      <c r="AE768" s="189"/>
      <c r="AF768" s="189"/>
      <c r="AG768" s="189"/>
      <c r="AH768" s="189"/>
      <c r="AI768" s="45"/>
      <c r="AJ768" s="45"/>
    </row>
    <row r="769" spans="16:36" x14ac:dyDescent="0.2">
      <c r="P769" s="73"/>
      <c r="W769" s="84"/>
      <c r="AA769" s="45"/>
      <c r="AB769" s="45"/>
      <c r="AD769" s="189"/>
      <c r="AE769" s="189"/>
      <c r="AF769" s="189"/>
      <c r="AG769" s="189"/>
      <c r="AH769" s="189"/>
      <c r="AI769" s="45"/>
      <c r="AJ769" s="45"/>
    </row>
    <row r="770" spans="16:36" x14ac:dyDescent="0.2">
      <c r="P770" s="73"/>
      <c r="W770" s="84"/>
      <c r="AA770" s="45"/>
      <c r="AB770" s="45"/>
      <c r="AD770" s="189"/>
      <c r="AE770" s="189"/>
      <c r="AF770" s="189"/>
      <c r="AG770" s="189"/>
      <c r="AH770" s="189"/>
      <c r="AI770" s="45"/>
      <c r="AJ770" s="45"/>
    </row>
    <row r="771" spans="16:36" x14ac:dyDescent="0.2">
      <c r="P771" s="73"/>
      <c r="W771" s="84"/>
      <c r="AA771" s="45"/>
      <c r="AB771" s="45"/>
      <c r="AD771" s="189"/>
      <c r="AE771" s="189"/>
      <c r="AF771" s="189"/>
      <c r="AG771" s="189"/>
      <c r="AH771" s="189"/>
      <c r="AI771" s="45"/>
      <c r="AJ771" s="45"/>
    </row>
    <row r="772" spans="16:36" x14ac:dyDescent="0.2">
      <c r="P772" s="73"/>
      <c r="W772" s="84"/>
      <c r="AA772" s="45"/>
      <c r="AB772" s="45"/>
      <c r="AD772" s="189"/>
      <c r="AE772" s="189"/>
      <c r="AF772" s="189"/>
      <c r="AG772" s="189"/>
      <c r="AH772" s="189"/>
      <c r="AI772" s="45"/>
      <c r="AJ772" s="45"/>
    </row>
    <row r="773" spans="16:36" x14ac:dyDescent="0.2">
      <c r="P773" s="73"/>
      <c r="W773" s="84"/>
      <c r="AA773" s="45"/>
      <c r="AB773" s="45"/>
      <c r="AD773" s="189"/>
      <c r="AE773" s="189"/>
      <c r="AF773" s="189"/>
      <c r="AG773" s="189"/>
      <c r="AH773" s="189"/>
      <c r="AI773" s="45"/>
      <c r="AJ773" s="45"/>
    </row>
    <row r="774" spans="16:36" x14ac:dyDescent="0.2">
      <c r="P774" s="73"/>
      <c r="W774" s="84"/>
      <c r="AA774" s="45"/>
      <c r="AB774" s="45"/>
      <c r="AD774" s="189"/>
      <c r="AE774" s="189"/>
      <c r="AF774" s="189"/>
      <c r="AG774" s="189"/>
      <c r="AH774" s="189"/>
      <c r="AI774" s="45"/>
      <c r="AJ774" s="45"/>
    </row>
    <row r="775" spans="16:36" x14ac:dyDescent="0.2">
      <c r="P775" s="73"/>
      <c r="W775" s="84"/>
      <c r="AA775" s="45"/>
      <c r="AB775" s="45"/>
      <c r="AD775" s="189"/>
      <c r="AE775" s="189"/>
      <c r="AF775" s="189"/>
      <c r="AG775" s="189"/>
      <c r="AH775" s="189"/>
      <c r="AI775" s="45"/>
      <c r="AJ775" s="45"/>
    </row>
    <row r="776" spans="16:36" x14ac:dyDescent="0.2">
      <c r="P776" s="73"/>
      <c r="W776" s="84"/>
      <c r="AA776" s="45"/>
      <c r="AB776" s="45"/>
      <c r="AD776" s="189"/>
      <c r="AE776" s="189"/>
      <c r="AF776" s="189"/>
      <c r="AG776" s="189"/>
      <c r="AH776" s="189"/>
      <c r="AI776" s="45"/>
      <c r="AJ776" s="45"/>
    </row>
    <row r="777" spans="16:36" x14ac:dyDescent="0.2">
      <c r="P777" s="73"/>
      <c r="W777" s="84"/>
      <c r="AA777" s="45"/>
      <c r="AB777" s="45"/>
      <c r="AD777" s="189"/>
      <c r="AE777" s="189"/>
      <c r="AF777" s="189"/>
      <c r="AG777" s="189"/>
      <c r="AH777" s="189"/>
      <c r="AI777" s="45"/>
      <c r="AJ777" s="45"/>
    </row>
    <row r="778" spans="16:36" x14ac:dyDescent="0.2">
      <c r="P778" s="73"/>
      <c r="W778" s="84"/>
      <c r="AA778" s="45"/>
      <c r="AB778" s="45"/>
      <c r="AD778" s="189"/>
      <c r="AE778" s="189"/>
      <c r="AF778" s="189"/>
      <c r="AG778" s="189"/>
      <c r="AH778" s="189"/>
      <c r="AI778" s="45"/>
      <c r="AJ778" s="45"/>
    </row>
    <row r="779" spans="16:36" x14ac:dyDescent="0.2">
      <c r="P779" s="73"/>
      <c r="W779" s="84"/>
      <c r="AA779" s="45"/>
      <c r="AB779" s="45"/>
      <c r="AD779" s="189"/>
      <c r="AE779" s="189"/>
      <c r="AF779" s="189"/>
      <c r="AG779" s="189"/>
      <c r="AH779" s="189"/>
      <c r="AI779" s="45"/>
      <c r="AJ779" s="45"/>
    </row>
    <row r="780" spans="16:36" x14ac:dyDescent="0.2">
      <c r="P780" s="73"/>
      <c r="W780" s="84"/>
      <c r="AA780" s="45"/>
      <c r="AB780" s="45"/>
      <c r="AD780" s="189"/>
      <c r="AE780" s="189"/>
      <c r="AF780" s="189"/>
      <c r="AG780" s="189"/>
      <c r="AH780" s="189"/>
      <c r="AI780" s="45"/>
      <c r="AJ780" s="45"/>
    </row>
    <row r="781" spans="16:36" x14ac:dyDescent="0.2">
      <c r="P781" s="73"/>
      <c r="W781" s="84"/>
      <c r="AA781" s="45"/>
      <c r="AB781" s="45"/>
      <c r="AD781" s="189"/>
      <c r="AE781" s="189"/>
      <c r="AF781" s="189"/>
      <c r="AG781" s="189"/>
      <c r="AH781" s="189"/>
      <c r="AI781" s="45"/>
      <c r="AJ781" s="45"/>
    </row>
    <row r="782" spans="16:36" x14ac:dyDescent="0.2">
      <c r="P782" s="73"/>
      <c r="W782" s="84"/>
      <c r="AA782" s="45"/>
      <c r="AB782" s="45"/>
      <c r="AD782" s="189"/>
      <c r="AE782" s="189"/>
      <c r="AF782" s="189"/>
      <c r="AG782" s="189"/>
      <c r="AH782" s="189"/>
      <c r="AI782" s="45"/>
      <c r="AJ782" s="45"/>
    </row>
    <row r="783" spans="16:36" x14ac:dyDescent="0.2">
      <c r="P783" s="73"/>
      <c r="W783" s="84"/>
      <c r="AA783" s="45"/>
      <c r="AB783" s="45"/>
      <c r="AD783" s="189"/>
      <c r="AE783" s="189"/>
      <c r="AF783" s="189"/>
      <c r="AG783" s="189"/>
      <c r="AH783" s="189"/>
      <c r="AI783" s="45"/>
      <c r="AJ783" s="45"/>
    </row>
    <row r="784" spans="16:36" x14ac:dyDescent="0.2">
      <c r="P784" s="73"/>
      <c r="W784" s="84"/>
      <c r="AA784" s="45"/>
      <c r="AB784" s="45"/>
      <c r="AD784" s="189"/>
      <c r="AE784" s="189"/>
      <c r="AF784" s="189"/>
      <c r="AG784" s="189"/>
      <c r="AH784" s="189"/>
      <c r="AI784" s="45"/>
      <c r="AJ784" s="45"/>
    </row>
    <row r="785" spans="16:36" x14ac:dyDescent="0.2">
      <c r="P785" s="73"/>
      <c r="W785" s="84"/>
      <c r="AA785" s="45"/>
      <c r="AB785" s="45"/>
      <c r="AD785" s="189"/>
      <c r="AE785" s="189"/>
      <c r="AF785" s="189"/>
      <c r="AG785" s="189"/>
      <c r="AH785" s="189"/>
      <c r="AI785" s="45"/>
      <c r="AJ785" s="45"/>
    </row>
    <row r="786" spans="16:36" x14ac:dyDescent="0.2">
      <c r="P786" s="73"/>
      <c r="W786" s="84"/>
      <c r="AA786" s="45"/>
      <c r="AB786" s="45"/>
      <c r="AD786" s="189"/>
      <c r="AE786" s="189"/>
      <c r="AF786" s="189"/>
      <c r="AG786" s="189"/>
      <c r="AH786" s="189"/>
      <c r="AI786" s="45"/>
      <c r="AJ786" s="45"/>
    </row>
    <row r="787" spans="16:36" x14ac:dyDescent="0.2">
      <c r="P787" s="73"/>
      <c r="W787" s="84"/>
      <c r="AA787" s="45"/>
      <c r="AB787" s="45"/>
      <c r="AD787" s="189"/>
      <c r="AE787" s="189"/>
      <c r="AF787" s="189"/>
      <c r="AG787" s="189"/>
      <c r="AH787" s="189"/>
      <c r="AI787" s="45"/>
      <c r="AJ787" s="45"/>
    </row>
    <row r="788" spans="16:36" x14ac:dyDescent="0.2">
      <c r="P788" s="73"/>
      <c r="W788" s="84"/>
      <c r="AA788" s="45"/>
      <c r="AB788" s="45"/>
      <c r="AD788" s="189"/>
      <c r="AE788" s="189"/>
      <c r="AF788" s="189"/>
      <c r="AG788" s="189"/>
      <c r="AH788" s="189"/>
      <c r="AI788" s="45"/>
      <c r="AJ788" s="45"/>
    </row>
    <row r="789" spans="16:36" x14ac:dyDescent="0.2">
      <c r="P789" s="73"/>
      <c r="W789" s="84"/>
      <c r="AA789" s="45"/>
      <c r="AB789" s="45"/>
      <c r="AD789" s="189"/>
      <c r="AE789" s="189"/>
      <c r="AF789" s="189"/>
      <c r="AG789" s="189"/>
      <c r="AH789" s="189"/>
      <c r="AI789" s="45"/>
      <c r="AJ789" s="45"/>
    </row>
    <row r="790" spans="16:36" x14ac:dyDescent="0.2">
      <c r="P790" s="73"/>
      <c r="W790" s="84"/>
      <c r="AA790" s="45"/>
      <c r="AB790" s="45"/>
      <c r="AD790" s="189"/>
      <c r="AE790" s="189"/>
      <c r="AF790" s="189"/>
      <c r="AG790" s="189"/>
      <c r="AH790" s="189"/>
      <c r="AI790" s="45"/>
      <c r="AJ790" s="45"/>
    </row>
    <row r="791" spans="16:36" x14ac:dyDescent="0.2">
      <c r="P791" s="73"/>
      <c r="W791" s="84"/>
      <c r="AA791" s="45"/>
      <c r="AB791" s="45"/>
      <c r="AD791" s="189"/>
      <c r="AE791" s="189"/>
      <c r="AF791" s="189"/>
      <c r="AG791" s="189"/>
      <c r="AH791" s="189"/>
      <c r="AI791" s="45"/>
      <c r="AJ791" s="45"/>
    </row>
    <row r="792" spans="16:36" x14ac:dyDescent="0.2">
      <c r="P792" s="73"/>
      <c r="W792" s="84"/>
      <c r="AA792" s="45"/>
      <c r="AB792" s="45"/>
      <c r="AD792" s="189"/>
      <c r="AE792" s="189"/>
      <c r="AF792" s="189"/>
      <c r="AG792" s="189"/>
      <c r="AH792" s="189"/>
      <c r="AI792" s="45"/>
      <c r="AJ792" s="45"/>
    </row>
    <row r="793" spans="16:36" x14ac:dyDescent="0.2">
      <c r="P793" s="73"/>
      <c r="W793" s="84"/>
      <c r="AA793" s="45"/>
      <c r="AB793" s="45"/>
      <c r="AD793" s="189"/>
      <c r="AE793" s="189"/>
      <c r="AF793" s="189"/>
      <c r="AG793" s="189"/>
      <c r="AH793" s="189"/>
      <c r="AI793" s="45"/>
      <c r="AJ793" s="45"/>
    </row>
    <row r="794" spans="16:36" x14ac:dyDescent="0.2">
      <c r="P794" s="73"/>
      <c r="W794" s="84"/>
      <c r="AA794" s="45"/>
      <c r="AB794" s="45"/>
      <c r="AD794" s="189"/>
      <c r="AE794" s="189"/>
      <c r="AF794" s="189"/>
      <c r="AG794" s="189"/>
      <c r="AH794" s="189"/>
      <c r="AI794" s="45"/>
      <c r="AJ794" s="45"/>
    </row>
    <row r="795" spans="16:36" x14ac:dyDescent="0.2">
      <c r="P795" s="73"/>
      <c r="W795" s="84"/>
      <c r="AA795" s="45"/>
      <c r="AB795" s="45"/>
      <c r="AD795" s="189"/>
      <c r="AE795" s="189"/>
      <c r="AF795" s="189"/>
      <c r="AG795" s="189"/>
      <c r="AH795" s="189"/>
      <c r="AI795" s="45"/>
      <c r="AJ795" s="45"/>
    </row>
    <row r="796" spans="16:36" x14ac:dyDescent="0.2">
      <c r="P796" s="73"/>
      <c r="W796" s="84"/>
      <c r="AA796" s="45"/>
      <c r="AB796" s="45"/>
      <c r="AD796" s="189"/>
      <c r="AE796" s="189"/>
      <c r="AF796" s="189"/>
      <c r="AG796" s="189"/>
      <c r="AH796" s="189"/>
      <c r="AI796" s="45"/>
      <c r="AJ796" s="45"/>
    </row>
    <row r="797" spans="16:36" x14ac:dyDescent="0.2">
      <c r="P797" s="73"/>
      <c r="W797" s="84"/>
      <c r="AA797" s="45"/>
      <c r="AB797" s="45"/>
      <c r="AD797" s="189"/>
      <c r="AE797" s="189"/>
      <c r="AF797" s="189"/>
      <c r="AG797" s="189"/>
      <c r="AH797" s="189"/>
      <c r="AI797" s="45"/>
      <c r="AJ797" s="45"/>
    </row>
    <row r="798" spans="16:36" x14ac:dyDescent="0.2">
      <c r="P798" s="73"/>
      <c r="W798" s="84"/>
      <c r="AA798" s="45"/>
      <c r="AB798" s="45"/>
      <c r="AD798" s="189"/>
      <c r="AE798" s="189"/>
      <c r="AF798" s="189"/>
      <c r="AG798" s="189"/>
      <c r="AH798" s="189"/>
      <c r="AI798" s="45"/>
      <c r="AJ798" s="45"/>
    </row>
    <row r="799" spans="16:36" x14ac:dyDescent="0.2">
      <c r="P799" s="73"/>
      <c r="W799" s="84"/>
      <c r="AA799" s="45"/>
      <c r="AB799" s="45"/>
      <c r="AD799" s="189"/>
      <c r="AE799" s="189"/>
      <c r="AF799" s="189"/>
      <c r="AG799" s="189"/>
      <c r="AH799" s="189"/>
      <c r="AI799" s="45"/>
      <c r="AJ799" s="45"/>
    </row>
    <row r="800" spans="16:36" x14ac:dyDescent="0.2">
      <c r="P800" s="73"/>
      <c r="W800" s="84"/>
      <c r="AA800" s="45"/>
      <c r="AB800" s="45"/>
      <c r="AD800" s="189"/>
      <c r="AE800" s="189"/>
      <c r="AF800" s="189"/>
      <c r="AG800" s="189"/>
      <c r="AH800" s="189"/>
      <c r="AI800" s="45"/>
      <c r="AJ800" s="45"/>
    </row>
    <row r="801" spans="16:36" x14ac:dyDescent="0.2">
      <c r="P801" s="73"/>
      <c r="W801" s="84"/>
      <c r="AA801" s="45"/>
      <c r="AB801" s="45"/>
      <c r="AD801" s="189"/>
      <c r="AE801" s="189"/>
      <c r="AF801" s="189"/>
      <c r="AG801" s="189"/>
      <c r="AH801" s="189"/>
      <c r="AI801" s="45"/>
      <c r="AJ801" s="45"/>
    </row>
    <row r="802" spans="16:36" x14ac:dyDescent="0.2">
      <c r="P802" s="73"/>
      <c r="W802" s="84"/>
      <c r="AA802" s="45"/>
      <c r="AB802" s="45"/>
      <c r="AD802" s="189"/>
      <c r="AE802" s="189"/>
      <c r="AF802" s="189"/>
      <c r="AG802" s="189"/>
      <c r="AH802" s="189"/>
      <c r="AI802" s="45"/>
      <c r="AJ802" s="45"/>
    </row>
    <row r="803" spans="16:36" x14ac:dyDescent="0.2">
      <c r="P803" s="73"/>
      <c r="W803" s="84"/>
      <c r="AA803" s="45"/>
      <c r="AB803" s="45"/>
      <c r="AD803" s="189"/>
      <c r="AE803" s="189"/>
      <c r="AF803" s="189"/>
      <c r="AG803" s="189"/>
      <c r="AH803" s="189"/>
      <c r="AI803" s="45"/>
      <c r="AJ803" s="45"/>
    </row>
    <row r="804" spans="16:36" x14ac:dyDescent="0.2">
      <c r="P804" s="73"/>
      <c r="W804" s="84"/>
      <c r="AA804" s="45"/>
      <c r="AB804" s="45"/>
      <c r="AD804" s="189"/>
      <c r="AE804" s="189"/>
      <c r="AF804" s="189"/>
      <c r="AG804" s="189"/>
      <c r="AH804" s="189"/>
      <c r="AI804" s="45"/>
      <c r="AJ804" s="45"/>
    </row>
    <row r="805" spans="16:36" x14ac:dyDescent="0.2">
      <c r="P805" s="73"/>
      <c r="W805" s="84"/>
      <c r="AA805" s="45"/>
      <c r="AB805" s="45"/>
      <c r="AD805" s="189"/>
      <c r="AE805" s="189"/>
      <c r="AF805" s="189"/>
      <c r="AG805" s="189"/>
      <c r="AH805" s="189"/>
      <c r="AI805" s="45"/>
      <c r="AJ805" s="45"/>
    </row>
    <row r="806" spans="16:36" x14ac:dyDescent="0.2">
      <c r="P806" s="73"/>
      <c r="W806" s="84"/>
      <c r="AA806" s="45"/>
      <c r="AB806" s="45"/>
      <c r="AD806" s="189"/>
      <c r="AE806" s="189"/>
      <c r="AF806" s="189"/>
      <c r="AG806" s="189"/>
      <c r="AH806" s="189"/>
      <c r="AI806" s="45"/>
      <c r="AJ806" s="45"/>
    </row>
    <row r="807" spans="16:36" x14ac:dyDescent="0.2">
      <c r="P807" s="73"/>
      <c r="W807" s="84"/>
      <c r="AA807" s="45"/>
      <c r="AB807" s="45"/>
      <c r="AD807" s="189"/>
      <c r="AE807" s="189"/>
      <c r="AF807" s="189"/>
      <c r="AG807" s="189"/>
      <c r="AH807" s="189"/>
      <c r="AI807" s="45"/>
      <c r="AJ807" s="45"/>
    </row>
    <row r="808" spans="16:36" x14ac:dyDescent="0.2">
      <c r="P808" s="73"/>
      <c r="W808" s="84"/>
      <c r="AA808" s="45"/>
      <c r="AB808" s="45"/>
      <c r="AD808" s="189"/>
      <c r="AE808" s="189"/>
      <c r="AF808" s="189"/>
      <c r="AG808" s="189"/>
      <c r="AH808" s="189"/>
      <c r="AI808" s="45"/>
      <c r="AJ808" s="45"/>
    </row>
    <row r="809" spans="16:36" x14ac:dyDescent="0.2">
      <c r="P809" s="73"/>
      <c r="W809" s="84"/>
      <c r="AA809" s="45"/>
      <c r="AB809" s="45"/>
      <c r="AD809" s="189"/>
      <c r="AE809" s="189"/>
      <c r="AF809" s="189"/>
      <c r="AG809" s="189"/>
      <c r="AH809" s="189"/>
      <c r="AI809" s="45"/>
      <c r="AJ809" s="45"/>
    </row>
    <row r="810" spans="16:36" x14ac:dyDescent="0.2">
      <c r="P810" s="73"/>
      <c r="W810" s="84"/>
      <c r="AA810" s="45"/>
      <c r="AB810" s="45"/>
      <c r="AD810" s="189"/>
      <c r="AE810" s="189"/>
      <c r="AF810" s="189"/>
      <c r="AG810" s="189"/>
      <c r="AH810" s="189"/>
      <c r="AI810" s="45"/>
      <c r="AJ810" s="45"/>
    </row>
    <row r="811" spans="16:36" x14ac:dyDescent="0.2">
      <c r="P811" s="73"/>
      <c r="W811" s="84"/>
      <c r="AA811" s="45"/>
      <c r="AB811" s="45"/>
      <c r="AD811" s="189"/>
      <c r="AE811" s="189"/>
      <c r="AF811" s="189"/>
      <c r="AG811" s="189"/>
      <c r="AH811" s="189"/>
      <c r="AI811" s="45"/>
      <c r="AJ811" s="45"/>
    </row>
    <row r="812" spans="16:36" x14ac:dyDescent="0.2">
      <c r="P812" s="73"/>
      <c r="W812" s="84"/>
      <c r="AA812" s="45"/>
      <c r="AB812" s="45"/>
      <c r="AD812" s="189"/>
      <c r="AE812" s="189"/>
      <c r="AF812" s="189"/>
      <c r="AG812" s="189"/>
      <c r="AH812" s="189"/>
      <c r="AI812" s="45"/>
      <c r="AJ812" s="45"/>
    </row>
    <row r="813" spans="16:36" x14ac:dyDescent="0.2">
      <c r="P813" s="73"/>
      <c r="W813" s="84"/>
      <c r="AA813" s="45"/>
      <c r="AB813" s="45"/>
      <c r="AD813" s="189"/>
      <c r="AE813" s="189"/>
      <c r="AF813" s="189"/>
      <c r="AG813" s="189"/>
      <c r="AH813" s="189"/>
      <c r="AI813" s="45"/>
      <c r="AJ813" s="45"/>
    </row>
    <row r="814" spans="16:36" x14ac:dyDescent="0.2">
      <c r="P814" s="73"/>
      <c r="W814" s="84"/>
      <c r="AA814" s="45"/>
      <c r="AB814" s="45"/>
      <c r="AD814" s="189"/>
      <c r="AE814" s="189"/>
      <c r="AF814" s="189"/>
      <c r="AG814" s="189"/>
      <c r="AH814" s="189"/>
      <c r="AI814" s="45"/>
      <c r="AJ814" s="45"/>
    </row>
    <row r="815" spans="16:36" x14ac:dyDescent="0.2">
      <c r="P815" s="73"/>
      <c r="W815" s="84"/>
      <c r="AA815" s="45"/>
      <c r="AB815" s="45"/>
      <c r="AD815" s="189"/>
      <c r="AE815" s="189"/>
      <c r="AF815" s="189"/>
      <c r="AG815" s="189"/>
      <c r="AH815" s="189"/>
      <c r="AI815" s="45"/>
      <c r="AJ815" s="45"/>
    </row>
    <row r="816" spans="16:36" x14ac:dyDescent="0.2">
      <c r="P816" s="73"/>
      <c r="W816" s="84"/>
      <c r="AA816" s="45"/>
      <c r="AB816" s="45"/>
      <c r="AD816" s="189"/>
      <c r="AE816" s="189"/>
      <c r="AF816" s="189"/>
      <c r="AG816" s="189"/>
      <c r="AH816" s="189"/>
      <c r="AI816" s="45"/>
      <c r="AJ816" s="45"/>
    </row>
    <row r="817" spans="16:36" x14ac:dyDescent="0.2">
      <c r="P817" s="73"/>
      <c r="W817" s="84"/>
      <c r="AA817" s="45"/>
      <c r="AB817" s="45"/>
      <c r="AD817" s="189"/>
      <c r="AE817" s="189"/>
      <c r="AF817" s="189"/>
      <c r="AG817" s="189"/>
      <c r="AH817" s="189"/>
      <c r="AI817" s="45"/>
      <c r="AJ817" s="45"/>
    </row>
    <row r="818" spans="16:36" x14ac:dyDescent="0.2">
      <c r="P818" s="73"/>
      <c r="W818" s="84"/>
      <c r="AA818" s="45"/>
      <c r="AB818" s="45"/>
      <c r="AD818" s="189"/>
      <c r="AE818" s="189"/>
      <c r="AF818" s="189"/>
      <c r="AG818" s="189"/>
      <c r="AH818" s="189"/>
      <c r="AI818" s="45"/>
      <c r="AJ818" s="45"/>
    </row>
    <row r="819" spans="16:36" x14ac:dyDescent="0.2">
      <c r="P819" s="73"/>
      <c r="W819" s="84"/>
      <c r="AA819" s="45"/>
      <c r="AB819" s="45"/>
      <c r="AD819" s="189"/>
      <c r="AE819" s="189"/>
      <c r="AF819" s="189"/>
      <c r="AG819" s="189"/>
      <c r="AH819" s="189"/>
      <c r="AI819" s="45"/>
      <c r="AJ819" s="45"/>
    </row>
    <row r="820" spans="16:36" x14ac:dyDescent="0.2">
      <c r="P820" s="73"/>
      <c r="W820" s="84"/>
      <c r="AA820" s="45"/>
      <c r="AB820" s="45"/>
      <c r="AD820" s="189"/>
      <c r="AE820" s="189"/>
      <c r="AF820" s="189"/>
      <c r="AG820" s="189"/>
      <c r="AH820" s="189"/>
      <c r="AI820" s="45"/>
      <c r="AJ820" s="45"/>
    </row>
    <row r="821" spans="16:36" x14ac:dyDescent="0.2">
      <c r="P821" s="73"/>
      <c r="W821" s="84"/>
      <c r="AA821" s="45"/>
      <c r="AB821" s="45"/>
      <c r="AD821" s="189"/>
      <c r="AE821" s="189"/>
      <c r="AF821" s="189"/>
      <c r="AG821" s="189"/>
      <c r="AH821" s="189"/>
      <c r="AI821" s="45"/>
      <c r="AJ821" s="45"/>
    </row>
    <row r="822" spans="16:36" x14ac:dyDescent="0.2">
      <c r="P822" s="73"/>
      <c r="W822" s="84"/>
      <c r="AA822" s="45"/>
      <c r="AB822" s="45"/>
      <c r="AD822" s="189"/>
      <c r="AE822" s="189"/>
      <c r="AF822" s="189"/>
      <c r="AG822" s="189"/>
      <c r="AH822" s="189"/>
      <c r="AI822" s="45"/>
      <c r="AJ822" s="45"/>
    </row>
    <row r="823" spans="16:36" x14ac:dyDescent="0.2">
      <c r="P823" s="73"/>
      <c r="W823" s="84"/>
      <c r="AA823" s="45"/>
      <c r="AB823" s="45"/>
      <c r="AD823" s="189"/>
      <c r="AE823" s="189"/>
      <c r="AF823" s="189"/>
      <c r="AG823" s="189"/>
      <c r="AH823" s="189"/>
      <c r="AI823" s="45"/>
      <c r="AJ823" s="45"/>
    </row>
    <row r="824" spans="16:36" x14ac:dyDescent="0.2">
      <c r="P824" s="73"/>
      <c r="W824" s="84"/>
      <c r="AA824" s="45"/>
      <c r="AB824" s="45"/>
      <c r="AD824" s="189"/>
      <c r="AE824" s="189"/>
      <c r="AF824" s="189"/>
      <c r="AG824" s="189"/>
      <c r="AH824" s="189"/>
      <c r="AI824" s="45"/>
      <c r="AJ824" s="45"/>
    </row>
    <row r="825" spans="16:36" x14ac:dyDescent="0.2">
      <c r="P825" s="73"/>
      <c r="W825" s="84"/>
      <c r="AA825" s="45"/>
      <c r="AB825" s="45"/>
      <c r="AD825" s="189"/>
      <c r="AE825" s="189"/>
      <c r="AF825" s="189"/>
      <c r="AG825" s="189"/>
      <c r="AH825" s="189"/>
      <c r="AI825" s="45"/>
      <c r="AJ825" s="45"/>
    </row>
    <row r="826" spans="16:36" x14ac:dyDescent="0.2">
      <c r="P826" s="73"/>
      <c r="W826" s="84"/>
      <c r="AA826" s="45"/>
      <c r="AB826" s="45"/>
      <c r="AD826" s="189"/>
      <c r="AE826" s="189"/>
      <c r="AF826" s="189"/>
      <c r="AG826" s="189"/>
      <c r="AH826" s="189"/>
      <c r="AI826" s="45"/>
      <c r="AJ826" s="45"/>
    </row>
    <row r="827" spans="16:36" x14ac:dyDescent="0.2">
      <c r="P827" s="73"/>
      <c r="W827" s="84"/>
      <c r="AA827" s="45"/>
      <c r="AB827" s="45"/>
      <c r="AD827" s="189"/>
      <c r="AE827" s="189"/>
      <c r="AF827" s="189"/>
      <c r="AG827" s="189"/>
      <c r="AH827" s="189"/>
      <c r="AI827" s="45"/>
      <c r="AJ827" s="45"/>
    </row>
    <row r="828" spans="16:36" x14ac:dyDescent="0.2">
      <c r="P828" s="73"/>
      <c r="W828" s="84"/>
      <c r="AA828" s="45"/>
      <c r="AB828" s="45"/>
      <c r="AD828" s="189"/>
      <c r="AE828" s="189"/>
      <c r="AF828" s="189"/>
      <c r="AG828" s="189"/>
      <c r="AH828" s="189"/>
      <c r="AI828" s="45"/>
      <c r="AJ828" s="45"/>
    </row>
    <row r="829" spans="16:36" x14ac:dyDescent="0.2">
      <c r="P829" s="73"/>
      <c r="W829" s="84"/>
      <c r="AA829" s="45"/>
      <c r="AB829" s="45"/>
      <c r="AD829" s="189"/>
      <c r="AE829" s="189"/>
      <c r="AF829" s="189"/>
      <c r="AG829" s="189"/>
      <c r="AH829" s="189"/>
      <c r="AI829" s="45"/>
      <c r="AJ829" s="45"/>
    </row>
    <row r="830" spans="16:36" x14ac:dyDescent="0.2">
      <c r="P830" s="73"/>
      <c r="W830" s="84"/>
      <c r="AA830" s="45"/>
      <c r="AB830" s="45"/>
      <c r="AD830" s="189"/>
      <c r="AE830" s="189"/>
      <c r="AF830" s="189"/>
      <c r="AG830" s="189"/>
      <c r="AH830" s="189"/>
      <c r="AI830" s="45"/>
      <c r="AJ830" s="45"/>
    </row>
    <row r="831" spans="16:36" x14ac:dyDescent="0.2">
      <c r="P831" s="73"/>
      <c r="W831" s="84"/>
      <c r="AA831" s="45"/>
      <c r="AB831" s="45"/>
      <c r="AD831" s="189"/>
      <c r="AE831" s="189"/>
      <c r="AF831" s="189"/>
      <c r="AG831" s="189"/>
      <c r="AH831" s="189"/>
      <c r="AI831" s="45"/>
      <c r="AJ831" s="45"/>
    </row>
    <row r="832" spans="16:36" x14ac:dyDescent="0.2">
      <c r="P832" s="73"/>
      <c r="W832" s="84"/>
      <c r="AA832" s="45"/>
      <c r="AB832" s="45"/>
      <c r="AD832" s="189"/>
      <c r="AE832" s="189"/>
      <c r="AF832" s="189"/>
      <c r="AG832" s="189"/>
      <c r="AH832" s="189"/>
      <c r="AI832" s="45"/>
      <c r="AJ832" s="45"/>
    </row>
    <row r="833" spans="16:36" x14ac:dyDescent="0.2">
      <c r="P833" s="73"/>
      <c r="W833" s="84"/>
      <c r="AA833" s="45"/>
      <c r="AB833" s="45"/>
      <c r="AD833" s="189"/>
      <c r="AE833" s="189"/>
      <c r="AF833" s="189"/>
      <c r="AG833" s="189"/>
      <c r="AH833" s="189"/>
      <c r="AI833" s="45"/>
      <c r="AJ833" s="45"/>
    </row>
    <row r="834" spans="16:36" x14ac:dyDescent="0.2">
      <c r="P834" s="73"/>
      <c r="W834" s="84"/>
      <c r="AA834" s="45"/>
      <c r="AB834" s="45"/>
      <c r="AD834" s="189"/>
      <c r="AE834" s="189"/>
      <c r="AF834" s="189"/>
      <c r="AG834" s="189"/>
      <c r="AH834" s="189"/>
      <c r="AI834" s="45"/>
      <c r="AJ834" s="45"/>
    </row>
    <row r="835" spans="16:36" x14ac:dyDescent="0.2">
      <c r="P835" s="73"/>
      <c r="W835" s="84"/>
      <c r="AA835" s="45"/>
      <c r="AB835" s="45"/>
      <c r="AD835" s="189"/>
      <c r="AE835" s="189"/>
      <c r="AF835" s="189"/>
      <c r="AG835" s="189"/>
      <c r="AH835" s="189"/>
      <c r="AI835" s="45"/>
      <c r="AJ835" s="45"/>
    </row>
    <row r="836" spans="16:36" x14ac:dyDescent="0.2">
      <c r="P836" s="73"/>
      <c r="W836" s="84"/>
      <c r="AA836" s="45"/>
      <c r="AB836" s="45"/>
      <c r="AD836" s="189"/>
      <c r="AE836" s="189"/>
      <c r="AF836" s="189"/>
      <c r="AG836" s="189"/>
      <c r="AH836" s="189"/>
      <c r="AI836" s="45"/>
      <c r="AJ836" s="45"/>
    </row>
    <row r="837" spans="16:36" x14ac:dyDescent="0.2">
      <c r="P837" s="73"/>
      <c r="W837" s="84"/>
      <c r="AA837" s="45"/>
      <c r="AB837" s="45"/>
      <c r="AD837" s="189"/>
      <c r="AE837" s="189"/>
      <c r="AF837" s="189"/>
      <c r="AG837" s="189"/>
      <c r="AH837" s="189"/>
      <c r="AI837" s="45"/>
      <c r="AJ837" s="45"/>
    </row>
    <row r="838" spans="16:36" x14ac:dyDescent="0.2">
      <c r="P838" s="73"/>
      <c r="W838" s="84"/>
      <c r="AA838" s="45"/>
      <c r="AB838" s="45"/>
      <c r="AD838" s="189"/>
      <c r="AE838" s="189"/>
      <c r="AF838" s="189"/>
      <c r="AG838" s="189"/>
      <c r="AH838" s="189"/>
      <c r="AI838" s="45"/>
      <c r="AJ838" s="45"/>
    </row>
    <row r="839" spans="16:36" x14ac:dyDescent="0.2">
      <c r="P839" s="73"/>
      <c r="W839" s="84"/>
      <c r="AA839" s="45"/>
      <c r="AB839" s="45"/>
      <c r="AD839" s="189"/>
      <c r="AE839" s="189"/>
      <c r="AF839" s="189"/>
      <c r="AG839" s="189"/>
      <c r="AH839" s="189"/>
      <c r="AI839" s="45"/>
      <c r="AJ839" s="45"/>
    </row>
    <row r="840" spans="16:36" x14ac:dyDescent="0.2">
      <c r="P840" s="73"/>
      <c r="W840" s="84"/>
      <c r="AA840" s="45"/>
      <c r="AB840" s="45"/>
      <c r="AD840" s="189"/>
      <c r="AE840" s="189"/>
      <c r="AF840" s="189"/>
      <c r="AG840" s="189"/>
      <c r="AH840" s="189"/>
      <c r="AI840" s="45"/>
      <c r="AJ840" s="45"/>
    </row>
    <row r="841" spans="16:36" x14ac:dyDescent="0.2">
      <c r="P841" s="73"/>
      <c r="W841" s="84"/>
      <c r="AA841" s="45"/>
      <c r="AB841" s="45"/>
      <c r="AD841" s="189"/>
      <c r="AE841" s="189"/>
      <c r="AF841" s="189"/>
      <c r="AG841" s="189"/>
      <c r="AH841" s="189"/>
      <c r="AI841" s="45"/>
      <c r="AJ841" s="45"/>
    </row>
    <row r="842" spans="16:36" x14ac:dyDescent="0.2">
      <c r="P842" s="73"/>
      <c r="W842" s="84"/>
      <c r="AA842" s="45"/>
      <c r="AB842" s="45"/>
      <c r="AD842" s="189"/>
      <c r="AE842" s="189"/>
      <c r="AF842" s="189"/>
      <c r="AG842" s="189"/>
      <c r="AH842" s="189"/>
      <c r="AI842" s="45"/>
      <c r="AJ842" s="45"/>
    </row>
    <row r="843" spans="16:36" x14ac:dyDescent="0.2">
      <c r="P843" s="73"/>
      <c r="W843" s="84"/>
      <c r="AA843" s="45"/>
      <c r="AB843" s="45"/>
      <c r="AD843" s="189"/>
      <c r="AE843" s="189"/>
      <c r="AF843" s="189"/>
      <c r="AG843" s="189"/>
      <c r="AH843" s="189"/>
      <c r="AI843" s="45"/>
      <c r="AJ843" s="45"/>
    </row>
    <row r="844" spans="16:36" x14ac:dyDescent="0.2">
      <c r="P844" s="73"/>
      <c r="W844" s="84"/>
      <c r="AA844" s="45"/>
      <c r="AB844" s="45"/>
      <c r="AD844" s="189"/>
      <c r="AE844" s="189"/>
      <c r="AF844" s="189"/>
      <c r="AG844" s="189"/>
      <c r="AH844" s="189"/>
      <c r="AI844" s="45"/>
      <c r="AJ844" s="45"/>
    </row>
    <row r="845" spans="16:36" x14ac:dyDescent="0.2">
      <c r="P845" s="73"/>
      <c r="W845" s="84"/>
      <c r="AA845" s="45"/>
      <c r="AB845" s="45"/>
      <c r="AD845" s="189"/>
      <c r="AE845" s="189"/>
      <c r="AF845" s="189"/>
      <c r="AG845" s="189"/>
      <c r="AH845" s="189"/>
      <c r="AI845" s="45"/>
      <c r="AJ845" s="45"/>
    </row>
    <row r="846" spans="16:36" x14ac:dyDescent="0.2">
      <c r="P846" s="73"/>
      <c r="W846" s="84"/>
      <c r="AA846" s="45"/>
      <c r="AB846" s="45"/>
      <c r="AD846" s="189"/>
      <c r="AE846" s="189"/>
      <c r="AF846" s="189"/>
      <c r="AG846" s="189"/>
      <c r="AH846" s="189"/>
      <c r="AI846" s="45"/>
      <c r="AJ846" s="45"/>
    </row>
    <row r="847" spans="16:36" x14ac:dyDescent="0.2">
      <c r="P847" s="73"/>
      <c r="W847" s="84"/>
      <c r="AA847" s="45"/>
      <c r="AB847" s="45"/>
      <c r="AD847" s="189"/>
      <c r="AE847" s="189"/>
      <c r="AF847" s="189"/>
      <c r="AG847" s="189"/>
      <c r="AH847" s="189"/>
      <c r="AI847" s="45"/>
      <c r="AJ847" s="45"/>
    </row>
    <row r="848" spans="16:36" x14ac:dyDescent="0.2">
      <c r="P848" s="73"/>
      <c r="W848" s="84"/>
      <c r="AA848" s="45"/>
      <c r="AB848" s="45"/>
      <c r="AD848" s="189"/>
      <c r="AE848" s="189"/>
      <c r="AF848" s="189"/>
      <c r="AG848" s="189"/>
      <c r="AH848" s="189"/>
      <c r="AI848" s="45"/>
      <c r="AJ848" s="45"/>
    </row>
    <row r="849" spans="16:36" x14ac:dyDescent="0.2">
      <c r="P849" s="73"/>
      <c r="W849" s="84"/>
      <c r="AA849" s="45"/>
      <c r="AB849" s="45"/>
      <c r="AD849" s="189"/>
      <c r="AE849" s="189"/>
      <c r="AF849" s="189"/>
      <c r="AG849" s="189"/>
      <c r="AH849" s="189"/>
      <c r="AI849" s="45"/>
      <c r="AJ849" s="45"/>
    </row>
    <row r="850" spans="16:36" x14ac:dyDescent="0.2">
      <c r="P850" s="73"/>
      <c r="W850" s="84"/>
      <c r="AA850" s="45"/>
      <c r="AB850" s="45"/>
      <c r="AD850" s="189"/>
      <c r="AE850" s="189"/>
      <c r="AF850" s="189"/>
      <c r="AG850" s="189"/>
      <c r="AH850" s="189"/>
      <c r="AI850" s="45"/>
      <c r="AJ850" s="45"/>
    </row>
    <row r="851" spans="16:36" x14ac:dyDescent="0.2">
      <c r="P851" s="73"/>
      <c r="W851" s="84"/>
      <c r="AA851" s="45"/>
      <c r="AB851" s="45"/>
      <c r="AD851" s="189"/>
      <c r="AE851" s="189"/>
      <c r="AF851" s="189"/>
      <c r="AG851" s="189"/>
      <c r="AH851" s="189"/>
      <c r="AI851" s="45"/>
      <c r="AJ851" s="45"/>
    </row>
    <row r="852" spans="16:36" x14ac:dyDescent="0.2">
      <c r="P852" s="73"/>
      <c r="W852" s="84"/>
      <c r="AA852" s="45"/>
      <c r="AB852" s="45"/>
      <c r="AD852" s="189"/>
      <c r="AE852" s="189"/>
      <c r="AF852" s="189"/>
      <c r="AG852" s="189"/>
      <c r="AH852" s="189"/>
      <c r="AI852" s="45"/>
      <c r="AJ852" s="45"/>
    </row>
    <row r="853" spans="16:36" x14ac:dyDescent="0.2">
      <c r="P853" s="73"/>
      <c r="W853" s="84"/>
      <c r="AA853" s="45"/>
      <c r="AB853" s="45"/>
      <c r="AD853" s="189"/>
      <c r="AE853" s="189"/>
      <c r="AF853" s="189"/>
      <c r="AG853" s="189"/>
      <c r="AH853" s="189"/>
      <c r="AI853" s="45"/>
      <c r="AJ853" s="45"/>
    </row>
    <row r="854" spans="16:36" x14ac:dyDescent="0.2">
      <c r="P854" s="73"/>
      <c r="W854" s="84"/>
      <c r="AA854" s="45"/>
      <c r="AB854" s="45"/>
      <c r="AD854" s="189"/>
      <c r="AE854" s="189"/>
      <c r="AF854" s="189"/>
      <c r="AG854" s="189"/>
      <c r="AH854" s="189"/>
      <c r="AI854" s="45"/>
      <c r="AJ854" s="45"/>
    </row>
    <row r="855" spans="16:36" x14ac:dyDescent="0.2">
      <c r="P855" s="73"/>
      <c r="W855" s="84"/>
      <c r="AA855" s="45"/>
      <c r="AB855" s="45"/>
      <c r="AD855" s="189"/>
      <c r="AE855" s="189"/>
      <c r="AF855" s="189"/>
      <c r="AG855" s="189"/>
      <c r="AH855" s="189"/>
      <c r="AI855" s="45"/>
      <c r="AJ855" s="45"/>
    </row>
    <row r="856" spans="16:36" x14ac:dyDescent="0.2">
      <c r="P856" s="73"/>
      <c r="W856" s="84"/>
      <c r="AA856" s="45"/>
      <c r="AB856" s="45"/>
      <c r="AD856" s="189"/>
      <c r="AE856" s="189"/>
      <c r="AF856" s="189"/>
      <c r="AG856" s="189"/>
      <c r="AH856" s="189"/>
      <c r="AI856" s="45"/>
      <c r="AJ856" s="45"/>
    </row>
    <row r="857" spans="16:36" x14ac:dyDescent="0.2">
      <c r="P857" s="73"/>
      <c r="W857" s="84"/>
      <c r="AA857" s="45"/>
      <c r="AB857" s="45"/>
      <c r="AD857" s="189"/>
      <c r="AE857" s="189"/>
      <c r="AF857" s="189"/>
      <c r="AG857" s="189"/>
      <c r="AH857" s="189"/>
      <c r="AI857" s="45"/>
      <c r="AJ857" s="45"/>
    </row>
    <row r="858" spans="16:36" x14ac:dyDescent="0.2">
      <c r="P858" s="73"/>
      <c r="W858" s="84"/>
      <c r="AA858" s="45"/>
      <c r="AB858" s="45"/>
      <c r="AD858" s="189"/>
      <c r="AE858" s="189"/>
      <c r="AF858" s="189"/>
      <c r="AG858" s="189"/>
      <c r="AH858" s="189"/>
      <c r="AI858" s="45"/>
      <c r="AJ858" s="45"/>
    </row>
    <row r="859" spans="16:36" x14ac:dyDescent="0.2">
      <c r="P859" s="73"/>
      <c r="W859" s="84"/>
      <c r="AA859" s="45"/>
      <c r="AB859" s="45"/>
      <c r="AD859" s="189"/>
      <c r="AE859" s="189"/>
      <c r="AF859" s="189"/>
      <c r="AG859" s="189"/>
      <c r="AH859" s="189"/>
      <c r="AI859" s="45"/>
      <c r="AJ859" s="45"/>
    </row>
    <row r="860" spans="16:36" x14ac:dyDescent="0.2">
      <c r="P860" s="73"/>
      <c r="W860" s="84"/>
      <c r="AA860" s="45"/>
      <c r="AB860" s="45"/>
      <c r="AD860" s="189"/>
      <c r="AE860" s="189"/>
      <c r="AF860" s="189"/>
      <c r="AG860" s="189"/>
      <c r="AH860" s="189"/>
      <c r="AI860" s="45"/>
      <c r="AJ860" s="45"/>
    </row>
    <row r="861" spans="16:36" x14ac:dyDescent="0.2">
      <c r="P861" s="73"/>
      <c r="W861" s="84"/>
      <c r="AA861" s="45"/>
      <c r="AB861" s="45"/>
      <c r="AD861" s="189"/>
      <c r="AE861" s="189"/>
      <c r="AF861" s="189"/>
      <c r="AG861" s="189"/>
      <c r="AH861" s="189"/>
      <c r="AI861" s="45"/>
      <c r="AJ861" s="45"/>
    </row>
    <row r="862" spans="16:36" x14ac:dyDescent="0.2">
      <c r="P862" s="73"/>
      <c r="W862" s="84"/>
      <c r="AA862" s="45"/>
      <c r="AB862" s="45"/>
      <c r="AD862" s="189"/>
      <c r="AE862" s="189"/>
      <c r="AF862" s="189"/>
      <c r="AG862" s="189"/>
      <c r="AH862" s="189"/>
      <c r="AI862" s="45"/>
      <c r="AJ862" s="45"/>
    </row>
    <row r="863" spans="16:36" x14ac:dyDescent="0.2">
      <c r="P863" s="73"/>
      <c r="W863" s="84"/>
      <c r="AA863" s="45"/>
      <c r="AB863" s="45"/>
      <c r="AD863" s="189"/>
      <c r="AE863" s="189"/>
      <c r="AF863" s="189"/>
      <c r="AG863" s="189"/>
      <c r="AH863" s="189"/>
      <c r="AI863" s="45"/>
      <c r="AJ863" s="45"/>
    </row>
    <row r="864" spans="16:36" x14ac:dyDescent="0.2">
      <c r="P864" s="73"/>
      <c r="W864" s="84"/>
      <c r="AA864" s="45"/>
      <c r="AB864" s="45"/>
      <c r="AD864" s="189"/>
      <c r="AE864" s="189"/>
      <c r="AF864" s="189"/>
      <c r="AG864" s="189"/>
      <c r="AH864" s="189"/>
      <c r="AI864" s="45"/>
      <c r="AJ864" s="45"/>
    </row>
    <row r="865" spans="16:36" x14ac:dyDescent="0.2">
      <c r="P865" s="73"/>
      <c r="W865" s="84"/>
      <c r="AA865" s="45"/>
      <c r="AB865" s="45"/>
      <c r="AD865" s="189"/>
      <c r="AE865" s="189"/>
      <c r="AF865" s="189"/>
      <c r="AG865" s="189"/>
      <c r="AH865" s="189"/>
      <c r="AI865" s="45"/>
      <c r="AJ865" s="45"/>
    </row>
    <row r="866" spans="16:36" x14ac:dyDescent="0.2">
      <c r="P866" s="73"/>
      <c r="W866" s="84"/>
      <c r="AA866" s="45"/>
      <c r="AB866" s="45"/>
      <c r="AD866" s="189"/>
      <c r="AE866" s="189"/>
      <c r="AF866" s="189"/>
      <c r="AG866" s="189"/>
      <c r="AH866" s="189"/>
      <c r="AI866" s="45"/>
      <c r="AJ866" s="45"/>
    </row>
    <row r="867" spans="16:36" x14ac:dyDescent="0.2">
      <c r="P867" s="73"/>
      <c r="W867" s="84"/>
      <c r="AA867" s="45"/>
      <c r="AB867" s="45"/>
      <c r="AD867" s="189"/>
      <c r="AE867" s="189"/>
      <c r="AF867" s="189"/>
      <c r="AG867" s="189"/>
      <c r="AH867" s="189"/>
      <c r="AI867" s="45"/>
      <c r="AJ867" s="45"/>
    </row>
    <row r="868" spans="16:36" x14ac:dyDescent="0.2">
      <c r="P868" s="73"/>
      <c r="W868" s="84"/>
      <c r="AA868" s="45"/>
      <c r="AB868" s="45"/>
      <c r="AD868" s="189"/>
      <c r="AE868" s="189"/>
      <c r="AF868" s="189"/>
      <c r="AG868" s="189"/>
      <c r="AH868" s="189"/>
      <c r="AI868" s="45"/>
      <c r="AJ868" s="45"/>
    </row>
    <row r="869" spans="16:36" x14ac:dyDescent="0.2">
      <c r="P869" s="73"/>
      <c r="W869" s="84"/>
      <c r="AA869" s="45"/>
      <c r="AB869" s="45"/>
      <c r="AD869" s="189"/>
      <c r="AE869" s="189"/>
      <c r="AF869" s="189"/>
      <c r="AG869" s="189"/>
      <c r="AH869" s="189"/>
      <c r="AI869" s="45"/>
      <c r="AJ869" s="45"/>
    </row>
    <row r="870" spans="16:36" x14ac:dyDescent="0.2">
      <c r="P870" s="73"/>
      <c r="W870" s="84"/>
      <c r="AA870" s="45"/>
      <c r="AB870" s="45"/>
      <c r="AD870" s="189"/>
      <c r="AE870" s="189"/>
      <c r="AF870" s="189"/>
      <c r="AG870" s="189"/>
      <c r="AH870" s="189"/>
      <c r="AI870" s="45"/>
      <c r="AJ870" s="45"/>
    </row>
    <row r="871" spans="16:36" x14ac:dyDescent="0.2">
      <c r="P871" s="73"/>
      <c r="W871" s="84"/>
      <c r="AA871" s="45"/>
      <c r="AB871" s="45"/>
      <c r="AD871" s="189"/>
      <c r="AE871" s="189"/>
      <c r="AF871" s="189"/>
      <c r="AG871" s="189"/>
      <c r="AH871" s="189"/>
      <c r="AI871" s="45"/>
      <c r="AJ871" s="45"/>
    </row>
    <row r="872" spans="16:36" x14ac:dyDescent="0.2">
      <c r="P872" s="73"/>
      <c r="W872" s="84"/>
      <c r="AA872" s="45"/>
      <c r="AB872" s="45"/>
      <c r="AD872" s="189"/>
      <c r="AE872" s="189"/>
      <c r="AF872" s="189"/>
      <c r="AG872" s="189"/>
      <c r="AH872" s="189"/>
      <c r="AI872" s="45"/>
      <c r="AJ872" s="45"/>
    </row>
    <row r="873" spans="16:36" x14ac:dyDescent="0.2">
      <c r="P873" s="73"/>
      <c r="AA873" s="45"/>
      <c r="AB873" s="45"/>
      <c r="AD873" s="189"/>
      <c r="AE873" s="189"/>
      <c r="AF873" s="189"/>
      <c r="AG873" s="189"/>
      <c r="AH873" s="189"/>
      <c r="AI873" s="45"/>
      <c r="AJ873" s="45"/>
    </row>
    <row r="874" spans="16:36" x14ac:dyDescent="0.2">
      <c r="P874" s="73"/>
      <c r="AA874" s="45"/>
      <c r="AB874" s="45"/>
      <c r="AD874" s="189"/>
      <c r="AE874" s="189"/>
      <c r="AF874" s="189"/>
      <c r="AG874" s="189"/>
      <c r="AH874" s="189"/>
      <c r="AI874" s="45"/>
      <c r="AJ874" s="45"/>
    </row>
    <row r="875" spans="16:36" x14ac:dyDescent="0.2">
      <c r="P875" s="73"/>
      <c r="AA875" s="45"/>
      <c r="AB875" s="45"/>
      <c r="AD875" s="189"/>
      <c r="AE875" s="189"/>
      <c r="AF875" s="189"/>
      <c r="AG875" s="189"/>
      <c r="AH875" s="189"/>
      <c r="AI875" s="45"/>
      <c r="AJ875" s="45"/>
    </row>
    <row r="876" spans="16:36" x14ac:dyDescent="0.2">
      <c r="P876" s="73"/>
      <c r="AA876" s="45"/>
      <c r="AB876" s="45"/>
      <c r="AD876" s="189"/>
      <c r="AE876" s="189"/>
      <c r="AF876" s="189"/>
      <c r="AG876" s="189"/>
      <c r="AH876" s="189"/>
      <c r="AI876" s="45"/>
      <c r="AJ876" s="45"/>
    </row>
    <row r="877" spans="16:36" x14ac:dyDescent="0.2">
      <c r="P877" s="73"/>
      <c r="AA877" s="45"/>
      <c r="AB877" s="45"/>
      <c r="AD877" s="189"/>
      <c r="AE877" s="189"/>
      <c r="AF877" s="189"/>
      <c r="AG877" s="189"/>
      <c r="AH877" s="189"/>
      <c r="AI877" s="45"/>
      <c r="AJ877" s="45"/>
    </row>
    <row r="878" spans="16:36" x14ac:dyDescent="0.2">
      <c r="P878" s="73"/>
      <c r="AA878" s="45"/>
      <c r="AB878" s="45"/>
      <c r="AD878" s="189"/>
      <c r="AE878" s="189"/>
      <c r="AF878" s="189"/>
      <c r="AG878" s="189"/>
      <c r="AH878" s="189"/>
      <c r="AI878" s="45"/>
      <c r="AJ878" s="45"/>
    </row>
    <row r="879" spans="16:36" x14ac:dyDescent="0.2">
      <c r="P879" s="73"/>
      <c r="AA879" s="45"/>
      <c r="AB879" s="45"/>
      <c r="AD879" s="189"/>
      <c r="AE879" s="189"/>
      <c r="AF879" s="189"/>
      <c r="AG879" s="189"/>
      <c r="AH879" s="189"/>
      <c r="AI879" s="45"/>
      <c r="AJ879" s="45"/>
    </row>
    <row r="880" spans="16:36" x14ac:dyDescent="0.2">
      <c r="P880" s="73"/>
      <c r="AA880" s="45"/>
      <c r="AB880" s="45"/>
      <c r="AD880" s="189"/>
      <c r="AE880" s="189"/>
      <c r="AF880" s="189"/>
      <c r="AG880" s="189"/>
      <c r="AH880" s="189"/>
      <c r="AI880" s="45"/>
      <c r="AJ880" s="45"/>
    </row>
    <row r="881" spans="16:36" x14ac:dyDescent="0.2">
      <c r="P881" s="73"/>
      <c r="AA881" s="45"/>
      <c r="AB881" s="45"/>
      <c r="AD881" s="189"/>
      <c r="AE881" s="189"/>
      <c r="AF881" s="189"/>
      <c r="AG881" s="189"/>
      <c r="AH881" s="189"/>
      <c r="AI881" s="45"/>
      <c r="AJ881" s="45"/>
    </row>
    <row r="882" spans="16:36" x14ac:dyDescent="0.2">
      <c r="P882" s="73"/>
      <c r="AA882" s="45"/>
      <c r="AB882" s="45"/>
      <c r="AD882" s="189"/>
      <c r="AE882" s="189"/>
      <c r="AF882" s="189"/>
      <c r="AG882" s="189"/>
      <c r="AH882" s="189"/>
      <c r="AI882" s="45"/>
      <c r="AJ882" s="45"/>
    </row>
    <row r="883" spans="16:36" x14ac:dyDescent="0.2">
      <c r="P883" s="73"/>
      <c r="AA883" s="45"/>
      <c r="AB883" s="45"/>
      <c r="AD883" s="189"/>
      <c r="AE883" s="189"/>
      <c r="AF883" s="189"/>
      <c r="AG883" s="189"/>
      <c r="AH883" s="189"/>
      <c r="AI883" s="45"/>
      <c r="AJ883" s="45"/>
    </row>
    <row r="884" spans="16:36" x14ac:dyDescent="0.2">
      <c r="P884" s="73"/>
      <c r="AA884" s="45"/>
      <c r="AB884" s="45"/>
      <c r="AD884" s="189"/>
      <c r="AE884" s="189"/>
      <c r="AF884" s="189"/>
      <c r="AG884" s="189"/>
      <c r="AH884" s="189"/>
      <c r="AI884" s="45"/>
      <c r="AJ884" s="45"/>
    </row>
    <row r="885" spans="16:36" x14ac:dyDescent="0.2">
      <c r="P885" s="73"/>
      <c r="AA885" s="45"/>
      <c r="AB885" s="45"/>
      <c r="AD885" s="189"/>
      <c r="AE885" s="189"/>
      <c r="AF885" s="189"/>
      <c r="AG885" s="189"/>
      <c r="AH885" s="189"/>
      <c r="AI885" s="45"/>
      <c r="AJ885" s="45"/>
    </row>
    <row r="886" spans="16:36" x14ac:dyDescent="0.2">
      <c r="P886" s="73"/>
      <c r="AA886" s="45"/>
      <c r="AB886" s="45"/>
      <c r="AD886" s="189"/>
      <c r="AE886" s="189"/>
      <c r="AF886" s="189"/>
      <c r="AG886" s="189"/>
      <c r="AH886" s="189"/>
      <c r="AI886" s="45"/>
      <c r="AJ886" s="45"/>
    </row>
    <row r="887" spans="16:36" x14ac:dyDescent="0.2">
      <c r="P887" s="73"/>
      <c r="AA887" s="45"/>
      <c r="AB887" s="45"/>
      <c r="AD887" s="189"/>
      <c r="AE887" s="189"/>
      <c r="AF887" s="189"/>
      <c r="AG887" s="189"/>
      <c r="AH887" s="189"/>
      <c r="AI887" s="45"/>
      <c r="AJ887" s="45"/>
    </row>
    <row r="888" spans="16:36" x14ac:dyDescent="0.2">
      <c r="P888" s="73"/>
      <c r="AA888" s="45"/>
      <c r="AB888" s="45"/>
      <c r="AD888" s="189"/>
      <c r="AE888" s="189"/>
      <c r="AF888" s="189"/>
      <c r="AG888" s="189"/>
      <c r="AH888" s="189"/>
      <c r="AI888" s="45"/>
      <c r="AJ888" s="45"/>
    </row>
    <row r="889" spans="16:36" x14ac:dyDescent="0.2">
      <c r="P889" s="73"/>
      <c r="AA889" s="45"/>
      <c r="AB889" s="45"/>
      <c r="AD889" s="189"/>
      <c r="AE889" s="189"/>
      <c r="AF889" s="189"/>
      <c r="AG889" s="189"/>
      <c r="AH889" s="189"/>
      <c r="AI889" s="45"/>
      <c r="AJ889" s="45"/>
    </row>
    <row r="890" spans="16:36" x14ac:dyDescent="0.2">
      <c r="P890" s="73"/>
      <c r="AA890" s="45"/>
      <c r="AB890" s="45"/>
      <c r="AD890" s="189"/>
      <c r="AE890" s="189"/>
      <c r="AF890" s="189"/>
      <c r="AG890" s="189"/>
      <c r="AH890" s="189"/>
      <c r="AI890" s="45"/>
      <c r="AJ890" s="45"/>
    </row>
    <row r="891" spans="16:36" x14ac:dyDescent="0.2">
      <c r="P891" s="73"/>
      <c r="AA891" s="45"/>
      <c r="AB891" s="45"/>
      <c r="AD891" s="189"/>
      <c r="AE891" s="189"/>
      <c r="AF891" s="189"/>
      <c r="AG891" s="189"/>
      <c r="AH891" s="189"/>
      <c r="AI891" s="45"/>
      <c r="AJ891" s="45"/>
    </row>
    <row r="892" spans="16:36" x14ac:dyDescent="0.2">
      <c r="P892" s="73"/>
      <c r="AA892" s="45"/>
      <c r="AB892" s="45"/>
      <c r="AD892" s="189"/>
      <c r="AE892" s="189"/>
      <c r="AF892" s="189"/>
      <c r="AG892" s="189"/>
      <c r="AH892" s="189"/>
      <c r="AI892" s="45"/>
      <c r="AJ892" s="45"/>
    </row>
    <row r="893" spans="16:36" x14ac:dyDescent="0.2">
      <c r="P893" s="73"/>
      <c r="AA893" s="45"/>
      <c r="AB893" s="45"/>
      <c r="AD893" s="189"/>
      <c r="AE893" s="189"/>
      <c r="AF893" s="189"/>
      <c r="AG893" s="189"/>
      <c r="AH893" s="189"/>
      <c r="AI893" s="45"/>
      <c r="AJ893" s="45"/>
    </row>
    <row r="894" spans="16:36" x14ac:dyDescent="0.2">
      <c r="P894" s="73"/>
      <c r="AA894" s="45"/>
      <c r="AB894" s="45"/>
      <c r="AD894" s="189"/>
      <c r="AE894" s="189"/>
      <c r="AF894" s="189"/>
      <c r="AG894" s="189"/>
      <c r="AH894" s="189"/>
      <c r="AI894" s="45"/>
      <c r="AJ894" s="45"/>
    </row>
    <row r="895" spans="16:36" x14ac:dyDescent="0.2">
      <c r="P895" s="73"/>
      <c r="AA895" s="45"/>
      <c r="AB895" s="45"/>
      <c r="AD895" s="189"/>
      <c r="AE895" s="189"/>
      <c r="AF895" s="189"/>
      <c r="AG895" s="189"/>
      <c r="AH895" s="189"/>
      <c r="AI895" s="45"/>
      <c r="AJ895" s="45"/>
    </row>
    <row r="896" spans="16:36" x14ac:dyDescent="0.2">
      <c r="P896" s="73"/>
      <c r="AA896" s="45"/>
      <c r="AB896" s="45"/>
      <c r="AD896" s="189"/>
      <c r="AE896" s="189"/>
      <c r="AF896" s="189"/>
      <c r="AG896" s="189"/>
      <c r="AH896" s="189"/>
      <c r="AI896" s="45"/>
      <c r="AJ896" s="45"/>
    </row>
    <row r="897" spans="16:36" x14ac:dyDescent="0.2">
      <c r="P897" s="73"/>
      <c r="AA897" s="45"/>
      <c r="AB897" s="45"/>
      <c r="AD897" s="189"/>
      <c r="AE897" s="189"/>
      <c r="AF897" s="189"/>
      <c r="AG897" s="189"/>
      <c r="AH897" s="189"/>
      <c r="AI897" s="45"/>
      <c r="AJ897" s="45"/>
    </row>
    <row r="898" spans="16:36" x14ac:dyDescent="0.2">
      <c r="P898" s="73"/>
      <c r="AA898" s="45"/>
      <c r="AB898" s="45"/>
      <c r="AD898" s="189"/>
      <c r="AE898" s="189"/>
      <c r="AF898" s="189"/>
      <c r="AG898" s="189"/>
      <c r="AH898" s="189"/>
      <c r="AI898" s="45"/>
      <c r="AJ898" s="45"/>
    </row>
    <row r="899" spans="16:36" x14ac:dyDescent="0.2">
      <c r="P899" s="73"/>
      <c r="AA899" s="45"/>
      <c r="AB899" s="45"/>
      <c r="AD899" s="189"/>
      <c r="AE899" s="189"/>
      <c r="AF899" s="189"/>
      <c r="AG899" s="189"/>
      <c r="AH899" s="189"/>
      <c r="AI899" s="45"/>
      <c r="AJ899" s="45"/>
    </row>
    <row r="900" spans="16:36" x14ac:dyDescent="0.2">
      <c r="P900" s="73"/>
      <c r="AA900" s="45"/>
      <c r="AB900" s="45"/>
      <c r="AD900" s="189"/>
      <c r="AE900" s="189"/>
      <c r="AF900" s="189"/>
      <c r="AG900" s="189"/>
      <c r="AH900" s="189"/>
      <c r="AI900" s="45"/>
      <c r="AJ900" s="45"/>
    </row>
    <row r="901" spans="16:36" x14ac:dyDescent="0.2">
      <c r="P901" s="73"/>
      <c r="AA901" s="45"/>
      <c r="AB901" s="45"/>
      <c r="AD901" s="189"/>
      <c r="AE901" s="189"/>
      <c r="AF901" s="189"/>
      <c r="AG901" s="189"/>
      <c r="AH901" s="189"/>
      <c r="AI901" s="45"/>
      <c r="AJ901" s="45"/>
    </row>
    <row r="902" spans="16:36" x14ac:dyDescent="0.2">
      <c r="P902" s="73"/>
      <c r="AA902" s="45"/>
      <c r="AB902" s="45"/>
      <c r="AD902" s="189"/>
      <c r="AE902" s="189"/>
      <c r="AF902" s="189"/>
      <c r="AG902" s="189"/>
      <c r="AH902" s="189"/>
      <c r="AI902" s="45"/>
      <c r="AJ902" s="45"/>
    </row>
    <row r="903" spans="16:36" x14ac:dyDescent="0.2">
      <c r="P903" s="73"/>
      <c r="AA903" s="45"/>
      <c r="AB903" s="45"/>
      <c r="AD903" s="189"/>
      <c r="AE903" s="189"/>
      <c r="AF903" s="189"/>
      <c r="AG903" s="189"/>
      <c r="AH903" s="189"/>
      <c r="AI903" s="45"/>
      <c r="AJ903" s="45"/>
    </row>
    <row r="904" spans="16:36" x14ac:dyDescent="0.2">
      <c r="P904" s="73"/>
      <c r="AA904" s="45"/>
      <c r="AB904" s="45"/>
      <c r="AD904" s="189"/>
      <c r="AE904" s="189"/>
      <c r="AF904" s="189"/>
      <c r="AG904" s="189"/>
      <c r="AH904" s="189"/>
      <c r="AI904" s="45"/>
      <c r="AJ904" s="45"/>
    </row>
    <row r="905" spans="16:36" x14ac:dyDescent="0.2">
      <c r="P905" s="73"/>
      <c r="AA905" s="45"/>
      <c r="AB905" s="45"/>
      <c r="AD905" s="189"/>
      <c r="AE905" s="189"/>
      <c r="AF905" s="189"/>
      <c r="AG905" s="189"/>
      <c r="AH905" s="189"/>
      <c r="AI905" s="45"/>
      <c r="AJ905" s="45"/>
    </row>
    <row r="906" spans="16:36" x14ac:dyDescent="0.2">
      <c r="P906" s="73"/>
      <c r="AA906" s="45"/>
      <c r="AB906" s="45"/>
      <c r="AD906" s="189"/>
      <c r="AE906" s="189"/>
      <c r="AF906" s="189"/>
      <c r="AG906" s="189"/>
      <c r="AH906" s="189"/>
      <c r="AI906" s="45"/>
      <c r="AJ906" s="45"/>
    </row>
    <row r="907" spans="16:36" x14ac:dyDescent="0.2">
      <c r="P907" s="73"/>
      <c r="AA907" s="45"/>
      <c r="AB907" s="45"/>
      <c r="AD907" s="189"/>
      <c r="AE907" s="189"/>
      <c r="AF907" s="189"/>
      <c r="AG907" s="189"/>
      <c r="AH907" s="189"/>
      <c r="AI907" s="45"/>
      <c r="AJ907" s="45"/>
    </row>
    <row r="908" spans="16:36" x14ac:dyDescent="0.2">
      <c r="P908" s="73"/>
      <c r="AA908" s="45"/>
      <c r="AB908" s="45"/>
      <c r="AD908" s="189"/>
      <c r="AE908" s="189"/>
      <c r="AF908" s="189"/>
      <c r="AG908" s="189"/>
      <c r="AH908" s="189"/>
      <c r="AI908" s="45"/>
      <c r="AJ908" s="45"/>
    </row>
    <row r="909" spans="16:36" x14ac:dyDescent="0.2">
      <c r="P909" s="73"/>
      <c r="AA909" s="45"/>
      <c r="AB909" s="45"/>
      <c r="AD909" s="189"/>
      <c r="AE909" s="189"/>
      <c r="AF909" s="189"/>
      <c r="AG909" s="189"/>
      <c r="AH909" s="189"/>
      <c r="AI909" s="45"/>
      <c r="AJ909" s="45"/>
    </row>
    <row r="910" spans="16:36" x14ac:dyDescent="0.2">
      <c r="P910" s="73"/>
      <c r="AA910" s="45"/>
      <c r="AB910" s="45"/>
      <c r="AD910" s="189"/>
      <c r="AE910" s="189"/>
      <c r="AF910" s="189"/>
      <c r="AG910" s="189"/>
      <c r="AH910" s="189"/>
      <c r="AI910" s="45"/>
      <c r="AJ910" s="45"/>
    </row>
    <row r="911" spans="16:36" x14ac:dyDescent="0.2">
      <c r="P911" s="73"/>
      <c r="AA911" s="45"/>
      <c r="AB911" s="45"/>
      <c r="AD911" s="189"/>
      <c r="AE911" s="189"/>
      <c r="AF911" s="189"/>
      <c r="AG911" s="189"/>
      <c r="AH911" s="189"/>
      <c r="AI911" s="45"/>
      <c r="AJ911" s="45"/>
    </row>
    <row r="912" spans="16:36" x14ac:dyDescent="0.2">
      <c r="P912" s="73"/>
      <c r="AA912" s="45"/>
      <c r="AB912" s="45"/>
      <c r="AD912" s="189"/>
      <c r="AE912" s="189"/>
      <c r="AF912" s="189"/>
      <c r="AG912" s="189"/>
      <c r="AH912" s="189"/>
      <c r="AI912" s="45"/>
      <c r="AJ912" s="45"/>
    </row>
    <row r="913" spans="16:36" x14ac:dyDescent="0.2">
      <c r="P913" s="73"/>
      <c r="AA913" s="45"/>
      <c r="AB913" s="45"/>
      <c r="AD913" s="189"/>
      <c r="AE913" s="189"/>
      <c r="AF913" s="189"/>
      <c r="AG913" s="189"/>
      <c r="AH913" s="189"/>
      <c r="AI913" s="45"/>
      <c r="AJ913" s="45"/>
    </row>
    <row r="914" spans="16:36" x14ac:dyDescent="0.2">
      <c r="P914" s="73"/>
      <c r="AA914" s="45"/>
      <c r="AB914" s="45"/>
      <c r="AD914" s="189"/>
      <c r="AE914" s="189"/>
      <c r="AF914" s="189"/>
      <c r="AG914" s="189"/>
      <c r="AH914" s="189"/>
      <c r="AI914" s="45"/>
      <c r="AJ914" s="45"/>
    </row>
    <row r="915" spans="16:36" x14ac:dyDescent="0.2">
      <c r="P915" s="73"/>
      <c r="AA915" s="45"/>
      <c r="AB915" s="45"/>
      <c r="AD915" s="189"/>
      <c r="AE915" s="189"/>
      <c r="AF915" s="189"/>
      <c r="AG915" s="189"/>
      <c r="AH915" s="189"/>
      <c r="AI915" s="45"/>
      <c r="AJ915" s="45"/>
    </row>
    <row r="916" spans="16:36" x14ac:dyDescent="0.2">
      <c r="P916" s="73"/>
      <c r="AA916" s="45"/>
      <c r="AB916" s="45"/>
      <c r="AD916" s="189"/>
      <c r="AE916" s="189"/>
      <c r="AF916" s="189"/>
      <c r="AG916" s="189"/>
      <c r="AH916" s="189"/>
      <c r="AI916" s="45"/>
      <c r="AJ916" s="45"/>
    </row>
    <row r="917" spans="16:36" x14ac:dyDescent="0.2">
      <c r="P917" s="73"/>
      <c r="AA917" s="45"/>
      <c r="AB917" s="45"/>
      <c r="AD917" s="189"/>
      <c r="AE917" s="189"/>
      <c r="AF917" s="189"/>
      <c r="AG917" s="189"/>
      <c r="AH917" s="189"/>
      <c r="AI917" s="45"/>
      <c r="AJ917" s="45"/>
    </row>
    <row r="918" spans="16:36" x14ac:dyDescent="0.2">
      <c r="P918" s="73"/>
      <c r="AA918" s="45"/>
      <c r="AB918" s="45"/>
      <c r="AD918" s="189"/>
      <c r="AE918" s="189"/>
      <c r="AF918" s="189"/>
      <c r="AG918" s="189"/>
      <c r="AH918" s="189"/>
      <c r="AI918" s="45"/>
      <c r="AJ918" s="45"/>
    </row>
    <row r="919" spans="16:36" x14ac:dyDescent="0.2">
      <c r="P919" s="73"/>
      <c r="AA919" s="45"/>
      <c r="AB919" s="45"/>
      <c r="AD919" s="189"/>
      <c r="AE919" s="189"/>
      <c r="AF919" s="189"/>
      <c r="AG919" s="189"/>
      <c r="AH919" s="189"/>
      <c r="AI919" s="45"/>
      <c r="AJ919" s="45"/>
    </row>
    <row r="920" spans="16:36" x14ac:dyDescent="0.2">
      <c r="P920" s="73"/>
      <c r="AA920" s="45"/>
      <c r="AB920" s="45"/>
      <c r="AD920" s="189"/>
      <c r="AE920" s="189"/>
      <c r="AF920" s="189"/>
      <c r="AG920" s="189"/>
      <c r="AH920" s="189"/>
      <c r="AI920" s="45"/>
      <c r="AJ920" s="45"/>
    </row>
    <row r="921" spans="16:36" x14ac:dyDescent="0.2">
      <c r="P921" s="73"/>
      <c r="AA921" s="45"/>
      <c r="AB921" s="45"/>
      <c r="AD921" s="189"/>
      <c r="AE921" s="189"/>
      <c r="AF921" s="189"/>
      <c r="AG921" s="189"/>
      <c r="AH921" s="189"/>
      <c r="AI921" s="45"/>
      <c r="AJ921" s="45"/>
    </row>
    <row r="922" spans="16:36" x14ac:dyDescent="0.2">
      <c r="P922" s="73"/>
      <c r="AA922" s="45"/>
      <c r="AB922" s="45"/>
      <c r="AD922" s="189"/>
      <c r="AE922" s="189"/>
      <c r="AF922" s="189"/>
      <c r="AG922" s="189"/>
      <c r="AH922" s="189"/>
      <c r="AI922" s="45"/>
      <c r="AJ922" s="45"/>
    </row>
    <row r="923" spans="16:36" x14ac:dyDescent="0.2">
      <c r="P923" s="73"/>
      <c r="AA923" s="45"/>
      <c r="AB923" s="45"/>
      <c r="AD923" s="189"/>
      <c r="AE923" s="189"/>
      <c r="AF923" s="189"/>
      <c r="AG923" s="189"/>
      <c r="AH923" s="189"/>
      <c r="AI923" s="45"/>
      <c r="AJ923" s="45"/>
    </row>
    <row r="924" spans="16:36" x14ac:dyDescent="0.2">
      <c r="P924" s="73"/>
      <c r="AA924" s="45"/>
      <c r="AB924" s="45"/>
      <c r="AD924" s="189"/>
      <c r="AE924" s="189"/>
      <c r="AF924" s="189"/>
      <c r="AG924" s="189"/>
      <c r="AH924" s="189"/>
      <c r="AI924" s="45"/>
      <c r="AJ924" s="45"/>
    </row>
    <row r="925" spans="16:36" x14ac:dyDescent="0.2">
      <c r="P925" s="73"/>
      <c r="AA925" s="45"/>
      <c r="AB925" s="45"/>
      <c r="AD925" s="189"/>
      <c r="AE925" s="189"/>
      <c r="AF925" s="189"/>
      <c r="AG925" s="189"/>
      <c r="AH925" s="189"/>
      <c r="AI925" s="45"/>
      <c r="AJ925" s="45"/>
    </row>
    <row r="926" spans="16:36" x14ac:dyDescent="0.2">
      <c r="P926" s="73"/>
      <c r="AA926" s="45"/>
      <c r="AB926" s="45"/>
      <c r="AD926" s="189"/>
      <c r="AE926" s="189"/>
      <c r="AF926" s="189"/>
      <c r="AG926" s="189"/>
      <c r="AH926" s="189"/>
      <c r="AI926" s="45"/>
      <c r="AJ926" s="45"/>
    </row>
    <row r="927" spans="16:36" x14ac:dyDescent="0.2">
      <c r="P927" s="73"/>
      <c r="AA927" s="45"/>
      <c r="AB927" s="45"/>
      <c r="AD927" s="189"/>
      <c r="AE927" s="189"/>
      <c r="AF927" s="189"/>
      <c r="AG927" s="189"/>
      <c r="AH927" s="189"/>
      <c r="AI927" s="45"/>
      <c r="AJ927" s="45"/>
    </row>
    <row r="928" spans="16:36" x14ac:dyDescent="0.2">
      <c r="P928" s="73"/>
      <c r="AA928" s="45"/>
      <c r="AB928" s="45"/>
      <c r="AD928" s="189"/>
      <c r="AE928" s="189"/>
      <c r="AF928" s="189"/>
      <c r="AG928" s="189"/>
      <c r="AH928" s="189"/>
      <c r="AI928" s="45"/>
      <c r="AJ928" s="45"/>
    </row>
    <row r="929" spans="16:36" x14ac:dyDescent="0.2">
      <c r="P929" s="73"/>
      <c r="AA929" s="45"/>
      <c r="AB929" s="45"/>
      <c r="AD929" s="189"/>
      <c r="AE929" s="189"/>
      <c r="AF929" s="189"/>
      <c r="AG929" s="189"/>
      <c r="AH929" s="189"/>
      <c r="AI929" s="45"/>
      <c r="AJ929" s="45"/>
    </row>
    <row r="930" spans="16:36" x14ac:dyDescent="0.2">
      <c r="P930" s="73"/>
      <c r="AA930" s="45"/>
      <c r="AB930" s="45"/>
      <c r="AD930" s="189"/>
      <c r="AE930" s="189"/>
      <c r="AF930" s="189"/>
      <c r="AG930" s="189"/>
      <c r="AH930" s="189"/>
      <c r="AI930" s="45"/>
      <c r="AJ930" s="45"/>
    </row>
    <row r="931" spans="16:36" x14ac:dyDescent="0.2">
      <c r="P931" s="73"/>
      <c r="AA931" s="45"/>
      <c r="AB931" s="45"/>
      <c r="AD931" s="189"/>
      <c r="AE931" s="189"/>
      <c r="AF931" s="189"/>
      <c r="AG931" s="189"/>
      <c r="AH931" s="189"/>
      <c r="AI931" s="45"/>
      <c r="AJ931" s="45"/>
    </row>
    <row r="932" spans="16:36" x14ac:dyDescent="0.2">
      <c r="P932" s="73"/>
      <c r="AA932" s="45"/>
      <c r="AB932" s="45"/>
      <c r="AD932" s="189"/>
      <c r="AE932" s="189"/>
      <c r="AF932" s="189"/>
      <c r="AG932" s="189"/>
      <c r="AH932" s="189"/>
      <c r="AI932" s="45"/>
      <c r="AJ932" s="45"/>
    </row>
    <row r="933" spans="16:36" x14ac:dyDescent="0.2">
      <c r="P933" s="73"/>
      <c r="AA933" s="45"/>
      <c r="AB933" s="45"/>
      <c r="AD933" s="189"/>
      <c r="AE933" s="189"/>
      <c r="AF933" s="189"/>
      <c r="AG933" s="189"/>
      <c r="AH933" s="189"/>
      <c r="AI933" s="45"/>
      <c r="AJ933" s="45"/>
    </row>
    <row r="934" spans="16:36" x14ac:dyDescent="0.2">
      <c r="P934" s="73"/>
      <c r="AA934" s="45"/>
      <c r="AB934" s="45"/>
      <c r="AD934" s="189"/>
      <c r="AE934" s="189"/>
      <c r="AF934" s="189"/>
      <c r="AG934" s="189"/>
      <c r="AH934" s="189"/>
      <c r="AI934" s="45"/>
      <c r="AJ934" s="45"/>
    </row>
    <row r="935" spans="16:36" x14ac:dyDescent="0.2">
      <c r="P935" s="73"/>
      <c r="AA935" s="45"/>
      <c r="AB935" s="45"/>
      <c r="AD935" s="189"/>
      <c r="AE935" s="189"/>
      <c r="AF935" s="189"/>
      <c r="AG935" s="189"/>
      <c r="AH935" s="189"/>
      <c r="AI935" s="45"/>
      <c r="AJ935" s="45"/>
    </row>
    <row r="936" spans="16:36" x14ac:dyDescent="0.2">
      <c r="P936" s="73"/>
      <c r="AA936" s="45"/>
      <c r="AB936" s="45"/>
      <c r="AD936" s="189"/>
      <c r="AE936" s="189"/>
      <c r="AF936" s="189"/>
      <c r="AG936" s="189"/>
      <c r="AH936" s="189"/>
      <c r="AI936" s="45"/>
      <c r="AJ936" s="45"/>
    </row>
    <row r="937" spans="16:36" x14ac:dyDescent="0.2">
      <c r="P937" s="73"/>
      <c r="AA937" s="45"/>
      <c r="AB937" s="45"/>
      <c r="AD937" s="189"/>
      <c r="AE937" s="189"/>
      <c r="AF937" s="189"/>
      <c r="AG937" s="189"/>
      <c r="AH937" s="189"/>
      <c r="AI937" s="45"/>
      <c r="AJ937" s="45"/>
    </row>
    <row r="938" spans="16:36" x14ac:dyDescent="0.2">
      <c r="P938" s="73"/>
      <c r="AA938" s="45"/>
      <c r="AB938" s="45"/>
      <c r="AD938" s="189"/>
      <c r="AE938" s="189"/>
      <c r="AF938" s="189"/>
      <c r="AG938" s="189"/>
      <c r="AH938" s="189"/>
      <c r="AI938" s="45"/>
      <c r="AJ938" s="45"/>
    </row>
    <row r="939" spans="16:36" x14ac:dyDescent="0.2">
      <c r="P939" s="73"/>
      <c r="AA939" s="45"/>
      <c r="AB939" s="45"/>
      <c r="AD939" s="189"/>
      <c r="AE939" s="189"/>
      <c r="AF939" s="189"/>
      <c r="AG939" s="189"/>
      <c r="AH939" s="189"/>
      <c r="AI939" s="45"/>
      <c r="AJ939" s="45"/>
    </row>
    <row r="940" spans="16:36" x14ac:dyDescent="0.2">
      <c r="P940" s="73"/>
      <c r="AA940" s="45"/>
      <c r="AB940" s="45"/>
      <c r="AD940" s="189"/>
      <c r="AE940" s="189"/>
      <c r="AF940" s="189"/>
      <c r="AG940" s="189"/>
      <c r="AH940" s="189"/>
      <c r="AI940" s="45"/>
      <c r="AJ940" s="45"/>
    </row>
    <row r="941" spans="16:36" x14ac:dyDescent="0.2">
      <c r="P941" s="73"/>
      <c r="AA941" s="45"/>
      <c r="AB941" s="45"/>
      <c r="AD941" s="189"/>
      <c r="AE941" s="189"/>
      <c r="AF941" s="189"/>
      <c r="AG941" s="189"/>
      <c r="AH941" s="189"/>
      <c r="AI941" s="45"/>
      <c r="AJ941" s="45"/>
    </row>
    <row r="942" spans="16:36" x14ac:dyDescent="0.2">
      <c r="P942" s="73"/>
      <c r="AA942" s="45"/>
      <c r="AB942" s="45"/>
      <c r="AD942" s="189"/>
      <c r="AE942" s="189"/>
      <c r="AF942" s="189"/>
      <c r="AG942" s="189"/>
      <c r="AH942" s="189"/>
      <c r="AI942" s="45"/>
      <c r="AJ942" s="45"/>
    </row>
    <row r="943" spans="16:36" x14ac:dyDescent="0.2">
      <c r="P943" s="73"/>
      <c r="AA943" s="45"/>
      <c r="AB943" s="45"/>
      <c r="AD943" s="189"/>
      <c r="AE943" s="189"/>
      <c r="AF943" s="189"/>
      <c r="AG943" s="189"/>
      <c r="AH943" s="189"/>
      <c r="AI943" s="45"/>
      <c r="AJ943" s="45"/>
    </row>
    <row r="944" spans="16:36" x14ac:dyDescent="0.2">
      <c r="P944" s="73"/>
      <c r="AA944" s="45"/>
      <c r="AB944" s="45"/>
      <c r="AD944" s="189"/>
      <c r="AE944" s="189"/>
      <c r="AF944" s="189"/>
      <c r="AG944" s="189"/>
      <c r="AH944" s="189"/>
      <c r="AI944" s="45"/>
      <c r="AJ944" s="45"/>
    </row>
    <row r="945" spans="16:36" x14ac:dyDescent="0.2">
      <c r="P945" s="73"/>
      <c r="AA945" s="45"/>
      <c r="AB945" s="45"/>
      <c r="AD945" s="189"/>
      <c r="AE945" s="189"/>
      <c r="AF945" s="189"/>
      <c r="AG945" s="189"/>
      <c r="AH945" s="189"/>
      <c r="AI945" s="45"/>
      <c r="AJ945" s="45"/>
    </row>
    <row r="946" spans="16:36" x14ac:dyDescent="0.2">
      <c r="P946" s="73"/>
      <c r="AA946" s="45"/>
      <c r="AB946" s="45"/>
      <c r="AD946" s="189"/>
      <c r="AE946" s="189"/>
      <c r="AF946" s="189"/>
      <c r="AG946" s="189"/>
      <c r="AH946" s="189"/>
      <c r="AI946" s="45"/>
      <c r="AJ946" s="45"/>
    </row>
    <row r="947" spans="16:36" x14ac:dyDescent="0.2">
      <c r="P947" s="73"/>
      <c r="AA947" s="45"/>
      <c r="AB947" s="45"/>
      <c r="AD947" s="189"/>
      <c r="AE947" s="189"/>
      <c r="AF947" s="189"/>
      <c r="AG947" s="189"/>
      <c r="AH947" s="189"/>
      <c r="AI947" s="45"/>
      <c r="AJ947" s="45"/>
    </row>
    <row r="948" spans="16:36" x14ac:dyDescent="0.2">
      <c r="P948" s="73"/>
      <c r="AA948" s="45"/>
      <c r="AB948" s="45"/>
      <c r="AD948" s="189"/>
      <c r="AE948" s="189"/>
      <c r="AF948" s="189"/>
      <c r="AG948" s="189"/>
      <c r="AH948" s="189"/>
      <c r="AI948" s="45"/>
      <c r="AJ948" s="45"/>
    </row>
    <row r="949" spans="16:36" x14ac:dyDescent="0.2">
      <c r="P949" s="73"/>
      <c r="AA949" s="45"/>
      <c r="AB949" s="45"/>
      <c r="AD949" s="189"/>
      <c r="AE949" s="189"/>
      <c r="AF949" s="189"/>
      <c r="AG949" s="189"/>
      <c r="AH949" s="189"/>
      <c r="AI949" s="45"/>
      <c r="AJ949" s="45"/>
    </row>
    <row r="950" spans="16:36" x14ac:dyDescent="0.2">
      <c r="P950" s="73"/>
      <c r="AA950" s="45"/>
      <c r="AB950" s="45"/>
      <c r="AD950" s="189"/>
      <c r="AE950" s="189"/>
      <c r="AF950" s="189"/>
      <c r="AG950" s="189"/>
      <c r="AH950" s="189"/>
      <c r="AI950" s="45"/>
      <c r="AJ950" s="45"/>
    </row>
    <row r="951" spans="16:36" x14ac:dyDescent="0.2">
      <c r="P951" s="73"/>
      <c r="AA951" s="45"/>
      <c r="AB951" s="45"/>
      <c r="AD951" s="189"/>
      <c r="AE951" s="189"/>
      <c r="AF951" s="189"/>
      <c r="AG951" s="189"/>
      <c r="AH951" s="189"/>
      <c r="AI951" s="45"/>
      <c r="AJ951" s="45"/>
    </row>
    <row r="952" spans="16:36" x14ac:dyDescent="0.2">
      <c r="P952" s="73"/>
      <c r="AA952" s="45"/>
      <c r="AB952" s="45"/>
      <c r="AD952" s="189"/>
      <c r="AE952" s="189"/>
      <c r="AF952" s="189"/>
      <c r="AG952" s="189"/>
      <c r="AH952" s="189"/>
      <c r="AI952" s="45"/>
      <c r="AJ952" s="45"/>
    </row>
    <row r="953" spans="16:36" x14ac:dyDescent="0.2">
      <c r="P953" s="73"/>
      <c r="AA953" s="45"/>
      <c r="AB953" s="45"/>
      <c r="AD953" s="189"/>
      <c r="AE953" s="189"/>
      <c r="AF953" s="189"/>
      <c r="AG953" s="189"/>
      <c r="AH953" s="189"/>
      <c r="AI953" s="45"/>
      <c r="AJ953" s="45"/>
    </row>
    <row r="954" spans="16:36" x14ac:dyDescent="0.2">
      <c r="P954" s="73"/>
      <c r="AA954" s="45"/>
      <c r="AB954" s="45"/>
      <c r="AD954" s="189"/>
      <c r="AE954" s="189"/>
      <c r="AF954" s="189"/>
      <c r="AG954" s="189"/>
      <c r="AH954" s="189"/>
      <c r="AI954" s="45"/>
      <c r="AJ954" s="45"/>
    </row>
    <row r="955" spans="16:36" x14ac:dyDescent="0.2">
      <c r="P955" s="73"/>
      <c r="AA955" s="45"/>
      <c r="AB955" s="45"/>
      <c r="AD955" s="189"/>
      <c r="AE955" s="189"/>
      <c r="AF955" s="189"/>
      <c r="AG955" s="189"/>
      <c r="AH955" s="189"/>
      <c r="AI955" s="45"/>
      <c r="AJ955" s="45"/>
    </row>
    <row r="956" spans="16:36" x14ac:dyDescent="0.2">
      <c r="P956" s="73"/>
      <c r="AA956" s="45"/>
      <c r="AB956" s="45"/>
      <c r="AD956" s="189"/>
      <c r="AE956" s="189"/>
      <c r="AF956" s="189"/>
      <c r="AG956" s="189"/>
      <c r="AH956" s="189"/>
      <c r="AI956" s="45"/>
      <c r="AJ956" s="45"/>
    </row>
    <row r="957" spans="16:36" x14ac:dyDescent="0.2">
      <c r="P957" s="73"/>
      <c r="AA957" s="45"/>
      <c r="AB957" s="45"/>
      <c r="AD957" s="189"/>
      <c r="AE957" s="189"/>
      <c r="AF957" s="189"/>
      <c r="AG957" s="189"/>
      <c r="AH957" s="189"/>
      <c r="AI957" s="45"/>
      <c r="AJ957" s="45"/>
    </row>
    <row r="958" spans="16:36" x14ac:dyDescent="0.2">
      <c r="P958" s="73"/>
      <c r="AA958" s="45"/>
      <c r="AB958" s="45"/>
      <c r="AD958" s="189"/>
      <c r="AE958" s="189"/>
      <c r="AF958" s="189"/>
      <c r="AG958" s="189"/>
      <c r="AH958" s="189"/>
      <c r="AI958" s="45"/>
      <c r="AJ958" s="45"/>
    </row>
    <row r="959" spans="16:36" x14ac:dyDescent="0.2">
      <c r="P959" s="73"/>
      <c r="AA959" s="45"/>
      <c r="AB959" s="45"/>
      <c r="AD959" s="189"/>
      <c r="AE959" s="189"/>
      <c r="AF959" s="189"/>
      <c r="AG959" s="189"/>
      <c r="AH959" s="189"/>
      <c r="AI959" s="45"/>
      <c r="AJ959" s="45"/>
    </row>
    <row r="960" spans="16:36" x14ac:dyDescent="0.2">
      <c r="P960" s="73"/>
      <c r="AA960" s="45"/>
      <c r="AB960" s="45"/>
      <c r="AD960" s="189"/>
      <c r="AE960" s="189"/>
      <c r="AF960" s="189"/>
      <c r="AG960" s="189"/>
      <c r="AH960" s="189"/>
      <c r="AI960" s="45"/>
      <c r="AJ960" s="45"/>
    </row>
    <row r="961" spans="16:36" x14ac:dyDescent="0.2">
      <c r="P961" s="73"/>
      <c r="AA961" s="45"/>
      <c r="AB961" s="45"/>
      <c r="AD961" s="189"/>
      <c r="AE961" s="189"/>
      <c r="AF961" s="189"/>
      <c r="AG961" s="189"/>
      <c r="AH961" s="189"/>
      <c r="AI961" s="45"/>
      <c r="AJ961" s="45"/>
    </row>
    <row r="962" spans="16:36" x14ac:dyDescent="0.2">
      <c r="P962" s="73"/>
      <c r="AA962" s="45"/>
      <c r="AB962" s="45"/>
      <c r="AD962" s="189"/>
      <c r="AE962" s="189"/>
      <c r="AF962" s="189"/>
      <c r="AG962" s="189"/>
      <c r="AH962" s="189"/>
      <c r="AI962" s="45"/>
      <c r="AJ962" s="45"/>
    </row>
    <row r="963" spans="16:36" x14ac:dyDescent="0.2">
      <c r="P963" s="73"/>
      <c r="AA963" s="45"/>
      <c r="AB963" s="45"/>
      <c r="AD963" s="189"/>
      <c r="AE963" s="189"/>
      <c r="AF963" s="189"/>
      <c r="AG963" s="189"/>
      <c r="AH963" s="189"/>
      <c r="AI963" s="45"/>
      <c r="AJ963" s="45"/>
    </row>
    <row r="964" spans="16:36" x14ac:dyDescent="0.2">
      <c r="P964" s="73"/>
      <c r="AA964" s="45"/>
      <c r="AB964" s="45"/>
      <c r="AD964" s="189"/>
      <c r="AE964" s="189"/>
      <c r="AF964" s="189"/>
      <c r="AG964" s="189"/>
      <c r="AH964" s="189"/>
      <c r="AI964" s="45"/>
      <c r="AJ964" s="45"/>
    </row>
    <row r="965" spans="16:36" x14ac:dyDescent="0.2">
      <c r="P965" s="73"/>
      <c r="AA965" s="45"/>
      <c r="AB965" s="45"/>
      <c r="AD965" s="189"/>
      <c r="AE965" s="189"/>
      <c r="AF965" s="189"/>
      <c r="AG965" s="189"/>
      <c r="AH965" s="189"/>
      <c r="AI965" s="45"/>
      <c r="AJ965" s="45"/>
    </row>
    <row r="966" spans="16:36" x14ac:dyDescent="0.2">
      <c r="P966" s="73"/>
      <c r="AA966" s="45"/>
      <c r="AB966" s="45"/>
      <c r="AD966" s="189"/>
      <c r="AE966" s="189"/>
      <c r="AF966" s="189"/>
      <c r="AG966" s="189"/>
      <c r="AH966" s="189"/>
      <c r="AI966" s="45"/>
      <c r="AJ966" s="45"/>
    </row>
    <row r="967" spans="16:36" x14ac:dyDescent="0.2">
      <c r="P967" s="73"/>
      <c r="AA967" s="45"/>
      <c r="AB967" s="45"/>
      <c r="AD967" s="189"/>
      <c r="AE967" s="189"/>
      <c r="AF967" s="189"/>
      <c r="AG967" s="189"/>
      <c r="AH967" s="189"/>
      <c r="AI967" s="45"/>
      <c r="AJ967" s="45"/>
    </row>
    <row r="968" spans="16:36" x14ac:dyDescent="0.2">
      <c r="P968" s="73"/>
      <c r="AA968" s="45"/>
      <c r="AB968" s="45"/>
      <c r="AD968" s="189"/>
      <c r="AE968" s="189"/>
      <c r="AF968" s="189"/>
      <c r="AG968" s="189"/>
      <c r="AH968" s="189"/>
      <c r="AI968" s="45"/>
      <c r="AJ968" s="45"/>
    </row>
    <row r="969" spans="16:36" x14ac:dyDescent="0.2">
      <c r="P969" s="73"/>
      <c r="AA969" s="45"/>
      <c r="AB969" s="45"/>
      <c r="AD969" s="189"/>
      <c r="AE969" s="189"/>
      <c r="AF969" s="189"/>
      <c r="AG969" s="189"/>
      <c r="AH969" s="189"/>
      <c r="AI969" s="45"/>
      <c r="AJ969" s="45"/>
    </row>
    <row r="970" spans="16:36" x14ac:dyDescent="0.2">
      <c r="P970" s="73"/>
      <c r="AA970" s="45"/>
      <c r="AB970" s="45"/>
      <c r="AD970" s="189"/>
      <c r="AE970" s="189"/>
      <c r="AF970" s="189"/>
      <c r="AG970" s="189"/>
      <c r="AH970" s="189"/>
      <c r="AI970" s="45"/>
      <c r="AJ970" s="45"/>
    </row>
    <row r="971" spans="16:36" x14ac:dyDescent="0.2">
      <c r="P971" s="73"/>
      <c r="AA971" s="45"/>
      <c r="AB971" s="45"/>
      <c r="AD971" s="189"/>
      <c r="AE971" s="189"/>
      <c r="AF971" s="189"/>
      <c r="AG971" s="189"/>
      <c r="AH971" s="189"/>
      <c r="AI971" s="45"/>
      <c r="AJ971" s="45"/>
    </row>
    <row r="972" spans="16:36" x14ac:dyDescent="0.2">
      <c r="P972" s="73"/>
      <c r="AA972" s="45"/>
      <c r="AB972" s="45"/>
      <c r="AD972" s="189"/>
      <c r="AE972" s="189"/>
      <c r="AF972" s="189"/>
      <c r="AG972" s="189"/>
      <c r="AH972" s="189"/>
      <c r="AI972" s="45"/>
      <c r="AJ972" s="45"/>
    </row>
    <row r="973" spans="16:36" x14ac:dyDescent="0.2">
      <c r="P973" s="73"/>
      <c r="AA973" s="45"/>
      <c r="AB973" s="45"/>
      <c r="AD973" s="189"/>
      <c r="AE973" s="189"/>
      <c r="AF973" s="189"/>
      <c r="AG973" s="189"/>
      <c r="AH973" s="189"/>
      <c r="AI973" s="45"/>
      <c r="AJ973" s="45"/>
    </row>
    <row r="974" spans="16:36" x14ac:dyDescent="0.2">
      <c r="P974" s="73"/>
      <c r="AA974" s="45"/>
      <c r="AB974" s="45"/>
      <c r="AD974" s="189"/>
      <c r="AE974" s="189"/>
      <c r="AF974" s="189"/>
      <c r="AG974" s="189"/>
      <c r="AH974" s="189"/>
      <c r="AI974" s="45"/>
      <c r="AJ974" s="45"/>
    </row>
    <row r="975" spans="16:36" x14ac:dyDescent="0.2">
      <c r="P975" s="73"/>
      <c r="AA975" s="45"/>
      <c r="AB975" s="45"/>
      <c r="AD975" s="189"/>
      <c r="AE975" s="189"/>
      <c r="AF975" s="189"/>
      <c r="AG975" s="189"/>
      <c r="AH975" s="189"/>
      <c r="AI975" s="45"/>
      <c r="AJ975" s="45"/>
    </row>
    <row r="976" spans="16:36" x14ac:dyDescent="0.2">
      <c r="P976" s="73"/>
      <c r="AA976" s="45"/>
      <c r="AB976" s="45"/>
      <c r="AD976" s="189"/>
      <c r="AE976" s="189"/>
      <c r="AF976" s="189"/>
      <c r="AG976" s="189"/>
      <c r="AH976" s="189"/>
      <c r="AI976" s="45"/>
      <c r="AJ976" s="45"/>
    </row>
    <row r="977" spans="16:36" x14ac:dyDescent="0.2">
      <c r="P977" s="73"/>
      <c r="AA977" s="45"/>
      <c r="AB977" s="45"/>
      <c r="AD977" s="189"/>
      <c r="AE977" s="189"/>
      <c r="AF977" s="189"/>
      <c r="AG977" s="189"/>
      <c r="AH977" s="189"/>
      <c r="AI977" s="45"/>
      <c r="AJ977" s="45"/>
    </row>
    <row r="978" spans="16:36" x14ac:dyDescent="0.2">
      <c r="P978" s="73"/>
      <c r="AA978" s="45"/>
      <c r="AB978" s="45"/>
      <c r="AD978" s="189"/>
      <c r="AE978" s="189"/>
      <c r="AF978" s="189"/>
      <c r="AG978" s="189"/>
      <c r="AH978" s="189"/>
      <c r="AI978" s="45"/>
      <c r="AJ978" s="45"/>
    </row>
    <row r="979" spans="16:36" x14ac:dyDescent="0.2">
      <c r="P979" s="73"/>
      <c r="AA979" s="45"/>
      <c r="AB979" s="45"/>
      <c r="AD979" s="189"/>
      <c r="AE979" s="189"/>
      <c r="AF979" s="189"/>
      <c r="AG979" s="189"/>
      <c r="AH979" s="189"/>
      <c r="AI979" s="45"/>
      <c r="AJ979" s="45"/>
    </row>
    <row r="980" spans="16:36" x14ac:dyDescent="0.2">
      <c r="P980" s="73"/>
      <c r="AA980" s="45"/>
      <c r="AB980" s="45"/>
      <c r="AD980" s="189"/>
      <c r="AE980" s="189"/>
      <c r="AF980" s="189"/>
      <c r="AG980" s="189"/>
      <c r="AH980" s="189"/>
      <c r="AI980" s="45"/>
      <c r="AJ980" s="45"/>
    </row>
    <row r="981" spans="16:36" x14ac:dyDescent="0.2">
      <c r="P981" s="73"/>
      <c r="AA981" s="45"/>
      <c r="AB981" s="45"/>
      <c r="AD981" s="189"/>
      <c r="AE981" s="189"/>
      <c r="AF981" s="189"/>
      <c r="AG981" s="189"/>
      <c r="AH981" s="189"/>
      <c r="AI981" s="45"/>
      <c r="AJ981" s="45"/>
    </row>
    <row r="982" spans="16:36" x14ac:dyDescent="0.2">
      <c r="P982" s="73"/>
      <c r="AA982" s="45"/>
      <c r="AB982" s="45"/>
      <c r="AD982" s="189"/>
      <c r="AE982" s="189"/>
      <c r="AF982" s="189"/>
      <c r="AG982" s="189"/>
      <c r="AH982" s="189"/>
      <c r="AI982" s="45"/>
      <c r="AJ982" s="45"/>
    </row>
    <row r="983" spans="16:36" x14ac:dyDescent="0.2">
      <c r="P983" s="73"/>
      <c r="AA983" s="45"/>
      <c r="AB983" s="45"/>
      <c r="AD983" s="189"/>
      <c r="AE983" s="189"/>
      <c r="AF983" s="189"/>
      <c r="AG983" s="189"/>
      <c r="AH983" s="189"/>
      <c r="AI983" s="45"/>
      <c r="AJ983" s="45"/>
    </row>
    <row r="984" spans="16:36" x14ac:dyDescent="0.2">
      <c r="P984" s="73"/>
      <c r="AA984" s="45"/>
      <c r="AB984" s="45"/>
      <c r="AD984" s="189"/>
      <c r="AE984" s="189"/>
      <c r="AF984" s="189"/>
      <c r="AG984" s="189"/>
      <c r="AH984" s="189"/>
      <c r="AI984" s="45"/>
      <c r="AJ984" s="45"/>
    </row>
    <row r="985" spans="16:36" x14ac:dyDescent="0.2">
      <c r="P985" s="73"/>
      <c r="AA985" s="45"/>
      <c r="AB985" s="45"/>
      <c r="AD985" s="189"/>
      <c r="AE985" s="189"/>
      <c r="AF985" s="189"/>
      <c r="AG985" s="189"/>
      <c r="AH985" s="189"/>
      <c r="AI985" s="45"/>
      <c r="AJ985" s="45"/>
    </row>
    <row r="986" spans="16:36" x14ac:dyDescent="0.2">
      <c r="P986" s="73"/>
      <c r="AA986" s="45"/>
      <c r="AB986" s="45"/>
      <c r="AD986" s="189"/>
      <c r="AE986" s="189"/>
      <c r="AF986" s="189"/>
      <c r="AG986" s="189"/>
      <c r="AH986" s="189"/>
      <c r="AI986" s="45"/>
      <c r="AJ986" s="45"/>
    </row>
    <row r="987" spans="16:36" x14ac:dyDescent="0.2">
      <c r="P987" s="73"/>
      <c r="AA987" s="45"/>
      <c r="AB987" s="45"/>
      <c r="AD987" s="189"/>
      <c r="AE987" s="189"/>
      <c r="AF987" s="189"/>
      <c r="AG987" s="189"/>
      <c r="AH987" s="189"/>
      <c r="AI987" s="45"/>
      <c r="AJ987" s="45"/>
    </row>
    <row r="988" spans="16:36" x14ac:dyDescent="0.2">
      <c r="P988" s="73"/>
      <c r="AA988" s="45"/>
      <c r="AB988" s="45"/>
      <c r="AD988" s="189"/>
      <c r="AE988" s="189"/>
      <c r="AF988" s="189"/>
      <c r="AG988" s="189"/>
      <c r="AH988" s="189"/>
      <c r="AI988" s="45"/>
      <c r="AJ988" s="45"/>
    </row>
    <row r="989" spans="16:36" x14ac:dyDescent="0.2">
      <c r="P989" s="73"/>
      <c r="AA989" s="45"/>
      <c r="AB989" s="45"/>
      <c r="AD989" s="189"/>
      <c r="AE989" s="189"/>
      <c r="AF989" s="189"/>
      <c r="AG989" s="189"/>
      <c r="AH989" s="189"/>
      <c r="AI989" s="45"/>
      <c r="AJ989" s="45"/>
    </row>
    <row r="990" spans="16:36" x14ac:dyDescent="0.2">
      <c r="P990" s="73"/>
      <c r="AA990" s="45"/>
      <c r="AB990" s="45"/>
      <c r="AD990" s="189"/>
      <c r="AE990" s="189"/>
      <c r="AF990" s="189"/>
      <c r="AG990" s="189"/>
      <c r="AH990" s="189"/>
      <c r="AI990" s="45"/>
      <c r="AJ990" s="45"/>
    </row>
    <row r="991" spans="16:36" x14ac:dyDescent="0.2">
      <c r="P991" s="73"/>
      <c r="AA991" s="45"/>
      <c r="AB991" s="45"/>
      <c r="AD991" s="189"/>
      <c r="AE991" s="189"/>
      <c r="AF991" s="189"/>
      <c r="AG991" s="189"/>
      <c r="AH991" s="189"/>
      <c r="AI991" s="45"/>
      <c r="AJ991" s="45"/>
    </row>
    <row r="992" spans="16:36" x14ac:dyDescent="0.2">
      <c r="P992" s="73"/>
      <c r="AA992" s="45"/>
      <c r="AB992" s="45"/>
      <c r="AD992" s="189"/>
      <c r="AE992" s="189"/>
      <c r="AF992" s="189"/>
      <c r="AG992" s="189"/>
      <c r="AH992" s="189"/>
      <c r="AI992" s="45"/>
      <c r="AJ992" s="45"/>
    </row>
    <row r="993" spans="16:36" x14ac:dyDescent="0.2">
      <c r="P993" s="73"/>
      <c r="AA993" s="45"/>
      <c r="AB993" s="45"/>
      <c r="AD993" s="189"/>
      <c r="AE993" s="189"/>
      <c r="AF993" s="189"/>
      <c r="AG993" s="189"/>
      <c r="AH993" s="189"/>
      <c r="AI993" s="45"/>
      <c r="AJ993" s="45"/>
    </row>
    <row r="994" spans="16:36" x14ac:dyDescent="0.2">
      <c r="P994" s="73"/>
      <c r="AA994" s="45"/>
      <c r="AB994" s="45"/>
      <c r="AD994" s="189"/>
      <c r="AE994" s="189"/>
      <c r="AF994" s="189"/>
      <c r="AG994" s="189"/>
      <c r="AH994" s="189"/>
      <c r="AI994" s="45"/>
      <c r="AJ994" s="45"/>
    </row>
    <row r="995" spans="16:36" x14ac:dyDescent="0.2">
      <c r="P995" s="73"/>
      <c r="AA995" s="45"/>
      <c r="AB995" s="45"/>
      <c r="AD995" s="189"/>
      <c r="AE995" s="189"/>
      <c r="AF995" s="189"/>
      <c r="AG995" s="189"/>
      <c r="AH995" s="189"/>
      <c r="AI995" s="45"/>
      <c r="AJ995" s="45"/>
    </row>
    <row r="996" spans="16:36" x14ac:dyDescent="0.2">
      <c r="P996" s="73"/>
      <c r="AA996" s="45"/>
      <c r="AB996" s="45"/>
      <c r="AD996" s="189"/>
      <c r="AE996" s="189"/>
      <c r="AF996" s="189"/>
      <c r="AG996" s="189"/>
      <c r="AH996" s="189"/>
      <c r="AI996" s="45"/>
      <c r="AJ996" s="45"/>
    </row>
    <row r="997" spans="16:36" x14ac:dyDescent="0.2">
      <c r="P997" s="73"/>
      <c r="AA997" s="45"/>
      <c r="AB997" s="45"/>
      <c r="AD997" s="189"/>
      <c r="AE997" s="189"/>
      <c r="AF997" s="189"/>
      <c r="AG997" s="189"/>
      <c r="AH997" s="189"/>
      <c r="AI997" s="45"/>
      <c r="AJ997" s="45"/>
    </row>
    <row r="998" spans="16:36" x14ac:dyDescent="0.2">
      <c r="P998" s="73"/>
      <c r="AA998" s="45"/>
      <c r="AB998" s="45"/>
      <c r="AD998" s="189"/>
      <c r="AE998" s="189"/>
      <c r="AF998" s="189"/>
      <c r="AG998" s="189"/>
      <c r="AH998" s="189"/>
      <c r="AI998" s="45"/>
      <c r="AJ998" s="45"/>
    </row>
    <row r="999" spans="16:36" x14ac:dyDescent="0.2">
      <c r="P999" s="73"/>
      <c r="AA999" s="45"/>
      <c r="AB999" s="45"/>
      <c r="AD999" s="189"/>
      <c r="AE999" s="189"/>
      <c r="AF999" s="189"/>
      <c r="AG999" s="189"/>
      <c r="AH999" s="189"/>
      <c r="AI999" s="45"/>
      <c r="AJ999" s="45"/>
    </row>
    <row r="1000" spans="16:36" x14ac:dyDescent="0.2">
      <c r="P1000" s="73"/>
      <c r="AA1000" s="45"/>
      <c r="AB1000" s="45"/>
      <c r="AD1000" s="189"/>
      <c r="AE1000" s="189"/>
      <c r="AF1000" s="189"/>
      <c r="AG1000" s="189"/>
      <c r="AH1000" s="189"/>
      <c r="AI1000" s="45"/>
      <c r="AJ1000" s="45"/>
    </row>
    <row r="1001" spans="16:36" x14ac:dyDescent="0.2">
      <c r="P1001" s="73"/>
      <c r="AA1001" s="45"/>
      <c r="AB1001" s="45"/>
      <c r="AD1001" s="189"/>
      <c r="AE1001" s="189"/>
      <c r="AF1001" s="189"/>
      <c r="AG1001" s="189"/>
      <c r="AH1001" s="189"/>
      <c r="AI1001" s="45"/>
      <c r="AJ1001" s="45"/>
    </row>
    <row r="1002" spans="16:36" x14ac:dyDescent="0.2">
      <c r="P1002" s="73"/>
      <c r="AA1002" s="45"/>
      <c r="AB1002" s="45"/>
      <c r="AD1002" s="189"/>
      <c r="AE1002" s="189"/>
      <c r="AF1002" s="189"/>
      <c r="AG1002" s="189"/>
      <c r="AH1002" s="189"/>
      <c r="AI1002" s="45"/>
      <c r="AJ1002" s="45"/>
    </row>
    <row r="1003" spans="16:36" x14ac:dyDescent="0.2">
      <c r="P1003" s="73"/>
      <c r="AA1003" s="45"/>
      <c r="AB1003" s="45"/>
      <c r="AD1003" s="189"/>
      <c r="AE1003" s="189"/>
      <c r="AF1003" s="189"/>
      <c r="AG1003" s="189"/>
      <c r="AH1003" s="189"/>
      <c r="AI1003" s="45"/>
      <c r="AJ1003" s="45"/>
    </row>
    <row r="1004" spans="16:36" x14ac:dyDescent="0.2">
      <c r="P1004" s="73"/>
      <c r="AA1004" s="45"/>
      <c r="AB1004" s="45"/>
      <c r="AD1004" s="189"/>
      <c r="AE1004" s="189"/>
      <c r="AF1004" s="189"/>
      <c r="AG1004" s="189"/>
      <c r="AH1004" s="189"/>
      <c r="AI1004" s="45"/>
      <c r="AJ1004" s="45"/>
    </row>
    <row r="1005" spans="16:36" x14ac:dyDescent="0.2">
      <c r="P1005" s="73"/>
      <c r="AA1005" s="45"/>
      <c r="AB1005" s="45"/>
      <c r="AD1005" s="189"/>
      <c r="AE1005" s="189"/>
      <c r="AF1005" s="189"/>
      <c r="AG1005" s="189"/>
      <c r="AH1005" s="189"/>
      <c r="AI1005" s="45"/>
      <c r="AJ1005" s="45"/>
    </row>
    <row r="1006" spans="16:36" x14ac:dyDescent="0.2">
      <c r="P1006" s="73"/>
      <c r="AA1006" s="45"/>
      <c r="AB1006" s="45"/>
      <c r="AD1006" s="189"/>
      <c r="AE1006" s="189"/>
      <c r="AF1006" s="189"/>
      <c r="AG1006" s="189"/>
      <c r="AH1006" s="189"/>
      <c r="AI1006" s="45"/>
      <c r="AJ1006" s="45"/>
    </row>
    <row r="1007" spans="16:36" x14ac:dyDescent="0.2">
      <c r="P1007" s="73"/>
      <c r="AA1007" s="45"/>
      <c r="AB1007" s="45"/>
      <c r="AD1007" s="189"/>
      <c r="AE1007" s="189"/>
      <c r="AF1007" s="189"/>
      <c r="AG1007" s="189"/>
      <c r="AH1007" s="189"/>
      <c r="AI1007" s="45"/>
      <c r="AJ1007" s="45"/>
    </row>
    <row r="1008" spans="16:36" x14ac:dyDescent="0.2">
      <c r="P1008" s="73"/>
      <c r="AA1008" s="45"/>
      <c r="AB1008" s="45"/>
      <c r="AD1008" s="189"/>
      <c r="AE1008" s="189"/>
      <c r="AF1008" s="189"/>
      <c r="AG1008" s="189"/>
      <c r="AH1008" s="189"/>
      <c r="AI1008" s="45"/>
      <c r="AJ1008" s="45"/>
    </row>
    <row r="1009" spans="16:36" x14ac:dyDescent="0.2">
      <c r="P1009" s="73"/>
      <c r="AA1009" s="45"/>
      <c r="AB1009" s="45"/>
      <c r="AD1009" s="189"/>
      <c r="AE1009" s="189"/>
      <c r="AF1009" s="189"/>
      <c r="AG1009" s="189"/>
      <c r="AH1009" s="189"/>
      <c r="AI1009" s="45"/>
      <c r="AJ1009" s="45"/>
    </row>
    <row r="1010" spans="16:36" x14ac:dyDescent="0.2">
      <c r="P1010" s="73"/>
      <c r="AA1010" s="45"/>
      <c r="AB1010" s="45"/>
      <c r="AD1010" s="189"/>
      <c r="AE1010" s="189"/>
      <c r="AF1010" s="189"/>
      <c r="AG1010" s="189"/>
      <c r="AH1010" s="189"/>
      <c r="AI1010" s="45"/>
      <c r="AJ1010" s="45"/>
    </row>
    <row r="1011" spans="16:36" x14ac:dyDescent="0.2">
      <c r="P1011" s="73"/>
      <c r="AA1011" s="45"/>
      <c r="AB1011" s="45"/>
      <c r="AD1011" s="189"/>
      <c r="AE1011" s="189"/>
      <c r="AF1011" s="189"/>
      <c r="AG1011" s="189"/>
      <c r="AH1011" s="189"/>
      <c r="AI1011" s="45"/>
      <c r="AJ1011" s="45"/>
    </row>
    <row r="1012" spans="16:36" x14ac:dyDescent="0.2">
      <c r="P1012" s="73"/>
      <c r="AA1012" s="45"/>
      <c r="AB1012" s="45"/>
      <c r="AD1012" s="189"/>
      <c r="AE1012" s="189"/>
      <c r="AF1012" s="189"/>
      <c r="AG1012" s="189"/>
      <c r="AH1012" s="189"/>
      <c r="AI1012" s="45"/>
      <c r="AJ1012" s="45"/>
    </row>
    <row r="1013" spans="16:36" x14ac:dyDescent="0.2">
      <c r="P1013" s="73"/>
      <c r="AA1013" s="45"/>
      <c r="AB1013" s="45"/>
      <c r="AD1013" s="189"/>
      <c r="AE1013" s="189"/>
      <c r="AF1013" s="189"/>
      <c r="AG1013" s="189"/>
      <c r="AH1013" s="189"/>
      <c r="AI1013" s="45"/>
      <c r="AJ1013" s="45"/>
    </row>
    <row r="1014" spans="16:36" x14ac:dyDescent="0.2">
      <c r="P1014" s="73"/>
      <c r="AA1014" s="45"/>
      <c r="AB1014" s="45"/>
      <c r="AD1014" s="189"/>
      <c r="AE1014" s="189"/>
      <c r="AF1014" s="189"/>
      <c r="AG1014" s="189"/>
      <c r="AH1014" s="189"/>
      <c r="AI1014" s="45"/>
      <c r="AJ1014" s="45"/>
    </row>
    <row r="1015" spans="16:36" x14ac:dyDescent="0.2">
      <c r="P1015" s="73"/>
      <c r="AA1015" s="45"/>
      <c r="AB1015" s="45"/>
      <c r="AD1015" s="189"/>
      <c r="AE1015" s="189"/>
      <c r="AF1015" s="189"/>
      <c r="AG1015" s="189"/>
      <c r="AH1015" s="189"/>
      <c r="AI1015" s="45"/>
      <c r="AJ1015" s="45"/>
    </row>
    <row r="1016" spans="16:36" x14ac:dyDescent="0.2">
      <c r="P1016" s="73"/>
      <c r="AA1016" s="45"/>
      <c r="AB1016" s="45"/>
      <c r="AD1016" s="189"/>
      <c r="AE1016" s="189"/>
      <c r="AF1016" s="189"/>
      <c r="AG1016" s="189"/>
      <c r="AH1016" s="189"/>
      <c r="AI1016" s="45"/>
      <c r="AJ1016" s="45"/>
    </row>
    <row r="1017" spans="16:36" x14ac:dyDescent="0.2">
      <c r="P1017" s="73"/>
      <c r="AA1017" s="45"/>
      <c r="AB1017" s="45"/>
      <c r="AD1017" s="189"/>
      <c r="AE1017" s="189"/>
      <c r="AF1017" s="189"/>
      <c r="AG1017" s="189"/>
      <c r="AH1017" s="189"/>
      <c r="AI1017" s="45"/>
      <c r="AJ1017" s="45"/>
    </row>
    <row r="1018" spans="16:36" x14ac:dyDescent="0.2">
      <c r="P1018" s="73"/>
      <c r="AA1018" s="45"/>
      <c r="AB1018" s="45"/>
      <c r="AD1018" s="189"/>
      <c r="AE1018" s="189"/>
      <c r="AF1018" s="189"/>
      <c r="AG1018" s="189"/>
      <c r="AH1018" s="189"/>
      <c r="AI1018" s="45"/>
      <c r="AJ1018" s="45"/>
    </row>
    <row r="1019" spans="16:36" x14ac:dyDescent="0.2">
      <c r="P1019" s="73"/>
      <c r="AA1019" s="45"/>
      <c r="AB1019" s="45"/>
      <c r="AD1019" s="189"/>
      <c r="AE1019" s="189"/>
      <c r="AF1019" s="189"/>
      <c r="AG1019" s="189"/>
      <c r="AH1019" s="189"/>
      <c r="AI1019" s="45"/>
      <c r="AJ1019" s="45"/>
    </row>
    <row r="1020" spans="16:36" x14ac:dyDescent="0.2">
      <c r="P1020" s="73"/>
      <c r="AA1020" s="45"/>
      <c r="AB1020" s="45"/>
      <c r="AD1020" s="189"/>
      <c r="AE1020" s="189"/>
      <c r="AF1020" s="189"/>
      <c r="AG1020" s="189"/>
      <c r="AH1020" s="189"/>
      <c r="AI1020" s="45"/>
      <c r="AJ1020" s="45"/>
    </row>
    <row r="1021" spans="16:36" x14ac:dyDescent="0.2">
      <c r="P1021" s="73"/>
      <c r="AA1021" s="45"/>
      <c r="AB1021" s="45"/>
      <c r="AD1021" s="189"/>
      <c r="AE1021" s="189"/>
      <c r="AF1021" s="189"/>
      <c r="AG1021" s="189"/>
      <c r="AH1021" s="189"/>
      <c r="AI1021" s="45"/>
      <c r="AJ1021" s="45"/>
    </row>
    <row r="1022" spans="16:36" x14ac:dyDescent="0.2">
      <c r="P1022" s="73"/>
      <c r="AA1022" s="45"/>
      <c r="AB1022" s="45"/>
      <c r="AD1022" s="189"/>
      <c r="AE1022" s="189"/>
      <c r="AF1022" s="189"/>
      <c r="AG1022" s="189"/>
      <c r="AH1022" s="189"/>
      <c r="AI1022" s="45"/>
      <c r="AJ1022" s="45"/>
    </row>
    <row r="1023" spans="16:36" x14ac:dyDescent="0.2">
      <c r="P1023" s="73"/>
      <c r="AA1023" s="45"/>
      <c r="AB1023" s="45"/>
      <c r="AD1023" s="189"/>
      <c r="AE1023" s="189"/>
      <c r="AF1023" s="189"/>
      <c r="AG1023" s="189"/>
      <c r="AH1023" s="189"/>
      <c r="AI1023" s="45"/>
      <c r="AJ1023" s="45"/>
    </row>
    <row r="1024" spans="16:36" x14ac:dyDescent="0.2">
      <c r="P1024" s="73"/>
      <c r="AA1024" s="45"/>
      <c r="AB1024" s="45"/>
      <c r="AD1024" s="189"/>
      <c r="AE1024" s="189"/>
      <c r="AF1024" s="189"/>
      <c r="AG1024" s="189"/>
      <c r="AH1024" s="189"/>
      <c r="AI1024" s="45"/>
      <c r="AJ1024" s="45"/>
    </row>
    <row r="1025" spans="16:36" x14ac:dyDescent="0.2">
      <c r="P1025" s="73"/>
      <c r="AA1025" s="45"/>
      <c r="AB1025" s="45"/>
      <c r="AD1025" s="189"/>
      <c r="AE1025" s="189"/>
      <c r="AF1025" s="189"/>
      <c r="AG1025" s="189"/>
      <c r="AH1025" s="189"/>
      <c r="AI1025" s="45"/>
      <c r="AJ1025" s="45"/>
    </row>
    <row r="1026" spans="16:36" x14ac:dyDescent="0.2">
      <c r="P1026" s="73"/>
      <c r="AA1026" s="45"/>
      <c r="AB1026" s="45"/>
      <c r="AD1026" s="189"/>
      <c r="AE1026" s="189"/>
      <c r="AF1026" s="189"/>
      <c r="AG1026" s="189"/>
      <c r="AH1026" s="189"/>
      <c r="AI1026" s="45"/>
      <c r="AJ1026" s="45"/>
    </row>
    <row r="1027" spans="16:36" x14ac:dyDescent="0.2">
      <c r="P1027" s="73"/>
      <c r="AA1027" s="45"/>
      <c r="AB1027" s="45"/>
      <c r="AD1027" s="189"/>
      <c r="AE1027" s="189"/>
      <c r="AF1027" s="189"/>
      <c r="AG1027" s="189"/>
      <c r="AH1027" s="189"/>
      <c r="AI1027" s="45"/>
      <c r="AJ1027" s="45"/>
    </row>
    <row r="1028" spans="16:36" x14ac:dyDescent="0.2">
      <c r="P1028" s="73"/>
      <c r="AA1028" s="45"/>
      <c r="AB1028" s="45"/>
      <c r="AD1028" s="189"/>
      <c r="AE1028" s="189"/>
      <c r="AF1028" s="189"/>
      <c r="AG1028" s="189"/>
      <c r="AH1028" s="189"/>
      <c r="AI1028" s="45"/>
      <c r="AJ1028" s="45"/>
    </row>
    <row r="1029" spans="16:36" x14ac:dyDescent="0.2">
      <c r="P1029" s="73"/>
      <c r="AA1029" s="45"/>
      <c r="AB1029" s="45"/>
      <c r="AD1029" s="189"/>
      <c r="AE1029" s="189"/>
      <c r="AF1029" s="189"/>
      <c r="AG1029" s="189"/>
      <c r="AH1029" s="189"/>
      <c r="AI1029" s="45"/>
      <c r="AJ1029" s="45"/>
    </row>
    <row r="1030" spans="16:36" x14ac:dyDescent="0.2">
      <c r="P1030" s="73"/>
      <c r="AA1030" s="45"/>
      <c r="AB1030" s="45"/>
      <c r="AD1030" s="189"/>
      <c r="AE1030" s="189"/>
      <c r="AF1030" s="189"/>
      <c r="AG1030" s="189"/>
      <c r="AH1030" s="189"/>
      <c r="AI1030" s="45"/>
      <c r="AJ1030" s="45"/>
    </row>
    <row r="1031" spans="16:36" x14ac:dyDescent="0.2">
      <c r="P1031" s="73"/>
      <c r="AA1031" s="45"/>
      <c r="AB1031" s="45"/>
      <c r="AD1031" s="189"/>
      <c r="AE1031" s="189"/>
      <c r="AF1031" s="189"/>
      <c r="AG1031" s="189"/>
      <c r="AH1031" s="189"/>
      <c r="AI1031" s="45"/>
      <c r="AJ1031" s="45"/>
    </row>
    <row r="1032" spans="16:36" x14ac:dyDescent="0.2">
      <c r="P1032" s="73"/>
      <c r="AA1032" s="45"/>
      <c r="AB1032" s="45"/>
      <c r="AD1032" s="189"/>
      <c r="AE1032" s="189"/>
      <c r="AF1032" s="189"/>
      <c r="AG1032" s="189"/>
      <c r="AH1032" s="189"/>
      <c r="AI1032" s="45"/>
      <c r="AJ1032" s="45"/>
    </row>
    <row r="1033" spans="16:36" x14ac:dyDescent="0.2">
      <c r="P1033" s="73"/>
      <c r="AA1033" s="45"/>
      <c r="AB1033" s="45"/>
      <c r="AD1033" s="189"/>
      <c r="AE1033" s="189"/>
      <c r="AF1033" s="189"/>
      <c r="AG1033" s="189"/>
      <c r="AH1033" s="189"/>
      <c r="AI1033" s="45"/>
      <c r="AJ1033" s="45"/>
    </row>
    <row r="1034" spans="16:36" x14ac:dyDescent="0.2">
      <c r="P1034" s="73"/>
      <c r="AA1034" s="45"/>
      <c r="AB1034" s="45"/>
      <c r="AD1034" s="189"/>
      <c r="AE1034" s="189"/>
      <c r="AF1034" s="189"/>
      <c r="AG1034" s="189"/>
      <c r="AH1034" s="189"/>
      <c r="AI1034" s="45"/>
      <c r="AJ1034" s="45"/>
    </row>
    <row r="1035" spans="16:36" x14ac:dyDescent="0.2">
      <c r="P1035" s="73"/>
      <c r="AA1035" s="45"/>
      <c r="AB1035" s="45"/>
      <c r="AD1035" s="189"/>
      <c r="AE1035" s="189"/>
      <c r="AF1035" s="189"/>
      <c r="AG1035" s="189"/>
      <c r="AH1035" s="189"/>
      <c r="AI1035" s="45"/>
      <c r="AJ1035" s="45"/>
    </row>
    <row r="1036" spans="16:36" x14ac:dyDescent="0.2">
      <c r="P1036" s="73"/>
      <c r="AA1036" s="45"/>
      <c r="AB1036" s="45"/>
      <c r="AD1036" s="189"/>
      <c r="AE1036" s="189"/>
      <c r="AF1036" s="189"/>
      <c r="AG1036" s="189"/>
      <c r="AH1036" s="189"/>
      <c r="AI1036" s="45"/>
      <c r="AJ1036" s="45"/>
    </row>
    <row r="1037" spans="16:36" x14ac:dyDescent="0.2">
      <c r="P1037" s="73"/>
      <c r="AA1037" s="45"/>
      <c r="AB1037" s="45"/>
      <c r="AD1037" s="189"/>
      <c r="AE1037" s="189"/>
      <c r="AF1037" s="189"/>
      <c r="AG1037" s="189"/>
      <c r="AH1037" s="189"/>
      <c r="AI1037" s="45"/>
      <c r="AJ1037" s="45"/>
    </row>
    <row r="1038" spans="16:36" x14ac:dyDescent="0.2">
      <c r="P1038" s="73"/>
      <c r="AA1038" s="45"/>
      <c r="AB1038" s="45"/>
      <c r="AD1038" s="189"/>
      <c r="AE1038" s="189"/>
      <c r="AF1038" s="189"/>
      <c r="AG1038" s="189"/>
      <c r="AH1038" s="189"/>
      <c r="AI1038" s="45"/>
      <c r="AJ1038" s="45"/>
    </row>
    <row r="1039" spans="16:36" x14ac:dyDescent="0.2">
      <c r="P1039" s="73"/>
      <c r="AA1039" s="45"/>
      <c r="AB1039" s="45"/>
      <c r="AD1039" s="189"/>
      <c r="AE1039" s="189"/>
      <c r="AF1039" s="189"/>
      <c r="AG1039" s="189"/>
      <c r="AH1039" s="189"/>
      <c r="AI1039" s="45"/>
      <c r="AJ1039" s="45"/>
    </row>
    <row r="1040" spans="16:36" x14ac:dyDescent="0.2">
      <c r="P1040" s="73"/>
      <c r="AA1040" s="45"/>
      <c r="AB1040" s="45"/>
      <c r="AD1040" s="189"/>
      <c r="AE1040" s="189"/>
      <c r="AF1040" s="189"/>
      <c r="AG1040" s="189"/>
      <c r="AH1040" s="189"/>
      <c r="AI1040" s="45"/>
      <c r="AJ1040" s="45"/>
    </row>
    <row r="1041" spans="16:36" x14ac:dyDescent="0.2">
      <c r="P1041" s="73"/>
      <c r="AA1041" s="45"/>
      <c r="AB1041" s="45"/>
      <c r="AD1041" s="189"/>
      <c r="AE1041" s="189"/>
      <c r="AF1041" s="189"/>
      <c r="AG1041" s="189"/>
      <c r="AH1041" s="189"/>
      <c r="AI1041" s="45"/>
      <c r="AJ1041" s="45"/>
    </row>
    <row r="1042" spans="16:36" x14ac:dyDescent="0.2">
      <c r="P1042" s="73"/>
      <c r="AA1042" s="45"/>
      <c r="AB1042" s="45"/>
      <c r="AD1042" s="189"/>
      <c r="AE1042" s="189"/>
      <c r="AF1042" s="189"/>
      <c r="AG1042" s="189"/>
      <c r="AH1042" s="189"/>
      <c r="AI1042" s="45"/>
      <c r="AJ1042" s="45"/>
    </row>
    <row r="1043" spans="16:36" x14ac:dyDescent="0.2">
      <c r="P1043" s="73"/>
      <c r="AA1043" s="45"/>
      <c r="AB1043" s="45"/>
      <c r="AD1043" s="189"/>
      <c r="AE1043" s="189"/>
      <c r="AF1043" s="189"/>
      <c r="AG1043" s="189"/>
      <c r="AH1043" s="189"/>
      <c r="AI1043" s="45"/>
      <c r="AJ1043" s="45"/>
    </row>
    <row r="1044" spans="16:36" x14ac:dyDescent="0.2">
      <c r="P1044" s="73"/>
      <c r="AA1044" s="45"/>
      <c r="AB1044" s="45"/>
      <c r="AD1044" s="189"/>
      <c r="AE1044" s="189"/>
      <c r="AF1044" s="189"/>
      <c r="AG1044" s="189"/>
      <c r="AH1044" s="189"/>
      <c r="AI1044" s="45"/>
      <c r="AJ1044" s="45"/>
    </row>
    <row r="1045" spans="16:36" x14ac:dyDescent="0.2">
      <c r="P1045" s="73"/>
      <c r="AA1045" s="45"/>
      <c r="AB1045" s="45"/>
      <c r="AD1045" s="189"/>
      <c r="AE1045" s="189"/>
      <c r="AF1045" s="189"/>
      <c r="AG1045" s="189"/>
      <c r="AH1045" s="189"/>
      <c r="AI1045" s="45"/>
      <c r="AJ1045" s="45"/>
    </row>
    <row r="1046" spans="16:36" x14ac:dyDescent="0.2">
      <c r="P1046" s="73"/>
      <c r="AA1046" s="45"/>
      <c r="AB1046" s="45"/>
      <c r="AD1046" s="189"/>
      <c r="AE1046" s="189"/>
      <c r="AF1046" s="189"/>
      <c r="AG1046" s="189"/>
      <c r="AH1046" s="189"/>
      <c r="AI1046" s="45"/>
      <c r="AJ1046" s="45"/>
    </row>
    <row r="1047" spans="16:36" x14ac:dyDescent="0.2">
      <c r="P1047" s="73"/>
      <c r="AA1047" s="45"/>
      <c r="AB1047" s="45"/>
      <c r="AD1047" s="189"/>
      <c r="AE1047" s="189"/>
      <c r="AF1047" s="189"/>
      <c r="AG1047" s="189"/>
      <c r="AH1047" s="189"/>
      <c r="AI1047" s="45"/>
      <c r="AJ1047" s="45"/>
    </row>
    <row r="1048" spans="16:36" x14ac:dyDescent="0.2">
      <c r="P1048" s="73"/>
      <c r="AA1048" s="45"/>
      <c r="AB1048" s="45"/>
      <c r="AD1048" s="189"/>
      <c r="AE1048" s="189"/>
      <c r="AF1048" s="189"/>
      <c r="AG1048" s="189"/>
      <c r="AH1048" s="189"/>
      <c r="AI1048" s="45"/>
      <c r="AJ1048" s="45"/>
    </row>
    <row r="1049" spans="16:36" x14ac:dyDescent="0.2">
      <c r="P1049" s="73"/>
      <c r="AA1049" s="45"/>
      <c r="AB1049" s="45"/>
      <c r="AD1049" s="189"/>
      <c r="AE1049" s="189"/>
      <c r="AF1049" s="189"/>
      <c r="AG1049" s="189"/>
      <c r="AH1049" s="189"/>
      <c r="AI1049" s="45"/>
      <c r="AJ1049" s="45"/>
    </row>
    <row r="1050" spans="16:36" x14ac:dyDescent="0.2">
      <c r="P1050" s="73"/>
      <c r="AA1050" s="45"/>
      <c r="AB1050" s="45"/>
      <c r="AD1050" s="189"/>
      <c r="AE1050" s="189"/>
      <c r="AF1050" s="189"/>
      <c r="AG1050" s="189"/>
      <c r="AH1050" s="189"/>
      <c r="AI1050" s="45"/>
      <c r="AJ1050" s="45"/>
    </row>
    <row r="1051" spans="16:36" x14ac:dyDescent="0.2">
      <c r="P1051" s="73"/>
      <c r="AA1051" s="45"/>
      <c r="AB1051" s="45"/>
      <c r="AD1051" s="189"/>
      <c r="AE1051" s="189"/>
      <c r="AF1051" s="189"/>
      <c r="AG1051" s="189"/>
      <c r="AH1051" s="189"/>
      <c r="AI1051" s="45"/>
      <c r="AJ1051" s="45"/>
    </row>
    <row r="1052" spans="16:36" x14ac:dyDescent="0.2">
      <c r="P1052" s="73"/>
      <c r="AA1052" s="45"/>
      <c r="AB1052" s="45"/>
      <c r="AD1052" s="189"/>
      <c r="AE1052" s="189"/>
      <c r="AF1052" s="189"/>
      <c r="AG1052" s="189"/>
      <c r="AH1052" s="189"/>
      <c r="AI1052" s="45"/>
      <c r="AJ1052" s="45"/>
    </row>
    <row r="1053" spans="16:36" x14ac:dyDescent="0.2">
      <c r="P1053" s="73"/>
      <c r="AA1053" s="45"/>
      <c r="AB1053" s="45"/>
      <c r="AD1053" s="189"/>
      <c r="AE1053" s="189"/>
      <c r="AF1053" s="189"/>
      <c r="AG1053" s="189"/>
      <c r="AH1053" s="189"/>
      <c r="AI1053" s="45"/>
      <c r="AJ1053" s="45"/>
    </row>
    <row r="1054" spans="16:36" x14ac:dyDescent="0.2">
      <c r="P1054" s="73"/>
      <c r="AA1054" s="45"/>
      <c r="AB1054" s="45"/>
      <c r="AD1054" s="189"/>
      <c r="AE1054" s="189"/>
      <c r="AF1054" s="189"/>
      <c r="AG1054" s="189"/>
      <c r="AH1054" s="189"/>
      <c r="AI1054" s="45"/>
      <c r="AJ1054" s="45"/>
    </row>
    <row r="1055" spans="16:36" x14ac:dyDescent="0.2">
      <c r="P1055" s="73"/>
      <c r="AA1055" s="45"/>
      <c r="AB1055" s="45"/>
      <c r="AD1055" s="189"/>
      <c r="AE1055" s="189"/>
      <c r="AF1055" s="189"/>
      <c r="AG1055" s="189"/>
      <c r="AH1055" s="189"/>
      <c r="AI1055" s="45"/>
      <c r="AJ1055" s="45"/>
    </row>
    <row r="1056" spans="16:36" x14ac:dyDescent="0.2">
      <c r="P1056" s="73"/>
      <c r="AA1056" s="45"/>
      <c r="AB1056" s="45"/>
      <c r="AD1056" s="189"/>
      <c r="AE1056" s="189"/>
      <c r="AF1056" s="189"/>
      <c r="AG1056" s="189"/>
      <c r="AH1056" s="189"/>
      <c r="AI1056" s="45"/>
      <c r="AJ1056" s="45"/>
    </row>
    <row r="1057" spans="16:36" x14ac:dyDescent="0.2">
      <c r="P1057" s="73"/>
      <c r="AA1057" s="45"/>
      <c r="AB1057" s="45"/>
      <c r="AD1057" s="189"/>
      <c r="AE1057" s="189"/>
      <c r="AF1057" s="189"/>
      <c r="AG1057" s="189"/>
      <c r="AH1057" s="189"/>
      <c r="AI1057" s="45"/>
      <c r="AJ1057" s="45"/>
    </row>
    <row r="1058" spans="16:36" x14ac:dyDescent="0.2">
      <c r="P1058" s="73"/>
      <c r="AA1058" s="45"/>
      <c r="AB1058" s="45"/>
      <c r="AD1058" s="189"/>
      <c r="AE1058" s="189"/>
      <c r="AF1058" s="189"/>
      <c r="AG1058" s="189"/>
      <c r="AH1058" s="189"/>
      <c r="AI1058" s="45"/>
      <c r="AJ1058" s="45"/>
    </row>
    <row r="1059" spans="16:36" x14ac:dyDescent="0.2">
      <c r="P1059" s="73"/>
      <c r="AA1059" s="45"/>
      <c r="AB1059" s="45"/>
      <c r="AD1059" s="189"/>
      <c r="AE1059" s="189"/>
      <c r="AF1059" s="189"/>
      <c r="AG1059" s="189"/>
      <c r="AH1059" s="189"/>
      <c r="AI1059" s="45"/>
      <c r="AJ1059" s="45"/>
    </row>
    <row r="1060" spans="16:36" x14ac:dyDescent="0.2">
      <c r="P1060" s="73"/>
      <c r="AA1060" s="45"/>
      <c r="AB1060" s="45"/>
      <c r="AD1060" s="189"/>
      <c r="AE1060" s="189"/>
      <c r="AF1060" s="189"/>
      <c r="AG1060" s="189"/>
      <c r="AH1060" s="189"/>
      <c r="AI1060" s="45"/>
      <c r="AJ1060" s="45"/>
    </row>
    <row r="1061" spans="16:36" x14ac:dyDescent="0.2">
      <c r="P1061" s="73"/>
      <c r="AA1061" s="45"/>
      <c r="AB1061" s="45"/>
      <c r="AD1061" s="189"/>
      <c r="AE1061" s="189"/>
      <c r="AF1061" s="189"/>
      <c r="AG1061" s="189"/>
      <c r="AH1061" s="189"/>
      <c r="AI1061" s="45"/>
      <c r="AJ1061" s="45"/>
    </row>
    <row r="1062" spans="16:36" x14ac:dyDescent="0.2">
      <c r="P1062" s="73"/>
      <c r="AA1062" s="45"/>
      <c r="AB1062" s="45"/>
      <c r="AD1062" s="189"/>
      <c r="AE1062" s="189"/>
      <c r="AF1062" s="189"/>
      <c r="AG1062" s="189"/>
      <c r="AH1062" s="189"/>
      <c r="AI1062" s="45"/>
      <c r="AJ1062" s="45"/>
    </row>
    <row r="1063" spans="16:36" x14ac:dyDescent="0.2">
      <c r="P1063" s="73"/>
      <c r="AA1063" s="45"/>
      <c r="AB1063" s="45"/>
      <c r="AD1063" s="189"/>
      <c r="AE1063" s="189"/>
      <c r="AF1063" s="189"/>
      <c r="AG1063" s="189"/>
      <c r="AH1063" s="189"/>
      <c r="AI1063" s="45"/>
      <c r="AJ1063" s="45"/>
    </row>
    <row r="1064" spans="16:36" x14ac:dyDescent="0.2">
      <c r="P1064" s="73"/>
      <c r="AA1064" s="45"/>
      <c r="AB1064" s="45"/>
      <c r="AD1064" s="189"/>
      <c r="AE1064" s="189"/>
      <c r="AF1064" s="189"/>
      <c r="AG1064" s="189"/>
      <c r="AH1064" s="189"/>
      <c r="AI1064" s="45"/>
      <c r="AJ1064" s="45"/>
    </row>
    <row r="1065" spans="16:36" x14ac:dyDescent="0.2">
      <c r="P1065" s="73"/>
      <c r="AA1065" s="45"/>
      <c r="AB1065" s="45"/>
      <c r="AD1065" s="189"/>
      <c r="AE1065" s="189"/>
      <c r="AF1065" s="189"/>
      <c r="AG1065" s="189"/>
      <c r="AH1065" s="189"/>
      <c r="AI1065" s="45"/>
      <c r="AJ1065" s="45"/>
    </row>
    <row r="1066" spans="16:36" x14ac:dyDescent="0.2">
      <c r="P1066" s="73"/>
      <c r="AA1066" s="45"/>
      <c r="AB1066" s="45"/>
      <c r="AD1066" s="189"/>
      <c r="AE1066" s="189"/>
      <c r="AF1066" s="189"/>
      <c r="AG1066" s="189"/>
      <c r="AH1066" s="189"/>
      <c r="AI1066" s="45"/>
      <c r="AJ1066" s="45"/>
    </row>
    <row r="1067" spans="16:36" x14ac:dyDescent="0.2">
      <c r="P1067" s="73"/>
      <c r="AA1067" s="45"/>
      <c r="AB1067" s="45"/>
      <c r="AD1067" s="189"/>
      <c r="AE1067" s="189"/>
      <c r="AF1067" s="189"/>
      <c r="AG1067" s="189"/>
      <c r="AH1067" s="189"/>
      <c r="AI1067" s="45"/>
      <c r="AJ1067" s="45"/>
    </row>
    <row r="1068" spans="16:36" x14ac:dyDescent="0.2">
      <c r="P1068" s="73"/>
      <c r="AA1068" s="45"/>
      <c r="AB1068" s="45"/>
      <c r="AD1068" s="189"/>
      <c r="AE1068" s="189"/>
      <c r="AF1068" s="189"/>
      <c r="AG1068" s="189"/>
      <c r="AH1068" s="189"/>
      <c r="AI1068" s="45"/>
      <c r="AJ1068" s="45"/>
    </row>
    <row r="1069" spans="16:36" x14ac:dyDescent="0.2">
      <c r="P1069" s="73"/>
      <c r="AA1069" s="45"/>
      <c r="AB1069" s="45"/>
      <c r="AD1069" s="189"/>
      <c r="AE1069" s="189"/>
      <c r="AF1069" s="189"/>
      <c r="AG1069" s="189"/>
      <c r="AH1069" s="189"/>
      <c r="AI1069" s="45"/>
      <c r="AJ1069" s="45"/>
    </row>
    <row r="1070" spans="16:36" x14ac:dyDescent="0.2">
      <c r="P1070" s="73"/>
      <c r="AA1070" s="45"/>
      <c r="AB1070" s="45"/>
      <c r="AD1070" s="189"/>
      <c r="AE1070" s="189"/>
      <c r="AF1070" s="189"/>
      <c r="AG1070" s="189"/>
      <c r="AH1070" s="189"/>
      <c r="AI1070" s="45"/>
      <c r="AJ1070" s="45"/>
    </row>
    <row r="1071" spans="16:36" x14ac:dyDescent="0.2">
      <c r="P1071" s="73"/>
      <c r="AA1071" s="45"/>
      <c r="AB1071" s="45"/>
      <c r="AD1071" s="189"/>
      <c r="AE1071" s="189"/>
      <c r="AF1071" s="189"/>
      <c r="AG1071" s="189"/>
      <c r="AH1071" s="189"/>
      <c r="AI1071" s="45"/>
      <c r="AJ1071" s="45"/>
    </row>
    <row r="1072" spans="16:36" x14ac:dyDescent="0.2">
      <c r="P1072" s="73"/>
      <c r="AA1072" s="45"/>
      <c r="AB1072" s="45"/>
      <c r="AD1072" s="189"/>
      <c r="AE1072" s="189"/>
      <c r="AF1072" s="189"/>
      <c r="AG1072" s="189"/>
      <c r="AH1072" s="189"/>
      <c r="AI1072" s="45"/>
      <c r="AJ1072" s="45"/>
    </row>
    <row r="1073" spans="16:36" x14ac:dyDescent="0.2">
      <c r="P1073" s="73"/>
      <c r="AA1073" s="45"/>
      <c r="AB1073" s="45"/>
      <c r="AD1073" s="189"/>
      <c r="AE1073" s="189"/>
      <c r="AF1073" s="189"/>
      <c r="AG1073" s="189"/>
      <c r="AH1073" s="189"/>
      <c r="AI1073" s="45"/>
      <c r="AJ1073" s="45"/>
    </row>
    <row r="1074" spans="16:36" x14ac:dyDescent="0.2">
      <c r="P1074" s="73"/>
      <c r="AA1074" s="45"/>
      <c r="AB1074" s="45"/>
      <c r="AD1074" s="189"/>
      <c r="AE1074" s="189"/>
      <c r="AF1074" s="189"/>
      <c r="AG1074" s="189"/>
      <c r="AH1074" s="189"/>
      <c r="AI1074" s="45"/>
      <c r="AJ1074" s="45"/>
    </row>
    <row r="1075" spans="16:36" x14ac:dyDescent="0.2">
      <c r="P1075" s="73"/>
      <c r="AA1075" s="45"/>
      <c r="AB1075" s="45"/>
      <c r="AD1075" s="189"/>
      <c r="AE1075" s="189"/>
      <c r="AF1075" s="189"/>
      <c r="AG1075" s="189"/>
      <c r="AH1075" s="189"/>
      <c r="AI1075" s="45"/>
      <c r="AJ1075" s="45"/>
    </row>
    <row r="1076" spans="16:36" x14ac:dyDescent="0.2">
      <c r="P1076" s="73"/>
      <c r="AA1076" s="45"/>
      <c r="AB1076" s="45"/>
      <c r="AD1076" s="189"/>
      <c r="AE1076" s="189"/>
      <c r="AF1076" s="189"/>
      <c r="AG1076" s="189"/>
      <c r="AH1076" s="189"/>
      <c r="AI1076" s="45"/>
      <c r="AJ1076" s="45"/>
    </row>
    <row r="1077" spans="16:36" x14ac:dyDescent="0.2">
      <c r="P1077" s="73"/>
      <c r="AA1077" s="45"/>
      <c r="AB1077" s="45"/>
      <c r="AD1077" s="189"/>
      <c r="AE1077" s="189"/>
      <c r="AF1077" s="189"/>
      <c r="AG1077" s="189"/>
      <c r="AH1077" s="189"/>
      <c r="AI1077" s="45"/>
      <c r="AJ1077" s="45"/>
    </row>
    <row r="1078" spans="16:36" x14ac:dyDescent="0.2">
      <c r="P1078" s="73"/>
      <c r="AA1078" s="45"/>
      <c r="AB1078" s="45"/>
      <c r="AD1078" s="189"/>
      <c r="AE1078" s="189"/>
      <c r="AF1078" s="189"/>
      <c r="AG1078" s="189"/>
      <c r="AH1078" s="189"/>
      <c r="AI1078" s="45"/>
      <c r="AJ1078" s="45"/>
    </row>
    <row r="1079" spans="16:36" x14ac:dyDescent="0.2">
      <c r="P1079" s="73"/>
      <c r="AA1079" s="45"/>
      <c r="AB1079" s="45"/>
      <c r="AD1079" s="189"/>
      <c r="AE1079" s="189"/>
      <c r="AF1079" s="189"/>
      <c r="AG1079" s="189"/>
      <c r="AH1079" s="189"/>
      <c r="AI1079" s="45"/>
      <c r="AJ1079" s="45"/>
    </row>
    <row r="1080" spans="16:36" x14ac:dyDescent="0.2">
      <c r="P1080" s="73"/>
      <c r="AA1080" s="45"/>
      <c r="AB1080" s="45"/>
      <c r="AD1080" s="189"/>
      <c r="AE1080" s="189"/>
      <c r="AF1080" s="189"/>
      <c r="AG1080" s="189"/>
      <c r="AH1080" s="189"/>
      <c r="AI1080" s="45"/>
      <c r="AJ1080" s="45"/>
    </row>
    <row r="1081" spans="16:36" x14ac:dyDescent="0.2">
      <c r="P1081" s="73"/>
      <c r="AA1081" s="45"/>
      <c r="AB1081" s="45"/>
      <c r="AD1081" s="189"/>
      <c r="AE1081" s="189"/>
      <c r="AF1081" s="189"/>
      <c r="AG1081" s="189"/>
      <c r="AH1081" s="189"/>
      <c r="AI1081" s="45"/>
      <c r="AJ1081" s="45"/>
    </row>
    <row r="1082" spans="16:36" x14ac:dyDescent="0.2">
      <c r="P1082" s="73"/>
      <c r="AA1082" s="45"/>
      <c r="AB1082" s="45"/>
      <c r="AD1082" s="189"/>
      <c r="AE1082" s="189"/>
      <c r="AF1082" s="189"/>
      <c r="AG1082" s="189"/>
      <c r="AH1082" s="189"/>
      <c r="AI1082" s="45"/>
      <c r="AJ1082" s="45"/>
    </row>
    <row r="1083" spans="16:36" x14ac:dyDescent="0.2">
      <c r="P1083" s="73"/>
      <c r="AA1083" s="45"/>
      <c r="AB1083" s="45"/>
      <c r="AD1083" s="189"/>
      <c r="AE1083" s="189"/>
      <c r="AF1083" s="189"/>
      <c r="AG1083" s="189"/>
      <c r="AH1083" s="189"/>
      <c r="AI1083" s="45"/>
      <c r="AJ1083" s="45"/>
    </row>
    <row r="1084" spans="16:36" x14ac:dyDescent="0.2">
      <c r="P1084" s="73"/>
      <c r="AA1084" s="45"/>
      <c r="AB1084" s="45"/>
      <c r="AD1084" s="189"/>
      <c r="AE1084" s="189"/>
      <c r="AF1084" s="189"/>
      <c r="AG1084" s="189"/>
      <c r="AH1084" s="189"/>
      <c r="AI1084" s="45"/>
      <c r="AJ1084" s="45"/>
    </row>
    <row r="1085" spans="16:36" x14ac:dyDescent="0.2">
      <c r="P1085" s="73"/>
      <c r="AA1085" s="45"/>
      <c r="AB1085" s="45"/>
      <c r="AD1085" s="189"/>
      <c r="AE1085" s="189"/>
      <c r="AF1085" s="189"/>
      <c r="AG1085" s="189"/>
      <c r="AH1085" s="189"/>
      <c r="AI1085" s="45"/>
      <c r="AJ1085" s="45"/>
    </row>
    <row r="1086" spans="16:36" x14ac:dyDescent="0.2">
      <c r="P1086" s="73"/>
      <c r="AA1086" s="45"/>
      <c r="AB1086" s="45"/>
      <c r="AD1086" s="189"/>
      <c r="AE1086" s="189"/>
      <c r="AF1086" s="189"/>
      <c r="AG1086" s="189"/>
      <c r="AH1086" s="189"/>
      <c r="AI1086" s="45"/>
      <c r="AJ1086" s="45"/>
    </row>
    <row r="1087" spans="16:36" x14ac:dyDescent="0.2">
      <c r="P1087" s="73"/>
      <c r="AA1087" s="45"/>
      <c r="AB1087" s="45"/>
      <c r="AD1087" s="189"/>
      <c r="AE1087" s="189"/>
      <c r="AF1087" s="189"/>
      <c r="AG1087" s="189"/>
      <c r="AH1087" s="189"/>
      <c r="AI1087" s="45"/>
      <c r="AJ1087" s="45"/>
    </row>
    <row r="1088" spans="16:36" x14ac:dyDescent="0.2">
      <c r="P1088" s="73"/>
      <c r="AA1088" s="45"/>
      <c r="AB1088" s="45"/>
      <c r="AD1088" s="189"/>
      <c r="AE1088" s="189"/>
      <c r="AF1088" s="189"/>
      <c r="AG1088" s="189"/>
      <c r="AH1088" s="189"/>
      <c r="AI1088" s="45"/>
      <c r="AJ1088" s="45"/>
    </row>
    <row r="1089" spans="16:36" x14ac:dyDescent="0.2">
      <c r="P1089" s="73"/>
      <c r="AA1089" s="45"/>
      <c r="AB1089" s="45"/>
      <c r="AD1089" s="189"/>
      <c r="AE1089" s="189"/>
      <c r="AF1089" s="189"/>
      <c r="AG1089" s="189"/>
      <c r="AH1089" s="189"/>
      <c r="AI1089" s="45"/>
      <c r="AJ1089" s="45"/>
    </row>
    <row r="1090" spans="16:36" x14ac:dyDescent="0.2">
      <c r="P1090" s="73"/>
      <c r="AA1090" s="45"/>
      <c r="AB1090" s="45"/>
      <c r="AD1090" s="189"/>
      <c r="AE1090" s="189"/>
      <c r="AF1090" s="189"/>
      <c r="AG1090" s="189"/>
      <c r="AH1090" s="189"/>
      <c r="AI1090" s="45"/>
      <c r="AJ1090" s="45"/>
    </row>
    <row r="1091" spans="16:36" x14ac:dyDescent="0.2">
      <c r="P1091" s="73"/>
      <c r="AA1091" s="45"/>
      <c r="AB1091" s="45"/>
      <c r="AD1091" s="189"/>
      <c r="AE1091" s="189"/>
      <c r="AF1091" s="189"/>
      <c r="AG1091" s="189"/>
      <c r="AH1091" s="189"/>
      <c r="AI1091" s="45"/>
      <c r="AJ1091" s="45"/>
    </row>
    <row r="1092" spans="16:36" x14ac:dyDescent="0.2">
      <c r="P1092" s="73"/>
      <c r="AA1092" s="45"/>
      <c r="AB1092" s="45"/>
      <c r="AD1092" s="189"/>
      <c r="AE1092" s="189"/>
      <c r="AF1092" s="189"/>
      <c r="AG1092" s="189"/>
      <c r="AH1092" s="189"/>
      <c r="AI1092" s="45"/>
      <c r="AJ1092" s="45"/>
    </row>
    <row r="1093" spans="16:36" x14ac:dyDescent="0.2">
      <c r="P1093" s="73"/>
      <c r="AA1093" s="45"/>
      <c r="AB1093" s="45"/>
      <c r="AD1093" s="189"/>
      <c r="AE1093" s="189"/>
      <c r="AF1093" s="189"/>
      <c r="AG1093" s="189"/>
      <c r="AH1093" s="189"/>
      <c r="AI1093" s="45"/>
      <c r="AJ1093" s="45"/>
    </row>
    <row r="1094" spans="16:36" x14ac:dyDescent="0.2">
      <c r="P1094" s="73"/>
      <c r="AA1094" s="45"/>
      <c r="AB1094" s="45"/>
      <c r="AD1094" s="189"/>
      <c r="AE1094" s="189"/>
      <c r="AF1094" s="189"/>
      <c r="AG1094" s="189"/>
      <c r="AH1094" s="189"/>
      <c r="AI1094" s="45"/>
      <c r="AJ1094" s="45"/>
    </row>
    <row r="1095" spans="16:36" x14ac:dyDescent="0.2">
      <c r="P1095" s="73"/>
      <c r="AA1095" s="45"/>
      <c r="AB1095" s="45"/>
      <c r="AD1095" s="189"/>
      <c r="AE1095" s="189"/>
      <c r="AF1095" s="189"/>
      <c r="AG1095" s="189"/>
      <c r="AH1095" s="189"/>
      <c r="AI1095" s="45"/>
      <c r="AJ1095" s="45"/>
    </row>
    <row r="1096" spans="16:36" x14ac:dyDescent="0.2">
      <c r="P1096" s="73"/>
      <c r="AA1096" s="45"/>
      <c r="AB1096" s="45"/>
      <c r="AD1096" s="189"/>
      <c r="AE1096" s="189"/>
      <c r="AF1096" s="189"/>
      <c r="AG1096" s="189"/>
      <c r="AH1096" s="189"/>
      <c r="AI1096" s="45"/>
      <c r="AJ1096" s="45"/>
    </row>
    <row r="1097" spans="16:36" x14ac:dyDescent="0.2">
      <c r="P1097" s="73"/>
      <c r="AA1097" s="45"/>
      <c r="AB1097" s="45"/>
      <c r="AD1097" s="189"/>
      <c r="AE1097" s="189"/>
      <c r="AF1097" s="189"/>
      <c r="AG1097" s="189"/>
      <c r="AH1097" s="189"/>
      <c r="AI1097" s="45"/>
      <c r="AJ1097" s="45"/>
    </row>
    <row r="1098" spans="16:36" x14ac:dyDescent="0.2">
      <c r="P1098" s="73"/>
      <c r="AA1098" s="45"/>
      <c r="AB1098" s="45"/>
      <c r="AD1098" s="189"/>
      <c r="AE1098" s="189"/>
      <c r="AF1098" s="189"/>
      <c r="AG1098" s="189"/>
      <c r="AH1098" s="189"/>
      <c r="AI1098" s="45"/>
      <c r="AJ1098" s="45"/>
    </row>
    <row r="1099" spans="16:36" x14ac:dyDescent="0.2">
      <c r="P1099" s="73"/>
      <c r="AA1099" s="45"/>
      <c r="AB1099" s="45"/>
      <c r="AD1099" s="189"/>
      <c r="AE1099" s="189"/>
      <c r="AF1099" s="189"/>
      <c r="AG1099" s="189"/>
      <c r="AH1099" s="189"/>
      <c r="AI1099" s="45"/>
      <c r="AJ1099" s="45"/>
    </row>
    <row r="1100" spans="16:36" x14ac:dyDescent="0.2">
      <c r="P1100" s="73"/>
      <c r="AA1100" s="45"/>
      <c r="AB1100" s="45"/>
      <c r="AD1100" s="189"/>
      <c r="AE1100" s="189"/>
      <c r="AF1100" s="189"/>
      <c r="AG1100" s="189"/>
      <c r="AH1100" s="189"/>
      <c r="AI1100" s="45"/>
      <c r="AJ1100" s="45"/>
    </row>
    <row r="1101" spans="16:36" x14ac:dyDescent="0.2">
      <c r="P1101" s="73"/>
      <c r="AA1101" s="45"/>
      <c r="AB1101" s="45"/>
      <c r="AD1101" s="189"/>
      <c r="AE1101" s="189"/>
      <c r="AF1101" s="189"/>
      <c r="AG1101" s="189"/>
      <c r="AH1101" s="189"/>
      <c r="AI1101" s="45"/>
      <c r="AJ1101" s="45"/>
    </row>
    <row r="1102" spans="16:36" x14ac:dyDescent="0.2">
      <c r="P1102" s="73"/>
      <c r="AA1102" s="45"/>
      <c r="AB1102" s="45"/>
      <c r="AD1102" s="189"/>
      <c r="AE1102" s="189"/>
      <c r="AF1102" s="189"/>
      <c r="AG1102" s="189"/>
      <c r="AH1102" s="189"/>
      <c r="AI1102" s="45"/>
      <c r="AJ1102" s="45"/>
    </row>
    <row r="1103" spans="16:36" x14ac:dyDescent="0.2">
      <c r="P1103" s="73"/>
      <c r="AA1103" s="45"/>
      <c r="AB1103" s="45"/>
      <c r="AD1103" s="189"/>
      <c r="AE1103" s="189"/>
      <c r="AF1103" s="189"/>
      <c r="AG1103" s="189"/>
      <c r="AH1103" s="189"/>
      <c r="AI1103" s="45"/>
      <c r="AJ1103" s="45"/>
    </row>
    <row r="1104" spans="16:36" x14ac:dyDescent="0.2">
      <c r="P1104" s="73"/>
      <c r="AA1104" s="45"/>
      <c r="AB1104" s="45"/>
      <c r="AD1104" s="189"/>
      <c r="AE1104" s="189"/>
      <c r="AF1104" s="189"/>
      <c r="AG1104" s="189"/>
      <c r="AH1104" s="189"/>
      <c r="AI1104" s="45"/>
      <c r="AJ1104" s="45"/>
    </row>
    <row r="1105" spans="16:36" x14ac:dyDescent="0.2">
      <c r="P1105" s="73"/>
      <c r="AA1105" s="45"/>
      <c r="AB1105" s="45"/>
      <c r="AD1105" s="189"/>
      <c r="AE1105" s="189"/>
      <c r="AF1105" s="189"/>
      <c r="AG1105" s="189"/>
      <c r="AH1105" s="189"/>
      <c r="AI1105" s="45"/>
      <c r="AJ1105" s="45"/>
    </row>
    <row r="1106" spans="16:36" x14ac:dyDescent="0.2">
      <c r="P1106" s="73"/>
      <c r="AA1106" s="45"/>
      <c r="AB1106" s="45"/>
      <c r="AD1106" s="189"/>
      <c r="AE1106" s="189"/>
      <c r="AF1106" s="189"/>
      <c r="AG1106" s="189"/>
      <c r="AH1106" s="189"/>
      <c r="AI1106" s="45"/>
      <c r="AJ1106" s="45"/>
    </row>
    <row r="1107" spans="16:36" x14ac:dyDescent="0.2">
      <c r="P1107" s="73"/>
      <c r="AA1107" s="45"/>
      <c r="AB1107" s="45"/>
      <c r="AD1107" s="189"/>
      <c r="AE1107" s="189"/>
      <c r="AF1107" s="189"/>
      <c r="AG1107" s="189"/>
      <c r="AH1107" s="189"/>
      <c r="AI1107" s="45"/>
      <c r="AJ1107" s="45"/>
    </row>
    <row r="1108" spans="16:36" x14ac:dyDescent="0.2">
      <c r="P1108" s="73"/>
      <c r="AA1108" s="45"/>
      <c r="AB1108" s="45"/>
      <c r="AD1108" s="189"/>
      <c r="AE1108" s="189"/>
      <c r="AF1108" s="189"/>
      <c r="AG1108" s="189"/>
      <c r="AH1108" s="189"/>
      <c r="AI1108" s="45"/>
      <c r="AJ1108" s="45"/>
    </row>
    <row r="1109" spans="16:36" x14ac:dyDescent="0.2">
      <c r="P1109" s="73"/>
      <c r="AA1109" s="45"/>
      <c r="AB1109" s="45"/>
      <c r="AD1109" s="189"/>
      <c r="AE1109" s="189"/>
      <c r="AF1109" s="189"/>
      <c r="AG1109" s="189"/>
      <c r="AH1109" s="189"/>
      <c r="AI1109" s="45"/>
      <c r="AJ1109" s="45"/>
    </row>
    <row r="1110" spans="16:36" x14ac:dyDescent="0.2">
      <c r="P1110" s="73"/>
      <c r="AA1110" s="45"/>
      <c r="AB1110" s="45"/>
      <c r="AD1110" s="189"/>
      <c r="AE1110" s="189"/>
      <c r="AF1110" s="189"/>
      <c r="AG1110" s="189"/>
      <c r="AH1110" s="189"/>
      <c r="AI1110" s="45"/>
      <c r="AJ1110" s="45"/>
    </row>
    <row r="1111" spans="16:36" x14ac:dyDescent="0.2">
      <c r="P1111" s="73"/>
      <c r="AA1111" s="45"/>
      <c r="AB1111" s="45"/>
      <c r="AD1111" s="189"/>
      <c r="AE1111" s="189"/>
      <c r="AF1111" s="189"/>
      <c r="AG1111" s="189"/>
      <c r="AH1111" s="189"/>
      <c r="AI1111" s="45"/>
      <c r="AJ1111" s="45"/>
    </row>
    <row r="1112" spans="16:36" x14ac:dyDescent="0.2">
      <c r="P1112" s="73"/>
      <c r="AA1112" s="45"/>
      <c r="AB1112" s="45"/>
      <c r="AD1112" s="189"/>
      <c r="AE1112" s="189"/>
      <c r="AF1112" s="189"/>
      <c r="AG1112" s="189"/>
      <c r="AH1112" s="189"/>
      <c r="AI1112" s="45"/>
      <c r="AJ1112" s="45"/>
    </row>
    <row r="1113" spans="16:36" x14ac:dyDescent="0.2">
      <c r="P1113" s="73"/>
      <c r="AA1113" s="45"/>
      <c r="AB1113" s="45"/>
      <c r="AD1113" s="189"/>
      <c r="AE1113" s="189"/>
      <c r="AF1113" s="189"/>
      <c r="AG1113" s="189"/>
      <c r="AH1113" s="189"/>
      <c r="AI1113" s="45"/>
      <c r="AJ1113" s="45"/>
    </row>
    <row r="1114" spans="16:36" x14ac:dyDescent="0.2">
      <c r="P1114" s="73"/>
      <c r="AA1114" s="45"/>
      <c r="AB1114" s="45"/>
      <c r="AD1114" s="189"/>
      <c r="AE1114" s="189"/>
      <c r="AF1114" s="189"/>
      <c r="AG1114" s="189"/>
      <c r="AH1114" s="189"/>
      <c r="AI1114" s="45"/>
      <c r="AJ1114" s="45"/>
    </row>
    <row r="1115" spans="16:36" x14ac:dyDescent="0.2">
      <c r="P1115" s="73"/>
      <c r="AA1115" s="45"/>
      <c r="AB1115" s="45"/>
      <c r="AD1115" s="189"/>
      <c r="AE1115" s="189"/>
      <c r="AF1115" s="189"/>
      <c r="AG1115" s="189"/>
      <c r="AH1115" s="189"/>
      <c r="AI1115" s="45"/>
      <c r="AJ1115" s="45"/>
    </row>
    <row r="1116" spans="16:36" x14ac:dyDescent="0.2">
      <c r="P1116" s="73"/>
      <c r="AA1116" s="45"/>
      <c r="AB1116" s="45"/>
      <c r="AD1116" s="189"/>
      <c r="AE1116" s="189"/>
      <c r="AF1116" s="189"/>
      <c r="AG1116" s="189"/>
      <c r="AH1116" s="189"/>
      <c r="AI1116" s="45"/>
      <c r="AJ1116" s="45"/>
    </row>
    <row r="1117" spans="16:36" x14ac:dyDescent="0.2">
      <c r="P1117" s="73"/>
      <c r="AA1117" s="45"/>
      <c r="AB1117" s="45"/>
      <c r="AD1117" s="189"/>
      <c r="AE1117" s="189"/>
      <c r="AF1117" s="189"/>
      <c r="AG1117" s="189"/>
      <c r="AH1117" s="189"/>
      <c r="AI1117" s="45"/>
      <c r="AJ1117" s="45"/>
    </row>
    <row r="1118" spans="16:36" x14ac:dyDescent="0.2">
      <c r="P1118" s="73"/>
      <c r="AA1118" s="45"/>
      <c r="AB1118" s="45"/>
      <c r="AD1118" s="189"/>
      <c r="AE1118" s="189"/>
      <c r="AF1118" s="189"/>
      <c r="AG1118" s="189"/>
      <c r="AH1118" s="189"/>
      <c r="AI1118" s="45"/>
      <c r="AJ1118" s="45"/>
    </row>
    <row r="1119" spans="16:36" x14ac:dyDescent="0.2">
      <c r="P1119" s="73"/>
      <c r="AA1119" s="45"/>
      <c r="AB1119" s="45"/>
      <c r="AD1119" s="189"/>
      <c r="AE1119" s="189"/>
      <c r="AF1119" s="189"/>
      <c r="AG1119" s="189"/>
      <c r="AH1119" s="189"/>
      <c r="AI1119" s="45"/>
      <c r="AJ1119" s="45"/>
    </row>
    <row r="1120" spans="16:36" x14ac:dyDescent="0.2">
      <c r="P1120" s="73"/>
      <c r="AA1120" s="45"/>
      <c r="AB1120" s="45"/>
      <c r="AD1120" s="189"/>
      <c r="AE1120" s="189"/>
      <c r="AF1120" s="189"/>
      <c r="AG1120" s="189"/>
      <c r="AH1120" s="189"/>
      <c r="AI1120" s="45"/>
      <c r="AJ1120" s="45"/>
    </row>
    <row r="1121" spans="16:36" x14ac:dyDescent="0.2">
      <c r="P1121" s="73"/>
      <c r="AA1121" s="45"/>
      <c r="AB1121" s="45"/>
      <c r="AD1121" s="189"/>
      <c r="AE1121" s="189"/>
      <c r="AF1121" s="189"/>
      <c r="AG1121" s="189"/>
      <c r="AH1121" s="189"/>
      <c r="AI1121" s="45"/>
      <c r="AJ1121" s="45"/>
    </row>
    <row r="1122" spans="16:36" x14ac:dyDescent="0.2">
      <c r="P1122" s="73"/>
      <c r="AA1122" s="45"/>
      <c r="AB1122" s="45"/>
      <c r="AD1122" s="189"/>
      <c r="AE1122" s="189"/>
      <c r="AF1122" s="189"/>
      <c r="AG1122" s="189"/>
      <c r="AH1122" s="189"/>
      <c r="AI1122" s="45"/>
      <c r="AJ1122" s="45"/>
    </row>
    <row r="1123" spans="16:36" x14ac:dyDescent="0.2">
      <c r="P1123" s="73"/>
      <c r="AA1123" s="45"/>
      <c r="AB1123" s="45"/>
      <c r="AD1123" s="189"/>
      <c r="AE1123" s="189"/>
      <c r="AF1123" s="189"/>
      <c r="AG1123" s="189"/>
      <c r="AH1123" s="189"/>
      <c r="AI1123" s="45"/>
      <c r="AJ1123" s="45"/>
    </row>
    <row r="1124" spans="16:36" x14ac:dyDescent="0.2">
      <c r="P1124" s="73"/>
      <c r="AA1124" s="45"/>
      <c r="AB1124" s="45"/>
      <c r="AD1124" s="189"/>
      <c r="AE1124" s="189"/>
      <c r="AF1124" s="189"/>
      <c r="AG1124" s="189"/>
      <c r="AH1124" s="189"/>
      <c r="AI1124" s="45"/>
      <c r="AJ1124" s="45"/>
    </row>
    <row r="1125" spans="16:36" x14ac:dyDescent="0.2">
      <c r="P1125" s="73"/>
      <c r="AA1125" s="45"/>
      <c r="AB1125" s="45"/>
      <c r="AD1125" s="189"/>
      <c r="AE1125" s="189"/>
      <c r="AF1125" s="189"/>
      <c r="AG1125" s="189"/>
      <c r="AH1125" s="189"/>
      <c r="AI1125" s="45"/>
      <c r="AJ1125" s="45"/>
    </row>
    <row r="1126" spans="16:36" x14ac:dyDescent="0.2">
      <c r="P1126" s="73"/>
      <c r="AA1126" s="45"/>
      <c r="AB1126" s="45"/>
      <c r="AD1126" s="189"/>
      <c r="AE1126" s="189"/>
      <c r="AF1126" s="189"/>
      <c r="AG1126" s="189"/>
      <c r="AH1126" s="189"/>
      <c r="AI1126" s="45"/>
      <c r="AJ1126" s="45"/>
    </row>
    <row r="1127" spans="16:36" x14ac:dyDescent="0.2">
      <c r="P1127" s="73"/>
      <c r="AA1127" s="45"/>
      <c r="AB1127" s="45"/>
      <c r="AD1127" s="189"/>
      <c r="AE1127" s="189"/>
      <c r="AF1127" s="189"/>
      <c r="AG1127" s="189"/>
      <c r="AH1127" s="189"/>
      <c r="AI1127" s="45"/>
      <c r="AJ1127" s="45"/>
    </row>
    <row r="1128" spans="16:36" x14ac:dyDescent="0.2">
      <c r="P1128" s="73"/>
      <c r="AA1128" s="45"/>
      <c r="AB1128" s="45"/>
      <c r="AD1128" s="189"/>
      <c r="AE1128" s="189"/>
      <c r="AF1128" s="189"/>
      <c r="AG1128" s="189"/>
      <c r="AH1128" s="189"/>
      <c r="AI1128" s="45"/>
      <c r="AJ1128" s="45"/>
    </row>
    <row r="1129" spans="16:36" x14ac:dyDescent="0.2">
      <c r="P1129" s="73"/>
      <c r="AA1129" s="45"/>
      <c r="AB1129" s="45"/>
      <c r="AD1129" s="189"/>
      <c r="AE1129" s="189"/>
      <c r="AF1129" s="189"/>
      <c r="AG1129" s="189"/>
      <c r="AH1129" s="189"/>
      <c r="AI1129" s="45"/>
      <c r="AJ1129" s="45"/>
    </row>
    <row r="1130" spans="16:36" x14ac:dyDescent="0.2">
      <c r="P1130" s="73"/>
      <c r="AA1130" s="45"/>
      <c r="AB1130" s="45"/>
      <c r="AD1130" s="189"/>
      <c r="AE1130" s="189"/>
      <c r="AF1130" s="189"/>
      <c r="AG1130" s="189"/>
      <c r="AH1130" s="189"/>
      <c r="AI1130" s="45"/>
      <c r="AJ1130" s="45"/>
    </row>
    <row r="1131" spans="16:36" x14ac:dyDescent="0.2">
      <c r="P1131" s="73"/>
      <c r="AA1131" s="45"/>
      <c r="AB1131" s="45"/>
      <c r="AD1131" s="189"/>
      <c r="AE1131" s="189"/>
      <c r="AF1131" s="189"/>
      <c r="AG1131" s="189"/>
      <c r="AH1131" s="189"/>
      <c r="AI1131" s="45"/>
      <c r="AJ1131" s="45"/>
    </row>
    <row r="1132" spans="16:36" x14ac:dyDescent="0.2">
      <c r="P1132" s="73"/>
      <c r="AA1132" s="45"/>
      <c r="AB1132" s="45"/>
      <c r="AD1132" s="189"/>
      <c r="AE1132" s="189"/>
      <c r="AF1132" s="189"/>
      <c r="AG1132" s="189"/>
      <c r="AH1132" s="189"/>
      <c r="AI1132" s="45"/>
      <c r="AJ1132" s="45"/>
    </row>
    <row r="1133" spans="16:36" x14ac:dyDescent="0.2">
      <c r="P1133" s="73"/>
      <c r="AA1133" s="45"/>
      <c r="AB1133" s="45"/>
      <c r="AD1133" s="189"/>
      <c r="AE1133" s="189"/>
      <c r="AF1133" s="189"/>
      <c r="AG1133" s="189"/>
      <c r="AH1133" s="189"/>
      <c r="AI1133" s="45"/>
      <c r="AJ1133" s="45"/>
    </row>
    <row r="1134" spans="16:36" x14ac:dyDescent="0.2">
      <c r="P1134" s="73"/>
      <c r="AA1134" s="45"/>
      <c r="AB1134" s="45"/>
      <c r="AD1134" s="189"/>
      <c r="AE1134" s="189"/>
      <c r="AF1134" s="189"/>
      <c r="AG1134" s="189"/>
      <c r="AH1134" s="189"/>
      <c r="AI1134" s="45"/>
      <c r="AJ1134" s="45"/>
    </row>
    <row r="1135" spans="16:36" x14ac:dyDescent="0.2">
      <c r="P1135" s="73"/>
      <c r="AA1135" s="45"/>
      <c r="AB1135" s="45"/>
      <c r="AD1135" s="189"/>
      <c r="AE1135" s="189"/>
      <c r="AF1135" s="189"/>
      <c r="AG1135" s="189"/>
      <c r="AH1135" s="189"/>
      <c r="AI1135" s="45"/>
      <c r="AJ1135" s="45"/>
    </row>
    <row r="1136" spans="16:36" x14ac:dyDescent="0.2">
      <c r="P1136" s="73"/>
      <c r="AA1136" s="45"/>
      <c r="AB1136" s="45"/>
      <c r="AD1136" s="189"/>
      <c r="AE1136" s="189"/>
      <c r="AF1136" s="189"/>
      <c r="AG1136" s="189"/>
      <c r="AH1136" s="189"/>
      <c r="AI1136" s="45"/>
      <c r="AJ1136" s="45"/>
    </row>
    <row r="1137" spans="16:36" x14ac:dyDescent="0.2">
      <c r="P1137" s="73"/>
      <c r="AA1137" s="45"/>
      <c r="AB1137" s="45"/>
      <c r="AD1137" s="189"/>
      <c r="AE1137" s="189"/>
      <c r="AF1137" s="189"/>
      <c r="AG1137" s="189"/>
      <c r="AH1137" s="189"/>
      <c r="AI1137" s="45"/>
      <c r="AJ1137" s="45"/>
    </row>
    <row r="1138" spans="16:36" x14ac:dyDescent="0.2">
      <c r="P1138" s="73"/>
      <c r="AA1138" s="45"/>
      <c r="AB1138" s="45"/>
      <c r="AD1138" s="189"/>
      <c r="AE1138" s="189"/>
      <c r="AF1138" s="189"/>
      <c r="AG1138" s="189"/>
      <c r="AH1138" s="189"/>
      <c r="AI1138" s="45"/>
      <c r="AJ1138" s="45"/>
    </row>
    <row r="1139" spans="16:36" x14ac:dyDescent="0.2">
      <c r="P1139" s="73"/>
      <c r="AA1139" s="45"/>
      <c r="AB1139" s="45"/>
      <c r="AD1139" s="189"/>
      <c r="AE1139" s="189"/>
      <c r="AF1139" s="189"/>
      <c r="AG1139" s="189"/>
      <c r="AH1139" s="189"/>
      <c r="AI1139" s="45"/>
      <c r="AJ1139" s="45"/>
    </row>
    <row r="1140" spans="16:36" x14ac:dyDescent="0.2">
      <c r="P1140" s="73"/>
      <c r="AA1140" s="45"/>
      <c r="AB1140" s="45"/>
      <c r="AD1140" s="189"/>
      <c r="AE1140" s="189"/>
      <c r="AF1140" s="189"/>
      <c r="AG1140" s="189"/>
      <c r="AH1140" s="189"/>
      <c r="AI1140" s="45"/>
      <c r="AJ1140" s="45"/>
    </row>
    <row r="1141" spans="16:36" x14ac:dyDescent="0.2">
      <c r="P1141" s="73"/>
      <c r="AA1141" s="45"/>
      <c r="AB1141" s="45"/>
      <c r="AD1141" s="189"/>
      <c r="AE1141" s="189"/>
      <c r="AF1141" s="189"/>
      <c r="AG1141" s="189"/>
      <c r="AH1141" s="189"/>
      <c r="AI1141" s="45"/>
      <c r="AJ1141" s="45"/>
    </row>
    <row r="1142" spans="16:36" x14ac:dyDescent="0.2">
      <c r="P1142" s="73"/>
      <c r="AA1142" s="45"/>
      <c r="AB1142" s="45"/>
      <c r="AD1142" s="189"/>
      <c r="AE1142" s="189"/>
      <c r="AF1142" s="189"/>
      <c r="AG1142" s="189"/>
      <c r="AH1142" s="189"/>
      <c r="AI1142" s="45"/>
      <c r="AJ1142" s="45"/>
    </row>
    <row r="1143" spans="16:36" x14ac:dyDescent="0.2">
      <c r="P1143" s="73"/>
      <c r="AA1143" s="45"/>
      <c r="AB1143" s="45"/>
      <c r="AD1143" s="189"/>
      <c r="AE1143" s="189"/>
      <c r="AF1143" s="189"/>
      <c r="AG1143" s="189"/>
      <c r="AH1143" s="189"/>
      <c r="AI1143" s="45"/>
      <c r="AJ1143" s="45"/>
    </row>
    <row r="1144" spans="16:36" x14ac:dyDescent="0.2">
      <c r="P1144" s="73"/>
      <c r="AA1144" s="45"/>
      <c r="AB1144" s="45"/>
      <c r="AD1144" s="189"/>
      <c r="AE1144" s="189"/>
      <c r="AF1144" s="189"/>
      <c r="AG1144" s="189"/>
      <c r="AH1144" s="189"/>
      <c r="AI1144" s="45"/>
      <c r="AJ1144" s="45"/>
    </row>
    <row r="1145" spans="16:36" x14ac:dyDescent="0.2">
      <c r="P1145" s="73"/>
      <c r="AA1145" s="45"/>
      <c r="AB1145" s="45"/>
      <c r="AD1145" s="189"/>
      <c r="AE1145" s="189"/>
      <c r="AF1145" s="189"/>
      <c r="AG1145" s="189"/>
      <c r="AH1145" s="189"/>
      <c r="AI1145" s="45"/>
      <c r="AJ1145" s="45"/>
    </row>
    <row r="1146" spans="16:36" x14ac:dyDescent="0.2">
      <c r="P1146" s="73"/>
      <c r="AA1146" s="45"/>
      <c r="AB1146" s="45"/>
      <c r="AD1146" s="189"/>
      <c r="AE1146" s="189"/>
      <c r="AF1146" s="189"/>
      <c r="AG1146" s="189"/>
      <c r="AH1146" s="189"/>
      <c r="AI1146" s="45"/>
      <c r="AJ1146" s="45"/>
    </row>
    <row r="1147" spans="16:36" x14ac:dyDescent="0.2">
      <c r="P1147" s="73"/>
      <c r="AA1147" s="45"/>
      <c r="AB1147" s="45"/>
      <c r="AD1147" s="189"/>
      <c r="AE1147" s="189"/>
      <c r="AF1147" s="189"/>
      <c r="AG1147" s="189"/>
      <c r="AH1147" s="189"/>
      <c r="AI1147" s="45"/>
      <c r="AJ1147" s="45"/>
    </row>
    <row r="1148" spans="16:36" x14ac:dyDescent="0.2">
      <c r="P1148" s="73"/>
      <c r="AA1148" s="45"/>
      <c r="AB1148" s="45"/>
      <c r="AD1148" s="189"/>
      <c r="AE1148" s="189"/>
      <c r="AF1148" s="189"/>
      <c r="AG1148" s="189"/>
      <c r="AH1148" s="189"/>
      <c r="AI1148" s="45"/>
      <c r="AJ1148" s="45"/>
    </row>
    <row r="1149" spans="16:36" x14ac:dyDescent="0.2">
      <c r="P1149" s="73"/>
      <c r="AA1149" s="45"/>
      <c r="AB1149" s="45"/>
      <c r="AD1149" s="189"/>
      <c r="AE1149" s="189"/>
      <c r="AF1149" s="189"/>
      <c r="AG1149" s="189"/>
      <c r="AH1149" s="189"/>
      <c r="AI1149" s="45"/>
      <c r="AJ1149" s="45"/>
    </row>
    <row r="1150" spans="16:36" x14ac:dyDescent="0.2">
      <c r="P1150" s="73"/>
      <c r="AA1150" s="45"/>
      <c r="AB1150" s="45"/>
      <c r="AD1150" s="189"/>
      <c r="AE1150" s="189"/>
      <c r="AF1150" s="189"/>
      <c r="AG1150" s="189"/>
      <c r="AH1150" s="189"/>
      <c r="AI1150" s="45"/>
      <c r="AJ1150" s="45"/>
    </row>
    <row r="1151" spans="16:36" x14ac:dyDescent="0.2">
      <c r="P1151" s="73"/>
      <c r="AA1151" s="45"/>
      <c r="AB1151" s="45"/>
      <c r="AD1151" s="189"/>
      <c r="AE1151" s="189"/>
      <c r="AF1151" s="189"/>
      <c r="AG1151" s="189"/>
      <c r="AH1151" s="189"/>
      <c r="AI1151" s="45"/>
      <c r="AJ1151" s="45"/>
    </row>
    <row r="1152" spans="16:36" x14ac:dyDescent="0.2">
      <c r="P1152" s="73"/>
      <c r="AA1152" s="45"/>
      <c r="AB1152" s="45"/>
      <c r="AD1152" s="189"/>
      <c r="AE1152" s="189"/>
      <c r="AF1152" s="189"/>
      <c r="AG1152" s="189"/>
      <c r="AH1152" s="189"/>
      <c r="AI1152" s="45"/>
      <c r="AJ1152" s="45"/>
    </row>
    <row r="1153" spans="16:36" x14ac:dyDescent="0.2">
      <c r="P1153" s="73"/>
      <c r="AA1153" s="45"/>
      <c r="AB1153" s="45"/>
      <c r="AD1153" s="189"/>
      <c r="AE1153" s="189"/>
      <c r="AF1153" s="189"/>
      <c r="AG1153" s="189"/>
      <c r="AH1153" s="189"/>
      <c r="AI1153" s="45"/>
      <c r="AJ1153" s="45"/>
    </row>
    <row r="1154" spans="16:36" x14ac:dyDescent="0.2">
      <c r="P1154" s="73"/>
      <c r="AA1154" s="45"/>
      <c r="AB1154" s="45"/>
      <c r="AD1154" s="189"/>
      <c r="AE1154" s="189"/>
      <c r="AF1154" s="189"/>
      <c r="AG1154" s="189"/>
      <c r="AH1154" s="189"/>
      <c r="AI1154" s="45"/>
      <c r="AJ1154" s="45"/>
    </row>
    <row r="1155" spans="16:36" x14ac:dyDescent="0.2">
      <c r="P1155" s="73"/>
      <c r="AA1155" s="45"/>
      <c r="AB1155" s="45"/>
      <c r="AD1155" s="189"/>
      <c r="AE1155" s="189"/>
      <c r="AF1155" s="189"/>
      <c r="AG1155" s="189"/>
      <c r="AH1155" s="189"/>
      <c r="AI1155" s="45"/>
      <c r="AJ1155" s="45"/>
    </row>
    <row r="1156" spans="16:36" x14ac:dyDescent="0.2">
      <c r="P1156" s="73"/>
      <c r="AA1156" s="45"/>
      <c r="AB1156" s="45"/>
      <c r="AD1156" s="189"/>
      <c r="AE1156" s="189"/>
      <c r="AF1156" s="189"/>
      <c r="AG1156" s="189"/>
      <c r="AH1156" s="189"/>
      <c r="AI1156" s="45"/>
      <c r="AJ1156" s="45"/>
    </row>
    <row r="1157" spans="16:36" x14ac:dyDescent="0.2">
      <c r="P1157" s="73"/>
      <c r="AA1157" s="45"/>
      <c r="AB1157" s="45"/>
      <c r="AD1157" s="189"/>
      <c r="AE1157" s="189"/>
      <c r="AF1157" s="189"/>
      <c r="AG1157" s="189"/>
      <c r="AH1157" s="189"/>
      <c r="AI1157" s="45"/>
      <c r="AJ1157" s="45"/>
    </row>
    <row r="1158" spans="16:36" x14ac:dyDescent="0.2">
      <c r="P1158" s="73"/>
      <c r="AA1158" s="45"/>
      <c r="AB1158" s="45"/>
      <c r="AD1158" s="189"/>
      <c r="AE1158" s="189"/>
      <c r="AF1158" s="189"/>
      <c r="AG1158" s="189"/>
      <c r="AH1158" s="189"/>
      <c r="AI1158" s="45"/>
      <c r="AJ1158" s="45"/>
    </row>
    <row r="1159" spans="16:36" x14ac:dyDescent="0.2">
      <c r="P1159" s="73"/>
      <c r="AA1159" s="45"/>
      <c r="AB1159" s="45"/>
      <c r="AD1159" s="189"/>
      <c r="AE1159" s="189"/>
      <c r="AF1159" s="189"/>
      <c r="AG1159" s="189"/>
      <c r="AH1159" s="189"/>
      <c r="AI1159" s="45"/>
      <c r="AJ1159" s="45"/>
    </row>
    <row r="1160" spans="16:36" x14ac:dyDescent="0.2">
      <c r="P1160" s="73"/>
      <c r="AA1160" s="45"/>
      <c r="AB1160" s="45"/>
      <c r="AD1160" s="189"/>
      <c r="AE1160" s="189"/>
      <c r="AF1160" s="189"/>
      <c r="AG1160" s="189"/>
      <c r="AH1160" s="189"/>
      <c r="AI1160" s="45"/>
      <c r="AJ1160" s="45"/>
    </row>
    <row r="1161" spans="16:36" x14ac:dyDescent="0.2">
      <c r="P1161" s="73"/>
      <c r="AA1161" s="45"/>
      <c r="AB1161" s="45"/>
      <c r="AD1161" s="189"/>
      <c r="AE1161" s="189"/>
      <c r="AF1161" s="189"/>
      <c r="AG1161" s="189"/>
      <c r="AH1161" s="189"/>
      <c r="AI1161" s="45"/>
      <c r="AJ1161" s="45"/>
    </row>
    <row r="1162" spans="16:36" x14ac:dyDescent="0.2">
      <c r="P1162" s="73"/>
      <c r="AA1162" s="45"/>
      <c r="AB1162" s="45"/>
      <c r="AD1162" s="189"/>
      <c r="AE1162" s="189"/>
      <c r="AF1162" s="189"/>
      <c r="AG1162" s="189"/>
      <c r="AH1162" s="189"/>
      <c r="AI1162" s="45"/>
      <c r="AJ1162" s="45"/>
    </row>
    <row r="1163" spans="16:36" x14ac:dyDescent="0.2">
      <c r="P1163" s="73"/>
      <c r="AA1163" s="45"/>
      <c r="AB1163" s="45"/>
      <c r="AD1163" s="189"/>
      <c r="AE1163" s="189"/>
      <c r="AF1163" s="189"/>
      <c r="AG1163" s="189"/>
      <c r="AH1163" s="189"/>
      <c r="AI1163" s="45"/>
      <c r="AJ1163" s="45"/>
    </row>
    <row r="1164" spans="16:36" x14ac:dyDescent="0.2">
      <c r="P1164" s="73"/>
      <c r="AA1164" s="45"/>
      <c r="AB1164" s="45"/>
      <c r="AD1164" s="189"/>
      <c r="AE1164" s="189"/>
      <c r="AF1164" s="189"/>
      <c r="AG1164" s="189"/>
      <c r="AH1164" s="189"/>
      <c r="AI1164" s="45"/>
      <c r="AJ1164" s="45"/>
    </row>
    <row r="1165" spans="16:36" x14ac:dyDescent="0.2">
      <c r="P1165" s="73"/>
      <c r="AA1165" s="45"/>
      <c r="AB1165" s="45"/>
      <c r="AD1165" s="189"/>
      <c r="AE1165" s="189"/>
      <c r="AF1165" s="189"/>
      <c r="AG1165" s="189"/>
      <c r="AH1165" s="189"/>
      <c r="AI1165" s="45"/>
      <c r="AJ1165" s="45"/>
    </row>
    <row r="1166" spans="16:36" x14ac:dyDescent="0.2">
      <c r="P1166" s="73"/>
      <c r="AA1166" s="45"/>
      <c r="AB1166" s="45"/>
      <c r="AD1166" s="189"/>
      <c r="AE1166" s="189"/>
      <c r="AF1166" s="189"/>
      <c r="AG1166" s="189"/>
      <c r="AH1166" s="189"/>
      <c r="AI1166" s="45"/>
      <c r="AJ1166" s="45"/>
    </row>
    <row r="1167" spans="16:36" x14ac:dyDescent="0.2">
      <c r="P1167" s="73"/>
      <c r="AA1167" s="45"/>
      <c r="AB1167" s="45"/>
      <c r="AD1167" s="189"/>
      <c r="AE1167" s="189"/>
      <c r="AF1167" s="189"/>
      <c r="AG1167" s="189"/>
      <c r="AH1167" s="189"/>
      <c r="AI1167" s="45"/>
      <c r="AJ1167" s="45"/>
    </row>
    <row r="1168" spans="16:36" x14ac:dyDescent="0.2">
      <c r="P1168" s="73"/>
      <c r="AA1168" s="45"/>
      <c r="AB1168" s="45"/>
      <c r="AD1168" s="189"/>
      <c r="AE1168" s="189"/>
      <c r="AF1168" s="189"/>
      <c r="AG1168" s="189"/>
      <c r="AH1168" s="189"/>
      <c r="AI1168" s="45"/>
      <c r="AJ1168" s="45"/>
    </row>
    <row r="1169" spans="16:36" x14ac:dyDescent="0.2">
      <c r="P1169" s="73"/>
      <c r="AA1169" s="45"/>
      <c r="AB1169" s="45"/>
      <c r="AD1169" s="189"/>
      <c r="AE1169" s="189"/>
      <c r="AF1169" s="189"/>
      <c r="AG1169" s="189"/>
      <c r="AH1169" s="189"/>
      <c r="AI1169" s="45"/>
      <c r="AJ1169" s="45"/>
    </row>
    <row r="1170" spans="16:36" x14ac:dyDescent="0.2">
      <c r="P1170" s="73"/>
      <c r="AA1170" s="45"/>
      <c r="AB1170" s="45"/>
      <c r="AD1170" s="189"/>
      <c r="AE1170" s="189"/>
      <c r="AF1170" s="189"/>
      <c r="AG1170" s="189"/>
      <c r="AH1170" s="189"/>
      <c r="AI1170" s="45"/>
      <c r="AJ1170" s="45"/>
    </row>
    <row r="1171" spans="16:36" x14ac:dyDescent="0.2">
      <c r="P1171" s="73"/>
      <c r="AA1171" s="45"/>
      <c r="AB1171" s="45"/>
      <c r="AD1171" s="189"/>
      <c r="AE1171" s="189"/>
      <c r="AF1171" s="189"/>
      <c r="AG1171" s="189"/>
      <c r="AH1171" s="189"/>
      <c r="AI1171" s="45"/>
      <c r="AJ1171" s="45"/>
    </row>
    <row r="1172" spans="16:36" x14ac:dyDescent="0.2">
      <c r="P1172" s="73"/>
      <c r="AA1172" s="45"/>
      <c r="AB1172" s="45"/>
      <c r="AD1172" s="189"/>
      <c r="AE1172" s="189"/>
      <c r="AF1172" s="189"/>
      <c r="AG1172" s="189"/>
      <c r="AH1172" s="189"/>
      <c r="AI1172" s="45"/>
      <c r="AJ1172" s="45"/>
    </row>
    <row r="1173" spans="16:36" x14ac:dyDescent="0.2">
      <c r="P1173" s="73"/>
      <c r="AA1173" s="45"/>
      <c r="AB1173" s="45"/>
      <c r="AD1173" s="189"/>
      <c r="AE1173" s="189"/>
      <c r="AF1173" s="189"/>
      <c r="AG1173" s="189"/>
      <c r="AH1173" s="189"/>
      <c r="AI1173" s="45"/>
      <c r="AJ1173" s="45"/>
    </row>
    <row r="1174" spans="16:36" x14ac:dyDescent="0.2">
      <c r="P1174" s="73"/>
      <c r="AA1174" s="45"/>
      <c r="AB1174" s="45"/>
      <c r="AD1174" s="189"/>
      <c r="AE1174" s="189"/>
      <c r="AF1174" s="189"/>
      <c r="AG1174" s="189"/>
      <c r="AH1174" s="189"/>
      <c r="AI1174" s="45"/>
      <c r="AJ1174" s="45"/>
    </row>
    <row r="1175" spans="16:36" x14ac:dyDescent="0.2">
      <c r="P1175" s="73"/>
      <c r="AA1175" s="45"/>
      <c r="AB1175" s="45"/>
      <c r="AD1175" s="189"/>
      <c r="AE1175" s="189"/>
      <c r="AF1175" s="189"/>
      <c r="AG1175" s="189"/>
      <c r="AH1175" s="189"/>
      <c r="AI1175" s="45"/>
      <c r="AJ1175" s="45"/>
    </row>
    <row r="1176" spans="16:36" x14ac:dyDescent="0.2">
      <c r="P1176" s="73"/>
      <c r="AA1176" s="45"/>
      <c r="AB1176" s="45"/>
      <c r="AD1176" s="189"/>
      <c r="AE1176" s="189"/>
      <c r="AF1176" s="189"/>
      <c r="AG1176" s="189"/>
      <c r="AH1176" s="189"/>
      <c r="AI1176" s="45"/>
      <c r="AJ1176" s="45"/>
    </row>
    <row r="1177" spans="16:36" x14ac:dyDescent="0.2">
      <c r="P1177" s="73"/>
      <c r="AA1177" s="45"/>
      <c r="AB1177" s="45"/>
      <c r="AD1177" s="189"/>
      <c r="AE1177" s="189"/>
      <c r="AF1177" s="189"/>
      <c r="AG1177" s="189"/>
      <c r="AH1177" s="189"/>
      <c r="AI1177" s="45"/>
      <c r="AJ1177" s="45"/>
    </row>
    <row r="1178" spans="16:36" x14ac:dyDescent="0.2">
      <c r="P1178" s="73"/>
      <c r="AA1178" s="45"/>
      <c r="AB1178" s="45"/>
      <c r="AD1178" s="189"/>
      <c r="AE1178" s="189"/>
      <c r="AF1178" s="189"/>
      <c r="AG1178" s="189"/>
      <c r="AH1178" s="189"/>
      <c r="AI1178" s="45"/>
      <c r="AJ1178" s="45"/>
    </row>
    <row r="1179" spans="16:36" x14ac:dyDescent="0.2">
      <c r="P1179" s="73"/>
      <c r="AA1179" s="45"/>
      <c r="AB1179" s="45"/>
      <c r="AD1179" s="189"/>
      <c r="AE1179" s="189"/>
      <c r="AF1179" s="189"/>
      <c r="AG1179" s="189"/>
      <c r="AH1179" s="189"/>
      <c r="AI1179" s="45"/>
      <c r="AJ1179" s="45"/>
    </row>
    <row r="1180" spans="16:36" x14ac:dyDescent="0.2">
      <c r="P1180" s="73"/>
      <c r="AA1180" s="45"/>
      <c r="AB1180" s="45"/>
      <c r="AD1180" s="189"/>
      <c r="AE1180" s="189"/>
      <c r="AF1180" s="189"/>
      <c r="AG1180" s="189"/>
      <c r="AH1180" s="189"/>
      <c r="AI1180" s="45"/>
      <c r="AJ1180" s="45"/>
    </row>
    <row r="1181" spans="16:36" x14ac:dyDescent="0.2">
      <c r="P1181" s="73"/>
      <c r="AA1181" s="45"/>
      <c r="AB1181" s="45"/>
      <c r="AD1181" s="189"/>
      <c r="AE1181" s="189"/>
      <c r="AF1181" s="189"/>
      <c r="AG1181" s="189"/>
      <c r="AH1181" s="189"/>
      <c r="AI1181" s="45"/>
      <c r="AJ1181" s="45"/>
    </row>
    <row r="1182" spans="16:36" x14ac:dyDescent="0.2">
      <c r="P1182" s="73"/>
      <c r="AA1182" s="45"/>
      <c r="AB1182" s="45"/>
      <c r="AD1182" s="189"/>
      <c r="AE1182" s="189"/>
      <c r="AF1182" s="189"/>
      <c r="AG1182" s="189"/>
      <c r="AH1182" s="189"/>
      <c r="AI1182" s="45"/>
      <c r="AJ1182" s="45"/>
    </row>
    <row r="1183" spans="16:36" x14ac:dyDescent="0.2">
      <c r="P1183" s="73"/>
      <c r="AA1183" s="45"/>
      <c r="AB1183" s="45"/>
      <c r="AD1183" s="189"/>
      <c r="AE1183" s="189"/>
      <c r="AF1183" s="189"/>
      <c r="AG1183" s="189"/>
      <c r="AH1183" s="189"/>
      <c r="AI1183" s="45"/>
      <c r="AJ1183" s="45"/>
    </row>
    <row r="1184" spans="16:36" x14ac:dyDescent="0.2">
      <c r="P1184" s="73"/>
      <c r="AA1184" s="45"/>
      <c r="AB1184" s="45"/>
      <c r="AD1184" s="189"/>
      <c r="AE1184" s="189"/>
      <c r="AF1184" s="189"/>
      <c r="AG1184" s="189"/>
      <c r="AH1184" s="189"/>
      <c r="AI1184" s="45"/>
      <c r="AJ1184" s="45"/>
    </row>
    <row r="1185" spans="16:36" x14ac:dyDescent="0.2">
      <c r="P1185" s="73"/>
      <c r="AA1185" s="45"/>
      <c r="AB1185" s="45"/>
      <c r="AD1185" s="189"/>
      <c r="AE1185" s="189"/>
      <c r="AF1185" s="189"/>
      <c r="AG1185" s="189"/>
      <c r="AH1185" s="189"/>
      <c r="AI1185" s="45"/>
      <c r="AJ1185" s="45"/>
    </row>
    <row r="1186" spans="16:36" x14ac:dyDescent="0.2">
      <c r="P1186" s="73"/>
      <c r="AA1186" s="45"/>
      <c r="AB1186" s="45"/>
      <c r="AD1186" s="189"/>
      <c r="AE1186" s="189"/>
      <c r="AF1186" s="189"/>
      <c r="AG1186" s="189"/>
      <c r="AH1186" s="189"/>
      <c r="AI1186" s="45"/>
      <c r="AJ1186" s="45"/>
    </row>
    <row r="1187" spans="16:36" x14ac:dyDescent="0.2">
      <c r="P1187" s="73"/>
      <c r="AA1187" s="45"/>
      <c r="AB1187" s="45"/>
      <c r="AD1187" s="189"/>
      <c r="AE1187" s="189"/>
      <c r="AF1187" s="189"/>
      <c r="AG1187" s="189"/>
      <c r="AH1187" s="189"/>
      <c r="AI1187" s="45"/>
      <c r="AJ1187" s="45"/>
    </row>
    <row r="1188" spans="16:36" x14ac:dyDescent="0.2">
      <c r="P1188" s="73"/>
      <c r="AA1188" s="45"/>
      <c r="AB1188" s="45"/>
      <c r="AD1188" s="189"/>
      <c r="AE1188" s="189"/>
      <c r="AF1188" s="189"/>
      <c r="AG1188" s="189"/>
      <c r="AH1188" s="189"/>
      <c r="AI1188" s="45"/>
      <c r="AJ1188" s="45"/>
    </row>
    <row r="1189" spans="16:36" x14ac:dyDescent="0.2">
      <c r="P1189" s="73"/>
      <c r="AA1189" s="45"/>
      <c r="AB1189" s="45"/>
      <c r="AD1189" s="189"/>
      <c r="AE1189" s="189"/>
      <c r="AF1189" s="189"/>
      <c r="AG1189" s="189"/>
      <c r="AH1189" s="189"/>
      <c r="AI1189" s="45"/>
      <c r="AJ1189" s="45"/>
    </row>
    <row r="1190" spans="16:36" x14ac:dyDescent="0.2">
      <c r="P1190" s="73"/>
      <c r="AA1190" s="45"/>
      <c r="AB1190" s="45"/>
      <c r="AD1190" s="189"/>
      <c r="AE1190" s="189"/>
      <c r="AF1190" s="189"/>
      <c r="AG1190" s="189"/>
      <c r="AH1190" s="189"/>
      <c r="AI1190" s="45"/>
      <c r="AJ1190" s="45"/>
    </row>
    <row r="1191" spans="16:36" x14ac:dyDescent="0.2">
      <c r="P1191" s="73"/>
      <c r="AA1191" s="45"/>
      <c r="AB1191" s="45"/>
      <c r="AD1191" s="189"/>
      <c r="AE1191" s="189"/>
      <c r="AF1191" s="189"/>
      <c r="AG1191" s="189"/>
      <c r="AH1191" s="189"/>
      <c r="AI1191" s="45"/>
      <c r="AJ1191" s="45"/>
    </row>
    <row r="1192" spans="16:36" x14ac:dyDescent="0.2">
      <c r="P1192" s="73"/>
      <c r="AA1192" s="45"/>
      <c r="AB1192" s="45"/>
      <c r="AD1192" s="189"/>
      <c r="AE1192" s="189"/>
      <c r="AF1192" s="189"/>
      <c r="AG1192" s="189"/>
      <c r="AH1192" s="189"/>
      <c r="AI1192" s="45"/>
      <c r="AJ1192" s="45"/>
    </row>
    <row r="1193" spans="16:36" x14ac:dyDescent="0.2">
      <c r="P1193" s="73"/>
      <c r="AA1193" s="45"/>
      <c r="AB1193" s="45"/>
      <c r="AD1193" s="189"/>
      <c r="AE1193" s="189"/>
      <c r="AF1193" s="189"/>
      <c r="AG1193" s="189"/>
      <c r="AH1193" s="189"/>
      <c r="AI1193" s="45"/>
      <c r="AJ1193" s="45"/>
    </row>
    <row r="1194" spans="16:36" x14ac:dyDescent="0.2">
      <c r="P1194" s="73"/>
      <c r="AA1194" s="45"/>
      <c r="AB1194" s="45"/>
      <c r="AD1194" s="189"/>
      <c r="AE1194" s="189"/>
      <c r="AF1194" s="189"/>
      <c r="AG1194" s="189"/>
      <c r="AH1194" s="189"/>
      <c r="AI1194" s="45"/>
      <c r="AJ1194" s="45"/>
    </row>
    <row r="1195" spans="16:36" x14ac:dyDescent="0.2">
      <c r="P1195" s="73"/>
      <c r="AA1195" s="45"/>
      <c r="AB1195" s="45"/>
      <c r="AD1195" s="189"/>
      <c r="AE1195" s="189"/>
      <c r="AF1195" s="189"/>
      <c r="AG1195" s="189"/>
      <c r="AH1195" s="189"/>
      <c r="AI1195" s="45"/>
      <c r="AJ1195" s="45"/>
    </row>
    <row r="1196" spans="16:36" x14ac:dyDescent="0.2">
      <c r="P1196" s="73"/>
      <c r="AA1196" s="45"/>
      <c r="AB1196" s="45"/>
      <c r="AD1196" s="189"/>
      <c r="AE1196" s="189"/>
      <c r="AF1196" s="189"/>
      <c r="AG1196" s="189"/>
      <c r="AH1196" s="189"/>
      <c r="AI1196" s="45"/>
      <c r="AJ1196" s="45"/>
    </row>
    <row r="1197" spans="16:36" x14ac:dyDescent="0.2">
      <c r="P1197" s="73"/>
      <c r="AA1197" s="45"/>
      <c r="AB1197" s="45"/>
      <c r="AD1197" s="189"/>
      <c r="AE1197" s="189"/>
      <c r="AF1197" s="189"/>
      <c r="AG1197" s="189"/>
      <c r="AH1197" s="189"/>
      <c r="AI1197" s="45"/>
      <c r="AJ1197" s="45"/>
    </row>
    <row r="1198" spans="16:36" x14ac:dyDescent="0.2">
      <c r="P1198" s="73"/>
      <c r="AA1198" s="45"/>
      <c r="AB1198" s="45"/>
      <c r="AD1198" s="189"/>
      <c r="AE1198" s="189"/>
      <c r="AF1198" s="189"/>
      <c r="AG1198" s="189"/>
      <c r="AH1198" s="189"/>
      <c r="AI1198" s="45"/>
      <c r="AJ1198" s="45"/>
    </row>
    <row r="1199" spans="16:36" x14ac:dyDescent="0.2">
      <c r="P1199" s="73"/>
      <c r="AA1199" s="45"/>
      <c r="AB1199" s="45"/>
      <c r="AD1199" s="189"/>
      <c r="AE1199" s="189"/>
      <c r="AF1199" s="189"/>
      <c r="AG1199" s="189"/>
      <c r="AH1199" s="189"/>
      <c r="AI1199" s="45"/>
      <c r="AJ1199" s="45"/>
    </row>
    <row r="1200" spans="16:36" x14ac:dyDescent="0.2">
      <c r="P1200" s="73"/>
      <c r="AA1200" s="45"/>
      <c r="AB1200" s="45"/>
      <c r="AD1200" s="189"/>
      <c r="AE1200" s="189"/>
      <c r="AF1200" s="189"/>
      <c r="AG1200" s="189"/>
      <c r="AH1200" s="189"/>
      <c r="AI1200" s="45"/>
      <c r="AJ1200" s="45"/>
    </row>
    <row r="1201" spans="16:36" x14ac:dyDescent="0.2">
      <c r="P1201" s="73"/>
      <c r="AA1201" s="45"/>
      <c r="AB1201" s="45"/>
      <c r="AD1201" s="189"/>
      <c r="AE1201" s="189"/>
      <c r="AF1201" s="189"/>
      <c r="AG1201" s="189"/>
      <c r="AH1201" s="189"/>
      <c r="AI1201" s="45"/>
      <c r="AJ1201" s="45"/>
    </row>
    <row r="1202" spans="16:36" x14ac:dyDescent="0.2">
      <c r="P1202" s="73"/>
      <c r="AA1202" s="45"/>
      <c r="AB1202" s="45"/>
      <c r="AD1202" s="189"/>
      <c r="AE1202" s="189"/>
      <c r="AF1202" s="189"/>
      <c r="AG1202" s="189"/>
      <c r="AH1202" s="189"/>
      <c r="AI1202" s="45"/>
      <c r="AJ1202" s="45"/>
    </row>
    <row r="1203" spans="16:36" x14ac:dyDescent="0.2">
      <c r="P1203" s="73"/>
      <c r="AA1203" s="45"/>
      <c r="AB1203" s="45"/>
      <c r="AD1203" s="189"/>
      <c r="AE1203" s="189"/>
      <c r="AF1203" s="189"/>
      <c r="AG1203" s="189"/>
      <c r="AH1203" s="189"/>
      <c r="AI1203" s="45"/>
      <c r="AJ1203" s="45"/>
    </row>
    <row r="1204" spans="16:36" x14ac:dyDescent="0.2">
      <c r="P1204" s="73"/>
      <c r="AA1204" s="45"/>
      <c r="AB1204" s="45"/>
      <c r="AD1204" s="189"/>
      <c r="AE1204" s="189"/>
      <c r="AF1204" s="189"/>
      <c r="AG1204" s="189"/>
      <c r="AH1204" s="189"/>
      <c r="AI1204" s="45"/>
      <c r="AJ1204" s="45"/>
    </row>
    <row r="1205" spans="16:36" x14ac:dyDescent="0.2">
      <c r="P1205" s="73"/>
      <c r="AA1205" s="45"/>
      <c r="AB1205" s="45"/>
      <c r="AD1205" s="189"/>
      <c r="AE1205" s="189"/>
      <c r="AF1205" s="189"/>
      <c r="AG1205" s="189"/>
      <c r="AH1205" s="189"/>
      <c r="AI1205" s="45"/>
      <c r="AJ1205" s="45"/>
    </row>
    <row r="1206" spans="16:36" x14ac:dyDescent="0.2">
      <c r="P1206" s="73"/>
      <c r="AA1206" s="45"/>
      <c r="AB1206" s="45"/>
      <c r="AD1206" s="189"/>
      <c r="AE1206" s="189"/>
      <c r="AF1206" s="189"/>
      <c r="AG1206" s="189"/>
      <c r="AH1206" s="189"/>
      <c r="AI1206" s="45"/>
      <c r="AJ1206" s="45"/>
    </row>
    <row r="1207" spans="16:36" x14ac:dyDescent="0.2">
      <c r="P1207" s="73"/>
      <c r="AA1207" s="45"/>
      <c r="AB1207" s="45"/>
      <c r="AD1207" s="189"/>
      <c r="AE1207" s="189"/>
      <c r="AF1207" s="189"/>
      <c r="AG1207" s="189"/>
      <c r="AH1207" s="189"/>
      <c r="AI1207" s="45"/>
      <c r="AJ1207" s="45"/>
    </row>
    <row r="1208" spans="16:36" x14ac:dyDescent="0.2">
      <c r="P1208" s="73"/>
      <c r="AA1208" s="45"/>
      <c r="AB1208" s="45"/>
      <c r="AD1208" s="189"/>
      <c r="AE1208" s="189"/>
      <c r="AF1208" s="189"/>
      <c r="AG1208" s="189"/>
      <c r="AH1208" s="189"/>
      <c r="AI1208" s="45"/>
      <c r="AJ1208" s="45"/>
    </row>
    <row r="1209" spans="16:36" x14ac:dyDescent="0.2">
      <c r="P1209" s="73"/>
      <c r="AA1209" s="45"/>
      <c r="AB1209" s="45"/>
      <c r="AD1209" s="189"/>
      <c r="AE1209" s="189"/>
      <c r="AF1209" s="189"/>
      <c r="AG1209" s="189"/>
      <c r="AH1209" s="189"/>
      <c r="AI1209" s="45"/>
      <c r="AJ1209" s="45"/>
    </row>
    <row r="1210" spans="16:36" x14ac:dyDescent="0.2">
      <c r="P1210" s="73"/>
      <c r="AA1210" s="45"/>
      <c r="AB1210" s="45"/>
      <c r="AD1210" s="189"/>
      <c r="AE1210" s="189"/>
      <c r="AF1210" s="189"/>
      <c r="AG1210" s="189"/>
      <c r="AH1210" s="189"/>
      <c r="AI1210" s="45"/>
      <c r="AJ1210" s="45"/>
    </row>
    <row r="1211" spans="16:36" x14ac:dyDescent="0.2">
      <c r="P1211" s="73"/>
      <c r="AA1211" s="45"/>
      <c r="AB1211" s="45"/>
      <c r="AD1211" s="189"/>
      <c r="AE1211" s="189"/>
      <c r="AF1211" s="189"/>
      <c r="AG1211" s="189"/>
      <c r="AH1211" s="189"/>
      <c r="AI1211" s="45"/>
      <c r="AJ1211" s="45"/>
    </row>
    <row r="1212" spans="16:36" x14ac:dyDescent="0.2">
      <c r="P1212" s="73"/>
      <c r="AA1212" s="45"/>
      <c r="AB1212" s="45"/>
      <c r="AD1212" s="189"/>
      <c r="AE1212" s="189"/>
      <c r="AF1212" s="189"/>
      <c r="AG1212" s="189"/>
      <c r="AH1212" s="189"/>
      <c r="AI1212" s="45"/>
      <c r="AJ1212" s="45"/>
    </row>
    <row r="1213" spans="16:36" x14ac:dyDescent="0.2">
      <c r="P1213" s="73"/>
      <c r="AA1213" s="45"/>
      <c r="AB1213" s="45"/>
      <c r="AD1213" s="189"/>
      <c r="AE1213" s="189"/>
      <c r="AF1213" s="189"/>
      <c r="AG1213" s="189"/>
      <c r="AH1213" s="189"/>
      <c r="AI1213" s="45"/>
      <c r="AJ1213" s="45"/>
    </row>
    <row r="1214" spans="16:36" x14ac:dyDescent="0.2">
      <c r="P1214" s="73"/>
      <c r="AA1214" s="45"/>
      <c r="AB1214" s="45"/>
      <c r="AD1214" s="189"/>
      <c r="AE1214" s="189"/>
      <c r="AF1214" s="189"/>
      <c r="AG1214" s="189"/>
      <c r="AH1214" s="189"/>
      <c r="AI1214" s="45"/>
      <c r="AJ1214" s="45"/>
    </row>
    <row r="1215" spans="16:36" x14ac:dyDescent="0.2">
      <c r="P1215" s="73"/>
      <c r="AA1215" s="45"/>
      <c r="AB1215" s="45"/>
      <c r="AD1215" s="189"/>
      <c r="AE1215" s="189"/>
      <c r="AF1215" s="189"/>
      <c r="AG1215" s="189"/>
      <c r="AH1215" s="189"/>
      <c r="AI1215" s="45"/>
      <c r="AJ1215" s="45"/>
    </row>
    <row r="1216" spans="16:36" x14ac:dyDescent="0.2">
      <c r="P1216" s="73"/>
      <c r="AA1216" s="45"/>
      <c r="AB1216" s="45"/>
      <c r="AD1216" s="189"/>
      <c r="AE1216" s="189"/>
      <c r="AF1216" s="189"/>
      <c r="AG1216" s="189"/>
      <c r="AH1216" s="189"/>
      <c r="AI1216" s="45"/>
      <c r="AJ1216" s="45"/>
    </row>
    <row r="1217" spans="16:36" x14ac:dyDescent="0.2">
      <c r="P1217" s="73"/>
      <c r="AA1217" s="45"/>
      <c r="AB1217" s="45"/>
      <c r="AD1217" s="189"/>
      <c r="AE1217" s="189"/>
      <c r="AF1217" s="189"/>
      <c r="AG1217" s="189"/>
      <c r="AH1217" s="189"/>
      <c r="AI1217" s="45"/>
      <c r="AJ1217" s="45"/>
    </row>
    <row r="1218" spans="16:36" x14ac:dyDescent="0.2">
      <c r="P1218" s="73"/>
      <c r="AA1218" s="45"/>
      <c r="AB1218" s="45"/>
      <c r="AD1218" s="189"/>
      <c r="AE1218" s="189"/>
      <c r="AF1218" s="189"/>
      <c r="AG1218" s="189"/>
      <c r="AH1218" s="189"/>
      <c r="AI1218" s="45"/>
      <c r="AJ1218" s="45"/>
    </row>
    <row r="1219" spans="16:36" x14ac:dyDescent="0.2">
      <c r="P1219" s="73"/>
      <c r="AA1219" s="45"/>
      <c r="AB1219" s="45"/>
      <c r="AD1219" s="189"/>
      <c r="AE1219" s="189"/>
      <c r="AF1219" s="189"/>
      <c r="AG1219" s="189"/>
      <c r="AH1219" s="189"/>
      <c r="AI1219" s="45"/>
      <c r="AJ1219" s="45"/>
    </row>
    <row r="1220" spans="16:36" x14ac:dyDescent="0.2">
      <c r="P1220" s="73"/>
      <c r="AA1220" s="45"/>
      <c r="AB1220" s="45"/>
      <c r="AD1220" s="189"/>
      <c r="AE1220" s="189"/>
      <c r="AF1220" s="189"/>
      <c r="AG1220" s="189"/>
      <c r="AH1220" s="189"/>
      <c r="AI1220" s="45"/>
      <c r="AJ1220" s="45"/>
    </row>
    <row r="1221" spans="16:36" x14ac:dyDescent="0.2">
      <c r="P1221" s="73"/>
      <c r="AA1221" s="45"/>
      <c r="AB1221" s="45"/>
      <c r="AD1221" s="189"/>
      <c r="AE1221" s="189"/>
      <c r="AF1221" s="189"/>
      <c r="AG1221" s="189"/>
      <c r="AH1221" s="189"/>
      <c r="AI1221" s="45"/>
      <c r="AJ1221" s="45"/>
    </row>
    <row r="1222" spans="16:36" x14ac:dyDescent="0.2">
      <c r="P1222" s="73"/>
      <c r="AA1222" s="45"/>
      <c r="AB1222" s="45"/>
      <c r="AD1222" s="189"/>
      <c r="AE1222" s="189"/>
      <c r="AF1222" s="189"/>
      <c r="AG1222" s="189"/>
      <c r="AH1222" s="189"/>
      <c r="AI1222" s="45"/>
      <c r="AJ1222" s="45"/>
    </row>
    <row r="1223" spans="16:36" x14ac:dyDescent="0.2">
      <c r="P1223" s="73"/>
      <c r="AA1223" s="45"/>
      <c r="AB1223" s="45"/>
      <c r="AD1223" s="189"/>
      <c r="AE1223" s="189"/>
      <c r="AF1223" s="189"/>
      <c r="AG1223" s="189"/>
      <c r="AH1223" s="189"/>
      <c r="AI1223" s="45"/>
      <c r="AJ1223" s="45"/>
    </row>
    <row r="1224" spans="16:36" x14ac:dyDescent="0.2">
      <c r="P1224" s="73"/>
      <c r="AA1224" s="45"/>
      <c r="AB1224" s="45"/>
      <c r="AD1224" s="189"/>
      <c r="AE1224" s="189"/>
      <c r="AF1224" s="189"/>
      <c r="AG1224" s="189"/>
      <c r="AH1224" s="189"/>
      <c r="AI1224" s="45"/>
      <c r="AJ1224" s="45"/>
    </row>
    <row r="1225" spans="16:36" x14ac:dyDescent="0.2">
      <c r="P1225" s="73"/>
      <c r="AA1225" s="45"/>
      <c r="AB1225" s="45"/>
      <c r="AD1225" s="189"/>
      <c r="AE1225" s="189"/>
      <c r="AF1225" s="189"/>
      <c r="AG1225" s="189"/>
      <c r="AH1225" s="189"/>
      <c r="AI1225" s="45"/>
      <c r="AJ1225" s="45"/>
    </row>
    <row r="1226" spans="16:36" x14ac:dyDescent="0.2">
      <c r="P1226" s="73"/>
      <c r="AA1226" s="45"/>
      <c r="AB1226" s="45"/>
      <c r="AD1226" s="189"/>
      <c r="AE1226" s="189"/>
      <c r="AF1226" s="189"/>
      <c r="AG1226" s="189"/>
      <c r="AH1226" s="189"/>
      <c r="AI1226" s="45"/>
      <c r="AJ1226" s="45"/>
    </row>
    <row r="1227" spans="16:36" x14ac:dyDescent="0.2">
      <c r="P1227" s="73"/>
      <c r="AA1227" s="45"/>
      <c r="AB1227" s="45"/>
      <c r="AD1227" s="189"/>
      <c r="AE1227" s="189"/>
      <c r="AF1227" s="189"/>
      <c r="AG1227" s="189"/>
      <c r="AH1227" s="189"/>
      <c r="AI1227" s="45"/>
      <c r="AJ1227" s="45"/>
    </row>
    <row r="1228" spans="16:36" x14ac:dyDescent="0.2">
      <c r="P1228" s="73"/>
      <c r="AA1228" s="45"/>
      <c r="AB1228" s="45"/>
      <c r="AD1228" s="189"/>
      <c r="AE1228" s="189"/>
      <c r="AF1228" s="189"/>
      <c r="AG1228" s="189"/>
      <c r="AH1228" s="189"/>
      <c r="AI1228" s="45"/>
      <c r="AJ1228" s="45"/>
    </row>
    <row r="1229" spans="16:36" x14ac:dyDescent="0.2">
      <c r="P1229" s="73"/>
      <c r="AA1229" s="45"/>
      <c r="AB1229" s="45"/>
      <c r="AD1229" s="189"/>
      <c r="AE1229" s="189"/>
      <c r="AF1229" s="189"/>
      <c r="AG1229" s="189"/>
      <c r="AH1229" s="189"/>
      <c r="AI1229" s="45"/>
      <c r="AJ1229" s="45"/>
    </row>
    <row r="1230" spans="16:36" x14ac:dyDescent="0.2">
      <c r="P1230" s="73"/>
      <c r="AA1230" s="45"/>
      <c r="AB1230" s="45"/>
      <c r="AD1230" s="189"/>
      <c r="AE1230" s="189"/>
      <c r="AF1230" s="189"/>
      <c r="AG1230" s="189"/>
      <c r="AH1230" s="189"/>
      <c r="AI1230" s="45"/>
      <c r="AJ1230" s="45"/>
    </row>
    <row r="1231" spans="16:36" x14ac:dyDescent="0.2">
      <c r="P1231" s="73"/>
      <c r="AA1231" s="45"/>
      <c r="AB1231" s="45"/>
      <c r="AD1231" s="189"/>
      <c r="AE1231" s="189"/>
      <c r="AF1231" s="189"/>
      <c r="AG1231" s="189"/>
      <c r="AH1231" s="189"/>
      <c r="AI1231" s="45"/>
      <c r="AJ1231" s="45"/>
    </row>
    <row r="1232" spans="16:36" x14ac:dyDescent="0.2">
      <c r="P1232" s="73"/>
      <c r="AA1232" s="45"/>
      <c r="AB1232" s="45"/>
      <c r="AD1232" s="189"/>
      <c r="AE1232" s="189"/>
      <c r="AF1232" s="189"/>
      <c r="AG1232" s="189"/>
      <c r="AH1232" s="189"/>
      <c r="AI1232" s="45"/>
      <c r="AJ1232" s="45"/>
    </row>
    <row r="1233" spans="16:36" x14ac:dyDescent="0.2">
      <c r="P1233" s="73"/>
      <c r="AA1233" s="45"/>
      <c r="AB1233" s="45"/>
      <c r="AD1233" s="189"/>
      <c r="AE1233" s="189"/>
      <c r="AF1233" s="189"/>
      <c r="AG1233" s="189"/>
      <c r="AH1233" s="189"/>
      <c r="AI1233" s="45"/>
      <c r="AJ1233" s="45"/>
    </row>
    <row r="1234" spans="16:36" x14ac:dyDescent="0.2">
      <c r="P1234" s="73"/>
      <c r="AA1234" s="45"/>
      <c r="AB1234" s="45"/>
      <c r="AD1234" s="189"/>
      <c r="AE1234" s="189"/>
      <c r="AF1234" s="189"/>
      <c r="AG1234" s="189"/>
      <c r="AH1234" s="189"/>
      <c r="AI1234" s="45"/>
      <c r="AJ1234" s="45"/>
    </row>
    <row r="1235" spans="16:36" x14ac:dyDescent="0.2">
      <c r="P1235" s="73"/>
      <c r="AA1235" s="45"/>
      <c r="AB1235" s="45"/>
      <c r="AD1235" s="189"/>
      <c r="AE1235" s="189"/>
      <c r="AF1235" s="189"/>
      <c r="AG1235" s="189"/>
      <c r="AH1235" s="189"/>
      <c r="AI1235" s="45"/>
      <c r="AJ1235" s="45"/>
    </row>
    <row r="1236" spans="16:36" x14ac:dyDescent="0.2">
      <c r="P1236" s="73"/>
      <c r="AA1236" s="45"/>
      <c r="AB1236" s="45"/>
      <c r="AD1236" s="189"/>
      <c r="AE1236" s="189"/>
      <c r="AF1236" s="189"/>
      <c r="AG1236" s="189"/>
      <c r="AH1236" s="189"/>
      <c r="AI1236" s="45"/>
      <c r="AJ1236" s="45"/>
    </row>
    <row r="1237" spans="16:36" x14ac:dyDescent="0.2">
      <c r="P1237" s="73"/>
      <c r="AA1237" s="45"/>
      <c r="AB1237" s="45"/>
      <c r="AD1237" s="189"/>
      <c r="AE1237" s="189"/>
      <c r="AF1237" s="189"/>
      <c r="AG1237" s="189"/>
      <c r="AH1237" s="189"/>
      <c r="AI1237" s="45"/>
      <c r="AJ1237" s="45"/>
    </row>
    <row r="1238" spans="16:36" x14ac:dyDescent="0.2">
      <c r="P1238" s="73"/>
      <c r="AA1238" s="45"/>
      <c r="AB1238" s="45"/>
      <c r="AD1238" s="189"/>
      <c r="AE1238" s="189"/>
      <c r="AF1238" s="189"/>
      <c r="AG1238" s="189"/>
      <c r="AH1238" s="189"/>
      <c r="AI1238" s="45"/>
      <c r="AJ1238" s="45"/>
    </row>
    <row r="1239" spans="16:36" x14ac:dyDescent="0.2">
      <c r="P1239" s="73"/>
      <c r="AA1239" s="45"/>
      <c r="AB1239" s="45"/>
      <c r="AD1239" s="189"/>
      <c r="AE1239" s="189"/>
      <c r="AF1239" s="189"/>
      <c r="AG1239" s="189"/>
      <c r="AH1239" s="189"/>
      <c r="AI1239" s="45"/>
      <c r="AJ1239" s="45"/>
    </row>
    <row r="1240" spans="16:36" x14ac:dyDescent="0.2">
      <c r="P1240" s="73"/>
      <c r="AA1240" s="45"/>
      <c r="AB1240" s="45"/>
      <c r="AD1240" s="189"/>
      <c r="AE1240" s="189"/>
      <c r="AF1240" s="189"/>
      <c r="AG1240" s="189"/>
      <c r="AH1240" s="189"/>
      <c r="AI1240" s="45"/>
      <c r="AJ1240" s="45"/>
    </row>
    <row r="1241" spans="16:36" x14ac:dyDescent="0.2">
      <c r="P1241" s="73"/>
      <c r="AA1241" s="45"/>
      <c r="AB1241" s="45"/>
      <c r="AD1241" s="189"/>
      <c r="AE1241" s="189"/>
      <c r="AF1241" s="189"/>
      <c r="AG1241" s="189"/>
      <c r="AH1241" s="189"/>
      <c r="AI1241" s="45"/>
      <c r="AJ1241" s="45"/>
    </row>
    <row r="1242" spans="16:36" x14ac:dyDescent="0.2">
      <c r="P1242" s="73"/>
      <c r="AA1242" s="45"/>
      <c r="AB1242" s="45"/>
      <c r="AD1242" s="189"/>
      <c r="AE1242" s="189"/>
      <c r="AF1242" s="189"/>
      <c r="AG1242" s="189"/>
      <c r="AH1242" s="189"/>
      <c r="AI1242" s="45"/>
      <c r="AJ1242" s="45"/>
    </row>
    <row r="1243" spans="16:36" x14ac:dyDescent="0.2">
      <c r="P1243" s="73"/>
      <c r="AA1243" s="45"/>
      <c r="AB1243" s="45"/>
      <c r="AD1243" s="189"/>
      <c r="AE1243" s="189"/>
      <c r="AF1243" s="189"/>
      <c r="AG1243" s="189"/>
      <c r="AH1243" s="189"/>
      <c r="AI1243" s="45"/>
      <c r="AJ1243" s="45"/>
    </row>
    <row r="1244" spans="16:36" x14ac:dyDescent="0.2">
      <c r="P1244" s="73"/>
      <c r="AA1244" s="45"/>
      <c r="AB1244" s="45"/>
      <c r="AD1244" s="189"/>
      <c r="AE1244" s="189"/>
      <c r="AF1244" s="189"/>
      <c r="AG1244" s="189"/>
      <c r="AH1244" s="189"/>
      <c r="AI1244" s="45"/>
      <c r="AJ1244" s="45"/>
    </row>
    <row r="1245" spans="16:36" x14ac:dyDescent="0.2">
      <c r="P1245" s="73"/>
      <c r="AA1245" s="45"/>
      <c r="AB1245" s="45"/>
      <c r="AD1245" s="189"/>
      <c r="AE1245" s="189"/>
      <c r="AF1245" s="189"/>
      <c r="AG1245" s="189"/>
      <c r="AH1245" s="189"/>
      <c r="AI1245" s="45"/>
      <c r="AJ1245" s="45"/>
    </row>
    <row r="1246" spans="16:36" x14ac:dyDescent="0.2">
      <c r="P1246" s="73"/>
      <c r="AA1246" s="45"/>
      <c r="AB1246" s="45"/>
      <c r="AD1246" s="189"/>
      <c r="AE1246" s="189"/>
      <c r="AF1246" s="189"/>
      <c r="AG1246" s="189"/>
      <c r="AH1246" s="189"/>
      <c r="AI1246" s="45"/>
      <c r="AJ1246" s="45"/>
    </row>
    <row r="1247" spans="16:36" x14ac:dyDescent="0.2">
      <c r="P1247" s="73"/>
      <c r="AA1247" s="45"/>
      <c r="AB1247" s="45"/>
      <c r="AD1247" s="189"/>
      <c r="AE1247" s="189"/>
      <c r="AF1247" s="189"/>
      <c r="AG1247" s="189"/>
      <c r="AH1247" s="189"/>
      <c r="AI1247" s="45"/>
      <c r="AJ1247" s="45"/>
    </row>
    <row r="1248" spans="16:36" x14ac:dyDescent="0.2">
      <c r="P1248" s="73"/>
      <c r="AA1248" s="45"/>
      <c r="AB1248" s="45"/>
      <c r="AD1248" s="189"/>
      <c r="AE1248" s="189"/>
      <c r="AF1248" s="189"/>
      <c r="AG1248" s="189"/>
      <c r="AH1248" s="189"/>
      <c r="AI1248" s="45"/>
      <c r="AJ1248" s="45"/>
    </row>
    <row r="1249" spans="16:36" x14ac:dyDescent="0.2">
      <c r="P1249" s="73"/>
      <c r="AA1249" s="45"/>
      <c r="AB1249" s="45"/>
      <c r="AD1249" s="189"/>
      <c r="AE1249" s="189"/>
      <c r="AF1249" s="189"/>
      <c r="AG1249" s="189"/>
      <c r="AH1249" s="189"/>
      <c r="AI1249" s="45"/>
      <c r="AJ1249" s="45"/>
    </row>
    <row r="1250" spans="16:36" x14ac:dyDescent="0.2">
      <c r="P1250" s="73"/>
      <c r="AA1250" s="45"/>
      <c r="AB1250" s="45"/>
      <c r="AD1250" s="189"/>
      <c r="AE1250" s="189"/>
      <c r="AF1250" s="189"/>
      <c r="AG1250" s="189"/>
      <c r="AH1250" s="189"/>
      <c r="AI1250" s="45"/>
      <c r="AJ1250" s="45"/>
    </row>
    <row r="1251" spans="16:36" x14ac:dyDescent="0.2">
      <c r="P1251" s="73"/>
      <c r="AA1251" s="45"/>
      <c r="AB1251" s="45"/>
      <c r="AD1251" s="189"/>
      <c r="AE1251" s="189"/>
      <c r="AF1251" s="189"/>
      <c r="AG1251" s="189"/>
      <c r="AH1251" s="189"/>
      <c r="AI1251" s="45"/>
      <c r="AJ1251" s="45"/>
    </row>
    <row r="1252" spans="16:36" x14ac:dyDescent="0.2">
      <c r="P1252" s="73"/>
      <c r="AA1252" s="45"/>
      <c r="AB1252" s="45"/>
      <c r="AD1252" s="189"/>
      <c r="AE1252" s="189"/>
      <c r="AF1252" s="189"/>
      <c r="AG1252" s="189"/>
      <c r="AH1252" s="189"/>
      <c r="AI1252" s="45"/>
      <c r="AJ1252" s="45"/>
    </row>
    <row r="1253" spans="16:36" x14ac:dyDescent="0.2">
      <c r="P1253" s="73"/>
      <c r="AA1253" s="45"/>
      <c r="AB1253" s="45"/>
      <c r="AD1253" s="189"/>
      <c r="AE1253" s="189"/>
      <c r="AF1253" s="189"/>
      <c r="AG1253" s="189"/>
      <c r="AH1253" s="189"/>
      <c r="AI1253" s="45"/>
      <c r="AJ1253" s="45"/>
    </row>
    <row r="1254" spans="16:36" x14ac:dyDescent="0.2">
      <c r="P1254" s="73"/>
      <c r="AA1254" s="45"/>
      <c r="AB1254" s="45"/>
      <c r="AD1254" s="189"/>
      <c r="AE1254" s="189"/>
      <c r="AF1254" s="189"/>
      <c r="AG1254" s="189"/>
      <c r="AH1254" s="189"/>
      <c r="AI1254" s="45"/>
      <c r="AJ1254" s="45"/>
    </row>
    <row r="1255" spans="16:36" x14ac:dyDescent="0.2">
      <c r="P1255" s="73"/>
      <c r="AA1255" s="45"/>
      <c r="AB1255" s="45"/>
      <c r="AD1255" s="189"/>
      <c r="AE1255" s="189"/>
      <c r="AF1255" s="189"/>
      <c r="AG1255" s="189"/>
      <c r="AH1255" s="189"/>
      <c r="AI1255" s="45"/>
      <c r="AJ1255" s="45"/>
    </row>
    <row r="1256" spans="16:36" x14ac:dyDescent="0.2">
      <c r="P1256" s="73"/>
      <c r="AA1256" s="45"/>
      <c r="AB1256" s="45"/>
      <c r="AD1256" s="189"/>
      <c r="AE1256" s="189"/>
      <c r="AF1256" s="189"/>
      <c r="AG1256" s="189"/>
      <c r="AH1256" s="189"/>
      <c r="AI1256" s="45"/>
      <c r="AJ1256" s="45"/>
    </row>
    <row r="1257" spans="16:36" x14ac:dyDescent="0.2">
      <c r="P1257" s="73"/>
      <c r="AA1257" s="45"/>
      <c r="AB1257" s="45"/>
      <c r="AD1257" s="189"/>
      <c r="AE1257" s="189"/>
      <c r="AF1257" s="189"/>
      <c r="AG1257" s="189"/>
      <c r="AH1257" s="189"/>
      <c r="AI1257" s="45"/>
      <c r="AJ1257" s="45"/>
    </row>
    <row r="1258" spans="16:36" x14ac:dyDescent="0.2">
      <c r="P1258" s="73"/>
      <c r="AA1258" s="45"/>
      <c r="AB1258" s="45"/>
      <c r="AD1258" s="189"/>
      <c r="AE1258" s="189"/>
      <c r="AF1258" s="189"/>
      <c r="AG1258" s="189"/>
      <c r="AH1258" s="189"/>
      <c r="AI1258" s="45"/>
      <c r="AJ1258" s="45"/>
    </row>
    <row r="1259" spans="16:36" x14ac:dyDescent="0.2">
      <c r="P1259" s="73"/>
      <c r="AA1259" s="45"/>
      <c r="AB1259" s="45"/>
      <c r="AD1259" s="189"/>
      <c r="AE1259" s="189"/>
      <c r="AF1259" s="189"/>
      <c r="AG1259" s="189"/>
      <c r="AH1259" s="189"/>
      <c r="AI1259" s="45"/>
      <c r="AJ1259" s="45"/>
    </row>
    <row r="1260" spans="16:36" x14ac:dyDescent="0.2">
      <c r="P1260" s="73"/>
      <c r="AA1260" s="45"/>
      <c r="AB1260" s="45"/>
      <c r="AD1260" s="189"/>
      <c r="AE1260" s="189"/>
      <c r="AF1260" s="189"/>
      <c r="AG1260" s="189"/>
      <c r="AH1260" s="189"/>
      <c r="AI1260" s="45"/>
      <c r="AJ1260" s="45"/>
    </row>
    <row r="1261" spans="16:36" x14ac:dyDescent="0.2">
      <c r="P1261" s="73"/>
      <c r="AA1261" s="45"/>
      <c r="AB1261" s="45"/>
      <c r="AD1261" s="189"/>
      <c r="AE1261" s="189"/>
      <c r="AF1261" s="189"/>
      <c r="AG1261" s="189"/>
      <c r="AH1261" s="189"/>
      <c r="AI1261" s="45"/>
      <c r="AJ1261" s="45"/>
    </row>
    <row r="1262" spans="16:36" x14ac:dyDescent="0.2">
      <c r="P1262" s="73"/>
      <c r="AA1262" s="45"/>
      <c r="AB1262" s="45"/>
      <c r="AD1262" s="189"/>
      <c r="AE1262" s="189"/>
      <c r="AF1262" s="189"/>
      <c r="AG1262" s="189"/>
      <c r="AH1262" s="189"/>
      <c r="AI1262" s="45"/>
      <c r="AJ1262" s="45"/>
    </row>
    <row r="1263" spans="16:36" x14ac:dyDescent="0.2">
      <c r="P1263" s="73"/>
      <c r="AA1263" s="45"/>
      <c r="AB1263" s="45"/>
      <c r="AD1263" s="189"/>
      <c r="AE1263" s="189"/>
      <c r="AF1263" s="189"/>
      <c r="AG1263" s="189"/>
      <c r="AH1263" s="189"/>
      <c r="AI1263" s="45"/>
      <c r="AJ1263" s="45"/>
    </row>
    <row r="1264" spans="16:36" x14ac:dyDescent="0.2">
      <c r="P1264" s="73"/>
      <c r="AA1264" s="45"/>
      <c r="AB1264" s="45"/>
      <c r="AD1264" s="189"/>
      <c r="AE1264" s="189"/>
      <c r="AF1264" s="189"/>
      <c r="AG1264" s="189"/>
      <c r="AH1264" s="189"/>
      <c r="AI1264" s="45"/>
      <c r="AJ1264" s="45"/>
    </row>
    <row r="1265" spans="16:36" x14ac:dyDescent="0.2">
      <c r="P1265" s="73"/>
      <c r="AA1265" s="45"/>
      <c r="AB1265" s="45"/>
      <c r="AD1265" s="189"/>
      <c r="AE1265" s="189"/>
      <c r="AF1265" s="189"/>
      <c r="AG1265" s="189"/>
      <c r="AH1265" s="189"/>
      <c r="AI1265" s="45"/>
      <c r="AJ1265" s="45"/>
    </row>
    <row r="1266" spans="16:36" x14ac:dyDescent="0.2">
      <c r="P1266" s="73"/>
      <c r="AA1266" s="45"/>
      <c r="AB1266" s="45"/>
      <c r="AD1266" s="189"/>
      <c r="AE1266" s="189"/>
      <c r="AF1266" s="189"/>
      <c r="AG1266" s="189"/>
      <c r="AH1266" s="189"/>
      <c r="AI1266" s="45"/>
      <c r="AJ1266" s="45"/>
    </row>
    <row r="1267" spans="16:36" x14ac:dyDescent="0.2">
      <c r="P1267" s="73"/>
      <c r="AA1267" s="45"/>
      <c r="AB1267" s="45"/>
      <c r="AD1267" s="189"/>
      <c r="AE1267" s="189"/>
      <c r="AF1267" s="189"/>
      <c r="AG1267" s="189"/>
      <c r="AH1267" s="189"/>
      <c r="AI1267" s="45"/>
      <c r="AJ1267" s="45"/>
    </row>
    <row r="1268" spans="16:36" x14ac:dyDescent="0.2">
      <c r="P1268" s="73"/>
      <c r="AA1268" s="45"/>
      <c r="AB1268" s="45"/>
      <c r="AD1268" s="189"/>
      <c r="AE1268" s="189"/>
      <c r="AF1268" s="189"/>
      <c r="AG1268" s="189"/>
      <c r="AH1268" s="189"/>
      <c r="AI1268" s="45"/>
      <c r="AJ1268" s="45"/>
    </row>
    <row r="1269" spans="16:36" x14ac:dyDescent="0.2">
      <c r="P1269" s="73"/>
      <c r="AA1269" s="45"/>
      <c r="AB1269" s="45"/>
      <c r="AD1269" s="189"/>
      <c r="AE1269" s="189"/>
      <c r="AF1269" s="189"/>
      <c r="AG1269" s="189"/>
      <c r="AH1269" s="189"/>
      <c r="AI1269" s="45"/>
      <c r="AJ1269" s="45"/>
    </row>
    <row r="1270" spans="16:36" x14ac:dyDescent="0.2">
      <c r="P1270" s="73"/>
      <c r="AA1270" s="45"/>
      <c r="AB1270" s="45"/>
      <c r="AD1270" s="189"/>
      <c r="AE1270" s="189"/>
      <c r="AF1270" s="189"/>
      <c r="AG1270" s="189"/>
      <c r="AH1270" s="189"/>
      <c r="AI1270" s="45"/>
      <c r="AJ1270" s="45"/>
    </row>
    <row r="1271" spans="16:36" x14ac:dyDescent="0.2">
      <c r="P1271" s="73"/>
      <c r="AA1271" s="45"/>
      <c r="AB1271" s="45"/>
      <c r="AD1271" s="189"/>
      <c r="AE1271" s="189"/>
      <c r="AF1271" s="189"/>
      <c r="AG1271" s="189"/>
      <c r="AH1271" s="189"/>
      <c r="AI1271" s="45"/>
      <c r="AJ1271" s="45"/>
    </row>
    <row r="1272" spans="16:36" x14ac:dyDescent="0.2">
      <c r="P1272" s="73"/>
      <c r="AA1272" s="45"/>
      <c r="AB1272" s="45"/>
      <c r="AD1272" s="189"/>
      <c r="AE1272" s="189"/>
      <c r="AF1272" s="189"/>
      <c r="AG1272" s="189"/>
      <c r="AH1272" s="189"/>
      <c r="AI1272" s="45"/>
      <c r="AJ1272" s="45"/>
    </row>
    <row r="1273" spans="16:36" x14ac:dyDescent="0.2">
      <c r="P1273" s="73"/>
      <c r="AA1273" s="45"/>
      <c r="AB1273" s="45"/>
      <c r="AD1273" s="189"/>
      <c r="AE1273" s="189"/>
      <c r="AF1273" s="189"/>
      <c r="AG1273" s="189"/>
      <c r="AH1273" s="189"/>
      <c r="AI1273" s="45"/>
      <c r="AJ1273" s="45"/>
    </row>
    <row r="1274" spans="16:36" x14ac:dyDescent="0.2">
      <c r="P1274" s="73"/>
      <c r="AA1274" s="45"/>
      <c r="AB1274" s="45"/>
      <c r="AD1274" s="189"/>
      <c r="AE1274" s="189"/>
      <c r="AF1274" s="189"/>
      <c r="AG1274" s="189"/>
      <c r="AH1274" s="189"/>
      <c r="AI1274" s="45"/>
      <c r="AJ1274" s="45"/>
    </row>
    <row r="1275" spans="16:36" x14ac:dyDescent="0.2">
      <c r="P1275" s="73"/>
      <c r="AA1275" s="45"/>
      <c r="AB1275" s="45"/>
      <c r="AD1275" s="189"/>
      <c r="AE1275" s="189"/>
      <c r="AF1275" s="189"/>
      <c r="AG1275" s="189"/>
      <c r="AH1275" s="189"/>
      <c r="AI1275" s="45"/>
      <c r="AJ1275" s="45"/>
    </row>
    <row r="1276" spans="16:36" x14ac:dyDescent="0.2">
      <c r="P1276" s="73"/>
      <c r="AA1276" s="45"/>
      <c r="AB1276" s="45"/>
      <c r="AD1276" s="189"/>
      <c r="AE1276" s="189"/>
      <c r="AF1276" s="189"/>
      <c r="AG1276" s="189"/>
      <c r="AH1276" s="189"/>
      <c r="AI1276" s="45"/>
      <c r="AJ1276" s="45"/>
    </row>
    <row r="1277" spans="16:36" x14ac:dyDescent="0.2">
      <c r="P1277" s="73"/>
      <c r="AA1277" s="45"/>
      <c r="AB1277" s="45"/>
      <c r="AD1277" s="189"/>
      <c r="AE1277" s="189"/>
      <c r="AF1277" s="189"/>
      <c r="AG1277" s="189"/>
      <c r="AH1277" s="189"/>
      <c r="AI1277" s="45"/>
      <c r="AJ1277" s="45"/>
    </row>
    <row r="1278" spans="16:36" x14ac:dyDescent="0.2">
      <c r="P1278" s="73"/>
      <c r="AA1278" s="45"/>
      <c r="AB1278" s="45"/>
      <c r="AD1278" s="189"/>
      <c r="AE1278" s="189"/>
      <c r="AF1278" s="189"/>
      <c r="AG1278" s="189"/>
      <c r="AH1278" s="189"/>
      <c r="AI1278" s="45"/>
      <c r="AJ1278" s="45"/>
    </row>
    <row r="1279" spans="16:36" x14ac:dyDescent="0.2">
      <c r="P1279" s="73"/>
      <c r="AA1279" s="45"/>
      <c r="AB1279" s="45"/>
      <c r="AD1279" s="189"/>
      <c r="AE1279" s="189"/>
      <c r="AF1279" s="189"/>
      <c r="AG1279" s="189"/>
      <c r="AH1279" s="189"/>
      <c r="AI1279" s="45"/>
      <c r="AJ1279" s="45"/>
    </row>
    <row r="1280" spans="16:36" x14ac:dyDescent="0.2">
      <c r="P1280" s="73"/>
      <c r="AA1280" s="45"/>
      <c r="AB1280" s="45"/>
      <c r="AD1280" s="189"/>
      <c r="AE1280" s="189"/>
      <c r="AF1280" s="189"/>
      <c r="AG1280" s="189"/>
      <c r="AH1280" s="189"/>
      <c r="AI1280" s="45"/>
      <c r="AJ1280" s="45"/>
    </row>
    <row r="1281" spans="16:36" x14ac:dyDescent="0.2">
      <c r="P1281" s="73"/>
      <c r="AA1281" s="45"/>
      <c r="AB1281" s="45"/>
      <c r="AD1281" s="189"/>
      <c r="AE1281" s="189"/>
      <c r="AF1281" s="189"/>
      <c r="AG1281" s="189"/>
      <c r="AH1281" s="189"/>
      <c r="AI1281" s="45"/>
      <c r="AJ1281" s="45"/>
    </row>
    <row r="1282" spans="16:36" x14ac:dyDescent="0.2">
      <c r="P1282" s="73"/>
      <c r="AA1282" s="45"/>
      <c r="AB1282" s="45"/>
      <c r="AD1282" s="189"/>
      <c r="AE1282" s="189"/>
      <c r="AF1282" s="189"/>
      <c r="AG1282" s="189"/>
      <c r="AH1282" s="189"/>
      <c r="AI1282" s="45"/>
      <c r="AJ1282" s="45"/>
    </row>
    <row r="1283" spans="16:36" x14ac:dyDescent="0.2">
      <c r="P1283" s="73"/>
      <c r="AA1283" s="45"/>
      <c r="AB1283" s="45"/>
      <c r="AD1283" s="189"/>
      <c r="AE1283" s="189"/>
      <c r="AF1283" s="189"/>
      <c r="AG1283" s="189"/>
      <c r="AH1283" s="189"/>
      <c r="AI1283" s="45"/>
      <c r="AJ1283" s="45"/>
    </row>
    <row r="1284" spans="16:36" x14ac:dyDescent="0.2">
      <c r="P1284" s="73"/>
      <c r="AA1284" s="45"/>
      <c r="AB1284" s="45"/>
      <c r="AD1284" s="189"/>
      <c r="AE1284" s="189"/>
      <c r="AF1284" s="189"/>
      <c r="AG1284" s="189"/>
      <c r="AH1284" s="189"/>
      <c r="AI1284" s="45"/>
      <c r="AJ1284" s="45"/>
    </row>
    <row r="1285" spans="16:36" x14ac:dyDescent="0.2">
      <c r="P1285" s="73"/>
      <c r="AA1285" s="45"/>
      <c r="AB1285" s="45"/>
      <c r="AD1285" s="189"/>
      <c r="AE1285" s="189"/>
      <c r="AF1285" s="189"/>
      <c r="AG1285" s="189"/>
      <c r="AH1285" s="189"/>
      <c r="AI1285" s="45"/>
      <c r="AJ1285" s="45"/>
    </row>
    <row r="1286" spans="16:36" x14ac:dyDescent="0.2">
      <c r="P1286" s="73"/>
      <c r="AA1286" s="45"/>
      <c r="AB1286" s="45"/>
      <c r="AD1286" s="189"/>
      <c r="AE1286" s="189"/>
      <c r="AF1286" s="189"/>
      <c r="AG1286" s="189"/>
      <c r="AH1286" s="189"/>
      <c r="AI1286" s="45"/>
      <c r="AJ1286" s="45"/>
    </row>
    <row r="1287" spans="16:36" x14ac:dyDescent="0.2">
      <c r="P1287" s="73"/>
      <c r="AA1287" s="45"/>
      <c r="AB1287" s="45"/>
      <c r="AD1287" s="189"/>
      <c r="AE1287" s="189"/>
      <c r="AF1287" s="189"/>
      <c r="AG1287" s="189"/>
      <c r="AH1287" s="189"/>
      <c r="AI1287" s="45"/>
      <c r="AJ1287" s="45"/>
    </row>
    <row r="1288" spans="16:36" x14ac:dyDescent="0.2">
      <c r="P1288" s="73"/>
      <c r="AA1288" s="45"/>
      <c r="AB1288" s="45"/>
      <c r="AD1288" s="189"/>
      <c r="AE1288" s="189"/>
      <c r="AF1288" s="189"/>
      <c r="AG1288" s="189"/>
      <c r="AH1288" s="189"/>
      <c r="AI1288" s="45"/>
      <c r="AJ1288" s="45"/>
    </row>
    <row r="1289" spans="16:36" x14ac:dyDescent="0.2">
      <c r="P1289" s="73"/>
      <c r="AA1289" s="45"/>
      <c r="AB1289" s="45"/>
      <c r="AD1289" s="189"/>
      <c r="AE1289" s="189"/>
      <c r="AF1289" s="189"/>
      <c r="AG1289" s="189"/>
      <c r="AH1289" s="189"/>
      <c r="AI1289" s="45"/>
      <c r="AJ1289" s="45"/>
    </row>
    <row r="1290" spans="16:36" x14ac:dyDescent="0.2">
      <c r="P1290" s="73"/>
      <c r="AA1290" s="45"/>
      <c r="AB1290" s="45"/>
      <c r="AD1290" s="189"/>
      <c r="AE1290" s="189"/>
      <c r="AF1290" s="189"/>
      <c r="AG1290" s="189"/>
      <c r="AH1290" s="189"/>
      <c r="AI1290" s="45"/>
      <c r="AJ1290" s="45"/>
    </row>
    <row r="1291" spans="16:36" x14ac:dyDescent="0.2">
      <c r="P1291" s="73"/>
      <c r="AA1291" s="45"/>
      <c r="AB1291" s="45"/>
      <c r="AD1291" s="189"/>
      <c r="AE1291" s="189"/>
      <c r="AF1291" s="189"/>
      <c r="AG1291" s="189"/>
      <c r="AH1291" s="189"/>
      <c r="AI1291" s="45"/>
      <c r="AJ1291" s="45"/>
    </row>
    <row r="1292" spans="16:36" x14ac:dyDescent="0.2">
      <c r="P1292" s="73"/>
      <c r="AA1292" s="45"/>
      <c r="AB1292" s="45"/>
      <c r="AD1292" s="189"/>
      <c r="AE1292" s="189"/>
      <c r="AF1292" s="189"/>
      <c r="AG1292" s="189"/>
      <c r="AH1292" s="189"/>
      <c r="AI1292" s="45"/>
      <c r="AJ1292" s="45"/>
    </row>
    <row r="1293" spans="16:36" x14ac:dyDescent="0.2">
      <c r="P1293" s="73"/>
      <c r="AA1293" s="45"/>
      <c r="AB1293" s="45"/>
      <c r="AD1293" s="189"/>
      <c r="AE1293" s="189"/>
      <c r="AF1293" s="189"/>
      <c r="AG1293" s="189"/>
      <c r="AH1293" s="189"/>
      <c r="AI1293" s="45"/>
      <c r="AJ1293" s="45"/>
    </row>
    <row r="1294" spans="16:36" x14ac:dyDescent="0.2">
      <c r="P1294" s="73"/>
      <c r="AA1294" s="45"/>
      <c r="AB1294" s="45"/>
      <c r="AD1294" s="189"/>
      <c r="AE1294" s="189"/>
      <c r="AF1294" s="189"/>
      <c r="AG1294" s="189"/>
      <c r="AH1294" s="189"/>
      <c r="AI1294" s="45"/>
      <c r="AJ1294" s="45"/>
    </row>
    <row r="1295" spans="16:36" x14ac:dyDescent="0.2">
      <c r="P1295" s="73"/>
      <c r="AA1295" s="45"/>
      <c r="AB1295" s="45"/>
      <c r="AD1295" s="189"/>
      <c r="AE1295" s="189"/>
      <c r="AF1295" s="189"/>
      <c r="AG1295" s="189"/>
      <c r="AH1295" s="189"/>
      <c r="AI1295" s="45"/>
      <c r="AJ1295" s="45"/>
    </row>
    <row r="1296" spans="16:36" x14ac:dyDescent="0.2">
      <c r="P1296" s="73"/>
      <c r="AA1296" s="45"/>
      <c r="AB1296" s="45"/>
      <c r="AD1296" s="189"/>
      <c r="AE1296" s="189"/>
      <c r="AF1296" s="189"/>
      <c r="AG1296" s="189"/>
      <c r="AH1296" s="189"/>
      <c r="AI1296" s="45"/>
      <c r="AJ1296" s="45"/>
    </row>
    <row r="1297" spans="16:36" x14ac:dyDescent="0.2">
      <c r="P1297" s="73"/>
      <c r="AA1297" s="45"/>
      <c r="AB1297" s="45"/>
      <c r="AD1297" s="189"/>
      <c r="AE1297" s="189"/>
      <c r="AF1297" s="189"/>
      <c r="AG1297" s="189"/>
      <c r="AH1297" s="189"/>
      <c r="AI1297" s="45"/>
      <c r="AJ1297" s="45"/>
    </row>
    <row r="1298" spans="16:36" x14ac:dyDescent="0.2">
      <c r="P1298" s="73"/>
      <c r="AA1298" s="45"/>
      <c r="AB1298" s="45"/>
      <c r="AD1298" s="189"/>
      <c r="AE1298" s="189"/>
      <c r="AF1298" s="189"/>
      <c r="AG1298" s="189"/>
      <c r="AH1298" s="189"/>
      <c r="AI1298" s="45"/>
      <c r="AJ1298" s="45"/>
    </row>
    <row r="1299" spans="16:36" x14ac:dyDescent="0.2">
      <c r="P1299" s="73"/>
      <c r="AA1299" s="45"/>
      <c r="AB1299" s="45"/>
      <c r="AD1299" s="189"/>
      <c r="AE1299" s="189"/>
      <c r="AF1299" s="189"/>
      <c r="AG1299" s="189"/>
      <c r="AH1299" s="189"/>
      <c r="AI1299" s="45"/>
      <c r="AJ1299" s="45"/>
    </row>
    <row r="1300" spans="16:36" x14ac:dyDescent="0.2">
      <c r="P1300" s="73"/>
      <c r="AA1300" s="45"/>
      <c r="AB1300" s="45"/>
      <c r="AD1300" s="189"/>
      <c r="AE1300" s="189"/>
      <c r="AF1300" s="189"/>
      <c r="AG1300" s="189"/>
      <c r="AH1300" s="189"/>
      <c r="AI1300" s="45"/>
      <c r="AJ1300" s="45"/>
    </row>
    <row r="1301" spans="16:36" x14ac:dyDescent="0.2">
      <c r="P1301" s="73"/>
      <c r="AA1301" s="45"/>
      <c r="AB1301" s="45"/>
      <c r="AD1301" s="189"/>
      <c r="AE1301" s="189"/>
      <c r="AF1301" s="189"/>
      <c r="AG1301" s="189"/>
      <c r="AH1301" s="189"/>
      <c r="AI1301" s="45"/>
      <c r="AJ1301" s="45"/>
    </row>
    <row r="1302" spans="16:36" x14ac:dyDescent="0.2">
      <c r="P1302" s="73"/>
      <c r="AA1302" s="45"/>
      <c r="AB1302" s="45"/>
      <c r="AD1302" s="189"/>
      <c r="AE1302" s="189"/>
      <c r="AF1302" s="189"/>
      <c r="AG1302" s="189"/>
      <c r="AH1302" s="189"/>
      <c r="AI1302" s="45"/>
      <c r="AJ1302" s="45"/>
    </row>
    <row r="1303" spans="16:36" x14ac:dyDescent="0.2">
      <c r="P1303" s="73"/>
      <c r="AA1303" s="45"/>
      <c r="AB1303" s="45"/>
      <c r="AD1303" s="189"/>
      <c r="AE1303" s="189"/>
      <c r="AF1303" s="189"/>
      <c r="AG1303" s="189"/>
      <c r="AH1303" s="189"/>
      <c r="AI1303" s="45"/>
      <c r="AJ1303" s="45"/>
    </row>
    <row r="1304" spans="16:36" x14ac:dyDescent="0.2">
      <c r="P1304" s="73"/>
      <c r="AA1304" s="45"/>
      <c r="AB1304" s="45"/>
      <c r="AD1304" s="189"/>
      <c r="AE1304" s="189"/>
      <c r="AF1304" s="189"/>
      <c r="AG1304" s="189"/>
      <c r="AH1304" s="189"/>
      <c r="AI1304" s="45"/>
      <c r="AJ1304" s="45"/>
    </row>
    <row r="1305" spans="16:36" x14ac:dyDescent="0.2">
      <c r="P1305" s="73"/>
      <c r="AA1305" s="45"/>
      <c r="AB1305" s="45"/>
      <c r="AD1305" s="189"/>
      <c r="AE1305" s="189"/>
      <c r="AF1305" s="189"/>
      <c r="AG1305" s="189"/>
      <c r="AH1305" s="189"/>
      <c r="AI1305" s="45"/>
      <c r="AJ1305" s="45"/>
    </row>
    <row r="1306" spans="16:36" x14ac:dyDescent="0.2">
      <c r="P1306" s="73"/>
      <c r="AA1306" s="45"/>
      <c r="AB1306" s="45"/>
      <c r="AD1306" s="189"/>
      <c r="AE1306" s="189"/>
      <c r="AF1306" s="189"/>
      <c r="AG1306" s="189"/>
      <c r="AH1306" s="189"/>
      <c r="AI1306" s="45"/>
      <c r="AJ1306" s="45"/>
    </row>
    <row r="1307" spans="16:36" x14ac:dyDescent="0.2">
      <c r="P1307" s="73"/>
      <c r="AA1307" s="45"/>
      <c r="AB1307" s="45"/>
      <c r="AD1307" s="189"/>
      <c r="AE1307" s="189"/>
      <c r="AF1307" s="189"/>
      <c r="AG1307" s="189"/>
      <c r="AH1307" s="189"/>
      <c r="AI1307" s="45"/>
      <c r="AJ1307" s="45"/>
    </row>
    <row r="1308" spans="16:36" x14ac:dyDescent="0.2">
      <c r="P1308" s="73"/>
      <c r="AA1308" s="45"/>
      <c r="AB1308" s="45"/>
      <c r="AD1308" s="189"/>
      <c r="AE1308" s="189"/>
      <c r="AF1308" s="189"/>
      <c r="AG1308" s="189"/>
      <c r="AH1308" s="189"/>
      <c r="AI1308" s="45"/>
      <c r="AJ1308" s="45"/>
    </row>
    <row r="1309" spans="16:36" x14ac:dyDescent="0.2">
      <c r="P1309" s="73"/>
      <c r="AA1309" s="45"/>
      <c r="AB1309" s="45"/>
      <c r="AD1309" s="189"/>
      <c r="AE1309" s="189"/>
      <c r="AF1309" s="189"/>
      <c r="AG1309" s="189"/>
      <c r="AH1309" s="189"/>
      <c r="AI1309" s="45"/>
      <c r="AJ1309" s="45"/>
    </row>
    <row r="1310" spans="16:36" x14ac:dyDescent="0.2">
      <c r="P1310" s="73"/>
      <c r="AA1310" s="45"/>
      <c r="AB1310" s="45"/>
      <c r="AD1310" s="189"/>
      <c r="AE1310" s="189"/>
      <c r="AF1310" s="189"/>
      <c r="AG1310" s="189"/>
      <c r="AH1310" s="189"/>
      <c r="AI1310" s="45"/>
      <c r="AJ1310" s="45"/>
    </row>
    <row r="1311" spans="16:36" x14ac:dyDescent="0.2">
      <c r="P1311" s="73"/>
      <c r="AA1311" s="45"/>
      <c r="AB1311" s="45"/>
      <c r="AD1311" s="189"/>
      <c r="AE1311" s="189"/>
      <c r="AF1311" s="189"/>
      <c r="AG1311" s="189"/>
      <c r="AH1311" s="189"/>
      <c r="AI1311" s="45"/>
      <c r="AJ1311" s="45"/>
    </row>
    <row r="1312" spans="16:36" x14ac:dyDescent="0.2">
      <c r="P1312" s="73"/>
      <c r="AA1312" s="45"/>
      <c r="AB1312" s="45"/>
      <c r="AD1312" s="189"/>
      <c r="AE1312" s="189"/>
      <c r="AF1312" s="189"/>
      <c r="AG1312" s="189"/>
      <c r="AH1312" s="189"/>
      <c r="AI1312" s="45"/>
      <c r="AJ1312" s="45"/>
    </row>
    <row r="1313" spans="16:36" x14ac:dyDescent="0.2">
      <c r="P1313" s="73"/>
      <c r="AA1313" s="45"/>
      <c r="AB1313" s="45"/>
      <c r="AD1313" s="189"/>
      <c r="AE1313" s="189"/>
      <c r="AF1313" s="189"/>
      <c r="AG1313" s="189"/>
      <c r="AH1313" s="189"/>
      <c r="AI1313" s="45"/>
      <c r="AJ1313" s="45"/>
    </row>
    <row r="1314" spans="16:36" x14ac:dyDescent="0.2">
      <c r="P1314" s="73"/>
      <c r="AA1314" s="45"/>
      <c r="AB1314" s="45"/>
      <c r="AD1314" s="189"/>
      <c r="AE1314" s="189"/>
      <c r="AF1314" s="189"/>
      <c r="AG1314" s="189"/>
      <c r="AH1314" s="189"/>
      <c r="AI1314" s="45"/>
      <c r="AJ1314" s="45"/>
    </row>
    <row r="1315" spans="16:36" x14ac:dyDescent="0.2">
      <c r="P1315" s="73"/>
      <c r="AA1315" s="45"/>
      <c r="AB1315" s="45"/>
      <c r="AD1315" s="189"/>
      <c r="AE1315" s="189"/>
      <c r="AF1315" s="189"/>
      <c r="AG1315" s="189"/>
      <c r="AH1315" s="189"/>
      <c r="AI1315" s="45"/>
      <c r="AJ1315" s="45"/>
    </row>
    <row r="1316" spans="16:36" x14ac:dyDescent="0.2">
      <c r="P1316" s="73"/>
      <c r="AA1316" s="45"/>
      <c r="AB1316" s="45"/>
      <c r="AD1316" s="189"/>
      <c r="AE1316" s="189"/>
      <c r="AF1316" s="189"/>
      <c r="AG1316" s="189"/>
      <c r="AH1316" s="189"/>
      <c r="AI1316" s="45"/>
      <c r="AJ1316" s="45"/>
    </row>
    <row r="1317" spans="16:36" x14ac:dyDescent="0.2">
      <c r="P1317" s="73"/>
      <c r="AA1317" s="45"/>
      <c r="AB1317" s="45"/>
      <c r="AD1317" s="189"/>
      <c r="AE1317" s="189"/>
      <c r="AF1317" s="189"/>
      <c r="AG1317" s="189"/>
      <c r="AH1317" s="189"/>
      <c r="AI1317" s="45"/>
      <c r="AJ1317" s="45"/>
    </row>
    <row r="1318" spans="16:36" x14ac:dyDescent="0.2">
      <c r="P1318" s="73"/>
      <c r="AA1318" s="45"/>
      <c r="AB1318" s="45"/>
      <c r="AD1318" s="189"/>
      <c r="AE1318" s="189"/>
      <c r="AF1318" s="189"/>
      <c r="AG1318" s="189"/>
      <c r="AH1318" s="189"/>
      <c r="AI1318" s="45"/>
      <c r="AJ1318" s="45"/>
    </row>
    <row r="1319" spans="16:36" x14ac:dyDescent="0.2">
      <c r="P1319" s="73"/>
      <c r="AA1319" s="45"/>
      <c r="AB1319" s="45"/>
      <c r="AD1319" s="189"/>
      <c r="AE1319" s="189"/>
      <c r="AF1319" s="189"/>
      <c r="AG1319" s="189"/>
      <c r="AH1319" s="189"/>
      <c r="AI1319" s="45"/>
      <c r="AJ1319" s="45"/>
    </row>
    <row r="1320" spans="16:36" x14ac:dyDescent="0.2">
      <c r="P1320" s="73"/>
      <c r="AA1320" s="45"/>
      <c r="AB1320" s="45"/>
      <c r="AD1320" s="189"/>
      <c r="AE1320" s="189"/>
      <c r="AF1320" s="189"/>
      <c r="AG1320" s="189"/>
      <c r="AH1320" s="189"/>
      <c r="AI1320" s="45"/>
      <c r="AJ1320" s="45"/>
    </row>
    <row r="1321" spans="16:36" x14ac:dyDescent="0.2">
      <c r="P1321" s="73"/>
      <c r="AA1321" s="45"/>
      <c r="AB1321" s="45"/>
      <c r="AD1321" s="189"/>
      <c r="AE1321" s="189"/>
      <c r="AF1321" s="189"/>
      <c r="AG1321" s="189"/>
      <c r="AH1321" s="189"/>
      <c r="AI1321" s="45"/>
      <c r="AJ1321" s="45"/>
    </row>
    <row r="1322" spans="16:36" x14ac:dyDescent="0.2">
      <c r="P1322" s="73"/>
      <c r="AA1322" s="45"/>
      <c r="AB1322" s="45"/>
      <c r="AD1322" s="189"/>
      <c r="AE1322" s="189"/>
      <c r="AF1322" s="189"/>
      <c r="AG1322" s="189"/>
      <c r="AH1322" s="189"/>
      <c r="AI1322" s="45"/>
      <c r="AJ1322" s="45"/>
    </row>
    <row r="1323" spans="16:36" x14ac:dyDescent="0.2">
      <c r="P1323" s="73"/>
      <c r="AA1323" s="45"/>
      <c r="AB1323" s="45"/>
      <c r="AD1323" s="189"/>
      <c r="AE1323" s="189"/>
      <c r="AF1323" s="189"/>
      <c r="AG1323" s="189"/>
      <c r="AH1323" s="189"/>
      <c r="AI1323" s="45"/>
      <c r="AJ1323" s="45"/>
    </row>
    <row r="1324" spans="16:36" x14ac:dyDescent="0.2">
      <c r="P1324" s="73"/>
      <c r="AA1324" s="45"/>
      <c r="AB1324" s="45"/>
      <c r="AD1324" s="189"/>
      <c r="AE1324" s="189"/>
      <c r="AF1324" s="189"/>
      <c r="AG1324" s="189"/>
      <c r="AH1324" s="189"/>
      <c r="AI1324" s="45"/>
      <c r="AJ1324" s="45"/>
    </row>
    <row r="1325" spans="16:36" x14ac:dyDescent="0.2">
      <c r="P1325" s="73"/>
      <c r="AA1325" s="45"/>
      <c r="AB1325" s="45"/>
      <c r="AD1325" s="189"/>
      <c r="AE1325" s="189"/>
      <c r="AF1325" s="189"/>
      <c r="AG1325" s="189"/>
      <c r="AH1325" s="189"/>
      <c r="AI1325" s="45"/>
      <c r="AJ1325" s="45"/>
    </row>
    <row r="1326" spans="16:36" x14ac:dyDescent="0.2">
      <c r="P1326" s="73"/>
      <c r="AA1326" s="45"/>
      <c r="AB1326" s="45"/>
      <c r="AD1326" s="189"/>
      <c r="AE1326" s="189"/>
      <c r="AF1326" s="189"/>
      <c r="AG1326" s="189"/>
      <c r="AH1326" s="189"/>
      <c r="AI1326" s="45"/>
      <c r="AJ1326" s="45"/>
    </row>
    <row r="1327" spans="16:36" x14ac:dyDescent="0.2">
      <c r="P1327" s="73"/>
      <c r="AA1327" s="45"/>
      <c r="AB1327" s="45"/>
      <c r="AD1327" s="189"/>
      <c r="AE1327" s="189"/>
      <c r="AF1327" s="189"/>
      <c r="AG1327" s="189"/>
      <c r="AH1327" s="189"/>
      <c r="AI1327" s="45"/>
      <c r="AJ1327" s="45"/>
    </row>
    <row r="1328" spans="16:36" x14ac:dyDescent="0.2">
      <c r="P1328" s="73"/>
      <c r="AA1328" s="45"/>
      <c r="AB1328" s="45"/>
      <c r="AD1328" s="189"/>
      <c r="AE1328" s="189"/>
      <c r="AF1328" s="189"/>
      <c r="AG1328" s="189"/>
      <c r="AH1328" s="189"/>
      <c r="AI1328" s="45"/>
      <c r="AJ1328" s="45"/>
    </row>
    <row r="1329" spans="16:36" x14ac:dyDescent="0.2">
      <c r="P1329" s="73"/>
      <c r="AA1329" s="45"/>
      <c r="AB1329" s="45"/>
      <c r="AD1329" s="189"/>
      <c r="AE1329" s="189"/>
      <c r="AF1329" s="189"/>
      <c r="AG1329" s="189"/>
      <c r="AH1329" s="189"/>
      <c r="AI1329" s="45"/>
      <c r="AJ1329" s="45"/>
    </row>
    <row r="1330" spans="16:36" x14ac:dyDescent="0.2">
      <c r="P1330" s="73"/>
      <c r="AA1330" s="45"/>
      <c r="AB1330" s="45"/>
      <c r="AD1330" s="189"/>
      <c r="AE1330" s="189"/>
      <c r="AF1330" s="189"/>
      <c r="AG1330" s="189"/>
      <c r="AH1330" s="189"/>
      <c r="AI1330" s="45"/>
      <c r="AJ1330" s="45"/>
    </row>
    <row r="1331" spans="16:36" x14ac:dyDescent="0.2">
      <c r="P1331" s="73"/>
      <c r="AA1331" s="45"/>
      <c r="AB1331" s="45"/>
      <c r="AD1331" s="189"/>
      <c r="AE1331" s="189"/>
      <c r="AF1331" s="189"/>
      <c r="AG1331" s="189"/>
      <c r="AH1331" s="189"/>
      <c r="AI1331" s="45"/>
      <c r="AJ1331" s="45"/>
    </row>
    <row r="1332" spans="16:36" x14ac:dyDescent="0.2">
      <c r="P1332" s="73"/>
      <c r="AA1332" s="45"/>
      <c r="AB1332" s="45"/>
      <c r="AD1332" s="189"/>
      <c r="AE1332" s="189"/>
      <c r="AF1332" s="189"/>
      <c r="AG1332" s="189"/>
      <c r="AH1332" s="189"/>
      <c r="AI1332" s="45"/>
      <c r="AJ1332" s="45"/>
    </row>
    <row r="1333" spans="16:36" x14ac:dyDescent="0.2">
      <c r="P1333" s="73"/>
      <c r="AA1333" s="45"/>
      <c r="AB1333" s="45"/>
      <c r="AD1333" s="189"/>
      <c r="AE1333" s="189"/>
      <c r="AF1333" s="189"/>
      <c r="AG1333" s="189"/>
      <c r="AH1333" s="189"/>
      <c r="AI1333" s="45"/>
      <c r="AJ1333" s="45"/>
    </row>
    <row r="1334" spans="16:36" x14ac:dyDescent="0.2">
      <c r="P1334" s="73"/>
      <c r="AA1334" s="45"/>
      <c r="AB1334" s="45"/>
      <c r="AD1334" s="189"/>
      <c r="AE1334" s="189"/>
      <c r="AF1334" s="189"/>
      <c r="AG1334" s="189"/>
      <c r="AH1334" s="189"/>
      <c r="AI1334" s="45"/>
      <c r="AJ1334" s="45"/>
    </row>
    <row r="1335" spans="16:36" x14ac:dyDescent="0.2">
      <c r="P1335" s="73"/>
      <c r="AA1335" s="45"/>
      <c r="AB1335" s="45"/>
      <c r="AD1335" s="189"/>
      <c r="AE1335" s="189"/>
      <c r="AF1335" s="189"/>
      <c r="AG1335" s="189"/>
      <c r="AH1335" s="189"/>
      <c r="AI1335" s="45"/>
      <c r="AJ1335" s="45"/>
    </row>
    <row r="1336" spans="16:36" x14ac:dyDescent="0.2">
      <c r="P1336" s="73"/>
      <c r="AA1336" s="45"/>
      <c r="AB1336" s="45"/>
      <c r="AD1336" s="189"/>
      <c r="AE1336" s="189"/>
      <c r="AF1336" s="189"/>
      <c r="AG1336" s="189"/>
      <c r="AH1336" s="189"/>
      <c r="AI1336" s="45"/>
      <c r="AJ1336" s="45"/>
    </row>
    <row r="1337" spans="16:36" x14ac:dyDescent="0.2">
      <c r="P1337" s="73"/>
      <c r="AA1337" s="45"/>
      <c r="AB1337" s="45"/>
      <c r="AD1337" s="189"/>
      <c r="AE1337" s="189"/>
      <c r="AF1337" s="189"/>
      <c r="AG1337" s="189"/>
      <c r="AH1337" s="189"/>
      <c r="AI1337" s="45"/>
      <c r="AJ1337" s="45"/>
    </row>
    <row r="1338" spans="16:36" x14ac:dyDescent="0.2">
      <c r="P1338" s="73"/>
      <c r="AA1338" s="45"/>
      <c r="AB1338" s="45"/>
      <c r="AD1338" s="189"/>
      <c r="AE1338" s="189"/>
      <c r="AF1338" s="189"/>
      <c r="AG1338" s="189"/>
      <c r="AH1338" s="189"/>
      <c r="AI1338" s="45"/>
      <c r="AJ1338" s="45"/>
    </row>
    <row r="1339" spans="16:36" x14ac:dyDescent="0.2">
      <c r="P1339" s="73"/>
      <c r="AA1339" s="45"/>
      <c r="AB1339" s="45"/>
      <c r="AD1339" s="189"/>
      <c r="AE1339" s="189"/>
      <c r="AF1339" s="189"/>
      <c r="AG1339" s="189"/>
      <c r="AH1339" s="189"/>
      <c r="AI1339" s="45"/>
      <c r="AJ1339" s="45"/>
    </row>
    <row r="1340" spans="16:36" x14ac:dyDescent="0.2">
      <c r="P1340" s="73"/>
      <c r="AA1340" s="45"/>
      <c r="AB1340" s="45"/>
      <c r="AD1340" s="189"/>
      <c r="AE1340" s="189"/>
      <c r="AF1340" s="189"/>
      <c r="AG1340" s="189"/>
      <c r="AH1340" s="189"/>
      <c r="AI1340" s="45"/>
      <c r="AJ1340" s="45"/>
    </row>
    <row r="1341" spans="16:36" x14ac:dyDescent="0.2">
      <c r="P1341" s="73"/>
      <c r="AA1341" s="45"/>
      <c r="AB1341" s="45"/>
      <c r="AD1341" s="189"/>
      <c r="AE1341" s="189"/>
      <c r="AF1341" s="189"/>
      <c r="AG1341" s="189"/>
      <c r="AH1341" s="189"/>
      <c r="AI1341" s="45"/>
      <c r="AJ1341" s="45"/>
    </row>
    <row r="1342" spans="16:36" x14ac:dyDescent="0.2">
      <c r="P1342" s="73"/>
      <c r="AA1342" s="45"/>
      <c r="AB1342" s="45"/>
      <c r="AD1342" s="189"/>
      <c r="AE1342" s="189"/>
      <c r="AF1342" s="189"/>
      <c r="AG1342" s="189"/>
      <c r="AH1342" s="189"/>
      <c r="AI1342" s="45"/>
      <c r="AJ1342" s="45"/>
    </row>
    <row r="1343" spans="16:36" x14ac:dyDescent="0.2">
      <c r="P1343" s="73"/>
      <c r="AA1343" s="45"/>
      <c r="AB1343" s="45"/>
      <c r="AD1343" s="189"/>
      <c r="AE1343" s="189"/>
      <c r="AF1343" s="189"/>
      <c r="AG1343" s="189"/>
      <c r="AH1343" s="189"/>
      <c r="AI1343" s="45"/>
      <c r="AJ1343" s="45"/>
    </row>
    <row r="1344" spans="16:36" x14ac:dyDescent="0.2">
      <c r="P1344" s="73"/>
      <c r="AA1344" s="45"/>
      <c r="AB1344" s="45"/>
      <c r="AD1344" s="189"/>
      <c r="AE1344" s="189"/>
      <c r="AF1344" s="189"/>
      <c r="AG1344" s="189"/>
      <c r="AH1344" s="189"/>
      <c r="AI1344" s="45"/>
      <c r="AJ1344" s="45"/>
    </row>
    <row r="1345" spans="16:36" x14ac:dyDescent="0.2">
      <c r="P1345" s="73"/>
      <c r="AA1345" s="45"/>
      <c r="AB1345" s="45"/>
      <c r="AD1345" s="189"/>
      <c r="AE1345" s="189"/>
      <c r="AF1345" s="189"/>
      <c r="AG1345" s="189"/>
      <c r="AH1345" s="189"/>
      <c r="AI1345" s="45"/>
      <c r="AJ1345" s="45"/>
    </row>
    <row r="1346" spans="16:36" x14ac:dyDescent="0.2">
      <c r="P1346" s="73"/>
      <c r="AA1346" s="45"/>
      <c r="AB1346" s="45"/>
      <c r="AD1346" s="189"/>
      <c r="AE1346" s="189"/>
      <c r="AF1346" s="189"/>
      <c r="AG1346" s="189"/>
      <c r="AH1346" s="189"/>
      <c r="AI1346" s="45"/>
      <c r="AJ1346" s="45"/>
    </row>
    <row r="1347" spans="16:36" x14ac:dyDescent="0.2">
      <c r="P1347" s="73"/>
      <c r="AA1347" s="45"/>
      <c r="AB1347" s="45"/>
      <c r="AD1347" s="189"/>
      <c r="AE1347" s="189"/>
      <c r="AF1347" s="189"/>
      <c r="AG1347" s="189"/>
      <c r="AH1347" s="189"/>
      <c r="AI1347" s="45"/>
      <c r="AJ1347" s="45"/>
    </row>
    <row r="1348" spans="16:36" x14ac:dyDescent="0.2">
      <c r="P1348" s="73"/>
      <c r="AA1348" s="45"/>
      <c r="AB1348" s="45"/>
      <c r="AD1348" s="189"/>
      <c r="AE1348" s="189"/>
      <c r="AF1348" s="189"/>
      <c r="AG1348" s="189"/>
      <c r="AH1348" s="189"/>
      <c r="AI1348" s="45"/>
      <c r="AJ1348" s="45"/>
    </row>
    <row r="1349" spans="16:36" x14ac:dyDescent="0.2">
      <c r="P1349" s="73"/>
      <c r="AA1349" s="45"/>
      <c r="AB1349" s="45"/>
      <c r="AD1349" s="189"/>
      <c r="AE1349" s="189"/>
      <c r="AF1349" s="189"/>
      <c r="AG1349" s="189"/>
      <c r="AH1349" s="189"/>
      <c r="AI1349" s="45"/>
      <c r="AJ1349" s="45"/>
    </row>
    <row r="1350" spans="16:36" x14ac:dyDescent="0.2">
      <c r="P1350" s="73"/>
      <c r="AA1350" s="45"/>
      <c r="AB1350" s="45"/>
      <c r="AD1350" s="189"/>
      <c r="AE1350" s="189"/>
      <c r="AF1350" s="189"/>
      <c r="AG1350" s="189"/>
      <c r="AH1350" s="189"/>
      <c r="AI1350" s="45"/>
      <c r="AJ1350" s="45"/>
    </row>
    <row r="1351" spans="16:36" x14ac:dyDescent="0.2">
      <c r="P1351" s="73"/>
      <c r="AA1351" s="45"/>
      <c r="AB1351" s="45"/>
      <c r="AD1351" s="189"/>
      <c r="AE1351" s="189"/>
      <c r="AF1351" s="189"/>
      <c r="AG1351" s="189"/>
      <c r="AH1351" s="189"/>
      <c r="AI1351" s="45"/>
      <c r="AJ1351" s="45"/>
    </row>
    <row r="1352" spans="16:36" x14ac:dyDescent="0.2">
      <c r="P1352" s="73"/>
      <c r="AA1352" s="45"/>
      <c r="AB1352" s="45"/>
      <c r="AD1352" s="189"/>
      <c r="AE1352" s="189"/>
      <c r="AF1352" s="189"/>
      <c r="AG1352" s="189"/>
      <c r="AH1352" s="189"/>
      <c r="AI1352" s="45"/>
      <c r="AJ1352" s="45"/>
    </row>
    <row r="1353" spans="16:36" x14ac:dyDescent="0.2">
      <c r="P1353" s="73"/>
      <c r="AA1353" s="45"/>
      <c r="AB1353" s="45"/>
      <c r="AD1353" s="189"/>
      <c r="AE1353" s="189"/>
      <c r="AF1353" s="189"/>
      <c r="AG1353" s="189"/>
      <c r="AH1353" s="189"/>
      <c r="AI1353" s="45"/>
      <c r="AJ1353" s="45"/>
    </row>
    <row r="1354" spans="16:36" x14ac:dyDescent="0.2">
      <c r="P1354" s="73"/>
      <c r="AA1354" s="45"/>
      <c r="AB1354" s="45"/>
      <c r="AD1354" s="189"/>
      <c r="AE1354" s="189"/>
      <c r="AF1354" s="189"/>
      <c r="AG1354" s="189"/>
      <c r="AH1354" s="189"/>
      <c r="AI1354" s="45"/>
      <c r="AJ1354" s="45"/>
    </row>
    <row r="1355" spans="16:36" x14ac:dyDescent="0.2">
      <c r="P1355" s="73"/>
      <c r="AA1355" s="45"/>
      <c r="AB1355" s="45"/>
      <c r="AD1355" s="189"/>
      <c r="AE1355" s="189"/>
      <c r="AF1355" s="189"/>
      <c r="AG1355" s="189"/>
      <c r="AH1355" s="189"/>
      <c r="AI1355" s="45"/>
      <c r="AJ1355" s="45"/>
    </row>
    <row r="1356" spans="16:36" x14ac:dyDescent="0.2">
      <c r="P1356" s="73"/>
      <c r="AA1356" s="45"/>
      <c r="AB1356" s="45"/>
      <c r="AD1356" s="189"/>
      <c r="AE1356" s="189"/>
      <c r="AF1356" s="189"/>
      <c r="AG1356" s="189"/>
      <c r="AH1356" s="189"/>
      <c r="AI1356" s="45"/>
      <c r="AJ1356" s="45"/>
    </row>
    <row r="1357" spans="16:36" x14ac:dyDescent="0.2">
      <c r="P1357" s="73"/>
      <c r="AA1357" s="45"/>
      <c r="AB1357" s="45"/>
      <c r="AD1357" s="189"/>
      <c r="AE1357" s="189"/>
      <c r="AF1357" s="189"/>
      <c r="AG1357" s="189"/>
      <c r="AH1357" s="189"/>
      <c r="AI1357" s="45"/>
      <c r="AJ1357" s="45"/>
    </row>
    <row r="1358" spans="16:36" x14ac:dyDescent="0.2">
      <c r="P1358" s="73"/>
      <c r="AA1358" s="45"/>
      <c r="AB1358" s="45"/>
      <c r="AD1358" s="189"/>
      <c r="AE1358" s="189"/>
      <c r="AF1358" s="189"/>
      <c r="AG1358" s="189"/>
      <c r="AH1358" s="189"/>
      <c r="AI1358" s="45"/>
      <c r="AJ1358" s="45"/>
    </row>
    <row r="1359" spans="16:36" x14ac:dyDescent="0.2">
      <c r="P1359" s="73"/>
      <c r="AA1359" s="45"/>
      <c r="AB1359" s="45"/>
      <c r="AD1359" s="189"/>
      <c r="AE1359" s="189"/>
      <c r="AF1359" s="189"/>
      <c r="AG1359" s="189"/>
      <c r="AH1359" s="189"/>
      <c r="AI1359" s="45"/>
      <c r="AJ1359" s="45"/>
    </row>
    <row r="1360" spans="16:36" x14ac:dyDescent="0.2">
      <c r="P1360" s="73"/>
      <c r="AA1360" s="45"/>
      <c r="AB1360" s="45"/>
      <c r="AD1360" s="189"/>
      <c r="AE1360" s="189"/>
      <c r="AF1360" s="189"/>
      <c r="AG1360" s="189"/>
      <c r="AH1360" s="189"/>
      <c r="AI1360" s="45"/>
      <c r="AJ1360" s="45"/>
    </row>
    <row r="1361" spans="16:36" x14ac:dyDescent="0.2">
      <c r="P1361" s="73"/>
      <c r="AA1361" s="45"/>
      <c r="AB1361" s="45"/>
      <c r="AD1361" s="189"/>
      <c r="AE1361" s="189"/>
      <c r="AF1361" s="189"/>
      <c r="AG1361" s="189"/>
      <c r="AH1361" s="189"/>
      <c r="AI1361" s="45"/>
      <c r="AJ1361" s="45"/>
    </row>
    <row r="1362" spans="16:36" x14ac:dyDescent="0.2">
      <c r="P1362" s="73"/>
      <c r="AA1362" s="45"/>
      <c r="AB1362" s="45"/>
      <c r="AD1362" s="189"/>
      <c r="AE1362" s="189"/>
      <c r="AF1362" s="189"/>
      <c r="AG1362" s="189"/>
      <c r="AH1362" s="189"/>
      <c r="AI1362" s="45"/>
      <c r="AJ1362" s="45"/>
    </row>
    <row r="1363" spans="16:36" x14ac:dyDescent="0.2">
      <c r="P1363" s="73"/>
      <c r="AA1363" s="45"/>
      <c r="AB1363" s="45"/>
      <c r="AD1363" s="189"/>
      <c r="AE1363" s="189"/>
      <c r="AF1363" s="189"/>
      <c r="AG1363" s="189"/>
      <c r="AH1363" s="189"/>
      <c r="AI1363" s="45"/>
      <c r="AJ1363" s="45"/>
    </row>
    <row r="1364" spans="16:36" x14ac:dyDescent="0.2">
      <c r="P1364" s="73"/>
      <c r="AA1364" s="45"/>
      <c r="AB1364" s="45"/>
      <c r="AD1364" s="189"/>
      <c r="AE1364" s="189"/>
      <c r="AF1364" s="189"/>
      <c r="AG1364" s="189"/>
      <c r="AH1364" s="189"/>
      <c r="AI1364" s="45"/>
      <c r="AJ1364" s="45"/>
    </row>
    <row r="1365" spans="16:36" x14ac:dyDescent="0.2">
      <c r="P1365" s="73"/>
      <c r="AA1365" s="45"/>
      <c r="AB1365" s="45"/>
      <c r="AD1365" s="189"/>
      <c r="AE1365" s="189"/>
      <c r="AF1365" s="189"/>
      <c r="AG1365" s="189"/>
      <c r="AH1365" s="189"/>
      <c r="AI1365" s="45"/>
      <c r="AJ1365" s="45"/>
    </row>
    <row r="1366" spans="16:36" x14ac:dyDescent="0.2">
      <c r="P1366" s="73"/>
      <c r="AA1366" s="45"/>
      <c r="AB1366" s="45"/>
      <c r="AD1366" s="189"/>
      <c r="AE1366" s="189"/>
      <c r="AF1366" s="189"/>
      <c r="AG1366" s="189"/>
      <c r="AH1366" s="189"/>
      <c r="AI1366" s="45"/>
      <c r="AJ1366" s="45"/>
    </row>
    <row r="1367" spans="16:36" x14ac:dyDescent="0.2">
      <c r="P1367" s="73"/>
      <c r="AA1367" s="45"/>
      <c r="AB1367" s="45"/>
      <c r="AD1367" s="189"/>
      <c r="AE1367" s="189"/>
      <c r="AF1367" s="189"/>
      <c r="AG1367" s="189"/>
      <c r="AH1367" s="189"/>
      <c r="AI1367" s="45"/>
      <c r="AJ1367" s="45"/>
    </row>
    <row r="1368" spans="16:36" x14ac:dyDescent="0.2">
      <c r="P1368" s="73"/>
      <c r="AA1368" s="45"/>
      <c r="AB1368" s="45"/>
      <c r="AD1368" s="189"/>
      <c r="AE1368" s="189"/>
      <c r="AF1368" s="189"/>
      <c r="AG1368" s="189"/>
      <c r="AH1368" s="189"/>
      <c r="AI1368" s="45"/>
      <c r="AJ1368" s="45"/>
    </row>
    <row r="1369" spans="16:36" x14ac:dyDescent="0.2">
      <c r="P1369" s="73"/>
      <c r="AA1369" s="45"/>
      <c r="AB1369" s="45"/>
      <c r="AD1369" s="189"/>
      <c r="AE1369" s="189"/>
      <c r="AF1369" s="189"/>
      <c r="AG1369" s="189"/>
      <c r="AH1369" s="189"/>
      <c r="AI1369" s="45"/>
      <c r="AJ1369" s="45"/>
    </row>
    <row r="1370" spans="16:36" x14ac:dyDescent="0.2">
      <c r="P1370" s="73"/>
      <c r="AA1370" s="45"/>
      <c r="AB1370" s="45"/>
      <c r="AD1370" s="189"/>
      <c r="AE1370" s="189"/>
      <c r="AF1370" s="189"/>
      <c r="AG1370" s="189"/>
      <c r="AH1370" s="189"/>
      <c r="AI1370" s="45"/>
      <c r="AJ1370" s="45"/>
    </row>
    <row r="1371" spans="16:36" x14ac:dyDescent="0.2">
      <c r="P1371" s="73"/>
      <c r="AA1371" s="45"/>
      <c r="AB1371" s="45"/>
      <c r="AD1371" s="189"/>
      <c r="AE1371" s="189"/>
      <c r="AF1371" s="189"/>
      <c r="AG1371" s="189"/>
      <c r="AH1371" s="189"/>
      <c r="AI1371" s="45"/>
      <c r="AJ1371" s="45"/>
    </row>
    <row r="1372" spans="16:36" x14ac:dyDescent="0.2">
      <c r="P1372" s="73"/>
      <c r="AA1372" s="45"/>
      <c r="AB1372" s="45"/>
      <c r="AD1372" s="189"/>
      <c r="AE1372" s="189"/>
      <c r="AF1372" s="189"/>
      <c r="AG1372" s="189"/>
      <c r="AH1372" s="189"/>
      <c r="AI1372" s="45"/>
      <c r="AJ1372" s="45"/>
    </row>
    <row r="1373" spans="16:36" x14ac:dyDescent="0.2">
      <c r="P1373" s="73"/>
      <c r="AA1373" s="45"/>
      <c r="AB1373" s="45"/>
      <c r="AD1373" s="189"/>
      <c r="AE1373" s="189"/>
      <c r="AF1373" s="189"/>
      <c r="AG1373" s="189"/>
      <c r="AH1373" s="189"/>
      <c r="AI1373" s="45"/>
      <c r="AJ1373" s="45"/>
    </row>
    <row r="1374" spans="16:36" x14ac:dyDescent="0.2">
      <c r="P1374" s="73"/>
      <c r="AA1374" s="45"/>
      <c r="AB1374" s="45"/>
      <c r="AD1374" s="189"/>
      <c r="AE1374" s="189"/>
      <c r="AF1374" s="189"/>
      <c r="AG1374" s="189"/>
      <c r="AH1374" s="189"/>
      <c r="AI1374" s="45"/>
      <c r="AJ1374" s="45"/>
    </row>
    <row r="1375" spans="16:36" x14ac:dyDescent="0.2">
      <c r="P1375" s="73"/>
      <c r="AA1375" s="45"/>
      <c r="AB1375" s="45"/>
      <c r="AD1375" s="189"/>
      <c r="AE1375" s="189"/>
      <c r="AF1375" s="189"/>
      <c r="AG1375" s="189"/>
      <c r="AH1375" s="189"/>
      <c r="AI1375" s="45"/>
      <c r="AJ1375" s="45"/>
    </row>
    <row r="1376" spans="16:36" x14ac:dyDescent="0.2">
      <c r="P1376" s="73"/>
      <c r="AA1376" s="45"/>
      <c r="AB1376" s="45"/>
      <c r="AD1376" s="189"/>
      <c r="AE1376" s="189"/>
      <c r="AF1376" s="189"/>
      <c r="AG1376" s="189"/>
      <c r="AH1376" s="189"/>
      <c r="AI1376" s="45"/>
      <c r="AJ1376" s="45"/>
    </row>
    <row r="1377" spans="16:36" x14ac:dyDescent="0.2">
      <c r="P1377" s="73"/>
      <c r="AA1377" s="45"/>
      <c r="AB1377" s="45"/>
      <c r="AD1377" s="189"/>
      <c r="AE1377" s="189"/>
      <c r="AF1377" s="189"/>
      <c r="AG1377" s="189"/>
      <c r="AH1377" s="189"/>
      <c r="AI1377" s="45"/>
      <c r="AJ1377" s="45"/>
    </row>
    <row r="1378" spans="16:36" x14ac:dyDescent="0.2">
      <c r="P1378" s="73"/>
      <c r="AA1378" s="45"/>
      <c r="AB1378" s="45"/>
      <c r="AD1378" s="189"/>
      <c r="AE1378" s="189"/>
      <c r="AF1378" s="189"/>
      <c r="AG1378" s="189"/>
      <c r="AH1378" s="189"/>
      <c r="AI1378" s="45"/>
      <c r="AJ1378" s="45"/>
    </row>
    <row r="1379" spans="16:36" x14ac:dyDescent="0.2">
      <c r="P1379" s="73"/>
      <c r="AA1379" s="45"/>
      <c r="AB1379" s="45"/>
      <c r="AD1379" s="189"/>
      <c r="AE1379" s="189"/>
      <c r="AF1379" s="189"/>
      <c r="AG1379" s="189"/>
      <c r="AH1379" s="189"/>
      <c r="AI1379" s="45"/>
      <c r="AJ1379" s="45"/>
    </row>
    <row r="1380" spans="16:36" x14ac:dyDescent="0.2">
      <c r="P1380" s="73"/>
      <c r="AA1380" s="45"/>
      <c r="AB1380" s="45"/>
      <c r="AD1380" s="189"/>
      <c r="AE1380" s="189"/>
      <c r="AF1380" s="189"/>
      <c r="AG1380" s="189"/>
      <c r="AH1380" s="189"/>
      <c r="AI1380" s="45"/>
      <c r="AJ1380" s="45"/>
    </row>
    <row r="1381" spans="16:36" x14ac:dyDescent="0.2">
      <c r="P1381" s="73"/>
      <c r="AA1381" s="45"/>
      <c r="AB1381" s="45"/>
      <c r="AD1381" s="189"/>
      <c r="AE1381" s="189"/>
      <c r="AF1381" s="189"/>
      <c r="AG1381" s="189"/>
      <c r="AH1381" s="189"/>
      <c r="AI1381" s="45"/>
      <c r="AJ1381" s="45"/>
    </row>
    <row r="1382" spans="16:36" x14ac:dyDescent="0.2">
      <c r="P1382" s="73"/>
      <c r="AA1382" s="45"/>
      <c r="AB1382" s="45"/>
      <c r="AD1382" s="189"/>
      <c r="AE1382" s="189"/>
      <c r="AF1382" s="189"/>
      <c r="AG1382" s="189"/>
      <c r="AH1382" s="189"/>
      <c r="AI1382" s="45"/>
      <c r="AJ1382" s="45"/>
    </row>
    <row r="1383" spans="16:36" x14ac:dyDescent="0.2">
      <c r="P1383" s="73"/>
      <c r="AA1383" s="45"/>
      <c r="AB1383" s="45"/>
      <c r="AD1383" s="189"/>
      <c r="AE1383" s="189"/>
      <c r="AF1383" s="189"/>
      <c r="AG1383" s="189"/>
      <c r="AH1383" s="189"/>
      <c r="AI1383" s="45"/>
      <c r="AJ1383" s="45"/>
    </row>
    <row r="1384" spans="16:36" x14ac:dyDescent="0.2">
      <c r="P1384" s="73"/>
      <c r="AA1384" s="45"/>
      <c r="AB1384" s="45"/>
      <c r="AD1384" s="189"/>
      <c r="AE1384" s="189"/>
      <c r="AF1384" s="189"/>
      <c r="AG1384" s="189"/>
      <c r="AH1384" s="189"/>
      <c r="AI1384" s="45"/>
      <c r="AJ1384" s="45"/>
    </row>
    <row r="1385" spans="16:36" x14ac:dyDescent="0.2">
      <c r="P1385" s="73"/>
      <c r="AA1385" s="45"/>
      <c r="AB1385" s="45"/>
      <c r="AD1385" s="189"/>
      <c r="AE1385" s="189"/>
      <c r="AF1385" s="189"/>
      <c r="AG1385" s="189"/>
      <c r="AH1385" s="189"/>
      <c r="AI1385" s="45"/>
      <c r="AJ1385" s="45"/>
    </row>
    <row r="1386" spans="16:36" x14ac:dyDescent="0.2">
      <c r="P1386" s="73"/>
      <c r="AA1386" s="45"/>
      <c r="AB1386" s="45"/>
      <c r="AD1386" s="189"/>
      <c r="AE1386" s="189"/>
      <c r="AF1386" s="189"/>
      <c r="AG1386" s="189"/>
      <c r="AH1386" s="189"/>
      <c r="AI1386" s="45"/>
      <c r="AJ1386" s="45"/>
    </row>
    <row r="1387" spans="16:36" x14ac:dyDescent="0.2">
      <c r="P1387" s="73"/>
      <c r="AA1387" s="45"/>
      <c r="AB1387" s="45"/>
      <c r="AD1387" s="189"/>
      <c r="AE1387" s="189"/>
      <c r="AF1387" s="189"/>
      <c r="AG1387" s="189"/>
      <c r="AH1387" s="189"/>
      <c r="AI1387" s="45"/>
      <c r="AJ1387" s="45"/>
    </row>
    <row r="1388" spans="16:36" x14ac:dyDescent="0.2">
      <c r="P1388" s="73"/>
      <c r="AA1388" s="45"/>
      <c r="AB1388" s="45"/>
      <c r="AD1388" s="189"/>
      <c r="AE1388" s="189"/>
      <c r="AF1388" s="189"/>
      <c r="AG1388" s="189"/>
      <c r="AH1388" s="189"/>
      <c r="AI1388" s="45"/>
      <c r="AJ1388" s="45"/>
    </row>
    <row r="1389" spans="16:36" x14ac:dyDescent="0.2">
      <c r="P1389" s="73"/>
      <c r="AA1389" s="45"/>
      <c r="AB1389" s="45"/>
      <c r="AD1389" s="189"/>
      <c r="AE1389" s="189"/>
      <c r="AF1389" s="189"/>
      <c r="AG1389" s="189"/>
      <c r="AH1389" s="189"/>
      <c r="AI1389" s="45"/>
      <c r="AJ1389" s="45"/>
    </row>
    <row r="1390" spans="16:36" x14ac:dyDescent="0.2">
      <c r="P1390" s="73"/>
      <c r="AA1390" s="45"/>
      <c r="AB1390" s="45"/>
      <c r="AD1390" s="189"/>
      <c r="AE1390" s="189"/>
      <c r="AF1390" s="189"/>
      <c r="AG1390" s="189"/>
      <c r="AH1390" s="189"/>
      <c r="AI1390" s="45"/>
      <c r="AJ1390" s="45"/>
    </row>
    <row r="1391" spans="16:36" x14ac:dyDescent="0.2">
      <c r="P1391" s="73"/>
      <c r="AA1391" s="45"/>
      <c r="AB1391" s="45"/>
      <c r="AD1391" s="189"/>
      <c r="AE1391" s="189"/>
      <c r="AF1391" s="189"/>
      <c r="AG1391" s="189"/>
      <c r="AH1391" s="189"/>
      <c r="AI1391" s="45"/>
      <c r="AJ1391" s="45"/>
    </row>
    <row r="1392" spans="16:36" x14ac:dyDescent="0.2">
      <c r="P1392" s="73"/>
      <c r="AA1392" s="45"/>
      <c r="AB1392" s="45"/>
      <c r="AD1392" s="189"/>
      <c r="AE1392" s="189"/>
      <c r="AF1392" s="189"/>
      <c r="AG1392" s="189"/>
      <c r="AH1392" s="189"/>
      <c r="AI1392" s="45"/>
      <c r="AJ1392" s="45"/>
    </row>
    <row r="1393" spans="16:36" x14ac:dyDescent="0.2">
      <c r="P1393" s="73"/>
      <c r="AA1393" s="45"/>
      <c r="AB1393" s="45"/>
      <c r="AD1393" s="189"/>
      <c r="AE1393" s="189"/>
      <c r="AF1393" s="189"/>
      <c r="AG1393" s="189"/>
      <c r="AH1393" s="189"/>
      <c r="AI1393" s="45"/>
      <c r="AJ1393" s="45"/>
    </row>
    <row r="1394" spans="16:36" x14ac:dyDescent="0.2">
      <c r="P1394" s="73"/>
      <c r="AA1394" s="45"/>
      <c r="AB1394" s="45"/>
      <c r="AD1394" s="189"/>
      <c r="AE1394" s="189"/>
      <c r="AF1394" s="189"/>
      <c r="AG1394" s="189"/>
      <c r="AH1394" s="189"/>
      <c r="AI1394" s="45"/>
      <c r="AJ1394" s="45"/>
    </row>
    <row r="1395" spans="16:36" x14ac:dyDescent="0.2">
      <c r="P1395" s="73"/>
      <c r="AA1395" s="45"/>
      <c r="AB1395" s="45"/>
      <c r="AD1395" s="189"/>
      <c r="AE1395" s="189"/>
      <c r="AF1395" s="189"/>
      <c r="AG1395" s="189"/>
      <c r="AH1395" s="189"/>
      <c r="AI1395" s="45"/>
      <c r="AJ1395" s="45"/>
    </row>
    <row r="1396" spans="16:36" x14ac:dyDescent="0.2">
      <c r="P1396" s="73"/>
      <c r="AA1396" s="45"/>
      <c r="AB1396" s="45"/>
      <c r="AD1396" s="189"/>
      <c r="AE1396" s="189"/>
      <c r="AF1396" s="189"/>
      <c r="AG1396" s="189"/>
      <c r="AH1396" s="189"/>
      <c r="AI1396" s="45"/>
      <c r="AJ1396" s="45"/>
    </row>
    <row r="1397" spans="16:36" x14ac:dyDescent="0.2">
      <c r="P1397" s="73"/>
      <c r="AA1397" s="45"/>
      <c r="AB1397" s="45"/>
      <c r="AD1397" s="189"/>
      <c r="AE1397" s="189"/>
      <c r="AF1397" s="189"/>
      <c r="AG1397" s="189"/>
      <c r="AH1397" s="189"/>
      <c r="AI1397" s="45"/>
      <c r="AJ1397" s="45"/>
    </row>
    <row r="1398" spans="16:36" x14ac:dyDescent="0.2">
      <c r="P1398" s="73"/>
      <c r="AA1398" s="45"/>
      <c r="AB1398" s="45"/>
      <c r="AD1398" s="189"/>
      <c r="AE1398" s="189"/>
      <c r="AF1398" s="189"/>
      <c r="AG1398" s="189"/>
      <c r="AH1398" s="189"/>
      <c r="AI1398" s="45"/>
      <c r="AJ1398" s="45"/>
    </row>
    <row r="1399" spans="16:36" x14ac:dyDescent="0.2">
      <c r="P1399" s="73"/>
      <c r="AA1399" s="45"/>
      <c r="AB1399" s="45"/>
      <c r="AD1399" s="189"/>
      <c r="AE1399" s="189"/>
      <c r="AF1399" s="189"/>
      <c r="AG1399" s="189"/>
      <c r="AH1399" s="189"/>
      <c r="AI1399" s="45"/>
      <c r="AJ1399" s="45"/>
    </row>
    <row r="1400" spans="16:36" x14ac:dyDescent="0.2">
      <c r="P1400" s="73"/>
      <c r="AA1400" s="45"/>
      <c r="AB1400" s="45"/>
      <c r="AD1400" s="189"/>
      <c r="AE1400" s="189"/>
      <c r="AF1400" s="189"/>
      <c r="AG1400" s="189"/>
      <c r="AH1400" s="189"/>
      <c r="AI1400" s="45"/>
      <c r="AJ1400" s="45"/>
    </row>
    <row r="1401" spans="16:36" x14ac:dyDescent="0.2">
      <c r="P1401" s="73"/>
      <c r="AA1401" s="45"/>
      <c r="AB1401" s="45"/>
      <c r="AD1401" s="189"/>
      <c r="AE1401" s="189"/>
      <c r="AF1401" s="189"/>
      <c r="AG1401" s="189"/>
      <c r="AH1401" s="189"/>
      <c r="AI1401" s="45"/>
      <c r="AJ1401" s="45"/>
    </row>
    <row r="1402" spans="16:36" x14ac:dyDescent="0.2">
      <c r="P1402" s="73"/>
      <c r="AA1402" s="45"/>
      <c r="AB1402" s="45"/>
      <c r="AD1402" s="189"/>
      <c r="AE1402" s="189"/>
      <c r="AF1402" s="189"/>
      <c r="AG1402" s="189"/>
      <c r="AH1402" s="189"/>
      <c r="AI1402" s="45"/>
      <c r="AJ1402" s="45"/>
    </row>
    <row r="1403" spans="16:36" x14ac:dyDescent="0.2">
      <c r="P1403" s="73"/>
      <c r="AA1403" s="45"/>
      <c r="AB1403" s="45"/>
      <c r="AD1403" s="189"/>
      <c r="AE1403" s="189"/>
      <c r="AF1403" s="189"/>
      <c r="AG1403" s="189"/>
      <c r="AH1403" s="189"/>
      <c r="AI1403" s="45"/>
      <c r="AJ1403" s="45"/>
    </row>
    <row r="1404" spans="16:36" x14ac:dyDescent="0.2">
      <c r="P1404" s="73"/>
      <c r="AA1404" s="45"/>
      <c r="AB1404" s="45"/>
      <c r="AD1404" s="189"/>
      <c r="AE1404" s="189"/>
      <c r="AF1404" s="189"/>
      <c r="AG1404" s="189"/>
      <c r="AH1404" s="189"/>
      <c r="AI1404" s="45"/>
      <c r="AJ1404" s="45"/>
    </row>
    <row r="1405" spans="16:36" x14ac:dyDescent="0.2">
      <c r="P1405" s="73"/>
      <c r="AA1405" s="45"/>
      <c r="AB1405" s="45"/>
      <c r="AD1405" s="189"/>
      <c r="AE1405" s="189"/>
      <c r="AF1405" s="189"/>
      <c r="AG1405" s="189"/>
      <c r="AH1405" s="189"/>
      <c r="AI1405" s="45"/>
      <c r="AJ1405" s="45"/>
    </row>
    <row r="1406" spans="16:36" x14ac:dyDescent="0.2">
      <c r="P1406" s="73"/>
      <c r="AA1406" s="45"/>
      <c r="AB1406" s="45"/>
      <c r="AD1406" s="189"/>
      <c r="AE1406" s="189"/>
      <c r="AF1406" s="189"/>
      <c r="AG1406" s="189"/>
      <c r="AH1406" s="189"/>
      <c r="AI1406" s="45"/>
      <c r="AJ1406" s="45"/>
    </row>
    <row r="1407" spans="16:36" x14ac:dyDescent="0.2">
      <c r="P1407" s="73"/>
      <c r="AA1407" s="45"/>
      <c r="AB1407" s="45"/>
      <c r="AD1407" s="189"/>
      <c r="AE1407" s="189"/>
      <c r="AF1407" s="189"/>
      <c r="AG1407" s="189"/>
      <c r="AH1407" s="189"/>
      <c r="AI1407" s="45"/>
      <c r="AJ1407" s="45"/>
    </row>
    <row r="1408" spans="16:36" x14ac:dyDescent="0.2">
      <c r="P1408" s="73"/>
      <c r="AA1408" s="45"/>
      <c r="AB1408" s="45"/>
      <c r="AD1408" s="189"/>
      <c r="AE1408" s="189"/>
      <c r="AF1408" s="189"/>
      <c r="AG1408" s="189"/>
      <c r="AH1408" s="189"/>
      <c r="AI1408" s="45"/>
      <c r="AJ1408" s="45"/>
    </row>
    <row r="1409" spans="16:36" x14ac:dyDescent="0.2">
      <c r="P1409" s="73"/>
      <c r="AA1409" s="45"/>
      <c r="AB1409" s="45"/>
      <c r="AD1409" s="189"/>
      <c r="AE1409" s="189"/>
      <c r="AF1409" s="189"/>
      <c r="AG1409" s="189"/>
      <c r="AH1409" s="189"/>
      <c r="AI1409" s="45"/>
      <c r="AJ1409" s="45"/>
    </row>
    <row r="1410" spans="16:36" x14ac:dyDescent="0.2">
      <c r="P1410" s="73"/>
      <c r="AA1410" s="45"/>
      <c r="AB1410" s="45"/>
      <c r="AD1410" s="189"/>
      <c r="AE1410" s="189"/>
      <c r="AF1410" s="189"/>
      <c r="AG1410" s="189"/>
      <c r="AH1410" s="189"/>
      <c r="AI1410" s="45"/>
      <c r="AJ1410" s="45"/>
    </row>
    <row r="1411" spans="16:36" x14ac:dyDescent="0.2">
      <c r="P1411" s="73"/>
      <c r="AA1411" s="45"/>
      <c r="AB1411" s="45"/>
      <c r="AD1411" s="189"/>
      <c r="AE1411" s="189"/>
      <c r="AF1411" s="189"/>
      <c r="AG1411" s="189"/>
      <c r="AH1411" s="189"/>
      <c r="AI1411" s="45"/>
      <c r="AJ1411" s="45"/>
    </row>
    <row r="1412" spans="16:36" x14ac:dyDescent="0.2">
      <c r="P1412" s="73"/>
      <c r="AA1412" s="45"/>
      <c r="AB1412" s="45"/>
      <c r="AD1412" s="189"/>
      <c r="AE1412" s="189"/>
      <c r="AF1412" s="189"/>
      <c r="AG1412" s="189"/>
      <c r="AH1412" s="189"/>
      <c r="AI1412" s="45"/>
      <c r="AJ1412" s="45"/>
    </row>
    <row r="1413" spans="16:36" x14ac:dyDescent="0.2">
      <c r="P1413" s="73"/>
      <c r="AA1413" s="45"/>
      <c r="AB1413" s="45"/>
      <c r="AD1413" s="189"/>
      <c r="AE1413" s="189"/>
      <c r="AF1413" s="189"/>
      <c r="AG1413" s="189"/>
      <c r="AH1413" s="189"/>
      <c r="AI1413" s="45"/>
      <c r="AJ1413" s="45"/>
    </row>
    <row r="1414" spans="16:36" x14ac:dyDescent="0.2">
      <c r="P1414" s="73"/>
      <c r="AA1414" s="45"/>
      <c r="AB1414" s="45"/>
      <c r="AD1414" s="189"/>
      <c r="AE1414" s="189"/>
      <c r="AF1414" s="189"/>
      <c r="AG1414" s="189"/>
      <c r="AH1414" s="189"/>
      <c r="AI1414" s="45"/>
      <c r="AJ1414" s="45"/>
    </row>
    <row r="1415" spans="16:36" x14ac:dyDescent="0.2">
      <c r="P1415" s="73"/>
      <c r="AA1415" s="45"/>
      <c r="AB1415" s="45"/>
      <c r="AD1415" s="189"/>
      <c r="AE1415" s="189"/>
      <c r="AF1415" s="189"/>
      <c r="AG1415" s="189"/>
      <c r="AH1415" s="189"/>
      <c r="AI1415" s="45"/>
      <c r="AJ1415" s="45"/>
    </row>
    <row r="1416" spans="16:36" x14ac:dyDescent="0.2">
      <c r="P1416" s="73"/>
      <c r="AA1416" s="45"/>
      <c r="AB1416" s="45"/>
      <c r="AD1416" s="189"/>
      <c r="AE1416" s="189"/>
      <c r="AF1416" s="189"/>
      <c r="AG1416" s="189"/>
      <c r="AH1416" s="189"/>
      <c r="AI1416" s="45"/>
      <c r="AJ1416" s="45"/>
    </row>
    <row r="1417" spans="16:36" x14ac:dyDescent="0.2">
      <c r="P1417" s="73"/>
      <c r="AA1417" s="45"/>
      <c r="AB1417" s="45"/>
      <c r="AD1417" s="189"/>
      <c r="AE1417" s="189"/>
      <c r="AF1417" s="189"/>
      <c r="AG1417" s="189"/>
      <c r="AH1417" s="189"/>
      <c r="AI1417" s="45"/>
      <c r="AJ1417" s="45"/>
    </row>
    <row r="1418" spans="16:36" x14ac:dyDescent="0.2">
      <c r="P1418" s="73"/>
      <c r="AA1418" s="45"/>
      <c r="AB1418" s="45"/>
      <c r="AD1418" s="189"/>
      <c r="AE1418" s="189"/>
      <c r="AF1418" s="189"/>
      <c r="AG1418" s="189"/>
      <c r="AH1418" s="189"/>
      <c r="AI1418" s="45"/>
      <c r="AJ1418" s="45"/>
    </row>
    <row r="1419" spans="16:36" x14ac:dyDescent="0.2">
      <c r="P1419" s="73"/>
      <c r="AA1419" s="45"/>
      <c r="AB1419" s="45"/>
      <c r="AD1419" s="189"/>
      <c r="AE1419" s="189"/>
      <c r="AF1419" s="189"/>
      <c r="AG1419" s="189"/>
      <c r="AH1419" s="189"/>
      <c r="AI1419" s="45"/>
      <c r="AJ1419" s="45"/>
    </row>
    <row r="1420" spans="16:36" x14ac:dyDescent="0.2">
      <c r="P1420" s="73"/>
      <c r="AA1420" s="45"/>
      <c r="AB1420" s="45"/>
      <c r="AD1420" s="189"/>
      <c r="AE1420" s="189"/>
      <c r="AF1420" s="189"/>
      <c r="AG1420" s="189"/>
      <c r="AH1420" s="189"/>
      <c r="AI1420" s="45"/>
      <c r="AJ1420" s="45"/>
    </row>
    <row r="1421" spans="16:36" x14ac:dyDescent="0.2">
      <c r="P1421" s="73"/>
      <c r="AA1421" s="45"/>
      <c r="AB1421" s="45"/>
      <c r="AD1421" s="189"/>
      <c r="AE1421" s="189"/>
      <c r="AF1421" s="189"/>
      <c r="AG1421" s="189"/>
      <c r="AH1421" s="189"/>
      <c r="AI1421" s="45"/>
      <c r="AJ1421" s="45"/>
    </row>
    <row r="1422" spans="16:36" x14ac:dyDescent="0.2">
      <c r="P1422" s="73"/>
      <c r="AA1422" s="45"/>
      <c r="AB1422" s="45"/>
      <c r="AD1422" s="189"/>
      <c r="AE1422" s="189"/>
      <c r="AF1422" s="189"/>
      <c r="AG1422" s="189"/>
      <c r="AH1422" s="189"/>
      <c r="AI1422" s="45"/>
      <c r="AJ1422" s="45"/>
    </row>
    <row r="1423" spans="16:36" x14ac:dyDescent="0.2">
      <c r="P1423" s="73"/>
      <c r="AA1423" s="45"/>
      <c r="AB1423" s="45"/>
      <c r="AD1423" s="189"/>
      <c r="AE1423" s="189"/>
      <c r="AF1423" s="189"/>
      <c r="AG1423" s="189"/>
      <c r="AH1423" s="189"/>
      <c r="AI1423" s="45"/>
      <c r="AJ1423" s="45"/>
    </row>
    <row r="1424" spans="16:36" x14ac:dyDescent="0.2">
      <c r="P1424" s="73"/>
      <c r="AA1424" s="45"/>
      <c r="AB1424" s="45"/>
      <c r="AD1424" s="189"/>
      <c r="AE1424" s="189"/>
      <c r="AF1424" s="189"/>
      <c r="AG1424" s="189"/>
      <c r="AH1424" s="189"/>
      <c r="AI1424" s="45"/>
      <c r="AJ1424" s="45"/>
    </row>
    <row r="1425" spans="16:36" x14ac:dyDescent="0.2">
      <c r="P1425" s="73"/>
      <c r="AA1425" s="45"/>
      <c r="AB1425" s="45"/>
      <c r="AD1425" s="189"/>
      <c r="AE1425" s="189"/>
      <c r="AF1425" s="189"/>
      <c r="AG1425" s="189"/>
      <c r="AH1425" s="189"/>
      <c r="AI1425" s="45"/>
      <c r="AJ1425" s="45"/>
    </row>
    <row r="1426" spans="16:36" x14ac:dyDescent="0.2">
      <c r="P1426" s="73"/>
      <c r="AA1426" s="45"/>
      <c r="AB1426" s="45"/>
      <c r="AD1426" s="189"/>
      <c r="AE1426" s="189"/>
      <c r="AF1426" s="189"/>
      <c r="AG1426" s="189"/>
      <c r="AH1426" s="189"/>
      <c r="AI1426" s="45"/>
      <c r="AJ1426" s="45"/>
    </row>
    <row r="1427" spans="16:36" x14ac:dyDescent="0.2">
      <c r="P1427" s="73"/>
      <c r="AA1427" s="45"/>
      <c r="AB1427" s="45"/>
      <c r="AD1427" s="189"/>
      <c r="AE1427" s="189"/>
      <c r="AF1427" s="189"/>
      <c r="AG1427" s="189"/>
      <c r="AH1427" s="189"/>
      <c r="AI1427" s="45"/>
      <c r="AJ1427" s="45"/>
    </row>
    <row r="1428" spans="16:36" x14ac:dyDescent="0.2">
      <c r="P1428" s="73"/>
      <c r="AA1428" s="45"/>
      <c r="AB1428" s="45"/>
      <c r="AD1428" s="189"/>
      <c r="AE1428" s="189"/>
      <c r="AF1428" s="189"/>
      <c r="AG1428" s="189"/>
      <c r="AH1428" s="189"/>
      <c r="AI1428" s="45"/>
      <c r="AJ1428" s="45"/>
    </row>
    <row r="1429" spans="16:36" x14ac:dyDescent="0.2">
      <c r="P1429" s="73"/>
      <c r="AA1429" s="45"/>
      <c r="AB1429" s="45"/>
      <c r="AD1429" s="189"/>
      <c r="AE1429" s="189"/>
      <c r="AF1429" s="189"/>
      <c r="AG1429" s="189"/>
      <c r="AH1429" s="189"/>
      <c r="AI1429" s="45"/>
      <c r="AJ1429" s="45"/>
    </row>
    <row r="1430" spans="16:36" x14ac:dyDescent="0.2">
      <c r="P1430" s="73"/>
      <c r="AA1430" s="45"/>
      <c r="AB1430" s="45"/>
      <c r="AD1430" s="189"/>
      <c r="AE1430" s="189"/>
      <c r="AF1430" s="189"/>
      <c r="AG1430" s="189"/>
      <c r="AH1430" s="189"/>
      <c r="AI1430" s="45"/>
      <c r="AJ1430" s="45"/>
    </row>
    <row r="1431" spans="16:36" x14ac:dyDescent="0.2">
      <c r="P1431" s="73"/>
      <c r="AA1431" s="45"/>
      <c r="AB1431" s="45"/>
      <c r="AD1431" s="189"/>
      <c r="AE1431" s="189"/>
      <c r="AF1431" s="189"/>
      <c r="AG1431" s="189"/>
      <c r="AH1431" s="189"/>
      <c r="AI1431" s="45"/>
      <c r="AJ1431" s="45"/>
    </row>
    <row r="1432" spans="16:36" x14ac:dyDescent="0.2">
      <c r="P1432" s="73"/>
      <c r="AA1432" s="45"/>
      <c r="AB1432" s="45"/>
      <c r="AD1432" s="189"/>
      <c r="AE1432" s="189"/>
      <c r="AF1432" s="189"/>
      <c r="AG1432" s="189"/>
      <c r="AH1432" s="189"/>
      <c r="AI1432" s="45"/>
      <c r="AJ1432" s="45"/>
    </row>
    <row r="1433" spans="16:36" x14ac:dyDescent="0.2">
      <c r="P1433" s="73"/>
      <c r="AA1433" s="45"/>
      <c r="AB1433" s="45"/>
      <c r="AD1433" s="189"/>
      <c r="AE1433" s="189"/>
      <c r="AF1433" s="189"/>
      <c r="AG1433" s="189"/>
      <c r="AH1433" s="189"/>
      <c r="AI1433" s="45"/>
      <c r="AJ1433" s="45"/>
    </row>
    <row r="1434" spans="16:36" x14ac:dyDescent="0.2">
      <c r="P1434" s="73"/>
      <c r="AA1434" s="45"/>
      <c r="AB1434" s="45"/>
      <c r="AD1434" s="189"/>
      <c r="AE1434" s="189"/>
      <c r="AF1434" s="189"/>
      <c r="AG1434" s="189"/>
      <c r="AH1434" s="189"/>
      <c r="AI1434" s="45"/>
      <c r="AJ1434" s="45"/>
    </row>
    <row r="1435" spans="16:36" x14ac:dyDescent="0.2">
      <c r="P1435" s="73"/>
      <c r="AA1435" s="45"/>
      <c r="AB1435" s="45"/>
      <c r="AD1435" s="189"/>
      <c r="AE1435" s="189"/>
      <c r="AF1435" s="189"/>
      <c r="AG1435" s="189"/>
      <c r="AH1435" s="189"/>
      <c r="AI1435" s="45"/>
      <c r="AJ1435" s="45"/>
    </row>
    <row r="1436" spans="16:36" x14ac:dyDescent="0.2">
      <c r="P1436" s="73"/>
      <c r="AA1436" s="45"/>
      <c r="AB1436" s="45"/>
      <c r="AD1436" s="189"/>
      <c r="AE1436" s="189"/>
      <c r="AF1436" s="189"/>
      <c r="AG1436" s="189"/>
      <c r="AH1436" s="189"/>
      <c r="AI1436" s="45"/>
      <c r="AJ1436" s="45"/>
    </row>
    <row r="1437" spans="16:36" x14ac:dyDescent="0.2">
      <c r="P1437" s="73"/>
      <c r="AA1437" s="45"/>
      <c r="AB1437" s="45"/>
      <c r="AD1437" s="189"/>
      <c r="AE1437" s="189"/>
      <c r="AF1437" s="189"/>
      <c r="AG1437" s="189"/>
      <c r="AH1437" s="189"/>
      <c r="AI1437" s="45"/>
      <c r="AJ1437" s="45"/>
    </row>
    <row r="1438" spans="16:36" x14ac:dyDescent="0.2">
      <c r="P1438" s="73"/>
      <c r="AA1438" s="45"/>
      <c r="AB1438" s="45"/>
      <c r="AD1438" s="189"/>
      <c r="AE1438" s="189"/>
      <c r="AF1438" s="189"/>
      <c r="AG1438" s="189"/>
      <c r="AH1438" s="189"/>
      <c r="AI1438" s="45"/>
      <c r="AJ1438" s="45"/>
    </row>
    <row r="1439" spans="16:36" x14ac:dyDescent="0.2">
      <c r="P1439" s="73"/>
      <c r="AA1439" s="45"/>
      <c r="AB1439" s="45"/>
      <c r="AD1439" s="189"/>
      <c r="AE1439" s="189"/>
      <c r="AF1439" s="189"/>
      <c r="AG1439" s="189"/>
      <c r="AH1439" s="189"/>
      <c r="AI1439" s="45"/>
      <c r="AJ1439" s="45"/>
    </row>
    <row r="1440" spans="16:36" x14ac:dyDescent="0.2">
      <c r="P1440" s="73"/>
      <c r="AA1440" s="45"/>
      <c r="AB1440" s="45"/>
      <c r="AD1440" s="189"/>
      <c r="AE1440" s="189"/>
      <c r="AF1440" s="189"/>
      <c r="AG1440" s="189"/>
      <c r="AH1440" s="189"/>
      <c r="AI1440" s="45"/>
      <c r="AJ1440" s="45"/>
    </row>
    <row r="1441" spans="16:36" x14ac:dyDescent="0.2">
      <c r="P1441" s="73"/>
      <c r="AA1441" s="45"/>
      <c r="AB1441" s="45"/>
      <c r="AD1441" s="189"/>
      <c r="AE1441" s="189"/>
      <c r="AF1441" s="189"/>
      <c r="AG1441" s="189"/>
      <c r="AH1441" s="189"/>
      <c r="AI1441" s="45"/>
      <c r="AJ1441" s="45"/>
    </row>
    <row r="1442" spans="16:36" x14ac:dyDescent="0.2">
      <c r="P1442" s="73"/>
      <c r="AA1442" s="45"/>
      <c r="AB1442" s="45"/>
      <c r="AD1442" s="189"/>
      <c r="AE1442" s="189"/>
      <c r="AF1442" s="189"/>
      <c r="AG1442" s="189"/>
      <c r="AH1442" s="189"/>
      <c r="AI1442" s="45"/>
      <c r="AJ1442" s="45"/>
    </row>
    <row r="1443" spans="16:36" x14ac:dyDescent="0.2">
      <c r="P1443" s="73"/>
      <c r="AA1443" s="45"/>
      <c r="AB1443" s="45"/>
      <c r="AD1443" s="189"/>
      <c r="AE1443" s="189"/>
      <c r="AF1443" s="189"/>
      <c r="AG1443" s="189"/>
      <c r="AH1443" s="189"/>
      <c r="AI1443" s="45"/>
      <c r="AJ1443" s="45"/>
    </row>
    <row r="1444" spans="16:36" x14ac:dyDescent="0.2">
      <c r="P1444" s="73"/>
      <c r="AA1444" s="45"/>
      <c r="AB1444" s="45"/>
      <c r="AD1444" s="189"/>
      <c r="AE1444" s="189"/>
      <c r="AF1444" s="189"/>
      <c r="AG1444" s="189"/>
      <c r="AH1444" s="189"/>
      <c r="AI1444" s="45"/>
      <c r="AJ1444" s="45"/>
    </row>
    <row r="1445" spans="16:36" x14ac:dyDescent="0.2">
      <c r="P1445" s="73"/>
      <c r="AA1445" s="45"/>
      <c r="AB1445" s="45"/>
      <c r="AD1445" s="189"/>
      <c r="AE1445" s="189"/>
      <c r="AF1445" s="189"/>
      <c r="AG1445" s="189"/>
      <c r="AH1445" s="189"/>
      <c r="AI1445" s="45"/>
      <c r="AJ1445" s="45"/>
    </row>
    <row r="1446" spans="16:36" x14ac:dyDescent="0.2">
      <c r="P1446" s="73"/>
      <c r="AA1446" s="45"/>
      <c r="AB1446" s="45"/>
      <c r="AD1446" s="189"/>
      <c r="AE1446" s="189"/>
      <c r="AF1446" s="189"/>
      <c r="AG1446" s="189"/>
      <c r="AH1446" s="189"/>
      <c r="AI1446" s="45"/>
      <c r="AJ1446" s="45"/>
    </row>
    <row r="1447" spans="16:36" x14ac:dyDescent="0.2">
      <c r="P1447" s="73"/>
      <c r="AA1447" s="45"/>
      <c r="AB1447" s="45"/>
      <c r="AD1447" s="189"/>
      <c r="AE1447" s="189"/>
      <c r="AF1447" s="189"/>
      <c r="AG1447" s="189"/>
      <c r="AH1447" s="189"/>
      <c r="AI1447" s="45"/>
      <c r="AJ1447" s="45"/>
    </row>
    <row r="1448" spans="16:36" x14ac:dyDescent="0.2">
      <c r="P1448" s="73"/>
      <c r="AA1448" s="45"/>
      <c r="AB1448" s="45"/>
      <c r="AD1448" s="189"/>
      <c r="AE1448" s="189"/>
      <c r="AF1448" s="189"/>
      <c r="AG1448" s="189"/>
      <c r="AH1448" s="189"/>
      <c r="AI1448" s="45"/>
      <c r="AJ1448" s="45"/>
    </row>
    <row r="1449" spans="16:36" x14ac:dyDescent="0.2">
      <c r="P1449" s="73"/>
      <c r="AA1449" s="45"/>
      <c r="AB1449" s="45"/>
      <c r="AD1449" s="189"/>
      <c r="AE1449" s="189"/>
      <c r="AF1449" s="189"/>
      <c r="AG1449" s="189"/>
      <c r="AH1449" s="189"/>
      <c r="AI1449" s="45"/>
      <c r="AJ1449" s="45"/>
    </row>
    <row r="1450" spans="16:36" x14ac:dyDescent="0.2">
      <c r="P1450" s="73"/>
      <c r="AA1450" s="45"/>
      <c r="AB1450" s="45"/>
      <c r="AD1450" s="189"/>
      <c r="AE1450" s="189"/>
      <c r="AF1450" s="189"/>
      <c r="AG1450" s="189"/>
      <c r="AH1450" s="189"/>
      <c r="AI1450" s="45"/>
      <c r="AJ1450" s="45"/>
    </row>
    <row r="1451" spans="16:36" x14ac:dyDescent="0.2">
      <c r="P1451" s="73"/>
      <c r="AA1451" s="45"/>
      <c r="AB1451" s="45"/>
      <c r="AD1451" s="189"/>
      <c r="AE1451" s="189"/>
      <c r="AF1451" s="189"/>
      <c r="AG1451" s="189"/>
      <c r="AH1451" s="189"/>
      <c r="AI1451" s="45"/>
      <c r="AJ1451" s="45"/>
    </row>
    <row r="1452" spans="16:36" x14ac:dyDescent="0.2">
      <c r="P1452" s="73"/>
      <c r="AA1452" s="45"/>
      <c r="AB1452" s="45"/>
      <c r="AD1452" s="189"/>
      <c r="AE1452" s="189"/>
      <c r="AF1452" s="189"/>
      <c r="AG1452" s="189"/>
      <c r="AH1452" s="189"/>
      <c r="AI1452" s="45"/>
      <c r="AJ1452" s="45"/>
    </row>
    <row r="1453" spans="16:36" x14ac:dyDescent="0.2">
      <c r="P1453" s="73"/>
      <c r="AA1453" s="45"/>
      <c r="AB1453" s="45"/>
      <c r="AD1453" s="189"/>
      <c r="AE1453" s="189"/>
      <c r="AF1453" s="189"/>
      <c r="AG1453" s="189"/>
      <c r="AH1453" s="189"/>
      <c r="AI1453" s="45"/>
      <c r="AJ1453" s="45"/>
    </row>
    <row r="1454" spans="16:36" x14ac:dyDescent="0.2">
      <c r="P1454" s="73"/>
      <c r="AA1454" s="45"/>
      <c r="AB1454" s="45"/>
      <c r="AD1454" s="189"/>
      <c r="AE1454" s="189"/>
      <c r="AF1454" s="189"/>
      <c r="AG1454" s="189"/>
      <c r="AH1454" s="189"/>
      <c r="AI1454" s="45"/>
      <c r="AJ1454" s="45"/>
    </row>
    <row r="1455" spans="16:36" x14ac:dyDescent="0.2">
      <c r="P1455" s="73"/>
      <c r="AA1455" s="45"/>
      <c r="AB1455" s="45"/>
      <c r="AD1455" s="189"/>
      <c r="AE1455" s="189"/>
      <c r="AF1455" s="189"/>
      <c r="AG1455" s="189"/>
      <c r="AH1455" s="189"/>
      <c r="AI1455" s="45"/>
      <c r="AJ1455" s="45"/>
    </row>
    <row r="1456" spans="16:36" x14ac:dyDescent="0.2">
      <c r="P1456" s="73"/>
      <c r="AA1456" s="45"/>
      <c r="AB1456" s="45"/>
      <c r="AD1456" s="189"/>
      <c r="AE1456" s="189"/>
      <c r="AF1456" s="189"/>
      <c r="AG1456" s="189"/>
      <c r="AH1456" s="189"/>
      <c r="AI1456" s="45"/>
      <c r="AJ1456" s="45"/>
    </row>
    <row r="1457" spans="16:36" x14ac:dyDescent="0.2">
      <c r="P1457" s="73"/>
      <c r="AA1457" s="45"/>
      <c r="AB1457" s="45"/>
      <c r="AD1457" s="189"/>
      <c r="AE1457" s="189"/>
      <c r="AF1457" s="189"/>
      <c r="AG1457" s="189"/>
      <c r="AH1457" s="189"/>
      <c r="AI1457" s="45"/>
      <c r="AJ1457" s="45"/>
    </row>
    <row r="1458" spans="16:36" x14ac:dyDescent="0.2">
      <c r="P1458" s="73"/>
      <c r="AA1458" s="45"/>
      <c r="AB1458" s="45"/>
      <c r="AD1458" s="189"/>
      <c r="AE1458" s="189"/>
      <c r="AF1458" s="189"/>
      <c r="AG1458" s="189"/>
      <c r="AH1458" s="189"/>
      <c r="AI1458" s="45"/>
      <c r="AJ1458" s="45"/>
    </row>
    <row r="1459" spans="16:36" x14ac:dyDescent="0.2">
      <c r="P1459" s="73"/>
      <c r="AA1459" s="45"/>
      <c r="AB1459" s="45"/>
      <c r="AD1459" s="189"/>
      <c r="AE1459" s="189"/>
      <c r="AF1459" s="189"/>
      <c r="AG1459" s="189"/>
      <c r="AH1459" s="189"/>
      <c r="AI1459" s="45"/>
      <c r="AJ1459" s="45"/>
    </row>
    <row r="1460" spans="16:36" x14ac:dyDescent="0.2">
      <c r="P1460" s="73"/>
      <c r="AA1460" s="45"/>
      <c r="AB1460" s="45"/>
      <c r="AD1460" s="189"/>
      <c r="AE1460" s="189"/>
      <c r="AF1460" s="189"/>
      <c r="AG1460" s="189"/>
      <c r="AH1460" s="189"/>
      <c r="AI1460" s="45"/>
      <c r="AJ1460" s="45"/>
    </row>
    <row r="1461" spans="16:36" x14ac:dyDescent="0.2">
      <c r="P1461" s="73"/>
      <c r="AA1461" s="45"/>
      <c r="AB1461" s="45"/>
      <c r="AD1461" s="189"/>
      <c r="AE1461" s="189"/>
      <c r="AF1461" s="189"/>
      <c r="AG1461" s="189"/>
      <c r="AH1461" s="189"/>
      <c r="AI1461" s="45"/>
      <c r="AJ1461" s="45"/>
    </row>
    <row r="1462" spans="16:36" x14ac:dyDescent="0.2">
      <c r="P1462" s="73"/>
      <c r="AA1462" s="45"/>
      <c r="AB1462" s="45"/>
      <c r="AD1462" s="189"/>
      <c r="AE1462" s="189"/>
      <c r="AF1462" s="189"/>
      <c r="AG1462" s="189"/>
      <c r="AH1462" s="189"/>
      <c r="AI1462" s="45"/>
      <c r="AJ1462" s="45"/>
    </row>
    <row r="1463" spans="16:36" x14ac:dyDescent="0.2">
      <c r="P1463" s="73"/>
      <c r="AA1463" s="45"/>
      <c r="AB1463" s="45"/>
      <c r="AD1463" s="189"/>
      <c r="AE1463" s="189"/>
      <c r="AF1463" s="189"/>
      <c r="AG1463" s="189"/>
      <c r="AH1463" s="189"/>
      <c r="AI1463" s="45"/>
      <c r="AJ1463" s="45"/>
    </row>
    <row r="1464" spans="16:36" x14ac:dyDescent="0.2">
      <c r="P1464" s="73"/>
      <c r="AA1464" s="45"/>
      <c r="AB1464" s="45"/>
      <c r="AD1464" s="189"/>
      <c r="AE1464" s="189"/>
      <c r="AF1464" s="189"/>
      <c r="AG1464" s="189"/>
      <c r="AH1464" s="189"/>
      <c r="AI1464" s="45"/>
      <c r="AJ1464" s="45"/>
    </row>
    <row r="1465" spans="16:36" x14ac:dyDescent="0.2">
      <c r="P1465" s="73"/>
      <c r="AA1465" s="45"/>
      <c r="AB1465" s="45"/>
      <c r="AD1465" s="189"/>
      <c r="AE1465" s="189"/>
      <c r="AF1465" s="189"/>
      <c r="AG1465" s="189"/>
      <c r="AH1465" s="189"/>
      <c r="AI1465" s="45"/>
      <c r="AJ1465" s="45"/>
    </row>
    <row r="1466" spans="16:36" x14ac:dyDescent="0.2">
      <c r="P1466" s="73"/>
      <c r="AA1466" s="45"/>
      <c r="AB1466" s="45"/>
      <c r="AD1466" s="189"/>
      <c r="AE1466" s="189"/>
      <c r="AF1466" s="189"/>
      <c r="AG1466" s="189"/>
      <c r="AH1466" s="189"/>
      <c r="AI1466" s="45"/>
      <c r="AJ1466" s="45"/>
    </row>
    <row r="1467" spans="16:36" x14ac:dyDescent="0.2">
      <c r="P1467" s="73"/>
      <c r="AA1467" s="45"/>
      <c r="AB1467" s="45"/>
      <c r="AD1467" s="189"/>
      <c r="AE1467" s="189"/>
      <c r="AF1467" s="189"/>
      <c r="AG1467" s="189"/>
      <c r="AH1467" s="189"/>
      <c r="AI1467" s="45"/>
      <c r="AJ1467" s="45"/>
    </row>
    <row r="1468" spans="16:36" x14ac:dyDescent="0.2">
      <c r="P1468" s="73"/>
      <c r="AA1468" s="45"/>
      <c r="AB1468" s="45"/>
      <c r="AD1468" s="189"/>
      <c r="AE1468" s="189"/>
      <c r="AF1468" s="189"/>
      <c r="AG1468" s="189"/>
      <c r="AH1468" s="189"/>
      <c r="AI1468" s="45"/>
      <c r="AJ1468" s="45"/>
    </row>
    <row r="1469" spans="16:36" x14ac:dyDescent="0.2">
      <c r="P1469" s="73"/>
      <c r="AA1469" s="45"/>
      <c r="AB1469" s="45"/>
      <c r="AD1469" s="189"/>
      <c r="AE1469" s="189"/>
      <c r="AF1469" s="189"/>
      <c r="AG1469" s="189"/>
      <c r="AH1469" s="189"/>
      <c r="AI1469" s="45"/>
      <c r="AJ1469" s="45"/>
    </row>
    <row r="1470" spans="16:36" x14ac:dyDescent="0.2">
      <c r="P1470" s="73"/>
      <c r="AA1470" s="45"/>
      <c r="AB1470" s="45"/>
      <c r="AD1470" s="189"/>
      <c r="AE1470" s="189"/>
      <c r="AF1470" s="189"/>
      <c r="AG1470" s="189"/>
      <c r="AH1470" s="189"/>
      <c r="AI1470" s="45"/>
      <c r="AJ1470" s="45"/>
    </row>
    <row r="1471" spans="16:36" x14ac:dyDescent="0.2">
      <c r="P1471" s="73"/>
      <c r="AA1471" s="45"/>
      <c r="AB1471" s="45"/>
      <c r="AD1471" s="189"/>
      <c r="AE1471" s="189"/>
      <c r="AF1471" s="189"/>
      <c r="AG1471" s="189"/>
      <c r="AH1471" s="189"/>
      <c r="AI1471" s="45"/>
      <c r="AJ1471" s="45"/>
    </row>
    <row r="1472" spans="16:36" x14ac:dyDescent="0.2">
      <c r="P1472" s="73"/>
      <c r="AA1472" s="45"/>
      <c r="AB1472" s="45"/>
      <c r="AD1472" s="189"/>
      <c r="AE1472" s="189"/>
      <c r="AF1472" s="189"/>
      <c r="AG1472" s="189"/>
      <c r="AH1472" s="189"/>
      <c r="AI1472" s="45"/>
      <c r="AJ1472" s="45"/>
    </row>
    <row r="1473" spans="16:36" x14ac:dyDescent="0.2">
      <c r="P1473" s="73"/>
      <c r="AA1473" s="45"/>
      <c r="AB1473" s="45"/>
      <c r="AD1473" s="189"/>
      <c r="AE1473" s="189"/>
      <c r="AF1473" s="189"/>
      <c r="AG1473" s="189"/>
      <c r="AH1473" s="189"/>
      <c r="AI1473" s="45"/>
      <c r="AJ1473" s="45"/>
    </row>
    <row r="1474" spans="16:36" x14ac:dyDescent="0.2">
      <c r="P1474" s="73"/>
      <c r="AA1474" s="45"/>
      <c r="AB1474" s="45"/>
      <c r="AD1474" s="189"/>
      <c r="AE1474" s="189"/>
      <c r="AF1474" s="189"/>
      <c r="AG1474" s="189"/>
      <c r="AH1474" s="189"/>
      <c r="AI1474" s="45"/>
      <c r="AJ1474" s="45"/>
    </row>
    <row r="1475" spans="16:36" x14ac:dyDescent="0.2">
      <c r="P1475" s="73"/>
      <c r="AA1475" s="45"/>
      <c r="AB1475" s="45"/>
      <c r="AD1475" s="189"/>
      <c r="AE1475" s="189"/>
      <c r="AF1475" s="189"/>
      <c r="AG1475" s="189"/>
      <c r="AH1475" s="189"/>
      <c r="AI1475" s="45"/>
      <c r="AJ1475" s="45"/>
    </row>
    <row r="1476" spans="16:36" x14ac:dyDescent="0.2">
      <c r="P1476" s="73"/>
      <c r="AA1476" s="45"/>
      <c r="AB1476" s="45"/>
      <c r="AD1476" s="189"/>
      <c r="AE1476" s="189"/>
      <c r="AF1476" s="189"/>
      <c r="AG1476" s="189"/>
      <c r="AH1476" s="189"/>
      <c r="AI1476" s="45"/>
      <c r="AJ1476" s="45"/>
    </row>
    <row r="1477" spans="16:36" x14ac:dyDescent="0.2">
      <c r="P1477" s="73"/>
      <c r="AA1477" s="45"/>
      <c r="AB1477" s="45"/>
      <c r="AD1477" s="189"/>
      <c r="AE1477" s="189"/>
      <c r="AF1477" s="189"/>
      <c r="AG1477" s="189"/>
      <c r="AH1477" s="189"/>
      <c r="AI1477" s="45"/>
      <c r="AJ1477" s="45"/>
    </row>
    <row r="1478" spans="16:36" x14ac:dyDescent="0.2">
      <c r="P1478" s="73"/>
      <c r="AA1478" s="45"/>
      <c r="AB1478" s="45"/>
      <c r="AD1478" s="189"/>
      <c r="AE1478" s="189"/>
      <c r="AF1478" s="189"/>
      <c r="AG1478" s="189"/>
      <c r="AH1478" s="189"/>
      <c r="AI1478" s="45"/>
      <c r="AJ1478" s="45"/>
    </row>
    <row r="1479" spans="16:36" x14ac:dyDescent="0.2">
      <c r="P1479" s="73"/>
      <c r="AA1479" s="45"/>
      <c r="AB1479" s="45"/>
      <c r="AD1479" s="189"/>
      <c r="AE1479" s="189"/>
      <c r="AF1479" s="189"/>
      <c r="AG1479" s="189"/>
      <c r="AH1479" s="189"/>
      <c r="AI1479" s="45"/>
      <c r="AJ1479" s="45"/>
    </row>
    <row r="1480" spans="16:36" x14ac:dyDescent="0.2">
      <c r="P1480" s="73"/>
      <c r="AA1480" s="45"/>
      <c r="AB1480" s="45"/>
      <c r="AD1480" s="189"/>
      <c r="AE1480" s="189"/>
      <c r="AF1480" s="189"/>
      <c r="AG1480" s="189"/>
      <c r="AH1480" s="189"/>
      <c r="AI1480" s="45"/>
      <c r="AJ1480" s="45"/>
    </row>
    <row r="1481" spans="16:36" x14ac:dyDescent="0.2">
      <c r="P1481" s="73"/>
      <c r="AA1481" s="45"/>
      <c r="AB1481" s="45"/>
      <c r="AD1481" s="189"/>
      <c r="AE1481" s="189"/>
      <c r="AF1481" s="189"/>
      <c r="AG1481" s="189"/>
      <c r="AH1481" s="189"/>
      <c r="AI1481" s="45"/>
      <c r="AJ1481" s="45"/>
    </row>
    <row r="1482" spans="16:36" x14ac:dyDescent="0.2">
      <c r="P1482" s="73"/>
      <c r="AA1482" s="45"/>
      <c r="AB1482" s="45"/>
      <c r="AD1482" s="189"/>
      <c r="AE1482" s="189"/>
      <c r="AF1482" s="189"/>
      <c r="AG1482" s="189"/>
      <c r="AH1482" s="189"/>
      <c r="AI1482" s="45"/>
      <c r="AJ1482" s="45"/>
    </row>
    <row r="1483" spans="16:36" x14ac:dyDescent="0.2">
      <c r="P1483" s="73"/>
      <c r="AA1483" s="45"/>
      <c r="AB1483" s="45"/>
      <c r="AD1483" s="189"/>
      <c r="AE1483" s="189"/>
      <c r="AF1483" s="189"/>
      <c r="AG1483" s="189"/>
      <c r="AH1483" s="189"/>
      <c r="AI1483" s="45"/>
      <c r="AJ1483" s="45"/>
    </row>
    <row r="1484" spans="16:36" x14ac:dyDescent="0.2">
      <c r="P1484" s="73"/>
      <c r="AA1484" s="45"/>
      <c r="AB1484" s="45"/>
      <c r="AD1484" s="189"/>
      <c r="AE1484" s="189"/>
      <c r="AF1484" s="189"/>
      <c r="AG1484" s="189"/>
      <c r="AH1484" s="189"/>
      <c r="AI1484" s="45"/>
      <c r="AJ1484" s="45"/>
    </row>
    <row r="1485" spans="16:36" x14ac:dyDescent="0.2">
      <c r="P1485" s="73"/>
      <c r="AA1485" s="45"/>
      <c r="AB1485" s="45"/>
      <c r="AD1485" s="189"/>
      <c r="AE1485" s="189"/>
      <c r="AF1485" s="189"/>
      <c r="AG1485" s="189"/>
      <c r="AH1485" s="189"/>
      <c r="AI1485" s="45"/>
      <c r="AJ1485" s="45"/>
    </row>
    <row r="1486" spans="16:36" x14ac:dyDescent="0.2">
      <c r="P1486" s="73"/>
      <c r="AA1486" s="45"/>
      <c r="AB1486" s="45"/>
      <c r="AD1486" s="189"/>
      <c r="AE1486" s="189"/>
      <c r="AF1486" s="189"/>
      <c r="AG1486" s="189"/>
      <c r="AH1486" s="189"/>
      <c r="AI1486" s="45"/>
      <c r="AJ1486" s="45"/>
    </row>
    <row r="1487" spans="16:36" x14ac:dyDescent="0.2">
      <c r="P1487" s="73"/>
      <c r="AA1487" s="45"/>
      <c r="AB1487" s="45"/>
      <c r="AD1487" s="189"/>
      <c r="AE1487" s="189"/>
      <c r="AF1487" s="189"/>
      <c r="AG1487" s="189"/>
      <c r="AH1487" s="189"/>
      <c r="AI1487" s="45"/>
      <c r="AJ1487" s="45"/>
    </row>
    <row r="1488" spans="16:36" x14ac:dyDescent="0.2">
      <c r="P1488" s="73"/>
      <c r="AA1488" s="45"/>
      <c r="AB1488" s="45"/>
      <c r="AD1488" s="189"/>
      <c r="AE1488" s="189"/>
      <c r="AF1488" s="189"/>
      <c r="AG1488" s="189"/>
      <c r="AH1488" s="189"/>
      <c r="AI1488" s="45"/>
      <c r="AJ1488" s="45"/>
    </row>
    <row r="1489" spans="16:36" x14ac:dyDescent="0.2">
      <c r="P1489" s="73"/>
      <c r="AA1489" s="45"/>
      <c r="AB1489" s="45"/>
      <c r="AD1489" s="189"/>
      <c r="AE1489" s="189"/>
      <c r="AF1489" s="189"/>
      <c r="AG1489" s="189"/>
      <c r="AH1489" s="189"/>
      <c r="AI1489" s="45"/>
      <c r="AJ1489" s="45"/>
    </row>
    <row r="1490" spans="16:36" x14ac:dyDescent="0.2">
      <c r="P1490" s="73"/>
      <c r="AA1490" s="45"/>
      <c r="AB1490" s="45"/>
      <c r="AD1490" s="189"/>
      <c r="AE1490" s="189"/>
      <c r="AF1490" s="189"/>
      <c r="AG1490" s="189"/>
      <c r="AH1490" s="189"/>
      <c r="AI1490" s="45"/>
      <c r="AJ1490" s="45"/>
    </row>
    <row r="1491" spans="16:36" x14ac:dyDescent="0.2">
      <c r="P1491" s="73"/>
      <c r="AA1491" s="45"/>
      <c r="AB1491" s="45"/>
      <c r="AD1491" s="189"/>
      <c r="AE1491" s="189"/>
      <c r="AF1491" s="189"/>
      <c r="AG1491" s="189"/>
      <c r="AH1491" s="189"/>
      <c r="AI1491" s="45"/>
      <c r="AJ1491" s="45"/>
    </row>
    <row r="1492" spans="16:36" x14ac:dyDescent="0.2">
      <c r="P1492" s="73"/>
      <c r="AA1492" s="45"/>
      <c r="AB1492" s="45"/>
      <c r="AD1492" s="189"/>
      <c r="AE1492" s="189"/>
      <c r="AF1492" s="189"/>
      <c r="AG1492" s="189"/>
      <c r="AH1492" s="189"/>
      <c r="AI1492" s="45"/>
      <c r="AJ1492" s="45"/>
    </row>
    <row r="1493" spans="16:36" x14ac:dyDescent="0.2">
      <c r="P1493" s="73"/>
      <c r="AA1493" s="45"/>
      <c r="AB1493" s="45"/>
      <c r="AD1493" s="189"/>
      <c r="AE1493" s="189"/>
      <c r="AF1493" s="189"/>
      <c r="AG1493" s="189"/>
      <c r="AH1493" s="189"/>
      <c r="AI1493" s="45"/>
      <c r="AJ1493" s="45"/>
    </row>
    <row r="1494" spans="16:36" x14ac:dyDescent="0.2">
      <c r="P1494" s="73"/>
      <c r="AA1494" s="45"/>
      <c r="AB1494" s="45"/>
      <c r="AD1494" s="189"/>
      <c r="AE1494" s="189"/>
      <c r="AF1494" s="189"/>
      <c r="AG1494" s="189"/>
      <c r="AH1494" s="189"/>
      <c r="AI1494" s="45"/>
      <c r="AJ1494" s="45"/>
    </row>
    <row r="1495" spans="16:36" x14ac:dyDescent="0.2">
      <c r="P1495" s="73"/>
      <c r="AA1495" s="45"/>
      <c r="AB1495" s="45"/>
      <c r="AD1495" s="189"/>
      <c r="AE1495" s="189"/>
      <c r="AF1495" s="189"/>
      <c r="AG1495" s="189"/>
      <c r="AH1495" s="189"/>
      <c r="AI1495" s="45"/>
      <c r="AJ1495" s="45"/>
    </row>
    <row r="1496" spans="16:36" x14ac:dyDescent="0.2">
      <c r="P1496" s="73"/>
      <c r="AA1496" s="45"/>
      <c r="AB1496" s="45"/>
      <c r="AD1496" s="189"/>
      <c r="AE1496" s="189"/>
      <c r="AF1496" s="189"/>
      <c r="AG1496" s="189"/>
      <c r="AH1496" s="189"/>
      <c r="AI1496" s="45"/>
      <c r="AJ1496" s="45"/>
    </row>
    <row r="1497" spans="16:36" x14ac:dyDescent="0.2">
      <c r="P1497" s="73"/>
      <c r="AA1497" s="45"/>
      <c r="AB1497" s="45"/>
      <c r="AD1497" s="189"/>
      <c r="AE1497" s="189"/>
      <c r="AF1497" s="189"/>
      <c r="AG1497" s="189"/>
      <c r="AH1497" s="189"/>
      <c r="AI1497" s="45"/>
      <c r="AJ1497" s="45"/>
    </row>
    <row r="1498" spans="16:36" x14ac:dyDescent="0.2">
      <c r="P1498" s="73"/>
      <c r="AA1498" s="45"/>
      <c r="AB1498" s="45"/>
      <c r="AD1498" s="189"/>
      <c r="AE1498" s="189"/>
      <c r="AF1498" s="189"/>
      <c r="AG1498" s="189"/>
      <c r="AH1498" s="189"/>
      <c r="AI1498" s="45"/>
      <c r="AJ1498" s="45"/>
    </row>
    <row r="1499" spans="16:36" x14ac:dyDescent="0.2">
      <c r="P1499" s="73"/>
      <c r="AA1499" s="45"/>
      <c r="AB1499" s="45"/>
      <c r="AD1499" s="189"/>
      <c r="AE1499" s="189"/>
      <c r="AF1499" s="189"/>
      <c r="AG1499" s="189"/>
      <c r="AH1499" s="189"/>
      <c r="AI1499" s="45"/>
      <c r="AJ1499" s="45"/>
    </row>
    <row r="1500" spans="16:36" x14ac:dyDescent="0.2">
      <c r="P1500" s="73"/>
      <c r="AA1500" s="45"/>
      <c r="AB1500" s="45"/>
      <c r="AD1500" s="189"/>
      <c r="AE1500" s="189"/>
      <c r="AF1500" s="189"/>
      <c r="AG1500" s="189"/>
      <c r="AH1500" s="189"/>
      <c r="AI1500" s="45"/>
      <c r="AJ1500" s="45"/>
    </row>
    <row r="1501" spans="16:36" x14ac:dyDescent="0.2">
      <c r="P1501" s="73"/>
      <c r="AA1501" s="45"/>
      <c r="AB1501" s="45"/>
      <c r="AD1501" s="189"/>
      <c r="AE1501" s="189"/>
      <c r="AF1501" s="189"/>
      <c r="AG1501" s="189"/>
      <c r="AH1501" s="189"/>
      <c r="AI1501" s="45"/>
      <c r="AJ1501" s="45"/>
    </row>
    <row r="1502" spans="16:36" x14ac:dyDescent="0.2">
      <c r="P1502" s="73"/>
      <c r="AA1502" s="45"/>
      <c r="AB1502" s="45"/>
      <c r="AD1502" s="189"/>
      <c r="AE1502" s="189"/>
      <c r="AF1502" s="189"/>
      <c r="AG1502" s="189"/>
      <c r="AH1502" s="189"/>
      <c r="AI1502" s="45"/>
      <c r="AJ1502" s="45"/>
    </row>
    <row r="1503" spans="16:36" x14ac:dyDescent="0.2">
      <c r="P1503" s="73"/>
      <c r="AA1503" s="45"/>
      <c r="AB1503" s="45"/>
      <c r="AD1503" s="189"/>
      <c r="AE1503" s="189"/>
      <c r="AF1503" s="189"/>
      <c r="AG1503" s="189"/>
      <c r="AH1503" s="189"/>
      <c r="AI1503" s="45"/>
      <c r="AJ1503" s="45"/>
    </row>
    <row r="1504" spans="16:36" x14ac:dyDescent="0.2">
      <c r="P1504" s="73"/>
      <c r="AA1504" s="45"/>
      <c r="AB1504" s="45"/>
      <c r="AD1504" s="189"/>
      <c r="AE1504" s="189"/>
      <c r="AF1504" s="189"/>
      <c r="AG1504" s="189"/>
      <c r="AH1504" s="189"/>
      <c r="AI1504" s="45"/>
      <c r="AJ1504" s="45"/>
    </row>
    <row r="1505" spans="16:36" x14ac:dyDescent="0.2">
      <c r="P1505" s="73"/>
      <c r="AA1505" s="45"/>
      <c r="AB1505" s="45"/>
      <c r="AD1505" s="189"/>
      <c r="AE1505" s="189"/>
      <c r="AF1505" s="189"/>
      <c r="AG1505" s="189"/>
      <c r="AH1505" s="189"/>
      <c r="AI1505" s="45"/>
      <c r="AJ1505" s="45"/>
    </row>
    <row r="1506" spans="16:36" x14ac:dyDescent="0.2">
      <c r="P1506" s="73"/>
      <c r="AA1506" s="45"/>
      <c r="AB1506" s="45"/>
      <c r="AD1506" s="189"/>
      <c r="AE1506" s="189"/>
      <c r="AF1506" s="189"/>
      <c r="AG1506" s="189"/>
      <c r="AH1506" s="189"/>
      <c r="AI1506" s="45"/>
      <c r="AJ1506" s="45"/>
    </row>
    <row r="1507" spans="16:36" x14ac:dyDescent="0.2">
      <c r="P1507" s="73"/>
      <c r="AA1507" s="45"/>
      <c r="AB1507" s="45"/>
      <c r="AD1507" s="189"/>
      <c r="AE1507" s="189"/>
      <c r="AF1507" s="189"/>
      <c r="AG1507" s="189"/>
      <c r="AH1507" s="189"/>
      <c r="AI1507" s="45"/>
      <c r="AJ1507" s="45"/>
    </row>
    <row r="1508" spans="16:36" x14ac:dyDescent="0.2">
      <c r="P1508" s="73"/>
      <c r="AA1508" s="45"/>
      <c r="AB1508" s="45"/>
      <c r="AD1508" s="189"/>
      <c r="AE1508" s="189"/>
      <c r="AF1508" s="189"/>
      <c r="AG1508" s="189"/>
      <c r="AH1508" s="189"/>
      <c r="AI1508" s="45"/>
      <c r="AJ1508" s="45"/>
    </row>
    <row r="1509" spans="16:36" x14ac:dyDescent="0.2">
      <c r="P1509" s="73"/>
      <c r="AA1509" s="45"/>
      <c r="AB1509" s="45"/>
      <c r="AD1509" s="189"/>
      <c r="AE1509" s="189"/>
      <c r="AF1509" s="189"/>
      <c r="AG1509" s="189"/>
      <c r="AH1509" s="189"/>
      <c r="AI1509" s="45"/>
      <c r="AJ1509" s="45"/>
    </row>
    <row r="1510" spans="16:36" x14ac:dyDescent="0.2">
      <c r="P1510" s="73"/>
      <c r="AA1510" s="45"/>
      <c r="AB1510" s="45"/>
      <c r="AD1510" s="189"/>
      <c r="AE1510" s="189"/>
      <c r="AF1510" s="189"/>
      <c r="AG1510" s="189"/>
      <c r="AH1510" s="189"/>
      <c r="AI1510" s="45"/>
      <c r="AJ1510" s="45"/>
    </row>
    <row r="1511" spans="16:36" x14ac:dyDescent="0.2">
      <c r="P1511" s="73"/>
      <c r="AA1511" s="45"/>
      <c r="AB1511" s="45"/>
      <c r="AD1511" s="189"/>
      <c r="AE1511" s="189"/>
      <c r="AF1511" s="189"/>
      <c r="AG1511" s="189"/>
      <c r="AH1511" s="189"/>
      <c r="AI1511" s="45"/>
      <c r="AJ1511" s="45"/>
    </row>
    <row r="1512" spans="16:36" x14ac:dyDescent="0.2">
      <c r="P1512" s="73"/>
      <c r="AA1512" s="45"/>
      <c r="AB1512" s="45"/>
      <c r="AD1512" s="189"/>
      <c r="AE1512" s="189"/>
      <c r="AF1512" s="189"/>
      <c r="AG1512" s="189"/>
      <c r="AH1512" s="189"/>
      <c r="AI1512" s="45"/>
      <c r="AJ1512" s="45"/>
    </row>
    <row r="1513" spans="16:36" x14ac:dyDescent="0.2">
      <c r="P1513" s="73"/>
      <c r="AA1513" s="45"/>
      <c r="AB1513" s="45"/>
      <c r="AD1513" s="189"/>
      <c r="AE1513" s="189"/>
      <c r="AF1513" s="189"/>
      <c r="AG1513" s="189"/>
      <c r="AH1513" s="189"/>
      <c r="AI1513" s="45"/>
      <c r="AJ1513" s="45"/>
    </row>
    <row r="1514" spans="16:36" x14ac:dyDescent="0.2">
      <c r="P1514" s="73"/>
      <c r="AA1514" s="45"/>
      <c r="AB1514" s="45"/>
      <c r="AD1514" s="189"/>
      <c r="AE1514" s="189"/>
      <c r="AF1514" s="189"/>
      <c r="AG1514" s="189"/>
      <c r="AH1514" s="189"/>
      <c r="AI1514" s="45"/>
      <c r="AJ1514" s="45"/>
    </row>
    <row r="1515" spans="16:36" x14ac:dyDescent="0.2">
      <c r="P1515" s="73"/>
      <c r="AA1515" s="45"/>
      <c r="AB1515" s="45"/>
      <c r="AD1515" s="189"/>
      <c r="AE1515" s="189"/>
      <c r="AF1515" s="189"/>
      <c r="AG1515" s="189"/>
      <c r="AH1515" s="189"/>
      <c r="AI1515" s="45"/>
      <c r="AJ1515" s="45"/>
    </row>
    <row r="1516" spans="16:36" x14ac:dyDescent="0.2">
      <c r="P1516" s="73"/>
      <c r="AA1516" s="45"/>
      <c r="AB1516" s="45"/>
      <c r="AD1516" s="189"/>
      <c r="AE1516" s="189"/>
      <c r="AF1516" s="189"/>
      <c r="AG1516" s="189"/>
      <c r="AH1516" s="189"/>
      <c r="AI1516" s="45"/>
      <c r="AJ1516" s="45"/>
    </row>
    <row r="1517" spans="16:36" x14ac:dyDescent="0.2">
      <c r="P1517" s="73"/>
      <c r="AA1517" s="45"/>
      <c r="AB1517" s="45"/>
      <c r="AD1517" s="189"/>
      <c r="AE1517" s="189"/>
      <c r="AF1517" s="189"/>
      <c r="AG1517" s="189"/>
      <c r="AH1517" s="189"/>
      <c r="AI1517" s="45"/>
      <c r="AJ1517" s="45"/>
    </row>
    <row r="1518" spans="16:36" x14ac:dyDescent="0.2">
      <c r="P1518" s="73"/>
      <c r="AA1518" s="45"/>
      <c r="AB1518" s="45"/>
      <c r="AD1518" s="189"/>
      <c r="AE1518" s="189"/>
      <c r="AF1518" s="189"/>
      <c r="AG1518" s="189"/>
      <c r="AH1518" s="189"/>
      <c r="AI1518" s="45"/>
      <c r="AJ1518" s="45"/>
    </row>
    <row r="1519" spans="16:36" x14ac:dyDescent="0.2">
      <c r="P1519" s="73"/>
      <c r="AA1519" s="45"/>
      <c r="AB1519" s="45"/>
      <c r="AD1519" s="189"/>
      <c r="AE1519" s="189"/>
      <c r="AF1519" s="189"/>
      <c r="AG1519" s="189"/>
      <c r="AH1519" s="189"/>
      <c r="AI1519" s="45"/>
      <c r="AJ1519" s="45"/>
    </row>
    <row r="1520" spans="16:36" x14ac:dyDescent="0.2">
      <c r="P1520" s="73"/>
      <c r="AA1520" s="45"/>
      <c r="AB1520" s="45"/>
      <c r="AD1520" s="189"/>
      <c r="AE1520" s="189"/>
      <c r="AF1520" s="189"/>
      <c r="AG1520" s="189"/>
      <c r="AH1520" s="189"/>
      <c r="AI1520" s="45"/>
      <c r="AJ1520" s="45"/>
    </row>
    <row r="1521" spans="16:36" x14ac:dyDescent="0.2">
      <c r="P1521" s="73"/>
      <c r="AA1521" s="45"/>
      <c r="AB1521" s="45"/>
      <c r="AD1521" s="189"/>
      <c r="AE1521" s="189"/>
      <c r="AF1521" s="189"/>
      <c r="AG1521" s="189"/>
      <c r="AH1521" s="189"/>
      <c r="AI1521" s="45"/>
      <c r="AJ1521" s="45"/>
    </row>
    <row r="1522" spans="16:36" x14ac:dyDescent="0.2">
      <c r="P1522" s="73"/>
      <c r="AA1522" s="45"/>
      <c r="AB1522" s="45"/>
      <c r="AD1522" s="189"/>
      <c r="AE1522" s="189"/>
      <c r="AF1522" s="189"/>
      <c r="AG1522" s="189"/>
      <c r="AH1522" s="189"/>
      <c r="AI1522" s="45"/>
      <c r="AJ1522" s="45"/>
    </row>
    <row r="1523" spans="16:36" x14ac:dyDescent="0.2">
      <c r="P1523" s="73"/>
      <c r="AA1523" s="45"/>
      <c r="AB1523" s="45"/>
      <c r="AD1523" s="189"/>
      <c r="AE1523" s="189"/>
      <c r="AF1523" s="189"/>
      <c r="AG1523" s="189"/>
      <c r="AH1523" s="189"/>
      <c r="AI1523" s="45"/>
      <c r="AJ1523" s="45"/>
    </row>
    <row r="1524" spans="16:36" x14ac:dyDescent="0.2">
      <c r="P1524" s="73"/>
      <c r="AA1524" s="45"/>
      <c r="AB1524" s="45"/>
      <c r="AD1524" s="189"/>
      <c r="AE1524" s="189"/>
      <c r="AF1524" s="189"/>
      <c r="AG1524" s="189"/>
      <c r="AH1524" s="189"/>
      <c r="AI1524" s="45"/>
      <c r="AJ1524" s="45"/>
    </row>
    <row r="1525" spans="16:36" x14ac:dyDescent="0.2">
      <c r="P1525" s="73"/>
      <c r="AA1525" s="45"/>
      <c r="AB1525" s="45"/>
      <c r="AD1525" s="189"/>
      <c r="AE1525" s="189"/>
      <c r="AF1525" s="189"/>
      <c r="AG1525" s="189"/>
      <c r="AH1525" s="189"/>
      <c r="AI1525" s="45"/>
      <c r="AJ1525" s="45"/>
    </row>
    <row r="1526" spans="16:36" x14ac:dyDescent="0.2">
      <c r="P1526" s="73"/>
      <c r="AA1526" s="45"/>
      <c r="AB1526" s="45"/>
      <c r="AD1526" s="189"/>
      <c r="AE1526" s="189"/>
      <c r="AF1526" s="189"/>
      <c r="AG1526" s="189"/>
      <c r="AH1526" s="189"/>
      <c r="AI1526" s="45"/>
      <c r="AJ1526" s="45"/>
    </row>
    <row r="1527" spans="16:36" x14ac:dyDescent="0.2">
      <c r="P1527" s="73"/>
      <c r="AA1527" s="45"/>
      <c r="AB1527" s="45"/>
      <c r="AD1527" s="189"/>
      <c r="AE1527" s="189"/>
      <c r="AF1527" s="189"/>
      <c r="AG1527" s="189"/>
      <c r="AH1527" s="189"/>
      <c r="AI1527" s="45"/>
      <c r="AJ1527" s="45"/>
    </row>
    <row r="1528" spans="16:36" x14ac:dyDescent="0.2">
      <c r="P1528" s="73"/>
      <c r="AA1528" s="45"/>
      <c r="AB1528" s="45"/>
      <c r="AD1528" s="189"/>
      <c r="AE1528" s="189"/>
      <c r="AF1528" s="189"/>
      <c r="AG1528" s="189"/>
      <c r="AH1528" s="189"/>
      <c r="AI1528" s="45"/>
      <c r="AJ1528" s="45"/>
    </row>
    <row r="1529" spans="16:36" x14ac:dyDescent="0.2">
      <c r="P1529" s="73"/>
      <c r="AA1529" s="45"/>
      <c r="AB1529" s="45"/>
      <c r="AD1529" s="189"/>
      <c r="AE1529" s="189"/>
      <c r="AF1529" s="189"/>
      <c r="AG1529" s="189"/>
      <c r="AH1529" s="189"/>
      <c r="AI1529" s="45"/>
      <c r="AJ1529" s="45"/>
    </row>
    <row r="1530" spans="16:36" x14ac:dyDescent="0.2">
      <c r="P1530" s="73"/>
      <c r="AA1530" s="45"/>
      <c r="AB1530" s="45"/>
      <c r="AD1530" s="189"/>
      <c r="AE1530" s="189"/>
      <c r="AF1530" s="189"/>
      <c r="AG1530" s="189"/>
      <c r="AH1530" s="189"/>
      <c r="AI1530" s="45"/>
      <c r="AJ1530" s="45"/>
    </row>
    <row r="1531" spans="16:36" x14ac:dyDescent="0.2">
      <c r="P1531" s="73"/>
      <c r="AA1531" s="45"/>
      <c r="AB1531" s="45"/>
      <c r="AD1531" s="189"/>
      <c r="AE1531" s="189"/>
      <c r="AF1531" s="189"/>
      <c r="AG1531" s="189"/>
      <c r="AH1531" s="189"/>
      <c r="AI1531" s="45"/>
      <c r="AJ1531" s="45"/>
    </row>
    <row r="1532" spans="16:36" x14ac:dyDescent="0.2">
      <c r="P1532" s="73"/>
      <c r="AA1532" s="45"/>
      <c r="AB1532" s="45"/>
      <c r="AD1532" s="189"/>
      <c r="AE1532" s="189"/>
      <c r="AF1532" s="189"/>
      <c r="AG1532" s="189"/>
      <c r="AH1532" s="189"/>
      <c r="AI1532" s="45"/>
      <c r="AJ1532" s="45"/>
    </row>
    <row r="1533" spans="16:36" x14ac:dyDescent="0.2">
      <c r="P1533" s="73"/>
      <c r="AA1533" s="45"/>
      <c r="AB1533" s="45"/>
      <c r="AD1533" s="189"/>
      <c r="AE1533" s="189"/>
      <c r="AF1533" s="189"/>
      <c r="AG1533" s="189"/>
      <c r="AH1533" s="189"/>
      <c r="AI1533" s="45"/>
      <c r="AJ1533" s="45"/>
    </row>
    <row r="1534" spans="16:36" x14ac:dyDescent="0.2">
      <c r="P1534" s="73"/>
      <c r="AA1534" s="45"/>
      <c r="AB1534" s="45"/>
      <c r="AD1534" s="189"/>
      <c r="AE1534" s="189"/>
      <c r="AF1534" s="189"/>
      <c r="AG1534" s="189"/>
      <c r="AH1534" s="189"/>
      <c r="AI1534" s="45"/>
      <c r="AJ1534" s="45"/>
    </row>
    <row r="1535" spans="16:36" x14ac:dyDescent="0.2">
      <c r="P1535" s="73"/>
      <c r="AA1535" s="45"/>
      <c r="AB1535" s="45"/>
      <c r="AD1535" s="189"/>
      <c r="AE1535" s="189"/>
      <c r="AF1535" s="189"/>
      <c r="AG1535" s="189"/>
      <c r="AH1535" s="189"/>
      <c r="AI1535" s="45"/>
      <c r="AJ1535" s="45"/>
    </row>
    <row r="1536" spans="16:36" x14ac:dyDescent="0.2">
      <c r="P1536" s="73"/>
      <c r="AA1536" s="45"/>
      <c r="AB1536" s="45"/>
      <c r="AD1536" s="189"/>
      <c r="AE1536" s="189"/>
      <c r="AF1536" s="189"/>
      <c r="AG1536" s="189"/>
      <c r="AH1536" s="189"/>
      <c r="AI1536" s="45"/>
      <c r="AJ1536" s="45"/>
    </row>
    <row r="1537" spans="16:36" x14ac:dyDescent="0.2">
      <c r="P1537" s="73"/>
      <c r="AA1537" s="45"/>
      <c r="AB1537" s="45"/>
      <c r="AD1537" s="189"/>
      <c r="AE1537" s="189"/>
      <c r="AF1537" s="189"/>
      <c r="AG1537" s="189"/>
      <c r="AH1537" s="189"/>
      <c r="AI1537" s="45"/>
      <c r="AJ1537" s="45"/>
    </row>
    <row r="1538" spans="16:36" x14ac:dyDescent="0.2">
      <c r="P1538" s="73"/>
      <c r="AA1538" s="45"/>
      <c r="AB1538" s="45"/>
      <c r="AD1538" s="189"/>
      <c r="AE1538" s="189"/>
      <c r="AF1538" s="189"/>
      <c r="AG1538" s="189"/>
      <c r="AH1538" s="189"/>
      <c r="AI1538" s="45"/>
      <c r="AJ1538" s="45"/>
    </row>
    <row r="1539" spans="16:36" x14ac:dyDescent="0.2">
      <c r="P1539" s="73"/>
      <c r="AA1539" s="45"/>
      <c r="AB1539" s="45"/>
      <c r="AD1539" s="189"/>
      <c r="AE1539" s="189"/>
      <c r="AF1539" s="189"/>
      <c r="AG1539" s="189"/>
      <c r="AH1539" s="189"/>
      <c r="AI1539" s="45"/>
      <c r="AJ1539" s="45"/>
    </row>
    <row r="1540" spans="16:36" x14ac:dyDescent="0.2">
      <c r="P1540" s="73"/>
      <c r="AA1540" s="45"/>
      <c r="AB1540" s="45"/>
      <c r="AD1540" s="189"/>
      <c r="AE1540" s="189"/>
      <c r="AF1540" s="189"/>
      <c r="AG1540" s="189"/>
      <c r="AH1540" s="189"/>
      <c r="AI1540" s="45"/>
      <c r="AJ1540" s="45"/>
    </row>
    <row r="1541" spans="16:36" x14ac:dyDescent="0.2">
      <c r="P1541" s="73"/>
      <c r="AA1541" s="45"/>
      <c r="AB1541" s="45"/>
      <c r="AD1541" s="189"/>
      <c r="AE1541" s="189"/>
      <c r="AF1541" s="189"/>
      <c r="AG1541" s="189"/>
      <c r="AH1541" s="189"/>
      <c r="AI1541" s="45"/>
      <c r="AJ1541" s="45"/>
    </row>
    <row r="1542" spans="16:36" x14ac:dyDescent="0.2">
      <c r="P1542" s="73"/>
      <c r="AA1542" s="45"/>
      <c r="AB1542" s="45"/>
      <c r="AD1542" s="189"/>
      <c r="AE1542" s="189"/>
      <c r="AF1542" s="189"/>
      <c r="AG1542" s="189"/>
      <c r="AH1542" s="189"/>
      <c r="AI1542" s="45"/>
      <c r="AJ1542" s="45"/>
    </row>
    <row r="1543" spans="16:36" x14ac:dyDescent="0.2">
      <c r="P1543" s="73"/>
      <c r="AA1543" s="45"/>
      <c r="AB1543" s="45"/>
      <c r="AD1543" s="189"/>
      <c r="AE1543" s="189"/>
      <c r="AF1543" s="189"/>
      <c r="AG1543" s="189"/>
      <c r="AH1543" s="189"/>
      <c r="AI1543" s="45"/>
      <c r="AJ1543" s="45"/>
    </row>
    <row r="1544" spans="16:36" x14ac:dyDescent="0.2">
      <c r="P1544" s="73"/>
      <c r="AA1544" s="45"/>
      <c r="AB1544" s="45"/>
      <c r="AD1544" s="189"/>
      <c r="AE1544" s="189"/>
      <c r="AF1544" s="189"/>
      <c r="AG1544" s="189"/>
      <c r="AH1544" s="189"/>
      <c r="AI1544" s="45"/>
      <c r="AJ1544" s="45"/>
    </row>
    <row r="1545" spans="16:36" x14ac:dyDescent="0.2">
      <c r="P1545" s="73"/>
      <c r="AA1545" s="45"/>
      <c r="AB1545" s="45"/>
      <c r="AD1545" s="189"/>
      <c r="AE1545" s="189"/>
      <c r="AF1545" s="189"/>
      <c r="AG1545" s="189"/>
      <c r="AH1545" s="189"/>
      <c r="AI1545" s="45"/>
      <c r="AJ1545" s="45"/>
    </row>
    <row r="1546" spans="16:36" x14ac:dyDescent="0.2">
      <c r="P1546" s="73"/>
      <c r="AA1546" s="45"/>
      <c r="AB1546" s="45"/>
      <c r="AD1546" s="189"/>
      <c r="AE1546" s="189"/>
      <c r="AF1546" s="189"/>
      <c r="AG1546" s="189"/>
      <c r="AH1546" s="189"/>
      <c r="AI1546" s="45"/>
      <c r="AJ1546" s="45"/>
    </row>
    <row r="1547" spans="16:36" x14ac:dyDescent="0.2">
      <c r="P1547" s="73"/>
      <c r="AA1547" s="45"/>
      <c r="AB1547" s="45"/>
      <c r="AD1547" s="189"/>
      <c r="AE1547" s="189"/>
      <c r="AF1547" s="189"/>
      <c r="AG1547" s="189"/>
      <c r="AH1547" s="189"/>
      <c r="AI1547" s="45"/>
      <c r="AJ1547" s="45"/>
    </row>
    <row r="1548" spans="16:36" x14ac:dyDescent="0.2">
      <c r="P1548" s="73"/>
      <c r="AA1548" s="45"/>
      <c r="AB1548" s="45"/>
      <c r="AD1548" s="189"/>
      <c r="AE1548" s="189"/>
      <c r="AF1548" s="189"/>
      <c r="AG1548" s="189"/>
      <c r="AH1548" s="189"/>
      <c r="AI1548" s="45"/>
      <c r="AJ1548" s="45"/>
    </row>
    <row r="1549" spans="16:36" x14ac:dyDescent="0.2">
      <c r="P1549" s="73"/>
      <c r="AA1549" s="45"/>
      <c r="AB1549" s="45"/>
      <c r="AD1549" s="189"/>
      <c r="AE1549" s="189"/>
      <c r="AF1549" s="189"/>
      <c r="AG1549" s="189"/>
      <c r="AH1549" s="189"/>
      <c r="AI1549" s="45"/>
      <c r="AJ1549" s="45"/>
    </row>
    <row r="1550" spans="16:36" x14ac:dyDescent="0.2">
      <c r="P1550" s="73"/>
      <c r="AA1550" s="45"/>
      <c r="AB1550" s="45"/>
      <c r="AD1550" s="189"/>
      <c r="AE1550" s="189"/>
      <c r="AF1550" s="189"/>
      <c r="AG1550" s="189"/>
      <c r="AH1550" s="189"/>
      <c r="AI1550" s="45"/>
      <c r="AJ1550" s="45"/>
    </row>
    <row r="1551" spans="16:36" x14ac:dyDescent="0.2">
      <c r="P1551" s="73"/>
      <c r="AA1551" s="45"/>
      <c r="AB1551" s="45"/>
      <c r="AD1551" s="189"/>
      <c r="AE1551" s="189"/>
      <c r="AF1551" s="189"/>
      <c r="AG1551" s="189"/>
      <c r="AH1551" s="189"/>
      <c r="AI1551" s="45"/>
      <c r="AJ1551" s="45"/>
    </row>
    <row r="1552" spans="16:36" x14ac:dyDescent="0.2">
      <c r="P1552" s="73"/>
      <c r="AA1552" s="45"/>
      <c r="AB1552" s="45"/>
      <c r="AD1552" s="189"/>
      <c r="AE1552" s="189"/>
      <c r="AF1552" s="189"/>
      <c r="AG1552" s="189"/>
      <c r="AH1552" s="189"/>
      <c r="AI1552" s="45"/>
      <c r="AJ1552" s="45"/>
    </row>
    <row r="1553" spans="16:36" x14ac:dyDescent="0.2">
      <c r="P1553" s="73"/>
      <c r="AA1553" s="45"/>
      <c r="AB1553" s="45"/>
      <c r="AD1553" s="189"/>
      <c r="AE1553" s="189"/>
      <c r="AF1553" s="189"/>
      <c r="AG1553" s="189"/>
      <c r="AH1553" s="189"/>
      <c r="AI1553" s="45"/>
      <c r="AJ1553" s="45"/>
    </row>
    <row r="1554" spans="16:36" x14ac:dyDescent="0.2">
      <c r="P1554" s="73"/>
      <c r="AA1554" s="45"/>
      <c r="AB1554" s="45"/>
      <c r="AD1554" s="189"/>
      <c r="AE1554" s="189"/>
      <c r="AF1554" s="189"/>
      <c r="AG1554" s="189"/>
      <c r="AH1554" s="189"/>
      <c r="AI1554" s="45"/>
      <c r="AJ1554" s="45"/>
    </row>
    <row r="1555" spans="16:36" x14ac:dyDescent="0.2">
      <c r="P1555" s="73"/>
      <c r="AA1555" s="45"/>
      <c r="AB1555" s="45"/>
      <c r="AD1555" s="189"/>
      <c r="AE1555" s="189"/>
      <c r="AF1555" s="189"/>
      <c r="AG1555" s="189"/>
      <c r="AH1555" s="189"/>
      <c r="AI1555" s="45"/>
      <c r="AJ1555" s="45"/>
    </row>
    <row r="1556" spans="16:36" x14ac:dyDescent="0.2">
      <c r="P1556" s="73"/>
      <c r="AA1556" s="45"/>
      <c r="AB1556" s="45"/>
      <c r="AD1556" s="189"/>
      <c r="AE1556" s="189"/>
      <c r="AF1556" s="189"/>
      <c r="AG1556" s="189"/>
      <c r="AH1556" s="189"/>
      <c r="AI1556" s="45"/>
      <c r="AJ1556" s="45"/>
    </row>
    <row r="1557" spans="16:36" x14ac:dyDescent="0.2">
      <c r="P1557" s="73"/>
      <c r="AA1557" s="45"/>
      <c r="AB1557" s="45"/>
      <c r="AD1557" s="189"/>
      <c r="AE1557" s="189"/>
      <c r="AF1557" s="189"/>
      <c r="AG1557" s="189"/>
      <c r="AH1557" s="189"/>
      <c r="AI1557" s="45"/>
      <c r="AJ1557" s="45"/>
    </row>
    <row r="1558" spans="16:36" x14ac:dyDescent="0.2">
      <c r="P1558" s="73"/>
      <c r="AA1558" s="45"/>
      <c r="AB1558" s="45"/>
      <c r="AD1558" s="189"/>
      <c r="AE1558" s="189"/>
      <c r="AF1558" s="189"/>
      <c r="AG1558" s="189"/>
      <c r="AH1558" s="189"/>
      <c r="AI1558" s="45"/>
      <c r="AJ1558" s="45"/>
    </row>
    <row r="1559" spans="16:36" x14ac:dyDescent="0.2">
      <c r="P1559" s="73"/>
      <c r="AA1559" s="45"/>
      <c r="AB1559" s="45"/>
      <c r="AD1559" s="189"/>
      <c r="AE1559" s="189"/>
      <c r="AF1559" s="189"/>
      <c r="AG1559" s="189"/>
      <c r="AH1559" s="189"/>
      <c r="AI1559" s="45"/>
      <c r="AJ1559" s="45"/>
    </row>
    <row r="1560" spans="16:36" x14ac:dyDescent="0.2">
      <c r="P1560" s="73"/>
      <c r="AA1560" s="45"/>
      <c r="AB1560" s="45"/>
      <c r="AD1560" s="189"/>
      <c r="AE1560" s="189"/>
      <c r="AF1560" s="189"/>
      <c r="AG1560" s="189"/>
      <c r="AH1560" s="189"/>
      <c r="AI1560" s="45"/>
      <c r="AJ1560" s="45"/>
    </row>
    <row r="1561" spans="16:36" x14ac:dyDescent="0.2">
      <c r="P1561" s="73"/>
      <c r="AA1561" s="45"/>
      <c r="AB1561" s="45"/>
      <c r="AD1561" s="189"/>
      <c r="AE1561" s="189"/>
      <c r="AF1561" s="189"/>
      <c r="AG1561" s="189"/>
      <c r="AH1561" s="189"/>
      <c r="AI1561" s="45"/>
      <c r="AJ1561" s="45"/>
    </row>
    <row r="1562" spans="16:36" x14ac:dyDescent="0.2">
      <c r="P1562" s="73"/>
      <c r="AA1562" s="45"/>
      <c r="AB1562" s="45"/>
      <c r="AD1562" s="189"/>
      <c r="AE1562" s="189"/>
      <c r="AF1562" s="189"/>
      <c r="AG1562" s="189"/>
      <c r="AH1562" s="189"/>
      <c r="AI1562" s="45"/>
      <c r="AJ1562" s="45"/>
    </row>
    <row r="1563" spans="16:36" x14ac:dyDescent="0.2">
      <c r="P1563" s="73"/>
      <c r="AA1563" s="45"/>
      <c r="AB1563" s="45"/>
      <c r="AD1563" s="189"/>
      <c r="AE1563" s="189"/>
      <c r="AF1563" s="189"/>
      <c r="AG1563" s="189"/>
      <c r="AH1563" s="189"/>
      <c r="AI1563" s="45"/>
      <c r="AJ1563" s="45"/>
    </row>
    <row r="1564" spans="16:36" x14ac:dyDescent="0.2">
      <c r="P1564" s="73"/>
      <c r="AA1564" s="45"/>
      <c r="AB1564" s="45"/>
      <c r="AD1564" s="189"/>
      <c r="AE1564" s="189"/>
      <c r="AF1564" s="189"/>
      <c r="AG1564" s="189"/>
      <c r="AH1564" s="189"/>
      <c r="AI1564" s="45"/>
      <c r="AJ1564" s="45"/>
    </row>
    <row r="1565" spans="16:36" x14ac:dyDescent="0.2">
      <c r="P1565" s="73"/>
      <c r="AA1565" s="45"/>
      <c r="AB1565" s="45"/>
      <c r="AD1565" s="189"/>
      <c r="AE1565" s="189"/>
      <c r="AF1565" s="189"/>
      <c r="AG1565" s="189"/>
      <c r="AH1565" s="189"/>
      <c r="AI1565" s="45"/>
      <c r="AJ1565" s="45"/>
    </row>
    <row r="1566" spans="16:36" x14ac:dyDescent="0.2">
      <c r="P1566" s="73"/>
      <c r="AA1566" s="45"/>
      <c r="AB1566" s="45"/>
      <c r="AD1566" s="189"/>
      <c r="AE1566" s="189"/>
      <c r="AF1566" s="189"/>
      <c r="AG1566" s="189"/>
      <c r="AH1566" s="189"/>
      <c r="AI1566" s="45"/>
      <c r="AJ1566" s="45"/>
    </row>
    <row r="1567" spans="16:36" x14ac:dyDescent="0.2">
      <c r="P1567" s="73"/>
      <c r="AA1567" s="45"/>
      <c r="AB1567" s="45"/>
      <c r="AD1567" s="189"/>
      <c r="AE1567" s="189"/>
      <c r="AF1567" s="189"/>
      <c r="AG1567" s="189"/>
      <c r="AH1567" s="189"/>
      <c r="AI1567" s="45"/>
      <c r="AJ1567" s="45"/>
    </row>
    <row r="1568" spans="16:36" x14ac:dyDescent="0.2">
      <c r="P1568" s="73"/>
      <c r="AA1568" s="45"/>
      <c r="AB1568" s="45"/>
      <c r="AD1568" s="189"/>
      <c r="AE1568" s="189"/>
      <c r="AF1568" s="189"/>
      <c r="AG1568" s="189"/>
      <c r="AH1568" s="189"/>
      <c r="AI1568" s="45"/>
      <c r="AJ1568" s="45"/>
    </row>
    <row r="1569" spans="16:36" x14ac:dyDescent="0.2">
      <c r="P1569" s="73"/>
      <c r="AA1569" s="45"/>
      <c r="AB1569" s="45"/>
      <c r="AD1569" s="189"/>
      <c r="AE1569" s="189"/>
      <c r="AF1569" s="189"/>
      <c r="AG1569" s="189"/>
      <c r="AH1569" s="189"/>
      <c r="AI1569" s="45"/>
      <c r="AJ1569" s="45"/>
    </row>
    <row r="1570" spans="16:36" x14ac:dyDescent="0.2">
      <c r="P1570" s="73"/>
      <c r="AA1570" s="45"/>
      <c r="AB1570" s="45"/>
      <c r="AD1570" s="189"/>
      <c r="AE1570" s="189"/>
      <c r="AF1570" s="189"/>
      <c r="AG1570" s="189"/>
      <c r="AH1570" s="189"/>
      <c r="AI1570" s="45"/>
      <c r="AJ1570" s="45"/>
    </row>
    <row r="1571" spans="16:36" x14ac:dyDescent="0.2">
      <c r="P1571" s="73"/>
      <c r="AA1571" s="45"/>
      <c r="AB1571" s="45"/>
      <c r="AD1571" s="189"/>
      <c r="AE1571" s="189"/>
      <c r="AF1571" s="189"/>
      <c r="AG1571" s="189"/>
      <c r="AH1571" s="189"/>
      <c r="AI1571" s="45"/>
      <c r="AJ1571" s="45"/>
    </row>
    <row r="1572" spans="16:36" x14ac:dyDescent="0.2">
      <c r="P1572" s="73"/>
      <c r="AA1572" s="45"/>
      <c r="AB1572" s="45"/>
      <c r="AD1572" s="189"/>
      <c r="AE1572" s="189"/>
      <c r="AF1572" s="189"/>
      <c r="AG1572" s="189"/>
      <c r="AH1572" s="189"/>
      <c r="AI1572" s="45"/>
      <c r="AJ1572" s="45"/>
    </row>
    <row r="1573" spans="16:36" x14ac:dyDescent="0.2">
      <c r="P1573" s="73"/>
      <c r="AA1573" s="45"/>
      <c r="AB1573" s="45"/>
      <c r="AD1573" s="189"/>
      <c r="AE1573" s="189"/>
      <c r="AF1573" s="189"/>
      <c r="AG1573" s="189"/>
      <c r="AH1573" s="189"/>
      <c r="AI1573" s="45"/>
      <c r="AJ1573" s="45"/>
    </row>
    <row r="1574" spans="16:36" x14ac:dyDescent="0.2">
      <c r="P1574" s="73"/>
      <c r="AA1574" s="45"/>
      <c r="AB1574" s="45"/>
      <c r="AD1574" s="189"/>
      <c r="AE1574" s="189"/>
      <c r="AF1574" s="189"/>
      <c r="AG1574" s="189"/>
      <c r="AH1574" s="189"/>
      <c r="AI1574" s="45"/>
      <c r="AJ1574" s="45"/>
    </row>
    <row r="1575" spans="16:36" x14ac:dyDescent="0.2">
      <c r="P1575" s="73"/>
      <c r="AA1575" s="45"/>
      <c r="AB1575" s="45"/>
      <c r="AD1575" s="189"/>
      <c r="AE1575" s="189"/>
      <c r="AF1575" s="189"/>
      <c r="AG1575" s="189"/>
      <c r="AH1575" s="189"/>
      <c r="AI1575" s="45"/>
      <c r="AJ1575" s="45"/>
    </row>
    <row r="1576" spans="16:36" x14ac:dyDescent="0.2">
      <c r="P1576" s="73"/>
      <c r="AA1576" s="45"/>
      <c r="AB1576" s="45"/>
      <c r="AD1576" s="189"/>
      <c r="AE1576" s="189"/>
      <c r="AF1576" s="189"/>
      <c r="AG1576" s="189"/>
      <c r="AH1576" s="189"/>
      <c r="AI1576" s="45"/>
      <c r="AJ1576" s="45"/>
    </row>
    <row r="1577" spans="16:36" x14ac:dyDescent="0.2">
      <c r="P1577" s="73"/>
      <c r="AA1577" s="45"/>
      <c r="AB1577" s="45"/>
      <c r="AD1577" s="189"/>
      <c r="AE1577" s="189"/>
      <c r="AF1577" s="189"/>
      <c r="AG1577" s="189"/>
      <c r="AH1577" s="189"/>
      <c r="AI1577" s="45"/>
      <c r="AJ1577" s="45"/>
    </row>
    <row r="1578" spans="16:36" x14ac:dyDescent="0.2">
      <c r="P1578" s="73"/>
      <c r="AA1578" s="45"/>
      <c r="AB1578" s="45"/>
      <c r="AD1578" s="189"/>
      <c r="AE1578" s="189"/>
      <c r="AF1578" s="189"/>
      <c r="AG1578" s="189"/>
      <c r="AH1578" s="189"/>
      <c r="AI1578" s="45"/>
      <c r="AJ1578" s="45"/>
    </row>
    <row r="1579" spans="16:36" x14ac:dyDescent="0.2">
      <c r="P1579" s="73"/>
      <c r="AA1579" s="45"/>
      <c r="AB1579" s="45"/>
      <c r="AD1579" s="189"/>
      <c r="AE1579" s="189"/>
      <c r="AF1579" s="189"/>
      <c r="AG1579" s="189"/>
      <c r="AH1579" s="189"/>
      <c r="AI1579" s="45"/>
      <c r="AJ1579" s="45"/>
    </row>
    <row r="1580" spans="16:36" x14ac:dyDescent="0.2">
      <c r="P1580" s="73"/>
      <c r="AA1580" s="45"/>
      <c r="AB1580" s="45"/>
      <c r="AD1580" s="189"/>
      <c r="AE1580" s="189"/>
      <c r="AF1580" s="189"/>
      <c r="AG1580" s="189"/>
      <c r="AH1580" s="189"/>
      <c r="AI1580" s="45"/>
      <c r="AJ1580" s="45"/>
    </row>
    <row r="1581" spans="16:36" x14ac:dyDescent="0.2">
      <c r="P1581" s="73"/>
      <c r="AA1581" s="45"/>
      <c r="AB1581" s="45"/>
      <c r="AD1581" s="189"/>
      <c r="AE1581" s="189"/>
      <c r="AF1581" s="189"/>
      <c r="AG1581" s="189"/>
      <c r="AH1581" s="189"/>
      <c r="AI1581" s="45"/>
      <c r="AJ1581" s="45"/>
    </row>
    <row r="1582" spans="16:36" x14ac:dyDescent="0.2">
      <c r="P1582" s="73"/>
      <c r="AA1582" s="45"/>
      <c r="AB1582" s="45"/>
      <c r="AD1582" s="189"/>
      <c r="AE1582" s="189"/>
      <c r="AF1582" s="189"/>
      <c r="AG1582" s="189"/>
      <c r="AH1582" s="189"/>
      <c r="AI1582" s="45"/>
      <c r="AJ1582" s="45"/>
    </row>
    <row r="1583" spans="16:36" x14ac:dyDescent="0.2">
      <c r="P1583" s="73"/>
      <c r="AA1583" s="45"/>
      <c r="AB1583" s="45"/>
      <c r="AD1583" s="189"/>
      <c r="AE1583" s="189"/>
      <c r="AF1583" s="189"/>
      <c r="AG1583" s="189"/>
      <c r="AH1583" s="189"/>
      <c r="AI1583" s="45"/>
      <c r="AJ1583" s="45"/>
    </row>
    <row r="1584" spans="16:36" x14ac:dyDescent="0.2">
      <c r="P1584" s="73"/>
      <c r="AA1584" s="45"/>
      <c r="AB1584" s="45"/>
      <c r="AD1584" s="189"/>
      <c r="AE1584" s="189"/>
      <c r="AF1584" s="189"/>
      <c r="AG1584" s="189"/>
      <c r="AH1584" s="189"/>
      <c r="AI1584" s="45"/>
      <c r="AJ1584" s="45"/>
    </row>
    <row r="1585" spans="16:36" x14ac:dyDescent="0.2">
      <c r="P1585" s="73"/>
      <c r="AA1585" s="45"/>
      <c r="AB1585" s="45"/>
      <c r="AD1585" s="189"/>
      <c r="AE1585" s="189"/>
      <c r="AF1585" s="189"/>
      <c r="AG1585" s="189"/>
      <c r="AH1585" s="189"/>
      <c r="AI1585" s="45"/>
      <c r="AJ1585" s="45"/>
    </row>
    <row r="1586" spans="16:36" x14ac:dyDescent="0.2">
      <c r="P1586" s="73"/>
      <c r="AA1586" s="45"/>
      <c r="AB1586" s="45"/>
      <c r="AD1586" s="189"/>
      <c r="AE1586" s="189"/>
      <c r="AF1586" s="189"/>
      <c r="AG1586" s="189"/>
      <c r="AH1586" s="189"/>
      <c r="AI1586" s="45"/>
      <c r="AJ1586" s="45"/>
    </row>
    <row r="1587" spans="16:36" x14ac:dyDescent="0.2">
      <c r="P1587" s="73"/>
      <c r="AA1587" s="45"/>
      <c r="AB1587" s="45"/>
      <c r="AD1587" s="189"/>
      <c r="AE1587" s="189"/>
      <c r="AF1587" s="189"/>
      <c r="AG1587" s="189"/>
      <c r="AH1587" s="189"/>
      <c r="AI1587" s="45"/>
      <c r="AJ1587" s="45"/>
    </row>
    <row r="1588" spans="16:36" x14ac:dyDescent="0.2">
      <c r="P1588" s="73"/>
      <c r="AA1588" s="45"/>
      <c r="AB1588" s="45"/>
      <c r="AD1588" s="189"/>
      <c r="AE1588" s="189"/>
      <c r="AF1588" s="189"/>
      <c r="AG1588" s="189"/>
      <c r="AH1588" s="189"/>
      <c r="AI1588" s="45"/>
      <c r="AJ1588" s="45"/>
    </row>
    <row r="1589" spans="16:36" x14ac:dyDescent="0.2">
      <c r="P1589" s="73"/>
      <c r="AA1589" s="45"/>
      <c r="AB1589" s="45"/>
      <c r="AD1589" s="189"/>
      <c r="AE1589" s="189"/>
      <c r="AF1589" s="189"/>
      <c r="AG1589" s="189"/>
      <c r="AH1589" s="189"/>
      <c r="AI1589" s="45"/>
      <c r="AJ1589" s="45"/>
    </row>
    <row r="1590" spans="16:36" x14ac:dyDescent="0.2">
      <c r="P1590" s="73"/>
      <c r="AA1590" s="45"/>
      <c r="AB1590" s="45"/>
      <c r="AD1590" s="189"/>
      <c r="AE1590" s="189"/>
      <c r="AF1590" s="189"/>
      <c r="AG1590" s="189"/>
      <c r="AH1590" s="189"/>
      <c r="AI1590" s="45"/>
      <c r="AJ1590" s="45"/>
    </row>
    <row r="1591" spans="16:36" x14ac:dyDescent="0.2">
      <c r="P1591" s="73"/>
      <c r="AA1591" s="45"/>
      <c r="AB1591" s="45"/>
      <c r="AD1591" s="189"/>
      <c r="AE1591" s="189"/>
      <c r="AF1591" s="189"/>
      <c r="AG1591" s="189"/>
      <c r="AH1591" s="189"/>
      <c r="AI1591" s="45"/>
      <c r="AJ1591" s="45"/>
    </row>
    <row r="1592" spans="16:36" x14ac:dyDescent="0.2">
      <c r="P1592" s="73"/>
      <c r="AA1592" s="45"/>
      <c r="AB1592" s="45"/>
      <c r="AD1592" s="189"/>
      <c r="AE1592" s="189"/>
      <c r="AF1592" s="189"/>
      <c r="AG1592" s="189"/>
      <c r="AH1592" s="189"/>
      <c r="AI1592" s="45"/>
      <c r="AJ1592" s="45"/>
    </row>
    <row r="1593" spans="16:36" x14ac:dyDescent="0.2">
      <c r="P1593" s="73"/>
      <c r="AA1593" s="45"/>
      <c r="AB1593" s="45"/>
      <c r="AD1593" s="189"/>
      <c r="AE1593" s="189"/>
      <c r="AF1593" s="189"/>
      <c r="AG1593" s="189"/>
      <c r="AH1593" s="189"/>
      <c r="AI1593" s="45"/>
      <c r="AJ1593" s="45"/>
    </row>
    <row r="1594" spans="16:36" x14ac:dyDescent="0.2">
      <c r="P1594" s="73"/>
      <c r="AA1594" s="45"/>
      <c r="AB1594" s="45"/>
      <c r="AD1594" s="189"/>
      <c r="AE1594" s="189"/>
      <c r="AF1594" s="189"/>
      <c r="AG1594" s="189"/>
      <c r="AH1594" s="189"/>
      <c r="AI1594" s="45"/>
      <c r="AJ1594" s="45"/>
    </row>
    <row r="1595" spans="16:36" x14ac:dyDescent="0.2">
      <c r="P1595" s="73"/>
      <c r="AA1595" s="45"/>
      <c r="AB1595" s="45"/>
      <c r="AD1595" s="189"/>
      <c r="AE1595" s="189"/>
      <c r="AF1595" s="189"/>
      <c r="AG1595" s="189"/>
      <c r="AH1595" s="189"/>
      <c r="AI1595" s="45"/>
      <c r="AJ1595" s="45"/>
    </row>
    <row r="1596" spans="16:36" x14ac:dyDescent="0.2">
      <c r="P1596" s="73"/>
      <c r="AA1596" s="45"/>
      <c r="AB1596" s="45"/>
      <c r="AD1596" s="189"/>
      <c r="AE1596" s="189"/>
      <c r="AF1596" s="189"/>
      <c r="AG1596" s="189"/>
      <c r="AH1596" s="189"/>
      <c r="AI1596" s="45"/>
      <c r="AJ1596" s="45"/>
    </row>
    <row r="1597" spans="16:36" x14ac:dyDescent="0.2">
      <c r="P1597" s="73"/>
      <c r="AA1597" s="45"/>
      <c r="AB1597" s="45"/>
      <c r="AD1597" s="189"/>
      <c r="AE1597" s="189"/>
      <c r="AF1597" s="189"/>
      <c r="AG1597" s="189"/>
      <c r="AH1597" s="189"/>
      <c r="AI1597" s="45"/>
      <c r="AJ1597" s="45"/>
    </row>
    <row r="1598" spans="16:36" x14ac:dyDescent="0.2">
      <c r="P1598" s="73"/>
      <c r="AA1598" s="45"/>
      <c r="AB1598" s="45"/>
      <c r="AD1598" s="189"/>
      <c r="AE1598" s="189"/>
      <c r="AF1598" s="189"/>
      <c r="AG1598" s="189"/>
      <c r="AH1598" s="189"/>
      <c r="AI1598" s="45"/>
      <c r="AJ1598" s="45"/>
    </row>
    <row r="1599" spans="16:36" x14ac:dyDescent="0.2">
      <c r="P1599" s="73"/>
      <c r="AA1599" s="45"/>
      <c r="AB1599" s="45"/>
      <c r="AD1599" s="189"/>
      <c r="AE1599" s="189"/>
      <c r="AF1599" s="189"/>
      <c r="AG1599" s="189"/>
      <c r="AH1599" s="189"/>
      <c r="AI1599" s="45"/>
      <c r="AJ1599" s="45"/>
    </row>
    <row r="1600" spans="16:36" x14ac:dyDescent="0.2">
      <c r="P1600" s="73"/>
      <c r="AA1600" s="45"/>
      <c r="AB1600" s="45"/>
      <c r="AD1600" s="189"/>
      <c r="AE1600" s="189"/>
      <c r="AF1600" s="189"/>
      <c r="AG1600" s="189"/>
      <c r="AH1600" s="189"/>
      <c r="AI1600" s="45"/>
      <c r="AJ1600" s="45"/>
    </row>
    <row r="1601" spans="16:36" x14ac:dyDescent="0.2">
      <c r="P1601" s="73"/>
      <c r="AA1601" s="45"/>
      <c r="AB1601" s="45"/>
      <c r="AD1601" s="189"/>
      <c r="AE1601" s="189"/>
      <c r="AF1601" s="189"/>
      <c r="AG1601" s="189"/>
      <c r="AH1601" s="189"/>
      <c r="AI1601" s="45"/>
      <c r="AJ1601" s="45"/>
    </row>
    <row r="1602" spans="16:36" x14ac:dyDescent="0.2">
      <c r="P1602" s="73"/>
      <c r="AA1602" s="45"/>
      <c r="AB1602" s="45"/>
      <c r="AD1602" s="189"/>
      <c r="AE1602" s="189"/>
      <c r="AF1602" s="189"/>
      <c r="AG1602" s="189"/>
      <c r="AH1602" s="189"/>
      <c r="AI1602" s="45"/>
      <c r="AJ1602" s="45"/>
    </row>
    <row r="1603" spans="16:36" x14ac:dyDescent="0.2">
      <c r="P1603" s="73"/>
      <c r="AA1603" s="45"/>
      <c r="AB1603" s="45"/>
      <c r="AD1603" s="189"/>
      <c r="AE1603" s="189"/>
      <c r="AF1603" s="189"/>
      <c r="AG1603" s="189"/>
      <c r="AH1603" s="189"/>
      <c r="AI1603" s="45"/>
      <c r="AJ1603" s="45"/>
    </row>
    <row r="1604" spans="16:36" x14ac:dyDescent="0.2">
      <c r="P1604" s="73"/>
      <c r="AA1604" s="45"/>
      <c r="AB1604" s="45"/>
      <c r="AD1604" s="189"/>
      <c r="AE1604" s="189"/>
      <c r="AF1604" s="189"/>
      <c r="AG1604" s="189"/>
      <c r="AH1604" s="189"/>
      <c r="AI1604" s="45"/>
      <c r="AJ1604" s="45"/>
    </row>
    <row r="1605" spans="16:36" x14ac:dyDescent="0.2">
      <c r="P1605" s="73"/>
      <c r="AA1605" s="45"/>
      <c r="AB1605" s="45"/>
      <c r="AD1605" s="189"/>
      <c r="AE1605" s="189"/>
      <c r="AF1605" s="189"/>
      <c r="AG1605" s="189"/>
      <c r="AH1605" s="189"/>
      <c r="AI1605" s="45"/>
      <c r="AJ1605" s="45"/>
    </row>
    <row r="1606" spans="16:36" x14ac:dyDescent="0.2">
      <c r="P1606" s="73"/>
      <c r="AA1606" s="45"/>
      <c r="AB1606" s="45"/>
      <c r="AD1606" s="189"/>
      <c r="AE1606" s="189"/>
      <c r="AF1606" s="189"/>
      <c r="AG1606" s="189"/>
      <c r="AH1606" s="189"/>
      <c r="AI1606" s="45"/>
      <c r="AJ1606" s="45"/>
    </row>
    <row r="1607" spans="16:36" x14ac:dyDescent="0.2">
      <c r="P1607" s="73"/>
      <c r="AA1607" s="45"/>
      <c r="AB1607" s="45"/>
      <c r="AD1607" s="189"/>
      <c r="AE1607" s="189"/>
      <c r="AF1607" s="189"/>
      <c r="AG1607" s="189"/>
      <c r="AH1607" s="189"/>
      <c r="AI1607" s="45"/>
      <c r="AJ1607" s="45"/>
    </row>
    <row r="1608" spans="16:36" x14ac:dyDescent="0.2">
      <c r="P1608" s="73"/>
      <c r="AA1608" s="45"/>
      <c r="AB1608" s="45"/>
      <c r="AD1608" s="189"/>
      <c r="AE1608" s="189"/>
      <c r="AF1608" s="189"/>
      <c r="AG1608" s="189"/>
      <c r="AH1608" s="189"/>
      <c r="AI1608" s="45"/>
      <c r="AJ1608" s="45"/>
    </row>
    <row r="1609" spans="16:36" x14ac:dyDescent="0.2">
      <c r="P1609" s="73"/>
      <c r="AA1609" s="45"/>
      <c r="AB1609" s="45"/>
      <c r="AD1609" s="189"/>
      <c r="AE1609" s="189"/>
      <c r="AF1609" s="189"/>
      <c r="AG1609" s="189"/>
      <c r="AH1609" s="189"/>
      <c r="AI1609" s="45"/>
      <c r="AJ1609" s="45"/>
    </row>
    <row r="1610" spans="16:36" x14ac:dyDescent="0.2">
      <c r="P1610" s="73"/>
      <c r="AA1610" s="45"/>
      <c r="AB1610" s="45"/>
      <c r="AD1610" s="189"/>
      <c r="AE1610" s="189"/>
      <c r="AF1610" s="189"/>
      <c r="AG1610" s="189"/>
      <c r="AH1610" s="189"/>
      <c r="AI1610" s="45"/>
      <c r="AJ1610" s="45"/>
    </row>
    <row r="1611" spans="16:36" x14ac:dyDescent="0.2">
      <c r="P1611" s="73"/>
      <c r="AA1611" s="45"/>
      <c r="AB1611" s="45"/>
      <c r="AD1611" s="189"/>
      <c r="AE1611" s="189"/>
      <c r="AF1611" s="189"/>
      <c r="AG1611" s="189"/>
      <c r="AH1611" s="189"/>
      <c r="AI1611" s="45"/>
      <c r="AJ1611" s="45"/>
    </row>
    <row r="1612" spans="16:36" x14ac:dyDescent="0.2">
      <c r="P1612" s="73"/>
      <c r="AA1612" s="45"/>
      <c r="AB1612" s="45"/>
      <c r="AD1612" s="189"/>
      <c r="AE1612" s="189"/>
      <c r="AF1612" s="189"/>
      <c r="AG1612" s="189"/>
      <c r="AH1612" s="189"/>
      <c r="AI1612" s="45"/>
      <c r="AJ1612" s="45"/>
    </row>
    <row r="1613" spans="16:36" x14ac:dyDescent="0.2">
      <c r="P1613" s="73"/>
      <c r="AA1613" s="45"/>
      <c r="AB1613" s="45"/>
      <c r="AD1613" s="189"/>
      <c r="AE1613" s="189"/>
      <c r="AF1613" s="189"/>
      <c r="AG1613" s="189"/>
      <c r="AH1613" s="189"/>
      <c r="AI1613" s="45"/>
      <c r="AJ1613" s="45"/>
    </row>
    <row r="1614" spans="16:36" x14ac:dyDescent="0.2">
      <c r="P1614" s="73"/>
      <c r="AA1614" s="45"/>
      <c r="AB1614" s="45"/>
      <c r="AD1614" s="189"/>
      <c r="AE1614" s="189"/>
      <c r="AF1614" s="189"/>
      <c r="AG1614" s="189"/>
      <c r="AH1614" s="189"/>
      <c r="AI1614" s="45"/>
      <c r="AJ1614" s="45"/>
    </row>
    <row r="1615" spans="16:36" x14ac:dyDescent="0.2">
      <c r="P1615" s="73"/>
      <c r="AA1615" s="45"/>
      <c r="AB1615" s="45"/>
      <c r="AD1615" s="189"/>
      <c r="AE1615" s="189"/>
      <c r="AF1615" s="189"/>
      <c r="AG1615" s="189"/>
      <c r="AH1615" s="189"/>
      <c r="AI1615" s="45"/>
      <c r="AJ1615" s="45"/>
    </row>
    <row r="1616" spans="16:36" x14ac:dyDescent="0.2">
      <c r="P1616" s="73"/>
      <c r="AA1616" s="45"/>
      <c r="AB1616" s="45"/>
      <c r="AD1616" s="189"/>
      <c r="AE1616" s="189"/>
      <c r="AF1616" s="189"/>
      <c r="AG1616" s="189"/>
      <c r="AH1616" s="189"/>
      <c r="AI1616" s="45"/>
      <c r="AJ1616" s="45"/>
    </row>
    <row r="1617" spans="16:36" x14ac:dyDescent="0.2">
      <c r="P1617" s="73"/>
      <c r="AA1617" s="45"/>
      <c r="AB1617" s="45"/>
      <c r="AD1617" s="189"/>
      <c r="AE1617" s="189"/>
      <c r="AF1617" s="189"/>
      <c r="AG1617" s="189"/>
      <c r="AH1617" s="189"/>
      <c r="AI1617" s="45"/>
      <c r="AJ1617" s="45"/>
    </row>
    <row r="1618" spans="16:36" x14ac:dyDescent="0.2">
      <c r="P1618" s="73"/>
      <c r="AA1618" s="45"/>
      <c r="AB1618" s="45"/>
      <c r="AD1618" s="189"/>
      <c r="AE1618" s="189"/>
      <c r="AF1618" s="189"/>
      <c r="AG1618" s="189"/>
      <c r="AH1618" s="189"/>
      <c r="AI1618" s="45"/>
      <c r="AJ1618" s="45"/>
    </row>
    <row r="1619" spans="16:36" x14ac:dyDescent="0.2">
      <c r="P1619" s="73"/>
      <c r="AA1619" s="45"/>
      <c r="AB1619" s="45"/>
      <c r="AD1619" s="189"/>
      <c r="AE1619" s="189"/>
      <c r="AF1619" s="189"/>
      <c r="AG1619" s="189"/>
      <c r="AH1619" s="189"/>
      <c r="AI1619" s="45"/>
      <c r="AJ1619" s="45"/>
    </row>
    <row r="1620" spans="16:36" x14ac:dyDescent="0.2">
      <c r="P1620" s="73"/>
      <c r="AA1620" s="45"/>
      <c r="AB1620" s="45"/>
      <c r="AD1620" s="189"/>
      <c r="AE1620" s="189"/>
      <c r="AF1620" s="189"/>
      <c r="AG1620" s="189"/>
      <c r="AH1620" s="189"/>
      <c r="AI1620" s="45"/>
      <c r="AJ1620" s="45"/>
    </row>
    <row r="1621" spans="16:36" x14ac:dyDescent="0.2">
      <c r="P1621" s="73"/>
      <c r="AA1621" s="45"/>
      <c r="AB1621" s="45"/>
      <c r="AD1621" s="189"/>
      <c r="AE1621" s="189"/>
      <c r="AF1621" s="189"/>
      <c r="AG1621" s="189"/>
      <c r="AH1621" s="189"/>
      <c r="AI1621" s="45"/>
      <c r="AJ1621" s="45"/>
    </row>
    <row r="1622" spans="16:36" x14ac:dyDescent="0.2">
      <c r="P1622" s="73"/>
      <c r="AA1622" s="45"/>
      <c r="AB1622" s="45"/>
      <c r="AD1622" s="189"/>
      <c r="AE1622" s="189"/>
      <c r="AF1622" s="189"/>
      <c r="AG1622" s="189"/>
      <c r="AH1622" s="189"/>
      <c r="AI1622" s="45"/>
      <c r="AJ1622" s="45"/>
    </row>
    <row r="1623" spans="16:36" x14ac:dyDescent="0.2">
      <c r="P1623" s="73"/>
      <c r="AA1623" s="45"/>
      <c r="AB1623" s="45"/>
      <c r="AD1623" s="189"/>
      <c r="AE1623" s="189"/>
      <c r="AF1623" s="189"/>
      <c r="AG1623" s="189"/>
      <c r="AH1623" s="189"/>
      <c r="AI1623" s="45"/>
      <c r="AJ1623" s="45"/>
    </row>
    <row r="1624" spans="16:36" x14ac:dyDescent="0.2">
      <c r="P1624" s="73"/>
      <c r="AA1624" s="45"/>
      <c r="AB1624" s="45"/>
      <c r="AD1624" s="189"/>
      <c r="AE1624" s="189"/>
      <c r="AF1624" s="189"/>
      <c r="AG1624" s="189"/>
      <c r="AH1624" s="189"/>
      <c r="AI1624" s="45"/>
      <c r="AJ1624" s="45"/>
    </row>
    <row r="1625" spans="16:36" x14ac:dyDescent="0.2">
      <c r="P1625" s="73"/>
      <c r="AA1625" s="45"/>
      <c r="AB1625" s="45"/>
      <c r="AD1625" s="189"/>
      <c r="AE1625" s="189"/>
      <c r="AF1625" s="189"/>
      <c r="AG1625" s="189"/>
      <c r="AH1625" s="189"/>
      <c r="AI1625" s="45"/>
      <c r="AJ1625" s="45"/>
    </row>
    <row r="1626" spans="16:36" x14ac:dyDescent="0.2">
      <c r="P1626" s="73"/>
      <c r="AA1626" s="45"/>
      <c r="AB1626" s="45"/>
      <c r="AD1626" s="189"/>
      <c r="AE1626" s="189"/>
      <c r="AF1626" s="189"/>
      <c r="AG1626" s="189"/>
      <c r="AH1626" s="189"/>
      <c r="AI1626" s="45"/>
      <c r="AJ1626" s="45"/>
    </row>
    <row r="1627" spans="16:36" x14ac:dyDescent="0.2">
      <c r="P1627" s="73"/>
      <c r="AA1627" s="45"/>
      <c r="AB1627" s="45"/>
      <c r="AD1627" s="189"/>
      <c r="AE1627" s="189"/>
      <c r="AF1627" s="189"/>
      <c r="AG1627" s="189"/>
      <c r="AH1627" s="189"/>
      <c r="AI1627" s="45"/>
      <c r="AJ1627" s="45"/>
    </row>
    <row r="1628" spans="16:36" x14ac:dyDescent="0.2">
      <c r="P1628" s="73"/>
      <c r="AA1628" s="45"/>
      <c r="AB1628" s="45"/>
      <c r="AD1628" s="189"/>
      <c r="AE1628" s="189"/>
      <c r="AF1628" s="189"/>
      <c r="AG1628" s="189"/>
      <c r="AH1628" s="189"/>
      <c r="AI1628" s="45"/>
      <c r="AJ1628" s="45"/>
    </row>
    <row r="1629" spans="16:36" x14ac:dyDescent="0.2">
      <c r="P1629" s="73"/>
      <c r="AA1629" s="45"/>
      <c r="AB1629" s="45"/>
      <c r="AD1629" s="189"/>
      <c r="AE1629" s="189"/>
      <c r="AF1629" s="189"/>
      <c r="AG1629" s="189"/>
      <c r="AH1629" s="189"/>
      <c r="AI1629" s="45"/>
      <c r="AJ1629" s="45"/>
    </row>
    <row r="1630" spans="16:36" x14ac:dyDescent="0.2">
      <c r="P1630" s="73"/>
      <c r="AA1630" s="45"/>
      <c r="AB1630" s="45"/>
      <c r="AD1630" s="189"/>
      <c r="AE1630" s="189"/>
      <c r="AF1630" s="189"/>
      <c r="AG1630" s="189"/>
      <c r="AH1630" s="189"/>
      <c r="AI1630" s="45"/>
      <c r="AJ1630" s="45"/>
    </row>
    <row r="1631" spans="16:36" x14ac:dyDescent="0.2">
      <c r="P1631" s="73"/>
      <c r="AA1631" s="45"/>
      <c r="AB1631" s="45"/>
      <c r="AD1631" s="189"/>
      <c r="AE1631" s="189"/>
      <c r="AF1631" s="189"/>
      <c r="AG1631" s="189"/>
      <c r="AH1631" s="189"/>
      <c r="AI1631" s="45"/>
      <c r="AJ1631" s="45"/>
    </row>
    <row r="1632" spans="16:36" x14ac:dyDescent="0.2">
      <c r="P1632" s="73"/>
      <c r="AA1632" s="45"/>
      <c r="AB1632" s="45"/>
      <c r="AD1632" s="189"/>
      <c r="AE1632" s="189"/>
      <c r="AF1632" s="189"/>
      <c r="AG1632" s="189"/>
      <c r="AH1632" s="189"/>
      <c r="AI1632" s="45"/>
      <c r="AJ1632" s="45"/>
    </row>
    <row r="1633" spans="16:36" x14ac:dyDescent="0.2">
      <c r="P1633" s="73"/>
      <c r="AA1633" s="45"/>
      <c r="AB1633" s="45"/>
      <c r="AD1633" s="189"/>
      <c r="AE1633" s="189"/>
      <c r="AF1633" s="189"/>
      <c r="AG1633" s="189"/>
      <c r="AH1633" s="189"/>
      <c r="AI1633" s="45"/>
      <c r="AJ1633" s="45"/>
    </row>
    <row r="1634" spans="16:36" x14ac:dyDescent="0.2">
      <c r="P1634" s="73"/>
      <c r="AA1634" s="45"/>
      <c r="AB1634" s="45"/>
      <c r="AD1634" s="189"/>
      <c r="AE1634" s="189"/>
      <c r="AF1634" s="189"/>
      <c r="AG1634" s="189"/>
      <c r="AH1634" s="189"/>
      <c r="AI1634" s="45"/>
      <c r="AJ1634" s="45"/>
    </row>
    <row r="1635" spans="16:36" x14ac:dyDescent="0.2">
      <c r="P1635" s="73"/>
      <c r="AA1635" s="45"/>
      <c r="AB1635" s="45"/>
      <c r="AD1635" s="189"/>
      <c r="AE1635" s="189"/>
      <c r="AF1635" s="189"/>
      <c r="AG1635" s="189"/>
      <c r="AH1635" s="189"/>
      <c r="AI1635" s="45"/>
      <c r="AJ1635" s="45"/>
    </row>
    <row r="1636" spans="16:36" x14ac:dyDescent="0.2">
      <c r="P1636" s="73"/>
      <c r="AA1636" s="45"/>
      <c r="AB1636" s="45"/>
      <c r="AD1636" s="189"/>
      <c r="AE1636" s="189"/>
      <c r="AF1636" s="189"/>
      <c r="AG1636" s="189"/>
      <c r="AH1636" s="189"/>
      <c r="AI1636" s="45"/>
      <c r="AJ1636" s="45"/>
    </row>
    <row r="1637" spans="16:36" x14ac:dyDescent="0.2">
      <c r="P1637" s="73"/>
      <c r="AA1637" s="45"/>
      <c r="AB1637" s="45"/>
      <c r="AD1637" s="189"/>
      <c r="AE1637" s="189"/>
      <c r="AF1637" s="189"/>
      <c r="AG1637" s="189"/>
      <c r="AH1637" s="189"/>
      <c r="AI1637" s="45"/>
      <c r="AJ1637" s="45"/>
    </row>
    <row r="1638" spans="16:36" x14ac:dyDescent="0.2">
      <c r="P1638" s="73"/>
      <c r="AA1638" s="45"/>
      <c r="AB1638" s="45"/>
      <c r="AD1638" s="189"/>
      <c r="AE1638" s="189"/>
      <c r="AF1638" s="189"/>
      <c r="AG1638" s="189"/>
      <c r="AH1638" s="189"/>
      <c r="AI1638" s="45"/>
      <c r="AJ1638" s="45"/>
    </row>
    <row r="1639" spans="16:36" x14ac:dyDescent="0.2">
      <c r="P1639" s="73"/>
      <c r="AA1639" s="45"/>
      <c r="AB1639" s="45"/>
      <c r="AD1639" s="189"/>
      <c r="AE1639" s="189"/>
      <c r="AF1639" s="189"/>
      <c r="AG1639" s="189"/>
      <c r="AH1639" s="189"/>
      <c r="AI1639" s="45"/>
      <c r="AJ1639" s="45"/>
    </row>
    <row r="1640" spans="16:36" x14ac:dyDescent="0.2">
      <c r="P1640" s="73"/>
      <c r="AA1640" s="45"/>
      <c r="AB1640" s="45"/>
      <c r="AD1640" s="189"/>
      <c r="AE1640" s="189"/>
      <c r="AF1640" s="189"/>
      <c r="AG1640" s="189"/>
      <c r="AH1640" s="189"/>
      <c r="AI1640" s="45"/>
      <c r="AJ1640" s="45"/>
    </row>
    <row r="1641" spans="16:36" x14ac:dyDescent="0.2">
      <c r="P1641" s="73"/>
      <c r="AA1641" s="45"/>
      <c r="AB1641" s="45"/>
      <c r="AD1641" s="189"/>
      <c r="AE1641" s="189"/>
      <c r="AF1641" s="189"/>
      <c r="AG1641" s="189"/>
      <c r="AH1641" s="189"/>
      <c r="AI1641" s="45"/>
      <c r="AJ1641" s="45"/>
    </row>
    <row r="1642" spans="16:36" x14ac:dyDescent="0.2">
      <c r="P1642" s="73"/>
      <c r="AA1642" s="45"/>
      <c r="AB1642" s="45"/>
      <c r="AD1642" s="189"/>
      <c r="AE1642" s="189"/>
      <c r="AF1642" s="189"/>
      <c r="AG1642" s="189"/>
      <c r="AH1642" s="189"/>
      <c r="AI1642" s="45"/>
      <c r="AJ1642" s="45"/>
    </row>
    <row r="1643" spans="16:36" x14ac:dyDescent="0.2">
      <c r="P1643" s="73"/>
      <c r="AA1643" s="45"/>
      <c r="AB1643" s="45"/>
      <c r="AD1643" s="189"/>
      <c r="AE1643" s="189"/>
      <c r="AF1643" s="189"/>
      <c r="AG1643" s="189"/>
      <c r="AH1643" s="189"/>
      <c r="AI1643" s="45"/>
      <c r="AJ1643" s="45"/>
    </row>
    <row r="1644" spans="16:36" x14ac:dyDescent="0.2">
      <c r="P1644" s="73"/>
      <c r="AA1644" s="45"/>
      <c r="AB1644" s="45"/>
      <c r="AD1644" s="189"/>
      <c r="AE1644" s="189"/>
      <c r="AF1644" s="189"/>
      <c r="AG1644" s="189"/>
      <c r="AH1644" s="189"/>
      <c r="AI1644" s="45"/>
      <c r="AJ1644" s="45"/>
    </row>
    <row r="1645" spans="16:36" x14ac:dyDescent="0.2">
      <c r="P1645" s="73"/>
      <c r="AA1645" s="45"/>
      <c r="AB1645" s="45"/>
      <c r="AD1645" s="189"/>
      <c r="AE1645" s="189"/>
      <c r="AF1645" s="189"/>
      <c r="AG1645" s="189"/>
      <c r="AH1645" s="189"/>
      <c r="AI1645" s="45"/>
      <c r="AJ1645" s="45"/>
    </row>
    <row r="1646" spans="16:36" x14ac:dyDescent="0.2">
      <c r="P1646" s="73"/>
      <c r="AA1646" s="45"/>
      <c r="AB1646" s="45"/>
      <c r="AD1646" s="189"/>
      <c r="AE1646" s="189"/>
      <c r="AF1646" s="189"/>
      <c r="AG1646" s="189"/>
      <c r="AH1646" s="189"/>
      <c r="AI1646" s="45"/>
      <c r="AJ1646" s="45"/>
    </row>
    <row r="1647" spans="16:36" x14ac:dyDescent="0.2">
      <c r="P1647" s="73"/>
      <c r="AA1647" s="45"/>
      <c r="AB1647" s="45"/>
      <c r="AD1647" s="189"/>
      <c r="AE1647" s="189"/>
      <c r="AF1647" s="189"/>
      <c r="AG1647" s="189"/>
      <c r="AH1647" s="189"/>
      <c r="AI1647" s="45"/>
      <c r="AJ1647" s="45"/>
    </row>
    <row r="1648" spans="16:36" x14ac:dyDescent="0.2">
      <c r="P1648" s="73"/>
      <c r="AA1648" s="45"/>
      <c r="AB1648" s="45"/>
      <c r="AD1648" s="189"/>
      <c r="AE1648" s="189"/>
      <c r="AF1648" s="189"/>
      <c r="AG1648" s="189"/>
      <c r="AH1648" s="189"/>
      <c r="AI1648" s="45"/>
      <c r="AJ1648" s="45"/>
    </row>
    <row r="1649" spans="16:36" x14ac:dyDescent="0.2">
      <c r="P1649" s="73"/>
      <c r="AA1649" s="45"/>
      <c r="AB1649" s="45"/>
      <c r="AD1649" s="189"/>
      <c r="AE1649" s="189"/>
      <c r="AF1649" s="189"/>
      <c r="AG1649" s="189"/>
      <c r="AH1649" s="189"/>
      <c r="AI1649" s="45"/>
      <c r="AJ1649" s="45"/>
    </row>
    <row r="1650" spans="16:36" x14ac:dyDescent="0.2">
      <c r="P1650" s="73"/>
      <c r="AA1650" s="45"/>
      <c r="AB1650" s="45"/>
      <c r="AD1650" s="189"/>
      <c r="AE1650" s="189"/>
      <c r="AF1650" s="189"/>
      <c r="AG1650" s="189"/>
      <c r="AH1650" s="189"/>
      <c r="AI1650" s="45"/>
      <c r="AJ1650" s="45"/>
    </row>
    <row r="1651" spans="16:36" x14ac:dyDescent="0.2">
      <c r="P1651" s="73"/>
      <c r="AA1651" s="45"/>
      <c r="AB1651" s="45"/>
      <c r="AD1651" s="189"/>
      <c r="AE1651" s="189"/>
      <c r="AF1651" s="189"/>
      <c r="AG1651" s="189"/>
      <c r="AH1651" s="189"/>
      <c r="AI1651" s="45"/>
      <c r="AJ1651" s="45"/>
    </row>
    <row r="1652" spans="16:36" x14ac:dyDescent="0.2">
      <c r="P1652" s="73"/>
      <c r="AA1652" s="45"/>
      <c r="AB1652" s="45"/>
      <c r="AD1652" s="189"/>
      <c r="AE1652" s="189"/>
      <c r="AF1652" s="189"/>
      <c r="AG1652" s="189"/>
      <c r="AH1652" s="189"/>
      <c r="AI1652" s="45"/>
      <c r="AJ1652" s="45"/>
    </row>
    <row r="1653" spans="16:36" x14ac:dyDescent="0.2">
      <c r="P1653" s="73"/>
      <c r="AA1653" s="45"/>
      <c r="AB1653" s="45"/>
      <c r="AD1653" s="189"/>
      <c r="AE1653" s="189"/>
      <c r="AF1653" s="189"/>
      <c r="AG1653" s="189"/>
      <c r="AH1653" s="189"/>
      <c r="AI1653" s="45"/>
      <c r="AJ1653" s="45"/>
    </row>
    <row r="1654" spans="16:36" x14ac:dyDescent="0.2">
      <c r="P1654" s="73"/>
      <c r="AA1654" s="45"/>
      <c r="AB1654" s="45"/>
      <c r="AD1654" s="189"/>
      <c r="AE1654" s="189"/>
      <c r="AF1654" s="189"/>
      <c r="AG1654" s="189"/>
      <c r="AH1654" s="189"/>
      <c r="AI1654" s="45"/>
      <c r="AJ1654" s="45"/>
    </row>
    <row r="1655" spans="16:36" x14ac:dyDescent="0.2">
      <c r="P1655" s="73"/>
      <c r="AA1655" s="45"/>
      <c r="AB1655" s="45"/>
      <c r="AD1655" s="189"/>
      <c r="AE1655" s="189"/>
      <c r="AF1655" s="189"/>
      <c r="AG1655" s="189"/>
      <c r="AH1655" s="189"/>
      <c r="AI1655" s="45"/>
      <c r="AJ1655" s="45"/>
    </row>
    <row r="1656" spans="16:36" x14ac:dyDescent="0.2">
      <c r="P1656" s="73"/>
      <c r="AA1656" s="45"/>
      <c r="AB1656" s="45"/>
      <c r="AD1656" s="189"/>
      <c r="AE1656" s="189"/>
      <c r="AF1656" s="189"/>
      <c r="AG1656" s="189"/>
      <c r="AH1656" s="189"/>
      <c r="AI1656" s="45"/>
      <c r="AJ1656" s="45"/>
    </row>
    <row r="1657" spans="16:36" x14ac:dyDescent="0.2">
      <c r="P1657" s="73"/>
      <c r="AA1657" s="45"/>
      <c r="AB1657" s="45"/>
      <c r="AD1657" s="189"/>
      <c r="AE1657" s="189"/>
      <c r="AF1657" s="189"/>
      <c r="AG1657" s="189"/>
      <c r="AH1657" s="189"/>
      <c r="AI1657" s="45"/>
      <c r="AJ1657" s="45"/>
    </row>
    <row r="1658" spans="16:36" x14ac:dyDescent="0.2">
      <c r="P1658" s="73"/>
      <c r="AA1658" s="45"/>
      <c r="AB1658" s="45"/>
      <c r="AD1658" s="189"/>
      <c r="AE1658" s="189"/>
      <c r="AF1658" s="189"/>
      <c r="AG1658" s="189"/>
      <c r="AH1658" s="189"/>
      <c r="AI1658" s="45"/>
      <c r="AJ1658" s="45"/>
    </row>
    <row r="1659" spans="16:36" x14ac:dyDescent="0.2">
      <c r="P1659" s="73"/>
      <c r="AA1659" s="45"/>
      <c r="AB1659" s="45"/>
      <c r="AD1659" s="189"/>
      <c r="AE1659" s="189"/>
      <c r="AF1659" s="189"/>
      <c r="AG1659" s="189"/>
      <c r="AH1659" s="189"/>
      <c r="AI1659" s="45"/>
      <c r="AJ1659" s="45"/>
    </row>
    <row r="1660" spans="16:36" x14ac:dyDescent="0.2">
      <c r="P1660" s="73"/>
      <c r="AA1660" s="45"/>
      <c r="AB1660" s="45"/>
      <c r="AD1660" s="189"/>
      <c r="AE1660" s="189"/>
      <c r="AF1660" s="189"/>
      <c r="AG1660" s="189"/>
      <c r="AH1660" s="189"/>
      <c r="AI1660" s="45"/>
      <c r="AJ1660" s="45"/>
    </row>
    <row r="1661" spans="16:36" x14ac:dyDescent="0.2">
      <c r="P1661" s="73"/>
      <c r="AA1661" s="45"/>
      <c r="AB1661" s="45"/>
      <c r="AD1661" s="189"/>
      <c r="AE1661" s="189"/>
      <c r="AF1661" s="189"/>
      <c r="AG1661" s="189"/>
      <c r="AH1661" s="189"/>
      <c r="AI1661" s="45"/>
      <c r="AJ1661" s="45"/>
    </row>
    <row r="1662" spans="16:36" x14ac:dyDescent="0.2">
      <c r="P1662" s="73"/>
      <c r="AA1662" s="45"/>
      <c r="AB1662" s="45"/>
      <c r="AD1662" s="189"/>
      <c r="AE1662" s="189"/>
      <c r="AF1662" s="189"/>
      <c r="AG1662" s="189"/>
      <c r="AH1662" s="189"/>
      <c r="AI1662" s="45"/>
      <c r="AJ1662" s="45"/>
    </row>
    <row r="1663" spans="16:36" x14ac:dyDescent="0.2">
      <c r="P1663" s="73"/>
      <c r="AA1663" s="45"/>
      <c r="AB1663" s="45"/>
      <c r="AD1663" s="189"/>
      <c r="AE1663" s="189"/>
      <c r="AF1663" s="189"/>
      <c r="AG1663" s="189"/>
      <c r="AH1663" s="189"/>
      <c r="AI1663" s="45"/>
      <c r="AJ1663" s="45"/>
    </row>
    <row r="1664" spans="16:36" x14ac:dyDescent="0.2">
      <c r="P1664" s="73"/>
      <c r="AA1664" s="45"/>
      <c r="AB1664" s="45"/>
      <c r="AD1664" s="189"/>
      <c r="AE1664" s="189"/>
      <c r="AF1664" s="189"/>
      <c r="AG1664" s="189"/>
      <c r="AH1664" s="189"/>
      <c r="AI1664" s="45"/>
      <c r="AJ1664" s="45"/>
    </row>
    <row r="1665" spans="16:36" x14ac:dyDescent="0.2">
      <c r="P1665" s="73"/>
      <c r="AA1665" s="45"/>
      <c r="AB1665" s="45"/>
      <c r="AD1665" s="189"/>
      <c r="AE1665" s="189"/>
      <c r="AF1665" s="189"/>
      <c r="AG1665" s="189"/>
      <c r="AH1665" s="189"/>
      <c r="AI1665" s="45"/>
      <c r="AJ1665" s="45"/>
    </row>
    <row r="1666" spans="16:36" x14ac:dyDescent="0.2">
      <c r="P1666" s="73"/>
      <c r="AA1666" s="45"/>
      <c r="AB1666" s="45"/>
      <c r="AD1666" s="189"/>
      <c r="AE1666" s="189"/>
      <c r="AF1666" s="189"/>
      <c r="AG1666" s="189"/>
      <c r="AH1666" s="189"/>
      <c r="AI1666" s="45"/>
      <c r="AJ1666" s="45"/>
    </row>
    <row r="1667" spans="16:36" x14ac:dyDescent="0.2">
      <c r="P1667" s="73"/>
      <c r="AA1667" s="45"/>
      <c r="AB1667" s="45"/>
      <c r="AD1667" s="189"/>
      <c r="AE1667" s="189"/>
      <c r="AF1667" s="189"/>
      <c r="AG1667" s="189"/>
      <c r="AH1667" s="189"/>
      <c r="AI1667" s="45"/>
      <c r="AJ1667" s="45"/>
    </row>
    <row r="1668" spans="16:36" x14ac:dyDescent="0.2">
      <c r="P1668" s="73"/>
      <c r="AA1668" s="45"/>
      <c r="AB1668" s="45"/>
      <c r="AD1668" s="189"/>
      <c r="AE1668" s="189"/>
      <c r="AF1668" s="189"/>
      <c r="AG1668" s="189"/>
      <c r="AH1668" s="189"/>
      <c r="AI1668" s="45"/>
      <c r="AJ1668" s="45"/>
    </row>
    <row r="1669" spans="16:36" x14ac:dyDescent="0.2">
      <c r="P1669" s="73"/>
      <c r="AA1669" s="45"/>
      <c r="AB1669" s="45"/>
      <c r="AD1669" s="189"/>
      <c r="AE1669" s="189"/>
      <c r="AF1669" s="189"/>
      <c r="AG1669" s="189"/>
      <c r="AH1669" s="189"/>
      <c r="AI1669" s="45"/>
      <c r="AJ1669" s="45"/>
    </row>
    <row r="1670" spans="16:36" x14ac:dyDescent="0.2">
      <c r="P1670" s="73"/>
      <c r="AA1670" s="45"/>
      <c r="AB1670" s="45"/>
      <c r="AD1670" s="189"/>
      <c r="AE1670" s="189"/>
      <c r="AF1670" s="189"/>
      <c r="AG1670" s="189"/>
      <c r="AH1670" s="189"/>
      <c r="AI1670" s="45"/>
      <c r="AJ1670" s="45"/>
    </row>
    <row r="1671" spans="16:36" x14ac:dyDescent="0.2">
      <c r="P1671" s="73"/>
      <c r="AA1671" s="45"/>
      <c r="AB1671" s="45"/>
      <c r="AD1671" s="189"/>
      <c r="AE1671" s="189"/>
      <c r="AF1671" s="189"/>
      <c r="AG1671" s="189"/>
      <c r="AH1671" s="189"/>
      <c r="AI1671" s="45"/>
      <c r="AJ1671" s="45"/>
    </row>
    <row r="1672" spans="16:36" x14ac:dyDescent="0.2">
      <c r="P1672" s="73"/>
      <c r="AA1672" s="45"/>
      <c r="AB1672" s="45"/>
      <c r="AD1672" s="189"/>
      <c r="AE1672" s="189"/>
      <c r="AF1672" s="189"/>
      <c r="AG1672" s="189"/>
      <c r="AH1672" s="189"/>
      <c r="AI1672" s="45"/>
      <c r="AJ1672" s="45"/>
    </row>
    <row r="1673" spans="16:36" x14ac:dyDescent="0.2">
      <c r="P1673" s="73"/>
      <c r="AA1673" s="45"/>
      <c r="AB1673" s="45"/>
      <c r="AD1673" s="189"/>
      <c r="AE1673" s="189"/>
      <c r="AF1673" s="189"/>
      <c r="AG1673" s="189"/>
      <c r="AH1673" s="189"/>
      <c r="AI1673" s="45"/>
      <c r="AJ1673" s="45"/>
    </row>
    <row r="1674" spans="16:36" x14ac:dyDescent="0.2">
      <c r="P1674" s="73"/>
      <c r="AA1674" s="45"/>
      <c r="AB1674" s="45"/>
      <c r="AD1674" s="189"/>
      <c r="AE1674" s="189"/>
      <c r="AF1674" s="189"/>
      <c r="AG1674" s="189"/>
      <c r="AH1674" s="189"/>
      <c r="AI1674" s="45"/>
      <c r="AJ1674" s="45"/>
    </row>
    <row r="1675" spans="16:36" x14ac:dyDescent="0.2">
      <c r="P1675" s="73"/>
      <c r="AA1675" s="45"/>
      <c r="AB1675" s="45"/>
      <c r="AD1675" s="189"/>
      <c r="AE1675" s="189"/>
      <c r="AF1675" s="189"/>
      <c r="AG1675" s="189"/>
      <c r="AH1675" s="189"/>
      <c r="AI1675" s="45"/>
      <c r="AJ1675" s="45"/>
    </row>
    <row r="1676" spans="16:36" x14ac:dyDescent="0.2">
      <c r="P1676" s="73"/>
      <c r="AA1676" s="45"/>
      <c r="AB1676" s="45"/>
      <c r="AD1676" s="189"/>
      <c r="AE1676" s="189"/>
      <c r="AF1676" s="189"/>
      <c r="AG1676" s="189"/>
      <c r="AH1676" s="189"/>
      <c r="AI1676" s="45"/>
      <c r="AJ1676" s="45"/>
    </row>
    <row r="1677" spans="16:36" x14ac:dyDescent="0.2">
      <c r="P1677" s="73"/>
      <c r="AA1677" s="45"/>
      <c r="AB1677" s="45"/>
      <c r="AD1677" s="189"/>
      <c r="AE1677" s="189"/>
      <c r="AF1677" s="189"/>
      <c r="AG1677" s="189"/>
      <c r="AH1677" s="189"/>
      <c r="AI1677" s="45"/>
      <c r="AJ1677" s="45"/>
    </row>
    <row r="1678" spans="16:36" x14ac:dyDescent="0.2">
      <c r="P1678" s="73"/>
      <c r="AA1678" s="45"/>
      <c r="AB1678" s="45"/>
      <c r="AD1678" s="189"/>
      <c r="AE1678" s="189"/>
      <c r="AF1678" s="189"/>
      <c r="AG1678" s="189"/>
      <c r="AH1678" s="189"/>
      <c r="AI1678" s="45"/>
      <c r="AJ1678" s="45"/>
    </row>
    <row r="1679" spans="16:36" x14ac:dyDescent="0.2">
      <c r="P1679" s="73"/>
      <c r="AA1679" s="45"/>
      <c r="AB1679" s="45"/>
      <c r="AD1679" s="189"/>
      <c r="AE1679" s="189"/>
      <c r="AF1679" s="189"/>
      <c r="AG1679" s="189"/>
      <c r="AH1679" s="189"/>
      <c r="AI1679" s="45"/>
      <c r="AJ1679" s="45"/>
    </row>
    <row r="1680" spans="16:36" x14ac:dyDescent="0.2">
      <c r="P1680" s="73"/>
      <c r="AA1680" s="45"/>
      <c r="AB1680" s="45"/>
      <c r="AD1680" s="189"/>
      <c r="AE1680" s="189"/>
      <c r="AF1680" s="189"/>
      <c r="AG1680" s="189"/>
      <c r="AH1680" s="189"/>
      <c r="AI1680" s="45"/>
      <c r="AJ1680" s="45"/>
    </row>
    <row r="1681" spans="16:36" x14ac:dyDescent="0.2">
      <c r="P1681" s="73"/>
      <c r="AA1681" s="45"/>
      <c r="AB1681" s="45"/>
      <c r="AD1681" s="189"/>
      <c r="AE1681" s="189"/>
      <c r="AF1681" s="189"/>
      <c r="AG1681" s="189"/>
      <c r="AH1681" s="189"/>
      <c r="AI1681" s="45"/>
      <c r="AJ1681" s="45"/>
    </row>
    <row r="1682" spans="16:36" x14ac:dyDescent="0.2">
      <c r="P1682" s="73"/>
      <c r="AA1682" s="45"/>
      <c r="AB1682" s="45"/>
      <c r="AD1682" s="189"/>
      <c r="AE1682" s="189"/>
      <c r="AF1682" s="189"/>
      <c r="AG1682" s="189"/>
      <c r="AH1682" s="189"/>
      <c r="AI1682" s="45"/>
      <c r="AJ1682" s="45"/>
    </row>
    <row r="1683" spans="16:36" x14ac:dyDescent="0.2">
      <c r="P1683" s="73"/>
      <c r="AA1683" s="45"/>
      <c r="AB1683" s="45"/>
      <c r="AD1683" s="189"/>
      <c r="AE1683" s="189"/>
      <c r="AF1683" s="189"/>
      <c r="AG1683" s="189"/>
      <c r="AH1683" s="189"/>
      <c r="AI1683" s="45"/>
      <c r="AJ1683" s="45"/>
    </row>
    <row r="1684" spans="16:36" x14ac:dyDescent="0.2">
      <c r="P1684" s="73"/>
      <c r="AA1684" s="45"/>
      <c r="AB1684" s="45"/>
      <c r="AD1684" s="189"/>
      <c r="AE1684" s="189"/>
      <c r="AF1684" s="189"/>
      <c r="AG1684" s="189"/>
      <c r="AH1684" s="189"/>
      <c r="AI1684" s="45"/>
      <c r="AJ1684" s="45"/>
    </row>
    <row r="1685" spans="16:36" x14ac:dyDescent="0.2">
      <c r="P1685" s="73"/>
      <c r="AA1685" s="45"/>
      <c r="AB1685" s="45"/>
      <c r="AD1685" s="189"/>
      <c r="AE1685" s="189"/>
      <c r="AF1685" s="189"/>
      <c r="AG1685" s="189"/>
      <c r="AH1685" s="189"/>
      <c r="AI1685" s="45"/>
      <c r="AJ1685" s="45"/>
    </row>
    <row r="1686" spans="16:36" x14ac:dyDescent="0.2">
      <c r="P1686" s="73"/>
      <c r="AA1686" s="45"/>
      <c r="AB1686" s="45"/>
      <c r="AD1686" s="189"/>
      <c r="AE1686" s="189"/>
      <c r="AF1686" s="189"/>
      <c r="AG1686" s="189"/>
      <c r="AH1686" s="189"/>
      <c r="AI1686" s="45"/>
      <c r="AJ1686" s="45"/>
    </row>
    <row r="1687" spans="16:36" x14ac:dyDescent="0.2">
      <c r="P1687" s="73"/>
      <c r="AA1687" s="45"/>
      <c r="AB1687" s="45"/>
      <c r="AD1687" s="189"/>
      <c r="AE1687" s="189"/>
      <c r="AF1687" s="189"/>
      <c r="AG1687" s="189"/>
      <c r="AH1687" s="189"/>
      <c r="AI1687" s="45"/>
      <c r="AJ1687" s="45"/>
    </row>
    <row r="1688" spans="16:36" x14ac:dyDescent="0.2">
      <c r="P1688" s="73"/>
      <c r="AA1688" s="45"/>
      <c r="AB1688" s="45"/>
      <c r="AD1688" s="189"/>
      <c r="AE1688" s="189"/>
      <c r="AF1688" s="189"/>
      <c r="AG1688" s="189"/>
      <c r="AH1688" s="189"/>
      <c r="AI1688" s="45"/>
      <c r="AJ1688" s="45"/>
    </row>
    <row r="1689" spans="16:36" x14ac:dyDescent="0.2">
      <c r="P1689" s="73"/>
      <c r="AA1689" s="45"/>
      <c r="AB1689" s="45"/>
      <c r="AD1689" s="189"/>
      <c r="AE1689" s="189"/>
      <c r="AF1689" s="189"/>
      <c r="AG1689" s="189"/>
      <c r="AH1689" s="189"/>
      <c r="AI1689" s="45"/>
      <c r="AJ1689" s="45"/>
    </row>
    <row r="1690" spans="16:36" x14ac:dyDescent="0.2">
      <c r="P1690" s="73"/>
      <c r="AA1690" s="45"/>
      <c r="AB1690" s="45"/>
      <c r="AD1690" s="189"/>
      <c r="AE1690" s="189"/>
      <c r="AF1690" s="189"/>
      <c r="AG1690" s="189"/>
      <c r="AH1690" s="189"/>
      <c r="AI1690" s="45"/>
      <c r="AJ1690" s="45"/>
    </row>
    <row r="1691" spans="16:36" x14ac:dyDescent="0.2">
      <c r="P1691" s="73"/>
      <c r="AA1691" s="45"/>
      <c r="AB1691" s="45"/>
      <c r="AD1691" s="189"/>
      <c r="AE1691" s="189"/>
      <c r="AF1691" s="189"/>
      <c r="AG1691" s="189"/>
      <c r="AH1691" s="189"/>
      <c r="AI1691" s="45"/>
      <c r="AJ1691" s="45"/>
    </row>
    <row r="1692" spans="16:36" x14ac:dyDescent="0.2">
      <c r="P1692" s="73"/>
      <c r="AA1692" s="45"/>
      <c r="AB1692" s="45"/>
      <c r="AD1692" s="189"/>
      <c r="AE1692" s="189"/>
      <c r="AF1692" s="189"/>
      <c r="AG1692" s="189"/>
      <c r="AH1692" s="189"/>
      <c r="AI1692" s="45"/>
      <c r="AJ1692" s="45"/>
    </row>
    <row r="1693" spans="16:36" x14ac:dyDescent="0.2">
      <c r="P1693" s="73"/>
      <c r="AA1693" s="45"/>
      <c r="AB1693" s="45"/>
      <c r="AD1693" s="189"/>
      <c r="AE1693" s="189"/>
      <c r="AF1693" s="189"/>
      <c r="AG1693" s="189"/>
      <c r="AH1693" s="189"/>
      <c r="AI1693" s="45"/>
      <c r="AJ1693" s="45"/>
    </row>
    <row r="1694" spans="16:36" x14ac:dyDescent="0.2">
      <c r="P1694" s="73"/>
      <c r="AA1694" s="45"/>
      <c r="AB1694" s="45"/>
      <c r="AD1694" s="189"/>
      <c r="AE1694" s="189"/>
      <c r="AF1694" s="189"/>
      <c r="AG1694" s="189"/>
      <c r="AH1694" s="189"/>
      <c r="AI1694" s="45"/>
      <c r="AJ1694" s="45"/>
    </row>
    <row r="1695" spans="16:36" x14ac:dyDescent="0.2">
      <c r="P1695" s="73"/>
      <c r="AA1695" s="45"/>
      <c r="AB1695" s="45"/>
      <c r="AD1695" s="189"/>
      <c r="AE1695" s="189"/>
      <c r="AF1695" s="189"/>
      <c r="AG1695" s="189"/>
      <c r="AH1695" s="189"/>
      <c r="AI1695" s="45"/>
      <c r="AJ1695" s="45"/>
    </row>
    <row r="1696" spans="16:36" x14ac:dyDescent="0.2">
      <c r="P1696" s="73"/>
      <c r="AA1696" s="45"/>
      <c r="AB1696" s="45"/>
      <c r="AD1696" s="189"/>
      <c r="AE1696" s="189"/>
      <c r="AF1696" s="189"/>
      <c r="AG1696" s="189"/>
      <c r="AH1696" s="189"/>
      <c r="AI1696" s="45"/>
      <c r="AJ1696" s="45"/>
    </row>
    <row r="1697" spans="16:36" x14ac:dyDescent="0.2">
      <c r="P1697" s="73"/>
      <c r="AA1697" s="45"/>
      <c r="AB1697" s="45"/>
      <c r="AD1697" s="189"/>
      <c r="AE1697" s="189"/>
      <c r="AF1697" s="189"/>
      <c r="AG1697" s="189"/>
      <c r="AH1697" s="189"/>
      <c r="AI1697" s="45"/>
      <c r="AJ1697" s="45"/>
    </row>
    <row r="1698" spans="16:36" x14ac:dyDescent="0.2">
      <c r="P1698" s="73"/>
      <c r="AA1698" s="45"/>
      <c r="AB1698" s="45"/>
      <c r="AD1698" s="189"/>
      <c r="AE1698" s="189"/>
      <c r="AF1698" s="189"/>
      <c r="AG1698" s="189"/>
      <c r="AH1698" s="189"/>
      <c r="AI1698" s="45"/>
      <c r="AJ1698" s="45"/>
    </row>
    <row r="1699" spans="16:36" x14ac:dyDescent="0.2">
      <c r="P1699" s="73"/>
      <c r="AA1699" s="45"/>
      <c r="AB1699" s="45"/>
      <c r="AD1699" s="189"/>
      <c r="AE1699" s="189"/>
      <c r="AF1699" s="189"/>
      <c r="AG1699" s="189"/>
      <c r="AH1699" s="189"/>
      <c r="AI1699" s="45"/>
      <c r="AJ1699" s="45"/>
    </row>
    <row r="1700" spans="16:36" x14ac:dyDescent="0.2">
      <c r="P1700" s="73"/>
      <c r="AA1700" s="45"/>
      <c r="AB1700" s="45"/>
      <c r="AD1700" s="189"/>
      <c r="AE1700" s="189"/>
      <c r="AF1700" s="189"/>
      <c r="AG1700" s="189"/>
      <c r="AH1700" s="189"/>
      <c r="AI1700" s="45"/>
      <c r="AJ1700" s="45"/>
    </row>
    <row r="1701" spans="16:36" x14ac:dyDescent="0.2">
      <c r="P1701" s="73"/>
      <c r="AA1701" s="45"/>
      <c r="AB1701" s="45"/>
      <c r="AD1701" s="189"/>
      <c r="AE1701" s="189"/>
      <c r="AF1701" s="189"/>
      <c r="AG1701" s="189"/>
      <c r="AH1701" s="189"/>
      <c r="AI1701" s="45"/>
      <c r="AJ1701" s="45"/>
    </row>
    <row r="1702" spans="16:36" x14ac:dyDescent="0.2">
      <c r="P1702" s="73"/>
      <c r="AA1702" s="45"/>
      <c r="AB1702" s="45"/>
      <c r="AD1702" s="189"/>
      <c r="AE1702" s="189"/>
      <c r="AF1702" s="189"/>
      <c r="AG1702" s="189"/>
      <c r="AH1702" s="189"/>
      <c r="AI1702" s="45"/>
      <c r="AJ1702" s="45"/>
    </row>
    <row r="1703" spans="16:36" x14ac:dyDescent="0.2">
      <c r="P1703" s="73"/>
      <c r="AA1703" s="45"/>
      <c r="AB1703" s="45"/>
      <c r="AD1703" s="189"/>
      <c r="AE1703" s="189"/>
      <c r="AF1703" s="189"/>
      <c r="AG1703" s="189"/>
      <c r="AH1703" s="189"/>
      <c r="AI1703" s="45"/>
      <c r="AJ1703" s="45"/>
    </row>
    <row r="1704" spans="16:36" x14ac:dyDescent="0.2">
      <c r="P1704" s="73"/>
      <c r="AA1704" s="45"/>
      <c r="AB1704" s="45"/>
      <c r="AD1704" s="189"/>
      <c r="AE1704" s="189"/>
      <c r="AF1704" s="189"/>
      <c r="AG1704" s="189"/>
      <c r="AH1704" s="189"/>
      <c r="AI1704" s="45"/>
      <c r="AJ1704" s="45"/>
    </row>
    <row r="1705" spans="16:36" x14ac:dyDescent="0.2">
      <c r="P1705" s="73"/>
      <c r="AA1705" s="45"/>
      <c r="AB1705" s="45"/>
      <c r="AD1705" s="189"/>
      <c r="AE1705" s="189"/>
      <c r="AF1705" s="189"/>
      <c r="AG1705" s="189"/>
      <c r="AH1705" s="189"/>
      <c r="AI1705" s="45"/>
      <c r="AJ1705" s="45"/>
    </row>
    <row r="1706" spans="16:36" x14ac:dyDescent="0.2">
      <c r="P1706" s="73"/>
      <c r="AA1706" s="45"/>
      <c r="AB1706" s="45"/>
      <c r="AD1706" s="189"/>
      <c r="AE1706" s="189"/>
      <c r="AF1706" s="189"/>
      <c r="AG1706" s="189"/>
      <c r="AH1706" s="189"/>
      <c r="AI1706" s="45"/>
      <c r="AJ1706" s="45"/>
    </row>
    <row r="1707" spans="16:36" x14ac:dyDescent="0.2">
      <c r="P1707" s="73"/>
      <c r="AA1707" s="45"/>
      <c r="AB1707" s="45"/>
      <c r="AD1707" s="189"/>
      <c r="AE1707" s="189"/>
      <c r="AF1707" s="189"/>
      <c r="AG1707" s="189"/>
      <c r="AH1707" s="189"/>
      <c r="AI1707" s="45"/>
      <c r="AJ1707" s="45"/>
    </row>
    <row r="1708" spans="16:36" x14ac:dyDescent="0.2">
      <c r="P1708" s="73"/>
      <c r="AA1708" s="45"/>
      <c r="AB1708" s="45"/>
      <c r="AD1708" s="189"/>
      <c r="AE1708" s="189"/>
      <c r="AF1708" s="189"/>
      <c r="AG1708" s="189"/>
      <c r="AH1708" s="189"/>
      <c r="AI1708" s="45"/>
      <c r="AJ1708" s="45"/>
    </row>
    <row r="1709" spans="16:36" x14ac:dyDescent="0.2">
      <c r="P1709" s="73"/>
      <c r="AA1709" s="45"/>
      <c r="AB1709" s="45"/>
      <c r="AD1709" s="189"/>
      <c r="AE1709" s="189"/>
      <c r="AF1709" s="189"/>
      <c r="AG1709" s="189"/>
      <c r="AH1709" s="189"/>
      <c r="AI1709" s="45"/>
      <c r="AJ1709" s="45"/>
    </row>
    <row r="1710" spans="16:36" x14ac:dyDescent="0.2">
      <c r="P1710" s="73"/>
      <c r="AA1710" s="45"/>
      <c r="AB1710" s="45"/>
      <c r="AD1710" s="189"/>
      <c r="AE1710" s="189"/>
      <c r="AF1710" s="189"/>
      <c r="AG1710" s="189"/>
      <c r="AH1710" s="189"/>
      <c r="AI1710" s="45"/>
      <c r="AJ1710" s="45"/>
    </row>
    <row r="1711" spans="16:36" x14ac:dyDescent="0.2">
      <c r="P1711" s="73"/>
      <c r="AA1711" s="45"/>
      <c r="AB1711" s="45"/>
      <c r="AD1711" s="189"/>
      <c r="AE1711" s="189"/>
      <c r="AF1711" s="189"/>
      <c r="AG1711" s="189"/>
      <c r="AH1711" s="189"/>
      <c r="AI1711" s="45"/>
      <c r="AJ1711" s="45"/>
    </row>
    <row r="1712" spans="16:36" x14ac:dyDescent="0.2">
      <c r="P1712" s="73"/>
      <c r="AA1712" s="45"/>
      <c r="AB1712" s="45"/>
      <c r="AD1712" s="189"/>
      <c r="AE1712" s="189"/>
      <c r="AF1712" s="189"/>
      <c r="AG1712" s="189"/>
      <c r="AH1712" s="189"/>
      <c r="AI1712" s="45"/>
      <c r="AJ1712" s="45"/>
    </row>
    <row r="1713" spans="16:36" x14ac:dyDescent="0.2">
      <c r="P1713" s="73"/>
      <c r="AA1713" s="45"/>
      <c r="AB1713" s="45"/>
      <c r="AD1713" s="189"/>
      <c r="AE1713" s="189"/>
      <c r="AF1713" s="189"/>
      <c r="AG1713" s="189"/>
      <c r="AH1713" s="189"/>
      <c r="AI1713" s="45"/>
      <c r="AJ1713" s="45"/>
    </row>
    <row r="1714" spans="16:36" x14ac:dyDescent="0.2">
      <c r="P1714" s="73"/>
      <c r="AA1714" s="45"/>
      <c r="AB1714" s="45"/>
      <c r="AD1714" s="189"/>
      <c r="AE1714" s="189"/>
      <c r="AF1714" s="189"/>
      <c r="AG1714" s="189"/>
      <c r="AH1714" s="189"/>
      <c r="AI1714" s="45"/>
      <c r="AJ1714" s="45"/>
    </row>
    <row r="1715" spans="16:36" x14ac:dyDescent="0.2">
      <c r="P1715" s="73"/>
      <c r="AA1715" s="45"/>
      <c r="AB1715" s="45"/>
      <c r="AD1715" s="189"/>
      <c r="AE1715" s="189"/>
      <c r="AF1715" s="189"/>
      <c r="AG1715" s="189"/>
      <c r="AH1715" s="189"/>
      <c r="AI1715" s="45"/>
      <c r="AJ1715" s="45"/>
    </row>
    <row r="1716" spans="16:36" x14ac:dyDescent="0.2">
      <c r="P1716" s="73"/>
      <c r="AA1716" s="45"/>
      <c r="AB1716" s="45"/>
      <c r="AD1716" s="189"/>
      <c r="AE1716" s="189"/>
      <c r="AF1716" s="189"/>
      <c r="AG1716" s="189"/>
      <c r="AH1716" s="189"/>
      <c r="AI1716" s="45"/>
      <c r="AJ1716" s="45"/>
    </row>
    <row r="1717" spans="16:36" x14ac:dyDescent="0.2">
      <c r="P1717" s="73"/>
      <c r="AA1717" s="45"/>
      <c r="AB1717" s="45"/>
      <c r="AD1717" s="189"/>
      <c r="AE1717" s="189"/>
      <c r="AF1717" s="189"/>
      <c r="AG1717" s="189"/>
      <c r="AH1717" s="189"/>
      <c r="AI1717" s="45"/>
      <c r="AJ1717" s="45"/>
    </row>
    <row r="1718" spans="16:36" x14ac:dyDescent="0.2">
      <c r="P1718" s="73"/>
      <c r="AA1718" s="45"/>
      <c r="AB1718" s="45"/>
      <c r="AD1718" s="189"/>
      <c r="AE1718" s="189"/>
      <c r="AF1718" s="189"/>
      <c r="AG1718" s="189"/>
      <c r="AH1718" s="189"/>
      <c r="AI1718" s="45"/>
      <c r="AJ1718" s="45"/>
    </row>
    <row r="1719" spans="16:36" x14ac:dyDescent="0.2">
      <c r="P1719" s="73"/>
      <c r="AA1719" s="45"/>
      <c r="AB1719" s="45"/>
      <c r="AD1719" s="189"/>
      <c r="AE1719" s="189"/>
      <c r="AF1719" s="189"/>
      <c r="AG1719" s="189"/>
      <c r="AH1719" s="189"/>
      <c r="AI1719" s="45"/>
      <c r="AJ1719" s="45"/>
    </row>
    <row r="1720" spans="16:36" x14ac:dyDescent="0.2">
      <c r="P1720" s="73"/>
      <c r="AA1720" s="45"/>
      <c r="AB1720" s="45"/>
      <c r="AD1720" s="189"/>
      <c r="AE1720" s="189"/>
      <c r="AF1720" s="189"/>
      <c r="AG1720" s="189"/>
      <c r="AH1720" s="189"/>
      <c r="AI1720" s="45"/>
      <c r="AJ1720" s="45"/>
    </row>
    <row r="1721" spans="16:36" x14ac:dyDescent="0.2">
      <c r="P1721" s="73"/>
      <c r="AA1721" s="45"/>
      <c r="AB1721" s="45"/>
      <c r="AD1721" s="189"/>
      <c r="AE1721" s="189"/>
      <c r="AF1721" s="189"/>
      <c r="AG1721" s="189"/>
      <c r="AH1721" s="189"/>
      <c r="AI1721" s="45"/>
      <c r="AJ1721" s="45"/>
    </row>
    <row r="1722" spans="16:36" x14ac:dyDescent="0.2">
      <c r="P1722" s="73"/>
      <c r="AA1722" s="45"/>
      <c r="AB1722" s="45"/>
      <c r="AD1722" s="189"/>
      <c r="AE1722" s="189"/>
      <c r="AF1722" s="189"/>
      <c r="AG1722" s="189"/>
      <c r="AH1722" s="189"/>
      <c r="AI1722" s="45"/>
      <c r="AJ1722" s="45"/>
    </row>
    <row r="1723" spans="16:36" x14ac:dyDescent="0.2">
      <c r="P1723" s="73"/>
      <c r="AA1723" s="45"/>
      <c r="AB1723" s="45"/>
      <c r="AD1723" s="189"/>
      <c r="AE1723" s="189"/>
      <c r="AF1723" s="189"/>
      <c r="AG1723" s="189"/>
      <c r="AH1723" s="189"/>
      <c r="AI1723" s="45"/>
      <c r="AJ1723" s="45"/>
    </row>
    <row r="1724" spans="16:36" x14ac:dyDescent="0.2">
      <c r="P1724" s="73"/>
      <c r="AA1724" s="45"/>
      <c r="AB1724" s="45"/>
      <c r="AD1724" s="189"/>
      <c r="AE1724" s="189"/>
      <c r="AF1724" s="189"/>
      <c r="AG1724" s="189"/>
      <c r="AH1724" s="189"/>
      <c r="AI1724" s="45"/>
      <c r="AJ1724" s="45"/>
    </row>
    <row r="1725" spans="16:36" x14ac:dyDescent="0.2">
      <c r="P1725" s="73"/>
      <c r="AA1725" s="45"/>
      <c r="AB1725" s="45"/>
      <c r="AD1725" s="189"/>
      <c r="AE1725" s="189"/>
      <c r="AF1725" s="189"/>
      <c r="AG1725" s="189"/>
      <c r="AH1725" s="189"/>
      <c r="AI1725" s="45"/>
      <c r="AJ1725" s="45"/>
    </row>
    <row r="1726" spans="16:36" x14ac:dyDescent="0.2">
      <c r="P1726" s="73"/>
      <c r="AA1726" s="45"/>
      <c r="AB1726" s="45"/>
      <c r="AD1726" s="189"/>
      <c r="AE1726" s="189"/>
      <c r="AF1726" s="189"/>
      <c r="AG1726" s="189"/>
      <c r="AH1726" s="189"/>
      <c r="AI1726" s="45"/>
      <c r="AJ1726" s="45"/>
    </row>
    <row r="1727" spans="16:36" x14ac:dyDescent="0.2">
      <c r="P1727" s="73"/>
      <c r="AA1727" s="45"/>
      <c r="AB1727" s="45"/>
      <c r="AD1727" s="189"/>
      <c r="AE1727" s="189"/>
      <c r="AF1727" s="189"/>
      <c r="AG1727" s="189"/>
      <c r="AH1727" s="189"/>
      <c r="AI1727" s="45"/>
      <c r="AJ1727" s="45"/>
    </row>
    <row r="1728" spans="16:36" x14ac:dyDescent="0.2">
      <c r="P1728" s="73"/>
      <c r="AA1728" s="45"/>
      <c r="AB1728" s="45"/>
      <c r="AD1728" s="189"/>
      <c r="AE1728" s="189"/>
      <c r="AF1728" s="189"/>
      <c r="AG1728" s="189"/>
      <c r="AH1728" s="189"/>
      <c r="AI1728" s="45"/>
      <c r="AJ1728" s="45"/>
    </row>
    <row r="1729" spans="16:36" x14ac:dyDescent="0.2">
      <c r="P1729" s="73"/>
      <c r="AA1729" s="45"/>
      <c r="AB1729" s="45"/>
      <c r="AD1729" s="189"/>
      <c r="AE1729" s="189"/>
      <c r="AF1729" s="189"/>
      <c r="AG1729" s="189"/>
      <c r="AH1729" s="189"/>
      <c r="AI1729" s="45"/>
      <c r="AJ1729" s="45"/>
    </row>
    <row r="1730" spans="16:36" x14ac:dyDescent="0.2">
      <c r="P1730" s="73"/>
      <c r="AA1730" s="45"/>
      <c r="AB1730" s="45"/>
      <c r="AD1730" s="189"/>
      <c r="AE1730" s="189"/>
      <c r="AF1730" s="189"/>
      <c r="AG1730" s="189"/>
      <c r="AH1730" s="189"/>
      <c r="AI1730" s="45"/>
      <c r="AJ1730" s="45"/>
    </row>
    <row r="1731" spans="16:36" x14ac:dyDescent="0.2">
      <c r="P1731" s="73"/>
      <c r="AA1731" s="45"/>
      <c r="AB1731" s="45"/>
      <c r="AD1731" s="189"/>
      <c r="AE1731" s="189"/>
      <c r="AF1731" s="189"/>
      <c r="AG1731" s="189"/>
      <c r="AH1731" s="189"/>
      <c r="AI1731" s="45"/>
      <c r="AJ1731" s="45"/>
    </row>
    <row r="1732" spans="16:36" x14ac:dyDescent="0.2">
      <c r="P1732" s="73"/>
      <c r="AA1732" s="45"/>
      <c r="AB1732" s="45"/>
      <c r="AD1732" s="189"/>
      <c r="AE1732" s="189"/>
      <c r="AF1732" s="189"/>
      <c r="AG1732" s="189"/>
      <c r="AH1732" s="189"/>
      <c r="AI1732" s="45"/>
      <c r="AJ1732" s="45"/>
    </row>
    <row r="1733" spans="16:36" x14ac:dyDescent="0.2">
      <c r="P1733" s="73"/>
      <c r="AA1733" s="45"/>
      <c r="AB1733" s="45"/>
      <c r="AD1733" s="189"/>
      <c r="AE1733" s="189"/>
      <c r="AF1733" s="189"/>
      <c r="AG1733" s="189"/>
      <c r="AH1733" s="189"/>
      <c r="AI1733" s="45"/>
      <c r="AJ1733" s="45"/>
    </row>
    <row r="1734" spans="16:36" x14ac:dyDescent="0.2">
      <c r="P1734" s="73"/>
      <c r="AA1734" s="45"/>
      <c r="AB1734" s="45"/>
      <c r="AD1734" s="189"/>
      <c r="AE1734" s="189"/>
      <c r="AF1734" s="189"/>
      <c r="AG1734" s="189"/>
      <c r="AH1734" s="189"/>
      <c r="AI1734" s="45"/>
      <c r="AJ1734" s="45"/>
    </row>
    <row r="1735" spans="16:36" x14ac:dyDescent="0.2">
      <c r="P1735" s="73"/>
      <c r="AA1735" s="45"/>
      <c r="AB1735" s="45"/>
      <c r="AD1735" s="189"/>
      <c r="AE1735" s="189"/>
      <c r="AF1735" s="189"/>
      <c r="AG1735" s="189"/>
      <c r="AH1735" s="189"/>
      <c r="AI1735" s="45"/>
      <c r="AJ1735" s="45"/>
    </row>
    <row r="1736" spans="16:36" x14ac:dyDescent="0.2">
      <c r="P1736" s="73"/>
      <c r="AA1736" s="45"/>
      <c r="AB1736" s="45"/>
      <c r="AD1736" s="189"/>
      <c r="AE1736" s="189"/>
      <c r="AF1736" s="189"/>
      <c r="AG1736" s="189"/>
      <c r="AH1736" s="189"/>
      <c r="AI1736" s="45"/>
      <c r="AJ1736" s="45"/>
    </row>
    <row r="1737" spans="16:36" x14ac:dyDescent="0.2">
      <c r="P1737" s="73"/>
      <c r="AA1737" s="45"/>
      <c r="AB1737" s="45"/>
      <c r="AD1737" s="189"/>
      <c r="AE1737" s="189"/>
      <c r="AF1737" s="189"/>
      <c r="AG1737" s="189"/>
      <c r="AH1737" s="189"/>
      <c r="AI1737" s="45"/>
      <c r="AJ1737" s="45"/>
    </row>
    <row r="1738" spans="16:36" x14ac:dyDescent="0.2">
      <c r="P1738" s="73"/>
      <c r="AA1738" s="45"/>
      <c r="AB1738" s="45"/>
      <c r="AD1738" s="189"/>
      <c r="AE1738" s="189"/>
      <c r="AF1738" s="189"/>
      <c r="AG1738" s="189"/>
      <c r="AH1738" s="189"/>
      <c r="AI1738" s="45"/>
      <c r="AJ1738" s="45"/>
    </row>
    <row r="1739" spans="16:36" x14ac:dyDescent="0.2">
      <c r="P1739" s="73"/>
      <c r="AA1739" s="45"/>
      <c r="AB1739" s="45"/>
      <c r="AD1739" s="189"/>
      <c r="AE1739" s="189"/>
      <c r="AF1739" s="189"/>
      <c r="AG1739" s="189"/>
      <c r="AH1739" s="189"/>
      <c r="AI1739" s="45"/>
      <c r="AJ1739" s="45"/>
    </row>
    <row r="1740" spans="16:36" x14ac:dyDescent="0.2">
      <c r="P1740" s="73"/>
      <c r="AA1740" s="45"/>
      <c r="AB1740" s="45"/>
      <c r="AD1740" s="189"/>
      <c r="AE1740" s="189"/>
      <c r="AF1740" s="189"/>
      <c r="AG1740" s="189"/>
      <c r="AH1740" s="189"/>
      <c r="AI1740" s="45"/>
      <c r="AJ1740" s="45"/>
    </row>
    <row r="1741" spans="16:36" x14ac:dyDescent="0.2">
      <c r="P1741" s="73"/>
      <c r="AA1741" s="45"/>
      <c r="AB1741" s="45"/>
      <c r="AD1741" s="189"/>
      <c r="AE1741" s="189"/>
      <c r="AF1741" s="189"/>
      <c r="AG1741" s="189"/>
      <c r="AH1741" s="189"/>
      <c r="AI1741" s="45"/>
      <c r="AJ1741" s="45"/>
    </row>
    <row r="1742" spans="16:36" x14ac:dyDescent="0.2">
      <c r="P1742" s="73"/>
      <c r="AA1742" s="45"/>
      <c r="AB1742" s="45"/>
      <c r="AD1742" s="189"/>
      <c r="AE1742" s="189"/>
      <c r="AF1742" s="189"/>
      <c r="AG1742" s="189"/>
      <c r="AH1742" s="189"/>
      <c r="AI1742" s="45"/>
      <c r="AJ1742" s="45"/>
    </row>
    <row r="1743" spans="16:36" x14ac:dyDescent="0.2">
      <c r="P1743" s="73"/>
      <c r="AA1743" s="45"/>
      <c r="AB1743" s="45"/>
      <c r="AD1743" s="189"/>
      <c r="AE1743" s="189"/>
      <c r="AF1743" s="189"/>
      <c r="AG1743" s="189"/>
      <c r="AH1743" s="189"/>
      <c r="AI1743" s="45"/>
      <c r="AJ1743" s="45"/>
    </row>
    <row r="1744" spans="16:36" x14ac:dyDescent="0.2">
      <c r="P1744" s="73"/>
      <c r="AA1744" s="45"/>
      <c r="AB1744" s="45"/>
      <c r="AD1744" s="189"/>
      <c r="AE1744" s="189"/>
      <c r="AF1744" s="189"/>
      <c r="AG1744" s="189"/>
      <c r="AH1744" s="189"/>
      <c r="AI1744" s="45"/>
      <c r="AJ1744" s="45"/>
    </row>
    <row r="1745" spans="16:36" x14ac:dyDescent="0.2">
      <c r="P1745" s="73"/>
      <c r="AA1745" s="45"/>
      <c r="AB1745" s="45"/>
      <c r="AD1745" s="189"/>
      <c r="AE1745" s="189"/>
      <c r="AF1745" s="189"/>
      <c r="AG1745" s="189"/>
      <c r="AH1745" s="189"/>
      <c r="AI1745" s="45"/>
      <c r="AJ1745" s="45"/>
    </row>
    <row r="1746" spans="16:36" x14ac:dyDescent="0.2">
      <c r="P1746" s="73"/>
      <c r="AA1746" s="45"/>
      <c r="AB1746" s="45"/>
      <c r="AD1746" s="189"/>
      <c r="AE1746" s="189"/>
      <c r="AF1746" s="189"/>
      <c r="AG1746" s="189"/>
      <c r="AH1746" s="189"/>
      <c r="AI1746" s="45"/>
      <c r="AJ1746" s="45"/>
    </row>
    <row r="1747" spans="16:36" x14ac:dyDescent="0.2">
      <c r="P1747" s="73"/>
      <c r="AA1747" s="45"/>
      <c r="AB1747" s="45"/>
      <c r="AD1747" s="189"/>
      <c r="AE1747" s="189"/>
      <c r="AF1747" s="189"/>
      <c r="AG1747" s="189"/>
      <c r="AH1747" s="189"/>
      <c r="AI1747" s="45"/>
      <c r="AJ1747" s="45"/>
    </row>
    <row r="1748" spans="16:36" x14ac:dyDescent="0.2">
      <c r="P1748" s="73"/>
      <c r="AA1748" s="45"/>
      <c r="AB1748" s="45"/>
      <c r="AD1748" s="189"/>
      <c r="AE1748" s="189"/>
      <c r="AF1748" s="189"/>
      <c r="AG1748" s="189"/>
      <c r="AH1748" s="189"/>
      <c r="AI1748" s="45"/>
      <c r="AJ1748" s="45"/>
    </row>
    <row r="1749" spans="16:36" x14ac:dyDescent="0.2">
      <c r="P1749" s="73"/>
      <c r="AA1749" s="45"/>
      <c r="AB1749" s="45"/>
      <c r="AD1749" s="189"/>
      <c r="AE1749" s="189"/>
      <c r="AF1749" s="189"/>
      <c r="AG1749" s="189"/>
      <c r="AH1749" s="189"/>
      <c r="AI1749" s="45"/>
      <c r="AJ1749" s="45"/>
    </row>
    <row r="1750" spans="16:36" x14ac:dyDescent="0.2">
      <c r="P1750" s="73"/>
      <c r="AA1750" s="45"/>
      <c r="AB1750" s="45"/>
      <c r="AD1750" s="189"/>
      <c r="AE1750" s="189"/>
      <c r="AF1750" s="189"/>
      <c r="AG1750" s="189"/>
      <c r="AH1750" s="189"/>
      <c r="AI1750" s="45"/>
      <c r="AJ1750" s="45"/>
    </row>
    <row r="1751" spans="16:36" x14ac:dyDescent="0.2">
      <c r="P1751" s="73"/>
      <c r="AA1751" s="45"/>
      <c r="AB1751" s="45"/>
      <c r="AD1751" s="189"/>
      <c r="AE1751" s="189"/>
      <c r="AF1751" s="189"/>
      <c r="AG1751" s="189"/>
      <c r="AH1751" s="189"/>
      <c r="AI1751" s="45"/>
      <c r="AJ1751" s="45"/>
    </row>
    <row r="1752" spans="16:36" x14ac:dyDescent="0.2">
      <c r="P1752" s="73"/>
      <c r="AA1752" s="45"/>
      <c r="AB1752" s="45"/>
      <c r="AD1752" s="189"/>
      <c r="AE1752" s="189"/>
      <c r="AF1752" s="189"/>
      <c r="AG1752" s="189"/>
      <c r="AH1752" s="189"/>
      <c r="AI1752" s="45"/>
      <c r="AJ1752" s="45"/>
    </row>
    <row r="1753" spans="16:36" x14ac:dyDescent="0.2">
      <c r="P1753" s="73"/>
      <c r="AA1753" s="45"/>
      <c r="AB1753" s="45"/>
      <c r="AD1753" s="189"/>
      <c r="AE1753" s="189"/>
      <c r="AF1753" s="189"/>
      <c r="AG1753" s="189"/>
      <c r="AH1753" s="189"/>
      <c r="AI1753" s="45"/>
      <c r="AJ1753" s="45"/>
    </row>
    <row r="1754" spans="16:36" x14ac:dyDescent="0.2">
      <c r="P1754" s="73"/>
      <c r="AA1754" s="45"/>
      <c r="AB1754" s="45"/>
      <c r="AD1754" s="189"/>
      <c r="AE1754" s="189"/>
      <c r="AF1754" s="189"/>
      <c r="AG1754" s="189"/>
      <c r="AH1754" s="189"/>
      <c r="AI1754" s="45"/>
      <c r="AJ1754" s="45"/>
    </row>
    <row r="1755" spans="16:36" x14ac:dyDescent="0.2">
      <c r="P1755" s="73"/>
      <c r="AA1755" s="45"/>
      <c r="AB1755" s="45"/>
      <c r="AD1755" s="189"/>
      <c r="AE1755" s="189"/>
      <c r="AF1755" s="189"/>
      <c r="AG1755" s="189"/>
      <c r="AH1755" s="189"/>
      <c r="AI1755" s="45"/>
      <c r="AJ1755" s="45"/>
    </row>
    <row r="1756" spans="16:36" x14ac:dyDescent="0.2">
      <c r="P1756" s="73"/>
      <c r="AA1756" s="45"/>
      <c r="AB1756" s="45"/>
      <c r="AD1756" s="189"/>
      <c r="AE1756" s="189"/>
      <c r="AF1756" s="189"/>
      <c r="AG1756" s="189"/>
      <c r="AH1756" s="189"/>
      <c r="AI1756" s="45"/>
      <c r="AJ1756" s="45"/>
    </row>
    <row r="1757" spans="16:36" x14ac:dyDescent="0.2">
      <c r="P1757" s="73"/>
      <c r="AA1757" s="45"/>
      <c r="AB1757" s="45"/>
      <c r="AD1757" s="189"/>
      <c r="AE1757" s="189"/>
      <c r="AF1757" s="189"/>
      <c r="AG1757" s="189"/>
      <c r="AH1757" s="189"/>
      <c r="AI1757" s="45"/>
      <c r="AJ1757" s="45"/>
    </row>
    <row r="1758" spans="16:36" x14ac:dyDescent="0.2">
      <c r="P1758" s="73"/>
      <c r="AA1758" s="45"/>
      <c r="AB1758" s="45"/>
      <c r="AD1758" s="189"/>
      <c r="AE1758" s="189"/>
      <c r="AF1758" s="189"/>
      <c r="AG1758" s="189"/>
      <c r="AH1758" s="189"/>
      <c r="AI1758" s="45"/>
      <c r="AJ1758" s="45"/>
    </row>
    <row r="1759" spans="16:36" x14ac:dyDescent="0.2">
      <c r="P1759" s="73"/>
      <c r="AA1759" s="45"/>
      <c r="AB1759" s="45"/>
      <c r="AD1759" s="189"/>
      <c r="AE1759" s="189"/>
      <c r="AF1759" s="189"/>
      <c r="AG1759" s="189"/>
      <c r="AH1759" s="189"/>
      <c r="AI1759" s="45"/>
      <c r="AJ1759" s="45"/>
    </row>
    <row r="1760" spans="16:36" x14ac:dyDescent="0.2">
      <c r="P1760" s="73"/>
      <c r="AA1760" s="45"/>
      <c r="AB1760" s="45"/>
      <c r="AD1760" s="189"/>
      <c r="AE1760" s="189"/>
      <c r="AF1760" s="189"/>
      <c r="AG1760" s="189"/>
      <c r="AH1760" s="189"/>
      <c r="AI1760" s="45"/>
      <c r="AJ1760" s="45"/>
    </row>
    <row r="1761" spans="16:36" x14ac:dyDescent="0.2">
      <c r="P1761" s="73"/>
      <c r="AA1761" s="45"/>
      <c r="AB1761" s="45"/>
      <c r="AD1761" s="189"/>
      <c r="AE1761" s="189"/>
      <c r="AF1761" s="189"/>
      <c r="AG1761" s="189"/>
      <c r="AH1761" s="189"/>
      <c r="AI1761" s="45"/>
      <c r="AJ1761" s="45"/>
    </row>
    <row r="1762" spans="16:36" x14ac:dyDescent="0.2">
      <c r="P1762" s="73"/>
      <c r="AA1762" s="45"/>
      <c r="AB1762" s="45"/>
      <c r="AD1762" s="189"/>
      <c r="AE1762" s="189"/>
      <c r="AF1762" s="189"/>
      <c r="AG1762" s="189"/>
      <c r="AH1762" s="189"/>
      <c r="AI1762" s="45"/>
      <c r="AJ1762" s="45"/>
    </row>
    <row r="1763" spans="16:36" x14ac:dyDescent="0.2">
      <c r="P1763" s="73"/>
      <c r="AA1763" s="45"/>
      <c r="AB1763" s="45"/>
      <c r="AD1763" s="189"/>
      <c r="AE1763" s="189"/>
      <c r="AF1763" s="189"/>
      <c r="AG1763" s="189"/>
      <c r="AH1763" s="189"/>
      <c r="AI1763" s="45"/>
      <c r="AJ1763" s="45"/>
    </row>
    <row r="1764" spans="16:36" x14ac:dyDescent="0.2">
      <c r="P1764" s="73"/>
      <c r="AA1764" s="45"/>
      <c r="AB1764" s="45"/>
      <c r="AD1764" s="189"/>
      <c r="AE1764" s="189"/>
      <c r="AF1764" s="189"/>
      <c r="AG1764" s="189"/>
      <c r="AH1764" s="189"/>
      <c r="AI1764" s="45"/>
      <c r="AJ1764" s="45"/>
    </row>
    <row r="1765" spans="16:36" x14ac:dyDescent="0.2">
      <c r="P1765" s="73"/>
      <c r="AA1765" s="45"/>
      <c r="AB1765" s="45"/>
      <c r="AD1765" s="189"/>
      <c r="AE1765" s="189"/>
      <c r="AF1765" s="189"/>
      <c r="AG1765" s="189"/>
      <c r="AH1765" s="189"/>
      <c r="AI1765" s="45"/>
      <c r="AJ1765" s="45"/>
    </row>
    <row r="1766" spans="16:36" x14ac:dyDescent="0.2">
      <c r="P1766" s="73"/>
      <c r="AA1766" s="45"/>
      <c r="AB1766" s="45"/>
      <c r="AD1766" s="189"/>
      <c r="AE1766" s="189"/>
      <c r="AF1766" s="189"/>
      <c r="AG1766" s="189"/>
      <c r="AH1766" s="189"/>
      <c r="AI1766" s="45"/>
      <c r="AJ1766" s="45"/>
    </row>
    <row r="1767" spans="16:36" x14ac:dyDescent="0.2">
      <c r="P1767" s="73"/>
      <c r="AA1767" s="45"/>
      <c r="AB1767" s="45"/>
      <c r="AD1767" s="189"/>
      <c r="AE1767" s="189"/>
      <c r="AF1767" s="189"/>
      <c r="AG1767" s="189"/>
      <c r="AH1767" s="189"/>
      <c r="AI1767" s="45"/>
      <c r="AJ1767" s="45"/>
    </row>
    <row r="1768" spans="16:36" x14ac:dyDescent="0.2">
      <c r="P1768" s="73"/>
      <c r="AA1768" s="45"/>
      <c r="AB1768" s="45"/>
      <c r="AD1768" s="189"/>
      <c r="AE1768" s="189"/>
      <c r="AF1768" s="189"/>
      <c r="AG1768" s="189"/>
      <c r="AH1768" s="189"/>
      <c r="AI1768" s="45"/>
      <c r="AJ1768" s="45"/>
    </row>
    <row r="1769" spans="16:36" x14ac:dyDescent="0.2">
      <c r="P1769" s="73"/>
      <c r="AA1769" s="45"/>
      <c r="AB1769" s="45"/>
      <c r="AD1769" s="189"/>
      <c r="AE1769" s="189"/>
      <c r="AF1769" s="189"/>
      <c r="AG1769" s="189"/>
      <c r="AH1769" s="189"/>
      <c r="AI1769" s="45"/>
      <c r="AJ1769" s="45"/>
    </row>
    <row r="1770" spans="16:36" x14ac:dyDescent="0.2">
      <c r="P1770" s="73"/>
      <c r="AA1770" s="45"/>
      <c r="AB1770" s="45"/>
      <c r="AD1770" s="189"/>
      <c r="AE1770" s="189"/>
      <c r="AF1770" s="189"/>
      <c r="AG1770" s="189"/>
      <c r="AH1770" s="189"/>
      <c r="AI1770" s="45"/>
      <c r="AJ1770" s="45"/>
    </row>
    <row r="1771" spans="16:36" x14ac:dyDescent="0.2">
      <c r="P1771" s="73"/>
      <c r="AA1771" s="45"/>
      <c r="AB1771" s="45"/>
      <c r="AD1771" s="189"/>
      <c r="AE1771" s="189"/>
      <c r="AF1771" s="189"/>
      <c r="AG1771" s="189"/>
      <c r="AH1771" s="189"/>
      <c r="AI1771" s="45"/>
      <c r="AJ1771" s="45"/>
    </row>
    <row r="1772" spans="16:36" x14ac:dyDescent="0.2">
      <c r="P1772" s="73"/>
      <c r="AA1772" s="45"/>
      <c r="AB1772" s="45"/>
      <c r="AD1772" s="189"/>
      <c r="AE1772" s="189"/>
      <c r="AF1772" s="189"/>
      <c r="AG1772" s="189"/>
      <c r="AH1772" s="189"/>
      <c r="AI1772" s="45"/>
      <c r="AJ1772" s="45"/>
    </row>
    <row r="1773" spans="16:36" x14ac:dyDescent="0.2">
      <c r="P1773" s="73"/>
      <c r="AA1773" s="45"/>
      <c r="AB1773" s="45"/>
      <c r="AD1773" s="189"/>
      <c r="AE1773" s="189"/>
      <c r="AF1773" s="189"/>
      <c r="AG1773" s="189"/>
      <c r="AH1773" s="189"/>
      <c r="AI1773" s="45"/>
      <c r="AJ1773" s="45"/>
    </row>
    <row r="1774" spans="16:36" x14ac:dyDescent="0.2">
      <c r="P1774" s="73"/>
      <c r="AA1774" s="45"/>
      <c r="AB1774" s="45"/>
      <c r="AD1774" s="189"/>
      <c r="AE1774" s="189"/>
      <c r="AF1774" s="189"/>
      <c r="AG1774" s="189"/>
      <c r="AH1774" s="189"/>
      <c r="AI1774" s="45"/>
      <c r="AJ1774" s="45"/>
    </row>
    <row r="1775" spans="16:36" x14ac:dyDescent="0.2">
      <c r="P1775" s="73"/>
      <c r="AA1775" s="45"/>
      <c r="AB1775" s="45"/>
      <c r="AD1775" s="189"/>
      <c r="AE1775" s="189"/>
      <c r="AF1775" s="189"/>
      <c r="AG1775" s="189"/>
      <c r="AH1775" s="189"/>
      <c r="AI1775" s="45"/>
      <c r="AJ1775" s="45"/>
    </row>
    <row r="1776" spans="16:36" x14ac:dyDescent="0.2">
      <c r="P1776" s="73"/>
      <c r="AA1776" s="45"/>
      <c r="AB1776" s="45"/>
      <c r="AD1776" s="189"/>
      <c r="AE1776" s="189"/>
      <c r="AF1776" s="189"/>
      <c r="AG1776" s="189"/>
      <c r="AH1776" s="189"/>
      <c r="AI1776" s="45"/>
      <c r="AJ1776" s="45"/>
    </row>
    <row r="1777" spans="16:36" x14ac:dyDescent="0.2">
      <c r="P1777" s="73"/>
      <c r="AA1777" s="45"/>
      <c r="AB1777" s="45"/>
      <c r="AD1777" s="189"/>
      <c r="AE1777" s="189"/>
      <c r="AF1777" s="189"/>
      <c r="AG1777" s="189"/>
      <c r="AH1777" s="189"/>
      <c r="AI1777" s="45"/>
      <c r="AJ1777" s="45"/>
    </row>
    <row r="1778" spans="16:36" x14ac:dyDescent="0.2">
      <c r="P1778" s="73"/>
      <c r="AA1778" s="45"/>
      <c r="AB1778" s="45"/>
      <c r="AD1778" s="189"/>
      <c r="AE1778" s="189"/>
      <c r="AF1778" s="189"/>
      <c r="AG1778" s="189"/>
      <c r="AH1778" s="189"/>
      <c r="AI1778" s="45"/>
      <c r="AJ1778" s="45"/>
    </row>
    <row r="1779" spans="16:36" x14ac:dyDescent="0.2">
      <c r="P1779" s="73"/>
      <c r="AA1779" s="45"/>
      <c r="AB1779" s="45"/>
      <c r="AD1779" s="189"/>
      <c r="AE1779" s="189"/>
      <c r="AF1779" s="189"/>
      <c r="AG1779" s="189"/>
      <c r="AH1779" s="189"/>
      <c r="AI1779" s="45"/>
      <c r="AJ1779" s="45"/>
    </row>
    <row r="1780" spans="16:36" x14ac:dyDescent="0.2">
      <c r="P1780" s="73"/>
      <c r="AA1780" s="45"/>
      <c r="AB1780" s="45"/>
      <c r="AD1780" s="189"/>
      <c r="AE1780" s="189"/>
      <c r="AF1780" s="189"/>
      <c r="AG1780" s="189"/>
      <c r="AH1780" s="189"/>
      <c r="AI1780" s="45"/>
      <c r="AJ1780" s="45"/>
    </row>
    <row r="1781" spans="16:36" x14ac:dyDescent="0.2">
      <c r="P1781" s="73"/>
      <c r="AA1781" s="45"/>
      <c r="AB1781" s="45"/>
      <c r="AD1781" s="189"/>
      <c r="AE1781" s="189"/>
      <c r="AF1781" s="189"/>
      <c r="AG1781" s="189"/>
      <c r="AH1781" s="189"/>
      <c r="AI1781" s="45"/>
      <c r="AJ1781" s="45"/>
    </row>
    <row r="1782" spans="16:36" x14ac:dyDescent="0.2">
      <c r="P1782" s="73"/>
      <c r="AA1782" s="45"/>
      <c r="AB1782" s="45"/>
      <c r="AD1782" s="189"/>
      <c r="AE1782" s="189"/>
      <c r="AF1782" s="189"/>
      <c r="AG1782" s="189"/>
      <c r="AH1782" s="189"/>
      <c r="AI1782" s="45"/>
      <c r="AJ1782" s="45"/>
    </row>
    <row r="1783" spans="16:36" x14ac:dyDescent="0.2">
      <c r="P1783" s="73"/>
      <c r="AA1783" s="45"/>
      <c r="AB1783" s="45"/>
      <c r="AD1783" s="189"/>
      <c r="AE1783" s="189"/>
      <c r="AF1783" s="189"/>
      <c r="AG1783" s="189"/>
      <c r="AH1783" s="189"/>
      <c r="AI1783" s="45"/>
      <c r="AJ1783" s="45"/>
    </row>
    <row r="1784" spans="16:36" x14ac:dyDescent="0.2">
      <c r="P1784" s="73"/>
      <c r="AA1784" s="45"/>
      <c r="AB1784" s="45"/>
      <c r="AD1784" s="189"/>
      <c r="AE1784" s="189"/>
      <c r="AF1784" s="189"/>
      <c r="AG1784" s="189"/>
      <c r="AH1784" s="189"/>
      <c r="AI1784" s="45"/>
      <c r="AJ1784" s="45"/>
    </row>
    <row r="1785" spans="16:36" x14ac:dyDescent="0.2">
      <c r="P1785" s="73"/>
      <c r="AA1785" s="45"/>
      <c r="AB1785" s="45"/>
      <c r="AD1785" s="189"/>
      <c r="AE1785" s="189"/>
      <c r="AF1785" s="189"/>
      <c r="AG1785" s="189"/>
      <c r="AH1785" s="189"/>
      <c r="AI1785" s="45"/>
      <c r="AJ1785" s="45"/>
    </row>
    <row r="1786" spans="16:36" x14ac:dyDescent="0.2">
      <c r="P1786" s="73"/>
      <c r="AA1786" s="45"/>
      <c r="AB1786" s="45"/>
      <c r="AD1786" s="189"/>
      <c r="AE1786" s="189"/>
      <c r="AF1786" s="189"/>
      <c r="AG1786" s="189"/>
      <c r="AH1786" s="189"/>
      <c r="AI1786" s="45"/>
      <c r="AJ1786" s="45"/>
    </row>
    <row r="1787" spans="16:36" x14ac:dyDescent="0.2">
      <c r="P1787" s="73"/>
      <c r="AA1787" s="45"/>
      <c r="AB1787" s="45"/>
      <c r="AD1787" s="189"/>
      <c r="AE1787" s="189"/>
      <c r="AF1787" s="189"/>
      <c r="AG1787" s="189"/>
      <c r="AH1787" s="189"/>
      <c r="AI1787" s="45"/>
      <c r="AJ1787" s="45"/>
    </row>
    <row r="1788" spans="16:36" x14ac:dyDescent="0.2">
      <c r="P1788" s="73"/>
      <c r="AA1788" s="45"/>
      <c r="AB1788" s="45"/>
      <c r="AD1788" s="189"/>
      <c r="AE1788" s="189"/>
      <c r="AF1788" s="189"/>
      <c r="AG1788" s="189"/>
      <c r="AH1788" s="189"/>
      <c r="AI1788" s="45"/>
      <c r="AJ1788" s="45"/>
    </row>
    <row r="1789" spans="16:36" x14ac:dyDescent="0.2">
      <c r="P1789" s="73"/>
      <c r="AA1789" s="45"/>
      <c r="AB1789" s="45"/>
      <c r="AD1789" s="189"/>
      <c r="AE1789" s="189"/>
      <c r="AF1789" s="189"/>
      <c r="AG1789" s="189"/>
      <c r="AH1789" s="189"/>
      <c r="AI1789" s="45"/>
      <c r="AJ1789" s="45"/>
    </row>
    <row r="1790" spans="16:36" x14ac:dyDescent="0.2">
      <c r="P1790" s="73"/>
      <c r="AA1790" s="45"/>
      <c r="AB1790" s="45"/>
      <c r="AD1790" s="189"/>
      <c r="AE1790" s="189"/>
      <c r="AF1790" s="189"/>
      <c r="AG1790" s="189"/>
      <c r="AH1790" s="189"/>
      <c r="AI1790" s="45"/>
      <c r="AJ1790" s="45"/>
    </row>
    <row r="1791" spans="16:36" x14ac:dyDescent="0.2">
      <c r="P1791" s="73"/>
      <c r="AA1791" s="45"/>
      <c r="AB1791" s="45"/>
      <c r="AD1791" s="189"/>
      <c r="AE1791" s="189"/>
      <c r="AF1791" s="189"/>
      <c r="AG1791" s="189"/>
      <c r="AH1791" s="189"/>
      <c r="AI1791" s="45"/>
      <c r="AJ1791" s="45"/>
    </row>
    <row r="1792" spans="16:36" x14ac:dyDescent="0.2">
      <c r="P1792" s="73"/>
      <c r="AA1792" s="45"/>
      <c r="AB1792" s="45"/>
      <c r="AD1792" s="189"/>
      <c r="AE1792" s="189"/>
      <c r="AF1792" s="189"/>
      <c r="AG1792" s="189"/>
      <c r="AH1792" s="189"/>
      <c r="AI1792" s="45"/>
      <c r="AJ1792" s="45"/>
    </row>
    <row r="1793" spans="16:36" x14ac:dyDescent="0.2">
      <c r="P1793" s="73"/>
      <c r="AA1793" s="45"/>
      <c r="AB1793" s="45"/>
      <c r="AD1793" s="189"/>
      <c r="AE1793" s="189"/>
      <c r="AF1793" s="189"/>
      <c r="AG1793" s="189"/>
      <c r="AH1793" s="189"/>
      <c r="AI1793" s="45"/>
      <c r="AJ1793" s="45"/>
    </row>
    <row r="1794" spans="16:36" x14ac:dyDescent="0.2">
      <c r="P1794" s="73"/>
      <c r="AA1794" s="45"/>
      <c r="AB1794" s="45"/>
      <c r="AD1794" s="189"/>
      <c r="AE1794" s="189"/>
      <c r="AF1794" s="189"/>
      <c r="AG1794" s="189"/>
      <c r="AH1794" s="189"/>
      <c r="AI1794" s="45"/>
      <c r="AJ1794" s="45"/>
    </row>
    <row r="1795" spans="16:36" x14ac:dyDescent="0.2">
      <c r="P1795" s="73"/>
      <c r="AA1795" s="45"/>
      <c r="AB1795" s="45"/>
      <c r="AD1795" s="189"/>
      <c r="AE1795" s="189"/>
      <c r="AF1795" s="189"/>
      <c r="AG1795" s="189"/>
      <c r="AH1795" s="189"/>
      <c r="AI1795" s="45"/>
      <c r="AJ1795" s="45"/>
    </row>
    <row r="1796" spans="16:36" x14ac:dyDescent="0.2">
      <c r="P1796" s="73"/>
      <c r="AA1796" s="45"/>
      <c r="AB1796" s="45"/>
      <c r="AD1796" s="189"/>
      <c r="AE1796" s="189"/>
      <c r="AF1796" s="189"/>
      <c r="AG1796" s="189"/>
      <c r="AH1796" s="189"/>
      <c r="AI1796" s="45"/>
      <c r="AJ1796" s="45"/>
    </row>
    <row r="1797" spans="16:36" x14ac:dyDescent="0.2">
      <c r="P1797" s="73"/>
      <c r="AA1797" s="45"/>
      <c r="AB1797" s="45"/>
      <c r="AD1797" s="189"/>
      <c r="AE1797" s="189"/>
      <c r="AF1797" s="189"/>
      <c r="AG1797" s="189"/>
      <c r="AH1797" s="189"/>
      <c r="AI1797" s="45"/>
      <c r="AJ1797" s="45"/>
    </row>
    <row r="1798" spans="16:36" x14ac:dyDescent="0.2">
      <c r="P1798" s="73"/>
      <c r="AA1798" s="45"/>
      <c r="AB1798" s="45"/>
      <c r="AD1798" s="189"/>
      <c r="AE1798" s="189"/>
      <c r="AF1798" s="189"/>
      <c r="AG1798" s="189"/>
      <c r="AH1798" s="189"/>
      <c r="AI1798" s="45"/>
      <c r="AJ1798" s="45"/>
    </row>
    <row r="1799" spans="16:36" x14ac:dyDescent="0.2">
      <c r="P1799" s="73"/>
      <c r="AA1799" s="45"/>
      <c r="AB1799" s="45"/>
      <c r="AD1799" s="189"/>
      <c r="AE1799" s="189"/>
      <c r="AF1799" s="189"/>
      <c r="AG1799" s="189"/>
      <c r="AH1799" s="189"/>
      <c r="AI1799" s="45"/>
      <c r="AJ1799" s="45"/>
    </row>
    <row r="1800" spans="16:36" x14ac:dyDescent="0.2">
      <c r="P1800" s="73"/>
      <c r="AA1800" s="45"/>
      <c r="AB1800" s="45"/>
      <c r="AD1800" s="189"/>
      <c r="AE1800" s="189"/>
      <c r="AF1800" s="189"/>
      <c r="AG1800" s="189"/>
      <c r="AH1800" s="189"/>
      <c r="AI1800" s="45"/>
      <c r="AJ1800" s="45"/>
    </row>
    <row r="1801" spans="16:36" x14ac:dyDescent="0.2">
      <c r="P1801" s="73"/>
      <c r="AA1801" s="45"/>
      <c r="AB1801" s="45"/>
      <c r="AD1801" s="189"/>
      <c r="AE1801" s="189"/>
      <c r="AF1801" s="189"/>
      <c r="AG1801" s="189"/>
      <c r="AH1801" s="189"/>
      <c r="AI1801" s="45"/>
      <c r="AJ1801" s="45"/>
    </row>
    <row r="1802" spans="16:36" x14ac:dyDescent="0.2">
      <c r="P1802" s="73"/>
      <c r="AA1802" s="45"/>
      <c r="AB1802" s="45"/>
      <c r="AD1802" s="189"/>
      <c r="AE1802" s="189"/>
      <c r="AF1802" s="189"/>
      <c r="AG1802" s="189"/>
      <c r="AH1802" s="189"/>
      <c r="AI1802" s="45"/>
      <c r="AJ1802" s="45"/>
    </row>
    <row r="1803" spans="16:36" x14ac:dyDescent="0.2">
      <c r="P1803" s="73"/>
      <c r="AA1803" s="45"/>
      <c r="AB1803" s="45"/>
      <c r="AD1803" s="189"/>
      <c r="AE1803" s="189"/>
      <c r="AF1803" s="189"/>
      <c r="AG1803" s="189"/>
      <c r="AH1803" s="189"/>
      <c r="AI1803" s="45"/>
      <c r="AJ1803" s="45"/>
    </row>
    <row r="1804" spans="16:36" x14ac:dyDescent="0.2">
      <c r="P1804" s="73"/>
      <c r="AA1804" s="45"/>
      <c r="AB1804" s="45"/>
      <c r="AD1804" s="189"/>
      <c r="AE1804" s="189"/>
      <c r="AF1804" s="189"/>
      <c r="AG1804" s="189"/>
      <c r="AH1804" s="189"/>
      <c r="AI1804" s="45"/>
      <c r="AJ1804" s="45"/>
    </row>
    <row r="1805" spans="16:36" x14ac:dyDescent="0.2">
      <c r="P1805" s="73"/>
      <c r="AA1805" s="45"/>
      <c r="AB1805" s="45"/>
      <c r="AD1805" s="189"/>
      <c r="AE1805" s="189"/>
      <c r="AF1805" s="189"/>
      <c r="AG1805" s="189"/>
      <c r="AH1805" s="189"/>
      <c r="AI1805" s="45"/>
      <c r="AJ1805" s="45"/>
    </row>
    <row r="1806" spans="16:36" x14ac:dyDescent="0.2">
      <c r="P1806" s="73"/>
      <c r="AA1806" s="45"/>
      <c r="AB1806" s="45"/>
      <c r="AD1806" s="189"/>
      <c r="AE1806" s="189"/>
      <c r="AF1806" s="189"/>
      <c r="AG1806" s="189"/>
      <c r="AH1806" s="189"/>
      <c r="AI1806" s="45"/>
      <c r="AJ1806" s="45"/>
    </row>
    <row r="1807" spans="16:36" x14ac:dyDescent="0.2">
      <c r="P1807" s="73"/>
      <c r="AA1807" s="45"/>
      <c r="AB1807" s="45"/>
      <c r="AD1807" s="189"/>
      <c r="AE1807" s="189"/>
      <c r="AF1807" s="189"/>
      <c r="AG1807" s="189"/>
      <c r="AH1807" s="189"/>
      <c r="AI1807" s="45"/>
      <c r="AJ1807" s="45"/>
    </row>
    <row r="1808" spans="16:36" x14ac:dyDescent="0.2">
      <c r="P1808" s="73"/>
      <c r="AA1808" s="45"/>
      <c r="AB1808" s="45"/>
      <c r="AD1808" s="189"/>
      <c r="AE1808" s="189"/>
      <c r="AF1808" s="189"/>
      <c r="AG1808" s="189"/>
      <c r="AH1808" s="189"/>
      <c r="AI1808" s="45"/>
      <c r="AJ1808" s="45"/>
    </row>
    <row r="1809" spans="16:36" x14ac:dyDescent="0.2">
      <c r="P1809" s="73"/>
      <c r="AA1809" s="45"/>
      <c r="AB1809" s="45"/>
      <c r="AD1809" s="189"/>
      <c r="AE1809" s="189"/>
      <c r="AF1809" s="189"/>
      <c r="AG1809" s="189"/>
      <c r="AH1809" s="189"/>
      <c r="AI1809" s="45"/>
      <c r="AJ1809" s="45"/>
    </row>
    <row r="1810" spans="16:36" x14ac:dyDescent="0.2">
      <c r="P1810" s="73"/>
      <c r="AA1810" s="45"/>
      <c r="AB1810" s="45"/>
      <c r="AD1810" s="189"/>
      <c r="AE1810" s="189"/>
      <c r="AF1810" s="189"/>
      <c r="AG1810" s="189"/>
      <c r="AH1810" s="189"/>
      <c r="AI1810" s="45"/>
      <c r="AJ1810" s="45"/>
    </row>
    <row r="1811" spans="16:36" x14ac:dyDescent="0.2">
      <c r="P1811" s="73"/>
      <c r="AA1811" s="45"/>
      <c r="AB1811" s="45"/>
      <c r="AD1811" s="189"/>
      <c r="AE1811" s="189"/>
      <c r="AF1811" s="189"/>
      <c r="AG1811" s="189"/>
      <c r="AH1811" s="189"/>
      <c r="AI1811" s="45"/>
      <c r="AJ1811" s="45"/>
    </row>
    <row r="1812" spans="16:36" x14ac:dyDescent="0.2">
      <c r="P1812" s="73"/>
      <c r="AA1812" s="45"/>
      <c r="AB1812" s="45"/>
      <c r="AD1812" s="189"/>
      <c r="AE1812" s="189"/>
      <c r="AF1812" s="189"/>
      <c r="AG1812" s="189"/>
      <c r="AH1812" s="189"/>
      <c r="AI1812" s="45"/>
      <c r="AJ1812" s="45"/>
    </row>
    <row r="1813" spans="16:36" x14ac:dyDescent="0.2">
      <c r="P1813" s="73"/>
      <c r="AA1813" s="45"/>
      <c r="AB1813" s="45"/>
      <c r="AD1813" s="189"/>
      <c r="AE1813" s="189"/>
      <c r="AF1813" s="189"/>
      <c r="AG1813" s="189"/>
      <c r="AH1813" s="189"/>
      <c r="AI1813" s="45"/>
      <c r="AJ1813" s="45"/>
    </row>
    <row r="1814" spans="16:36" x14ac:dyDescent="0.2">
      <c r="P1814" s="73"/>
      <c r="AA1814" s="45"/>
      <c r="AB1814" s="45"/>
      <c r="AD1814" s="189"/>
      <c r="AE1814" s="189"/>
      <c r="AF1814" s="189"/>
      <c r="AG1814" s="189"/>
      <c r="AH1814" s="189"/>
      <c r="AI1814" s="45"/>
      <c r="AJ1814" s="45"/>
    </row>
    <row r="1815" spans="16:36" x14ac:dyDescent="0.2">
      <c r="P1815" s="73"/>
      <c r="AA1815" s="45"/>
      <c r="AB1815" s="45"/>
      <c r="AD1815" s="189"/>
      <c r="AE1815" s="189"/>
      <c r="AF1815" s="189"/>
      <c r="AG1815" s="189"/>
      <c r="AH1815" s="189"/>
      <c r="AI1815" s="45"/>
      <c r="AJ1815" s="45"/>
    </row>
    <row r="1816" spans="16:36" x14ac:dyDescent="0.2">
      <c r="P1816" s="73"/>
      <c r="AA1816" s="45"/>
      <c r="AB1816" s="45"/>
      <c r="AD1816" s="189"/>
      <c r="AE1816" s="189"/>
      <c r="AF1816" s="189"/>
      <c r="AG1816" s="189"/>
      <c r="AH1816" s="189"/>
      <c r="AI1816" s="45"/>
      <c r="AJ1816" s="45"/>
    </row>
    <row r="1817" spans="16:36" x14ac:dyDescent="0.2">
      <c r="P1817" s="73"/>
      <c r="AA1817" s="45"/>
      <c r="AB1817" s="45"/>
      <c r="AD1817" s="189"/>
      <c r="AE1817" s="189"/>
      <c r="AF1817" s="189"/>
      <c r="AG1817" s="189"/>
      <c r="AH1817" s="189"/>
      <c r="AI1817" s="45"/>
      <c r="AJ1817" s="45"/>
    </row>
    <row r="1818" spans="16:36" x14ac:dyDescent="0.2">
      <c r="P1818" s="73"/>
      <c r="AA1818" s="45"/>
      <c r="AB1818" s="45"/>
      <c r="AD1818" s="189"/>
      <c r="AE1818" s="189"/>
      <c r="AF1818" s="189"/>
      <c r="AG1818" s="189"/>
      <c r="AH1818" s="189"/>
      <c r="AI1818" s="45"/>
      <c r="AJ1818" s="45"/>
    </row>
    <row r="1819" spans="16:36" x14ac:dyDescent="0.2">
      <c r="P1819" s="73"/>
      <c r="AA1819" s="45"/>
      <c r="AB1819" s="45"/>
      <c r="AD1819" s="189"/>
      <c r="AE1819" s="189"/>
      <c r="AF1819" s="189"/>
      <c r="AG1819" s="189"/>
      <c r="AH1819" s="189"/>
      <c r="AI1819" s="45"/>
      <c r="AJ1819" s="45"/>
    </row>
    <row r="1820" spans="16:36" x14ac:dyDescent="0.2">
      <c r="P1820" s="73"/>
      <c r="AA1820" s="45"/>
      <c r="AB1820" s="45"/>
      <c r="AD1820" s="189"/>
      <c r="AE1820" s="189"/>
      <c r="AF1820" s="189"/>
      <c r="AG1820" s="189"/>
      <c r="AH1820" s="189"/>
      <c r="AI1820" s="45"/>
      <c r="AJ1820" s="45"/>
    </row>
    <row r="1821" spans="16:36" x14ac:dyDescent="0.2">
      <c r="P1821" s="73"/>
      <c r="AA1821" s="45"/>
      <c r="AB1821" s="45"/>
      <c r="AD1821" s="189"/>
      <c r="AE1821" s="189"/>
      <c r="AF1821" s="189"/>
      <c r="AG1821" s="189"/>
      <c r="AH1821" s="189"/>
      <c r="AI1821" s="45"/>
      <c r="AJ1821" s="45"/>
    </row>
    <row r="1822" spans="16:36" x14ac:dyDescent="0.2">
      <c r="P1822" s="73"/>
      <c r="AA1822" s="45"/>
      <c r="AB1822" s="45"/>
      <c r="AD1822" s="189"/>
      <c r="AE1822" s="189"/>
      <c r="AF1822" s="189"/>
      <c r="AG1822" s="189"/>
      <c r="AH1822" s="189"/>
      <c r="AI1822" s="45"/>
      <c r="AJ1822" s="45"/>
    </row>
    <row r="1823" spans="16:36" x14ac:dyDescent="0.2">
      <c r="P1823" s="73"/>
      <c r="AA1823" s="45"/>
      <c r="AB1823" s="45"/>
      <c r="AD1823" s="189"/>
      <c r="AE1823" s="189"/>
      <c r="AF1823" s="189"/>
      <c r="AG1823" s="189"/>
      <c r="AH1823" s="189"/>
      <c r="AI1823" s="45"/>
      <c r="AJ1823" s="45"/>
    </row>
    <row r="1824" spans="16:36" x14ac:dyDescent="0.2">
      <c r="P1824" s="73"/>
      <c r="AA1824" s="45"/>
      <c r="AB1824" s="45"/>
      <c r="AD1824" s="189"/>
      <c r="AE1824" s="189"/>
      <c r="AF1824" s="189"/>
      <c r="AG1824" s="189"/>
      <c r="AH1824" s="189"/>
      <c r="AI1824" s="45"/>
      <c r="AJ1824" s="45"/>
    </row>
    <row r="1825" spans="16:36" x14ac:dyDescent="0.2">
      <c r="P1825" s="73"/>
      <c r="AA1825" s="45"/>
      <c r="AB1825" s="45"/>
      <c r="AD1825" s="189"/>
      <c r="AE1825" s="189"/>
      <c r="AF1825" s="189"/>
      <c r="AG1825" s="189"/>
      <c r="AH1825" s="189"/>
      <c r="AI1825" s="45"/>
      <c r="AJ1825" s="45"/>
    </row>
    <row r="1826" spans="16:36" x14ac:dyDescent="0.2">
      <c r="P1826" s="73"/>
      <c r="AA1826" s="45"/>
      <c r="AB1826" s="45"/>
      <c r="AD1826" s="189"/>
      <c r="AE1826" s="189"/>
      <c r="AF1826" s="189"/>
      <c r="AG1826" s="189"/>
      <c r="AH1826" s="189"/>
      <c r="AI1826" s="45"/>
      <c r="AJ1826" s="45"/>
    </row>
    <row r="1827" spans="16:36" x14ac:dyDescent="0.2">
      <c r="P1827" s="73"/>
      <c r="AA1827" s="45"/>
      <c r="AB1827" s="45"/>
      <c r="AD1827" s="189"/>
      <c r="AE1827" s="189"/>
      <c r="AF1827" s="189"/>
      <c r="AG1827" s="189"/>
      <c r="AH1827" s="189"/>
      <c r="AI1827" s="45"/>
      <c r="AJ1827" s="45"/>
    </row>
    <row r="1828" spans="16:36" x14ac:dyDescent="0.2">
      <c r="P1828" s="73"/>
      <c r="AA1828" s="45"/>
      <c r="AB1828" s="45"/>
      <c r="AD1828" s="189"/>
      <c r="AE1828" s="189"/>
      <c r="AF1828" s="189"/>
      <c r="AG1828" s="189"/>
      <c r="AH1828" s="189"/>
      <c r="AI1828" s="45"/>
      <c r="AJ1828" s="45"/>
    </row>
    <row r="1829" spans="16:36" x14ac:dyDescent="0.2">
      <c r="P1829" s="73"/>
      <c r="AA1829" s="45"/>
      <c r="AB1829" s="45"/>
      <c r="AD1829" s="189"/>
      <c r="AE1829" s="189"/>
      <c r="AF1829" s="189"/>
      <c r="AG1829" s="189"/>
      <c r="AH1829" s="189"/>
      <c r="AI1829" s="45"/>
      <c r="AJ1829" s="45"/>
    </row>
    <row r="1830" spans="16:36" x14ac:dyDescent="0.2">
      <c r="P1830" s="73"/>
      <c r="AA1830" s="45"/>
      <c r="AB1830" s="45"/>
      <c r="AD1830" s="189"/>
      <c r="AE1830" s="189"/>
      <c r="AF1830" s="189"/>
      <c r="AG1830" s="189"/>
      <c r="AH1830" s="189"/>
      <c r="AI1830" s="45"/>
      <c r="AJ1830" s="45"/>
    </row>
    <row r="1831" spans="16:36" x14ac:dyDescent="0.2">
      <c r="P1831" s="73"/>
      <c r="AA1831" s="45"/>
      <c r="AB1831" s="45"/>
      <c r="AD1831" s="189"/>
      <c r="AE1831" s="189"/>
      <c r="AF1831" s="189"/>
      <c r="AG1831" s="189"/>
      <c r="AH1831" s="189"/>
      <c r="AI1831" s="45"/>
      <c r="AJ1831" s="45"/>
    </row>
    <row r="1832" spans="16:36" x14ac:dyDescent="0.2">
      <c r="P1832" s="73"/>
      <c r="AA1832" s="45"/>
      <c r="AB1832" s="45"/>
      <c r="AD1832" s="189"/>
      <c r="AE1832" s="189"/>
      <c r="AF1832" s="189"/>
      <c r="AG1832" s="189"/>
      <c r="AH1832" s="189"/>
      <c r="AI1832" s="45"/>
      <c r="AJ1832" s="45"/>
    </row>
    <row r="1833" spans="16:36" x14ac:dyDescent="0.2">
      <c r="P1833" s="73"/>
      <c r="AA1833" s="45"/>
      <c r="AB1833" s="45"/>
      <c r="AD1833" s="189"/>
      <c r="AE1833" s="189"/>
      <c r="AF1833" s="189"/>
      <c r="AG1833" s="189"/>
      <c r="AH1833" s="189"/>
      <c r="AI1833" s="45"/>
      <c r="AJ1833" s="45"/>
    </row>
    <row r="1834" spans="16:36" x14ac:dyDescent="0.2">
      <c r="P1834" s="73"/>
      <c r="AA1834" s="45"/>
      <c r="AB1834" s="45"/>
      <c r="AD1834" s="189"/>
      <c r="AE1834" s="189"/>
      <c r="AF1834" s="189"/>
      <c r="AG1834" s="189"/>
      <c r="AH1834" s="189"/>
      <c r="AI1834" s="45"/>
      <c r="AJ1834" s="45"/>
    </row>
    <row r="1835" spans="16:36" x14ac:dyDescent="0.2">
      <c r="P1835" s="73"/>
      <c r="AA1835" s="45"/>
      <c r="AB1835" s="45"/>
      <c r="AD1835" s="189"/>
      <c r="AE1835" s="189"/>
      <c r="AF1835" s="189"/>
      <c r="AG1835" s="189"/>
      <c r="AH1835" s="189"/>
      <c r="AI1835" s="45"/>
      <c r="AJ1835" s="45"/>
    </row>
    <row r="1836" spans="16:36" x14ac:dyDescent="0.2">
      <c r="P1836" s="73"/>
      <c r="AA1836" s="45"/>
      <c r="AB1836" s="45"/>
      <c r="AD1836" s="189"/>
      <c r="AE1836" s="189"/>
      <c r="AF1836" s="189"/>
      <c r="AG1836" s="189"/>
      <c r="AH1836" s="189"/>
      <c r="AI1836" s="45"/>
      <c r="AJ1836" s="45"/>
    </row>
    <row r="1837" spans="16:36" x14ac:dyDescent="0.2">
      <c r="P1837" s="73"/>
      <c r="AA1837" s="45"/>
      <c r="AB1837" s="45"/>
      <c r="AD1837" s="189"/>
      <c r="AE1837" s="189"/>
      <c r="AF1837" s="189"/>
      <c r="AG1837" s="189"/>
      <c r="AH1837" s="189"/>
      <c r="AI1837" s="45"/>
      <c r="AJ1837" s="45"/>
    </row>
    <row r="1838" spans="16:36" x14ac:dyDescent="0.2">
      <c r="P1838" s="73"/>
      <c r="AA1838" s="45"/>
      <c r="AB1838" s="45"/>
      <c r="AD1838" s="189"/>
      <c r="AE1838" s="189"/>
      <c r="AF1838" s="189"/>
      <c r="AG1838" s="189"/>
      <c r="AH1838" s="189"/>
      <c r="AI1838" s="45"/>
      <c r="AJ1838" s="45"/>
    </row>
    <row r="1839" spans="16:36" x14ac:dyDescent="0.2">
      <c r="P1839" s="73"/>
      <c r="AA1839" s="45"/>
      <c r="AB1839" s="45"/>
      <c r="AD1839" s="189"/>
      <c r="AE1839" s="189"/>
      <c r="AF1839" s="189"/>
      <c r="AG1839" s="189"/>
      <c r="AH1839" s="189"/>
      <c r="AI1839" s="45"/>
      <c r="AJ1839" s="45"/>
    </row>
    <row r="1840" spans="16:36" x14ac:dyDescent="0.2">
      <c r="P1840" s="73"/>
      <c r="AA1840" s="45"/>
      <c r="AB1840" s="45"/>
      <c r="AD1840" s="189"/>
      <c r="AE1840" s="189"/>
      <c r="AF1840" s="189"/>
      <c r="AG1840" s="189"/>
      <c r="AH1840" s="189"/>
      <c r="AI1840" s="45"/>
      <c r="AJ1840" s="45"/>
    </row>
    <row r="1841" spans="16:36" x14ac:dyDescent="0.2">
      <c r="P1841" s="73"/>
      <c r="AA1841" s="45"/>
      <c r="AB1841" s="45"/>
      <c r="AD1841" s="189"/>
      <c r="AE1841" s="189"/>
      <c r="AF1841" s="189"/>
      <c r="AG1841" s="189"/>
      <c r="AH1841" s="189"/>
      <c r="AI1841" s="45"/>
      <c r="AJ1841" s="45"/>
    </row>
    <row r="1842" spans="16:36" x14ac:dyDescent="0.2">
      <c r="P1842" s="73"/>
      <c r="AA1842" s="45"/>
      <c r="AB1842" s="45"/>
      <c r="AD1842" s="189"/>
      <c r="AE1842" s="189"/>
      <c r="AF1842" s="189"/>
      <c r="AG1842" s="189"/>
      <c r="AH1842" s="189"/>
      <c r="AI1842" s="45"/>
      <c r="AJ1842" s="45"/>
    </row>
    <row r="1843" spans="16:36" x14ac:dyDescent="0.2">
      <c r="P1843" s="73"/>
      <c r="AA1843" s="45"/>
      <c r="AB1843" s="45"/>
      <c r="AD1843" s="189"/>
      <c r="AE1843" s="189"/>
      <c r="AF1843" s="189"/>
      <c r="AG1843" s="189"/>
      <c r="AH1843" s="189"/>
      <c r="AI1843" s="45"/>
      <c r="AJ1843" s="45"/>
    </row>
    <row r="1844" spans="16:36" x14ac:dyDescent="0.2">
      <c r="P1844" s="73"/>
      <c r="AA1844" s="45"/>
      <c r="AB1844" s="45"/>
      <c r="AD1844" s="189"/>
      <c r="AE1844" s="189"/>
      <c r="AF1844" s="189"/>
      <c r="AG1844" s="189"/>
      <c r="AH1844" s="189"/>
      <c r="AI1844" s="45"/>
      <c r="AJ1844" s="45"/>
    </row>
    <row r="1845" spans="16:36" x14ac:dyDescent="0.2">
      <c r="P1845" s="73"/>
      <c r="AA1845" s="45"/>
      <c r="AB1845" s="45"/>
      <c r="AD1845" s="189"/>
      <c r="AE1845" s="189"/>
      <c r="AF1845" s="189"/>
      <c r="AG1845" s="189"/>
      <c r="AH1845" s="189"/>
      <c r="AI1845" s="45"/>
      <c r="AJ1845" s="45"/>
    </row>
    <row r="1846" spans="16:36" x14ac:dyDescent="0.2">
      <c r="P1846" s="73"/>
      <c r="AA1846" s="45"/>
      <c r="AB1846" s="45"/>
      <c r="AD1846" s="189"/>
      <c r="AE1846" s="189"/>
      <c r="AF1846" s="189"/>
      <c r="AG1846" s="189"/>
      <c r="AH1846" s="189"/>
      <c r="AI1846" s="45"/>
      <c r="AJ1846" s="45"/>
    </row>
    <row r="1847" spans="16:36" x14ac:dyDescent="0.2">
      <c r="P1847" s="73"/>
      <c r="AA1847" s="45"/>
      <c r="AB1847" s="45"/>
      <c r="AD1847" s="189"/>
      <c r="AE1847" s="189"/>
      <c r="AF1847" s="189"/>
      <c r="AG1847" s="189"/>
      <c r="AH1847" s="189"/>
      <c r="AI1847" s="45"/>
      <c r="AJ1847" s="45"/>
    </row>
    <row r="1848" spans="16:36" x14ac:dyDescent="0.2">
      <c r="P1848" s="73"/>
      <c r="AA1848" s="45"/>
      <c r="AB1848" s="45"/>
      <c r="AD1848" s="189"/>
      <c r="AE1848" s="189"/>
      <c r="AF1848" s="189"/>
      <c r="AG1848" s="189"/>
      <c r="AH1848" s="189"/>
      <c r="AI1848" s="45"/>
      <c r="AJ1848" s="45"/>
    </row>
    <row r="1849" spans="16:36" x14ac:dyDescent="0.2">
      <c r="P1849" s="73"/>
      <c r="AA1849" s="45"/>
      <c r="AB1849" s="45"/>
      <c r="AD1849" s="189"/>
      <c r="AE1849" s="189"/>
      <c r="AF1849" s="189"/>
      <c r="AG1849" s="189"/>
      <c r="AH1849" s="189"/>
      <c r="AI1849" s="45"/>
      <c r="AJ1849" s="45"/>
    </row>
    <row r="1850" spans="16:36" x14ac:dyDescent="0.2">
      <c r="P1850" s="73"/>
      <c r="AA1850" s="45"/>
      <c r="AB1850" s="45"/>
      <c r="AD1850" s="189"/>
      <c r="AE1850" s="189"/>
      <c r="AF1850" s="189"/>
      <c r="AG1850" s="189"/>
      <c r="AH1850" s="189"/>
      <c r="AI1850" s="45"/>
      <c r="AJ1850" s="45"/>
    </row>
    <row r="1851" spans="16:36" x14ac:dyDescent="0.2">
      <c r="P1851" s="73"/>
      <c r="AA1851" s="45"/>
      <c r="AB1851" s="45"/>
      <c r="AD1851" s="189"/>
      <c r="AE1851" s="189"/>
      <c r="AF1851" s="189"/>
      <c r="AG1851" s="189"/>
      <c r="AH1851" s="189"/>
      <c r="AI1851" s="45"/>
      <c r="AJ1851" s="45"/>
    </row>
    <row r="1852" spans="16:36" x14ac:dyDescent="0.2">
      <c r="P1852" s="73"/>
      <c r="AA1852" s="45"/>
      <c r="AB1852" s="45"/>
      <c r="AD1852" s="189"/>
      <c r="AE1852" s="189"/>
      <c r="AF1852" s="189"/>
      <c r="AG1852" s="189"/>
      <c r="AH1852" s="189"/>
      <c r="AI1852" s="45"/>
      <c r="AJ1852" s="45"/>
    </row>
    <row r="1853" spans="16:36" x14ac:dyDescent="0.2">
      <c r="P1853" s="73"/>
      <c r="AA1853" s="45"/>
      <c r="AB1853" s="45"/>
      <c r="AD1853" s="189"/>
      <c r="AE1853" s="189"/>
      <c r="AF1853" s="189"/>
      <c r="AG1853" s="189"/>
      <c r="AH1853" s="189"/>
      <c r="AI1853" s="45"/>
      <c r="AJ1853" s="45"/>
    </row>
    <row r="1854" spans="16:36" x14ac:dyDescent="0.2">
      <c r="P1854" s="73"/>
      <c r="AA1854" s="45"/>
      <c r="AB1854" s="45"/>
      <c r="AD1854" s="189"/>
      <c r="AE1854" s="189"/>
      <c r="AF1854" s="189"/>
      <c r="AG1854" s="189"/>
      <c r="AH1854" s="189"/>
      <c r="AI1854" s="45"/>
      <c r="AJ1854" s="45"/>
    </row>
    <row r="1855" spans="16:36" x14ac:dyDescent="0.2">
      <c r="P1855" s="73"/>
      <c r="AA1855" s="45"/>
      <c r="AB1855" s="45"/>
      <c r="AD1855" s="189"/>
      <c r="AE1855" s="189"/>
      <c r="AF1855" s="189"/>
      <c r="AG1855" s="189"/>
      <c r="AH1855" s="189"/>
      <c r="AI1855" s="45"/>
      <c r="AJ1855" s="45"/>
    </row>
    <row r="1856" spans="16:36" x14ac:dyDescent="0.2">
      <c r="P1856" s="73"/>
      <c r="AA1856" s="45"/>
      <c r="AB1856" s="45"/>
      <c r="AD1856" s="189"/>
      <c r="AE1856" s="189"/>
      <c r="AF1856" s="189"/>
      <c r="AG1856" s="189"/>
      <c r="AH1856" s="189"/>
      <c r="AI1856" s="45"/>
      <c r="AJ1856" s="45"/>
    </row>
    <row r="1857" spans="16:36" x14ac:dyDescent="0.2">
      <c r="P1857" s="73"/>
      <c r="AA1857" s="45"/>
      <c r="AB1857" s="45"/>
      <c r="AD1857" s="189"/>
      <c r="AE1857" s="189"/>
      <c r="AF1857" s="189"/>
      <c r="AG1857" s="189"/>
      <c r="AH1857" s="189"/>
      <c r="AI1857" s="45"/>
      <c r="AJ1857" s="45"/>
    </row>
    <row r="1858" spans="16:36" x14ac:dyDescent="0.2">
      <c r="P1858" s="73"/>
      <c r="AA1858" s="45"/>
      <c r="AB1858" s="45"/>
      <c r="AD1858" s="189"/>
      <c r="AE1858" s="189"/>
      <c r="AF1858" s="189"/>
      <c r="AG1858" s="189"/>
      <c r="AH1858" s="189"/>
      <c r="AI1858" s="45"/>
      <c r="AJ1858" s="45"/>
    </row>
    <row r="1859" spans="16:36" x14ac:dyDescent="0.2">
      <c r="P1859" s="73"/>
      <c r="AA1859" s="45"/>
      <c r="AB1859" s="45"/>
      <c r="AD1859" s="189"/>
      <c r="AE1859" s="189"/>
      <c r="AF1859" s="189"/>
      <c r="AG1859" s="189"/>
      <c r="AH1859" s="189"/>
      <c r="AI1859" s="45"/>
      <c r="AJ1859" s="45"/>
    </row>
    <row r="1860" spans="16:36" x14ac:dyDescent="0.2">
      <c r="P1860" s="73"/>
      <c r="AA1860" s="45"/>
      <c r="AB1860" s="45"/>
      <c r="AD1860" s="189"/>
      <c r="AE1860" s="189"/>
      <c r="AF1860" s="189"/>
      <c r="AG1860" s="189"/>
      <c r="AH1860" s="189"/>
      <c r="AI1860" s="45"/>
      <c r="AJ1860" s="45"/>
    </row>
    <row r="1861" spans="16:36" x14ac:dyDescent="0.2">
      <c r="P1861" s="73"/>
      <c r="AA1861" s="45"/>
      <c r="AB1861" s="45"/>
      <c r="AD1861" s="189"/>
      <c r="AE1861" s="189"/>
      <c r="AF1861" s="189"/>
      <c r="AG1861" s="189"/>
      <c r="AH1861" s="189"/>
      <c r="AI1861" s="45"/>
      <c r="AJ1861" s="45"/>
    </row>
    <row r="1862" spans="16:36" x14ac:dyDescent="0.2">
      <c r="P1862" s="73"/>
      <c r="AA1862" s="45"/>
      <c r="AB1862" s="45"/>
      <c r="AD1862" s="189"/>
      <c r="AE1862" s="189"/>
      <c r="AF1862" s="189"/>
      <c r="AG1862" s="189"/>
      <c r="AH1862" s="189"/>
      <c r="AI1862" s="45"/>
      <c r="AJ1862" s="45"/>
    </row>
    <row r="1863" spans="16:36" x14ac:dyDescent="0.2">
      <c r="P1863" s="73"/>
      <c r="AA1863" s="45"/>
      <c r="AB1863" s="45"/>
      <c r="AD1863" s="189"/>
      <c r="AE1863" s="189"/>
      <c r="AF1863" s="189"/>
      <c r="AG1863" s="189"/>
      <c r="AH1863" s="189"/>
      <c r="AI1863" s="45"/>
      <c r="AJ1863" s="45"/>
    </row>
    <row r="1864" spans="16:36" x14ac:dyDescent="0.2">
      <c r="P1864" s="73"/>
      <c r="AA1864" s="45"/>
      <c r="AB1864" s="45"/>
      <c r="AD1864" s="189"/>
      <c r="AE1864" s="189"/>
      <c r="AF1864" s="189"/>
      <c r="AG1864" s="189"/>
      <c r="AH1864" s="189"/>
      <c r="AI1864" s="45"/>
      <c r="AJ1864" s="45"/>
    </row>
    <row r="1865" spans="16:36" x14ac:dyDescent="0.2">
      <c r="P1865" s="73"/>
      <c r="AA1865" s="45"/>
      <c r="AB1865" s="45"/>
      <c r="AD1865" s="189"/>
      <c r="AE1865" s="189"/>
      <c r="AF1865" s="189"/>
      <c r="AG1865" s="189"/>
      <c r="AH1865" s="189"/>
      <c r="AI1865" s="45"/>
      <c r="AJ1865" s="45"/>
    </row>
    <row r="1866" spans="16:36" x14ac:dyDescent="0.2">
      <c r="P1866" s="73"/>
      <c r="AA1866" s="45"/>
      <c r="AB1866" s="45"/>
      <c r="AD1866" s="189"/>
      <c r="AE1866" s="189"/>
      <c r="AF1866" s="189"/>
      <c r="AG1866" s="189"/>
      <c r="AH1866" s="189"/>
      <c r="AI1866" s="45"/>
      <c r="AJ1866" s="45"/>
    </row>
    <row r="1867" spans="16:36" x14ac:dyDescent="0.2">
      <c r="P1867" s="73"/>
      <c r="AA1867" s="45"/>
      <c r="AB1867" s="45"/>
      <c r="AD1867" s="189"/>
      <c r="AE1867" s="189"/>
      <c r="AF1867" s="189"/>
      <c r="AG1867" s="189"/>
      <c r="AH1867" s="189"/>
      <c r="AI1867" s="45"/>
      <c r="AJ1867" s="45"/>
    </row>
    <row r="1868" spans="16:36" x14ac:dyDescent="0.2">
      <c r="P1868" s="73"/>
      <c r="AA1868" s="45"/>
      <c r="AB1868" s="45"/>
      <c r="AD1868" s="189"/>
      <c r="AE1868" s="189"/>
      <c r="AF1868" s="189"/>
      <c r="AG1868" s="189"/>
      <c r="AH1868" s="189"/>
      <c r="AI1868" s="45"/>
      <c r="AJ1868" s="45"/>
    </row>
    <row r="1869" spans="16:36" x14ac:dyDescent="0.2">
      <c r="P1869" s="73"/>
      <c r="AA1869" s="45"/>
      <c r="AB1869" s="45"/>
      <c r="AD1869" s="189"/>
      <c r="AE1869" s="189"/>
      <c r="AF1869" s="189"/>
      <c r="AG1869" s="189"/>
      <c r="AH1869" s="189"/>
      <c r="AI1869" s="45"/>
      <c r="AJ1869" s="45"/>
    </row>
    <row r="1870" spans="16:36" x14ac:dyDescent="0.2">
      <c r="P1870" s="73"/>
      <c r="AA1870" s="45"/>
      <c r="AB1870" s="45"/>
      <c r="AD1870" s="189"/>
      <c r="AE1870" s="189"/>
      <c r="AF1870" s="189"/>
      <c r="AG1870" s="189"/>
      <c r="AH1870" s="189"/>
      <c r="AI1870" s="45"/>
      <c r="AJ1870" s="45"/>
    </row>
    <row r="1871" spans="16:36" x14ac:dyDescent="0.2">
      <c r="P1871" s="73"/>
      <c r="AA1871" s="45"/>
      <c r="AB1871" s="45"/>
      <c r="AD1871" s="189"/>
      <c r="AE1871" s="189"/>
      <c r="AF1871" s="189"/>
      <c r="AG1871" s="189"/>
      <c r="AH1871" s="189"/>
      <c r="AI1871" s="45"/>
      <c r="AJ1871" s="45"/>
    </row>
    <row r="1872" spans="16:36" x14ac:dyDescent="0.2">
      <c r="P1872" s="73"/>
      <c r="AA1872" s="45"/>
      <c r="AB1872" s="45"/>
      <c r="AD1872" s="189"/>
      <c r="AE1872" s="189"/>
      <c r="AF1872" s="189"/>
      <c r="AG1872" s="189"/>
      <c r="AH1872" s="189"/>
      <c r="AI1872" s="45"/>
      <c r="AJ1872" s="45"/>
    </row>
    <row r="1873" spans="16:36" x14ac:dyDescent="0.2">
      <c r="P1873" s="73"/>
      <c r="AA1873" s="45"/>
      <c r="AB1873" s="45"/>
      <c r="AD1873" s="189"/>
      <c r="AE1873" s="189"/>
      <c r="AF1873" s="189"/>
      <c r="AG1873" s="189"/>
      <c r="AH1873" s="189"/>
      <c r="AI1873" s="45"/>
      <c r="AJ1873" s="45"/>
    </row>
    <row r="1874" spans="16:36" x14ac:dyDescent="0.2">
      <c r="P1874" s="73"/>
      <c r="AA1874" s="45"/>
      <c r="AB1874" s="45"/>
      <c r="AD1874" s="189"/>
      <c r="AE1874" s="189"/>
      <c r="AF1874" s="189"/>
      <c r="AG1874" s="189"/>
      <c r="AH1874" s="189"/>
      <c r="AI1874" s="45"/>
      <c r="AJ1874" s="45"/>
    </row>
    <row r="1875" spans="16:36" x14ac:dyDescent="0.2">
      <c r="P1875" s="73"/>
      <c r="AA1875" s="45"/>
      <c r="AB1875" s="45"/>
      <c r="AD1875" s="189"/>
      <c r="AE1875" s="189"/>
      <c r="AF1875" s="189"/>
      <c r="AG1875" s="189"/>
      <c r="AH1875" s="189"/>
      <c r="AI1875" s="45"/>
      <c r="AJ1875" s="45"/>
    </row>
    <row r="1876" spans="16:36" x14ac:dyDescent="0.2">
      <c r="P1876" s="73"/>
      <c r="AA1876" s="45"/>
      <c r="AB1876" s="45"/>
      <c r="AD1876" s="189"/>
      <c r="AE1876" s="189"/>
      <c r="AF1876" s="189"/>
      <c r="AG1876" s="189"/>
      <c r="AH1876" s="189"/>
      <c r="AI1876" s="45"/>
      <c r="AJ1876" s="45"/>
    </row>
    <row r="1877" spans="16:36" x14ac:dyDescent="0.2">
      <c r="P1877" s="73"/>
      <c r="AA1877" s="45"/>
      <c r="AB1877" s="45"/>
      <c r="AD1877" s="189"/>
      <c r="AE1877" s="189"/>
      <c r="AF1877" s="189"/>
      <c r="AG1877" s="189"/>
      <c r="AH1877" s="189"/>
      <c r="AI1877" s="45"/>
      <c r="AJ1877" s="45"/>
    </row>
    <row r="1878" spans="16:36" x14ac:dyDescent="0.2">
      <c r="P1878" s="73"/>
      <c r="AA1878" s="45"/>
      <c r="AB1878" s="45"/>
      <c r="AD1878" s="189"/>
      <c r="AE1878" s="189"/>
      <c r="AF1878" s="189"/>
      <c r="AG1878" s="189"/>
      <c r="AH1878" s="189"/>
      <c r="AI1878" s="45"/>
      <c r="AJ1878" s="45"/>
    </row>
    <row r="1879" spans="16:36" x14ac:dyDescent="0.2">
      <c r="P1879" s="73"/>
      <c r="AA1879" s="45"/>
      <c r="AB1879" s="45"/>
      <c r="AD1879" s="189"/>
      <c r="AE1879" s="189"/>
      <c r="AF1879" s="189"/>
      <c r="AG1879" s="189"/>
      <c r="AH1879" s="189"/>
      <c r="AI1879" s="45"/>
      <c r="AJ1879" s="45"/>
    </row>
    <row r="1880" spans="16:36" x14ac:dyDescent="0.2">
      <c r="P1880" s="73"/>
      <c r="AA1880" s="45"/>
      <c r="AB1880" s="45"/>
      <c r="AD1880" s="189"/>
      <c r="AE1880" s="189"/>
      <c r="AF1880" s="189"/>
      <c r="AG1880" s="189"/>
      <c r="AH1880" s="189"/>
      <c r="AI1880" s="45"/>
      <c r="AJ1880" s="45"/>
    </row>
    <row r="1881" spans="16:36" x14ac:dyDescent="0.2">
      <c r="P1881" s="73"/>
      <c r="AA1881" s="45"/>
      <c r="AB1881" s="45"/>
      <c r="AD1881" s="189"/>
      <c r="AE1881" s="189"/>
      <c r="AF1881" s="189"/>
      <c r="AG1881" s="189"/>
      <c r="AH1881" s="189"/>
      <c r="AI1881" s="45"/>
      <c r="AJ1881" s="45"/>
    </row>
    <row r="1882" spans="16:36" x14ac:dyDescent="0.2">
      <c r="P1882" s="73"/>
      <c r="AA1882" s="45"/>
      <c r="AB1882" s="45"/>
      <c r="AD1882" s="189"/>
      <c r="AE1882" s="189"/>
      <c r="AF1882" s="189"/>
      <c r="AG1882" s="189"/>
      <c r="AH1882" s="189"/>
      <c r="AI1882" s="45"/>
      <c r="AJ1882" s="45"/>
    </row>
    <row r="1883" spans="16:36" x14ac:dyDescent="0.2">
      <c r="P1883" s="73"/>
      <c r="AA1883" s="45"/>
      <c r="AB1883" s="45"/>
      <c r="AD1883" s="189"/>
      <c r="AE1883" s="189"/>
      <c r="AF1883" s="189"/>
      <c r="AG1883" s="189"/>
      <c r="AH1883" s="189"/>
      <c r="AI1883" s="45"/>
      <c r="AJ1883" s="45"/>
    </row>
    <row r="1884" spans="16:36" x14ac:dyDescent="0.2">
      <c r="P1884" s="73"/>
      <c r="AA1884" s="45"/>
      <c r="AB1884" s="45"/>
      <c r="AD1884" s="189"/>
      <c r="AE1884" s="189"/>
      <c r="AF1884" s="189"/>
      <c r="AG1884" s="189"/>
      <c r="AH1884" s="189"/>
      <c r="AI1884" s="45"/>
      <c r="AJ1884" s="45"/>
    </row>
    <row r="1885" spans="16:36" x14ac:dyDescent="0.2">
      <c r="P1885" s="73"/>
      <c r="AA1885" s="45"/>
      <c r="AB1885" s="45"/>
      <c r="AD1885" s="189"/>
      <c r="AE1885" s="189"/>
      <c r="AF1885" s="189"/>
      <c r="AG1885" s="189"/>
      <c r="AH1885" s="189"/>
      <c r="AI1885" s="45"/>
      <c r="AJ1885" s="45"/>
    </row>
    <row r="1886" spans="16:36" x14ac:dyDescent="0.2">
      <c r="P1886" s="73"/>
      <c r="AA1886" s="45"/>
      <c r="AB1886" s="45"/>
      <c r="AD1886" s="189"/>
      <c r="AE1886" s="189"/>
      <c r="AF1886" s="189"/>
      <c r="AG1886" s="189"/>
      <c r="AH1886" s="189"/>
      <c r="AI1886" s="45"/>
      <c r="AJ1886" s="45"/>
    </row>
    <row r="1887" spans="16:36" x14ac:dyDescent="0.2">
      <c r="P1887" s="73"/>
      <c r="AA1887" s="45"/>
      <c r="AB1887" s="45"/>
      <c r="AD1887" s="189"/>
      <c r="AE1887" s="189"/>
      <c r="AF1887" s="189"/>
      <c r="AG1887" s="189"/>
      <c r="AH1887" s="189"/>
      <c r="AI1887" s="45"/>
      <c r="AJ1887" s="45"/>
    </row>
    <row r="1888" spans="16:36" x14ac:dyDescent="0.2">
      <c r="P1888" s="73"/>
      <c r="AA1888" s="45"/>
      <c r="AB1888" s="45"/>
      <c r="AD1888" s="189"/>
      <c r="AE1888" s="189"/>
      <c r="AF1888" s="189"/>
      <c r="AG1888" s="189"/>
      <c r="AH1888" s="189"/>
      <c r="AI1888" s="45"/>
      <c r="AJ1888" s="45"/>
    </row>
    <row r="1889" spans="16:36" x14ac:dyDescent="0.2">
      <c r="P1889" s="73"/>
      <c r="AA1889" s="45"/>
      <c r="AB1889" s="45"/>
      <c r="AD1889" s="189"/>
      <c r="AE1889" s="189"/>
      <c r="AF1889" s="189"/>
      <c r="AG1889" s="189"/>
      <c r="AH1889" s="189"/>
      <c r="AI1889" s="45"/>
      <c r="AJ1889" s="45"/>
    </row>
    <row r="1890" spans="16:36" x14ac:dyDescent="0.2">
      <c r="P1890" s="73"/>
      <c r="AA1890" s="45"/>
      <c r="AB1890" s="45"/>
      <c r="AD1890" s="189"/>
      <c r="AE1890" s="189"/>
      <c r="AF1890" s="189"/>
      <c r="AG1890" s="189"/>
      <c r="AH1890" s="189"/>
      <c r="AI1890" s="45"/>
      <c r="AJ1890" s="45"/>
    </row>
    <row r="1891" spans="16:36" x14ac:dyDescent="0.2">
      <c r="P1891" s="73"/>
      <c r="AA1891" s="45"/>
      <c r="AB1891" s="45"/>
      <c r="AD1891" s="189"/>
      <c r="AE1891" s="189"/>
      <c r="AF1891" s="189"/>
      <c r="AG1891" s="189"/>
      <c r="AH1891" s="189"/>
      <c r="AI1891" s="45"/>
      <c r="AJ1891" s="45"/>
    </row>
    <row r="1892" spans="16:36" x14ac:dyDescent="0.2">
      <c r="P1892" s="73"/>
      <c r="AA1892" s="45"/>
      <c r="AB1892" s="45"/>
      <c r="AD1892" s="189"/>
      <c r="AE1892" s="189"/>
      <c r="AF1892" s="189"/>
      <c r="AG1892" s="189"/>
      <c r="AH1892" s="189"/>
      <c r="AI1892" s="45"/>
      <c r="AJ1892" s="45"/>
    </row>
    <row r="1893" spans="16:36" x14ac:dyDescent="0.2">
      <c r="P1893" s="73"/>
      <c r="AA1893" s="45"/>
      <c r="AB1893" s="45"/>
      <c r="AD1893" s="189"/>
      <c r="AE1893" s="189"/>
      <c r="AF1893" s="189"/>
      <c r="AG1893" s="189"/>
      <c r="AH1893" s="189"/>
      <c r="AI1893" s="45"/>
      <c r="AJ1893" s="45"/>
    </row>
    <row r="1894" spans="16:36" x14ac:dyDescent="0.2">
      <c r="P1894" s="73"/>
      <c r="AA1894" s="45"/>
      <c r="AB1894" s="45"/>
      <c r="AD1894" s="189"/>
      <c r="AE1894" s="189"/>
      <c r="AF1894" s="189"/>
      <c r="AG1894" s="189"/>
      <c r="AH1894" s="189"/>
      <c r="AI1894" s="45"/>
      <c r="AJ1894" s="45"/>
    </row>
    <row r="1895" spans="16:36" x14ac:dyDescent="0.2">
      <c r="P1895" s="73"/>
      <c r="AA1895" s="45"/>
      <c r="AB1895" s="45"/>
      <c r="AD1895" s="189"/>
      <c r="AE1895" s="189"/>
      <c r="AF1895" s="189"/>
      <c r="AG1895" s="189"/>
      <c r="AH1895" s="189"/>
      <c r="AI1895" s="45"/>
      <c r="AJ1895" s="45"/>
    </row>
    <row r="1896" spans="16:36" x14ac:dyDescent="0.2">
      <c r="P1896" s="73"/>
      <c r="AA1896" s="45"/>
      <c r="AB1896" s="45"/>
      <c r="AD1896" s="189"/>
      <c r="AE1896" s="189"/>
      <c r="AF1896" s="189"/>
      <c r="AG1896" s="189"/>
      <c r="AH1896" s="189"/>
      <c r="AI1896" s="45"/>
      <c r="AJ1896" s="45"/>
    </row>
    <row r="1897" spans="16:36" x14ac:dyDescent="0.2">
      <c r="P1897" s="73"/>
      <c r="AA1897" s="45"/>
      <c r="AB1897" s="45"/>
      <c r="AD1897" s="189"/>
      <c r="AE1897" s="189"/>
      <c r="AF1897" s="189"/>
      <c r="AG1897" s="189"/>
      <c r="AH1897" s="189"/>
      <c r="AI1897" s="45"/>
      <c r="AJ1897" s="45"/>
    </row>
    <row r="1898" spans="16:36" x14ac:dyDescent="0.2">
      <c r="P1898" s="73"/>
      <c r="AA1898" s="45"/>
      <c r="AB1898" s="45"/>
      <c r="AD1898" s="189"/>
      <c r="AE1898" s="189"/>
      <c r="AF1898" s="189"/>
      <c r="AG1898" s="189"/>
      <c r="AH1898" s="189"/>
      <c r="AI1898" s="45"/>
      <c r="AJ1898" s="45"/>
    </row>
    <row r="1899" spans="16:36" x14ac:dyDescent="0.2">
      <c r="P1899" s="73"/>
      <c r="AA1899" s="45"/>
      <c r="AB1899" s="45"/>
      <c r="AD1899" s="189"/>
      <c r="AE1899" s="189"/>
      <c r="AF1899" s="189"/>
      <c r="AG1899" s="189"/>
      <c r="AH1899" s="189"/>
      <c r="AI1899" s="45"/>
      <c r="AJ1899" s="45"/>
    </row>
    <row r="1900" spans="16:36" x14ac:dyDescent="0.2">
      <c r="P1900" s="73"/>
      <c r="AA1900" s="45"/>
      <c r="AB1900" s="45"/>
      <c r="AD1900" s="189"/>
      <c r="AE1900" s="189"/>
      <c r="AF1900" s="189"/>
      <c r="AG1900" s="189"/>
      <c r="AH1900" s="189"/>
      <c r="AI1900" s="45"/>
      <c r="AJ1900" s="45"/>
    </row>
    <row r="1901" spans="16:36" x14ac:dyDescent="0.2">
      <c r="P1901" s="73"/>
      <c r="AA1901" s="45"/>
      <c r="AB1901" s="45"/>
      <c r="AD1901" s="189"/>
      <c r="AE1901" s="189"/>
      <c r="AF1901" s="189"/>
      <c r="AG1901" s="189"/>
      <c r="AH1901" s="189"/>
      <c r="AI1901" s="45"/>
      <c r="AJ1901" s="45"/>
    </row>
    <row r="1902" spans="16:36" x14ac:dyDescent="0.2">
      <c r="P1902" s="73"/>
      <c r="AA1902" s="45"/>
      <c r="AB1902" s="45"/>
      <c r="AD1902" s="189"/>
      <c r="AE1902" s="189"/>
      <c r="AF1902" s="189"/>
      <c r="AG1902" s="189"/>
      <c r="AH1902" s="189"/>
      <c r="AI1902" s="45"/>
      <c r="AJ1902" s="45"/>
    </row>
    <row r="1903" spans="16:36" x14ac:dyDescent="0.2">
      <c r="P1903" s="73"/>
      <c r="AA1903" s="45"/>
      <c r="AB1903" s="45"/>
      <c r="AD1903" s="189"/>
      <c r="AE1903" s="189"/>
      <c r="AF1903" s="189"/>
      <c r="AG1903" s="189"/>
      <c r="AH1903" s="189"/>
      <c r="AI1903" s="45"/>
      <c r="AJ1903" s="45"/>
    </row>
    <row r="1904" spans="16:36" x14ac:dyDescent="0.2">
      <c r="P1904" s="73"/>
      <c r="AA1904" s="45"/>
      <c r="AB1904" s="45"/>
      <c r="AD1904" s="189"/>
      <c r="AE1904" s="189"/>
      <c r="AF1904" s="189"/>
      <c r="AG1904" s="189"/>
      <c r="AH1904" s="189"/>
      <c r="AI1904" s="45"/>
      <c r="AJ1904" s="45"/>
    </row>
    <row r="1905" spans="16:36" x14ac:dyDescent="0.2">
      <c r="P1905" s="73"/>
      <c r="AA1905" s="45"/>
      <c r="AB1905" s="45"/>
      <c r="AD1905" s="189"/>
      <c r="AE1905" s="189"/>
      <c r="AF1905" s="189"/>
      <c r="AG1905" s="189"/>
      <c r="AH1905" s="189"/>
      <c r="AI1905" s="45"/>
      <c r="AJ1905" s="45"/>
    </row>
    <row r="1906" spans="16:36" x14ac:dyDescent="0.2">
      <c r="P1906" s="73"/>
      <c r="AA1906" s="45"/>
      <c r="AB1906" s="45"/>
      <c r="AD1906" s="189"/>
      <c r="AE1906" s="189"/>
      <c r="AF1906" s="189"/>
      <c r="AG1906" s="189"/>
      <c r="AH1906" s="189"/>
      <c r="AI1906" s="45"/>
      <c r="AJ1906" s="45"/>
    </row>
    <row r="1907" spans="16:36" x14ac:dyDescent="0.2">
      <c r="P1907" s="73"/>
      <c r="AA1907" s="45"/>
      <c r="AB1907" s="45"/>
      <c r="AD1907" s="189"/>
      <c r="AE1907" s="189"/>
      <c r="AF1907" s="189"/>
      <c r="AG1907" s="189"/>
      <c r="AH1907" s="189"/>
      <c r="AI1907" s="45"/>
      <c r="AJ1907" s="45"/>
    </row>
    <row r="1908" spans="16:36" x14ac:dyDescent="0.2">
      <c r="P1908" s="73"/>
      <c r="AA1908" s="45"/>
      <c r="AB1908" s="45"/>
      <c r="AD1908" s="189"/>
      <c r="AE1908" s="189"/>
      <c r="AF1908" s="189"/>
      <c r="AG1908" s="189"/>
      <c r="AH1908" s="189"/>
      <c r="AI1908" s="45"/>
      <c r="AJ1908" s="45"/>
    </row>
    <row r="1909" spans="16:36" x14ac:dyDescent="0.2">
      <c r="P1909" s="73"/>
      <c r="AA1909" s="45"/>
      <c r="AB1909" s="45"/>
      <c r="AD1909" s="189"/>
      <c r="AE1909" s="189"/>
      <c r="AF1909" s="189"/>
      <c r="AG1909" s="189"/>
      <c r="AH1909" s="189"/>
      <c r="AI1909" s="45"/>
      <c r="AJ1909" s="45"/>
    </row>
    <row r="1910" spans="16:36" x14ac:dyDescent="0.2">
      <c r="P1910" s="73"/>
      <c r="AA1910" s="45"/>
      <c r="AB1910" s="45"/>
      <c r="AD1910" s="189"/>
      <c r="AE1910" s="189"/>
      <c r="AF1910" s="189"/>
      <c r="AG1910" s="189"/>
      <c r="AH1910" s="189"/>
      <c r="AI1910" s="45"/>
      <c r="AJ1910" s="45"/>
    </row>
    <row r="1911" spans="16:36" x14ac:dyDescent="0.2">
      <c r="P1911" s="73"/>
      <c r="AA1911" s="45"/>
      <c r="AB1911" s="45"/>
      <c r="AD1911" s="189"/>
      <c r="AE1911" s="189"/>
      <c r="AF1911" s="189"/>
      <c r="AG1911" s="189"/>
      <c r="AH1911" s="189"/>
      <c r="AI1911" s="45"/>
      <c r="AJ1911" s="45"/>
    </row>
    <row r="1912" spans="16:36" x14ac:dyDescent="0.2">
      <c r="P1912" s="73"/>
      <c r="AA1912" s="45"/>
      <c r="AB1912" s="45"/>
      <c r="AD1912" s="189"/>
      <c r="AE1912" s="189"/>
      <c r="AF1912" s="189"/>
      <c r="AG1912" s="189"/>
      <c r="AH1912" s="189"/>
      <c r="AI1912" s="45"/>
      <c r="AJ1912" s="45"/>
    </row>
    <row r="1913" spans="16:36" x14ac:dyDescent="0.2">
      <c r="P1913" s="73"/>
      <c r="AA1913" s="45"/>
      <c r="AB1913" s="45"/>
      <c r="AD1913" s="189"/>
      <c r="AE1913" s="189"/>
      <c r="AF1913" s="189"/>
      <c r="AG1913" s="189"/>
      <c r="AH1913" s="189"/>
      <c r="AI1913" s="45"/>
      <c r="AJ1913" s="45"/>
    </row>
    <row r="1914" spans="16:36" x14ac:dyDescent="0.2">
      <c r="P1914" s="73"/>
      <c r="AA1914" s="45"/>
      <c r="AB1914" s="45"/>
      <c r="AD1914" s="189"/>
      <c r="AE1914" s="189"/>
      <c r="AF1914" s="189"/>
      <c r="AG1914" s="189"/>
      <c r="AH1914" s="189"/>
      <c r="AI1914" s="45"/>
      <c r="AJ1914" s="45"/>
    </row>
    <row r="1915" spans="16:36" x14ac:dyDescent="0.2">
      <c r="P1915" s="73"/>
      <c r="AA1915" s="45"/>
      <c r="AB1915" s="45"/>
      <c r="AD1915" s="189"/>
      <c r="AE1915" s="189"/>
      <c r="AF1915" s="189"/>
      <c r="AG1915" s="189"/>
      <c r="AH1915" s="189"/>
      <c r="AI1915" s="45"/>
      <c r="AJ1915" s="45"/>
    </row>
    <row r="1916" spans="16:36" x14ac:dyDescent="0.2">
      <c r="P1916" s="73"/>
      <c r="AA1916" s="45"/>
      <c r="AB1916" s="45"/>
      <c r="AD1916" s="189"/>
      <c r="AE1916" s="189"/>
      <c r="AF1916" s="189"/>
      <c r="AG1916" s="189"/>
      <c r="AH1916" s="189"/>
      <c r="AI1916" s="45"/>
      <c r="AJ1916" s="45"/>
    </row>
    <row r="1917" spans="16:36" x14ac:dyDescent="0.2">
      <c r="P1917" s="73"/>
      <c r="AA1917" s="45"/>
      <c r="AB1917" s="45"/>
      <c r="AD1917" s="189"/>
      <c r="AE1917" s="189"/>
      <c r="AF1917" s="189"/>
      <c r="AG1917" s="189"/>
      <c r="AH1917" s="189"/>
      <c r="AI1917" s="45"/>
      <c r="AJ1917" s="45"/>
    </row>
    <row r="1918" spans="16:36" x14ac:dyDescent="0.2">
      <c r="P1918" s="73"/>
      <c r="AA1918" s="45"/>
      <c r="AB1918" s="45"/>
      <c r="AD1918" s="189"/>
      <c r="AE1918" s="189"/>
      <c r="AF1918" s="189"/>
      <c r="AG1918" s="189"/>
      <c r="AH1918" s="189"/>
      <c r="AI1918" s="45"/>
      <c r="AJ1918" s="45"/>
    </row>
    <row r="1919" spans="16:36" x14ac:dyDescent="0.2">
      <c r="P1919" s="73"/>
      <c r="AA1919" s="45"/>
      <c r="AB1919" s="45"/>
      <c r="AD1919" s="189"/>
      <c r="AE1919" s="189"/>
      <c r="AF1919" s="189"/>
      <c r="AG1919" s="189"/>
      <c r="AH1919" s="189"/>
      <c r="AI1919" s="45"/>
      <c r="AJ1919" s="45"/>
    </row>
    <row r="1920" spans="16:36" x14ac:dyDescent="0.2">
      <c r="P1920" s="73"/>
      <c r="AA1920" s="45"/>
      <c r="AB1920" s="45"/>
      <c r="AD1920" s="189"/>
      <c r="AE1920" s="189"/>
      <c r="AF1920" s="189"/>
      <c r="AG1920" s="189"/>
      <c r="AH1920" s="189"/>
      <c r="AI1920" s="45"/>
      <c r="AJ1920" s="45"/>
    </row>
    <row r="1921" spans="16:36" x14ac:dyDescent="0.2">
      <c r="P1921" s="73"/>
      <c r="AA1921" s="45"/>
      <c r="AB1921" s="45"/>
      <c r="AD1921" s="189"/>
      <c r="AE1921" s="189"/>
      <c r="AF1921" s="189"/>
      <c r="AG1921" s="189"/>
      <c r="AH1921" s="189"/>
      <c r="AI1921" s="45"/>
      <c r="AJ1921" s="45"/>
    </row>
    <row r="1922" spans="16:36" x14ac:dyDescent="0.2">
      <c r="P1922" s="73"/>
      <c r="AA1922" s="45"/>
      <c r="AB1922" s="45"/>
      <c r="AD1922" s="189"/>
      <c r="AE1922" s="189"/>
      <c r="AF1922" s="189"/>
      <c r="AG1922" s="189"/>
      <c r="AH1922" s="189"/>
      <c r="AI1922" s="45"/>
      <c r="AJ1922" s="45"/>
    </row>
    <row r="1923" spans="16:36" x14ac:dyDescent="0.2">
      <c r="P1923" s="73"/>
      <c r="AA1923" s="45"/>
      <c r="AB1923" s="45"/>
      <c r="AD1923" s="189"/>
      <c r="AE1923" s="189"/>
      <c r="AF1923" s="189"/>
      <c r="AG1923" s="189"/>
      <c r="AH1923" s="189"/>
      <c r="AI1923" s="45"/>
      <c r="AJ1923" s="45"/>
    </row>
    <row r="1924" spans="16:36" x14ac:dyDescent="0.2">
      <c r="P1924" s="73"/>
      <c r="AA1924" s="45"/>
      <c r="AB1924" s="45"/>
      <c r="AD1924" s="189"/>
      <c r="AE1924" s="189"/>
      <c r="AF1924" s="189"/>
      <c r="AG1924" s="189"/>
      <c r="AH1924" s="189"/>
      <c r="AI1924" s="45"/>
      <c r="AJ1924" s="45"/>
    </row>
    <row r="1925" spans="16:36" x14ac:dyDescent="0.2">
      <c r="P1925" s="73"/>
      <c r="AA1925" s="45"/>
      <c r="AB1925" s="45"/>
      <c r="AD1925" s="189"/>
      <c r="AE1925" s="189"/>
      <c r="AF1925" s="189"/>
      <c r="AG1925" s="189"/>
      <c r="AH1925" s="189"/>
      <c r="AI1925" s="45"/>
      <c r="AJ1925" s="45"/>
    </row>
    <row r="1926" spans="16:36" x14ac:dyDescent="0.2">
      <c r="P1926" s="73"/>
      <c r="AA1926" s="45"/>
      <c r="AB1926" s="45"/>
      <c r="AD1926" s="189"/>
      <c r="AE1926" s="189"/>
      <c r="AF1926" s="189"/>
      <c r="AG1926" s="189"/>
      <c r="AH1926" s="189"/>
      <c r="AI1926" s="45"/>
      <c r="AJ1926" s="45"/>
    </row>
    <row r="1927" spans="16:36" x14ac:dyDescent="0.2">
      <c r="P1927" s="73"/>
      <c r="AA1927" s="45"/>
      <c r="AB1927" s="45"/>
      <c r="AD1927" s="189"/>
      <c r="AE1927" s="189"/>
      <c r="AF1927" s="189"/>
      <c r="AG1927" s="189"/>
      <c r="AH1927" s="189"/>
      <c r="AI1927" s="45"/>
      <c r="AJ1927" s="45"/>
    </row>
    <row r="1928" spans="16:36" x14ac:dyDescent="0.2">
      <c r="P1928" s="73"/>
      <c r="AA1928" s="45"/>
      <c r="AB1928" s="45"/>
      <c r="AD1928" s="189"/>
      <c r="AE1928" s="189"/>
      <c r="AF1928" s="189"/>
      <c r="AG1928" s="189"/>
      <c r="AH1928" s="189"/>
      <c r="AI1928" s="45"/>
      <c r="AJ1928" s="45"/>
    </row>
    <row r="1929" spans="16:36" x14ac:dyDescent="0.2">
      <c r="P1929" s="73"/>
      <c r="AA1929" s="45"/>
      <c r="AB1929" s="45"/>
      <c r="AD1929" s="189"/>
      <c r="AE1929" s="189"/>
      <c r="AF1929" s="189"/>
      <c r="AG1929" s="189"/>
      <c r="AH1929" s="189"/>
      <c r="AI1929" s="45"/>
      <c r="AJ1929" s="45"/>
    </row>
    <row r="1930" spans="16:36" x14ac:dyDescent="0.2">
      <c r="P1930" s="73"/>
      <c r="AA1930" s="45"/>
      <c r="AB1930" s="45"/>
      <c r="AD1930" s="189"/>
      <c r="AE1930" s="189"/>
      <c r="AF1930" s="189"/>
      <c r="AG1930" s="189"/>
      <c r="AH1930" s="189"/>
      <c r="AI1930" s="45"/>
      <c r="AJ1930" s="45"/>
    </row>
    <row r="1931" spans="16:36" x14ac:dyDescent="0.2">
      <c r="P1931" s="73"/>
      <c r="AA1931" s="45"/>
      <c r="AB1931" s="45"/>
      <c r="AD1931" s="189"/>
      <c r="AE1931" s="189"/>
      <c r="AF1931" s="189"/>
      <c r="AG1931" s="189"/>
      <c r="AH1931" s="189"/>
      <c r="AI1931" s="45"/>
      <c r="AJ1931" s="45"/>
    </row>
    <row r="1932" spans="16:36" x14ac:dyDescent="0.2">
      <c r="P1932" s="73"/>
      <c r="AA1932" s="45"/>
      <c r="AB1932" s="45"/>
      <c r="AD1932" s="189"/>
      <c r="AE1932" s="189"/>
      <c r="AF1932" s="189"/>
      <c r="AG1932" s="189"/>
      <c r="AH1932" s="189"/>
      <c r="AI1932" s="45"/>
      <c r="AJ1932" s="45"/>
    </row>
    <row r="1933" spans="16:36" x14ac:dyDescent="0.2">
      <c r="P1933" s="73"/>
      <c r="AA1933" s="45"/>
      <c r="AB1933" s="45"/>
      <c r="AD1933" s="189"/>
      <c r="AE1933" s="189"/>
      <c r="AF1933" s="189"/>
      <c r="AG1933" s="189"/>
      <c r="AH1933" s="189"/>
      <c r="AI1933" s="45"/>
      <c r="AJ1933" s="45"/>
    </row>
    <row r="1934" spans="16:36" x14ac:dyDescent="0.2">
      <c r="P1934" s="73"/>
      <c r="AA1934" s="45"/>
      <c r="AB1934" s="45"/>
      <c r="AD1934" s="189"/>
      <c r="AE1934" s="189"/>
      <c r="AF1934" s="189"/>
      <c r="AG1934" s="189"/>
      <c r="AH1934" s="189"/>
      <c r="AI1934" s="45"/>
      <c r="AJ1934" s="45"/>
    </row>
    <row r="1935" spans="16:36" x14ac:dyDescent="0.2">
      <c r="P1935" s="73"/>
      <c r="AA1935" s="45"/>
      <c r="AB1935" s="45"/>
      <c r="AD1935" s="189"/>
      <c r="AE1935" s="189"/>
      <c r="AF1935" s="189"/>
      <c r="AG1935" s="189"/>
      <c r="AH1935" s="189"/>
      <c r="AI1935" s="45"/>
      <c r="AJ1935" s="45"/>
    </row>
    <row r="1936" spans="16:36" x14ac:dyDescent="0.2">
      <c r="P1936" s="73"/>
      <c r="AA1936" s="45"/>
      <c r="AB1936" s="45"/>
      <c r="AD1936" s="189"/>
      <c r="AE1936" s="189"/>
      <c r="AF1936" s="189"/>
      <c r="AG1936" s="189"/>
      <c r="AH1936" s="189"/>
      <c r="AI1936" s="45"/>
      <c r="AJ1936" s="45"/>
    </row>
    <row r="1937" spans="16:36" x14ac:dyDescent="0.2">
      <c r="P1937" s="73"/>
      <c r="AA1937" s="45"/>
      <c r="AB1937" s="45"/>
      <c r="AD1937" s="189"/>
      <c r="AE1937" s="189"/>
      <c r="AF1937" s="189"/>
      <c r="AG1937" s="189"/>
      <c r="AH1937" s="189"/>
      <c r="AI1937" s="45"/>
      <c r="AJ1937" s="45"/>
    </row>
    <row r="1938" spans="16:36" x14ac:dyDescent="0.2">
      <c r="P1938" s="73"/>
      <c r="AA1938" s="45"/>
      <c r="AB1938" s="45"/>
      <c r="AD1938" s="189"/>
      <c r="AE1938" s="189"/>
      <c r="AF1938" s="189"/>
      <c r="AG1938" s="189"/>
      <c r="AH1938" s="189"/>
      <c r="AI1938" s="45"/>
      <c r="AJ1938" s="45"/>
    </row>
    <row r="1939" spans="16:36" x14ac:dyDescent="0.2">
      <c r="P1939" s="73"/>
      <c r="AA1939" s="45"/>
      <c r="AB1939" s="45"/>
      <c r="AD1939" s="189"/>
      <c r="AE1939" s="189"/>
      <c r="AF1939" s="189"/>
      <c r="AG1939" s="189"/>
      <c r="AH1939" s="189"/>
      <c r="AI1939" s="45"/>
      <c r="AJ1939" s="45"/>
    </row>
    <row r="1940" spans="16:36" x14ac:dyDescent="0.2">
      <c r="P1940" s="73"/>
      <c r="AA1940" s="45"/>
      <c r="AB1940" s="45"/>
      <c r="AD1940" s="189"/>
      <c r="AE1940" s="189"/>
      <c r="AF1940" s="189"/>
      <c r="AG1940" s="189"/>
      <c r="AH1940" s="189"/>
      <c r="AI1940" s="45"/>
      <c r="AJ1940" s="45"/>
    </row>
    <row r="1941" spans="16:36" x14ac:dyDescent="0.2">
      <c r="P1941" s="73"/>
      <c r="AA1941" s="45"/>
      <c r="AB1941" s="45"/>
      <c r="AD1941" s="189"/>
      <c r="AE1941" s="189"/>
      <c r="AF1941" s="189"/>
      <c r="AG1941" s="189"/>
      <c r="AH1941" s="189"/>
      <c r="AI1941" s="45"/>
      <c r="AJ1941" s="45"/>
    </row>
    <row r="1942" spans="16:36" x14ac:dyDescent="0.2">
      <c r="P1942" s="73"/>
      <c r="AA1942" s="45"/>
      <c r="AB1942" s="45"/>
      <c r="AD1942" s="189"/>
      <c r="AE1942" s="189"/>
      <c r="AF1942" s="189"/>
      <c r="AG1942" s="189"/>
      <c r="AH1942" s="189"/>
      <c r="AI1942" s="45"/>
      <c r="AJ1942" s="45"/>
    </row>
    <row r="1943" spans="16:36" x14ac:dyDescent="0.2">
      <c r="P1943" s="73"/>
      <c r="AA1943" s="45"/>
      <c r="AB1943" s="45"/>
      <c r="AD1943" s="189"/>
      <c r="AE1943" s="189"/>
      <c r="AF1943" s="189"/>
      <c r="AG1943" s="189"/>
      <c r="AH1943" s="189"/>
      <c r="AI1943" s="45"/>
      <c r="AJ1943" s="45"/>
    </row>
    <row r="1944" spans="16:36" x14ac:dyDescent="0.2">
      <c r="P1944" s="73"/>
      <c r="AA1944" s="45"/>
      <c r="AB1944" s="45"/>
      <c r="AD1944" s="189"/>
      <c r="AE1944" s="189"/>
      <c r="AF1944" s="189"/>
      <c r="AG1944" s="189"/>
      <c r="AH1944" s="189"/>
      <c r="AI1944" s="45"/>
      <c r="AJ1944" s="45"/>
    </row>
    <row r="1945" spans="16:36" x14ac:dyDescent="0.2">
      <c r="P1945" s="73"/>
      <c r="AA1945" s="45"/>
      <c r="AB1945" s="45"/>
      <c r="AD1945" s="189"/>
      <c r="AE1945" s="189"/>
      <c r="AF1945" s="189"/>
      <c r="AG1945" s="189"/>
      <c r="AH1945" s="189"/>
      <c r="AI1945" s="45"/>
      <c r="AJ1945" s="45"/>
    </row>
    <row r="1946" spans="16:36" x14ac:dyDescent="0.2">
      <c r="P1946" s="73"/>
      <c r="AA1946" s="45"/>
      <c r="AB1946" s="45"/>
      <c r="AD1946" s="189"/>
      <c r="AE1946" s="189"/>
      <c r="AF1946" s="189"/>
      <c r="AG1946" s="189"/>
      <c r="AH1946" s="189"/>
      <c r="AI1946" s="45"/>
      <c r="AJ1946" s="45"/>
    </row>
    <row r="1947" spans="16:36" x14ac:dyDescent="0.2">
      <c r="P1947" s="73"/>
      <c r="AA1947" s="45"/>
      <c r="AB1947" s="45"/>
      <c r="AD1947" s="189"/>
      <c r="AE1947" s="189"/>
      <c r="AF1947" s="189"/>
      <c r="AG1947" s="189"/>
      <c r="AH1947" s="189"/>
      <c r="AI1947" s="45"/>
      <c r="AJ1947" s="45"/>
    </row>
    <row r="1948" spans="16:36" x14ac:dyDescent="0.2">
      <c r="P1948" s="73"/>
      <c r="AA1948" s="45"/>
      <c r="AB1948" s="45"/>
      <c r="AD1948" s="189"/>
      <c r="AE1948" s="189"/>
      <c r="AF1948" s="189"/>
      <c r="AG1948" s="189"/>
      <c r="AH1948" s="189"/>
      <c r="AI1948" s="45"/>
      <c r="AJ1948" s="45"/>
    </row>
    <row r="1949" spans="16:36" x14ac:dyDescent="0.2">
      <c r="P1949" s="73"/>
      <c r="AA1949" s="45"/>
      <c r="AB1949" s="45"/>
      <c r="AD1949" s="189"/>
      <c r="AE1949" s="189"/>
      <c r="AF1949" s="189"/>
      <c r="AG1949" s="189"/>
      <c r="AH1949" s="189"/>
      <c r="AI1949" s="45"/>
      <c r="AJ1949" s="45"/>
    </row>
    <row r="1950" spans="16:36" x14ac:dyDescent="0.2">
      <c r="P1950" s="73"/>
      <c r="AA1950" s="45"/>
      <c r="AB1950" s="45"/>
      <c r="AD1950" s="189"/>
      <c r="AE1950" s="189"/>
      <c r="AF1950" s="189"/>
      <c r="AG1950" s="189"/>
      <c r="AH1950" s="189"/>
      <c r="AI1950" s="45"/>
      <c r="AJ1950" s="45"/>
    </row>
    <row r="1951" spans="16:36" x14ac:dyDescent="0.2">
      <c r="P1951" s="73"/>
      <c r="AA1951" s="45"/>
      <c r="AB1951" s="45"/>
      <c r="AD1951" s="189"/>
      <c r="AE1951" s="189"/>
      <c r="AF1951" s="189"/>
      <c r="AG1951" s="189"/>
      <c r="AH1951" s="189"/>
      <c r="AI1951" s="45"/>
      <c r="AJ1951" s="45"/>
    </row>
    <row r="1952" spans="16:36" x14ac:dyDescent="0.2">
      <c r="P1952" s="73"/>
      <c r="AA1952" s="45"/>
      <c r="AB1952" s="45"/>
      <c r="AD1952" s="189"/>
      <c r="AE1952" s="189"/>
      <c r="AF1952" s="189"/>
      <c r="AG1952" s="189"/>
      <c r="AH1952" s="189"/>
      <c r="AI1952" s="45"/>
      <c r="AJ1952" s="45"/>
    </row>
    <row r="1953" spans="16:36" x14ac:dyDescent="0.2">
      <c r="P1953" s="73"/>
      <c r="AA1953" s="45"/>
      <c r="AB1953" s="45"/>
      <c r="AD1953" s="189"/>
      <c r="AE1953" s="189"/>
      <c r="AF1953" s="189"/>
      <c r="AG1953" s="189"/>
      <c r="AH1953" s="189"/>
      <c r="AI1953" s="45"/>
      <c r="AJ1953" s="45"/>
    </row>
    <row r="1954" spans="16:36" x14ac:dyDescent="0.2">
      <c r="P1954" s="73"/>
      <c r="AA1954" s="45"/>
      <c r="AB1954" s="45"/>
      <c r="AD1954" s="189"/>
      <c r="AE1954" s="189"/>
      <c r="AF1954" s="189"/>
      <c r="AG1954" s="189"/>
      <c r="AH1954" s="189"/>
      <c r="AI1954" s="45"/>
      <c r="AJ1954" s="45"/>
    </row>
    <row r="1955" spans="16:36" x14ac:dyDescent="0.2">
      <c r="P1955" s="73"/>
      <c r="AA1955" s="45"/>
      <c r="AB1955" s="45"/>
      <c r="AD1955" s="189"/>
      <c r="AE1955" s="189"/>
      <c r="AF1955" s="189"/>
      <c r="AG1955" s="189"/>
      <c r="AH1955" s="189"/>
      <c r="AI1955" s="45"/>
      <c r="AJ1955" s="45"/>
    </row>
    <row r="1956" spans="16:36" x14ac:dyDescent="0.2">
      <c r="P1956" s="73"/>
      <c r="AA1956" s="45"/>
      <c r="AB1956" s="45"/>
      <c r="AD1956" s="189"/>
      <c r="AE1956" s="189"/>
      <c r="AF1956" s="189"/>
      <c r="AG1956" s="189"/>
      <c r="AH1956" s="189"/>
      <c r="AI1956" s="45"/>
      <c r="AJ1956" s="45"/>
    </row>
    <row r="1957" spans="16:36" x14ac:dyDescent="0.2">
      <c r="P1957" s="73"/>
      <c r="AA1957" s="45"/>
      <c r="AB1957" s="45"/>
      <c r="AD1957" s="189"/>
      <c r="AE1957" s="189"/>
      <c r="AF1957" s="189"/>
      <c r="AG1957" s="189"/>
      <c r="AH1957" s="189"/>
      <c r="AI1957" s="45"/>
      <c r="AJ1957" s="45"/>
    </row>
    <row r="1958" spans="16:36" x14ac:dyDescent="0.2">
      <c r="P1958" s="73"/>
      <c r="AA1958" s="45"/>
      <c r="AB1958" s="45"/>
      <c r="AD1958" s="189"/>
      <c r="AE1958" s="189"/>
      <c r="AF1958" s="189"/>
      <c r="AG1958" s="189"/>
      <c r="AH1958" s="189"/>
      <c r="AI1958" s="45"/>
      <c r="AJ1958" s="45"/>
    </row>
    <row r="1959" spans="16:36" x14ac:dyDescent="0.2">
      <c r="P1959" s="73"/>
      <c r="AA1959" s="45"/>
      <c r="AB1959" s="45"/>
      <c r="AD1959" s="189"/>
      <c r="AE1959" s="189"/>
      <c r="AF1959" s="189"/>
      <c r="AG1959" s="189"/>
      <c r="AH1959" s="189"/>
      <c r="AI1959" s="45"/>
      <c r="AJ1959" s="45"/>
    </row>
    <row r="1960" spans="16:36" x14ac:dyDescent="0.2">
      <c r="P1960" s="73"/>
      <c r="AA1960" s="45"/>
      <c r="AB1960" s="45"/>
      <c r="AD1960" s="189"/>
      <c r="AE1960" s="189"/>
      <c r="AF1960" s="189"/>
      <c r="AG1960" s="189"/>
      <c r="AH1960" s="189"/>
      <c r="AI1960" s="45"/>
      <c r="AJ1960" s="45"/>
    </row>
    <row r="1961" spans="16:36" x14ac:dyDescent="0.2">
      <c r="P1961" s="73"/>
      <c r="AA1961" s="45"/>
      <c r="AB1961" s="45"/>
      <c r="AD1961" s="189"/>
      <c r="AE1961" s="189"/>
      <c r="AF1961" s="189"/>
      <c r="AG1961" s="189"/>
      <c r="AH1961" s="189"/>
      <c r="AI1961" s="45"/>
      <c r="AJ1961" s="45"/>
    </row>
    <row r="1962" spans="16:36" x14ac:dyDescent="0.2">
      <c r="P1962" s="73"/>
      <c r="AA1962" s="45"/>
      <c r="AB1962" s="45"/>
      <c r="AD1962" s="189"/>
      <c r="AE1962" s="189"/>
      <c r="AF1962" s="189"/>
      <c r="AG1962" s="189"/>
      <c r="AH1962" s="189"/>
      <c r="AI1962" s="45"/>
      <c r="AJ1962" s="45"/>
    </row>
    <row r="1963" spans="16:36" x14ac:dyDescent="0.2">
      <c r="P1963" s="73"/>
      <c r="AA1963" s="45"/>
      <c r="AB1963" s="45"/>
      <c r="AD1963" s="189"/>
      <c r="AE1963" s="189"/>
      <c r="AF1963" s="189"/>
      <c r="AG1963" s="189"/>
      <c r="AH1963" s="189"/>
      <c r="AI1963" s="45"/>
      <c r="AJ1963" s="45"/>
    </row>
    <row r="1964" spans="16:36" x14ac:dyDescent="0.2">
      <c r="P1964" s="73"/>
      <c r="AA1964" s="45"/>
      <c r="AB1964" s="45"/>
      <c r="AD1964" s="189"/>
      <c r="AE1964" s="189"/>
      <c r="AF1964" s="189"/>
      <c r="AG1964" s="189"/>
      <c r="AH1964" s="189"/>
      <c r="AI1964" s="45"/>
      <c r="AJ1964" s="45"/>
    </row>
    <row r="1965" spans="16:36" x14ac:dyDescent="0.2">
      <c r="P1965" s="73"/>
      <c r="AA1965" s="45"/>
      <c r="AB1965" s="45"/>
      <c r="AD1965" s="189"/>
      <c r="AE1965" s="189"/>
      <c r="AF1965" s="189"/>
      <c r="AG1965" s="189"/>
      <c r="AH1965" s="189"/>
      <c r="AI1965" s="45"/>
      <c r="AJ1965" s="45"/>
    </row>
    <row r="1966" spans="16:36" x14ac:dyDescent="0.2">
      <c r="P1966" s="73"/>
      <c r="AA1966" s="45"/>
      <c r="AB1966" s="45"/>
      <c r="AD1966" s="189"/>
      <c r="AE1966" s="189"/>
      <c r="AF1966" s="189"/>
      <c r="AG1966" s="189"/>
      <c r="AH1966" s="189"/>
      <c r="AI1966" s="45"/>
      <c r="AJ1966" s="45"/>
    </row>
    <row r="1967" spans="16:36" x14ac:dyDescent="0.2">
      <c r="P1967" s="73"/>
      <c r="AA1967" s="45"/>
      <c r="AB1967" s="45"/>
      <c r="AD1967" s="189"/>
      <c r="AE1967" s="189"/>
      <c r="AF1967" s="189"/>
      <c r="AG1967" s="189"/>
      <c r="AH1967" s="189"/>
      <c r="AI1967" s="45"/>
      <c r="AJ1967" s="45"/>
    </row>
    <row r="1968" spans="16:36" x14ac:dyDescent="0.2">
      <c r="P1968" s="73"/>
      <c r="AA1968" s="45"/>
      <c r="AB1968" s="45"/>
      <c r="AD1968" s="189"/>
      <c r="AE1968" s="189"/>
      <c r="AF1968" s="189"/>
      <c r="AG1968" s="189"/>
      <c r="AH1968" s="189"/>
      <c r="AI1968" s="45"/>
      <c r="AJ1968" s="45"/>
    </row>
    <row r="1969" spans="16:36" x14ac:dyDescent="0.2">
      <c r="P1969" s="73"/>
      <c r="AA1969" s="45"/>
      <c r="AB1969" s="45"/>
      <c r="AD1969" s="189"/>
      <c r="AE1969" s="189"/>
      <c r="AF1969" s="189"/>
      <c r="AG1969" s="189"/>
      <c r="AH1969" s="189"/>
      <c r="AI1969" s="45"/>
      <c r="AJ1969" s="45"/>
    </row>
    <row r="1970" spans="16:36" x14ac:dyDescent="0.2">
      <c r="P1970" s="73"/>
      <c r="AA1970" s="45"/>
      <c r="AB1970" s="45"/>
      <c r="AD1970" s="189"/>
      <c r="AE1970" s="189"/>
      <c r="AF1970" s="189"/>
      <c r="AG1970" s="189"/>
      <c r="AH1970" s="189"/>
      <c r="AI1970" s="45"/>
      <c r="AJ1970" s="45"/>
    </row>
    <row r="1971" spans="16:36" x14ac:dyDescent="0.2">
      <c r="P1971" s="73"/>
      <c r="AA1971" s="45"/>
      <c r="AB1971" s="45"/>
      <c r="AD1971" s="189"/>
      <c r="AE1971" s="189"/>
      <c r="AF1971" s="189"/>
      <c r="AG1971" s="189"/>
      <c r="AH1971" s="189"/>
      <c r="AI1971" s="45"/>
      <c r="AJ1971" s="45"/>
    </row>
    <row r="1972" spans="16:36" x14ac:dyDescent="0.2">
      <c r="P1972" s="73"/>
      <c r="AA1972" s="45"/>
      <c r="AB1972" s="45"/>
      <c r="AD1972" s="189"/>
      <c r="AE1972" s="189"/>
      <c r="AF1972" s="189"/>
      <c r="AG1972" s="189"/>
      <c r="AH1972" s="189"/>
      <c r="AI1972" s="45"/>
      <c r="AJ1972" s="45"/>
    </row>
    <row r="1973" spans="16:36" x14ac:dyDescent="0.2">
      <c r="P1973" s="73"/>
      <c r="AA1973" s="45"/>
      <c r="AB1973" s="45"/>
      <c r="AD1973" s="189"/>
      <c r="AE1973" s="189"/>
      <c r="AF1973" s="189"/>
      <c r="AG1973" s="189"/>
      <c r="AH1973" s="189"/>
      <c r="AI1973" s="45"/>
      <c r="AJ1973" s="45"/>
    </row>
    <row r="1974" spans="16:36" x14ac:dyDescent="0.2">
      <c r="P1974" s="73"/>
      <c r="AA1974" s="45"/>
      <c r="AB1974" s="45"/>
      <c r="AD1974" s="189"/>
      <c r="AE1974" s="189"/>
      <c r="AF1974" s="189"/>
      <c r="AG1974" s="189"/>
      <c r="AH1974" s="189"/>
      <c r="AI1974" s="45"/>
      <c r="AJ1974" s="45"/>
    </row>
    <row r="1975" spans="16:36" x14ac:dyDescent="0.2">
      <c r="P1975" s="73"/>
      <c r="AA1975" s="45"/>
      <c r="AB1975" s="45"/>
      <c r="AD1975" s="189"/>
      <c r="AE1975" s="189"/>
      <c r="AF1975" s="189"/>
      <c r="AG1975" s="189"/>
      <c r="AH1975" s="189"/>
      <c r="AI1975" s="45"/>
      <c r="AJ1975" s="45"/>
    </row>
    <row r="1976" spans="16:36" x14ac:dyDescent="0.2">
      <c r="P1976" s="73"/>
      <c r="AA1976" s="45"/>
      <c r="AB1976" s="45"/>
      <c r="AD1976" s="189"/>
      <c r="AE1976" s="189"/>
      <c r="AF1976" s="189"/>
      <c r="AG1976" s="189"/>
      <c r="AH1976" s="189"/>
      <c r="AI1976" s="45"/>
      <c r="AJ1976" s="45"/>
    </row>
    <row r="1977" spans="16:36" x14ac:dyDescent="0.2">
      <c r="P1977" s="73"/>
      <c r="AA1977" s="45"/>
      <c r="AB1977" s="45"/>
      <c r="AD1977" s="189"/>
      <c r="AE1977" s="189"/>
      <c r="AF1977" s="189"/>
      <c r="AG1977" s="189"/>
      <c r="AH1977" s="189"/>
      <c r="AI1977" s="45"/>
      <c r="AJ1977" s="45"/>
    </row>
    <row r="1978" spans="16:36" x14ac:dyDescent="0.2">
      <c r="P1978" s="73"/>
      <c r="AA1978" s="45"/>
      <c r="AB1978" s="45"/>
      <c r="AD1978" s="189"/>
      <c r="AE1978" s="189"/>
      <c r="AF1978" s="189"/>
      <c r="AG1978" s="189"/>
      <c r="AH1978" s="189"/>
      <c r="AI1978" s="45"/>
      <c r="AJ1978" s="45"/>
    </row>
    <row r="1979" spans="16:36" x14ac:dyDescent="0.2">
      <c r="P1979" s="73"/>
      <c r="AA1979" s="45"/>
      <c r="AB1979" s="45"/>
      <c r="AD1979" s="189"/>
      <c r="AE1979" s="189"/>
      <c r="AF1979" s="189"/>
      <c r="AG1979" s="189"/>
      <c r="AH1979" s="189"/>
      <c r="AI1979" s="45"/>
      <c r="AJ1979" s="45"/>
    </row>
    <row r="1980" spans="16:36" x14ac:dyDescent="0.2">
      <c r="P1980" s="73"/>
      <c r="AA1980" s="45"/>
      <c r="AB1980" s="45"/>
      <c r="AD1980" s="189"/>
      <c r="AE1980" s="189"/>
      <c r="AF1980" s="189"/>
      <c r="AG1980" s="189"/>
      <c r="AH1980" s="189"/>
      <c r="AI1980" s="45"/>
      <c r="AJ1980" s="45"/>
    </row>
    <row r="1981" spans="16:36" x14ac:dyDescent="0.2">
      <c r="P1981" s="73"/>
      <c r="AA1981" s="45"/>
      <c r="AB1981" s="45"/>
      <c r="AD1981" s="189"/>
      <c r="AE1981" s="189"/>
      <c r="AF1981" s="189"/>
      <c r="AG1981" s="189"/>
      <c r="AH1981" s="189"/>
      <c r="AI1981" s="45"/>
      <c r="AJ1981" s="45"/>
    </row>
    <row r="1982" spans="16:36" x14ac:dyDescent="0.2">
      <c r="P1982" s="73"/>
      <c r="AA1982" s="45"/>
      <c r="AB1982" s="45"/>
      <c r="AD1982" s="189"/>
      <c r="AE1982" s="189"/>
      <c r="AF1982" s="189"/>
      <c r="AG1982" s="189"/>
      <c r="AH1982" s="189"/>
      <c r="AI1982" s="45"/>
      <c r="AJ1982" s="45"/>
    </row>
    <row r="1983" spans="16:36" x14ac:dyDescent="0.2">
      <c r="P1983" s="73"/>
      <c r="AA1983" s="45"/>
      <c r="AB1983" s="45"/>
      <c r="AD1983" s="189"/>
      <c r="AE1983" s="189"/>
      <c r="AF1983" s="189"/>
      <c r="AG1983" s="189"/>
      <c r="AH1983" s="189"/>
      <c r="AI1983" s="45"/>
      <c r="AJ1983" s="45"/>
    </row>
    <row r="1984" spans="16:36" x14ac:dyDescent="0.2">
      <c r="P1984" s="73"/>
      <c r="AA1984" s="45"/>
      <c r="AB1984" s="45"/>
      <c r="AD1984" s="189"/>
      <c r="AE1984" s="189"/>
      <c r="AF1984" s="189"/>
      <c r="AG1984" s="189"/>
      <c r="AH1984" s="189"/>
      <c r="AI1984" s="45"/>
      <c r="AJ1984" s="45"/>
    </row>
    <row r="1985" spans="16:36" x14ac:dyDescent="0.2">
      <c r="P1985" s="73"/>
      <c r="AA1985" s="45"/>
      <c r="AB1985" s="45"/>
      <c r="AD1985" s="189"/>
      <c r="AE1985" s="189"/>
      <c r="AF1985" s="189"/>
      <c r="AG1985" s="189"/>
      <c r="AH1985" s="189"/>
      <c r="AI1985" s="45"/>
      <c r="AJ1985" s="45"/>
    </row>
    <row r="1986" spans="16:36" x14ac:dyDescent="0.2">
      <c r="P1986" s="73"/>
      <c r="AA1986" s="45"/>
      <c r="AB1986" s="45"/>
      <c r="AD1986" s="189"/>
      <c r="AE1986" s="189"/>
      <c r="AF1986" s="189"/>
      <c r="AG1986" s="189"/>
      <c r="AH1986" s="189"/>
      <c r="AI1986" s="45"/>
      <c r="AJ1986" s="45"/>
    </row>
    <row r="1987" spans="16:36" x14ac:dyDescent="0.2">
      <c r="P1987" s="73"/>
      <c r="AA1987" s="45"/>
      <c r="AB1987" s="45"/>
      <c r="AD1987" s="189"/>
      <c r="AE1987" s="189"/>
      <c r="AF1987" s="189"/>
      <c r="AG1987" s="189"/>
      <c r="AH1987" s="189"/>
      <c r="AI1987" s="45"/>
      <c r="AJ1987" s="45"/>
    </row>
    <row r="1988" spans="16:36" x14ac:dyDescent="0.2">
      <c r="P1988" s="73"/>
      <c r="AA1988" s="45"/>
      <c r="AB1988" s="45"/>
      <c r="AD1988" s="189"/>
      <c r="AE1988" s="189"/>
      <c r="AF1988" s="189"/>
      <c r="AG1988" s="189"/>
      <c r="AH1988" s="189"/>
      <c r="AI1988" s="45"/>
      <c r="AJ1988" s="45"/>
    </row>
    <row r="1989" spans="16:36" x14ac:dyDescent="0.2">
      <c r="P1989" s="73"/>
      <c r="AA1989" s="45"/>
      <c r="AB1989" s="45"/>
      <c r="AD1989" s="189"/>
      <c r="AE1989" s="189"/>
      <c r="AF1989" s="189"/>
      <c r="AG1989" s="189"/>
      <c r="AH1989" s="189"/>
      <c r="AI1989" s="45"/>
      <c r="AJ1989" s="45"/>
    </row>
    <row r="1990" spans="16:36" x14ac:dyDescent="0.2">
      <c r="P1990" s="73"/>
      <c r="AA1990" s="45"/>
      <c r="AB1990" s="45"/>
      <c r="AD1990" s="189"/>
      <c r="AE1990" s="189"/>
      <c r="AF1990" s="189"/>
      <c r="AG1990" s="189"/>
      <c r="AH1990" s="189"/>
      <c r="AI1990" s="45"/>
      <c r="AJ1990" s="45"/>
    </row>
    <row r="1991" spans="16:36" x14ac:dyDescent="0.2">
      <c r="P1991" s="73"/>
      <c r="AA1991" s="45"/>
      <c r="AB1991" s="45"/>
      <c r="AD1991" s="189"/>
      <c r="AE1991" s="189"/>
      <c r="AF1991" s="189"/>
      <c r="AG1991" s="189"/>
      <c r="AH1991" s="189"/>
      <c r="AI1991" s="45"/>
      <c r="AJ1991" s="45"/>
    </row>
    <row r="1992" spans="16:36" x14ac:dyDescent="0.2">
      <c r="P1992" s="73"/>
      <c r="AA1992" s="45"/>
      <c r="AB1992" s="45"/>
      <c r="AD1992" s="189"/>
      <c r="AE1992" s="189"/>
      <c r="AF1992" s="189"/>
      <c r="AG1992" s="189"/>
      <c r="AH1992" s="189"/>
      <c r="AI1992" s="45"/>
      <c r="AJ1992" s="45"/>
    </row>
    <row r="1993" spans="16:36" x14ac:dyDescent="0.2">
      <c r="P1993" s="73"/>
      <c r="AA1993" s="45"/>
      <c r="AB1993" s="45"/>
      <c r="AD1993" s="189"/>
      <c r="AE1993" s="189"/>
      <c r="AF1993" s="189"/>
      <c r="AG1993" s="189"/>
      <c r="AH1993" s="189"/>
      <c r="AI1993" s="45"/>
      <c r="AJ1993" s="45"/>
    </row>
    <row r="1994" spans="16:36" x14ac:dyDescent="0.2">
      <c r="P1994" s="73"/>
      <c r="AA1994" s="45"/>
      <c r="AB1994" s="45"/>
      <c r="AD1994" s="189"/>
      <c r="AE1994" s="189"/>
      <c r="AF1994" s="189"/>
      <c r="AG1994" s="189"/>
      <c r="AH1994" s="189"/>
      <c r="AI1994" s="45"/>
      <c r="AJ1994" s="45"/>
    </row>
    <row r="1995" spans="16:36" x14ac:dyDescent="0.2">
      <c r="P1995" s="73"/>
      <c r="AA1995" s="45"/>
      <c r="AB1995" s="45"/>
      <c r="AD1995" s="189"/>
      <c r="AE1995" s="189"/>
      <c r="AF1995" s="189"/>
      <c r="AG1995" s="189"/>
      <c r="AH1995" s="189"/>
      <c r="AI1995" s="45"/>
      <c r="AJ1995" s="45"/>
    </row>
    <row r="1996" spans="16:36" x14ac:dyDescent="0.2">
      <c r="P1996" s="73"/>
      <c r="AA1996" s="45"/>
      <c r="AB1996" s="45"/>
      <c r="AD1996" s="189"/>
      <c r="AE1996" s="189"/>
      <c r="AF1996" s="189"/>
      <c r="AG1996" s="189"/>
      <c r="AH1996" s="189"/>
      <c r="AI1996" s="45"/>
      <c r="AJ1996" s="45"/>
    </row>
    <row r="1997" spans="16:36" x14ac:dyDescent="0.2">
      <c r="P1997" s="73"/>
      <c r="AA1997" s="45"/>
      <c r="AB1997" s="45"/>
      <c r="AD1997" s="189"/>
      <c r="AE1997" s="189"/>
      <c r="AF1997" s="189"/>
      <c r="AG1997" s="189"/>
      <c r="AH1997" s="189"/>
      <c r="AI1997" s="45"/>
      <c r="AJ1997" s="45"/>
    </row>
    <row r="1998" spans="16:36" x14ac:dyDescent="0.2">
      <c r="P1998" s="73"/>
      <c r="AA1998" s="45"/>
      <c r="AB1998" s="45"/>
      <c r="AD1998" s="189"/>
      <c r="AE1998" s="189"/>
      <c r="AF1998" s="189"/>
      <c r="AG1998" s="189"/>
      <c r="AH1998" s="189"/>
      <c r="AI1998" s="45"/>
      <c r="AJ1998" s="45"/>
    </row>
    <row r="1999" spans="16:36" x14ac:dyDescent="0.2">
      <c r="P1999" s="73"/>
      <c r="AA1999" s="45"/>
      <c r="AB1999" s="45"/>
      <c r="AD1999" s="189"/>
      <c r="AE1999" s="189"/>
      <c r="AF1999" s="189"/>
      <c r="AG1999" s="189"/>
      <c r="AH1999" s="189"/>
      <c r="AI1999" s="45"/>
      <c r="AJ1999" s="45"/>
    </row>
    <row r="2000" spans="16:36" x14ac:dyDescent="0.2">
      <c r="P2000" s="73"/>
      <c r="AA2000" s="45"/>
      <c r="AB2000" s="45"/>
      <c r="AD2000" s="189"/>
      <c r="AE2000" s="189"/>
      <c r="AF2000" s="189"/>
      <c r="AG2000" s="189"/>
      <c r="AH2000" s="189"/>
      <c r="AI2000" s="45"/>
      <c r="AJ2000" s="45"/>
    </row>
    <row r="2001" spans="16:36" x14ac:dyDescent="0.2">
      <c r="P2001" s="73"/>
      <c r="AA2001" s="45"/>
      <c r="AB2001" s="45"/>
      <c r="AD2001" s="189"/>
      <c r="AE2001" s="189"/>
      <c r="AF2001" s="189"/>
      <c r="AG2001" s="189"/>
      <c r="AH2001" s="189"/>
      <c r="AI2001" s="45"/>
      <c r="AJ2001" s="45"/>
    </row>
    <row r="2002" spans="16:36" x14ac:dyDescent="0.2">
      <c r="P2002" s="73"/>
      <c r="AA2002" s="45"/>
      <c r="AB2002" s="45"/>
      <c r="AD2002" s="189"/>
      <c r="AE2002" s="189"/>
      <c r="AF2002" s="189"/>
      <c r="AG2002" s="189"/>
      <c r="AH2002" s="189"/>
      <c r="AI2002" s="45"/>
      <c r="AJ2002" s="45"/>
    </row>
    <row r="2003" spans="16:36" x14ac:dyDescent="0.2">
      <c r="P2003" s="73"/>
      <c r="AA2003" s="45"/>
      <c r="AB2003" s="45"/>
      <c r="AD2003" s="189"/>
      <c r="AE2003" s="189"/>
      <c r="AF2003" s="189"/>
      <c r="AG2003" s="189"/>
      <c r="AH2003" s="189"/>
      <c r="AI2003" s="45"/>
      <c r="AJ2003" s="45"/>
    </row>
    <row r="2004" spans="16:36" x14ac:dyDescent="0.2">
      <c r="P2004" s="73"/>
      <c r="AA2004" s="45"/>
      <c r="AB2004" s="45"/>
      <c r="AD2004" s="189"/>
      <c r="AE2004" s="189"/>
      <c r="AF2004" s="189"/>
      <c r="AG2004" s="189"/>
      <c r="AH2004" s="189"/>
      <c r="AI2004" s="45"/>
      <c r="AJ2004" s="45"/>
    </row>
    <row r="2005" spans="16:36" x14ac:dyDescent="0.2">
      <c r="P2005" s="73"/>
      <c r="AA2005" s="45"/>
      <c r="AB2005" s="45"/>
      <c r="AD2005" s="189"/>
      <c r="AE2005" s="189"/>
      <c r="AF2005" s="189"/>
      <c r="AG2005" s="189"/>
      <c r="AH2005" s="189"/>
      <c r="AI2005" s="45"/>
      <c r="AJ2005" s="45"/>
    </row>
    <row r="2006" spans="16:36" x14ac:dyDescent="0.2">
      <c r="P2006" s="73"/>
      <c r="AA2006" s="45"/>
      <c r="AB2006" s="45"/>
      <c r="AD2006" s="189"/>
      <c r="AE2006" s="189"/>
      <c r="AF2006" s="189"/>
      <c r="AG2006" s="189"/>
      <c r="AH2006" s="189"/>
      <c r="AI2006" s="45"/>
      <c r="AJ2006" s="45"/>
    </row>
    <row r="2007" spans="16:36" x14ac:dyDescent="0.2">
      <c r="P2007" s="73"/>
      <c r="AA2007" s="45"/>
      <c r="AB2007" s="45"/>
      <c r="AD2007" s="189"/>
      <c r="AE2007" s="189"/>
      <c r="AF2007" s="189"/>
      <c r="AG2007" s="189"/>
      <c r="AH2007" s="189"/>
      <c r="AI2007" s="45"/>
      <c r="AJ2007" s="45"/>
    </row>
    <row r="2008" spans="16:36" x14ac:dyDescent="0.2">
      <c r="P2008" s="73"/>
      <c r="AA2008" s="45"/>
      <c r="AB2008" s="45"/>
      <c r="AD2008" s="189"/>
      <c r="AE2008" s="189"/>
      <c r="AF2008" s="189"/>
      <c r="AG2008" s="189"/>
      <c r="AH2008" s="189"/>
      <c r="AI2008" s="45"/>
      <c r="AJ2008" s="45"/>
    </row>
    <row r="2009" spans="16:36" x14ac:dyDescent="0.2">
      <c r="P2009" s="73"/>
      <c r="AA2009" s="45"/>
      <c r="AB2009" s="45"/>
      <c r="AD2009" s="189"/>
      <c r="AE2009" s="189"/>
      <c r="AF2009" s="189"/>
      <c r="AG2009" s="189"/>
      <c r="AH2009" s="189"/>
      <c r="AI2009" s="45"/>
      <c r="AJ2009" s="45"/>
    </row>
    <row r="2010" spans="16:36" x14ac:dyDescent="0.2">
      <c r="P2010" s="73"/>
      <c r="AA2010" s="45"/>
      <c r="AB2010" s="45"/>
      <c r="AD2010" s="189"/>
      <c r="AE2010" s="189"/>
      <c r="AF2010" s="189"/>
      <c r="AG2010" s="189"/>
      <c r="AH2010" s="189"/>
      <c r="AI2010" s="45"/>
      <c r="AJ2010" s="45"/>
    </row>
    <row r="2011" spans="16:36" x14ac:dyDescent="0.2">
      <c r="P2011" s="73"/>
      <c r="AA2011" s="45"/>
      <c r="AB2011" s="45"/>
      <c r="AD2011" s="189"/>
      <c r="AE2011" s="189"/>
      <c r="AF2011" s="189"/>
      <c r="AG2011" s="189"/>
      <c r="AH2011" s="189"/>
      <c r="AI2011" s="45"/>
      <c r="AJ2011" s="45"/>
    </row>
    <row r="2012" spans="16:36" x14ac:dyDescent="0.2">
      <c r="P2012" s="73"/>
      <c r="AA2012" s="45"/>
      <c r="AB2012" s="45"/>
      <c r="AD2012" s="189"/>
      <c r="AE2012" s="189"/>
      <c r="AF2012" s="189"/>
      <c r="AG2012" s="189"/>
      <c r="AH2012" s="189"/>
      <c r="AI2012" s="45"/>
      <c r="AJ2012" s="45"/>
    </row>
    <row r="2013" spans="16:36" x14ac:dyDescent="0.2">
      <c r="P2013" s="73"/>
      <c r="AA2013" s="45"/>
      <c r="AB2013" s="45"/>
      <c r="AD2013" s="189"/>
      <c r="AE2013" s="189"/>
      <c r="AF2013" s="189"/>
      <c r="AG2013" s="189"/>
      <c r="AH2013" s="189"/>
      <c r="AI2013" s="45"/>
      <c r="AJ2013" s="45"/>
    </row>
    <row r="2014" spans="16:36" x14ac:dyDescent="0.2">
      <c r="P2014" s="73"/>
      <c r="AA2014" s="45"/>
      <c r="AB2014" s="45"/>
      <c r="AD2014" s="189"/>
      <c r="AE2014" s="189"/>
      <c r="AF2014" s="189"/>
      <c r="AG2014" s="189"/>
      <c r="AH2014" s="189"/>
      <c r="AI2014" s="45"/>
      <c r="AJ2014" s="45"/>
    </row>
    <row r="2015" spans="16:36" x14ac:dyDescent="0.2">
      <c r="P2015" s="73"/>
      <c r="AA2015" s="45"/>
      <c r="AB2015" s="45"/>
      <c r="AD2015" s="189"/>
      <c r="AE2015" s="189"/>
      <c r="AF2015" s="189"/>
      <c r="AG2015" s="189"/>
      <c r="AH2015" s="189"/>
      <c r="AI2015" s="45"/>
      <c r="AJ2015" s="45"/>
    </row>
    <row r="2016" spans="16:36" x14ac:dyDescent="0.2">
      <c r="P2016" s="73"/>
      <c r="AA2016" s="45"/>
      <c r="AB2016" s="45"/>
      <c r="AD2016" s="189"/>
      <c r="AE2016" s="189"/>
      <c r="AF2016" s="189"/>
      <c r="AG2016" s="189"/>
      <c r="AH2016" s="189"/>
      <c r="AI2016" s="45"/>
      <c r="AJ2016" s="45"/>
    </row>
    <row r="2017" spans="16:36" x14ac:dyDescent="0.2">
      <c r="P2017" s="73"/>
      <c r="AA2017" s="45"/>
      <c r="AB2017" s="45"/>
      <c r="AD2017" s="189"/>
      <c r="AE2017" s="189"/>
      <c r="AF2017" s="189"/>
      <c r="AG2017" s="189"/>
      <c r="AH2017" s="189"/>
      <c r="AI2017" s="45"/>
      <c r="AJ2017" s="45"/>
    </row>
    <row r="2018" spans="16:36" x14ac:dyDescent="0.2">
      <c r="P2018" s="73"/>
      <c r="AA2018" s="45"/>
      <c r="AB2018" s="45"/>
      <c r="AD2018" s="189"/>
      <c r="AE2018" s="189"/>
      <c r="AF2018" s="189"/>
      <c r="AG2018" s="189"/>
      <c r="AH2018" s="189"/>
      <c r="AI2018" s="45"/>
      <c r="AJ2018" s="45"/>
    </row>
    <row r="2019" spans="16:36" x14ac:dyDescent="0.2">
      <c r="P2019" s="73"/>
      <c r="AA2019" s="45"/>
      <c r="AB2019" s="45"/>
      <c r="AD2019" s="189"/>
      <c r="AE2019" s="189"/>
      <c r="AF2019" s="189"/>
      <c r="AG2019" s="189"/>
      <c r="AH2019" s="189"/>
      <c r="AI2019" s="45"/>
      <c r="AJ2019" s="45"/>
    </row>
    <row r="2020" spans="16:36" x14ac:dyDescent="0.2">
      <c r="P2020" s="73"/>
      <c r="AA2020" s="45"/>
      <c r="AB2020" s="45"/>
      <c r="AD2020" s="189"/>
      <c r="AE2020" s="189"/>
      <c r="AF2020" s="189"/>
      <c r="AG2020" s="189"/>
      <c r="AH2020" s="189"/>
      <c r="AI2020" s="45"/>
      <c r="AJ2020" s="45"/>
    </row>
    <row r="2021" spans="16:36" x14ac:dyDescent="0.2">
      <c r="P2021" s="73"/>
      <c r="AA2021" s="45"/>
      <c r="AB2021" s="45"/>
      <c r="AD2021" s="189"/>
      <c r="AE2021" s="189"/>
      <c r="AF2021" s="189"/>
      <c r="AG2021" s="189"/>
      <c r="AH2021" s="189"/>
      <c r="AI2021" s="45"/>
      <c r="AJ2021" s="45"/>
    </row>
    <row r="2022" spans="16:36" x14ac:dyDescent="0.2">
      <c r="P2022" s="73"/>
      <c r="AA2022" s="45"/>
      <c r="AB2022" s="45"/>
      <c r="AD2022" s="189"/>
      <c r="AE2022" s="189"/>
      <c r="AF2022" s="189"/>
      <c r="AG2022" s="189"/>
      <c r="AH2022" s="189"/>
      <c r="AI2022" s="45"/>
      <c r="AJ2022" s="45"/>
    </row>
    <row r="2023" spans="16:36" x14ac:dyDescent="0.2">
      <c r="P2023" s="73"/>
      <c r="AA2023" s="45"/>
      <c r="AB2023" s="45"/>
      <c r="AD2023" s="189"/>
      <c r="AE2023" s="189"/>
      <c r="AF2023" s="189"/>
      <c r="AG2023" s="189"/>
      <c r="AH2023" s="189"/>
      <c r="AI2023" s="45"/>
      <c r="AJ2023" s="45"/>
    </row>
    <row r="2024" spans="16:36" x14ac:dyDescent="0.2">
      <c r="P2024" s="73"/>
      <c r="AA2024" s="45"/>
      <c r="AB2024" s="45"/>
      <c r="AD2024" s="189"/>
      <c r="AE2024" s="189"/>
      <c r="AF2024" s="189"/>
      <c r="AG2024" s="189"/>
      <c r="AH2024" s="189"/>
      <c r="AI2024" s="45"/>
      <c r="AJ2024" s="45"/>
    </row>
    <row r="2025" spans="16:36" x14ac:dyDescent="0.2">
      <c r="P2025" s="73"/>
      <c r="AA2025" s="45"/>
      <c r="AB2025" s="45"/>
      <c r="AD2025" s="189"/>
      <c r="AE2025" s="189"/>
      <c r="AF2025" s="189"/>
      <c r="AG2025" s="189"/>
      <c r="AH2025" s="189"/>
      <c r="AI2025" s="45"/>
      <c r="AJ2025" s="45"/>
    </row>
    <row r="2026" spans="16:36" x14ac:dyDescent="0.2">
      <c r="P2026" s="73"/>
      <c r="AA2026" s="45"/>
      <c r="AB2026" s="45"/>
      <c r="AD2026" s="189"/>
      <c r="AE2026" s="189"/>
      <c r="AF2026" s="189"/>
      <c r="AG2026" s="189"/>
      <c r="AH2026" s="189"/>
      <c r="AI2026" s="45"/>
      <c r="AJ2026" s="45"/>
    </row>
    <row r="2027" spans="16:36" x14ac:dyDescent="0.2">
      <c r="P2027" s="73"/>
      <c r="AA2027" s="45"/>
      <c r="AB2027" s="45"/>
      <c r="AD2027" s="189"/>
      <c r="AE2027" s="189"/>
      <c r="AF2027" s="189"/>
      <c r="AG2027" s="189"/>
      <c r="AH2027" s="189"/>
      <c r="AI2027" s="45"/>
      <c r="AJ2027" s="45"/>
    </row>
    <row r="2028" spans="16:36" x14ac:dyDescent="0.2">
      <c r="P2028" s="73"/>
      <c r="AA2028" s="45"/>
      <c r="AB2028" s="45"/>
      <c r="AD2028" s="189"/>
      <c r="AE2028" s="189"/>
      <c r="AF2028" s="189"/>
      <c r="AG2028" s="189"/>
      <c r="AH2028" s="189"/>
      <c r="AI2028" s="45"/>
      <c r="AJ2028" s="45"/>
    </row>
    <row r="2029" spans="16:36" x14ac:dyDescent="0.2">
      <c r="P2029" s="73"/>
      <c r="AA2029" s="45"/>
      <c r="AB2029" s="45"/>
      <c r="AD2029" s="189"/>
      <c r="AE2029" s="189"/>
      <c r="AF2029" s="189"/>
      <c r="AG2029" s="189"/>
      <c r="AH2029" s="189"/>
      <c r="AI2029" s="45"/>
      <c r="AJ2029" s="45"/>
    </row>
    <row r="2030" spans="16:36" x14ac:dyDescent="0.2">
      <c r="P2030" s="73"/>
      <c r="AA2030" s="45"/>
      <c r="AB2030" s="45"/>
      <c r="AD2030" s="189"/>
      <c r="AE2030" s="189"/>
      <c r="AF2030" s="189"/>
      <c r="AG2030" s="189"/>
      <c r="AH2030" s="189"/>
      <c r="AI2030" s="45"/>
      <c r="AJ2030" s="45"/>
    </row>
    <row r="2031" spans="16:36" x14ac:dyDescent="0.2">
      <c r="P2031" s="73"/>
      <c r="AA2031" s="45"/>
      <c r="AB2031" s="45"/>
      <c r="AD2031" s="189"/>
      <c r="AE2031" s="189"/>
      <c r="AF2031" s="189"/>
      <c r="AG2031" s="189"/>
      <c r="AH2031" s="189"/>
      <c r="AI2031" s="45"/>
      <c r="AJ2031" s="45"/>
    </row>
    <row r="2032" spans="16:36" x14ac:dyDescent="0.2">
      <c r="P2032" s="73"/>
      <c r="AA2032" s="45"/>
      <c r="AB2032" s="45"/>
      <c r="AD2032" s="189"/>
      <c r="AE2032" s="189"/>
      <c r="AF2032" s="189"/>
      <c r="AG2032" s="189"/>
      <c r="AH2032" s="189"/>
      <c r="AI2032" s="45"/>
      <c r="AJ2032" s="45"/>
    </row>
    <row r="2033" spans="16:36" x14ac:dyDescent="0.2">
      <c r="P2033" s="73"/>
      <c r="AA2033" s="45"/>
      <c r="AB2033" s="45"/>
      <c r="AD2033" s="189"/>
      <c r="AE2033" s="189"/>
      <c r="AF2033" s="189"/>
      <c r="AG2033" s="189"/>
      <c r="AH2033" s="189"/>
      <c r="AI2033" s="45"/>
      <c r="AJ2033" s="45"/>
    </row>
    <row r="2034" spans="16:36" x14ac:dyDescent="0.2">
      <c r="P2034" s="73"/>
      <c r="AA2034" s="45"/>
      <c r="AB2034" s="45"/>
      <c r="AD2034" s="189"/>
      <c r="AE2034" s="189"/>
      <c r="AF2034" s="189"/>
      <c r="AG2034" s="189"/>
      <c r="AH2034" s="189"/>
      <c r="AI2034" s="45"/>
      <c r="AJ2034" s="45"/>
    </row>
    <row r="2035" spans="16:36" x14ac:dyDescent="0.2">
      <c r="P2035" s="73"/>
      <c r="AA2035" s="45"/>
      <c r="AB2035" s="45"/>
      <c r="AD2035" s="189"/>
      <c r="AE2035" s="189"/>
      <c r="AF2035" s="189"/>
      <c r="AG2035" s="189"/>
      <c r="AH2035" s="189"/>
      <c r="AI2035" s="45"/>
      <c r="AJ2035" s="45"/>
    </row>
    <row r="2036" spans="16:36" x14ac:dyDescent="0.2">
      <c r="P2036" s="73"/>
      <c r="AA2036" s="45"/>
      <c r="AB2036" s="45"/>
      <c r="AD2036" s="189"/>
      <c r="AE2036" s="189"/>
      <c r="AF2036" s="189"/>
      <c r="AG2036" s="189"/>
      <c r="AH2036" s="189"/>
      <c r="AI2036" s="45"/>
      <c r="AJ2036" s="45"/>
    </row>
    <row r="2037" spans="16:36" x14ac:dyDescent="0.2">
      <c r="P2037" s="73"/>
      <c r="AA2037" s="45"/>
      <c r="AB2037" s="45"/>
      <c r="AD2037" s="189"/>
      <c r="AE2037" s="189"/>
      <c r="AF2037" s="189"/>
      <c r="AG2037" s="189"/>
      <c r="AH2037" s="189"/>
      <c r="AI2037" s="45"/>
      <c r="AJ2037" s="45"/>
    </row>
    <row r="2038" spans="16:36" x14ac:dyDescent="0.2">
      <c r="P2038" s="73"/>
      <c r="AA2038" s="45"/>
      <c r="AB2038" s="45"/>
      <c r="AD2038" s="189"/>
      <c r="AE2038" s="189"/>
      <c r="AF2038" s="189"/>
      <c r="AG2038" s="189"/>
      <c r="AH2038" s="189"/>
      <c r="AI2038" s="45"/>
      <c r="AJ2038" s="45"/>
    </row>
    <row r="2039" spans="16:36" x14ac:dyDescent="0.2">
      <c r="P2039" s="73"/>
      <c r="AA2039" s="45"/>
      <c r="AB2039" s="45"/>
      <c r="AD2039" s="189"/>
      <c r="AE2039" s="189"/>
      <c r="AF2039" s="189"/>
      <c r="AG2039" s="189"/>
      <c r="AH2039" s="189"/>
      <c r="AI2039" s="45"/>
      <c r="AJ2039" s="45"/>
    </row>
    <row r="2040" spans="16:36" x14ac:dyDescent="0.2">
      <c r="P2040" s="73"/>
      <c r="AA2040" s="45"/>
      <c r="AB2040" s="45"/>
      <c r="AD2040" s="189"/>
      <c r="AE2040" s="189"/>
      <c r="AF2040" s="189"/>
      <c r="AG2040" s="189"/>
      <c r="AH2040" s="189"/>
      <c r="AI2040" s="45"/>
      <c r="AJ2040" s="45"/>
    </row>
    <row r="2041" spans="16:36" x14ac:dyDescent="0.2">
      <c r="P2041" s="73"/>
      <c r="AA2041" s="45"/>
      <c r="AB2041" s="45"/>
      <c r="AD2041" s="189"/>
      <c r="AE2041" s="189"/>
      <c r="AF2041" s="189"/>
      <c r="AG2041" s="189"/>
      <c r="AH2041" s="189"/>
      <c r="AI2041" s="45"/>
      <c r="AJ2041" s="45"/>
    </row>
    <row r="2042" spans="16:36" x14ac:dyDescent="0.2">
      <c r="P2042" s="73"/>
      <c r="AA2042" s="45"/>
      <c r="AB2042" s="45"/>
      <c r="AD2042" s="189"/>
      <c r="AE2042" s="189"/>
      <c r="AF2042" s="189"/>
      <c r="AG2042" s="189"/>
      <c r="AH2042" s="189"/>
      <c r="AI2042" s="45"/>
      <c r="AJ2042" s="45"/>
    </row>
    <row r="2043" spans="16:36" x14ac:dyDescent="0.2">
      <c r="P2043" s="73"/>
      <c r="AA2043" s="45"/>
      <c r="AB2043" s="45"/>
      <c r="AD2043" s="189"/>
      <c r="AE2043" s="189"/>
      <c r="AF2043" s="189"/>
      <c r="AG2043" s="189"/>
      <c r="AH2043" s="189"/>
      <c r="AI2043" s="45"/>
      <c r="AJ2043" s="45"/>
    </row>
    <row r="2044" spans="16:36" x14ac:dyDescent="0.2">
      <c r="P2044" s="73"/>
      <c r="AA2044" s="45"/>
      <c r="AB2044" s="45"/>
      <c r="AD2044" s="189"/>
      <c r="AE2044" s="189"/>
      <c r="AF2044" s="189"/>
      <c r="AG2044" s="189"/>
      <c r="AH2044" s="189"/>
      <c r="AI2044" s="45"/>
      <c r="AJ2044" s="45"/>
    </row>
    <row r="2045" spans="16:36" x14ac:dyDescent="0.2">
      <c r="P2045" s="73"/>
      <c r="AA2045" s="45"/>
      <c r="AB2045" s="45"/>
      <c r="AD2045" s="189"/>
      <c r="AE2045" s="189"/>
      <c r="AF2045" s="189"/>
      <c r="AG2045" s="189"/>
      <c r="AH2045" s="189"/>
      <c r="AI2045" s="45"/>
      <c r="AJ2045" s="45"/>
    </row>
    <row r="2046" spans="16:36" x14ac:dyDescent="0.2">
      <c r="P2046" s="73"/>
      <c r="AA2046" s="45"/>
      <c r="AB2046" s="45"/>
      <c r="AD2046" s="189"/>
      <c r="AE2046" s="189"/>
      <c r="AF2046" s="189"/>
      <c r="AG2046" s="189"/>
      <c r="AH2046" s="189"/>
      <c r="AI2046" s="45"/>
      <c r="AJ2046" s="45"/>
    </row>
    <row r="2047" spans="16:36" x14ac:dyDescent="0.2">
      <c r="P2047" s="73"/>
      <c r="AA2047" s="45"/>
      <c r="AB2047" s="45"/>
      <c r="AD2047" s="189"/>
      <c r="AE2047" s="189"/>
      <c r="AF2047" s="189"/>
      <c r="AG2047" s="189"/>
      <c r="AH2047" s="189"/>
      <c r="AI2047" s="45"/>
      <c r="AJ2047" s="45"/>
    </row>
    <row r="2048" spans="16:36" x14ac:dyDescent="0.2">
      <c r="P2048" s="73"/>
      <c r="AA2048" s="45"/>
      <c r="AB2048" s="45"/>
      <c r="AD2048" s="189"/>
      <c r="AE2048" s="189"/>
      <c r="AF2048" s="189"/>
      <c r="AG2048" s="189"/>
      <c r="AH2048" s="189"/>
      <c r="AI2048" s="45"/>
      <c r="AJ2048" s="45"/>
    </row>
    <row r="2049" spans="16:36" x14ac:dyDescent="0.2">
      <c r="P2049" s="73"/>
      <c r="AA2049" s="45"/>
      <c r="AB2049" s="45"/>
      <c r="AD2049" s="189"/>
      <c r="AE2049" s="189"/>
      <c r="AF2049" s="189"/>
      <c r="AG2049" s="189"/>
      <c r="AH2049" s="189"/>
      <c r="AI2049" s="45"/>
      <c r="AJ2049" s="45"/>
    </row>
    <row r="2050" spans="16:36" x14ac:dyDescent="0.2">
      <c r="P2050" s="73"/>
      <c r="AA2050" s="45"/>
      <c r="AB2050" s="45"/>
      <c r="AD2050" s="189"/>
      <c r="AE2050" s="189"/>
      <c r="AF2050" s="189"/>
      <c r="AG2050" s="189"/>
      <c r="AH2050" s="189"/>
      <c r="AI2050" s="45"/>
      <c r="AJ2050" s="45"/>
    </row>
    <row r="2051" spans="16:36" x14ac:dyDescent="0.2">
      <c r="P2051" s="73"/>
      <c r="AA2051" s="45"/>
      <c r="AB2051" s="45"/>
      <c r="AD2051" s="189"/>
      <c r="AE2051" s="189"/>
      <c r="AF2051" s="189"/>
      <c r="AG2051" s="189"/>
      <c r="AH2051" s="189"/>
      <c r="AI2051" s="45"/>
      <c r="AJ2051" s="45"/>
    </row>
    <row r="2052" spans="16:36" x14ac:dyDescent="0.2">
      <c r="P2052" s="73"/>
      <c r="AA2052" s="45"/>
      <c r="AB2052" s="45"/>
      <c r="AD2052" s="189"/>
      <c r="AE2052" s="189"/>
      <c r="AF2052" s="189"/>
      <c r="AG2052" s="189"/>
      <c r="AH2052" s="189"/>
      <c r="AI2052" s="45"/>
      <c r="AJ2052" s="45"/>
    </row>
    <row r="2053" spans="16:36" x14ac:dyDescent="0.2">
      <c r="P2053" s="73"/>
      <c r="AA2053" s="45"/>
      <c r="AB2053" s="45"/>
      <c r="AD2053" s="189"/>
      <c r="AE2053" s="189"/>
      <c r="AF2053" s="189"/>
      <c r="AG2053" s="189"/>
      <c r="AH2053" s="189"/>
      <c r="AI2053" s="45"/>
      <c r="AJ2053" s="45"/>
    </row>
    <row r="2054" spans="16:36" x14ac:dyDescent="0.2">
      <c r="P2054" s="73"/>
      <c r="AA2054" s="45"/>
      <c r="AB2054" s="45"/>
      <c r="AD2054" s="189"/>
      <c r="AE2054" s="189"/>
      <c r="AF2054" s="189"/>
      <c r="AG2054" s="189"/>
      <c r="AH2054" s="189"/>
      <c r="AI2054" s="45"/>
      <c r="AJ2054" s="45"/>
    </row>
    <row r="2055" spans="16:36" x14ac:dyDescent="0.2">
      <c r="P2055" s="73"/>
      <c r="AA2055" s="45"/>
      <c r="AB2055" s="45"/>
      <c r="AD2055" s="189"/>
      <c r="AE2055" s="189"/>
      <c r="AF2055" s="189"/>
      <c r="AG2055" s="189"/>
      <c r="AH2055" s="189"/>
      <c r="AI2055" s="45"/>
      <c r="AJ2055" s="45"/>
    </row>
    <row r="2056" spans="16:36" x14ac:dyDescent="0.2">
      <c r="P2056" s="73"/>
      <c r="AA2056" s="45"/>
      <c r="AB2056" s="45"/>
      <c r="AD2056" s="189"/>
      <c r="AE2056" s="189"/>
      <c r="AF2056" s="189"/>
      <c r="AG2056" s="189"/>
      <c r="AH2056" s="189"/>
      <c r="AI2056" s="45"/>
      <c r="AJ2056" s="45"/>
    </row>
    <row r="2057" spans="16:36" x14ac:dyDescent="0.2">
      <c r="P2057" s="73"/>
      <c r="AA2057" s="45"/>
      <c r="AB2057" s="45"/>
      <c r="AD2057" s="189"/>
      <c r="AE2057" s="189"/>
      <c r="AF2057" s="189"/>
      <c r="AG2057" s="189"/>
      <c r="AH2057" s="189"/>
      <c r="AI2057" s="45"/>
      <c r="AJ2057" s="45"/>
    </row>
    <row r="2058" spans="16:36" x14ac:dyDescent="0.2">
      <c r="P2058" s="73"/>
      <c r="AA2058" s="45"/>
      <c r="AB2058" s="45"/>
      <c r="AD2058" s="189"/>
      <c r="AE2058" s="189"/>
      <c r="AF2058" s="189"/>
      <c r="AG2058" s="189"/>
      <c r="AH2058" s="189"/>
      <c r="AI2058" s="45"/>
      <c r="AJ2058" s="45"/>
    </row>
    <row r="2059" spans="16:36" x14ac:dyDescent="0.2">
      <c r="P2059" s="73"/>
      <c r="AA2059" s="45"/>
      <c r="AB2059" s="45"/>
      <c r="AD2059" s="189"/>
      <c r="AE2059" s="189"/>
      <c r="AF2059" s="189"/>
      <c r="AG2059" s="189"/>
      <c r="AH2059" s="189"/>
      <c r="AI2059" s="45"/>
      <c r="AJ2059" s="45"/>
    </row>
    <row r="2060" spans="16:36" x14ac:dyDescent="0.2">
      <c r="P2060" s="73"/>
      <c r="AA2060" s="45"/>
      <c r="AB2060" s="45"/>
      <c r="AD2060" s="189"/>
      <c r="AE2060" s="189"/>
      <c r="AF2060" s="189"/>
      <c r="AG2060" s="189"/>
      <c r="AH2060" s="189"/>
      <c r="AI2060" s="45"/>
      <c r="AJ2060" s="45"/>
    </row>
    <row r="2061" spans="16:36" x14ac:dyDescent="0.2">
      <c r="P2061" s="73"/>
      <c r="AA2061" s="45"/>
      <c r="AB2061" s="45"/>
      <c r="AD2061" s="189"/>
      <c r="AE2061" s="189"/>
      <c r="AF2061" s="189"/>
      <c r="AG2061" s="189"/>
      <c r="AH2061" s="189"/>
      <c r="AI2061" s="45"/>
      <c r="AJ2061" s="45"/>
    </row>
    <row r="2062" spans="16:36" x14ac:dyDescent="0.2">
      <c r="P2062" s="73"/>
      <c r="AA2062" s="45"/>
      <c r="AB2062" s="45"/>
      <c r="AD2062" s="189"/>
      <c r="AE2062" s="189"/>
      <c r="AF2062" s="189"/>
      <c r="AG2062" s="189"/>
      <c r="AH2062" s="189"/>
      <c r="AI2062" s="45"/>
      <c r="AJ2062" s="45"/>
    </row>
    <row r="2063" spans="16:36" x14ac:dyDescent="0.2">
      <c r="P2063" s="73"/>
      <c r="AA2063" s="45"/>
      <c r="AB2063" s="45"/>
      <c r="AD2063" s="189"/>
      <c r="AE2063" s="189"/>
      <c r="AF2063" s="189"/>
      <c r="AG2063" s="189"/>
      <c r="AH2063" s="189"/>
      <c r="AI2063" s="45"/>
      <c r="AJ2063" s="45"/>
    </row>
    <row r="2064" spans="16:36" x14ac:dyDescent="0.2">
      <c r="P2064" s="73"/>
      <c r="AA2064" s="45"/>
      <c r="AB2064" s="45"/>
      <c r="AD2064" s="189"/>
      <c r="AE2064" s="189"/>
      <c r="AF2064" s="189"/>
      <c r="AG2064" s="189"/>
      <c r="AH2064" s="189"/>
      <c r="AI2064" s="45"/>
      <c r="AJ2064" s="45"/>
    </row>
    <row r="2065" spans="16:36" x14ac:dyDescent="0.2">
      <c r="P2065" s="73"/>
      <c r="AA2065" s="45"/>
      <c r="AB2065" s="45"/>
      <c r="AD2065" s="189"/>
      <c r="AE2065" s="189"/>
      <c r="AF2065" s="189"/>
      <c r="AG2065" s="189"/>
      <c r="AH2065" s="189"/>
      <c r="AI2065" s="45"/>
      <c r="AJ2065" s="45"/>
    </row>
    <row r="2066" spans="16:36" x14ac:dyDescent="0.2">
      <c r="P2066" s="73"/>
      <c r="AA2066" s="45"/>
      <c r="AB2066" s="45"/>
      <c r="AD2066" s="189"/>
      <c r="AE2066" s="189"/>
      <c r="AF2066" s="189"/>
      <c r="AG2066" s="189"/>
      <c r="AH2066" s="189"/>
      <c r="AI2066" s="45"/>
      <c r="AJ2066" s="45"/>
    </row>
    <row r="2067" spans="16:36" x14ac:dyDescent="0.2">
      <c r="P2067" s="73"/>
      <c r="AA2067" s="45"/>
      <c r="AB2067" s="45"/>
      <c r="AD2067" s="189"/>
      <c r="AE2067" s="189"/>
      <c r="AF2067" s="189"/>
      <c r="AG2067" s="189"/>
      <c r="AH2067" s="189"/>
      <c r="AI2067" s="45"/>
      <c r="AJ2067" s="45"/>
    </row>
    <row r="2068" spans="16:36" x14ac:dyDescent="0.2">
      <c r="P2068" s="73"/>
      <c r="AA2068" s="45"/>
      <c r="AB2068" s="45"/>
      <c r="AD2068" s="189"/>
      <c r="AE2068" s="189"/>
      <c r="AF2068" s="189"/>
      <c r="AG2068" s="189"/>
      <c r="AH2068" s="189"/>
      <c r="AI2068" s="45"/>
      <c r="AJ2068" s="45"/>
    </row>
    <row r="2069" spans="16:36" x14ac:dyDescent="0.2">
      <c r="P2069" s="73"/>
      <c r="AA2069" s="45"/>
      <c r="AB2069" s="45"/>
      <c r="AD2069" s="189"/>
      <c r="AE2069" s="189"/>
      <c r="AF2069" s="189"/>
      <c r="AG2069" s="189"/>
      <c r="AH2069" s="189"/>
      <c r="AI2069" s="45"/>
      <c r="AJ2069" s="45"/>
    </row>
    <row r="2070" spans="16:36" x14ac:dyDescent="0.2">
      <c r="P2070" s="73"/>
      <c r="AA2070" s="45"/>
      <c r="AB2070" s="45"/>
      <c r="AD2070" s="189"/>
      <c r="AE2070" s="189"/>
      <c r="AF2070" s="189"/>
      <c r="AG2070" s="189"/>
      <c r="AH2070" s="189"/>
      <c r="AI2070" s="45"/>
      <c r="AJ2070" s="45"/>
    </row>
    <row r="2071" spans="16:36" x14ac:dyDescent="0.2">
      <c r="P2071" s="73"/>
      <c r="AA2071" s="45"/>
      <c r="AB2071" s="45"/>
      <c r="AD2071" s="189"/>
      <c r="AE2071" s="189"/>
      <c r="AF2071" s="189"/>
      <c r="AG2071" s="189"/>
      <c r="AH2071" s="189"/>
      <c r="AI2071" s="45"/>
      <c r="AJ2071" s="45"/>
    </row>
    <row r="2072" spans="16:36" x14ac:dyDescent="0.2">
      <c r="P2072" s="73"/>
      <c r="AA2072" s="45"/>
      <c r="AB2072" s="45"/>
      <c r="AD2072" s="189"/>
      <c r="AE2072" s="189"/>
      <c r="AF2072" s="189"/>
      <c r="AG2072" s="189"/>
      <c r="AH2072" s="189"/>
      <c r="AI2072" s="45"/>
      <c r="AJ2072" s="45"/>
    </row>
    <row r="2073" spans="16:36" x14ac:dyDescent="0.2">
      <c r="P2073" s="73"/>
      <c r="AA2073" s="45"/>
      <c r="AB2073" s="45"/>
      <c r="AD2073" s="189"/>
      <c r="AE2073" s="189"/>
      <c r="AF2073" s="189"/>
      <c r="AG2073" s="189"/>
      <c r="AH2073" s="189"/>
      <c r="AI2073" s="45"/>
      <c r="AJ2073" s="45"/>
    </row>
    <row r="2074" spans="16:36" x14ac:dyDescent="0.2">
      <c r="P2074" s="73"/>
      <c r="AA2074" s="45"/>
      <c r="AB2074" s="45"/>
      <c r="AD2074" s="189"/>
      <c r="AE2074" s="189"/>
      <c r="AF2074" s="189"/>
      <c r="AG2074" s="189"/>
      <c r="AH2074" s="189"/>
      <c r="AI2074" s="45"/>
      <c r="AJ2074" s="45"/>
    </row>
    <row r="2075" spans="16:36" x14ac:dyDescent="0.2">
      <c r="P2075" s="73"/>
      <c r="AA2075" s="45"/>
      <c r="AB2075" s="45"/>
      <c r="AD2075" s="189"/>
      <c r="AE2075" s="189"/>
      <c r="AF2075" s="189"/>
      <c r="AG2075" s="189"/>
      <c r="AH2075" s="189"/>
      <c r="AI2075" s="45"/>
      <c r="AJ2075" s="45"/>
    </row>
    <row r="2076" spans="16:36" x14ac:dyDescent="0.2">
      <c r="P2076" s="73"/>
      <c r="AA2076" s="45"/>
      <c r="AB2076" s="45"/>
      <c r="AD2076" s="189"/>
      <c r="AE2076" s="189"/>
      <c r="AF2076" s="189"/>
      <c r="AG2076" s="189"/>
      <c r="AH2076" s="189"/>
      <c r="AI2076" s="45"/>
      <c r="AJ2076" s="45"/>
    </row>
    <row r="2077" spans="16:36" x14ac:dyDescent="0.2">
      <c r="P2077" s="73"/>
      <c r="AA2077" s="45"/>
      <c r="AB2077" s="45"/>
      <c r="AD2077" s="189"/>
      <c r="AE2077" s="189"/>
      <c r="AF2077" s="189"/>
      <c r="AG2077" s="189"/>
      <c r="AH2077" s="189"/>
      <c r="AI2077" s="45"/>
      <c r="AJ2077" s="45"/>
    </row>
    <row r="2078" spans="16:36" x14ac:dyDescent="0.2">
      <c r="P2078" s="73"/>
      <c r="AA2078" s="45"/>
      <c r="AB2078" s="45"/>
      <c r="AD2078" s="189"/>
      <c r="AE2078" s="189"/>
      <c r="AF2078" s="189"/>
      <c r="AG2078" s="189"/>
      <c r="AH2078" s="189"/>
      <c r="AI2078" s="45"/>
      <c r="AJ2078" s="45"/>
    </row>
    <row r="2079" spans="16:36" x14ac:dyDescent="0.2">
      <c r="P2079" s="73"/>
      <c r="AA2079" s="45"/>
      <c r="AB2079" s="45"/>
      <c r="AD2079" s="189"/>
      <c r="AE2079" s="189"/>
      <c r="AF2079" s="189"/>
      <c r="AG2079" s="189"/>
      <c r="AH2079" s="189"/>
      <c r="AI2079" s="45"/>
      <c r="AJ2079" s="45"/>
    </row>
    <row r="2080" spans="16:36" x14ac:dyDescent="0.2">
      <c r="P2080" s="73"/>
      <c r="AA2080" s="45"/>
      <c r="AB2080" s="45"/>
      <c r="AD2080" s="189"/>
      <c r="AE2080" s="189"/>
      <c r="AF2080" s="189"/>
      <c r="AG2080" s="189"/>
      <c r="AH2080" s="189"/>
      <c r="AI2080" s="45"/>
      <c r="AJ2080" s="45"/>
    </row>
    <row r="2081" spans="16:36" x14ac:dyDescent="0.2">
      <c r="P2081" s="73"/>
      <c r="AA2081" s="45"/>
      <c r="AB2081" s="45"/>
      <c r="AD2081" s="189"/>
      <c r="AE2081" s="189"/>
      <c r="AF2081" s="189"/>
      <c r="AG2081" s="189"/>
      <c r="AH2081" s="189"/>
      <c r="AI2081" s="45"/>
      <c r="AJ2081" s="45"/>
    </row>
    <row r="2082" spans="16:36" x14ac:dyDescent="0.2">
      <c r="P2082" s="73"/>
      <c r="AA2082" s="45"/>
      <c r="AB2082" s="45"/>
      <c r="AD2082" s="189"/>
      <c r="AE2082" s="189"/>
      <c r="AF2082" s="189"/>
      <c r="AG2082" s="189"/>
      <c r="AH2082" s="189"/>
      <c r="AI2082" s="45"/>
      <c r="AJ2082" s="45"/>
    </row>
    <row r="2083" spans="16:36" x14ac:dyDescent="0.2">
      <c r="P2083" s="73"/>
      <c r="AA2083" s="45"/>
      <c r="AB2083" s="45"/>
      <c r="AD2083" s="189"/>
      <c r="AE2083" s="189"/>
      <c r="AF2083" s="189"/>
      <c r="AG2083" s="189"/>
      <c r="AH2083" s="189"/>
      <c r="AI2083" s="45"/>
      <c r="AJ2083" s="45"/>
    </row>
    <row r="2084" spans="16:36" x14ac:dyDescent="0.2">
      <c r="P2084" s="73"/>
      <c r="AA2084" s="45"/>
      <c r="AB2084" s="45"/>
      <c r="AD2084" s="189"/>
      <c r="AE2084" s="189"/>
      <c r="AF2084" s="189"/>
      <c r="AG2084" s="189"/>
      <c r="AH2084" s="189"/>
      <c r="AI2084" s="45"/>
      <c r="AJ2084" s="45"/>
    </row>
    <row r="2085" spans="16:36" x14ac:dyDescent="0.2">
      <c r="P2085" s="73"/>
      <c r="AA2085" s="45"/>
      <c r="AB2085" s="45"/>
      <c r="AD2085" s="189"/>
      <c r="AE2085" s="189"/>
      <c r="AF2085" s="189"/>
      <c r="AG2085" s="189"/>
      <c r="AH2085" s="189"/>
      <c r="AI2085" s="45"/>
      <c r="AJ2085" s="45"/>
    </row>
    <row r="2086" spans="16:36" x14ac:dyDescent="0.2">
      <c r="P2086" s="73"/>
      <c r="AA2086" s="45"/>
      <c r="AB2086" s="45"/>
      <c r="AD2086" s="189"/>
      <c r="AE2086" s="189"/>
      <c r="AF2086" s="189"/>
      <c r="AG2086" s="189"/>
      <c r="AH2086" s="189"/>
      <c r="AI2086" s="45"/>
      <c r="AJ2086" s="45"/>
    </row>
    <row r="2087" spans="16:36" x14ac:dyDescent="0.2">
      <c r="P2087" s="73"/>
      <c r="AA2087" s="45"/>
      <c r="AB2087" s="45"/>
      <c r="AD2087" s="189"/>
      <c r="AE2087" s="189"/>
      <c r="AF2087" s="189"/>
      <c r="AG2087" s="189"/>
      <c r="AH2087" s="189"/>
      <c r="AI2087" s="45"/>
      <c r="AJ2087" s="45"/>
    </row>
    <row r="2088" spans="16:36" x14ac:dyDescent="0.2">
      <c r="P2088" s="73"/>
      <c r="AA2088" s="45"/>
      <c r="AB2088" s="45"/>
      <c r="AD2088" s="189"/>
      <c r="AE2088" s="189"/>
      <c r="AF2088" s="189"/>
      <c r="AG2088" s="189"/>
      <c r="AH2088" s="189"/>
      <c r="AI2088" s="45"/>
      <c r="AJ2088" s="45"/>
    </row>
    <row r="2089" spans="16:36" x14ac:dyDescent="0.2">
      <c r="P2089" s="73"/>
      <c r="AA2089" s="45"/>
      <c r="AB2089" s="45"/>
      <c r="AD2089" s="189"/>
      <c r="AE2089" s="189"/>
      <c r="AF2089" s="189"/>
      <c r="AG2089" s="189"/>
      <c r="AH2089" s="189"/>
      <c r="AI2089" s="45"/>
      <c r="AJ2089" s="45"/>
    </row>
    <row r="2090" spans="16:36" x14ac:dyDescent="0.2">
      <c r="P2090" s="73"/>
      <c r="AA2090" s="45"/>
      <c r="AB2090" s="45"/>
      <c r="AD2090" s="189"/>
      <c r="AE2090" s="189"/>
      <c r="AF2090" s="189"/>
      <c r="AG2090" s="189"/>
      <c r="AH2090" s="189"/>
      <c r="AI2090" s="45"/>
      <c r="AJ2090" s="45"/>
    </row>
    <row r="2091" spans="16:36" x14ac:dyDescent="0.2">
      <c r="P2091" s="73"/>
      <c r="AA2091" s="45"/>
      <c r="AB2091" s="45"/>
      <c r="AD2091" s="189"/>
      <c r="AE2091" s="189"/>
      <c r="AF2091" s="189"/>
      <c r="AG2091" s="189"/>
      <c r="AH2091" s="189"/>
      <c r="AI2091" s="45"/>
      <c r="AJ2091" s="45"/>
    </row>
    <row r="2092" spans="16:36" x14ac:dyDescent="0.2">
      <c r="P2092" s="73"/>
      <c r="AA2092" s="45"/>
      <c r="AB2092" s="45"/>
      <c r="AD2092" s="189"/>
      <c r="AE2092" s="189"/>
      <c r="AF2092" s="189"/>
      <c r="AG2092" s="189"/>
      <c r="AH2092" s="189"/>
      <c r="AI2092" s="45"/>
      <c r="AJ2092" s="45"/>
    </row>
    <row r="2093" spans="16:36" x14ac:dyDescent="0.2">
      <c r="P2093" s="73"/>
      <c r="AA2093" s="45"/>
      <c r="AB2093" s="45"/>
      <c r="AD2093" s="189"/>
      <c r="AE2093" s="189"/>
      <c r="AF2093" s="189"/>
      <c r="AG2093" s="189"/>
      <c r="AH2093" s="189"/>
      <c r="AI2093" s="45"/>
      <c r="AJ2093" s="45"/>
    </row>
    <row r="2094" spans="16:36" x14ac:dyDescent="0.2">
      <c r="P2094" s="73"/>
      <c r="AA2094" s="45"/>
      <c r="AB2094" s="45"/>
      <c r="AD2094" s="189"/>
      <c r="AE2094" s="189"/>
      <c r="AF2094" s="189"/>
      <c r="AG2094" s="189"/>
      <c r="AH2094" s="189"/>
      <c r="AI2094" s="45"/>
      <c r="AJ2094" s="45"/>
    </row>
    <row r="2095" spans="16:36" x14ac:dyDescent="0.2">
      <c r="P2095" s="73"/>
      <c r="AA2095" s="45"/>
      <c r="AB2095" s="45"/>
      <c r="AD2095" s="189"/>
      <c r="AE2095" s="189"/>
      <c r="AF2095" s="189"/>
      <c r="AG2095" s="189"/>
      <c r="AH2095" s="189"/>
      <c r="AI2095" s="45"/>
      <c r="AJ2095" s="45"/>
    </row>
    <row r="2096" spans="16:36" x14ac:dyDescent="0.2">
      <c r="P2096" s="73"/>
      <c r="AA2096" s="45"/>
      <c r="AB2096" s="45"/>
      <c r="AD2096" s="189"/>
      <c r="AE2096" s="189"/>
      <c r="AF2096" s="189"/>
      <c r="AG2096" s="189"/>
      <c r="AH2096" s="189"/>
      <c r="AI2096" s="45"/>
      <c r="AJ2096" s="45"/>
    </row>
    <row r="2097" spans="16:36" x14ac:dyDescent="0.2">
      <c r="P2097" s="73"/>
      <c r="AA2097" s="45"/>
      <c r="AB2097" s="45"/>
      <c r="AD2097" s="189"/>
      <c r="AE2097" s="189"/>
      <c r="AF2097" s="189"/>
      <c r="AG2097" s="189"/>
      <c r="AH2097" s="189"/>
      <c r="AI2097" s="45"/>
      <c r="AJ2097" s="45"/>
    </row>
    <row r="2098" spans="16:36" x14ac:dyDescent="0.2">
      <c r="P2098" s="73"/>
      <c r="AA2098" s="45"/>
      <c r="AB2098" s="45"/>
      <c r="AD2098" s="189"/>
      <c r="AE2098" s="189"/>
      <c r="AF2098" s="189"/>
      <c r="AG2098" s="189"/>
      <c r="AH2098" s="189"/>
      <c r="AI2098" s="45"/>
      <c r="AJ2098" s="45"/>
    </row>
    <row r="2099" spans="16:36" x14ac:dyDescent="0.2">
      <c r="P2099" s="73"/>
      <c r="AA2099" s="45"/>
      <c r="AB2099" s="45"/>
      <c r="AD2099" s="189"/>
      <c r="AE2099" s="189"/>
      <c r="AF2099" s="189"/>
      <c r="AG2099" s="189"/>
      <c r="AH2099" s="189"/>
      <c r="AI2099" s="45"/>
      <c r="AJ2099" s="45"/>
    </row>
    <row r="2100" spans="16:36" x14ac:dyDescent="0.2">
      <c r="P2100" s="73"/>
      <c r="AA2100" s="45"/>
      <c r="AB2100" s="45"/>
      <c r="AD2100" s="189"/>
      <c r="AE2100" s="189"/>
      <c r="AF2100" s="189"/>
      <c r="AG2100" s="189"/>
      <c r="AH2100" s="189"/>
      <c r="AI2100" s="45"/>
      <c r="AJ2100" s="45"/>
    </row>
    <row r="2101" spans="16:36" x14ac:dyDescent="0.2">
      <c r="P2101" s="73"/>
      <c r="AA2101" s="45"/>
      <c r="AB2101" s="45"/>
      <c r="AD2101" s="189"/>
      <c r="AE2101" s="189"/>
      <c r="AF2101" s="189"/>
      <c r="AG2101" s="189"/>
      <c r="AH2101" s="189"/>
      <c r="AI2101" s="45"/>
      <c r="AJ2101" s="45"/>
    </row>
    <row r="2102" spans="16:36" x14ac:dyDescent="0.2">
      <c r="P2102" s="73"/>
      <c r="AA2102" s="45"/>
      <c r="AB2102" s="45"/>
      <c r="AD2102" s="189"/>
      <c r="AE2102" s="189"/>
      <c r="AF2102" s="189"/>
      <c r="AG2102" s="189"/>
      <c r="AH2102" s="189"/>
      <c r="AI2102" s="45"/>
      <c r="AJ2102" s="45"/>
    </row>
    <row r="2103" spans="16:36" x14ac:dyDescent="0.2">
      <c r="P2103" s="73"/>
      <c r="AA2103" s="45"/>
      <c r="AB2103" s="45"/>
      <c r="AD2103" s="189"/>
      <c r="AE2103" s="189"/>
      <c r="AF2103" s="189"/>
      <c r="AG2103" s="189"/>
      <c r="AH2103" s="189"/>
      <c r="AI2103" s="45"/>
      <c r="AJ2103" s="45"/>
    </row>
    <row r="2104" spans="16:36" x14ac:dyDescent="0.2">
      <c r="P2104" s="73"/>
      <c r="AA2104" s="45"/>
      <c r="AB2104" s="45"/>
      <c r="AD2104" s="189"/>
      <c r="AE2104" s="189"/>
      <c r="AF2104" s="189"/>
      <c r="AG2104" s="189"/>
      <c r="AH2104" s="189"/>
      <c r="AI2104" s="45"/>
      <c r="AJ2104" s="45"/>
    </row>
    <row r="2105" spans="16:36" x14ac:dyDescent="0.2">
      <c r="P2105" s="73"/>
      <c r="AA2105" s="45"/>
      <c r="AB2105" s="45"/>
      <c r="AD2105" s="189"/>
      <c r="AE2105" s="189"/>
      <c r="AF2105" s="189"/>
      <c r="AG2105" s="189"/>
      <c r="AH2105" s="189"/>
      <c r="AI2105" s="45"/>
      <c r="AJ2105" s="45"/>
    </row>
    <row r="2106" spans="16:36" x14ac:dyDescent="0.2">
      <c r="P2106" s="73"/>
      <c r="AA2106" s="45"/>
      <c r="AB2106" s="45"/>
      <c r="AD2106" s="189"/>
      <c r="AE2106" s="189"/>
      <c r="AF2106" s="189"/>
      <c r="AG2106" s="189"/>
      <c r="AH2106" s="189"/>
      <c r="AI2106" s="45"/>
      <c r="AJ2106" s="45"/>
    </row>
    <row r="2107" spans="16:36" x14ac:dyDescent="0.2">
      <c r="P2107" s="73"/>
      <c r="AA2107" s="45"/>
      <c r="AB2107" s="45"/>
      <c r="AD2107" s="189"/>
      <c r="AE2107" s="189"/>
      <c r="AF2107" s="189"/>
      <c r="AG2107" s="189"/>
      <c r="AH2107" s="189"/>
      <c r="AI2107" s="45"/>
      <c r="AJ2107" s="45"/>
    </row>
    <row r="2108" spans="16:36" x14ac:dyDescent="0.2">
      <c r="P2108" s="73"/>
      <c r="AA2108" s="45"/>
      <c r="AB2108" s="45"/>
      <c r="AD2108" s="189"/>
      <c r="AE2108" s="189"/>
      <c r="AF2108" s="189"/>
      <c r="AG2108" s="189"/>
      <c r="AH2108" s="189"/>
      <c r="AI2108" s="45"/>
      <c r="AJ2108" s="45"/>
    </row>
    <row r="2109" spans="16:36" x14ac:dyDescent="0.2">
      <c r="P2109" s="73"/>
      <c r="AA2109" s="45"/>
      <c r="AB2109" s="45"/>
      <c r="AD2109" s="189"/>
      <c r="AE2109" s="189"/>
      <c r="AF2109" s="189"/>
      <c r="AG2109" s="189"/>
      <c r="AH2109" s="189"/>
      <c r="AI2109" s="45"/>
      <c r="AJ2109" s="45"/>
    </row>
    <row r="2110" spans="16:36" x14ac:dyDescent="0.2">
      <c r="P2110" s="73"/>
      <c r="AA2110" s="45"/>
      <c r="AB2110" s="45"/>
      <c r="AD2110" s="189"/>
      <c r="AE2110" s="189"/>
      <c r="AF2110" s="189"/>
      <c r="AG2110" s="189"/>
      <c r="AH2110" s="189"/>
      <c r="AI2110" s="45"/>
      <c r="AJ2110" s="45"/>
    </row>
    <row r="2111" spans="16:36" x14ac:dyDescent="0.2">
      <c r="P2111" s="73"/>
      <c r="AA2111" s="45"/>
      <c r="AB2111" s="45"/>
      <c r="AD2111" s="189"/>
      <c r="AE2111" s="189"/>
      <c r="AF2111" s="189"/>
      <c r="AG2111" s="189"/>
      <c r="AH2111" s="189"/>
      <c r="AI2111" s="45"/>
      <c r="AJ2111" s="45"/>
    </row>
    <row r="2112" spans="16:36" x14ac:dyDescent="0.2">
      <c r="P2112" s="73"/>
      <c r="AA2112" s="45"/>
      <c r="AB2112" s="45"/>
      <c r="AD2112" s="189"/>
      <c r="AE2112" s="189"/>
      <c r="AF2112" s="189"/>
      <c r="AG2112" s="189"/>
      <c r="AH2112" s="189"/>
      <c r="AI2112" s="45"/>
      <c r="AJ2112" s="45"/>
    </row>
    <row r="2113" spans="16:36" x14ac:dyDescent="0.2">
      <c r="P2113" s="73"/>
      <c r="AA2113" s="45"/>
      <c r="AB2113" s="45"/>
      <c r="AD2113" s="189"/>
      <c r="AE2113" s="189"/>
      <c r="AF2113" s="189"/>
      <c r="AG2113" s="189"/>
      <c r="AH2113" s="189"/>
      <c r="AI2113" s="45"/>
      <c r="AJ2113" s="45"/>
    </row>
    <row r="2114" spans="16:36" x14ac:dyDescent="0.2">
      <c r="P2114" s="73"/>
      <c r="AA2114" s="45"/>
      <c r="AB2114" s="45"/>
      <c r="AD2114" s="189"/>
      <c r="AE2114" s="189"/>
      <c r="AF2114" s="189"/>
      <c r="AG2114" s="189"/>
      <c r="AH2114" s="189"/>
      <c r="AI2114" s="45"/>
      <c r="AJ2114" s="45"/>
    </row>
    <row r="2115" spans="16:36" x14ac:dyDescent="0.2">
      <c r="P2115" s="73"/>
      <c r="AA2115" s="45"/>
      <c r="AB2115" s="45"/>
      <c r="AD2115" s="189"/>
      <c r="AE2115" s="189"/>
      <c r="AF2115" s="189"/>
      <c r="AG2115" s="189"/>
      <c r="AH2115" s="189"/>
      <c r="AI2115" s="45"/>
      <c r="AJ2115" s="45"/>
    </row>
    <row r="2116" spans="16:36" x14ac:dyDescent="0.2">
      <c r="P2116" s="73"/>
      <c r="AA2116" s="45"/>
      <c r="AB2116" s="45"/>
      <c r="AD2116" s="189"/>
      <c r="AE2116" s="189"/>
      <c r="AF2116" s="189"/>
      <c r="AG2116" s="189"/>
      <c r="AH2116" s="189"/>
      <c r="AI2116" s="45"/>
      <c r="AJ2116" s="45"/>
    </row>
    <row r="2117" spans="16:36" x14ac:dyDescent="0.2">
      <c r="P2117" s="73"/>
      <c r="AA2117" s="45"/>
      <c r="AB2117" s="45"/>
      <c r="AD2117" s="189"/>
      <c r="AE2117" s="189"/>
      <c r="AF2117" s="189"/>
      <c r="AG2117" s="189"/>
      <c r="AH2117" s="189"/>
      <c r="AI2117" s="45"/>
      <c r="AJ2117" s="45"/>
    </row>
    <row r="2118" spans="16:36" x14ac:dyDescent="0.2">
      <c r="P2118" s="73"/>
      <c r="AA2118" s="45"/>
      <c r="AB2118" s="45"/>
      <c r="AD2118" s="189"/>
      <c r="AE2118" s="189"/>
      <c r="AF2118" s="189"/>
      <c r="AG2118" s="189"/>
      <c r="AH2118" s="189"/>
      <c r="AI2118" s="45"/>
      <c r="AJ2118" s="45"/>
    </row>
    <row r="2119" spans="16:36" x14ac:dyDescent="0.2">
      <c r="P2119" s="73"/>
      <c r="AA2119" s="45"/>
      <c r="AB2119" s="45"/>
      <c r="AD2119" s="189"/>
      <c r="AE2119" s="189"/>
      <c r="AF2119" s="189"/>
      <c r="AG2119" s="189"/>
      <c r="AH2119" s="189"/>
      <c r="AI2119" s="45"/>
      <c r="AJ2119" s="45"/>
    </row>
    <row r="2120" spans="16:36" x14ac:dyDescent="0.2">
      <c r="P2120" s="73"/>
      <c r="AA2120" s="45"/>
      <c r="AB2120" s="45"/>
      <c r="AD2120" s="189"/>
      <c r="AE2120" s="189"/>
      <c r="AF2120" s="189"/>
      <c r="AG2120" s="189"/>
      <c r="AH2120" s="189"/>
      <c r="AI2120" s="45"/>
      <c r="AJ2120" s="45"/>
    </row>
    <row r="2121" spans="16:36" x14ac:dyDescent="0.2">
      <c r="P2121" s="73"/>
      <c r="AA2121" s="45"/>
      <c r="AB2121" s="45"/>
      <c r="AD2121" s="189"/>
      <c r="AE2121" s="189"/>
      <c r="AF2121" s="189"/>
      <c r="AG2121" s="189"/>
      <c r="AH2121" s="189"/>
      <c r="AI2121" s="45"/>
      <c r="AJ2121" s="45"/>
    </row>
    <row r="2122" spans="16:36" x14ac:dyDescent="0.2">
      <c r="P2122" s="73"/>
      <c r="AA2122" s="45"/>
      <c r="AB2122" s="45"/>
      <c r="AD2122" s="189"/>
      <c r="AE2122" s="189"/>
      <c r="AF2122" s="189"/>
      <c r="AG2122" s="189"/>
      <c r="AH2122" s="189"/>
      <c r="AI2122" s="45"/>
      <c r="AJ2122" s="45"/>
    </row>
    <row r="2123" spans="16:36" x14ac:dyDescent="0.2">
      <c r="P2123" s="73"/>
      <c r="AA2123" s="45"/>
      <c r="AB2123" s="45"/>
      <c r="AD2123" s="189"/>
      <c r="AE2123" s="189"/>
      <c r="AF2123" s="189"/>
      <c r="AG2123" s="189"/>
      <c r="AH2123" s="189"/>
      <c r="AI2123" s="45"/>
      <c r="AJ2123" s="45"/>
    </row>
    <row r="2124" spans="16:36" x14ac:dyDescent="0.2">
      <c r="P2124" s="73"/>
      <c r="AA2124" s="45"/>
      <c r="AB2124" s="45"/>
      <c r="AD2124" s="189"/>
      <c r="AE2124" s="189"/>
      <c r="AF2124" s="189"/>
      <c r="AG2124" s="189"/>
      <c r="AH2124" s="189"/>
      <c r="AI2124" s="45"/>
      <c r="AJ2124" s="45"/>
    </row>
    <row r="2125" spans="16:36" x14ac:dyDescent="0.2">
      <c r="P2125" s="73"/>
      <c r="AA2125" s="45"/>
      <c r="AB2125" s="45"/>
      <c r="AD2125" s="189"/>
      <c r="AE2125" s="189"/>
      <c r="AF2125" s="189"/>
      <c r="AG2125" s="189"/>
      <c r="AH2125" s="189"/>
      <c r="AI2125" s="45"/>
      <c r="AJ2125" s="45"/>
    </row>
    <row r="2126" spans="16:36" x14ac:dyDescent="0.2">
      <c r="P2126" s="73"/>
      <c r="AA2126" s="45"/>
      <c r="AB2126" s="45"/>
      <c r="AD2126" s="189"/>
      <c r="AE2126" s="189"/>
      <c r="AF2126" s="189"/>
      <c r="AG2126" s="189"/>
      <c r="AH2126" s="189"/>
      <c r="AI2126" s="45"/>
      <c r="AJ2126" s="45"/>
    </row>
    <row r="2127" spans="16:36" x14ac:dyDescent="0.2">
      <c r="P2127" s="73"/>
      <c r="AA2127" s="45"/>
      <c r="AB2127" s="45"/>
      <c r="AD2127" s="189"/>
      <c r="AE2127" s="189"/>
      <c r="AF2127" s="189"/>
      <c r="AG2127" s="189"/>
      <c r="AH2127" s="189"/>
      <c r="AI2127" s="45"/>
      <c r="AJ2127" s="45"/>
    </row>
    <row r="2128" spans="16:36" x14ac:dyDescent="0.2">
      <c r="P2128" s="73"/>
      <c r="AA2128" s="45"/>
      <c r="AB2128" s="45"/>
      <c r="AD2128" s="189"/>
      <c r="AE2128" s="189"/>
      <c r="AF2128" s="189"/>
      <c r="AG2128" s="189"/>
      <c r="AH2128" s="189"/>
      <c r="AI2128" s="45"/>
      <c r="AJ2128" s="45"/>
    </row>
    <row r="2129" spans="16:36" x14ac:dyDescent="0.2">
      <c r="P2129" s="73"/>
      <c r="AA2129" s="45"/>
      <c r="AB2129" s="45"/>
      <c r="AD2129" s="189"/>
      <c r="AE2129" s="189"/>
      <c r="AF2129" s="189"/>
      <c r="AG2129" s="189"/>
      <c r="AH2129" s="189"/>
      <c r="AI2129" s="45"/>
      <c r="AJ2129" s="45"/>
    </row>
    <row r="2130" spans="16:36" x14ac:dyDescent="0.2">
      <c r="P2130" s="73"/>
      <c r="AA2130" s="45"/>
      <c r="AB2130" s="45"/>
      <c r="AD2130" s="189"/>
      <c r="AE2130" s="189"/>
      <c r="AF2130" s="189"/>
      <c r="AG2130" s="189"/>
      <c r="AH2130" s="189"/>
      <c r="AI2130" s="45"/>
      <c r="AJ2130" s="45"/>
    </row>
    <row r="2131" spans="16:36" x14ac:dyDescent="0.2">
      <c r="P2131" s="73"/>
      <c r="AA2131" s="45"/>
      <c r="AB2131" s="45"/>
      <c r="AD2131" s="189"/>
      <c r="AE2131" s="189"/>
      <c r="AF2131" s="189"/>
      <c r="AG2131" s="189"/>
      <c r="AH2131" s="189"/>
      <c r="AI2131" s="45"/>
      <c r="AJ2131" s="45"/>
    </row>
    <row r="2132" spans="16:36" x14ac:dyDescent="0.2">
      <c r="P2132" s="73"/>
      <c r="AA2132" s="45"/>
      <c r="AB2132" s="45"/>
      <c r="AD2132" s="189"/>
      <c r="AE2132" s="189"/>
      <c r="AF2132" s="189"/>
      <c r="AG2132" s="189"/>
      <c r="AH2132" s="189"/>
      <c r="AI2132" s="45"/>
      <c r="AJ2132" s="45"/>
    </row>
    <row r="2133" spans="16:36" x14ac:dyDescent="0.2">
      <c r="P2133" s="73"/>
      <c r="AA2133" s="45"/>
      <c r="AB2133" s="45"/>
      <c r="AD2133" s="189"/>
      <c r="AE2133" s="189"/>
      <c r="AF2133" s="189"/>
      <c r="AG2133" s="189"/>
      <c r="AH2133" s="189"/>
      <c r="AI2133" s="45"/>
      <c r="AJ2133" s="45"/>
    </row>
    <row r="2134" spans="16:36" x14ac:dyDescent="0.2">
      <c r="P2134" s="73"/>
      <c r="AA2134" s="45"/>
      <c r="AB2134" s="45"/>
      <c r="AD2134" s="189"/>
      <c r="AE2134" s="189"/>
      <c r="AF2134" s="189"/>
      <c r="AG2134" s="189"/>
      <c r="AH2134" s="189"/>
      <c r="AI2134" s="45"/>
      <c r="AJ2134" s="45"/>
    </row>
    <row r="2135" spans="16:36" x14ac:dyDescent="0.2">
      <c r="P2135" s="73"/>
      <c r="AA2135" s="45"/>
      <c r="AB2135" s="45"/>
      <c r="AD2135" s="189"/>
      <c r="AE2135" s="189"/>
      <c r="AF2135" s="189"/>
      <c r="AG2135" s="189"/>
      <c r="AH2135" s="189"/>
      <c r="AI2135" s="45"/>
      <c r="AJ2135" s="45"/>
    </row>
    <row r="2136" spans="16:36" x14ac:dyDescent="0.2">
      <c r="P2136" s="73"/>
      <c r="AA2136" s="45"/>
      <c r="AB2136" s="45"/>
      <c r="AD2136" s="189"/>
      <c r="AE2136" s="189"/>
      <c r="AF2136" s="189"/>
      <c r="AG2136" s="189"/>
      <c r="AH2136" s="189"/>
      <c r="AI2136" s="45"/>
      <c r="AJ2136" s="45"/>
    </row>
    <row r="2137" spans="16:36" x14ac:dyDescent="0.2">
      <c r="P2137" s="73"/>
      <c r="AA2137" s="45"/>
      <c r="AB2137" s="45"/>
      <c r="AD2137" s="189"/>
      <c r="AE2137" s="189"/>
      <c r="AF2137" s="189"/>
      <c r="AG2137" s="189"/>
      <c r="AH2137" s="189"/>
      <c r="AI2137" s="45"/>
      <c r="AJ2137" s="45"/>
    </row>
    <row r="2138" spans="16:36" x14ac:dyDescent="0.2">
      <c r="P2138" s="73"/>
      <c r="AA2138" s="45"/>
      <c r="AB2138" s="45"/>
      <c r="AD2138" s="189"/>
      <c r="AE2138" s="189"/>
      <c r="AF2138" s="189"/>
      <c r="AG2138" s="189"/>
      <c r="AH2138" s="189"/>
      <c r="AI2138" s="45"/>
      <c r="AJ2138" s="45"/>
    </row>
    <row r="2139" spans="16:36" x14ac:dyDescent="0.2">
      <c r="P2139" s="73"/>
      <c r="AA2139" s="45"/>
      <c r="AB2139" s="45"/>
      <c r="AD2139" s="189"/>
      <c r="AE2139" s="189"/>
      <c r="AF2139" s="189"/>
      <c r="AG2139" s="189"/>
      <c r="AH2139" s="189"/>
      <c r="AI2139" s="45"/>
      <c r="AJ2139" s="45"/>
    </row>
    <row r="2140" spans="16:36" x14ac:dyDescent="0.2">
      <c r="P2140" s="73"/>
      <c r="AA2140" s="45"/>
      <c r="AB2140" s="45"/>
      <c r="AD2140" s="189"/>
      <c r="AE2140" s="189"/>
      <c r="AF2140" s="189"/>
      <c r="AG2140" s="189"/>
      <c r="AH2140" s="189"/>
      <c r="AI2140" s="45"/>
      <c r="AJ2140" s="45"/>
    </row>
    <row r="2141" spans="16:36" x14ac:dyDescent="0.2">
      <c r="P2141" s="73"/>
      <c r="AA2141" s="45"/>
      <c r="AB2141" s="45"/>
      <c r="AD2141" s="189"/>
      <c r="AE2141" s="189"/>
      <c r="AF2141" s="189"/>
      <c r="AG2141" s="189"/>
      <c r="AH2141" s="189"/>
      <c r="AI2141" s="45"/>
      <c r="AJ2141" s="45"/>
    </row>
    <row r="2142" spans="16:36" x14ac:dyDescent="0.2">
      <c r="P2142" s="73"/>
      <c r="AA2142" s="45"/>
      <c r="AB2142" s="45"/>
      <c r="AD2142" s="189"/>
      <c r="AE2142" s="189"/>
      <c r="AF2142" s="189"/>
      <c r="AG2142" s="189"/>
      <c r="AH2142" s="189"/>
      <c r="AI2142" s="45"/>
      <c r="AJ2142" s="45"/>
    </row>
    <row r="2143" spans="16:36" x14ac:dyDescent="0.2">
      <c r="P2143" s="73"/>
      <c r="AA2143" s="45"/>
      <c r="AB2143" s="45"/>
      <c r="AD2143" s="189"/>
      <c r="AE2143" s="189"/>
      <c r="AF2143" s="189"/>
      <c r="AG2143" s="189"/>
      <c r="AH2143" s="189"/>
      <c r="AI2143" s="45"/>
      <c r="AJ2143" s="45"/>
    </row>
    <row r="2144" spans="16:36" x14ac:dyDescent="0.2">
      <c r="P2144" s="73"/>
      <c r="AA2144" s="45"/>
      <c r="AB2144" s="45"/>
      <c r="AD2144" s="189"/>
      <c r="AE2144" s="189"/>
      <c r="AF2144" s="189"/>
      <c r="AG2144" s="189"/>
      <c r="AH2144" s="189"/>
      <c r="AI2144" s="45"/>
      <c r="AJ2144" s="45"/>
    </row>
    <row r="2145" spans="16:36" x14ac:dyDescent="0.2">
      <c r="P2145" s="73"/>
      <c r="AA2145" s="45"/>
      <c r="AB2145" s="45"/>
      <c r="AD2145" s="189"/>
      <c r="AE2145" s="189"/>
      <c r="AF2145" s="189"/>
      <c r="AG2145" s="189"/>
      <c r="AH2145" s="189"/>
      <c r="AI2145" s="45"/>
      <c r="AJ2145" s="45"/>
    </row>
    <row r="2146" spans="16:36" x14ac:dyDescent="0.2">
      <c r="P2146" s="73"/>
      <c r="AA2146" s="45"/>
      <c r="AB2146" s="45"/>
      <c r="AD2146" s="189"/>
      <c r="AE2146" s="189"/>
      <c r="AF2146" s="189"/>
      <c r="AG2146" s="189"/>
      <c r="AH2146" s="189"/>
      <c r="AI2146" s="45"/>
      <c r="AJ2146" s="45"/>
    </row>
    <row r="2147" spans="16:36" x14ac:dyDescent="0.2">
      <c r="P2147" s="73"/>
      <c r="AA2147" s="45"/>
      <c r="AB2147" s="45"/>
      <c r="AD2147" s="189"/>
      <c r="AE2147" s="189"/>
      <c r="AF2147" s="189"/>
      <c r="AG2147" s="189"/>
      <c r="AH2147" s="189"/>
      <c r="AI2147" s="45"/>
      <c r="AJ2147" s="45"/>
    </row>
    <row r="2148" spans="16:36" x14ac:dyDescent="0.2">
      <c r="P2148" s="73"/>
      <c r="AA2148" s="45"/>
      <c r="AB2148" s="45"/>
      <c r="AD2148" s="189"/>
      <c r="AE2148" s="189"/>
      <c r="AF2148" s="189"/>
      <c r="AG2148" s="189"/>
      <c r="AH2148" s="189"/>
      <c r="AI2148" s="45"/>
      <c r="AJ2148" s="45"/>
    </row>
    <row r="2149" spans="16:36" x14ac:dyDescent="0.2">
      <c r="P2149" s="73"/>
      <c r="AA2149" s="45"/>
      <c r="AB2149" s="45"/>
      <c r="AD2149" s="189"/>
      <c r="AE2149" s="189"/>
      <c r="AF2149" s="189"/>
      <c r="AG2149" s="189"/>
      <c r="AH2149" s="189"/>
      <c r="AI2149" s="45"/>
      <c r="AJ2149" s="45"/>
    </row>
    <row r="2150" spans="16:36" x14ac:dyDescent="0.2">
      <c r="P2150" s="73"/>
      <c r="AA2150" s="45"/>
      <c r="AB2150" s="45"/>
      <c r="AD2150" s="189"/>
      <c r="AE2150" s="189"/>
      <c r="AF2150" s="189"/>
      <c r="AG2150" s="189"/>
      <c r="AH2150" s="189"/>
      <c r="AI2150" s="45"/>
      <c r="AJ2150" s="45"/>
    </row>
    <row r="2151" spans="16:36" x14ac:dyDescent="0.2">
      <c r="P2151" s="73"/>
      <c r="AA2151" s="45"/>
      <c r="AB2151" s="45"/>
      <c r="AD2151" s="189"/>
      <c r="AE2151" s="189"/>
      <c r="AF2151" s="189"/>
      <c r="AG2151" s="189"/>
      <c r="AH2151" s="189"/>
      <c r="AI2151" s="45"/>
      <c r="AJ2151" s="45"/>
    </row>
    <row r="2152" spans="16:36" x14ac:dyDescent="0.2">
      <c r="P2152" s="73"/>
      <c r="AA2152" s="45"/>
      <c r="AB2152" s="45"/>
      <c r="AD2152" s="189"/>
      <c r="AE2152" s="189"/>
      <c r="AF2152" s="189"/>
      <c r="AG2152" s="189"/>
      <c r="AH2152" s="189"/>
      <c r="AI2152" s="45"/>
      <c r="AJ2152" s="45"/>
    </row>
    <row r="2153" spans="16:36" x14ac:dyDescent="0.2">
      <c r="P2153" s="73"/>
      <c r="AA2153" s="45"/>
      <c r="AB2153" s="45"/>
      <c r="AD2153" s="189"/>
      <c r="AE2153" s="189"/>
      <c r="AF2153" s="189"/>
      <c r="AG2153" s="189"/>
      <c r="AH2153" s="189"/>
      <c r="AI2153" s="45"/>
      <c r="AJ2153" s="45"/>
    </row>
    <row r="2154" spans="16:36" x14ac:dyDescent="0.2">
      <c r="P2154" s="73"/>
      <c r="AA2154" s="45"/>
      <c r="AB2154" s="45"/>
      <c r="AD2154" s="189"/>
      <c r="AE2154" s="189"/>
      <c r="AF2154" s="189"/>
      <c r="AG2154" s="189"/>
      <c r="AH2154" s="189"/>
      <c r="AI2154" s="45"/>
      <c r="AJ2154" s="45"/>
    </row>
    <row r="2155" spans="16:36" x14ac:dyDescent="0.2">
      <c r="P2155" s="73"/>
      <c r="AA2155" s="45"/>
      <c r="AB2155" s="45"/>
      <c r="AD2155" s="189"/>
      <c r="AE2155" s="189"/>
      <c r="AF2155" s="189"/>
      <c r="AG2155" s="189"/>
      <c r="AH2155" s="189"/>
      <c r="AI2155" s="45"/>
      <c r="AJ2155" s="45"/>
    </row>
    <row r="2156" spans="16:36" x14ac:dyDescent="0.2">
      <c r="P2156" s="73"/>
      <c r="AA2156" s="45"/>
      <c r="AB2156" s="45"/>
      <c r="AD2156" s="189"/>
      <c r="AE2156" s="189"/>
      <c r="AF2156" s="189"/>
      <c r="AG2156" s="189"/>
      <c r="AH2156" s="189"/>
      <c r="AI2156" s="45"/>
      <c r="AJ2156" s="45"/>
    </row>
    <row r="2157" spans="16:36" x14ac:dyDescent="0.2">
      <c r="P2157" s="73"/>
      <c r="AA2157" s="45"/>
      <c r="AB2157" s="45"/>
      <c r="AD2157" s="189"/>
      <c r="AE2157" s="189"/>
      <c r="AF2157" s="189"/>
      <c r="AG2157" s="189"/>
      <c r="AH2157" s="189"/>
      <c r="AI2157" s="45"/>
      <c r="AJ2157" s="45"/>
    </row>
    <row r="2158" spans="16:36" x14ac:dyDescent="0.2">
      <c r="P2158" s="73"/>
      <c r="AA2158" s="45"/>
      <c r="AB2158" s="45"/>
      <c r="AD2158" s="189"/>
      <c r="AE2158" s="189"/>
      <c r="AF2158" s="189"/>
      <c r="AG2158" s="189"/>
      <c r="AH2158" s="189"/>
      <c r="AI2158" s="45"/>
      <c r="AJ2158" s="45"/>
    </row>
    <row r="2159" spans="16:36" x14ac:dyDescent="0.2">
      <c r="P2159" s="73"/>
      <c r="AA2159" s="45"/>
      <c r="AB2159" s="45"/>
      <c r="AD2159" s="189"/>
      <c r="AE2159" s="189"/>
      <c r="AF2159" s="189"/>
      <c r="AG2159" s="189"/>
      <c r="AH2159" s="189"/>
      <c r="AI2159" s="45"/>
      <c r="AJ2159" s="45"/>
    </row>
    <row r="2160" spans="16:36" x14ac:dyDescent="0.2">
      <c r="P2160" s="73"/>
      <c r="AA2160" s="45"/>
      <c r="AB2160" s="45"/>
      <c r="AD2160" s="189"/>
      <c r="AE2160" s="189"/>
      <c r="AF2160" s="189"/>
      <c r="AG2160" s="189"/>
      <c r="AH2160" s="189"/>
      <c r="AI2160" s="45"/>
      <c r="AJ2160" s="45"/>
    </row>
    <row r="2161" spans="16:36" x14ac:dyDescent="0.2">
      <c r="P2161" s="73"/>
      <c r="AA2161" s="45"/>
      <c r="AB2161" s="45"/>
      <c r="AD2161" s="189"/>
      <c r="AE2161" s="189"/>
      <c r="AF2161" s="189"/>
      <c r="AG2161" s="189"/>
      <c r="AH2161" s="189"/>
      <c r="AI2161" s="45"/>
      <c r="AJ2161" s="45"/>
    </row>
    <row r="2162" spans="16:36" x14ac:dyDescent="0.2">
      <c r="P2162" s="73"/>
      <c r="AA2162" s="45"/>
      <c r="AB2162" s="45"/>
      <c r="AD2162" s="189"/>
      <c r="AE2162" s="189"/>
      <c r="AF2162" s="189"/>
      <c r="AG2162" s="189"/>
      <c r="AH2162" s="189"/>
      <c r="AI2162" s="45"/>
      <c r="AJ2162" s="45"/>
    </row>
    <row r="2163" spans="16:36" x14ac:dyDescent="0.2">
      <c r="P2163" s="73"/>
      <c r="AA2163" s="45"/>
      <c r="AB2163" s="45"/>
      <c r="AD2163" s="189"/>
      <c r="AE2163" s="189"/>
      <c r="AF2163" s="189"/>
      <c r="AG2163" s="189"/>
      <c r="AH2163" s="189"/>
      <c r="AI2163" s="45"/>
      <c r="AJ2163" s="45"/>
    </row>
    <row r="2164" spans="16:36" x14ac:dyDescent="0.2">
      <c r="P2164" s="73"/>
      <c r="AA2164" s="45"/>
      <c r="AB2164" s="45"/>
      <c r="AD2164" s="189"/>
      <c r="AE2164" s="189"/>
      <c r="AF2164" s="189"/>
      <c r="AG2164" s="189"/>
      <c r="AH2164" s="189"/>
      <c r="AI2164" s="45"/>
      <c r="AJ2164" s="45"/>
    </row>
    <row r="2165" spans="16:36" x14ac:dyDescent="0.2">
      <c r="P2165" s="73"/>
      <c r="AA2165" s="45"/>
      <c r="AB2165" s="45"/>
      <c r="AD2165" s="189"/>
      <c r="AE2165" s="189"/>
      <c r="AF2165" s="189"/>
      <c r="AG2165" s="189"/>
      <c r="AH2165" s="189"/>
      <c r="AI2165" s="45"/>
      <c r="AJ2165" s="45"/>
    </row>
    <row r="2166" spans="16:36" x14ac:dyDescent="0.2">
      <c r="P2166" s="73"/>
      <c r="AA2166" s="45"/>
      <c r="AB2166" s="45"/>
      <c r="AD2166" s="189"/>
      <c r="AE2166" s="189"/>
      <c r="AF2166" s="189"/>
      <c r="AG2166" s="189"/>
      <c r="AH2166" s="189"/>
      <c r="AI2166" s="45"/>
      <c r="AJ2166" s="45"/>
    </row>
    <row r="2167" spans="16:36" x14ac:dyDescent="0.2">
      <c r="P2167" s="73"/>
      <c r="AA2167" s="45"/>
      <c r="AB2167" s="45"/>
      <c r="AD2167" s="189"/>
      <c r="AE2167" s="189"/>
      <c r="AF2167" s="189"/>
      <c r="AG2167" s="189"/>
      <c r="AH2167" s="189"/>
      <c r="AI2167" s="45"/>
      <c r="AJ2167" s="45"/>
    </row>
    <row r="2168" spans="16:36" x14ac:dyDescent="0.2">
      <c r="P2168" s="73"/>
      <c r="AA2168" s="45"/>
      <c r="AB2168" s="45"/>
      <c r="AD2168" s="189"/>
      <c r="AE2168" s="189"/>
      <c r="AF2168" s="189"/>
      <c r="AG2168" s="189"/>
      <c r="AH2168" s="189"/>
      <c r="AI2168" s="45"/>
      <c r="AJ2168" s="45"/>
    </row>
    <row r="2169" spans="16:36" x14ac:dyDescent="0.2">
      <c r="P2169" s="73"/>
      <c r="AA2169" s="45"/>
      <c r="AB2169" s="45"/>
      <c r="AD2169" s="189"/>
      <c r="AE2169" s="189"/>
      <c r="AF2169" s="189"/>
      <c r="AG2169" s="189"/>
      <c r="AH2169" s="189"/>
      <c r="AI2169" s="45"/>
      <c r="AJ2169" s="45"/>
    </row>
    <row r="2170" spans="16:36" x14ac:dyDescent="0.2">
      <c r="P2170" s="73"/>
      <c r="AA2170" s="45"/>
      <c r="AB2170" s="45"/>
      <c r="AD2170" s="189"/>
      <c r="AE2170" s="189"/>
      <c r="AF2170" s="189"/>
      <c r="AG2170" s="189"/>
      <c r="AH2170" s="189"/>
      <c r="AI2170" s="45"/>
      <c r="AJ2170" s="45"/>
    </row>
    <row r="2171" spans="16:36" x14ac:dyDescent="0.2">
      <c r="P2171" s="73"/>
      <c r="AA2171" s="45"/>
      <c r="AB2171" s="45"/>
      <c r="AD2171" s="189"/>
      <c r="AE2171" s="189"/>
      <c r="AF2171" s="189"/>
      <c r="AG2171" s="189"/>
      <c r="AH2171" s="189"/>
      <c r="AI2171" s="45"/>
      <c r="AJ2171" s="45"/>
    </row>
    <row r="2172" spans="16:36" x14ac:dyDescent="0.2">
      <c r="P2172" s="73"/>
      <c r="AA2172" s="45"/>
      <c r="AB2172" s="45"/>
      <c r="AD2172" s="189"/>
      <c r="AE2172" s="189"/>
      <c r="AF2172" s="189"/>
      <c r="AG2172" s="189"/>
      <c r="AH2172" s="189"/>
      <c r="AI2172" s="45"/>
      <c r="AJ2172" s="45"/>
    </row>
    <row r="2173" spans="16:36" x14ac:dyDescent="0.2">
      <c r="P2173" s="73"/>
      <c r="AA2173" s="45"/>
      <c r="AB2173" s="45"/>
      <c r="AD2173" s="189"/>
      <c r="AE2173" s="189"/>
      <c r="AF2173" s="189"/>
      <c r="AG2173" s="189"/>
      <c r="AH2173" s="189"/>
      <c r="AI2173" s="45"/>
      <c r="AJ2173" s="45"/>
    </row>
    <row r="2174" spans="16:36" x14ac:dyDescent="0.2">
      <c r="P2174" s="73"/>
      <c r="AA2174" s="45"/>
      <c r="AB2174" s="45"/>
      <c r="AD2174" s="189"/>
      <c r="AE2174" s="189"/>
      <c r="AF2174" s="189"/>
      <c r="AG2174" s="189"/>
      <c r="AH2174" s="189"/>
      <c r="AI2174" s="45"/>
      <c r="AJ2174" s="45"/>
    </row>
    <row r="2175" spans="16:36" x14ac:dyDescent="0.2">
      <c r="P2175" s="73"/>
      <c r="AA2175" s="45"/>
      <c r="AB2175" s="45"/>
      <c r="AD2175" s="189"/>
      <c r="AE2175" s="189"/>
      <c r="AF2175" s="189"/>
      <c r="AG2175" s="189"/>
      <c r="AH2175" s="189"/>
      <c r="AI2175" s="45"/>
      <c r="AJ2175" s="45"/>
    </row>
    <row r="2176" spans="16:36" x14ac:dyDescent="0.2">
      <c r="P2176" s="73"/>
      <c r="AA2176" s="45"/>
      <c r="AB2176" s="45"/>
      <c r="AD2176" s="189"/>
      <c r="AE2176" s="189"/>
      <c r="AF2176" s="189"/>
      <c r="AG2176" s="189"/>
      <c r="AH2176" s="189"/>
      <c r="AI2176" s="45"/>
      <c r="AJ2176" s="45"/>
    </row>
    <row r="2177" spans="16:36" x14ac:dyDescent="0.2">
      <c r="P2177" s="73"/>
      <c r="AA2177" s="45"/>
      <c r="AB2177" s="45"/>
      <c r="AD2177" s="189"/>
      <c r="AE2177" s="189"/>
      <c r="AF2177" s="189"/>
      <c r="AG2177" s="189"/>
      <c r="AH2177" s="189"/>
      <c r="AI2177" s="45"/>
      <c r="AJ2177" s="45"/>
    </row>
    <row r="2178" spans="16:36" x14ac:dyDescent="0.2">
      <c r="P2178" s="73"/>
      <c r="AA2178" s="45"/>
      <c r="AB2178" s="45"/>
      <c r="AD2178" s="189"/>
      <c r="AE2178" s="189"/>
      <c r="AF2178" s="189"/>
      <c r="AG2178" s="189"/>
      <c r="AH2178" s="189"/>
      <c r="AI2178" s="45"/>
      <c r="AJ2178" s="45"/>
    </row>
    <row r="2179" spans="16:36" x14ac:dyDescent="0.2">
      <c r="P2179" s="73"/>
      <c r="AA2179" s="45"/>
      <c r="AB2179" s="45"/>
      <c r="AD2179" s="189"/>
      <c r="AE2179" s="189"/>
      <c r="AF2179" s="189"/>
      <c r="AG2179" s="189"/>
      <c r="AH2179" s="189"/>
      <c r="AI2179" s="45"/>
      <c r="AJ2179" s="45"/>
    </row>
    <row r="2180" spans="16:36" x14ac:dyDescent="0.2">
      <c r="P2180" s="73"/>
      <c r="AA2180" s="45"/>
      <c r="AB2180" s="45"/>
      <c r="AD2180" s="189"/>
      <c r="AE2180" s="189"/>
      <c r="AF2180" s="189"/>
      <c r="AG2180" s="189"/>
      <c r="AH2180" s="189"/>
      <c r="AI2180" s="45"/>
      <c r="AJ2180" s="45"/>
    </row>
    <row r="2181" spans="16:36" x14ac:dyDescent="0.2">
      <c r="P2181" s="73"/>
      <c r="AA2181" s="45"/>
      <c r="AB2181" s="45"/>
      <c r="AD2181" s="189"/>
      <c r="AE2181" s="189"/>
      <c r="AF2181" s="189"/>
      <c r="AG2181" s="189"/>
      <c r="AH2181" s="189"/>
      <c r="AI2181" s="45"/>
      <c r="AJ2181" s="45"/>
    </row>
    <row r="2182" spans="16:36" x14ac:dyDescent="0.2">
      <c r="P2182" s="73"/>
      <c r="AA2182" s="45"/>
      <c r="AB2182" s="45"/>
      <c r="AD2182" s="189"/>
      <c r="AE2182" s="189"/>
      <c r="AF2182" s="189"/>
      <c r="AG2182" s="189"/>
      <c r="AH2182" s="189"/>
      <c r="AI2182" s="45"/>
      <c r="AJ2182" s="45"/>
    </row>
    <row r="2183" spans="16:36" x14ac:dyDescent="0.2">
      <c r="P2183" s="73"/>
      <c r="AA2183" s="45"/>
      <c r="AB2183" s="45"/>
      <c r="AD2183" s="189"/>
      <c r="AE2183" s="189"/>
      <c r="AF2183" s="189"/>
      <c r="AG2183" s="189"/>
      <c r="AH2183" s="189"/>
      <c r="AI2183" s="45"/>
      <c r="AJ2183" s="45"/>
    </row>
    <row r="2184" spans="16:36" x14ac:dyDescent="0.2">
      <c r="P2184" s="73"/>
      <c r="AA2184" s="45"/>
      <c r="AB2184" s="45"/>
      <c r="AD2184" s="189"/>
      <c r="AE2184" s="189"/>
      <c r="AF2184" s="189"/>
      <c r="AG2184" s="189"/>
      <c r="AH2184" s="189"/>
      <c r="AI2184" s="45"/>
      <c r="AJ2184" s="45"/>
    </row>
    <row r="2185" spans="16:36" x14ac:dyDescent="0.2">
      <c r="P2185" s="73"/>
      <c r="AA2185" s="45"/>
      <c r="AB2185" s="45"/>
      <c r="AD2185" s="189"/>
      <c r="AE2185" s="189"/>
      <c r="AF2185" s="189"/>
      <c r="AG2185" s="189"/>
      <c r="AH2185" s="189"/>
      <c r="AI2185" s="45"/>
      <c r="AJ2185" s="45"/>
    </row>
    <row r="2186" spans="16:36" x14ac:dyDescent="0.2">
      <c r="P2186" s="73"/>
      <c r="AA2186" s="45"/>
      <c r="AB2186" s="45"/>
      <c r="AD2186" s="189"/>
      <c r="AE2186" s="189"/>
      <c r="AF2186" s="189"/>
      <c r="AG2186" s="189"/>
      <c r="AH2186" s="189"/>
      <c r="AI2186" s="45"/>
      <c r="AJ2186" s="45"/>
    </row>
    <row r="2187" spans="16:36" x14ac:dyDescent="0.2">
      <c r="P2187" s="73"/>
      <c r="AA2187" s="45"/>
      <c r="AB2187" s="45"/>
      <c r="AD2187" s="189"/>
      <c r="AE2187" s="189"/>
      <c r="AF2187" s="189"/>
      <c r="AG2187" s="189"/>
      <c r="AH2187" s="189"/>
      <c r="AI2187" s="45"/>
      <c r="AJ2187" s="45"/>
    </row>
    <row r="2188" spans="16:36" x14ac:dyDescent="0.2">
      <c r="P2188" s="73"/>
      <c r="AA2188" s="45"/>
      <c r="AB2188" s="45"/>
      <c r="AD2188" s="189"/>
      <c r="AE2188" s="189"/>
      <c r="AF2188" s="189"/>
      <c r="AG2188" s="189"/>
      <c r="AH2188" s="189"/>
      <c r="AI2188" s="45"/>
      <c r="AJ2188" s="45"/>
    </row>
    <row r="2189" spans="16:36" x14ac:dyDescent="0.2">
      <c r="P2189" s="73"/>
      <c r="AA2189" s="45"/>
      <c r="AB2189" s="45"/>
      <c r="AD2189" s="189"/>
      <c r="AE2189" s="189"/>
      <c r="AF2189" s="189"/>
      <c r="AG2189" s="189"/>
      <c r="AH2189" s="189"/>
      <c r="AI2189" s="45"/>
      <c r="AJ2189" s="45"/>
    </row>
    <row r="2190" spans="16:36" x14ac:dyDescent="0.2">
      <c r="P2190" s="73"/>
      <c r="AA2190" s="45"/>
      <c r="AB2190" s="45"/>
      <c r="AD2190" s="189"/>
      <c r="AE2190" s="189"/>
      <c r="AF2190" s="189"/>
      <c r="AG2190" s="189"/>
      <c r="AH2190" s="189"/>
      <c r="AI2190" s="45"/>
      <c r="AJ2190" s="45"/>
    </row>
    <row r="2191" spans="16:36" x14ac:dyDescent="0.2">
      <c r="P2191" s="73"/>
      <c r="AA2191" s="45"/>
      <c r="AB2191" s="45"/>
      <c r="AD2191" s="189"/>
      <c r="AE2191" s="189"/>
      <c r="AF2191" s="189"/>
      <c r="AG2191" s="189"/>
      <c r="AH2191" s="189"/>
      <c r="AI2191" s="45"/>
      <c r="AJ2191" s="45"/>
    </row>
    <row r="2192" spans="16:36" x14ac:dyDescent="0.2">
      <c r="P2192" s="73"/>
      <c r="AA2192" s="45"/>
      <c r="AB2192" s="45"/>
      <c r="AD2192" s="189"/>
      <c r="AE2192" s="189"/>
      <c r="AF2192" s="189"/>
      <c r="AG2192" s="189"/>
      <c r="AH2192" s="189"/>
      <c r="AI2192" s="45"/>
      <c r="AJ2192" s="45"/>
    </row>
    <row r="2193" spans="16:36" x14ac:dyDescent="0.2">
      <c r="P2193" s="73"/>
      <c r="AA2193" s="45"/>
      <c r="AB2193" s="45"/>
      <c r="AD2193" s="189"/>
      <c r="AE2193" s="189"/>
      <c r="AF2193" s="189"/>
      <c r="AG2193" s="189"/>
      <c r="AH2193" s="189"/>
      <c r="AI2193" s="45"/>
      <c r="AJ2193" s="45"/>
    </row>
    <row r="2194" spans="16:36" x14ac:dyDescent="0.2">
      <c r="P2194" s="73"/>
      <c r="AA2194" s="45"/>
      <c r="AB2194" s="45"/>
      <c r="AD2194" s="189"/>
      <c r="AE2194" s="189"/>
      <c r="AF2194" s="189"/>
      <c r="AG2194" s="189"/>
      <c r="AH2194" s="189"/>
      <c r="AI2194" s="45"/>
      <c r="AJ2194" s="45"/>
    </row>
    <row r="2195" spans="16:36" x14ac:dyDescent="0.2">
      <c r="P2195" s="73"/>
      <c r="AA2195" s="45"/>
      <c r="AB2195" s="45"/>
      <c r="AD2195" s="189"/>
      <c r="AE2195" s="189"/>
      <c r="AF2195" s="189"/>
      <c r="AG2195" s="189"/>
      <c r="AH2195" s="189"/>
      <c r="AI2195" s="45"/>
      <c r="AJ2195" s="45"/>
    </row>
    <row r="2196" spans="16:36" x14ac:dyDescent="0.2">
      <c r="P2196" s="73"/>
      <c r="AA2196" s="45"/>
      <c r="AB2196" s="45"/>
      <c r="AD2196" s="189"/>
      <c r="AE2196" s="189"/>
      <c r="AF2196" s="189"/>
      <c r="AG2196" s="189"/>
      <c r="AH2196" s="189"/>
      <c r="AI2196" s="45"/>
      <c r="AJ2196" s="45"/>
    </row>
    <row r="2197" spans="16:36" x14ac:dyDescent="0.2">
      <c r="P2197" s="73"/>
      <c r="AA2197" s="45"/>
      <c r="AB2197" s="45"/>
      <c r="AD2197" s="189"/>
      <c r="AE2197" s="189"/>
      <c r="AF2197" s="189"/>
      <c r="AG2197" s="189"/>
      <c r="AH2197" s="189"/>
      <c r="AI2197" s="45"/>
      <c r="AJ2197" s="45"/>
    </row>
    <row r="2198" spans="16:36" x14ac:dyDescent="0.2">
      <c r="P2198" s="73"/>
      <c r="AA2198" s="45"/>
      <c r="AB2198" s="45"/>
      <c r="AD2198" s="189"/>
      <c r="AE2198" s="189"/>
      <c r="AF2198" s="189"/>
      <c r="AG2198" s="189"/>
      <c r="AH2198" s="189"/>
      <c r="AI2198" s="45"/>
      <c r="AJ2198" s="45"/>
    </row>
    <row r="2199" spans="16:36" x14ac:dyDescent="0.2">
      <c r="P2199" s="73"/>
      <c r="AA2199" s="45"/>
      <c r="AB2199" s="45"/>
      <c r="AD2199" s="189"/>
      <c r="AE2199" s="189"/>
      <c r="AF2199" s="189"/>
      <c r="AG2199" s="189"/>
      <c r="AH2199" s="189"/>
      <c r="AI2199" s="45"/>
      <c r="AJ2199" s="45"/>
    </row>
    <row r="2200" spans="16:36" x14ac:dyDescent="0.2">
      <c r="P2200" s="73"/>
      <c r="AA2200" s="45"/>
      <c r="AB2200" s="45"/>
      <c r="AD2200" s="189"/>
      <c r="AE2200" s="189"/>
      <c r="AF2200" s="189"/>
      <c r="AG2200" s="189"/>
      <c r="AH2200" s="189"/>
      <c r="AI2200" s="45"/>
      <c r="AJ2200" s="45"/>
    </row>
    <row r="2201" spans="16:36" x14ac:dyDescent="0.2">
      <c r="P2201" s="73"/>
      <c r="AA2201" s="45"/>
      <c r="AB2201" s="45"/>
      <c r="AD2201" s="189"/>
      <c r="AE2201" s="189"/>
      <c r="AF2201" s="189"/>
      <c r="AG2201" s="189"/>
      <c r="AH2201" s="189"/>
      <c r="AI2201" s="45"/>
      <c r="AJ2201" s="45"/>
    </row>
    <row r="2202" spans="16:36" x14ac:dyDescent="0.2">
      <c r="P2202" s="73"/>
      <c r="AA2202" s="45"/>
      <c r="AB2202" s="45"/>
      <c r="AD2202" s="189"/>
      <c r="AE2202" s="189"/>
      <c r="AF2202" s="189"/>
      <c r="AG2202" s="189"/>
      <c r="AH2202" s="189"/>
      <c r="AI2202" s="45"/>
      <c r="AJ2202" s="45"/>
    </row>
    <row r="2203" spans="16:36" x14ac:dyDescent="0.2">
      <c r="P2203" s="73"/>
      <c r="AA2203" s="45"/>
      <c r="AB2203" s="45"/>
      <c r="AD2203" s="189"/>
      <c r="AE2203" s="189"/>
      <c r="AF2203" s="189"/>
      <c r="AG2203" s="189"/>
      <c r="AH2203" s="189"/>
      <c r="AI2203" s="45"/>
      <c r="AJ2203" s="45"/>
    </row>
    <row r="2204" spans="16:36" x14ac:dyDescent="0.2">
      <c r="P2204" s="73"/>
      <c r="AA2204" s="45"/>
      <c r="AB2204" s="45"/>
      <c r="AD2204" s="189"/>
      <c r="AE2204" s="189"/>
      <c r="AF2204" s="189"/>
      <c r="AG2204" s="189"/>
      <c r="AH2204" s="189"/>
      <c r="AI2204" s="45"/>
      <c r="AJ2204" s="45"/>
    </row>
    <row r="2205" spans="16:36" x14ac:dyDescent="0.2">
      <c r="P2205" s="73"/>
      <c r="AA2205" s="45"/>
      <c r="AB2205" s="45"/>
      <c r="AD2205" s="189"/>
      <c r="AE2205" s="189"/>
      <c r="AF2205" s="189"/>
      <c r="AG2205" s="189"/>
      <c r="AH2205" s="189"/>
      <c r="AI2205" s="45"/>
      <c r="AJ2205" s="45"/>
    </row>
    <row r="2206" spans="16:36" x14ac:dyDescent="0.2">
      <c r="P2206" s="73"/>
      <c r="AA2206" s="45"/>
      <c r="AB2206" s="45"/>
      <c r="AD2206" s="189"/>
      <c r="AE2206" s="189"/>
      <c r="AF2206" s="189"/>
      <c r="AG2206" s="189"/>
      <c r="AH2206" s="189"/>
      <c r="AI2206" s="45"/>
      <c r="AJ2206" s="45"/>
    </row>
    <row r="2207" spans="16:36" x14ac:dyDescent="0.2">
      <c r="P2207" s="73"/>
      <c r="AA2207" s="45"/>
      <c r="AB2207" s="45"/>
      <c r="AD2207" s="189"/>
      <c r="AE2207" s="189"/>
      <c r="AF2207" s="189"/>
      <c r="AG2207" s="189"/>
      <c r="AH2207" s="189"/>
      <c r="AI2207" s="45"/>
      <c r="AJ2207" s="45"/>
    </row>
    <row r="2208" spans="16:36" x14ac:dyDescent="0.2">
      <c r="P2208" s="73"/>
      <c r="AA2208" s="45"/>
      <c r="AB2208" s="45"/>
      <c r="AD2208" s="189"/>
      <c r="AE2208" s="189"/>
      <c r="AF2208" s="189"/>
      <c r="AG2208" s="189"/>
      <c r="AH2208" s="189"/>
      <c r="AI2208" s="45"/>
      <c r="AJ2208" s="45"/>
    </row>
    <row r="2209" spans="16:36" x14ac:dyDescent="0.2">
      <c r="P2209" s="73"/>
      <c r="AA2209" s="45"/>
      <c r="AB2209" s="45"/>
      <c r="AD2209" s="189"/>
      <c r="AE2209" s="189"/>
      <c r="AF2209" s="189"/>
      <c r="AG2209" s="189"/>
      <c r="AH2209" s="189"/>
      <c r="AI2209" s="45"/>
      <c r="AJ2209" s="45"/>
    </row>
    <row r="2210" spans="16:36" x14ac:dyDescent="0.2">
      <c r="P2210" s="73"/>
      <c r="AA2210" s="45"/>
      <c r="AB2210" s="45"/>
      <c r="AD2210" s="189"/>
      <c r="AE2210" s="189"/>
      <c r="AF2210" s="189"/>
      <c r="AG2210" s="189"/>
      <c r="AH2210" s="189"/>
      <c r="AI2210" s="45"/>
      <c r="AJ2210" s="45"/>
    </row>
    <row r="2211" spans="16:36" x14ac:dyDescent="0.2">
      <c r="P2211" s="73"/>
      <c r="AA2211" s="45"/>
      <c r="AB2211" s="45"/>
      <c r="AD2211" s="189"/>
      <c r="AE2211" s="189"/>
      <c r="AF2211" s="189"/>
      <c r="AG2211" s="189"/>
      <c r="AH2211" s="189"/>
      <c r="AI2211" s="45"/>
      <c r="AJ2211" s="45"/>
    </row>
    <row r="2212" spans="16:36" x14ac:dyDescent="0.2">
      <c r="P2212" s="73"/>
      <c r="AA2212" s="45"/>
      <c r="AB2212" s="45"/>
      <c r="AD2212" s="189"/>
      <c r="AE2212" s="189"/>
      <c r="AF2212" s="189"/>
      <c r="AG2212" s="189"/>
      <c r="AH2212" s="189"/>
      <c r="AI2212" s="45"/>
      <c r="AJ2212" s="45"/>
    </row>
    <row r="2213" spans="16:36" x14ac:dyDescent="0.2">
      <c r="P2213" s="73"/>
      <c r="AA2213" s="45"/>
      <c r="AB2213" s="45"/>
      <c r="AD2213" s="189"/>
      <c r="AE2213" s="189"/>
      <c r="AF2213" s="189"/>
      <c r="AG2213" s="189"/>
      <c r="AH2213" s="189"/>
      <c r="AI2213" s="45"/>
      <c r="AJ2213" s="45"/>
    </row>
    <row r="2214" spans="16:36" x14ac:dyDescent="0.2">
      <c r="P2214" s="73"/>
      <c r="AA2214" s="45"/>
      <c r="AB2214" s="45"/>
      <c r="AD2214" s="189"/>
      <c r="AE2214" s="189"/>
      <c r="AF2214" s="189"/>
      <c r="AG2214" s="189"/>
      <c r="AH2214" s="189"/>
      <c r="AI2214" s="45"/>
      <c r="AJ2214" s="45"/>
    </row>
    <row r="2215" spans="16:36" x14ac:dyDescent="0.2">
      <c r="P2215" s="73"/>
      <c r="AA2215" s="45"/>
      <c r="AB2215" s="45"/>
      <c r="AD2215" s="189"/>
      <c r="AE2215" s="189"/>
      <c r="AF2215" s="189"/>
      <c r="AG2215" s="189"/>
      <c r="AH2215" s="189"/>
      <c r="AI2215" s="45"/>
      <c r="AJ2215" s="45"/>
    </row>
    <row r="2216" spans="16:36" x14ac:dyDescent="0.2">
      <c r="P2216" s="73"/>
      <c r="AA2216" s="45"/>
      <c r="AB2216" s="45"/>
      <c r="AD2216" s="189"/>
      <c r="AE2216" s="189"/>
      <c r="AF2216" s="189"/>
      <c r="AG2216" s="189"/>
      <c r="AH2216" s="189"/>
      <c r="AI2216" s="45"/>
      <c r="AJ2216" s="45"/>
    </row>
    <row r="2217" spans="16:36" x14ac:dyDescent="0.2">
      <c r="P2217" s="73"/>
      <c r="AA2217" s="45"/>
      <c r="AB2217" s="45"/>
      <c r="AD2217" s="189"/>
      <c r="AE2217" s="189"/>
      <c r="AF2217" s="189"/>
      <c r="AG2217" s="189"/>
      <c r="AH2217" s="189"/>
      <c r="AI2217" s="45"/>
      <c r="AJ2217" s="45"/>
    </row>
    <row r="2218" spans="16:36" x14ac:dyDescent="0.2">
      <c r="P2218" s="73"/>
      <c r="AA2218" s="45"/>
      <c r="AB2218" s="45"/>
      <c r="AD2218" s="189"/>
      <c r="AE2218" s="189"/>
      <c r="AF2218" s="189"/>
      <c r="AG2218" s="189"/>
      <c r="AH2218" s="189"/>
      <c r="AI2218" s="45"/>
      <c r="AJ2218" s="45"/>
    </row>
    <row r="2219" spans="16:36" x14ac:dyDescent="0.2">
      <c r="P2219" s="73"/>
      <c r="AA2219" s="45"/>
      <c r="AB2219" s="45"/>
      <c r="AD2219" s="189"/>
      <c r="AE2219" s="189"/>
      <c r="AF2219" s="189"/>
      <c r="AG2219" s="189"/>
      <c r="AH2219" s="189"/>
      <c r="AI2219" s="45"/>
      <c r="AJ2219" s="45"/>
    </row>
    <row r="2220" spans="16:36" x14ac:dyDescent="0.2">
      <c r="P2220" s="73"/>
      <c r="AA2220" s="45"/>
      <c r="AB2220" s="45"/>
      <c r="AD2220" s="189"/>
      <c r="AE2220" s="189"/>
      <c r="AF2220" s="189"/>
      <c r="AG2220" s="189"/>
      <c r="AH2220" s="189"/>
      <c r="AI2220" s="45"/>
      <c r="AJ2220" s="45"/>
    </row>
    <row r="2221" spans="16:36" x14ac:dyDescent="0.2">
      <c r="P2221" s="73"/>
      <c r="AA2221" s="45"/>
      <c r="AB2221" s="45"/>
      <c r="AD2221" s="189"/>
      <c r="AE2221" s="189"/>
      <c r="AF2221" s="189"/>
      <c r="AG2221" s="189"/>
      <c r="AH2221" s="189"/>
      <c r="AI2221" s="45"/>
      <c r="AJ2221" s="45"/>
    </row>
    <row r="2222" spans="16:36" x14ac:dyDescent="0.2">
      <c r="P2222" s="73"/>
      <c r="AA2222" s="45"/>
      <c r="AB2222" s="45"/>
      <c r="AD2222" s="189"/>
      <c r="AE2222" s="189"/>
      <c r="AF2222" s="189"/>
      <c r="AG2222" s="189"/>
      <c r="AH2222" s="189"/>
      <c r="AI2222" s="45"/>
      <c r="AJ2222" s="45"/>
    </row>
    <row r="2223" spans="16:36" x14ac:dyDescent="0.2">
      <c r="P2223" s="73"/>
      <c r="AA2223" s="45"/>
      <c r="AB2223" s="45"/>
      <c r="AD2223" s="189"/>
      <c r="AE2223" s="189"/>
      <c r="AF2223" s="189"/>
      <c r="AG2223" s="189"/>
      <c r="AH2223" s="189"/>
      <c r="AI2223" s="45"/>
      <c r="AJ2223" s="45"/>
    </row>
    <row r="2224" spans="16:36" x14ac:dyDescent="0.2">
      <c r="P2224" s="73"/>
      <c r="AA2224" s="45"/>
      <c r="AB2224" s="45"/>
      <c r="AD2224" s="189"/>
      <c r="AE2224" s="189"/>
      <c r="AF2224" s="189"/>
      <c r="AG2224" s="189"/>
      <c r="AH2224" s="189"/>
      <c r="AI2224" s="45"/>
      <c r="AJ2224" s="45"/>
    </row>
    <row r="2225" spans="16:36" x14ac:dyDescent="0.2">
      <c r="P2225" s="73"/>
      <c r="AA2225" s="45"/>
      <c r="AB2225" s="45"/>
      <c r="AD2225" s="189"/>
      <c r="AE2225" s="189"/>
      <c r="AF2225" s="189"/>
      <c r="AG2225" s="189"/>
      <c r="AH2225" s="189"/>
      <c r="AI2225" s="45"/>
      <c r="AJ2225" s="45"/>
    </row>
    <row r="2226" spans="16:36" x14ac:dyDescent="0.2">
      <c r="P2226" s="73"/>
      <c r="AA2226" s="45"/>
      <c r="AB2226" s="45"/>
      <c r="AD2226" s="189"/>
      <c r="AE2226" s="189"/>
      <c r="AF2226" s="189"/>
      <c r="AG2226" s="189"/>
      <c r="AH2226" s="189"/>
      <c r="AI2226" s="45"/>
      <c r="AJ2226" s="45"/>
    </row>
    <row r="2227" spans="16:36" x14ac:dyDescent="0.2">
      <c r="P2227" s="73"/>
      <c r="AA2227" s="45"/>
      <c r="AB2227" s="45"/>
      <c r="AD2227" s="189"/>
      <c r="AE2227" s="189"/>
      <c r="AF2227" s="189"/>
      <c r="AG2227" s="189"/>
      <c r="AH2227" s="189"/>
      <c r="AI2227" s="45"/>
      <c r="AJ2227" s="45"/>
    </row>
    <row r="2228" spans="16:36" x14ac:dyDescent="0.2">
      <c r="P2228" s="73"/>
      <c r="AA2228" s="45"/>
      <c r="AB2228" s="45"/>
      <c r="AD2228" s="189"/>
      <c r="AE2228" s="189"/>
      <c r="AF2228" s="189"/>
      <c r="AG2228" s="189"/>
      <c r="AH2228" s="189"/>
      <c r="AI2228" s="45"/>
      <c r="AJ2228" s="45"/>
    </row>
    <row r="2229" spans="16:36" x14ac:dyDescent="0.2">
      <c r="P2229" s="73"/>
      <c r="AA2229" s="45"/>
      <c r="AB2229" s="45"/>
      <c r="AD2229" s="189"/>
      <c r="AE2229" s="189"/>
      <c r="AF2229" s="189"/>
      <c r="AG2229" s="189"/>
      <c r="AH2229" s="189"/>
      <c r="AI2229" s="45"/>
      <c r="AJ2229" s="45"/>
    </row>
    <row r="2230" spans="16:36" x14ac:dyDescent="0.2">
      <c r="P2230" s="73"/>
      <c r="AA2230" s="45"/>
      <c r="AB2230" s="45"/>
      <c r="AD2230" s="189"/>
      <c r="AE2230" s="189"/>
      <c r="AF2230" s="189"/>
      <c r="AG2230" s="189"/>
      <c r="AH2230" s="189"/>
      <c r="AI2230" s="45"/>
      <c r="AJ2230" s="45"/>
    </row>
    <row r="2231" spans="16:36" x14ac:dyDescent="0.2">
      <c r="P2231" s="73"/>
      <c r="AA2231" s="45"/>
      <c r="AB2231" s="45"/>
      <c r="AD2231" s="189"/>
      <c r="AE2231" s="189"/>
      <c r="AF2231" s="189"/>
      <c r="AG2231" s="189"/>
      <c r="AH2231" s="189"/>
      <c r="AI2231" s="45"/>
      <c r="AJ2231" s="45"/>
    </row>
    <row r="2232" spans="16:36" x14ac:dyDescent="0.2">
      <c r="P2232" s="73"/>
      <c r="AA2232" s="45"/>
      <c r="AB2232" s="45"/>
      <c r="AD2232" s="189"/>
      <c r="AE2232" s="189"/>
      <c r="AF2232" s="189"/>
      <c r="AG2232" s="189"/>
      <c r="AH2232" s="189"/>
      <c r="AI2232" s="45"/>
      <c r="AJ2232" s="45"/>
    </row>
    <row r="2233" spans="16:36" x14ac:dyDescent="0.2">
      <c r="P2233" s="73"/>
      <c r="AA2233" s="45"/>
      <c r="AB2233" s="45"/>
      <c r="AD2233" s="189"/>
      <c r="AE2233" s="189"/>
      <c r="AF2233" s="189"/>
      <c r="AG2233" s="189"/>
      <c r="AH2233" s="189"/>
      <c r="AI2233" s="45"/>
      <c r="AJ2233" s="45"/>
    </row>
    <row r="2234" spans="16:36" x14ac:dyDescent="0.2">
      <c r="P2234" s="73"/>
      <c r="AA2234" s="45"/>
      <c r="AB2234" s="45"/>
      <c r="AD2234" s="189"/>
      <c r="AE2234" s="189"/>
      <c r="AF2234" s="189"/>
      <c r="AG2234" s="189"/>
      <c r="AH2234" s="189"/>
      <c r="AI2234" s="45"/>
      <c r="AJ2234" s="45"/>
    </row>
    <row r="2235" spans="16:36" x14ac:dyDescent="0.2">
      <c r="P2235" s="73"/>
      <c r="AA2235" s="45"/>
      <c r="AB2235" s="45"/>
      <c r="AD2235" s="189"/>
      <c r="AE2235" s="189"/>
      <c r="AF2235" s="189"/>
      <c r="AG2235" s="189"/>
      <c r="AH2235" s="189"/>
      <c r="AI2235" s="45"/>
      <c r="AJ2235" s="45"/>
    </row>
    <row r="2236" spans="16:36" x14ac:dyDescent="0.2">
      <c r="P2236" s="73"/>
      <c r="AA2236" s="45"/>
      <c r="AB2236" s="45"/>
      <c r="AD2236" s="189"/>
      <c r="AE2236" s="189"/>
      <c r="AF2236" s="189"/>
      <c r="AG2236" s="189"/>
      <c r="AH2236" s="189"/>
      <c r="AI2236" s="45"/>
      <c r="AJ2236" s="45"/>
    </row>
    <row r="2237" spans="16:36" x14ac:dyDescent="0.2">
      <c r="P2237" s="73"/>
      <c r="AA2237" s="45"/>
      <c r="AB2237" s="45"/>
      <c r="AD2237" s="189"/>
      <c r="AE2237" s="189"/>
      <c r="AF2237" s="189"/>
      <c r="AG2237" s="189"/>
      <c r="AH2237" s="189"/>
      <c r="AI2237" s="45"/>
      <c r="AJ2237" s="45"/>
    </row>
    <row r="2238" spans="16:36" x14ac:dyDescent="0.2">
      <c r="P2238" s="73"/>
      <c r="AA2238" s="45"/>
      <c r="AB2238" s="45"/>
      <c r="AD2238" s="189"/>
      <c r="AE2238" s="189"/>
      <c r="AF2238" s="189"/>
      <c r="AG2238" s="189"/>
      <c r="AH2238" s="189"/>
      <c r="AI2238" s="45"/>
      <c r="AJ2238" s="45"/>
    </row>
    <row r="2239" spans="16:36" x14ac:dyDescent="0.2">
      <c r="P2239" s="73"/>
      <c r="AA2239" s="45"/>
      <c r="AB2239" s="45"/>
      <c r="AD2239" s="189"/>
      <c r="AE2239" s="189"/>
      <c r="AF2239" s="189"/>
      <c r="AG2239" s="189"/>
      <c r="AH2239" s="189"/>
      <c r="AI2239" s="45"/>
      <c r="AJ2239" s="45"/>
    </row>
    <row r="2240" spans="16:36" x14ac:dyDescent="0.2">
      <c r="P2240" s="73"/>
      <c r="AA2240" s="45"/>
      <c r="AB2240" s="45"/>
      <c r="AD2240" s="189"/>
      <c r="AE2240" s="189"/>
      <c r="AF2240" s="189"/>
      <c r="AG2240" s="189"/>
      <c r="AH2240" s="189"/>
      <c r="AI2240" s="45"/>
      <c r="AJ2240" s="45"/>
    </row>
    <row r="2241" spans="16:36" x14ac:dyDescent="0.2">
      <c r="P2241" s="73"/>
      <c r="AA2241" s="45"/>
      <c r="AB2241" s="45"/>
      <c r="AD2241" s="189"/>
      <c r="AE2241" s="189"/>
      <c r="AF2241" s="189"/>
      <c r="AG2241" s="189"/>
      <c r="AH2241" s="189"/>
      <c r="AI2241" s="45"/>
      <c r="AJ2241" s="45"/>
    </row>
    <row r="2242" spans="16:36" x14ac:dyDescent="0.2">
      <c r="P2242" s="73"/>
      <c r="AA2242" s="45"/>
      <c r="AB2242" s="45"/>
      <c r="AD2242" s="189"/>
      <c r="AE2242" s="189"/>
      <c r="AF2242" s="189"/>
      <c r="AG2242" s="189"/>
      <c r="AH2242" s="189"/>
      <c r="AI2242" s="45"/>
      <c r="AJ2242" s="45"/>
    </row>
    <row r="2243" spans="16:36" x14ac:dyDescent="0.2">
      <c r="P2243" s="73"/>
      <c r="AA2243" s="45"/>
      <c r="AB2243" s="45"/>
      <c r="AD2243" s="189"/>
      <c r="AE2243" s="189"/>
      <c r="AF2243" s="189"/>
      <c r="AG2243" s="189"/>
      <c r="AH2243" s="189"/>
      <c r="AI2243" s="45"/>
      <c r="AJ2243" s="45"/>
    </row>
    <row r="2244" spans="16:36" x14ac:dyDescent="0.2">
      <c r="P2244" s="73"/>
      <c r="AA2244" s="45"/>
      <c r="AB2244" s="45"/>
      <c r="AD2244" s="189"/>
      <c r="AE2244" s="189"/>
      <c r="AF2244" s="189"/>
      <c r="AG2244" s="189"/>
      <c r="AH2244" s="189"/>
      <c r="AI2244" s="45"/>
      <c r="AJ2244" s="45"/>
    </row>
    <row r="2245" spans="16:36" x14ac:dyDescent="0.2">
      <c r="P2245" s="73"/>
      <c r="AA2245" s="45"/>
      <c r="AB2245" s="45"/>
      <c r="AD2245" s="189"/>
      <c r="AE2245" s="189"/>
      <c r="AF2245" s="189"/>
      <c r="AG2245" s="189"/>
      <c r="AH2245" s="189"/>
      <c r="AI2245" s="45"/>
      <c r="AJ2245" s="45"/>
    </row>
    <row r="2246" spans="16:36" x14ac:dyDescent="0.2">
      <c r="P2246" s="73"/>
      <c r="AA2246" s="45"/>
      <c r="AB2246" s="45"/>
      <c r="AD2246" s="189"/>
      <c r="AE2246" s="189"/>
      <c r="AF2246" s="189"/>
      <c r="AG2246" s="189"/>
      <c r="AH2246" s="189"/>
      <c r="AI2246" s="45"/>
      <c r="AJ2246" s="45"/>
    </row>
    <row r="2247" spans="16:36" x14ac:dyDescent="0.2">
      <c r="P2247" s="73"/>
      <c r="AA2247" s="45"/>
      <c r="AB2247" s="45"/>
      <c r="AD2247" s="189"/>
      <c r="AE2247" s="189"/>
      <c r="AF2247" s="189"/>
      <c r="AG2247" s="189"/>
      <c r="AH2247" s="189"/>
      <c r="AI2247" s="45"/>
      <c r="AJ2247" s="45"/>
    </row>
    <row r="2248" spans="16:36" x14ac:dyDescent="0.2">
      <c r="P2248" s="73"/>
      <c r="AA2248" s="45"/>
      <c r="AB2248" s="45"/>
      <c r="AD2248" s="189"/>
      <c r="AE2248" s="189"/>
      <c r="AF2248" s="189"/>
      <c r="AG2248" s="189"/>
      <c r="AH2248" s="189"/>
      <c r="AI2248" s="45"/>
      <c r="AJ2248" s="45"/>
    </row>
    <row r="2249" spans="16:36" x14ac:dyDescent="0.2">
      <c r="P2249" s="73"/>
      <c r="AA2249" s="45"/>
      <c r="AB2249" s="45"/>
      <c r="AD2249" s="189"/>
      <c r="AE2249" s="189"/>
      <c r="AF2249" s="189"/>
      <c r="AG2249" s="189"/>
      <c r="AH2249" s="189"/>
      <c r="AI2249" s="45"/>
      <c r="AJ2249" s="45"/>
    </row>
    <row r="2250" spans="16:36" x14ac:dyDescent="0.2">
      <c r="P2250" s="73"/>
      <c r="AA2250" s="45"/>
      <c r="AB2250" s="45"/>
      <c r="AD2250" s="189"/>
      <c r="AE2250" s="189"/>
      <c r="AF2250" s="189"/>
      <c r="AG2250" s="189"/>
      <c r="AH2250" s="189"/>
      <c r="AI2250" s="45"/>
      <c r="AJ2250" s="45"/>
    </row>
    <row r="2251" spans="16:36" x14ac:dyDescent="0.2">
      <c r="P2251" s="73"/>
      <c r="AA2251" s="45"/>
      <c r="AB2251" s="45"/>
      <c r="AD2251" s="189"/>
      <c r="AE2251" s="189"/>
      <c r="AF2251" s="189"/>
      <c r="AG2251" s="189"/>
      <c r="AH2251" s="189"/>
      <c r="AI2251" s="45"/>
      <c r="AJ2251" s="45"/>
    </row>
    <row r="2252" spans="16:36" x14ac:dyDescent="0.2">
      <c r="P2252" s="73"/>
      <c r="AA2252" s="45"/>
      <c r="AB2252" s="45"/>
      <c r="AD2252" s="189"/>
      <c r="AE2252" s="189"/>
      <c r="AF2252" s="189"/>
      <c r="AG2252" s="189"/>
      <c r="AH2252" s="189"/>
      <c r="AI2252" s="45"/>
      <c r="AJ2252" s="45"/>
    </row>
    <row r="2253" spans="16:36" x14ac:dyDescent="0.2">
      <c r="P2253" s="73"/>
      <c r="AA2253" s="45"/>
      <c r="AB2253" s="45"/>
      <c r="AD2253" s="189"/>
      <c r="AE2253" s="189"/>
      <c r="AF2253" s="189"/>
      <c r="AG2253" s="189"/>
      <c r="AH2253" s="189"/>
      <c r="AI2253" s="45"/>
      <c r="AJ2253" s="45"/>
    </row>
    <row r="2254" spans="16:36" x14ac:dyDescent="0.2">
      <c r="P2254" s="73"/>
      <c r="AA2254" s="45"/>
      <c r="AB2254" s="45"/>
      <c r="AD2254" s="189"/>
      <c r="AE2254" s="189"/>
      <c r="AF2254" s="189"/>
      <c r="AG2254" s="189"/>
      <c r="AH2254" s="189"/>
      <c r="AI2254" s="45"/>
      <c r="AJ2254" s="45"/>
    </row>
    <row r="2255" spans="16:36" x14ac:dyDescent="0.2">
      <c r="P2255" s="73"/>
      <c r="AA2255" s="45"/>
      <c r="AB2255" s="45"/>
      <c r="AD2255" s="189"/>
      <c r="AE2255" s="189"/>
      <c r="AF2255" s="189"/>
      <c r="AG2255" s="189"/>
      <c r="AH2255" s="189"/>
      <c r="AI2255" s="45"/>
      <c r="AJ2255" s="45"/>
    </row>
    <row r="2256" spans="16:36" x14ac:dyDescent="0.2">
      <c r="P2256" s="73"/>
      <c r="AA2256" s="45"/>
      <c r="AB2256" s="45"/>
      <c r="AD2256" s="189"/>
      <c r="AE2256" s="189"/>
      <c r="AF2256" s="189"/>
      <c r="AG2256" s="189"/>
      <c r="AH2256" s="189"/>
      <c r="AI2256" s="45"/>
      <c r="AJ2256" s="45"/>
    </row>
    <row r="2257" spans="16:36" x14ac:dyDescent="0.2">
      <c r="P2257" s="73"/>
      <c r="AA2257" s="45"/>
      <c r="AB2257" s="45"/>
      <c r="AD2257" s="189"/>
      <c r="AE2257" s="189"/>
      <c r="AF2257" s="189"/>
      <c r="AG2257" s="189"/>
      <c r="AH2257" s="189"/>
      <c r="AI2257" s="45"/>
      <c r="AJ2257" s="45"/>
    </row>
    <row r="2258" spans="16:36" x14ac:dyDescent="0.2">
      <c r="P2258" s="73"/>
      <c r="AA2258" s="45"/>
      <c r="AB2258" s="45"/>
      <c r="AD2258" s="189"/>
      <c r="AE2258" s="189"/>
      <c r="AF2258" s="189"/>
      <c r="AG2258" s="189"/>
      <c r="AH2258" s="189"/>
      <c r="AI2258" s="45"/>
      <c r="AJ2258" s="45"/>
    </row>
    <row r="2259" spans="16:36" x14ac:dyDescent="0.2">
      <c r="P2259" s="73"/>
      <c r="AA2259" s="45"/>
      <c r="AB2259" s="45"/>
      <c r="AD2259" s="189"/>
      <c r="AE2259" s="189"/>
      <c r="AF2259" s="189"/>
      <c r="AG2259" s="189"/>
      <c r="AH2259" s="189"/>
      <c r="AI2259" s="45"/>
      <c r="AJ2259" s="45"/>
    </row>
    <row r="2260" spans="16:36" x14ac:dyDescent="0.2">
      <c r="P2260" s="73"/>
      <c r="AA2260" s="45"/>
      <c r="AB2260" s="45"/>
      <c r="AD2260" s="189"/>
      <c r="AE2260" s="189"/>
      <c r="AF2260" s="189"/>
      <c r="AG2260" s="189"/>
      <c r="AH2260" s="189"/>
      <c r="AI2260" s="45"/>
      <c r="AJ2260" s="45"/>
    </row>
    <row r="2261" spans="16:36" x14ac:dyDescent="0.2">
      <c r="P2261" s="73"/>
      <c r="AA2261" s="45"/>
      <c r="AB2261" s="45"/>
      <c r="AD2261" s="189"/>
      <c r="AE2261" s="189"/>
      <c r="AF2261" s="189"/>
      <c r="AG2261" s="189"/>
      <c r="AH2261" s="189"/>
      <c r="AI2261" s="45"/>
      <c r="AJ2261" s="45"/>
    </row>
    <row r="2262" spans="16:36" x14ac:dyDescent="0.2">
      <c r="P2262" s="73"/>
      <c r="AA2262" s="45"/>
      <c r="AB2262" s="45"/>
      <c r="AD2262" s="189"/>
      <c r="AE2262" s="189"/>
      <c r="AF2262" s="189"/>
      <c r="AG2262" s="189"/>
      <c r="AH2262" s="189"/>
      <c r="AI2262" s="45"/>
      <c r="AJ2262" s="45"/>
    </row>
    <row r="2263" spans="16:36" x14ac:dyDescent="0.2">
      <c r="P2263" s="73"/>
      <c r="AA2263" s="45"/>
      <c r="AB2263" s="45"/>
      <c r="AD2263" s="189"/>
      <c r="AE2263" s="189"/>
      <c r="AF2263" s="189"/>
      <c r="AG2263" s="189"/>
      <c r="AH2263" s="189"/>
      <c r="AI2263" s="45"/>
      <c r="AJ2263" s="45"/>
    </row>
    <row r="2264" spans="16:36" x14ac:dyDescent="0.2">
      <c r="P2264" s="73"/>
      <c r="AA2264" s="45"/>
      <c r="AB2264" s="45"/>
      <c r="AD2264" s="189"/>
      <c r="AE2264" s="189"/>
      <c r="AF2264" s="189"/>
      <c r="AG2264" s="189"/>
      <c r="AH2264" s="189"/>
      <c r="AI2264" s="45"/>
      <c r="AJ2264" s="45"/>
    </row>
    <row r="2265" spans="16:36" x14ac:dyDescent="0.2">
      <c r="P2265" s="73"/>
      <c r="AA2265" s="45"/>
      <c r="AB2265" s="45"/>
      <c r="AD2265" s="189"/>
      <c r="AE2265" s="189"/>
      <c r="AF2265" s="189"/>
      <c r="AG2265" s="189"/>
      <c r="AH2265" s="189"/>
      <c r="AI2265" s="45"/>
      <c r="AJ2265" s="45"/>
    </row>
    <row r="2266" spans="16:36" x14ac:dyDescent="0.2">
      <c r="P2266" s="73"/>
      <c r="AA2266" s="45"/>
      <c r="AB2266" s="45"/>
      <c r="AD2266" s="189"/>
      <c r="AE2266" s="189"/>
      <c r="AF2266" s="189"/>
      <c r="AG2266" s="189"/>
      <c r="AH2266" s="189"/>
      <c r="AI2266" s="45"/>
      <c r="AJ2266" s="45"/>
    </row>
    <row r="2267" spans="16:36" x14ac:dyDescent="0.2">
      <c r="P2267" s="73"/>
      <c r="AA2267" s="45"/>
      <c r="AB2267" s="45"/>
      <c r="AD2267" s="189"/>
      <c r="AE2267" s="189"/>
      <c r="AF2267" s="189"/>
      <c r="AG2267" s="189"/>
      <c r="AH2267" s="189"/>
      <c r="AI2267" s="45"/>
      <c r="AJ2267" s="45"/>
    </row>
    <row r="2268" spans="16:36" x14ac:dyDescent="0.2">
      <c r="P2268" s="73"/>
      <c r="AA2268" s="45"/>
      <c r="AB2268" s="45"/>
      <c r="AD2268" s="189"/>
      <c r="AE2268" s="189"/>
      <c r="AF2268" s="189"/>
      <c r="AG2268" s="189"/>
      <c r="AH2268" s="189"/>
      <c r="AI2268" s="45"/>
      <c r="AJ2268" s="45"/>
    </row>
    <row r="2269" spans="16:36" x14ac:dyDescent="0.2">
      <c r="P2269" s="73"/>
      <c r="AA2269" s="45"/>
      <c r="AB2269" s="45"/>
      <c r="AD2269" s="189"/>
      <c r="AE2269" s="189"/>
      <c r="AF2269" s="189"/>
      <c r="AG2269" s="189"/>
      <c r="AH2269" s="189"/>
      <c r="AI2269" s="45"/>
      <c r="AJ2269" s="45"/>
    </row>
    <row r="2270" spans="16:36" x14ac:dyDescent="0.2">
      <c r="P2270" s="73"/>
      <c r="AA2270" s="45"/>
      <c r="AB2270" s="45"/>
      <c r="AD2270" s="189"/>
      <c r="AE2270" s="189"/>
      <c r="AF2270" s="189"/>
      <c r="AG2270" s="189"/>
      <c r="AH2270" s="189"/>
      <c r="AI2270" s="45"/>
      <c r="AJ2270" s="45"/>
    </row>
    <row r="2271" spans="16:36" x14ac:dyDescent="0.2">
      <c r="P2271" s="73"/>
      <c r="AA2271" s="45"/>
      <c r="AB2271" s="45"/>
      <c r="AD2271" s="189"/>
      <c r="AE2271" s="189"/>
      <c r="AF2271" s="189"/>
      <c r="AG2271" s="189"/>
      <c r="AH2271" s="189"/>
      <c r="AI2271" s="45"/>
      <c r="AJ2271" s="45"/>
    </row>
    <row r="2272" spans="16:36" x14ac:dyDescent="0.2">
      <c r="P2272" s="73"/>
      <c r="AA2272" s="45"/>
      <c r="AB2272" s="45"/>
      <c r="AD2272" s="189"/>
      <c r="AE2272" s="189"/>
      <c r="AF2272" s="189"/>
      <c r="AG2272" s="189"/>
      <c r="AH2272" s="189"/>
      <c r="AI2272" s="45"/>
      <c r="AJ2272" s="45"/>
    </row>
    <row r="2273" spans="16:36" x14ac:dyDescent="0.2">
      <c r="P2273" s="73"/>
      <c r="AA2273" s="45"/>
      <c r="AB2273" s="45"/>
      <c r="AD2273" s="189"/>
      <c r="AE2273" s="189"/>
      <c r="AF2273" s="189"/>
      <c r="AG2273" s="189"/>
      <c r="AH2273" s="189"/>
      <c r="AI2273" s="45"/>
      <c r="AJ2273" s="45"/>
    </row>
    <row r="2274" spans="16:36" x14ac:dyDescent="0.2">
      <c r="P2274" s="73"/>
      <c r="AA2274" s="45"/>
      <c r="AB2274" s="45"/>
      <c r="AD2274" s="189"/>
      <c r="AE2274" s="189"/>
      <c r="AF2274" s="189"/>
      <c r="AG2274" s="189"/>
      <c r="AH2274" s="189"/>
      <c r="AI2274" s="45"/>
      <c r="AJ2274" s="45"/>
    </row>
    <row r="2275" spans="16:36" x14ac:dyDescent="0.2">
      <c r="P2275" s="73"/>
      <c r="AA2275" s="45"/>
      <c r="AB2275" s="45"/>
      <c r="AD2275" s="189"/>
      <c r="AE2275" s="189"/>
      <c r="AF2275" s="189"/>
      <c r="AG2275" s="189"/>
      <c r="AH2275" s="189"/>
      <c r="AI2275" s="45"/>
      <c r="AJ2275" s="45"/>
    </row>
    <row r="2276" spans="16:36" x14ac:dyDescent="0.2">
      <c r="P2276" s="73"/>
      <c r="AA2276" s="45"/>
      <c r="AB2276" s="45"/>
      <c r="AD2276" s="189"/>
      <c r="AE2276" s="189"/>
      <c r="AF2276" s="189"/>
      <c r="AG2276" s="189"/>
      <c r="AH2276" s="189"/>
      <c r="AI2276" s="45"/>
      <c r="AJ2276" s="45"/>
    </row>
    <row r="2277" spans="16:36" x14ac:dyDescent="0.2">
      <c r="P2277" s="73"/>
      <c r="AA2277" s="45"/>
      <c r="AB2277" s="45"/>
      <c r="AD2277" s="189"/>
      <c r="AE2277" s="189"/>
      <c r="AF2277" s="189"/>
      <c r="AG2277" s="189"/>
      <c r="AH2277" s="189"/>
      <c r="AI2277" s="45"/>
      <c r="AJ2277" s="45"/>
    </row>
    <row r="2278" spans="16:36" x14ac:dyDescent="0.2">
      <c r="P2278" s="73"/>
      <c r="AA2278" s="45"/>
      <c r="AB2278" s="45"/>
      <c r="AD2278" s="189"/>
      <c r="AE2278" s="189"/>
      <c r="AF2278" s="189"/>
      <c r="AG2278" s="189"/>
      <c r="AH2278" s="189"/>
      <c r="AI2278" s="45"/>
      <c r="AJ2278" s="45"/>
    </row>
    <row r="2279" spans="16:36" x14ac:dyDescent="0.2">
      <c r="P2279" s="73"/>
      <c r="AA2279" s="45"/>
      <c r="AB2279" s="45"/>
      <c r="AD2279" s="189"/>
      <c r="AE2279" s="189"/>
      <c r="AF2279" s="189"/>
      <c r="AG2279" s="189"/>
      <c r="AH2279" s="189"/>
      <c r="AI2279" s="45"/>
      <c r="AJ2279" s="45"/>
    </row>
    <row r="2280" spans="16:36" x14ac:dyDescent="0.2">
      <c r="P2280" s="73"/>
      <c r="AA2280" s="45"/>
      <c r="AB2280" s="45"/>
      <c r="AD2280" s="189"/>
      <c r="AE2280" s="189"/>
      <c r="AF2280" s="189"/>
      <c r="AG2280" s="189"/>
      <c r="AH2280" s="189"/>
      <c r="AI2280" s="45"/>
      <c r="AJ2280" s="45"/>
    </row>
    <row r="2281" spans="16:36" x14ac:dyDescent="0.2">
      <c r="P2281" s="73"/>
      <c r="AA2281" s="45"/>
      <c r="AB2281" s="45"/>
      <c r="AD2281" s="189"/>
      <c r="AE2281" s="189"/>
      <c r="AF2281" s="189"/>
      <c r="AG2281" s="189"/>
      <c r="AH2281" s="189"/>
      <c r="AI2281" s="45"/>
      <c r="AJ2281" s="45"/>
    </row>
    <row r="2282" spans="16:36" x14ac:dyDescent="0.2">
      <c r="P2282" s="73"/>
      <c r="AA2282" s="45"/>
      <c r="AB2282" s="45"/>
      <c r="AD2282" s="189"/>
      <c r="AE2282" s="189"/>
      <c r="AF2282" s="189"/>
      <c r="AG2282" s="189"/>
      <c r="AH2282" s="189"/>
      <c r="AI2282" s="45"/>
      <c r="AJ2282" s="45"/>
    </row>
    <row r="2283" spans="16:36" x14ac:dyDescent="0.2">
      <c r="P2283" s="73"/>
      <c r="AA2283" s="45"/>
      <c r="AB2283" s="45"/>
      <c r="AD2283" s="189"/>
      <c r="AE2283" s="189"/>
      <c r="AF2283" s="189"/>
      <c r="AG2283" s="189"/>
      <c r="AH2283" s="189"/>
      <c r="AI2283" s="45"/>
      <c r="AJ2283" s="45"/>
    </row>
    <row r="2284" spans="16:36" x14ac:dyDescent="0.2">
      <c r="P2284" s="73"/>
      <c r="AA2284" s="45"/>
      <c r="AB2284" s="45"/>
      <c r="AD2284" s="189"/>
      <c r="AE2284" s="189"/>
      <c r="AF2284" s="189"/>
      <c r="AG2284" s="189"/>
      <c r="AH2284" s="189"/>
      <c r="AI2284" s="45"/>
      <c r="AJ2284" s="45"/>
    </row>
    <row r="2285" spans="16:36" x14ac:dyDescent="0.2">
      <c r="P2285" s="73"/>
      <c r="AA2285" s="45"/>
      <c r="AB2285" s="45"/>
      <c r="AD2285" s="189"/>
      <c r="AE2285" s="189"/>
      <c r="AF2285" s="189"/>
      <c r="AG2285" s="189"/>
      <c r="AH2285" s="189"/>
      <c r="AI2285" s="45"/>
      <c r="AJ2285" s="45"/>
    </row>
    <row r="2286" spans="16:36" x14ac:dyDescent="0.2">
      <c r="P2286" s="73"/>
      <c r="AA2286" s="45"/>
      <c r="AB2286" s="45"/>
      <c r="AD2286" s="189"/>
      <c r="AE2286" s="189"/>
      <c r="AF2286" s="189"/>
      <c r="AG2286" s="189"/>
      <c r="AH2286" s="189"/>
      <c r="AI2286" s="45"/>
      <c r="AJ2286" s="45"/>
    </row>
    <row r="2287" spans="16:36" x14ac:dyDescent="0.2">
      <c r="P2287" s="73"/>
      <c r="AA2287" s="45"/>
      <c r="AB2287" s="45"/>
      <c r="AD2287" s="189"/>
      <c r="AE2287" s="189"/>
      <c r="AF2287" s="189"/>
      <c r="AG2287" s="189"/>
      <c r="AH2287" s="189"/>
      <c r="AI2287" s="45"/>
      <c r="AJ2287" s="45"/>
    </row>
    <row r="2288" spans="16:36" x14ac:dyDescent="0.2">
      <c r="P2288" s="73"/>
      <c r="AA2288" s="45"/>
      <c r="AB2288" s="45"/>
      <c r="AD2288" s="189"/>
      <c r="AE2288" s="189"/>
      <c r="AF2288" s="189"/>
      <c r="AG2288" s="189"/>
      <c r="AH2288" s="189"/>
      <c r="AI2288" s="45"/>
      <c r="AJ2288" s="45"/>
    </row>
    <row r="2289" spans="16:36" x14ac:dyDescent="0.2">
      <c r="P2289" s="73"/>
      <c r="AA2289" s="45"/>
      <c r="AB2289" s="45"/>
      <c r="AD2289" s="189"/>
      <c r="AE2289" s="189"/>
      <c r="AF2289" s="189"/>
      <c r="AG2289" s="189"/>
      <c r="AH2289" s="189"/>
      <c r="AI2289" s="45"/>
      <c r="AJ2289" s="45"/>
    </row>
    <row r="2290" spans="16:36" x14ac:dyDescent="0.2">
      <c r="P2290" s="73"/>
      <c r="AA2290" s="45"/>
      <c r="AB2290" s="45"/>
      <c r="AD2290" s="189"/>
      <c r="AE2290" s="189"/>
      <c r="AF2290" s="189"/>
      <c r="AG2290" s="189"/>
      <c r="AH2290" s="189"/>
      <c r="AI2290" s="45"/>
      <c r="AJ2290" s="45"/>
    </row>
    <row r="2291" spans="16:36" x14ac:dyDescent="0.2">
      <c r="P2291" s="73"/>
      <c r="AA2291" s="45"/>
      <c r="AB2291" s="45"/>
      <c r="AD2291" s="189"/>
      <c r="AE2291" s="189"/>
      <c r="AF2291" s="189"/>
      <c r="AG2291" s="189"/>
      <c r="AH2291" s="189"/>
      <c r="AI2291" s="45"/>
      <c r="AJ2291" s="45"/>
    </row>
    <row r="2292" spans="16:36" x14ac:dyDescent="0.2">
      <c r="P2292" s="73"/>
      <c r="AA2292" s="45"/>
      <c r="AB2292" s="45"/>
      <c r="AD2292" s="189"/>
      <c r="AE2292" s="189"/>
      <c r="AF2292" s="189"/>
      <c r="AG2292" s="189"/>
      <c r="AH2292" s="189"/>
      <c r="AI2292" s="45"/>
      <c r="AJ2292" s="45"/>
    </row>
    <row r="2293" spans="16:36" x14ac:dyDescent="0.2">
      <c r="P2293" s="73"/>
      <c r="AA2293" s="45"/>
      <c r="AB2293" s="45"/>
      <c r="AD2293" s="189"/>
      <c r="AE2293" s="189"/>
      <c r="AF2293" s="189"/>
      <c r="AG2293" s="189"/>
      <c r="AH2293" s="189"/>
      <c r="AI2293" s="45"/>
      <c r="AJ2293" s="45"/>
    </row>
    <row r="2294" spans="16:36" x14ac:dyDescent="0.2">
      <c r="P2294" s="73"/>
      <c r="AA2294" s="45"/>
      <c r="AB2294" s="45"/>
      <c r="AD2294" s="189"/>
      <c r="AE2294" s="189"/>
      <c r="AF2294" s="189"/>
      <c r="AG2294" s="189"/>
      <c r="AH2294" s="189"/>
      <c r="AI2294" s="45"/>
      <c r="AJ2294" s="45"/>
    </row>
    <row r="2295" spans="16:36" x14ac:dyDescent="0.2">
      <c r="P2295" s="73"/>
      <c r="AA2295" s="45"/>
      <c r="AB2295" s="45"/>
      <c r="AD2295" s="189"/>
      <c r="AE2295" s="189"/>
      <c r="AF2295" s="189"/>
      <c r="AG2295" s="189"/>
      <c r="AH2295" s="189"/>
      <c r="AI2295" s="45"/>
      <c r="AJ2295" s="45"/>
    </row>
    <row r="2296" spans="16:36" x14ac:dyDescent="0.2">
      <c r="P2296" s="73"/>
      <c r="AA2296" s="45"/>
      <c r="AB2296" s="45"/>
      <c r="AD2296" s="189"/>
      <c r="AE2296" s="189"/>
      <c r="AF2296" s="189"/>
      <c r="AG2296" s="189"/>
      <c r="AH2296" s="189"/>
      <c r="AI2296" s="45"/>
      <c r="AJ2296" s="45"/>
    </row>
    <row r="2297" spans="16:36" x14ac:dyDescent="0.2">
      <c r="P2297" s="73"/>
      <c r="AA2297" s="45"/>
      <c r="AB2297" s="45"/>
      <c r="AD2297" s="189"/>
      <c r="AE2297" s="189"/>
      <c r="AF2297" s="189"/>
      <c r="AG2297" s="189"/>
      <c r="AH2297" s="189"/>
      <c r="AI2297" s="45"/>
      <c r="AJ2297" s="45"/>
    </row>
    <row r="2298" spans="16:36" x14ac:dyDescent="0.2">
      <c r="P2298" s="73"/>
      <c r="AA2298" s="45"/>
      <c r="AB2298" s="45"/>
      <c r="AD2298" s="189"/>
      <c r="AE2298" s="189"/>
      <c r="AF2298" s="189"/>
      <c r="AG2298" s="189"/>
      <c r="AH2298" s="189"/>
      <c r="AI2298" s="45"/>
      <c r="AJ2298" s="45"/>
    </row>
    <row r="2299" spans="16:36" x14ac:dyDescent="0.2">
      <c r="P2299" s="73"/>
      <c r="AA2299" s="45"/>
      <c r="AB2299" s="45"/>
      <c r="AD2299" s="189"/>
      <c r="AE2299" s="189"/>
      <c r="AF2299" s="189"/>
      <c r="AG2299" s="189"/>
      <c r="AH2299" s="189"/>
      <c r="AI2299" s="45"/>
      <c r="AJ2299" s="45"/>
    </row>
    <row r="2300" spans="16:36" x14ac:dyDescent="0.2">
      <c r="P2300" s="73"/>
      <c r="AA2300" s="45"/>
      <c r="AB2300" s="45"/>
      <c r="AD2300" s="189"/>
      <c r="AE2300" s="189"/>
      <c r="AF2300" s="189"/>
      <c r="AG2300" s="189"/>
      <c r="AH2300" s="189"/>
      <c r="AI2300" s="45"/>
      <c r="AJ2300" s="45"/>
    </row>
    <row r="2301" spans="16:36" x14ac:dyDescent="0.2">
      <c r="P2301" s="73"/>
      <c r="AA2301" s="45"/>
      <c r="AB2301" s="45"/>
      <c r="AD2301" s="189"/>
      <c r="AE2301" s="189"/>
      <c r="AF2301" s="189"/>
      <c r="AG2301" s="189"/>
      <c r="AH2301" s="189"/>
      <c r="AI2301" s="45"/>
      <c r="AJ2301" s="45"/>
    </row>
    <row r="2302" spans="16:36" x14ac:dyDescent="0.2">
      <c r="P2302" s="73"/>
      <c r="AA2302" s="45"/>
      <c r="AB2302" s="45"/>
      <c r="AD2302" s="189"/>
      <c r="AE2302" s="189"/>
      <c r="AF2302" s="189"/>
      <c r="AG2302" s="189"/>
      <c r="AH2302" s="189"/>
      <c r="AI2302" s="45"/>
      <c r="AJ2302" s="45"/>
    </row>
    <row r="2303" spans="16:36" x14ac:dyDescent="0.2">
      <c r="P2303" s="73"/>
      <c r="AA2303" s="45"/>
      <c r="AB2303" s="45"/>
      <c r="AD2303" s="189"/>
      <c r="AE2303" s="189"/>
      <c r="AF2303" s="189"/>
      <c r="AG2303" s="189"/>
      <c r="AH2303" s="189"/>
      <c r="AI2303" s="45"/>
      <c r="AJ2303" s="45"/>
    </row>
    <row r="2304" spans="16:36" x14ac:dyDescent="0.2">
      <c r="P2304" s="73"/>
      <c r="AA2304" s="45"/>
      <c r="AB2304" s="45"/>
      <c r="AD2304" s="189"/>
      <c r="AE2304" s="189"/>
      <c r="AF2304" s="189"/>
      <c r="AG2304" s="189"/>
      <c r="AH2304" s="189"/>
      <c r="AI2304" s="45"/>
      <c r="AJ2304" s="45"/>
    </row>
    <row r="2305" spans="16:36" x14ac:dyDescent="0.2">
      <c r="P2305" s="73"/>
      <c r="AA2305" s="45"/>
      <c r="AB2305" s="45"/>
      <c r="AD2305" s="189"/>
      <c r="AE2305" s="189"/>
      <c r="AF2305" s="189"/>
      <c r="AG2305" s="189"/>
      <c r="AH2305" s="189"/>
      <c r="AI2305" s="45"/>
      <c r="AJ2305" s="45"/>
    </row>
    <row r="2306" spans="16:36" x14ac:dyDescent="0.2">
      <c r="P2306" s="73"/>
      <c r="AA2306" s="45"/>
      <c r="AB2306" s="45"/>
      <c r="AD2306" s="189"/>
      <c r="AE2306" s="189"/>
      <c r="AF2306" s="189"/>
      <c r="AG2306" s="189"/>
      <c r="AH2306" s="189"/>
      <c r="AI2306" s="45"/>
      <c r="AJ2306" s="45"/>
    </row>
    <row r="2307" spans="16:36" x14ac:dyDescent="0.2">
      <c r="P2307" s="73"/>
      <c r="AA2307" s="45"/>
      <c r="AB2307" s="45"/>
      <c r="AD2307" s="189"/>
      <c r="AE2307" s="189"/>
      <c r="AF2307" s="189"/>
      <c r="AG2307" s="189"/>
      <c r="AH2307" s="189"/>
      <c r="AI2307" s="45"/>
      <c r="AJ2307" s="45"/>
    </row>
    <row r="2308" spans="16:36" x14ac:dyDescent="0.2">
      <c r="P2308" s="73"/>
      <c r="AA2308" s="45"/>
      <c r="AB2308" s="45"/>
      <c r="AD2308" s="189"/>
      <c r="AE2308" s="189"/>
      <c r="AF2308" s="189"/>
      <c r="AG2308" s="189"/>
      <c r="AH2308" s="189"/>
      <c r="AI2308" s="45"/>
      <c r="AJ2308" s="45"/>
    </row>
    <row r="2309" spans="16:36" x14ac:dyDescent="0.2">
      <c r="P2309" s="73"/>
      <c r="AA2309" s="45"/>
      <c r="AB2309" s="45"/>
      <c r="AD2309" s="189"/>
      <c r="AE2309" s="189"/>
      <c r="AF2309" s="189"/>
      <c r="AG2309" s="189"/>
      <c r="AH2309" s="189"/>
      <c r="AI2309" s="45"/>
      <c r="AJ2309" s="45"/>
    </row>
    <row r="2310" spans="16:36" x14ac:dyDescent="0.2">
      <c r="P2310" s="73"/>
      <c r="AA2310" s="45"/>
      <c r="AB2310" s="45"/>
      <c r="AD2310" s="189"/>
      <c r="AE2310" s="189"/>
      <c r="AF2310" s="189"/>
      <c r="AG2310" s="189"/>
      <c r="AH2310" s="189"/>
      <c r="AI2310" s="45"/>
      <c r="AJ2310" s="45"/>
    </row>
    <row r="2311" spans="16:36" x14ac:dyDescent="0.2">
      <c r="P2311" s="73"/>
      <c r="AA2311" s="45"/>
      <c r="AB2311" s="45"/>
      <c r="AD2311" s="189"/>
      <c r="AE2311" s="189"/>
      <c r="AF2311" s="189"/>
      <c r="AG2311" s="189"/>
      <c r="AH2311" s="189"/>
      <c r="AI2311" s="45"/>
      <c r="AJ2311" s="45"/>
    </row>
    <row r="2312" spans="16:36" x14ac:dyDescent="0.2">
      <c r="P2312" s="73"/>
      <c r="AA2312" s="45"/>
      <c r="AB2312" s="45"/>
      <c r="AD2312" s="189"/>
      <c r="AE2312" s="189"/>
      <c r="AF2312" s="189"/>
      <c r="AG2312" s="189"/>
      <c r="AH2312" s="189"/>
      <c r="AI2312" s="45"/>
      <c r="AJ2312" s="45"/>
    </row>
    <row r="2313" spans="16:36" x14ac:dyDescent="0.2">
      <c r="P2313" s="73"/>
      <c r="AA2313" s="45"/>
      <c r="AB2313" s="45"/>
      <c r="AD2313" s="189"/>
      <c r="AE2313" s="189"/>
      <c r="AF2313" s="189"/>
      <c r="AG2313" s="189"/>
      <c r="AH2313" s="189"/>
      <c r="AI2313" s="45"/>
      <c r="AJ2313" s="45"/>
    </row>
    <row r="2314" spans="16:36" x14ac:dyDescent="0.2">
      <c r="P2314" s="73"/>
      <c r="AA2314" s="45"/>
      <c r="AB2314" s="45"/>
      <c r="AD2314" s="189"/>
      <c r="AE2314" s="189"/>
      <c r="AF2314" s="189"/>
      <c r="AG2314" s="189"/>
      <c r="AH2314" s="189"/>
      <c r="AI2314" s="45"/>
      <c r="AJ2314" s="45"/>
    </row>
    <row r="2315" spans="16:36" x14ac:dyDescent="0.2">
      <c r="P2315" s="73"/>
      <c r="AA2315" s="45"/>
      <c r="AB2315" s="45"/>
      <c r="AD2315" s="189"/>
      <c r="AE2315" s="189"/>
      <c r="AF2315" s="189"/>
      <c r="AG2315" s="189"/>
      <c r="AH2315" s="189"/>
      <c r="AI2315" s="45"/>
      <c r="AJ2315" s="45"/>
    </row>
    <row r="2316" spans="16:36" x14ac:dyDescent="0.2">
      <c r="P2316" s="73"/>
      <c r="AA2316" s="45"/>
      <c r="AB2316" s="45"/>
      <c r="AD2316" s="189"/>
      <c r="AE2316" s="189"/>
      <c r="AF2316" s="189"/>
      <c r="AG2316" s="189"/>
      <c r="AH2316" s="189"/>
      <c r="AI2316" s="45"/>
      <c r="AJ2316" s="45"/>
    </row>
    <row r="2317" spans="16:36" x14ac:dyDescent="0.2">
      <c r="P2317" s="73"/>
      <c r="AA2317" s="45"/>
      <c r="AB2317" s="45"/>
      <c r="AD2317" s="189"/>
      <c r="AE2317" s="189"/>
      <c r="AF2317" s="189"/>
      <c r="AG2317" s="189"/>
      <c r="AH2317" s="189"/>
      <c r="AI2317" s="45"/>
      <c r="AJ2317" s="45"/>
    </row>
    <row r="2318" spans="16:36" x14ac:dyDescent="0.2">
      <c r="P2318" s="73"/>
      <c r="AA2318" s="45"/>
      <c r="AB2318" s="45"/>
      <c r="AD2318" s="189"/>
      <c r="AE2318" s="189"/>
      <c r="AF2318" s="189"/>
      <c r="AG2318" s="189"/>
      <c r="AH2318" s="189"/>
      <c r="AI2318" s="45"/>
      <c r="AJ2318" s="45"/>
    </row>
    <row r="2319" spans="16:36" x14ac:dyDescent="0.2">
      <c r="P2319" s="73"/>
      <c r="AA2319" s="45"/>
      <c r="AB2319" s="45"/>
      <c r="AD2319" s="189"/>
      <c r="AE2319" s="189"/>
      <c r="AF2319" s="189"/>
      <c r="AG2319" s="189"/>
      <c r="AH2319" s="189"/>
      <c r="AI2319" s="45"/>
      <c r="AJ2319" s="45"/>
    </row>
    <row r="2320" spans="16:36" x14ac:dyDescent="0.2">
      <c r="P2320" s="73"/>
      <c r="AA2320" s="45"/>
      <c r="AB2320" s="45"/>
      <c r="AD2320" s="189"/>
      <c r="AE2320" s="189"/>
      <c r="AF2320" s="189"/>
      <c r="AG2320" s="189"/>
      <c r="AH2320" s="189"/>
      <c r="AI2320" s="45"/>
      <c r="AJ2320" s="45"/>
    </row>
    <row r="2321" spans="16:36" x14ac:dyDescent="0.2">
      <c r="P2321" s="73"/>
      <c r="AA2321" s="45"/>
      <c r="AB2321" s="45"/>
      <c r="AD2321" s="189"/>
      <c r="AE2321" s="189"/>
      <c r="AF2321" s="189"/>
      <c r="AG2321" s="189"/>
      <c r="AH2321" s="189"/>
      <c r="AI2321" s="45"/>
      <c r="AJ2321" s="45"/>
    </row>
    <row r="2322" spans="16:36" x14ac:dyDescent="0.2">
      <c r="P2322" s="73"/>
      <c r="AA2322" s="45"/>
      <c r="AB2322" s="45"/>
      <c r="AD2322" s="189"/>
      <c r="AE2322" s="189"/>
      <c r="AF2322" s="189"/>
      <c r="AG2322" s="189"/>
      <c r="AH2322" s="189"/>
      <c r="AI2322" s="45"/>
      <c r="AJ2322" s="45"/>
    </row>
    <row r="2323" spans="16:36" x14ac:dyDescent="0.2">
      <c r="P2323" s="73"/>
      <c r="AA2323" s="45"/>
      <c r="AB2323" s="45"/>
      <c r="AD2323" s="189"/>
      <c r="AE2323" s="189"/>
      <c r="AF2323" s="189"/>
      <c r="AG2323" s="189"/>
      <c r="AH2323" s="189"/>
      <c r="AI2323" s="45"/>
      <c r="AJ2323" s="45"/>
    </row>
    <row r="2324" spans="16:36" x14ac:dyDescent="0.2">
      <c r="P2324" s="73"/>
      <c r="AA2324" s="45"/>
      <c r="AB2324" s="45"/>
      <c r="AD2324" s="189"/>
      <c r="AE2324" s="189"/>
      <c r="AF2324" s="189"/>
      <c r="AG2324" s="189"/>
      <c r="AH2324" s="189"/>
      <c r="AI2324" s="45"/>
      <c r="AJ2324" s="45"/>
    </row>
    <row r="2325" spans="16:36" x14ac:dyDescent="0.2">
      <c r="P2325" s="73"/>
      <c r="AA2325" s="45"/>
      <c r="AB2325" s="45"/>
      <c r="AD2325" s="189"/>
      <c r="AE2325" s="189"/>
      <c r="AF2325" s="189"/>
      <c r="AG2325" s="189"/>
      <c r="AH2325" s="189"/>
      <c r="AI2325" s="45"/>
      <c r="AJ2325" s="45"/>
    </row>
    <row r="2326" spans="16:36" x14ac:dyDescent="0.2">
      <c r="P2326" s="73"/>
      <c r="AA2326" s="45"/>
      <c r="AB2326" s="45"/>
      <c r="AD2326" s="189"/>
      <c r="AE2326" s="189"/>
      <c r="AF2326" s="189"/>
      <c r="AG2326" s="189"/>
      <c r="AH2326" s="189"/>
      <c r="AI2326" s="45"/>
      <c r="AJ2326" s="45"/>
    </row>
    <row r="2327" spans="16:36" x14ac:dyDescent="0.2">
      <c r="P2327" s="73"/>
      <c r="AA2327" s="45"/>
      <c r="AB2327" s="45"/>
      <c r="AD2327" s="189"/>
      <c r="AE2327" s="189"/>
      <c r="AF2327" s="189"/>
      <c r="AG2327" s="189"/>
      <c r="AH2327" s="189"/>
      <c r="AI2327" s="45"/>
      <c r="AJ2327" s="45"/>
    </row>
    <row r="2328" spans="16:36" x14ac:dyDescent="0.2">
      <c r="P2328" s="73"/>
      <c r="AA2328" s="45"/>
      <c r="AB2328" s="45"/>
      <c r="AD2328" s="189"/>
      <c r="AE2328" s="189"/>
      <c r="AF2328" s="189"/>
      <c r="AG2328" s="189"/>
      <c r="AH2328" s="189"/>
      <c r="AI2328" s="45"/>
      <c r="AJ2328" s="45"/>
    </row>
    <row r="2329" spans="16:36" x14ac:dyDescent="0.2">
      <c r="P2329" s="73"/>
      <c r="AA2329" s="45"/>
      <c r="AB2329" s="45"/>
      <c r="AD2329" s="189"/>
      <c r="AE2329" s="189"/>
      <c r="AF2329" s="189"/>
      <c r="AG2329" s="189"/>
      <c r="AH2329" s="189"/>
      <c r="AI2329" s="45"/>
      <c r="AJ2329" s="45"/>
    </row>
    <row r="2330" spans="16:36" x14ac:dyDescent="0.2">
      <c r="P2330" s="73"/>
      <c r="AA2330" s="45"/>
      <c r="AB2330" s="45"/>
      <c r="AD2330" s="189"/>
      <c r="AE2330" s="189"/>
      <c r="AF2330" s="189"/>
      <c r="AG2330" s="189"/>
      <c r="AH2330" s="189"/>
      <c r="AI2330" s="45"/>
      <c r="AJ2330" s="45"/>
    </row>
    <row r="2331" spans="16:36" x14ac:dyDescent="0.2">
      <c r="P2331" s="73"/>
      <c r="AA2331" s="45"/>
      <c r="AB2331" s="45"/>
      <c r="AD2331" s="189"/>
      <c r="AE2331" s="189"/>
      <c r="AF2331" s="189"/>
      <c r="AG2331" s="189"/>
      <c r="AH2331" s="189"/>
      <c r="AI2331" s="45"/>
      <c r="AJ2331" s="45"/>
    </row>
    <row r="2332" spans="16:36" x14ac:dyDescent="0.2">
      <c r="P2332" s="73"/>
      <c r="AA2332" s="45"/>
      <c r="AB2332" s="45"/>
      <c r="AD2332" s="189"/>
      <c r="AE2332" s="189"/>
      <c r="AF2332" s="189"/>
      <c r="AG2332" s="189"/>
      <c r="AH2332" s="189"/>
      <c r="AI2332" s="45"/>
      <c r="AJ2332" s="45"/>
    </row>
    <row r="2333" spans="16:36" x14ac:dyDescent="0.2">
      <c r="P2333" s="73"/>
      <c r="AA2333" s="45"/>
      <c r="AB2333" s="45"/>
      <c r="AD2333" s="189"/>
      <c r="AE2333" s="189"/>
      <c r="AF2333" s="189"/>
      <c r="AG2333" s="189"/>
      <c r="AH2333" s="189"/>
      <c r="AI2333" s="45"/>
      <c r="AJ2333" s="45"/>
    </row>
    <row r="2334" spans="16:36" x14ac:dyDescent="0.2">
      <c r="P2334" s="73"/>
      <c r="AA2334" s="45"/>
      <c r="AB2334" s="45"/>
      <c r="AD2334" s="189"/>
      <c r="AE2334" s="189"/>
      <c r="AF2334" s="189"/>
      <c r="AG2334" s="189"/>
      <c r="AH2334" s="189"/>
      <c r="AI2334" s="45"/>
      <c r="AJ2334" s="45"/>
    </row>
    <row r="2335" spans="16:36" x14ac:dyDescent="0.2">
      <c r="P2335" s="73"/>
      <c r="AA2335" s="45"/>
      <c r="AB2335" s="45"/>
      <c r="AD2335" s="189"/>
      <c r="AE2335" s="189"/>
      <c r="AF2335" s="189"/>
      <c r="AG2335" s="189"/>
      <c r="AH2335" s="189"/>
      <c r="AI2335" s="45"/>
      <c r="AJ2335" s="45"/>
    </row>
    <row r="2336" spans="16:36" x14ac:dyDescent="0.2">
      <c r="P2336" s="73"/>
      <c r="AA2336" s="45"/>
      <c r="AB2336" s="45"/>
      <c r="AD2336" s="189"/>
      <c r="AE2336" s="189"/>
      <c r="AF2336" s="189"/>
      <c r="AG2336" s="189"/>
      <c r="AH2336" s="189"/>
      <c r="AI2336" s="45"/>
      <c r="AJ2336" s="45"/>
    </row>
    <row r="2337" spans="16:36" x14ac:dyDescent="0.2">
      <c r="P2337" s="73"/>
      <c r="AA2337" s="45"/>
      <c r="AB2337" s="45"/>
      <c r="AD2337" s="189"/>
      <c r="AE2337" s="189"/>
      <c r="AF2337" s="189"/>
      <c r="AG2337" s="189"/>
      <c r="AH2337" s="189"/>
      <c r="AI2337" s="45"/>
      <c r="AJ2337" s="45"/>
    </row>
    <row r="2338" spans="16:36" x14ac:dyDescent="0.2">
      <c r="P2338" s="73"/>
      <c r="AA2338" s="45"/>
      <c r="AB2338" s="45"/>
      <c r="AD2338" s="189"/>
      <c r="AE2338" s="189"/>
      <c r="AF2338" s="189"/>
      <c r="AG2338" s="189"/>
      <c r="AH2338" s="189"/>
      <c r="AI2338" s="45"/>
      <c r="AJ2338" s="45"/>
    </row>
    <row r="2339" spans="16:36" x14ac:dyDescent="0.2">
      <c r="P2339" s="73"/>
      <c r="AA2339" s="45"/>
      <c r="AB2339" s="45"/>
      <c r="AD2339" s="189"/>
      <c r="AE2339" s="189"/>
      <c r="AF2339" s="189"/>
      <c r="AG2339" s="189"/>
      <c r="AH2339" s="189"/>
      <c r="AI2339" s="45"/>
      <c r="AJ2339" s="45"/>
    </row>
    <row r="2340" spans="16:36" x14ac:dyDescent="0.2">
      <c r="P2340" s="73"/>
      <c r="AA2340" s="45"/>
      <c r="AB2340" s="45"/>
      <c r="AD2340" s="189"/>
      <c r="AE2340" s="189"/>
      <c r="AF2340" s="189"/>
      <c r="AG2340" s="189"/>
      <c r="AH2340" s="189"/>
      <c r="AI2340" s="45"/>
      <c r="AJ2340" s="45"/>
    </row>
    <row r="2341" spans="16:36" x14ac:dyDescent="0.2">
      <c r="P2341" s="73"/>
      <c r="AA2341" s="45"/>
      <c r="AB2341" s="45"/>
      <c r="AD2341" s="189"/>
      <c r="AE2341" s="189"/>
      <c r="AF2341" s="189"/>
      <c r="AG2341" s="189"/>
      <c r="AH2341" s="189"/>
      <c r="AI2341" s="45"/>
      <c r="AJ2341" s="45"/>
    </row>
    <row r="2342" spans="16:36" x14ac:dyDescent="0.2">
      <c r="P2342" s="73"/>
      <c r="AA2342" s="45"/>
      <c r="AB2342" s="45"/>
      <c r="AD2342" s="189"/>
      <c r="AE2342" s="189"/>
      <c r="AF2342" s="189"/>
      <c r="AG2342" s="189"/>
      <c r="AH2342" s="189"/>
      <c r="AI2342" s="45"/>
      <c r="AJ2342" s="45"/>
    </row>
    <row r="2343" spans="16:36" x14ac:dyDescent="0.2">
      <c r="P2343" s="73"/>
      <c r="AA2343" s="45"/>
      <c r="AB2343" s="45"/>
      <c r="AD2343" s="189"/>
      <c r="AE2343" s="189"/>
      <c r="AF2343" s="189"/>
      <c r="AG2343" s="189"/>
      <c r="AH2343" s="189"/>
      <c r="AI2343" s="45"/>
      <c r="AJ2343" s="45"/>
    </row>
    <row r="2344" spans="16:36" x14ac:dyDescent="0.2">
      <c r="P2344" s="73"/>
      <c r="AA2344" s="45"/>
      <c r="AB2344" s="45"/>
      <c r="AD2344" s="189"/>
      <c r="AE2344" s="189"/>
      <c r="AF2344" s="189"/>
      <c r="AG2344" s="189"/>
      <c r="AH2344" s="189"/>
      <c r="AI2344" s="45"/>
      <c r="AJ2344" s="45"/>
    </row>
    <row r="2345" spans="16:36" x14ac:dyDescent="0.2">
      <c r="P2345" s="73"/>
      <c r="AA2345" s="45"/>
      <c r="AB2345" s="45"/>
      <c r="AD2345" s="189"/>
      <c r="AE2345" s="189"/>
      <c r="AF2345" s="189"/>
      <c r="AG2345" s="189"/>
      <c r="AH2345" s="189"/>
      <c r="AI2345" s="45"/>
      <c r="AJ2345" s="45"/>
    </row>
    <row r="2346" spans="16:36" x14ac:dyDescent="0.2">
      <c r="P2346" s="73"/>
      <c r="AA2346" s="45"/>
      <c r="AB2346" s="45"/>
      <c r="AD2346" s="189"/>
      <c r="AE2346" s="189"/>
      <c r="AF2346" s="189"/>
      <c r="AG2346" s="189"/>
      <c r="AH2346" s="189"/>
      <c r="AI2346" s="45"/>
      <c r="AJ2346" s="45"/>
    </row>
    <row r="2347" spans="16:36" x14ac:dyDescent="0.2">
      <c r="P2347" s="73"/>
      <c r="AA2347" s="45"/>
      <c r="AB2347" s="45"/>
      <c r="AD2347" s="189"/>
      <c r="AE2347" s="189"/>
      <c r="AF2347" s="189"/>
      <c r="AG2347" s="189"/>
      <c r="AH2347" s="189"/>
      <c r="AI2347" s="45"/>
      <c r="AJ2347" s="45"/>
    </row>
    <row r="2348" spans="16:36" x14ac:dyDescent="0.2">
      <c r="P2348" s="73"/>
      <c r="AA2348" s="45"/>
      <c r="AB2348" s="45"/>
      <c r="AD2348" s="189"/>
      <c r="AE2348" s="189"/>
      <c r="AF2348" s="189"/>
      <c r="AG2348" s="189"/>
      <c r="AH2348" s="189"/>
      <c r="AI2348" s="45"/>
      <c r="AJ2348" s="45"/>
    </row>
    <row r="2349" spans="16:36" x14ac:dyDescent="0.2">
      <c r="P2349" s="73"/>
      <c r="AA2349" s="45"/>
      <c r="AB2349" s="45"/>
      <c r="AD2349" s="189"/>
      <c r="AE2349" s="189"/>
      <c r="AF2349" s="189"/>
      <c r="AG2349" s="189"/>
      <c r="AH2349" s="189"/>
      <c r="AI2349" s="45"/>
      <c r="AJ2349" s="45"/>
    </row>
    <row r="2350" spans="16:36" x14ac:dyDescent="0.2">
      <c r="P2350" s="73"/>
      <c r="AA2350" s="45"/>
      <c r="AB2350" s="45"/>
      <c r="AD2350" s="189"/>
      <c r="AE2350" s="189"/>
      <c r="AF2350" s="189"/>
      <c r="AG2350" s="189"/>
      <c r="AH2350" s="189"/>
      <c r="AI2350" s="45"/>
      <c r="AJ2350" s="45"/>
    </row>
    <row r="2351" spans="16:36" x14ac:dyDescent="0.2">
      <c r="P2351" s="73"/>
      <c r="AA2351" s="45"/>
      <c r="AB2351" s="45"/>
      <c r="AD2351" s="189"/>
      <c r="AE2351" s="189"/>
      <c r="AF2351" s="189"/>
      <c r="AG2351" s="189"/>
      <c r="AH2351" s="189"/>
      <c r="AI2351" s="45"/>
      <c r="AJ2351" s="45"/>
    </row>
    <row r="2352" spans="16:36" x14ac:dyDescent="0.2">
      <c r="P2352" s="73"/>
      <c r="AA2352" s="45"/>
      <c r="AB2352" s="45"/>
      <c r="AD2352" s="189"/>
      <c r="AE2352" s="189"/>
      <c r="AF2352" s="189"/>
      <c r="AG2352" s="189"/>
      <c r="AH2352" s="189"/>
      <c r="AI2352" s="45"/>
      <c r="AJ2352" s="45"/>
    </row>
    <row r="2353" spans="16:36" x14ac:dyDescent="0.2">
      <c r="P2353" s="73"/>
      <c r="AA2353" s="45"/>
      <c r="AB2353" s="45"/>
      <c r="AD2353" s="189"/>
      <c r="AE2353" s="189"/>
      <c r="AF2353" s="189"/>
      <c r="AG2353" s="189"/>
      <c r="AH2353" s="189"/>
      <c r="AI2353" s="45"/>
      <c r="AJ2353" s="45"/>
    </row>
    <row r="2354" spans="16:36" x14ac:dyDescent="0.2">
      <c r="P2354" s="73"/>
      <c r="AA2354" s="45"/>
      <c r="AB2354" s="45"/>
      <c r="AD2354" s="189"/>
      <c r="AE2354" s="189"/>
      <c r="AF2354" s="189"/>
      <c r="AG2354" s="189"/>
      <c r="AH2354" s="189"/>
      <c r="AI2354" s="45"/>
      <c r="AJ2354" s="45"/>
    </row>
    <row r="2355" spans="16:36" x14ac:dyDescent="0.2">
      <c r="P2355" s="73"/>
      <c r="AA2355" s="45"/>
      <c r="AB2355" s="45"/>
      <c r="AD2355" s="189"/>
      <c r="AE2355" s="189"/>
      <c r="AF2355" s="189"/>
      <c r="AG2355" s="189"/>
      <c r="AH2355" s="189"/>
      <c r="AI2355" s="45"/>
      <c r="AJ2355" s="45"/>
    </row>
    <row r="2356" spans="16:36" x14ac:dyDescent="0.2">
      <c r="P2356" s="73"/>
      <c r="AA2356" s="45"/>
      <c r="AB2356" s="45"/>
      <c r="AD2356" s="189"/>
      <c r="AE2356" s="189"/>
      <c r="AF2356" s="189"/>
      <c r="AG2356" s="189"/>
      <c r="AH2356" s="189"/>
      <c r="AI2356" s="45"/>
      <c r="AJ2356" s="45"/>
    </row>
    <row r="2357" spans="16:36" x14ac:dyDescent="0.2">
      <c r="P2357" s="73"/>
      <c r="AA2357" s="45"/>
      <c r="AB2357" s="45"/>
      <c r="AD2357" s="189"/>
      <c r="AE2357" s="189"/>
      <c r="AF2357" s="189"/>
      <c r="AG2357" s="189"/>
      <c r="AH2357" s="189"/>
      <c r="AI2357" s="45"/>
      <c r="AJ2357" s="45"/>
    </row>
    <row r="2358" spans="16:36" x14ac:dyDescent="0.2">
      <c r="P2358" s="73"/>
      <c r="AA2358" s="45"/>
      <c r="AB2358" s="45"/>
      <c r="AD2358" s="189"/>
      <c r="AE2358" s="189"/>
      <c r="AF2358" s="189"/>
      <c r="AG2358" s="189"/>
      <c r="AH2358" s="189"/>
      <c r="AI2358" s="45"/>
      <c r="AJ2358" s="45"/>
    </row>
    <row r="2359" spans="16:36" x14ac:dyDescent="0.2">
      <c r="P2359" s="73"/>
      <c r="AA2359" s="45"/>
      <c r="AB2359" s="45"/>
      <c r="AD2359" s="189"/>
      <c r="AE2359" s="189"/>
      <c r="AF2359" s="189"/>
      <c r="AG2359" s="189"/>
      <c r="AH2359" s="189"/>
      <c r="AI2359" s="45"/>
      <c r="AJ2359" s="45"/>
    </row>
    <row r="2360" spans="16:36" x14ac:dyDescent="0.2">
      <c r="P2360" s="73"/>
      <c r="AA2360" s="45"/>
      <c r="AB2360" s="45"/>
      <c r="AD2360" s="189"/>
      <c r="AE2360" s="189"/>
      <c r="AF2360" s="189"/>
      <c r="AG2360" s="189"/>
      <c r="AH2360" s="189"/>
      <c r="AI2360" s="45"/>
      <c r="AJ2360" s="45"/>
    </row>
    <row r="2361" spans="16:36" x14ac:dyDescent="0.2">
      <c r="P2361" s="73"/>
      <c r="AA2361" s="45"/>
      <c r="AB2361" s="45"/>
      <c r="AD2361" s="189"/>
      <c r="AE2361" s="189"/>
      <c r="AF2361" s="189"/>
      <c r="AG2361" s="189"/>
      <c r="AH2361" s="189"/>
      <c r="AI2361" s="45"/>
      <c r="AJ2361" s="45"/>
    </row>
    <row r="2362" spans="16:36" x14ac:dyDescent="0.2">
      <c r="P2362" s="73"/>
      <c r="AA2362" s="45"/>
      <c r="AB2362" s="45"/>
      <c r="AD2362" s="189"/>
      <c r="AE2362" s="189"/>
      <c r="AF2362" s="189"/>
      <c r="AG2362" s="189"/>
      <c r="AH2362" s="189"/>
      <c r="AI2362" s="45"/>
      <c r="AJ2362" s="45"/>
    </row>
    <row r="2363" spans="16:36" x14ac:dyDescent="0.2">
      <c r="P2363" s="73"/>
      <c r="AA2363" s="45"/>
      <c r="AB2363" s="45"/>
      <c r="AD2363" s="189"/>
      <c r="AE2363" s="189"/>
      <c r="AF2363" s="189"/>
      <c r="AG2363" s="189"/>
      <c r="AH2363" s="189"/>
      <c r="AI2363" s="45"/>
      <c r="AJ2363" s="45"/>
    </row>
    <row r="2364" spans="16:36" x14ac:dyDescent="0.2">
      <c r="P2364" s="73"/>
      <c r="AA2364" s="45"/>
      <c r="AB2364" s="45"/>
      <c r="AD2364" s="189"/>
      <c r="AE2364" s="189"/>
      <c r="AF2364" s="189"/>
      <c r="AG2364" s="189"/>
      <c r="AH2364" s="189"/>
      <c r="AI2364" s="45"/>
      <c r="AJ2364" s="45"/>
    </row>
    <row r="2365" spans="16:36" x14ac:dyDescent="0.2">
      <c r="P2365" s="73"/>
      <c r="AA2365" s="45"/>
      <c r="AB2365" s="45"/>
      <c r="AD2365" s="189"/>
      <c r="AE2365" s="189"/>
      <c r="AF2365" s="189"/>
      <c r="AG2365" s="189"/>
      <c r="AH2365" s="189"/>
      <c r="AI2365" s="45"/>
      <c r="AJ2365" s="45"/>
    </row>
    <row r="2366" spans="16:36" x14ac:dyDescent="0.2">
      <c r="P2366" s="73"/>
      <c r="AA2366" s="45"/>
      <c r="AB2366" s="45"/>
      <c r="AD2366" s="189"/>
      <c r="AE2366" s="189"/>
      <c r="AF2366" s="189"/>
      <c r="AG2366" s="189"/>
      <c r="AH2366" s="189"/>
      <c r="AI2366" s="45"/>
      <c r="AJ2366" s="45"/>
    </row>
    <row r="2367" spans="16:36" x14ac:dyDescent="0.2">
      <c r="P2367" s="73"/>
      <c r="AA2367" s="45"/>
      <c r="AB2367" s="45"/>
      <c r="AD2367" s="189"/>
      <c r="AE2367" s="189"/>
      <c r="AF2367" s="189"/>
      <c r="AG2367" s="189"/>
      <c r="AH2367" s="189"/>
      <c r="AI2367" s="45"/>
      <c r="AJ2367" s="45"/>
    </row>
    <row r="2368" spans="16:36" x14ac:dyDescent="0.2">
      <c r="P2368" s="73"/>
      <c r="AA2368" s="45"/>
      <c r="AB2368" s="45"/>
      <c r="AD2368" s="189"/>
      <c r="AE2368" s="189"/>
      <c r="AF2368" s="189"/>
      <c r="AG2368" s="189"/>
      <c r="AH2368" s="189"/>
      <c r="AI2368" s="45"/>
      <c r="AJ2368" s="45"/>
    </row>
    <row r="2369" spans="16:36" x14ac:dyDescent="0.2">
      <c r="P2369" s="73"/>
      <c r="AA2369" s="45"/>
      <c r="AB2369" s="45"/>
      <c r="AD2369" s="189"/>
      <c r="AE2369" s="189"/>
      <c r="AF2369" s="189"/>
      <c r="AG2369" s="189"/>
      <c r="AH2369" s="189"/>
      <c r="AI2369" s="45"/>
      <c r="AJ2369" s="45"/>
    </row>
    <row r="2370" spans="16:36" x14ac:dyDescent="0.2">
      <c r="P2370" s="73"/>
      <c r="AA2370" s="45"/>
      <c r="AB2370" s="45"/>
      <c r="AD2370" s="189"/>
      <c r="AE2370" s="189"/>
      <c r="AF2370" s="189"/>
      <c r="AG2370" s="189"/>
      <c r="AH2370" s="189"/>
      <c r="AI2370" s="45"/>
      <c r="AJ2370" s="45"/>
    </row>
    <row r="2371" spans="16:36" x14ac:dyDescent="0.2">
      <c r="P2371" s="73"/>
      <c r="AA2371" s="45"/>
      <c r="AB2371" s="45"/>
      <c r="AD2371" s="189"/>
      <c r="AE2371" s="189"/>
      <c r="AF2371" s="189"/>
      <c r="AG2371" s="189"/>
      <c r="AH2371" s="189"/>
      <c r="AI2371" s="45"/>
      <c r="AJ2371" s="45"/>
    </row>
    <row r="2372" spans="16:36" x14ac:dyDescent="0.2">
      <c r="P2372" s="73"/>
      <c r="AA2372" s="45"/>
      <c r="AB2372" s="45"/>
      <c r="AD2372" s="189"/>
      <c r="AE2372" s="189"/>
      <c r="AF2372" s="189"/>
      <c r="AG2372" s="189"/>
      <c r="AH2372" s="189"/>
      <c r="AI2372" s="45"/>
      <c r="AJ2372" s="45"/>
    </row>
    <row r="2373" spans="16:36" x14ac:dyDescent="0.2">
      <c r="P2373" s="73"/>
      <c r="AA2373" s="45"/>
      <c r="AB2373" s="45"/>
      <c r="AD2373" s="189"/>
      <c r="AE2373" s="189"/>
      <c r="AF2373" s="189"/>
      <c r="AG2373" s="189"/>
      <c r="AH2373" s="189"/>
      <c r="AI2373" s="45"/>
      <c r="AJ2373" s="45"/>
    </row>
    <row r="2374" spans="16:36" x14ac:dyDescent="0.2">
      <c r="P2374" s="73"/>
      <c r="AA2374" s="45"/>
      <c r="AB2374" s="45"/>
      <c r="AD2374" s="189"/>
      <c r="AE2374" s="189"/>
      <c r="AF2374" s="189"/>
      <c r="AG2374" s="189"/>
      <c r="AH2374" s="189"/>
      <c r="AI2374" s="45"/>
      <c r="AJ2374" s="45"/>
    </row>
    <row r="2375" spans="16:36" x14ac:dyDescent="0.2">
      <c r="P2375" s="73"/>
      <c r="AA2375" s="45"/>
      <c r="AB2375" s="45"/>
      <c r="AD2375" s="189"/>
      <c r="AE2375" s="189"/>
      <c r="AF2375" s="189"/>
      <c r="AG2375" s="189"/>
      <c r="AH2375" s="189"/>
      <c r="AI2375" s="45"/>
      <c r="AJ2375" s="45"/>
    </row>
    <row r="2376" spans="16:36" x14ac:dyDescent="0.2">
      <c r="P2376" s="73"/>
      <c r="AA2376" s="45"/>
      <c r="AB2376" s="45"/>
      <c r="AD2376" s="189"/>
      <c r="AE2376" s="189"/>
      <c r="AF2376" s="189"/>
      <c r="AG2376" s="189"/>
      <c r="AH2376" s="189"/>
      <c r="AI2376" s="45"/>
      <c r="AJ2376" s="45"/>
    </row>
    <row r="2377" spans="16:36" x14ac:dyDescent="0.2">
      <c r="P2377" s="73"/>
      <c r="AA2377" s="45"/>
      <c r="AB2377" s="45"/>
      <c r="AD2377" s="189"/>
      <c r="AE2377" s="189"/>
      <c r="AF2377" s="189"/>
      <c r="AG2377" s="189"/>
      <c r="AH2377" s="189"/>
      <c r="AI2377" s="45"/>
      <c r="AJ2377" s="45"/>
    </row>
    <row r="2378" spans="16:36" x14ac:dyDescent="0.2">
      <c r="P2378" s="73"/>
      <c r="AA2378" s="45"/>
      <c r="AB2378" s="45"/>
      <c r="AD2378" s="189"/>
      <c r="AE2378" s="189"/>
      <c r="AF2378" s="189"/>
      <c r="AG2378" s="189"/>
      <c r="AH2378" s="189"/>
      <c r="AI2378" s="45"/>
      <c r="AJ2378" s="45"/>
    </row>
    <row r="2379" spans="16:36" x14ac:dyDescent="0.2">
      <c r="P2379" s="73"/>
      <c r="AA2379" s="45"/>
      <c r="AB2379" s="45"/>
      <c r="AD2379" s="189"/>
      <c r="AE2379" s="189"/>
      <c r="AF2379" s="189"/>
      <c r="AG2379" s="189"/>
      <c r="AH2379" s="189"/>
      <c r="AI2379" s="45"/>
      <c r="AJ2379" s="45"/>
    </row>
    <row r="2380" spans="16:36" x14ac:dyDescent="0.2">
      <c r="P2380" s="73"/>
      <c r="AA2380" s="45"/>
      <c r="AB2380" s="45"/>
      <c r="AD2380" s="189"/>
      <c r="AE2380" s="189"/>
      <c r="AF2380" s="189"/>
      <c r="AG2380" s="189"/>
      <c r="AH2380" s="189"/>
      <c r="AI2380" s="45"/>
      <c r="AJ2380" s="45"/>
    </row>
    <row r="2381" spans="16:36" x14ac:dyDescent="0.2">
      <c r="P2381" s="73"/>
      <c r="AA2381" s="45"/>
      <c r="AB2381" s="45"/>
      <c r="AD2381" s="189"/>
      <c r="AE2381" s="189"/>
      <c r="AF2381" s="189"/>
      <c r="AG2381" s="189"/>
      <c r="AH2381" s="189"/>
      <c r="AI2381" s="45"/>
      <c r="AJ2381" s="45"/>
    </row>
    <row r="2382" spans="16:36" x14ac:dyDescent="0.2">
      <c r="P2382" s="73"/>
      <c r="AA2382" s="45"/>
      <c r="AB2382" s="45"/>
      <c r="AD2382" s="189"/>
      <c r="AE2382" s="189"/>
      <c r="AF2382" s="189"/>
      <c r="AG2382" s="189"/>
      <c r="AH2382" s="189"/>
      <c r="AI2382" s="45"/>
      <c r="AJ2382" s="45"/>
    </row>
    <row r="2383" spans="16:36" x14ac:dyDescent="0.2">
      <c r="P2383" s="73"/>
      <c r="AA2383" s="45"/>
      <c r="AB2383" s="45"/>
      <c r="AD2383" s="189"/>
      <c r="AE2383" s="189"/>
      <c r="AF2383" s="189"/>
      <c r="AG2383" s="189"/>
      <c r="AH2383" s="189"/>
      <c r="AI2383" s="45"/>
      <c r="AJ2383" s="45"/>
    </row>
    <row r="2384" spans="16:36" x14ac:dyDescent="0.2">
      <c r="P2384" s="73"/>
      <c r="AA2384" s="45"/>
      <c r="AB2384" s="45"/>
      <c r="AD2384" s="189"/>
      <c r="AE2384" s="189"/>
      <c r="AF2384" s="189"/>
      <c r="AG2384" s="189"/>
      <c r="AH2384" s="189"/>
      <c r="AI2384" s="45"/>
      <c r="AJ2384" s="45"/>
    </row>
    <row r="2385" spans="16:36" x14ac:dyDescent="0.2">
      <c r="P2385" s="73"/>
      <c r="AA2385" s="45"/>
      <c r="AB2385" s="45"/>
      <c r="AD2385" s="189"/>
      <c r="AE2385" s="189"/>
      <c r="AF2385" s="189"/>
      <c r="AG2385" s="189"/>
      <c r="AH2385" s="189"/>
      <c r="AI2385" s="45"/>
      <c r="AJ2385" s="45"/>
    </row>
    <row r="2386" spans="16:36" x14ac:dyDescent="0.2">
      <c r="P2386" s="73"/>
      <c r="AA2386" s="45"/>
      <c r="AB2386" s="45"/>
      <c r="AD2386" s="189"/>
      <c r="AE2386" s="189"/>
      <c r="AF2386" s="189"/>
      <c r="AG2386" s="189"/>
      <c r="AH2386" s="189"/>
      <c r="AI2386" s="45"/>
      <c r="AJ2386" s="45"/>
    </row>
    <row r="2387" spans="16:36" x14ac:dyDescent="0.2">
      <c r="P2387" s="73"/>
      <c r="AA2387" s="45"/>
      <c r="AB2387" s="45"/>
      <c r="AD2387" s="189"/>
      <c r="AE2387" s="189"/>
      <c r="AF2387" s="189"/>
      <c r="AG2387" s="189"/>
      <c r="AH2387" s="189"/>
      <c r="AI2387" s="45"/>
      <c r="AJ2387" s="45"/>
    </row>
    <row r="2388" spans="16:36" x14ac:dyDescent="0.2">
      <c r="P2388" s="73"/>
      <c r="AA2388" s="45"/>
      <c r="AB2388" s="45"/>
      <c r="AD2388" s="189"/>
      <c r="AE2388" s="189"/>
      <c r="AF2388" s="189"/>
      <c r="AG2388" s="189"/>
      <c r="AH2388" s="189"/>
      <c r="AI2388" s="45"/>
      <c r="AJ2388" s="45"/>
    </row>
    <row r="2389" spans="16:36" x14ac:dyDescent="0.2">
      <c r="P2389" s="73"/>
      <c r="AA2389" s="45"/>
      <c r="AB2389" s="45"/>
      <c r="AD2389" s="189"/>
      <c r="AE2389" s="189"/>
      <c r="AF2389" s="189"/>
      <c r="AG2389" s="189"/>
      <c r="AH2389" s="189"/>
      <c r="AI2389" s="45"/>
      <c r="AJ2389" s="45"/>
    </row>
    <row r="2390" spans="16:36" x14ac:dyDescent="0.2">
      <c r="P2390" s="73"/>
      <c r="AA2390" s="45"/>
      <c r="AB2390" s="45"/>
      <c r="AD2390" s="189"/>
      <c r="AE2390" s="189"/>
      <c r="AF2390" s="189"/>
      <c r="AG2390" s="189"/>
      <c r="AH2390" s="189"/>
      <c r="AI2390" s="45"/>
      <c r="AJ2390" s="45"/>
    </row>
    <row r="2391" spans="16:36" x14ac:dyDescent="0.2">
      <c r="P2391" s="73"/>
      <c r="AA2391" s="45"/>
      <c r="AB2391" s="45"/>
      <c r="AD2391" s="189"/>
      <c r="AE2391" s="189"/>
      <c r="AF2391" s="189"/>
      <c r="AG2391" s="189"/>
      <c r="AH2391" s="189"/>
      <c r="AI2391" s="45"/>
      <c r="AJ2391" s="45"/>
    </row>
    <row r="2392" spans="16:36" x14ac:dyDescent="0.2">
      <c r="P2392" s="73"/>
      <c r="AA2392" s="45"/>
      <c r="AB2392" s="45"/>
      <c r="AD2392" s="189"/>
      <c r="AE2392" s="189"/>
      <c r="AF2392" s="189"/>
      <c r="AG2392" s="189"/>
      <c r="AH2392" s="189"/>
      <c r="AI2392" s="45"/>
      <c r="AJ2392" s="45"/>
    </row>
    <row r="2393" spans="16:36" x14ac:dyDescent="0.2">
      <c r="P2393" s="73"/>
      <c r="AA2393" s="45"/>
      <c r="AB2393" s="45"/>
      <c r="AD2393" s="189"/>
      <c r="AE2393" s="189"/>
      <c r="AF2393" s="189"/>
      <c r="AG2393" s="189"/>
      <c r="AH2393" s="189"/>
      <c r="AI2393" s="45"/>
      <c r="AJ2393" s="45"/>
    </row>
    <row r="2394" spans="16:36" x14ac:dyDescent="0.2">
      <c r="P2394" s="73"/>
      <c r="AA2394" s="45"/>
      <c r="AB2394" s="45"/>
      <c r="AD2394" s="189"/>
      <c r="AE2394" s="189"/>
      <c r="AF2394" s="189"/>
      <c r="AG2394" s="189"/>
      <c r="AH2394" s="189"/>
      <c r="AI2394" s="45"/>
      <c r="AJ2394" s="45"/>
    </row>
    <row r="2395" spans="16:36" x14ac:dyDescent="0.2">
      <c r="P2395" s="73"/>
      <c r="AA2395" s="45"/>
      <c r="AB2395" s="45"/>
      <c r="AD2395" s="189"/>
      <c r="AE2395" s="189"/>
      <c r="AF2395" s="189"/>
      <c r="AG2395" s="189"/>
      <c r="AH2395" s="189"/>
      <c r="AI2395" s="45"/>
      <c r="AJ2395" s="45"/>
    </row>
    <row r="2396" spans="16:36" x14ac:dyDescent="0.2">
      <c r="P2396" s="73"/>
      <c r="AA2396" s="45"/>
      <c r="AB2396" s="45"/>
      <c r="AD2396" s="189"/>
      <c r="AE2396" s="189"/>
      <c r="AF2396" s="189"/>
      <c r="AG2396" s="189"/>
      <c r="AH2396" s="189"/>
      <c r="AI2396" s="45"/>
      <c r="AJ2396" s="45"/>
    </row>
    <row r="2397" spans="16:36" x14ac:dyDescent="0.2">
      <c r="P2397" s="73"/>
      <c r="AA2397" s="45"/>
      <c r="AB2397" s="45"/>
      <c r="AD2397" s="189"/>
      <c r="AE2397" s="189"/>
      <c r="AF2397" s="189"/>
      <c r="AG2397" s="189"/>
      <c r="AH2397" s="189"/>
      <c r="AI2397" s="45"/>
      <c r="AJ2397" s="45"/>
    </row>
    <row r="2398" spans="16:36" x14ac:dyDescent="0.2">
      <c r="P2398" s="73"/>
      <c r="AA2398" s="45"/>
      <c r="AB2398" s="45"/>
      <c r="AD2398" s="189"/>
      <c r="AE2398" s="189"/>
      <c r="AF2398" s="189"/>
      <c r="AG2398" s="189"/>
      <c r="AH2398" s="189"/>
      <c r="AI2398" s="45"/>
      <c r="AJ2398" s="45"/>
    </row>
    <row r="2399" spans="16:36" x14ac:dyDescent="0.2">
      <c r="P2399" s="73"/>
      <c r="AA2399" s="45"/>
      <c r="AB2399" s="45"/>
      <c r="AD2399" s="189"/>
      <c r="AE2399" s="189"/>
      <c r="AF2399" s="189"/>
      <c r="AG2399" s="189"/>
      <c r="AH2399" s="189"/>
      <c r="AI2399" s="45"/>
      <c r="AJ2399" s="45"/>
    </row>
    <row r="2400" spans="16:36" x14ac:dyDescent="0.2">
      <c r="P2400" s="73"/>
      <c r="AA2400" s="45"/>
      <c r="AB2400" s="45"/>
      <c r="AD2400" s="189"/>
      <c r="AE2400" s="189"/>
      <c r="AF2400" s="189"/>
      <c r="AG2400" s="189"/>
      <c r="AH2400" s="189"/>
      <c r="AI2400" s="45"/>
      <c r="AJ2400" s="45"/>
    </row>
    <row r="2401" spans="16:36" x14ac:dyDescent="0.2">
      <c r="P2401" s="73"/>
      <c r="AA2401" s="45"/>
      <c r="AB2401" s="45"/>
      <c r="AD2401" s="189"/>
      <c r="AE2401" s="189"/>
      <c r="AF2401" s="189"/>
      <c r="AG2401" s="189"/>
      <c r="AH2401" s="189"/>
      <c r="AI2401" s="45"/>
      <c r="AJ2401" s="45"/>
    </row>
    <row r="2402" spans="16:36" x14ac:dyDescent="0.2">
      <c r="P2402" s="73"/>
      <c r="AA2402" s="45"/>
      <c r="AB2402" s="45"/>
      <c r="AD2402" s="189"/>
      <c r="AE2402" s="189"/>
      <c r="AF2402" s="189"/>
      <c r="AG2402" s="189"/>
      <c r="AH2402" s="189"/>
      <c r="AI2402" s="45"/>
      <c r="AJ2402" s="45"/>
    </row>
    <row r="2403" spans="16:36" x14ac:dyDescent="0.2">
      <c r="P2403" s="73"/>
      <c r="AA2403" s="45"/>
      <c r="AB2403" s="45"/>
      <c r="AD2403" s="189"/>
      <c r="AE2403" s="189"/>
      <c r="AF2403" s="189"/>
      <c r="AG2403" s="189"/>
      <c r="AH2403" s="189"/>
      <c r="AI2403" s="45"/>
      <c r="AJ2403" s="45"/>
    </row>
    <row r="2404" spans="16:36" x14ac:dyDescent="0.2">
      <c r="P2404" s="73"/>
      <c r="AA2404" s="45"/>
      <c r="AB2404" s="45"/>
      <c r="AD2404" s="189"/>
      <c r="AE2404" s="189"/>
      <c r="AF2404" s="189"/>
      <c r="AG2404" s="189"/>
      <c r="AH2404" s="189"/>
      <c r="AI2404" s="45"/>
      <c r="AJ2404" s="45"/>
    </row>
    <row r="2405" spans="16:36" x14ac:dyDescent="0.2">
      <c r="P2405" s="73"/>
      <c r="AA2405" s="45"/>
      <c r="AB2405" s="45"/>
      <c r="AD2405" s="189"/>
      <c r="AE2405" s="189"/>
      <c r="AF2405" s="189"/>
      <c r="AG2405" s="189"/>
      <c r="AH2405" s="189"/>
      <c r="AI2405" s="45"/>
      <c r="AJ2405" s="45"/>
    </row>
    <row r="2406" spans="16:36" x14ac:dyDescent="0.2">
      <c r="P2406" s="73"/>
      <c r="AA2406" s="45"/>
      <c r="AB2406" s="45"/>
      <c r="AD2406" s="189"/>
      <c r="AE2406" s="189"/>
      <c r="AF2406" s="189"/>
      <c r="AG2406" s="189"/>
      <c r="AH2406" s="189"/>
      <c r="AI2406" s="45"/>
      <c r="AJ2406" s="45"/>
    </row>
    <row r="2407" spans="16:36" x14ac:dyDescent="0.2">
      <c r="P2407" s="73"/>
      <c r="AA2407" s="45"/>
      <c r="AB2407" s="45"/>
      <c r="AD2407" s="189"/>
      <c r="AE2407" s="189"/>
      <c r="AF2407" s="189"/>
      <c r="AG2407" s="189"/>
      <c r="AH2407" s="189"/>
      <c r="AI2407" s="45"/>
      <c r="AJ2407" s="45"/>
    </row>
    <row r="2408" spans="16:36" x14ac:dyDescent="0.2">
      <c r="P2408" s="73"/>
      <c r="AA2408" s="45"/>
      <c r="AB2408" s="45"/>
      <c r="AD2408" s="189"/>
      <c r="AE2408" s="189"/>
      <c r="AF2408" s="189"/>
      <c r="AG2408" s="189"/>
      <c r="AH2408" s="189"/>
      <c r="AI2408" s="45"/>
      <c r="AJ2408" s="45"/>
    </row>
    <row r="2409" spans="16:36" x14ac:dyDescent="0.2">
      <c r="P2409" s="73"/>
      <c r="AA2409" s="45"/>
      <c r="AB2409" s="45"/>
      <c r="AD2409" s="189"/>
      <c r="AE2409" s="189"/>
      <c r="AF2409" s="189"/>
      <c r="AG2409" s="189"/>
      <c r="AH2409" s="189"/>
      <c r="AI2409" s="45"/>
      <c r="AJ2409" s="45"/>
    </row>
    <row r="2410" spans="16:36" x14ac:dyDescent="0.2">
      <c r="P2410" s="73"/>
      <c r="AA2410" s="45"/>
      <c r="AB2410" s="45"/>
      <c r="AD2410" s="189"/>
      <c r="AE2410" s="189"/>
      <c r="AF2410" s="189"/>
      <c r="AG2410" s="189"/>
      <c r="AH2410" s="189"/>
      <c r="AI2410" s="45"/>
      <c r="AJ2410" s="45"/>
    </row>
    <row r="2411" spans="16:36" x14ac:dyDescent="0.2">
      <c r="P2411" s="73"/>
      <c r="AA2411" s="45"/>
      <c r="AB2411" s="45"/>
      <c r="AD2411" s="189"/>
      <c r="AE2411" s="189"/>
      <c r="AF2411" s="189"/>
      <c r="AG2411" s="189"/>
      <c r="AH2411" s="189"/>
      <c r="AI2411" s="45"/>
      <c r="AJ2411" s="45"/>
    </row>
    <row r="2412" spans="16:36" x14ac:dyDescent="0.2">
      <c r="P2412" s="73"/>
      <c r="AA2412" s="45"/>
      <c r="AB2412" s="45"/>
      <c r="AD2412" s="189"/>
      <c r="AE2412" s="189"/>
      <c r="AF2412" s="189"/>
      <c r="AG2412" s="189"/>
      <c r="AH2412" s="189"/>
      <c r="AI2412" s="45"/>
      <c r="AJ2412" s="45"/>
    </row>
    <row r="2413" spans="16:36" x14ac:dyDescent="0.2">
      <c r="P2413" s="73"/>
      <c r="AA2413" s="45"/>
      <c r="AB2413" s="45"/>
      <c r="AD2413" s="189"/>
      <c r="AE2413" s="189"/>
      <c r="AF2413" s="189"/>
      <c r="AG2413" s="189"/>
      <c r="AH2413" s="189"/>
      <c r="AI2413" s="45"/>
      <c r="AJ2413" s="45"/>
    </row>
    <row r="2414" spans="16:36" x14ac:dyDescent="0.2">
      <c r="P2414" s="73"/>
      <c r="AA2414" s="45"/>
      <c r="AB2414" s="45"/>
      <c r="AD2414" s="189"/>
      <c r="AE2414" s="189"/>
      <c r="AF2414" s="189"/>
      <c r="AG2414" s="189"/>
      <c r="AH2414" s="189"/>
      <c r="AI2414" s="45"/>
      <c r="AJ2414" s="45"/>
    </row>
    <row r="2415" spans="16:36" x14ac:dyDescent="0.2">
      <c r="P2415" s="73"/>
      <c r="AA2415" s="45"/>
      <c r="AB2415" s="45"/>
      <c r="AD2415" s="189"/>
      <c r="AE2415" s="189"/>
      <c r="AF2415" s="189"/>
      <c r="AG2415" s="189"/>
      <c r="AH2415" s="189"/>
      <c r="AI2415" s="45"/>
      <c r="AJ2415" s="45"/>
    </row>
    <row r="2416" spans="16:36" x14ac:dyDescent="0.2">
      <c r="P2416" s="73"/>
      <c r="AA2416" s="45"/>
      <c r="AB2416" s="45"/>
      <c r="AD2416" s="189"/>
      <c r="AE2416" s="189"/>
      <c r="AF2416" s="189"/>
      <c r="AG2416" s="189"/>
      <c r="AH2416" s="189"/>
      <c r="AI2416" s="45"/>
      <c r="AJ2416" s="45"/>
    </row>
    <row r="2417" spans="16:36" x14ac:dyDescent="0.2">
      <c r="P2417" s="73"/>
      <c r="AA2417" s="45"/>
      <c r="AB2417" s="45"/>
      <c r="AD2417" s="189"/>
      <c r="AE2417" s="189"/>
      <c r="AF2417" s="189"/>
      <c r="AG2417" s="189"/>
      <c r="AH2417" s="189"/>
      <c r="AI2417" s="45"/>
      <c r="AJ2417" s="45"/>
    </row>
    <row r="2418" spans="16:36" x14ac:dyDescent="0.2">
      <c r="P2418" s="73"/>
      <c r="AA2418" s="45"/>
      <c r="AB2418" s="45"/>
      <c r="AD2418" s="189"/>
      <c r="AE2418" s="189"/>
      <c r="AF2418" s="189"/>
      <c r="AG2418" s="189"/>
      <c r="AH2418" s="189"/>
      <c r="AI2418" s="45"/>
      <c r="AJ2418" s="45"/>
    </row>
    <row r="2419" spans="16:36" x14ac:dyDescent="0.2">
      <c r="P2419" s="73"/>
      <c r="AA2419" s="45"/>
      <c r="AB2419" s="45"/>
      <c r="AD2419" s="189"/>
      <c r="AE2419" s="189"/>
      <c r="AF2419" s="189"/>
      <c r="AG2419" s="189"/>
      <c r="AH2419" s="189"/>
      <c r="AI2419" s="45"/>
      <c r="AJ2419" s="45"/>
    </row>
    <row r="2420" spans="16:36" x14ac:dyDescent="0.2">
      <c r="P2420" s="73"/>
      <c r="AA2420" s="45"/>
      <c r="AB2420" s="45"/>
      <c r="AD2420" s="189"/>
      <c r="AE2420" s="189"/>
      <c r="AF2420" s="189"/>
      <c r="AG2420" s="189"/>
      <c r="AH2420" s="189"/>
      <c r="AI2420" s="45"/>
      <c r="AJ2420" s="45"/>
    </row>
    <row r="2421" spans="16:36" x14ac:dyDescent="0.2">
      <c r="P2421" s="73"/>
      <c r="AA2421" s="45"/>
      <c r="AB2421" s="45"/>
      <c r="AD2421" s="189"/>
      <c r="AE2421" s="189"/>
      <c r="AF2421" s="189"/>
      <c r="AG2421" s="189"/>
      <c r="AH2421" s="189"/>
      <c r="AI2421" s="45"/>
      <c r="AJ2421" s="45"/>
    </row>
    <row r="2422" spans="16:36" x14ac:dyDescent="0.2">
      <c r="P2422" s="73"/>
      <c r="AA2422" s="45"/>
      <c r="AB2422" s="45"/>
      <c r="AD2422" s="189"/>
      <c r="AE2422" s="189"/>
      <c r="AF2422" s="189"/>
      <c r="AG2422" s="189"/>
      <c r="AH2422" s="189"/>
      <c r="AI2422" s="45"/>
      <c r="AJ2422" s="45"/>
    </row>
    <row r="2423" spans="16:36" x14ac:dyDescent="0.2">
      <c r="P2423" s="73"/>
      <c r="AA2423" s="45"/>
      <c r="AB2423" s="45"/>
      <c r="AD2423" s="189"/>
      <c r="AE2423" s="189"/>
      <c r="AF2423" s="189"/>
      <c r="AG2423" s="189"/>
      <c r="AH2423" s="189"/>
      <c r="AI2423" s="45"/>
      <c r="AJ2423" s="45"/>
    </row>
    <row r="2424" spans="16:36" x14ac:dyDescent="0.2">
      <c r="P2424" s="73"/>
      <c r="AA2424" s="45"/>
      <c r="AB2424" s="45"/>
      <c r="AD2424" s="189"/>
      <c r="AE2424" s="189"/>
      <c r="AF2424" s="189"/>
      <c r="AG2424" s="189"/>
      <c r="AH2424" s="189"/>
      <c r="AI2424" s="45"/>
      <c r="AJ2424" s="45"/>
    </row>
    <row r="2425" spans="16:36" x14ac:dyDescent="0.2">
      <c r="P2425" s="73"/>
      <c r="AA2425" s="45"/>
      <c r="AB2425" s="45"/>
      <c r="AD2425" s="189"/>
      <c r="AE2425" s="189"/>
      <c r="AF2425" s="189"/>
      <c r="AG2425" s="189"/>
      <c r="AH2425" s="189"/>
      <c r="AI2425" s="45"/>
      <c r="AJ2425" s="45"/>
    </row>
    <row r="2426" spans="16:36" x14ac:dyDescent="0.2">
      <c r="P2426" s="73"/>
      <c r="AA2426" s="45"/>
      <c r="AB2426" s="45"/>
      <c r="AD2426" s="189"/>
      <c r="AE2426" s="189"/>
      <c r="AF2426" s="189"/>
      <c r="AG2426" s="189"/>
      <c r="AH2426" s="189"/>
      <c r="AI2426" s="45"/>
      <c r="AJ2426" s="45"/>
    </row>
    <row r="2427" spans="16:36" x14ac:dyDescent="0.2">
      <c r="P2427" s="73"/>
      <c r="AA2427" s="45"/>
      <c r="AB2427" s="45"/>
      <c r="AD2427" s="189"/>
      <c r="AE2427" s="189"/>
      <c r="AF2427" s="189"/>
      <c r="AG2427" s="189"/>
      <c r="AH2427" s="189"/>
      <c r="AI2427" s="45"/>
      <c r="AJ2427" s="45"/>
    </row>
    <row r="2428" spans="16:36" x14ac:dyDescent="0.2">
      <c r="P2428" s="73"/>
      <c r="AA2428" s="45"/>
      <c r="AB2428" s="45"/>
      <c r="AD2428" s="189"/>
      <c r="AE2428" s="189"/>
      <c r="AF2428" s="189"/>
      <c r="AG2428" s="189"/>
      <c r="AH2428" s="189"/>
      <c r="AI2428" s="45"/>
      <c r="AJ2428" s="45"/>
    </row>
    <row r="2429" spans="16:36" x14ac:dyDescent="0.2">
      <c r="P2429" s="73"/>
      <c r="AA2429" s="45"/>
      <c r="AB2429" s="45"/>
      <c r="AD2429" s="189"/>
      <c r="AE2429" s="189"/>
      <c r="AF2429" s="189"/>
      <c r="AG2429" s="189"/>
      <c r="AH2429" s="189"/>
      <c r="AI2429" s="45"/>
      <c r="AJ2429" s="45"/>
    </row>
    <row r="2430" spans="16:36" x14ac:dyDescent="0.2">
      <c r="P2430" s="73"/>
      <c r="AA2430" s="45"/>
      <c r="AB2430" s="45"/>
      <c r="AD2430" s="189"/>
      <c r="AE2430" s="189"/>
      <c r="AF2430" s="189"/>
      <c r="AG2430" s="189"/>
      <c r="AH2430" s="189"/>
      <c r="AI2430" s="45"/>
      <c r="AJ2430" s="45"/>
    </row>
    <row r="2431" spans="16:36" x14ac:dyDescent="0.2">
      <c r="P2431" s="73"/>
      <c r="AA2431" s="45"/>
      <c r="AB2431" s="45"/>
      <c r="AD2431" s="189"/>
      <c r="AE2431" s="189"/>
      <c r="AF2431" s="189"/>
      <c r="AG2431" s="189"/>
      <c r="AH2431" s="189"/>
      <c r="AI2431" s="45"/>
      <c r="AJ2431" s="45"/>
    </row>
    <row r="2432" spans="16:36" x14ac:dyDescent="0.2">
      <c r="P2432" s="73"/>
      <c r="AA2432" s="45"/>
      <c r="AB2432" s="45"/>
      <c r="AD2432" s="189"/>
      <c r="AE2432" s="189"/>
      <c r="AF2432" s="189"/>
      <c r="AG2432" s="189"/>
      <c r="AH2432" s="189"/>
      <c r="AI2432" s="45"/>
      <c r="AJ2432" s="45"/>
    </row>
    <row r="2433" spans="16:36" x14ac:dyDescent="0.2">
      <c r="P2433" s="73"/>
      <c r="AA2433" s="45"/>
      <c r="AB2433" s="45"/>
      <c r="AD2433" s="189"/>
      <c r="AE2433" s="189"/>
      <c r="AF2433" s="189"/>
      <c r="AG2433" s="189"/>
      <c r="AH2433" s="189"/>
      <c r="AI2433" s="45"/>
      <c r="AJ2433" s="45"/>
    </row>
    <row r="2434" spans="16:36" x14ac:dyDescent="0.2">
      <c r="P2434" s="73"/>
      <c r="AA2434" s="45"/>
      <c r="AB2434" s="45"/>
      <c r="AD2434" s="189"/>
      <c r="AE2434" s="189"/>
      <c r="AF2434" s="189"/>
      <c r="AG2434" s="189"/>
      <c r="AH2434" s="189"/>
      <c r="AI2434" s="45"/>
      <c r="AJ2434" s="45"/>
    </row>
    <row r="2435" spans="16:36" x14ac:dyDescent="0.2">
      <c r="P2435" s="73"/>
      <c r="AA2435" s="45"/>
      <c r="AB2435" s="45"/>
      <c r="AD2435" s="189"/>
      <c r="AE2435" s="189"/>
      <c r="AF2435" s="189"/>
      <c r="AG2435" s="189"/>
      <c r="AH2435" s="189"/>
      <c r="AI2435" s="45"/>
      <c r="AJ2435" s="45"/>
    </row>
    <row r="2436" spans="16:36" x14ac:dyDescent="0.2">
      <c r="P2436" s="73"/>
      <c r="AA2436" s="45"/>
      <c r="AB2436" s="45"/>
      <c r="AD2436" s="189"/>
      <c r="AE2436" s="189"/>
      <c r="AF2436" s="189"/>
      <c r="AG2436" s="189"/>
      <c r="AH2436" s="189"/>
      <c r="AI2436" s="45"/>
      <c r="AJ2436" s="45"/>
    </row>
    <row r="2437" spans="16:36" x14ac:dyDescent="0.2">
      <c r="P2437" s="73"/>
      <c r="AA2437" s="45"/>
      <c r="AB2437" s="45"/>
      <c r="AD2437" s="189"/>
      <c r="AE2437" s="189"/>
      <c r="AF2437" s="189"/>
      <c r="AG2437" s="189"/>
      <c r="AH2437" s="189"/>
      <c r="AI2437" s="45"/>
      <c r="AJ2437" s="45"/>
    </row>
    <row r="2438" spans="16:36" x14ac:dyDescent="0.2">
      <c r="P2438" s="73"/>
      <c r="AA2438" s="45"/>
      <c r="AB2438" s="45"/>
      <c r="AD2438" s="189"/>
      <c r="AE2438" s="189"/>
      <c r="AF2438" s="189"/>
      <c r="AG2438" s="189"/>
      <c r="AH2438" s="189"/>
      <c r="AI2438" s="45"/>
      <c r="AJ2438" s="45"/>
    </row>
    <row r="2439" spans="16:36" x14ac:dyDescent="0.2">
      <c r="P2439" s="73"/>
      <c r="AA2439" s="45"/>
      <c r="AB2439" s="45"/>
      <c r="AD2439" s="189"/>
      <c r="AE2439" s="189"/>
      <c r="AF2439" s="189"/>
      <c r="AG2439" s="189"/>
      <c r="AH2439" s="189"/>
      <c r="AI2439" s="45"/>
      <c r="AJ2439" s="45"/>
    </row>
    <row r="2440" spans="16:36" x14ac:dyDescent="0.2">
      <c r="P2440" s="73"/>
      <c r="AA2440" s="45"/>
      <c r="AB2440" s="45"/>
      <c r="AD2440" s="189"/>
      <c r="AE2440" s="189"/>
      <c r="AF2440" s="189"/>
      <c r="AG2440" s="189"/>
      <c r="AH2440" s="189"/>
      <c r="AI2440" s="45"/>
      <c r="AJ2440" s="45"/>
    </row>
    <row r="2441" spans="16:36" x14ac:dyDescent="0.2">
      <c r="P2441" s="73"/>
      <c r="AA2441" s="45"/>
      <c r="AB2441" s="45"/>
      <c r="AD2441" s="189"/>
      <c r="AE2441" s="189"/>
      <c r="AF2441" s="189"/>
      <c r="AG2441" s="189"/>
      <c r="AH2441" s="189"/>
      <c r="AI2441" s="45"/>
      <c r="AJ2441" s="45"/>
    </row>
    <row r="2442" spans="16:36" x14ac:dyDescent="0.2">
      <c r="P2442" s="73"/>
      <c r="AA2442" s="45"/>
      <c r="AB2442" s="45"/>
      <c r="AD2442" s="189"/>
      <c r="AE2442" s="189"/>
      <c r="AF2442" s="189"/>
      <c r="AG2442" s="189"/>
      <c r="AH2442" s="189"/>
      <c r="AI2442" s="45"/>
      <c r="AJ2442" s="45"/>
    </row>
    <row r="2443" spans="16:36" x14ac:dyDescent="0.2">
      <c r="P2443" s="73"/>
      <c r="AA2443" s="45"/>
      <c r="AB2443" s="45"/>
      <c r="AD2443" s="189"/>
      <c r="AE2443" s="189"/>
      <c r="AF2443" s="189"/>
      <c r="AG2443" s="189"/>
      <c r="AH2443" s="189"/>
      <c r="AI2443" s="45"/>
      <c r="AJ2443" s="45"/>
    </row>
    <row r="2444" spans="16:36" x14ac:dyDescent="0.2">
      <c r="P2444" s="73"/>
      <c r="AA2444" s="45"/>
      <c r="AB2444" s="45"/>
      <c r="AD2444" s="189"/>
      <c r="AE2444" s="189"/>
      <c r="AF2444" s="189"/>
      <c r="AG2444" s="189"/>
      <c r="AH2444" s="189"/>
      <c r="AI2444" s="45"/>
      <c r="AJ2444" s="45"/>
    </row>
    <row r="2445" spans="16:36" x14ac:dyDescent="0.2">
      <c r="P2445" s="73"/>
      <c r="AA2445" s="45"/>
      <c r="AB2445" s="45"/>
      <c r="AD2445" s="189"/>
      <c r="AE2445" s="189"/>
      <c r="AF2445" s="189"/>
      <c r="AG2445" s="189"/>
      <c r="AH2445" s="189"/>
      <c r="AI2445" s="45"/>
      <c r="AJ2445" s="45"/>
    </row>
    <row r="2446" spans="16:36" x14ac:dyDescent="0.2">
      <c r="P2446" s="73"/>
      <c r="AA2446" s="45"/>
      <c r="AB2446" s="45"/>
      <c r="AD2446" s="189"/>
      <c r="AE2446" s="189"/>
      <c r="AF2446" s="189"/>
      <c r="AG2446" s="189"/>
      <c r="AH2446" s="189"/>
      <c r="AI2446" s="45"/>
      <c r="AJ2446" s="45"/>
    </row>
    <row r="2447" spans="16:36" x14ac:dyDescent="0.2">
      <c r="P2447" s="73"/>
      <c r="AA2447" s="45"/>
      <c r="AB2447" s="45"/>
      <c r="AD2447" s="189"/>
      <c r="AE2447" s="189"/>
      <c r="AF2447" s="189"/>
      <c r="AG2447" s="189"/>
      <c r="AH2447" s="189"/>
      <c r="AI2447" s="45"/>
      <c r="AJ2447" s="45"/>
    </row>
    <row r="2448" spans="16:36" x14ac:dyDescent="0.2">
      <c r="P2448" s="73"/>
      <c r="AA2448" s="45"/>
      <c r="AB2448" s="45"/>
      <c r="AD2448" s="189"/>
      <c r="AE2448" s="189"/>
      <c r="AF2448" s="189"/>
      <c r="AG2448" s="189"/>
      <c r="AH2448" s="189"/>
      <c r="AI2448" s="45"/>
      <c r="AJ2448" s="45"/>
    </row>
    <row r="2449" spans="16:36" x14ac:dyDescent="0.2">
      <c r="P2449" s="73"/>
      <c r="AA2449" s="45"/>
      <c r="AB2449" s="45"/>
      <c r="AD2449" s="189"/>
      <c r="AE2449" s="189"/>
      <c r="AF2449" s="189"/>
      <c r="AG2449" s="189"/>
      <c r="AH2449" s="189"/>
      <c r="AI2449" s="45"/>
      <c r="AJ2449" s="45"/>
    </row>
    <row r="2450" spans="16:36" x14ac:dyDescent="0.2">
      <c r="P2450" s="73"/>
      <c r="AA2450" s="45"/>
      <c r="AB2450" s="45"/>
      <c r="AD2450" s="189"/>
      <c r="AE2450" s="189"/>
      <c r="AF2450" s="189"/>
      <c r="AG2450" s="189"/>
      <c r="AH2450" s="189"/>
      <c r="AI2450" s="45"/>
      <c r="AJ2450" s="45"/>
    </row>
    <row r="2451" spans="16:36" x14ac:dyDescent="0.2">
      <c r="P2451" s="73"/>
      <c r="AA2451" s="45"/>
      <c r="AB2451" s="45"/>
      <c r="AD2451" s="189"/>
      <c r="AE2451" s="189"/>
      <c r="AF2451" s="189"/>
      <c r="AG2451" s="189"/>
      <c r="AH2451" s="189"/>
      <c r="AI2451" s="45"/>
      <c r="AJ2451" s="45"/>
    </row>
    <row r="2452" spans="16:36" x14ac:dyDescent="0.2">
      <c r="P2452" s="73"/>
      <c r="AA2452" s="45"/>
      <c r="AB2452" s="45"/>
      <c r="AD2452" s="189"/>
      <c r="AE2452" s="189"/>
      <c r="AF2452" s="189"/>
      <c r="AG2452" s="189"/>
      <c r="AH2452" s="189"/>
      <c r="AI2452" s="45"/>
      <c r="AJ2452" s="45"/>
    </row>
    <row r="2453" spans="16:36" x14ac:dyDescent="0.2">
      <c r="P2453" s="73"/>
      <c r="AA2453" s="45"/>
      <c r="AB2453" s="45"/>
      <c r="AD2453" s="189"/>
      <c r="AE2453" s="189"/>
      <c r="AF2453" s="189"/>
      <c r="AG2453" s="189"/>
      <c r="AH2453" s="189"/>
      <c r="AI2453" s="45"/>
      <c r="AJ2453" s="45"/>
    </row>
    <row r="2454" spans="16:36" x14ac:dyDescent="0.2">
      <c r="P2454" s="73"/>
      <c r="AA2454" s="45"/>
      <c r="AB2454" s="45"/>
      <c r="AD2454" s="189"/>
      <c r="AE2454" s="189"/>
      <c r="AF2454" s="189"/>
      <c r="AG2454" s="189"/>
      <c r="AH2454" s="189"/>
      <c r="AI2454" s="45"/>
      <c r="AJ2454" s="45"/>
    </row>
    <row r="2455" spans="16:36" x14ac:dyDescent="0.2">
      <c r="P2455" s="73"/>
      <c r="AA2455" s="45"/>
      <c r="AB2455" s="45"/>
      <c r="AD2455" s="189"/>
      <c r="AE2455" s="189"/>
      <c r="AF2455" s="189"/>
      <c r="AG2455" s="189"/>
      <c r="AH2455" s="189"/>
      <c r="AI2455" s="45"/>
      <c r="AJ2455" s="45"/>
    </row>
    <row r="2456" spans="16:36" x14ac:dyDescent="0.2">
      <c r="P2456" s="73"/>
      <c r="AA2456" s="45"/>
      <c r="AB2456" s="45"/>
      <c r="AD2456" s="189"/>
      <c r="AE2456" s="189"/>
      <c r="AF2456" s="189"/>
      <c r="AG2456" s="189"/>
      <c r="AH2456" s="189"/>
      <c r="AI2456" s="45"/>
      <c r="AJ2456" s="45"/>
    </row>
    <row r="2457" spans="16:36" x14ac:dyDescent="0.2">
      <c r="P2457" s="73"/>
      <c r="AA2457" s="45"/>
      <c r="AB2457" s="45"/>
      <c r="AD2457" s="189"/>
      <c r="AE2457" s="189"/>
      <c r="AF2457" s="189"/>
      <c r="AG2457" s="189"/>
      <c r="AH2457" s="189"/>
      <c r="AI2457" s="45"/>
      <c r="AJ2457" s="45"/>
    </row>
    <row r="2458" spans="16:36" x14ac:dyDescent="0.2">
      <c r="P2458" s="73"/>
      <c r="AA2458" s="45"/>
      <c r="AB2458" s="45"/>
      <c r="AD2458" s="189"/>
      <c r="AE2458" s="189"/>
      <c r="AF2458" s="189"/>
      <c r="AG2458" s="189"/>
      <c r="AH2458" s="189"/>
      <c r="AI2458" s="45"/>
      <c r="AJ2458" s="45"/>
    </row>
    <row r="2459" spans="16:36" x14ac:dyDescent="0.2">
      <c r="P2459" s="73"/>
      <c r="AA2459" s="45"/>
      <c r="AB2459" s="45"/>
      <c r="AD2459" s="189"/>
      <c r="AE2459" s="189"/>
      <c r="AF2459" s="189"/>
      <c r="AG2459" s="189"/>
      <c r="AH2459" s="189"/>
      <c r="AI2459" s="45"/>
      <c r="AJ2459" s="45"/>
    </row>
    <row r="2460" spans="16:36" x14ac:dyDescent="0.2">
      <c r="P2460" s="73"/>
      <c r="AA2460" s="45"/>
      <c r="AB2460" s="45"/>
      <c r="AD2460" s="189"/>
      <c r="AE2460" s="189"/>
      <c r="AF2460" s="189"/>
      <c r="AG2460" s="189"/>
      <c r="AH2460" s="189"/>
      <c r="AI2460" s="45"/>
      <c r="AJ2460" s="45"/>
    </row>
    <row r="2461" spans="16:36" x14ac:dyDescent="0.2">
      <c r="P2461" s="73"/>
      <c r="AA2461" s="45"/>
      <c r="AB2461" s="45"/>
      <c r="AD2461" s="189"/>
      <c r="AE2461" s="189"/>
      <c r="AF2461" s="189"/>
      <c r="AG2461" s="189"/>
      <c r="AH2461" s="189"/>
      <c r="AI2461" s="45"/>
      <c r="AJ2461" s="45"/>
    </row>
    <row r="2462" spans="16:36" x14ac:dyDescent="0.2">
      <c r="P2462" s="73"/>
      <c r="AA2462" s="45"/>
      <c r="AB2462" s="45"/>
      <c r="AD2462" s="189"/>
      <c r="AE2462" s="189"/>
      <c r="AF2462" s="189"/>
      <c r="AG2462" s="189"/>
      <c r="AH2462" s="189"/>
      <c r="AI2462" s="45"/>
      <c r="AJ2462" s="45"/>
    </row>
    <row r="2463" spans="16:36" x14ac:dyDescent="0.2">
      <c r="P2463" s="73"/>
      <c r="AA2463" s="45"/>
      <c r="AB2463" s="45"/>
      <c r="AD2463" s="189"/>
      <c r="AE2463" s="189"/>
      <c r="AF2463" s="189"/>
      <c r="AG2463" s="189"/>
      <c r="AH2463" s="189"/>
      <c r="AI2463" s="45"/>
      <c r="AJ2463" s="45"/>
    </row>
    <row r="2464" spans="16:36" x14ac:dyDescent="0.2">
      <c r="P2464" s="73"/>
      <c r="AA2464" s="45"/>
      <c r="AB2464" s="45"/>
      <c r="AD2464" s="189"/>
      <c r="AE2464" s="189"/>
      <c r="AF2464" s="189"/>
      <c r="AG2464" s="189"/>
      <c r="AH2464" s="189"/>
      <c r="AI2464" s="45"/>
      <c r="AJ2464" s="45"/>
    </row>
    <row r="2465" spans="16:36" x14ac:dyDescent="0.2">
      <c r="P2465" s="73"/>
      <c r="AA2465" s="45"/>
      <c r="AB2465" s="45"/>
      <c r="AD2465" s="189"/>
      <c r="AE2465" s="189"/>
      <c r="AF2465" s="189"/>
      <c r="AG2465" s="189"/>
      <c r="AH2465" s="189"/>
      <c r="AI2465" s="45"/>
      <c r="AJ2465" s="45"/>
    </row>
    <row r="2466" spans="16:36" x14ac:dyDescent="0.2">
      <c r="P2466" s="73"/>
      <c r="AA2466" s="45"/>
      <c r="AB2466" s="45"/>
      <c r="AD2466" s="189"/>
      <c r="AE2466" s="189"/>
      <c r="AF2466" s="189"/>
      <c r="AG2466" s="189"/>
      <c r="AH2466" s="189"/>
      <c r="AI2466" s="45"/>
      <c r="AJ2466" s="45"/>
    </row>
    <row r="2467" spans="16:36" x14ac:dyDescent="0.2">
      <c r="P2467" s="73"/>
      <c r="AA2467" s="45"/>
      <c r="AB2467" s="45"/>
      <c r="AD2467" s="189"/>
      <c r="AE2467" s="189"/>
      <c r="AF2467" s="189"/>
      <c r="AG2467" s="189"/>
      <c r="AH2467" s="189"/>
      <c r="AI2467" s="45"/>
      <c r="AJ2467" s="45"/>
    </row>
    <row r="2468" spans="16:36" x14ac:dyDescent="0.2">
      <c r="P2468" s="73"/>
      <c r="AA2468" s="45"/>
      <c r="AB2468" s="45"/>
      <c r="AD2468" s="189"/>
      <c r="AE2468" s="189"/>
      <c r="AF2468" s="189"/>
      <c r="AG2468" s="189"/>
      <c r="AH2468" s="189"/>
      <c r="AI2468" s="45"/>
      <c r="AJ2468" s="45"/>
    </row>
    <row r="2469" spans="16:36" x14ac:dyDescent="0.2">
      <c r="P2469" s="73"/>
      <c r="AA2469" s="45"/>
      <c r="AB2469" s="45"/>
      <c r="AD2469" s="189"/>
      <c r="AE2469" s="189"/>
      <c r="AF2469" s="189"/>
      <c r="AG2469" s="189"/>
      <c r="AH2469" s="189"/>
      <c r="AI2469" s="45"/>
      <c r="AJ2469" s="45"/>
    </row>
    <row r="2470" spans="16:36" x14ac:dyDescent="0.2">
      <c r="P2470" s="73"/>
      <c r="AA2470" s="45"/>
      <c r="AB2470" s="45"/>
      <c r="AD2470" s="189"/>
      <c r="AE2470" s="189"/>
      <c r="AF2470" s="189"/>
      <c r="AG2470" s="189"/>
      <c r="AH2470" s="189"/>
      <c r="AI2470" s="45"/>
      <c r="AJ2470" s="45"/>
    </row>
    <row r="2471" spans="16:36" x14ac:dyDescent="0.2">
      <c r="P2471" s="73"/>
      <c r="AA2471" s="45"/>
      <c r="AB2471" s="45"/>
      <c r="AD2471" s="189"/>
      <c r="AE2471" s="189"/>
      <c r="AF2471" s="189"/>
      <c r="AG2471" s="189"/>
      <c r="AH2471" s="189"/>
      <c r="AI2471" s="45"/>
      <c r="AJ2471" s="45"/>
    </row>
    <row r="2472" spans="16:36" x14ac:dyDescent="0.2">
      <c r="P2472" s="73"/>
      <c r="AA2472" s="45"/>
      <c r="AB2472" s="45"/>
      <c r="AD2472" s="189"/>
      <c r="AE2472" s="189"/>
      <c r="AF2472" s="189"/>
      <c r="AG2472" s="189"/>
      <c r="AH2472" s="189"/>
      <c r="AI2472" s="45"/>
      <c r="AJ2472" s="45"/>
    </row>
    <row r="2473" spans="16:36" x14ac:dyDescent="0.2">
      <c r="P2473" s="73"/>
      <c r="AA2473" s="45"/>
      <c r="AB2473" s="45"/>
      <c r="AD2473" s="189"/>
      <c r="AE2473" s="189"/>
      <c r="AF2473" s="189"/>
      <c r="AG2473" s="189"/>
      <c r="AH2473" s="189"/>
      <c r="AI2473" s="45"/>
      <c r="AJ2473" s="45"/>
    </row>
    <row r="2474" spans="16:36" x14ac:dyDescent="0.2">
      <c r="P2474" s="73"/>
      <c r="AA2474" s="45"/>
      <c r="AB2474" s="45"/>
      <c r="AD2474" s="189"/>
      <c r="AE2474" s="189"/>
      <c r="AF2474" s="189"/>
      <c r="AG2474" s="189"/>
      <c r="AH2474" s="189"/>
      <c r="AI2474" s="45"/>
      <c r="AJ2474" s="45"/>
    </row>
    <row r="2475" spans="16:36" x14ac:dyDescent="0.2">
      <c r="P2475" s="73"/>
      <c r="AA2475" s="45"/>
      <c r="AB2475" s="45"/>
      <c r="AD2475" s="189"/>
      <c r="AE2475" s="189"/>
      <c r="AF2475" s="189"/>
      <c r="AG2475" s="189"/>
      <c r="AH2475" s="189"/>
      <c r="AI2475" s="45"/>
      <c r="AJ2475" s="45"/>
    </row>
    <row r="2476" spans="16:36" x14ac:dyDescent="0.2">
      <c r="P2476" s="73"/>
      <c r="AA2476" s="45"/>
      <c r="AB2476" s="45"/>
      <c r="AD2476" s="189"/>
      <c r="AE2476" s="189"/>
      <c r="AF2476" s="189"/>
      <c r="AG2476" s="189"/>
      <c r="AH2476" s="189"/>
      <c r="AI2476" s="45"/>
      <c r="AJ2476" s="45"/>
    </row>
    <row r="2477" spans="16:36" x14ac:dyDescent="0.2">
      <c r="P2477" s="73"/>
      <c r="AA2477" s="45"/>
      <c r="AB2477" s="45"/>
      <c r="AD2477" s="189"/>
      <c r="AE2477" s="189"/>
      <c r="AF2477" s="189"/>
      <c r="AG2477" s="189"/>
      <c r="AH2477" s="189"/>
      <c r="AI2477" s="45"/>
      <c r="AJ2477" s="45"/>
    </row>
    <row r="2478" spans="16:36" x14ac:dyDescent="0.2">
      <c r="P2478" s="73"/>
      <c r="AA2478" s="45"/>
      <c r="AB2478" s="45"/>
      <c r="AD2478" s="189"/>
      <c r="AE2478" s="189"/>
      <c r="AF2478" s="189"/>
      <c r="AG2478" s="189"/>
      <c r="AH2478" s="189"/>
      <c r="AI2478" s="45"/>
      <c r="AJ2478" s="45"/>
    </row>
    <row r="2479" spans="16:36" x14ac:dyDescent="0.2">
      <c r="P2479" s="73"/>
      <c r="AA2479" s="45"/>
      <c r="AB2479" s="45"/>
      <c r="AD2479" s="189"/>
      <c r="AE2479" s="189"/>
      <c r="AF2479" s="189"/>
      <c r="AG2479" s="189"/>
      <c r="AH2479" s="189"/>
      <c r="AI2479" s="45"/>
      <c r="AJ2479" s="45"/>
    </row>
    <row r="2480" spans="16:36" x14ac:dyDescent="0.2">
      <c r="P2480" s="73"/>
      <c r="AA2480" s="45"/>
      <c r="AB2480" s="45"/>
      <c r="AD2480" s="189"/>
      <c r="AE2480" s="189"/>
      <c r="AF2480" s="189"/>
      <c r="AG2480" s="189"/>
      <c r="AH2480" s="189"/>
      <c r="AI2480" s="45"/>
      <c r="AJ2480" s="45"/>
    </row>
    <row r="2481" spans="16:36" x14ac:dyDescent="0.2">
      <c r="P2481" s="73"/>
      <c r="AA2481" s="45"/>
      <c r="AB2481" s="45"/>
      <c r="AD2481" s="189"/>
      <c r="AE2481" s="189"/>
      <c r="AF2481" s="189"/>
      <c r="AG2481" s="189"/>
      <c r="AH2481" s="189"/>
      <c r="AI2481" s="45"/>
      <c r="AJ2481" s="45"/>
    </row>
    <row r="2482" spans="16:36" x14ac:dyDescent="0.2">
      <c r="P2482" s="73"/>
      <c r="AA2482" s="45"/>
      <c r="AB2482" s="45"/>
      <c r="AD2482" s="189"/>
      <c r="AE2482" s="189"/>
      <c r="AF2482" s="189"/>
      <c r="AG2482" s="189"/>
      <c r="AH2482" s="189"/>
      <c r="AI2482" s="45"/>
      <c r="AJ2482" s="45"/>
    </row>
    <row r="2483" spans="16:36" x14ac:dyDescent="0.2">
      <c r="P2483" s="73"/>
      <c r="AA2483" s="45"/>
      <c r="AB2483" s="45"/>
      <c r="AD2483" s="189"/>
      <c r="AE2483" s="189"/>
      <c r="AF2483" s="189"/>
      <c r="AG2483" s="189"/>
      <c r="AH2483" s="189"/>
      <c r="AI2483" s="45"/>
      <c r="AJ2483" s="45"/>
    </row>
    <row r="2484" spans="16:36" x14ac:dyDescent="0.2">
      <c r="P2484" s="73"/>
      <c r="AA2484" s="45"/>
      <c r="AB2484" s="45"/>
      <c r="AD2484" s="189"/>
      <c r="AE2484" s="189"/>
      <c r="AF2484" s="189"/>
      <c r="AG2484" s="189"/>
      <c r="AH2484" s="189"/>
      <c r="AI2484" s="45"/>
      <c r="AJ2484" s="45"/>
    </row>
    <row r="2485" spans="16:36" x14ac:dyDescent="0.2">
      <c r="P2485" s="73"/>
      <c r="AA2485" s="45"/>
      <c r="AB2485" s="45"/>
      <c r="AD2485" s="189"/>
      <c r="AE2485" s="189"/>
      <c r="AF2485" s="189"/>
      <c r="AG2485" s="189"/>
      <c r="AH2485" s="189"/>
      <c r="AI2485" s="45"/>
      <c r="AJ2485" s="45"/>
    </row>
    <row r="2486" spans="16:36" x14ac:dyDescent="0.2">
      <c r="P2486" s="73"/>
      <c r="AA2486" s="45"/>
      <c r="AB2486" s="45"/>
      <c r="AD2486" s="189"/>
      <c r="AE2486" s="189"/>
      <c r="AF2486" s="189"/>
      <c r="AG2486" s="189"/>
      <c r="AH2486" s="189"/>
      <c r="AI2486" s="45"/>
      <c r="AJ2486" s="45"/>
    </row>
    <row r="2487" spans="16:36" x14ac:dyDescent="0.2">
      <c r="P2487" s="73"/>
      <c r="AA2487" s="45"/>
      <c r="AB2487" s="45"/>
      <c r="AD2487" s="189"/>
      <c r="AE2487" s="189"/>
      <c r="AF2487" s="189"/>
      <c r="AG2487" s="189"/>
      <c r="AH2487" s="189"/>
      <c r="AI2487" s="45"/>
      <c r="AJ2487" s="45"/>
    </row>
    <row r="2488" spans="16:36" x14ac:dyDescent="0.2">
      <c r="P2488" s="73"/>
      <c r="AA2488" s="45"/>
      <c r="AB2488" s="45"/>
      <c r="AD2488" s="189"/>
      <c r="AE2488" s="189"/>
      <c r="AF2488" s="189"/>
      <c r="AG2488" s="189"/>
      <c r="AH2488" s="189"/>
      <c r="AI2488" s="45"/>
      <c r="AJ2488" s="45"/>
    </row>
    <row r="2489" spans="16:36" x14ac:dyDescent="0.2">
      <c r="P2489" s="73"/>
      <c r="AA2489" s="45"/>
      <c r="AB2489" s="45"/>
      <c r="AD2489" s="189"/>
      <c r="AE2489" s="189"/>
      <c r="AF2489" s="189"/>
      <c r="AG2489" s="189"/>
      <c r="AH2489" s="189"/>
      <c r="AI2489" s="45"/>
      <c r="AJ2489" s="45"/>
    </row>
    <row r="2490" spans="16:36" x14ac:dyDescent="0.2">
      <c r="P2490" s="73"/>
      <c r="AA2490" s="45"/>
      <c r="AB2490" s="45"/>
      <c r="AD2490" s="189"/>
      <c r="AE2490" s="189"/>
      <c r="AF2490" s="189"/>
      <c r="AG2490" s="189"/>
      <c r="AH2490" s="189"/>
      <c r="AI2490" s="45"/>
      <c r="AJ2490" s="45"/>
    </row>
    <row r="2491" spans="16:36" x14ac:dyDescent="0.2">
      <c r="P2491" s="73"/>
      <c r="AA2491" s="45"/>
      <c r="AB2491" s="45"/>
      <c r="AD2491" s="189"/>
      <c r="AE2491" s="189"/>
      <c r="AF2491" s="189"/>
      <c r="AG2491" s="189"/>
      <c r="AH2491" s="189"/>
      <c r="AI2491" s="45"/>
      <c r="AJ2491" s="45"/>
    </row>
    <row r="2492" spans="16:36" x14ac:dyDescent="0.2">
      <c r="P2492" s="73"/>
      <c r="AA2492" s="45"/>
      <c r="AB2492" s="45"/>
      <c r="AD2492" s="189"/>
      <c r="AE2492" s="189"/>
      <c r="AF2492" s="189"/>
      <c r="AG2492" s="189"/>
      <c r="AH2492" s="189"/>
      <c r="AI2492" s="45"/>
      <c r="AJ2492" s="45"/>
    </row>
    <row r="2493" spans="16:36" x14ac:dyDescent="0.2">
      <c r="P2493" s="73"/>
      <c r="AA2493" s="45"/>
      <c r="AB2493" s="45"/>
      <c r="AD2493" s="189"/>
      <c r="AE2493" s="189"/>
      <c r="AF2493" s="189"/>
      <c r="AG2493" s="189"/>
      <c r="AH2493" s="189"/>
      <c r="AI2493" s="45"/>
      <c r="AJ2493" s="45"/>
    </row>
    <row r="2494" spans="16:36" x14ac:dyDescent="0.2">
      <c r="P2494" s="73"/>
      <c r="AA2494" s="45"/>
      <c r="AB2494" s="45"/>
      <c r="AD2494" s="189"/>
      <c r="AE2494" s="189"/>
      <c r="AF2494" s="189"/>
      <c r="AG2494" s="189"/>
      <c r="AH2494" s="189"/>
      <c r="AI2494" s="45"/>
      <c r="AJ2494" s="45"/>
    </row>
    <row r="2495" spans="16:36" x14ac:dyDescent="0.2">
      <c r="P2495" s="73"/>
      <c r="AA2495" s="45"/>
      <c r="AB2495" s="45"/>
      <c r="AD2495" s="189"/>
      <c r="AE2495" s="189"/>
      <c r="AF2495" s="189"/>
      <c r="AG2495" s="189"/>
      <c r="AH2495" s="189"/>
      <c r="AI2495" s="45"/>
      <c r="AJ2495" s="45"/>
    </row>
    <row r="2496" spans="16:36" x14ac:dyDescent="0.2">
      <c r="P2496" s="73"/>
      <c r="AA2496" s="45"/>
      <c r="AB2496" s="45"/>
      <c r="AD2496" s="189"/>
      <c r="AE2496" s="189"/>
      <c r="AF2496" s="189"/>
      <c r="AG2496" s="189"/>
      <c r="AH2496" s="189"/>
      <c r="AI2496" s="45"/>
      <c r="AJ2496" s="45"/>
    </row>
    <row r="2497" spans="16:36" x14ac:dyDescent="0.2">
      <c r="P2497" s="73"/>
      <c r="AA2497" s="45"/>
      <c r="AB2497" s="45"/>
      <c r="AD2497" s="189"/>
      <c r="AE2497" s="189"/>
      <c r="AF2497" s="189"/>
      <c r="AG2497" s="189"/>
      <c r="AH2497" s="189"/>
      <c r="AI2497" s="45"/>
      <c r="AJ2497" s="45"/>
    </row>
    <row r="2498" spans="16:36" x14ac:dyDescent="0.2">
      <c r="P2498" s="73"/>
      <c r="AA2498" s="45"/>
      <c r="AB2498" s="45"/>
      <c r="AD2498" s="189"/>
      <c r="AE2498" s="189"/>
      <c r="AF2498" s="189"/>
      <c r="AG2498" s="189"/>
      <c r="AH2498" s="189"/>
      <c r="AI2498" s="45"/>
      <c r="AJ2498" s="45"/>
    </row>
    <row r="2499" spans="16:36" x14ac:dyDescent="0.2">
      <c r="P2499" s="73"/>
      <c r="AA2499" s="45"/>
      <c r="AB2499" s="45"/>
      <c r="AD2499" s="189"/>
      <c r="AE2499" s="189"/>
      <c r="AF2499" s="189"/>
      <c r="AG2499" s="189"/>
      <c r="AH2499" s="189"/>
      <c r="AI2499" s="45"/>
      <c r="AJ2499" s="45"/>
    </row>
    <row r="2500" spans="16:36" x14ac:dyDescent="0.2">
      <c r="P2500" s="73"/>
      <c r="AA2500" s="45"/>
      <c r="AB2500" s="45"/>
      <c r="AD2500" s="189"/>
      <c r="AE2500" s="189"/>
      <c r="AF2500" s="189"/>
      <c r="AG2500" s="189"/>
      <c r="AH2500" s="189"/>
      <c r="AI2500" s="45"/>
      <c r="AJ2500" s="45"/>
    </row>
    <row r="2501" spans="16:36" x14ac:dyDescent="0.2">
      <c r="P2501" s="73"/>
      <c r="AA2501" s="45"/>
      <c r="AB2501" s="45"/>
      <c r="AD2501" s="189"/>
      <c r="AE2501" s="189"/>
      <c r="AF2501" s="189"/>
      <c r="AG2501" s="189"/>
      <c r="AH2501" s="189"/>
      <c r="AI2501" s="45"/>
      <c r="AJ2501" s="45"/>
    </row>
    <row r="2502" spans="16:36" x14ac:dyDescent="0.2">
      <c r="P2502" s="73"/>
      <c r="AA2502" s="45"/>
      <c r="AB2502" s="45"/>
      <c r="AD2502" s="189"/>
      <c r="AE2502" s="189"/>
      <c r="AF2502" s="189"/>
      <c r="AG2502" s="189"/>
      <c r="AH2502" s="189"/>
      <c r="AI2502" s="45"/>
      <c r="AJ2502" s="45"/>
    </row>
    <row r="2503" spans="16:36" x14ac:dyDescent="0.2">
      <c r="P2503" s="73"/>
      <c r="AA2503" s="45"/>
      <c r="AB2503" s="45"/>
      <c r="AD2503" s="189"/>
      <c r="AE2503" s="189"/>
      <c r="AF2503" s="189"/>
      <c r="AG2503" s="189"/>
      <c r="AH2503" s="189"/>
      <c r="AI2503" s="45"/>
      <c r="AJ2503" s="45"/>
    </row>
    <row r="2504" spans="16:36" x14ac:dyDescent="0.2">
      <c r="P2504" s="73"/>
      <c r="AA2504" s="45"/>
      <c r="AB2504" s="45"/>
      <c r="AD2504" s="189"/>
      <c r="AE2504" s="189"/>
      <c r="AF2504" s="189"/>
      <c r="AG2504" s="189"/>
      <c r="AH2504" s="189"/>
      <c r="AI2504" s="45"/>
      <c r="AJ2504" s="45"/>
    </row>
    <row r="2505" spans="16:36" x14ac:dyDescent="0.2">
      <c r="P2505" s="73"/>
      <c r="AA2505" s="45"/>
      <c r="AB2505" s="45"/>
      <c r="AD2505" s="189"/>
      <c r="AE2505" s="189"/>
      <c r="AF2505" s="189"/>
      <c r="AG2505" s="189"/>
      <c r="AH2505" s="189"/>
      <c r="AI2505" s="45"/>
      <c r="AJ2505" s="45"/>
    </row>
    <row r="2506" spans="16:36" x14ac:dyDescent="0.2">
      <c r="P2506" s="73"/>
      <c r="AA2506" s="45"/>
      <c r="AB2506" s="45"/>
      <c r="AD2506" s="189"/>
      <c r="AE2506" s="189"/>
      <c r="AF2506" s="189"/>
      <c r="AG2506" s="189"/>
      <c r="AH2506" s="189"/>
      <c r="AI2506" s="45"/>
      <c r="AJ2506" s="45"/>
    </row>
    <row r="2507" spans="16:36" x14ac:dyDescent="0.2">
      <c r="P2507" s="73"/>
      <c r="AA2507" s="45"/>
      <c r="AB2507" s="45"/>
      <c r="AD2507" s="189"/>
      <c r="AE2507" s="189"/>
      <c r="AF2507" s="189"/>
      <c r="AG2507" s="189"/>
      <c r="AH2507" s="189"/>
      <c r="AI2507" s="45"/>
      <c r="AJ2507" s="45"/>
    </row>
    <row r="2508" spans="16:36" x14ac:dyDescent="0.2">
      <c r="P2508" s="73"/>
      <c r="AA2508" s="45"/>
      <c r="AB2508" s="45"/>
      <c r="AD2508" s="189"/>
      <c r="AE2508" s="189"/>
      <c r="AF2508" s="189"/>
      <c r="AG2508" s="189"/>
      <c r="AH2508" s="189"/>
      <c r="AI2508" s="45"/>
      <c r="AJ2508" s="45"/>
    </row>
    <row r="2509" spans="16:36" x14ac:dyDescent="0.2">
      <c r="P2509" s="73"/>
      <c r="AA2509" s="45"/>
      <c r="AB2509" s="45"/>
      <c r="AD2509" s="189"/>
      <c r="AE2509" s="189"/>
      <c r="AF2509" s="189"/>
      <c r="AG2509" s="189"/>
      <c r="AH2509" s="189"/>
      <c r="AI2509" s="45"/>
      <c r="AJ2509" s="45"/>
    </row>
    <row r="2510" spans="16:36" x14ac:dyDescent="0.2">
      <c r="P2510" s="73"/>
      <c r="AA2510" s="45"/>
      <c r="AB2510" s="45"/>
      <c r="AD2510" s="189"/>
      <c r="AE2510" s="189"/>
      <c r="AF2510" s="189"/>
      <c r="AG2510" s="189"/>
      <c r="AH2510" s="189"/>
      <c r="AI2510" s="45"/>
      <c r="AJ2510" s="45"/>
    </row>
    <row r="2511" spans="16:36" x14ac:dyDescent="0.2">
      <c r="P2511" s="73"/>
      <c r="AA2511" s="45"/>
      <c r="AB2511" s="45"/>
      <c r="AD2511" s="189"/>
      <c r="AE2511" s="189"/>
      <c r="AF2511" s="189"/>
      <c r="AG2511" s="189"/>
      <c r="AH2511" s="189"/>
      <c r="AI2511" s="45"/>
      <c r="AJ2511" s="45"/>
    </row>
    <row r="2512" spans="16:36" x14ac:dyDescent="0.2">
      <c r="P2512" s="73"/>
      <c r="AA2512" s="45"/>
      <c r="AB2512" s="45"/>
      <c r="AD2512" s="189"/>
      <c r="AE2512" s="189"/>
      <c r="AF2512" s="189"/>
      <c r="AG2512" s="189"/>
      <c r="AH2512" s="189"/>
      <c r="AI2512" s="45"/>
      <c r="AJ2512" s="45"/>
    </row>
    <row r="2513" spans="2:36" x14ac:dyDescent="0.2">
      <c r="P2513" s="73"/>
      <c r="AA2513" s="45"/>
      <c r="AB2513" s="45"/>
      <c r="AD2513" s="189"/>
      <c r="AE2513" s="189"/>
      <c r="AF2513" s="189"/>
      <c r="AG2513" s="189"/>
      <c r="AH2513" s="189"/>
      <c r="AI2513" s="45"/>
      <c r="AJ2513" s="45"/>
    </row>
    <row r="2514" spans="2:36" x14ac:dyDescent="0.2">
      <c r="P2514" s="73"/>
      <c r="AA2514" s="45"/>
      <c r="AB2514" s="45"/>
      <c r="AD2514" s="189"/>
      <c r="AE2514" s="189"/>
      <c r="AF2514" s="189"/>
      <c r="AG2514" s="189"/>
      <c r="AH2514" s="189"/>
      <c r="AI2514" s="45"/>
      <c r="AJ2514" s="45"/>
    </row>
    <row r="2515" spans="2:36" x14ac:dyDescent="0.2">
      <c r="P2515" s="73"/>
      <c r="AA2515" s="45"/>
      <c r="AB2515" s="45"/>
      <c r="AD2515" s="189"/>
      <c r="AE2515" s="189"/>
      <c r="AF2515" s="189"/>
      <c r="AG2515" s="189"/>
      <c r="AH2515" s="189"/>
      <c r="AI2515" s="45"/>
      <c r="AJ2515" s="45"/>
    </row>
    <row r="2516" spans="2:36" x14ac:dyDescent="0.2">
      <c r="P2516" s="73"/>
      <c r="AA2516" s="45"/>
      <c r="AB2516" s="45"/>
      <c r="AD2516" s="189"/>
      <c r="AE2516" s="189"/>
      <c r="AF2516" s="189"/>
      <c r="AG2516" s="189"/>
      <c r="AH2516" s="189"/>
      <c r="AI2516" s="45"/>
      <c r="AJ2516" s="45"/>
    </row>
    <row r="2517" spans="2:36" x14ac:dyDescent="0.2">
      <c r="P2517" s="73"/>
      <c r="AA2517" s="45"/>
      <c r="AB2517" s="45"/>
      <c r="AD2517" s="189"/>
      <c r="AE2517" s="189"/>
      <c r="AF2517" s="189"/>
      <c r="AG2517" s="189"/>
      <c r="AH2517" s="189"/>
      <c r="AI2517" s="45"/>
      <c r="AJ2517" s="45"/>
    </row>
    <row r="2518" spans="2:36" x14ac:dyDescent="0.2">
      <c r="P2518" s="73"/>
      <c r="AA2518" s="45"/>
      <c r="AB2518" s="45"/>
      <c r="AD2518" s="189"/>
      <c r="AE2518" s="189"/>
      <c r="AF2518" s="189"/>
      <c r="AG2518" s="189"/>
      <c r="AH2518" s="189"/>
      <c r="AI2518" s="45"/>
      <c r="AJ2518" s="45"/>
    </row>
    <row r="2519" spans="2:36" x14ac:dyDescent="0.2">
      <c r="P2519" s="73"/>
      <c r="AA2519" s="45"/>
      <c r="AB2519" s="45"/>
      <c r="AD2519" s="189"/>
      <c r="AE2519" s="189"/>
      <c r="AF2519" s="189"/>
      <c r="AG2519" s="189"/>
      <c r="AH2519" s="189"/>
      <c r="AI2519" s="45"/>
      <c r="AJ2519" s="45"/>
    </row>
    <row r="2520" spans="2:36" x14ac:dyDescent="0.2">
      <c r="P2520" s="73"/>
      <c r="AA2520" s="45"/>
      <c r="AB2520" s="45"/>
      <c r="AD2520" s="189"/>
      <c r="AE2520" s="189"/>
      <c r="AF2520" s="189"/>
      <c r="AG2520" s="189"/>
      <c r="AH2520" s="189"/>
      <c r="AI2520" s="45"/>
      <c r="AJ2520" s="45"/>
    </row>
    <row r="2521" spans="2:36" x14ac:dyDescent="0.2">
      <c r="B2521" s="45"/>
      <c r="C2521" s="189"/>
      <c r="D2521" s="45"/>
      <c r="E2521" s="45"/>
      <c r="G2521" s="45"/>
      <c r="H2521" s="45"/>
      <c r="I2521" s="45"/>
      <c r="J2521" s="45"/>
      <c r="K2521" s="45"/>
      <c r="L2521" s="45"/>
      <c r="M2521" s="111"/>
      <c r="N2521" s="73"/>
      <c r="O2521" s="73"/>
      <c r="P2521" s="73"/>
      <c r="AA2521" s="45"/>
      <c r="AB2521" s="45"/>
      <c r="AD2521" s="189"/>
      <c r="AE2521" s="189"/>
      <c r="AF2521" s="189"/>
      <c r="AG2521" s="189"/>
      <c r="AH2521" s="189"/>
      <c r="AI2521" s="45"/>
      <c r="AJ2521" s="45"/>
    </row>
    <row r="2522" spans="2:36" x14ac:dyDescent="0.2">
      <c r="B2522" s="45"/>
      <c r="C2522" s="189"/>
      <c r="D2522" s="45"/>
      <c r="E2522" s="45"/>
      <c r="G2522" s="45"/>
      <c r="H2522" s="45"/>
      <c r="I2522" s="45"/>
      <c r="J2522" s="45"/>
      <c r="K2522" s="45"/>
      <c r="L2522" s="45"/>
      <c r="M2522" s="111"/>
      <c r="N2522" s="73"/>
      <c r="O2522" s="73"/>
      <c r="P2522" s="73"/>
      <c r="AA2522" s="45"/>
      <c r="AB2522" s="45"/>
      <c r="AD2522" s="189"/>
      <c r="AE2522" s="189"/>
      <c r="AF2522" s="189"/>
      <c r="AG2522" s="189"/>
      <c r="AH2522" s="189"/>
      <c r="AI2522" s="45"/>
      <c r="AJ2522" s="45"/>
    </row>
    <row r="2523" spans="2:36" x14ac:dyDescent="0.2">
      <c r="B2523" s="45"/>
      <c r="C2523" s="189"/>
      <c r="D2523" s="45"/>
      <c r="E2523" s="45"/>
      <c r="G2523" s="45"/>
      <c r="H2523" s="45"/>
      <c r="I2523" s="45"/>
      <c r="J2523" s="45"/>
      <c r="K2523" s="45"/>
      <c r="L2523" s="45"/>
      <c r="M2523" s="111"/>
      <c r="N2523" s="73"/>
      <c r="O2523" s="73"/>
      <c r="P2523" s="73"/>
      <c r="AA2523" s="45"/>
      <c r="AB2523" s="45"/>
      <c r="AD2523" s="189"/>
      <c r="AE2523" s="189"/>
      <c r="AF2523" s="189"/>
      <c r="AG2523" s="189"/>
      <c r="AH2523" s="189"/>
      <c r="AI2523" s="45"/>
      <c r="AJ2523" s="45"/>
    </row>
    <row r="2524" spans="2:36" x14ac:dyDescent="0.2">
      <c r="B2524" s="45"/>
      <c r="C2524" s="189"/>
      <c r="D2524" s="45"/>
      <c r="E2524" s="45"/>
      <c r="G2524" s="45"/>
      <c r="H2524" s="45"/>
      <c r="I2524" s="45"/>
      <c r="J2524" s="45"/>
      <c r="K2524" s="45"/>
      <c r="L2524" s="45"/>
      <c r="M2524" s="111"/>
      <c r="N2524" s="73"/>
      <c r="O2524" s="73"/>
      <c r="P2524" s="73"/>
      <c r="AA2524" s="45"/>
      <c r="AB2524" s="45"/>
      <c r="AD2524" s="189"/>
      <c r="AE2524" s="189"/>
      <c r="AF2524" s="189"/>
      <c r="AG2524" s="189"/>
      <c r="AH2524" s="189"/>
      <c r="AI2524" s="45"/>
      <c r="AJ2524" s="45"/>
    </row>
    <row r="2525" spans="2:36" x14ac:dyDescent="0.2">
      <c r="B2525" s="45"/>
      <c r="C2525" s="189"/>
      <c r="D2525" s="45"/>
      <c r="E2525" s="45"/>
      <c r="G2525" s="45"/>
      <c r="H2525" s="45"/>
      <c r="I2525" s="45"/>
      <c r="J2525" s="45"/>
      <c r="K2525" s="45"/>
      <c r="L2525" s="45"/>
      <c r="M2525" s="111"/>
      <c r="N2525" s="73"/>
      <c r="O2525" s="73"/>
      <c r="P2525" s="73"/>
      <c r="AA2525" s="45"/>
      <c r="AB2525" s="45"/>
      <c r="AD2525" s="189"/>
      <c r="AE2525" s="189"/>
      <c r="AF2525" s="189"/>
      <c r="AG2525" s="189"/>
      <c r="AH2525" s="189"/>
      <c r="AI2525" s="45"/>
      <c r="AJ2525" s="45"/>
    </row>
    <row r="2526" spans="2:36" x14ac:dyDescent="0.2">
      <c r="B2526" s="45"/>
      <c r="C2526" s="189"/>
      <c r="D2526" s="45"/>
      <c r="E2526" s="45"/>
      <c r="G2526" s="45"/>
      <c r="H2526" s="45"/>
      <c r="I2526" s="45"/>
      <c r="J2526" s="45"/>
      <c r="K2526" s="45"/>
      <c r="L2526" s="45"/>
      <c r="M2526" s="111"/>
      <c r="N2526" s="73"/>
      <c r="O2526" s="73"/>
      <c r="P2526" s="73"/>
      <c r="AA2526" s="45"/>
      <c r="AB2526" s="45"/>
      <c r="AD2526" s="189"/>
      <c r="AE2526" s="189"/>
      <c r="AF2526" s="189"/>
      <c r="AG2526" s="189"/>
      <c r="AH2526" s="189"/>
      <c r="AI2526" s="45"/>
      <c r="AJ2526" s="45"/>
    </row>
    <row r="2527" spans="2:36" x14ac:dyDescent="0.2">
      <c r="B2527" s="45"/>
      <c r="C2527" s="189"/>
      <c r="D2527" s="45"/>
      <c r="E2527" s="45"/>
      <c r="G2527" s="45"/>
      <c r="H2527" s="45"/>
      <c r="I2527" s="45"/>
      <c r="J2527" s="45"/>
      <c r="K2527" s="45"/>
      <c r="L2527" s="45"/>
      <c r="M2527" s="111"/>
      <c r="N2527" s="73"/>
      <c r="O2527" s="73"/>
      <c r="P2527" s="73"/>
      <c r="AA2527" s="45"/>
      <c r="AB2527" s="45"/>
      <c r="AD2527" s="189"/>
      <c r="AE2527" s="189"/>
      <c r="AF2527" s="189"/>
      <c r="AG2527" s="189"/>
      <c r="AH2527" s="189"/>
      <c r="AI2527" s="45"/>
      <c r="AJ2527" s="45"/>
    </row>
    <row r="2528" spans="2:36" x14ac:dyDescent="0.2">
      <c r="B2528" s="45"/>
      <c r="C2528" s="189"/>
      <c r="D2528" s="45"/>
      <c r="E2528" s="45"/>
      <c r="G2528" s="45"/>
      <c r="H2528" s="45"/>
      <c r="I2528" s="45"/>
      <c r="J2528" s="45"/>
      <c r="K2528" s="45"/>
      <c r="L2528" s="45"/>
      <c r="M2528" s="111"/>
      <c r="N2528" s="73"/>
      <c r="O2528" s="73"/>
      <c r="P2528" s="73"/>
      <c r="AA2528" s="45"/>
      <c r="AB2528" s="45"/>
      <c r="AD2528" s="189"/>
      <c r="AE2528" s="189"/>
      <c r="AF2528" s="189"/>
      <c r="AG2528" s="189"/>
      <c r="AH2528" s="189"/>
      <c r="AI2528" s="45"/>
      <c r="AJ2528" s="45"/>
    </row>
    <row r="2529" spans="2:36" x14ac:dyDescent="0.2">
      <c r="B2529" s="45"/>
      <c r="C2529" s="189"/>
      <c r="D2529" s="45"/>
      <c r="E2529" s="45"/>
      <c r="G2529" s="45"/>
      <c r="H2529" s="45"/>
      <c r="I2529" s="45"/>
      <c r="J2529" s="45"/>
      <c r="K2529" s="45"/>
      <c r="L2529" s="45"/>
      <c r="M2529" s="111"/>
      <c r="N2529" s="73"/>
      <c r="O2529" s="73"/>
      <c r="P2529" s="73"/>
      <c r="AA2529" s="45"/>
      <c r="AB2529" s="45"/>
      <c r="AD2529" s="189"/>
      <c r="AE2529" s="189"/>
      <c r="AF2529" s="189"/>
      <c r="AG2529" s="189"/>
      <c r="AH2529" s="189"/>
      <c r="AI2529" s="45"/>
      <c r="AJ2529" s="45"/>
    </row>
    <row r="2530" spans="2:36" x14ac:dyDescent="0.2">
      <c r="B2530" s="45"/>
      <c r="C2530" s="189"/>
      <c r="D2530" s="45"/>
      <c r="E2530" s="45"/>
      <c r="G2530" s="45"/>
      <c r="H2530" s="45"/>
      <c r="I2530" s="45"/>
      <c r="J2530" s="45"/>
      <c r="K2530" s="45"/>
      <c r="L2530" s="45"/>
      <c r="M2530" s="111"/>
      <c r="N2530" s="73"/>
      <c r="O2530" s="73"/>
      <c r="P2530" s="73"/>
      <c r="AA2530" s="45"/>
      <c r="AB2530" s="45"/>
      <c r="AD2530" s="189"/>
      <c r="AE2530" s="189"/>
      <c r="AF2530" s="189"/>
      <c r="AG2530" s="189"/>
      <c r="AH2530" s="189"/>
      <c r="AI2530" s="45"/>
      <c r="AJ2530" s="45"/>
    </row>
    <row r="2531" spans="2:36" x14ac:dyDescent="0.2">
      <c r="B2531" s="45"/>
      <c r="C2531" s="189"/>
      <c r="D2531" s="45"/>
      <c r="E2531" s="45"/>
      <c r="G2531" s="45"/>
      <c r="H2531" s="45"/>
      <c r="I2531" s="45"/>
      <c r="J2531" s="45"/>
      <c r="K2531" s="45"/>
      <c r="L2531" s="45"/>
      <c r="M2531" s="111"/>
      <c r="N2531" s="73"/>
      <c r="O2531" s="73"/>
      <c r="P2531" s="73"/>
      <c r="AA2531" s="45"/>
      <c r="AB2531" s="45"/>
      <c r="AD2531" s="189"/>
      <c r="AE2531" s="189"/>
      <c r="AF2531" s="189"/>
      <c r="AG2531" s="189"/>
      <c r="AH2531" s="189"/>
      <c r="AI2531" s="45"/>
      <c r="AJ2531" s="45"/>
    </row>
    <row r="2532" spans="2:36" x14ac:dyDescent="0.2">
      <c r="B2532" s="45"/>
      <c r="C2532" s="189"/>
      <c r="D2532" s="45"/>
      <c r="E2532" s="45"/>
      <c r="G2532" s="45"/>
      <c r="H2532" s="45"/>
      <c r="I2532" s="45"/>
      <c r="J2532" s="45"/>
      <c r="K2532" s="45"/>
      <c r="L2532" s="45"/>
      <c r="M2532" s="111"/>
      <c r="N2532" s="73"/>
      <c r="O2532" s="73"/>
      <c r="P2532" s="73"/>
      <c r="AA2532" s="45"/>
      <c r="AB2532" s="45"/>
      <c r="AD2532" s="189"/>
      <c r="AE2532" s="189"/>
      <c r="AF2532" s="189"/>
      <c r="AG2532" s="189"/>
      <c r="AH2532" s="189"/>
      <c r="AI2532" s="45"/>
      <c r="AJ2532" s="45"/>
    </row>
    <row r="2533" spans="2:36" x14ac:dyDescent="0.2">
      <c r="B2533" s="45"/>
      <c r="C2533" s="189"/>
      <c r="D2533" s="45"/>
      <c r="E2533" s="45"/>
      <c r="G2533" s="45"/>
      <c r="H2533" s="45"/>
      <c r="I2533" s="45"/>
      <c r="J2533" s="45"/>
      <c r="K2533" s="45"/>
      <c r="L2533" s="45"/>
      <c r="M2533" s="111"/>
      <c r="N2533" s="73"/>
      <c r="O2533" s="73"/>
      <c r="P2533" s="73"/>
      <c r="AA2533" s="45"/>
      <c r="AB2533" s="45"/>
      <c r="AD2533" s="189"/>
      <c r="AE2533" s="189"/>
      <c r="AF2533" s="189"/>
      <c r="AG2533" s="189"/>
      <c r="AH2533" s="189"/>
      <c r="AI2533" s="45"/>
      <c r="AJ2533" s="45"/>
    </row>
    <row r="2534" spans="2:36" x14ac:dyDescent="0.2">
      <c r="B2534" s="45"/>
      <c r="C2534" s="189"/>
      <c r="D2534" s="45"/>
      <c r="E2534" s="45"/>
      <c r="G2534" s="45"/>
      <c r="H2534" s="45"/>
      <c r="I2534" s="45"/>
      <c r="J2534" s="45"/>
      <c r="K2534" s="45"/>
      <c r="L2534" s="45"/>
      <c r="M2534" s="111"/>
      <c r="N2534" s="73"/>
      <c r="O2534" s="73"/>
      <c r="P2534" s="73"/>
      <c r="AA2534" s="45"/>
      <c r="AB2534" s="45"/>
      <c r="AD2534" s="189"/>
      <c r="AE2534" s="189"/>
      <c r="AF2534" s="189"/>
      <c r="AG2534" s="189"/>
      <c r="AH2534" s="189"/>
      <c r="AI2534" s="45"/>
      <c r="AJ2534" s="45"/>
    </row>
    <row r="2535" spans="2:36" x14ac:dyDescent="0.2">
      <c r="B2535" s="45"/>
      <c r="C2535" s="189"/>
      <c r="D2535" s="45"/>
      <c r="E2535" s="45"/>
      <c r="G2535" s="45"/>
      <c r="H2535" s="45"/>
      <c r="I2535" s="45"/>
      <c r="J2535" s="45"/>
      <c r="K2535" s="45"/>
      <c r="L2535" s="45"/>
      <c r="M2535" s="111"/>
      <c r="N2535" s="73"/>
      <c r="O2535" s="73"/>
      <c r="P2535" s="73"/>
      <c r="AA2535" s="45"/>
      <c r="AB2535" s="45"/>
      <c r="AD2535" s="189"/>
      <c r="AE2535" s="189"/>
      <c r="AF2535" s="189"/>
      <c r="AG2535" s="189"/>
      <c r="AH2535" s="189"/>
      <c r="AI2535" s="45"/>
      <c r="AJ2535" s="45"/>
    </row>
    <row r="2536" spans="2:36" x14ac:dyDescent="0.2">
      <c r="B2536" s="45"/>
      <c r="C2536" s="189"/>
      <c r="D2536" s="45"/>
      <c r="E2536" s="45"/>
      <c r="G2536" s="45"/>
      <c r="H2536" s="45"/>
      <c r="I2536" s="45"/>
      <c r="J2536" s="45"/>
      <c r="K2536" s="45"/>
      <c r="L2536" s="45"/>
      <c r="M2536" s="111"/>
      <c r="N2536" s="73"/>
      <c r="O2536" s="73"/>
      <c r="P2536" s="73"/>
      <c r="AA2536" s="45"/>
      <c r="AB2536" s="45"/>
      <c r="AD2536" s="189"/>
      <c r="AE2536" s="189"/>
      <c r="AF2536" s="189"/>
      <c r="AG2536" s="189"/>
      <c r="AH2536" s="189"/>
      <c r="AI2536" s="45"/>
      <c r="AJ2536" s="45"/>
    </row>
    <row r="2537" spans="2:36" x14ac:dyDescent="0.2">
      <c r="B2537" s="45"/>
      <c r="C2537" s="189"/>
      <c r="D2537" s="45"/>
      <c r="E2537" s="45"/>
      <c r="G2537" s="45"/>
      <c r="H2537" s="45"/>
      <c r="I2537" s="45"/>
      <c r="J2537" s="45"/>
      <c r="K2537" s="45"/>
      <c r="L2537" s="45"/>
      <c r="M2537" s="111"/>
      <c r="N2537" s="73"/>
      <c r="O2537" s="73"/>
      <c r="P2537" s="73"/>
      <c r="AA2537" s="45"/>
      <c r="AB2537" s="45"/>
      <c r="AD2537" s="189"/>
      <c r="AE2537" s="189"/>
      <c r="AF2537" s="189"/>
      <c r="AG2537" s="189"/>
      <c r="AH2537" s="189"/>
      <c r="AI2537" s="45"/>
      <c r="AJ2537" s="45"/>
    </row>
    <row r="2538" spans="2:36" x14ac:dyDescent="0.2">
      <c r="B2538" s="45"/>
      <c r="C2538" s="189"/>
      <c r="D2538" s="45"/>
      <c r="E2538" s="45"/>
      <c r="G2538" s="45"/>
      <c r="H2538" s="45"/>
      <c r="I2538" s="45"/>
      <c r="J2538" s="45"/>
      <c r="K2538" s="45"/>
      <c r="L2538" s="45"/>
      <c r="M2538" s="111"/>
      <c r="N2538" s="73"/>
      <c r="O2538" s="73"/>
      <c r="P2538" s="73"/>
      <c r="AA2538" s="45"/>
      <c r="AB2538" s="45"/>
      <c r="AD2538" s="189"/>
      <c r="AE2538" s="189"/>
      <c r="AF2538" s="189"/>
      <c r="AG2538" s="189"/>
      <c r="AH2538" s="189"/>
      <c r="AI2538" s="45"/>
      <c r="AJ2538" s="45"/>
    </row>
    <row r="2539" spans="2:36" x14ac:dyDescent="0.2">
      <c r="B2539" s="45"/>
      <c r="C2539" s="189"/>
      <c r="D2539" s="45"/>
      <c r="E2539" s="45"/>
      <c r="G2539" s="45"/>
      <c r="H2539" s="45"/>
      <c r="I2539" s="45"/>
      <c r="J2539" s="45"/>
      <c r="K2539" s="45"/>
      <c r="L2539" s="45"/>
      <c r="M2539" s="111"/>
      <c r="N2539" s="73"/>
      <c r="O2539" s="73"/>
      <c r="P2539" s="73"/>
      <c r="AA2539" s="45"/>
      <c r="AB2539" s="45"/>
      <c r="AD2539" s="189"/>
      <c r="AE2539" s="189"/>
      <c r="AF2539" s="189"/>
      <c r="AG2539" s="189"/>
      <c r="AH2539" s="189"/>
      <c r="AI2539" s="45"/>
      <c r="AJ2539" s="45"/>
    </row>
    <row r="2540" spans="2:36" x14ac:dyDescent="0.2">
      <c r="B2540" s="45"/>
      <c r="C2540" s="189"/>
      <c r="D2540" s="45"/>
      <c r="E2540" s="45"/>
      <c r="G2540" s="45"/>
      <c r="H2540" s="45"/>
      <c r="I2540" s="45"/>
      <c r="J2540" s="45"/>
      <c r="K2540" s="45"/>
      <c r="L2540" s="45"/>
      <c r="M2540" s="111"/>
      <c r="N2540" s="73"/>
      <c r="O2540" s="73"/>
      <c r="P2540" s="73"/>
      <c r="AA2540" s="45"/>
      <c r="AB2540" s="45"/>
      <c r="AD2540" s="189"/>
      <c r="AE2540" s="189"/>
      <c r="AF2540" s="189"/>
      <c r="AG2540" s="189"/>
      <c r="AH2540" s="189"/>
      <c r="AI2540" s="45"/>
      <c r="AJ2540" s="45"/>
    </row>
    <row r="2541" spans="2:36" x14ac:dyDescent="0.2">
      <c r="B2541" s="45"/>
      <c r="C2541" s="189"/>
      <c r="D2541" s="45"/>
      <c r="E2541" s="45"/>
      <c r="G2541" s="45"/>
      <c r="H2541" s="45"/>
      <c r="I2541" s="45"/>
      <c r="J2541" s="45"/>
      <c r="K2541" s="45"/>
      <c r="L2541" s="45"/>
      <c r="M2541" s="111"/>
      <c r="N2541" s="73"/>
      <c r="O2541" s="73"/>
      <c r="P2541" s="73"/>
      <c r="AA2541" s="45"/>
      <c r="AB2541" s="45"/>
      <c r="AD2541" s="189"/>
      <c r="AE2541" s="189"/>
      <c r="AF2541" s="189"/>
      <c r="AG2541" s="189"/>
      <c r="AH2541" s="189"/>
      <c r="AI2541" s="45"/>
      <c r="AJ2541" s="45"/>
    </row>
    <row r="2542" spans="2:36" x14ac:dyDescent="0.2">
      <c r="B2542" s="45"/>
      <c r="C2542" s="189"/>
      <c r="D2542" s="45"/>
      <c r="E2542" s="45"/>
      <c r="G2542" s="45"/>
      <c r="H2542" s="45"/>
      <c r="I2542" s="45"/>
      <c r="J2542" s="45"/>
      <c r="K2542" s="45"/>
      <c r="L2542" s="45"/>
      <c r="M2542" s="111"/>
      <c r="N2542" s="73"/>
      <c r="O2542" s="73"/>
      <c r="P2542" s="73"/>
      <c r="AA2542" s="45"/>
      <c r="AB2542" s="45"/>
      <c r="AD2542" s="189"/>
      <c r="AE2542" s="189"/>
      <c r="AF2542" s="189"/>
      <c r="AG2542" s="189"/>
      <c r="AH2542" s="189"/>
      <c r="AI2542" s="45"/>
      <c r="AJ2542" s="45"/>
    </row>
    <row r="2543" spans="2:36" x14ac:dyDescent="0.2">
      <c r="B2543" s="45"/>
      <c r="C2543" s="189"/>
      <c r="D2543" s="45"/>
      <c r="E2543" s="45"/>
      <c r="G2543" s="45"/>
      <c r="H2543" s="45"/>
      <c r="I2543" s="45"/>
      <c r="J2543" s="45"/>
      <c r="K2543" s="45"/>
      <c r="L2543" s="45"/>
      <c r="M2543" s="111"/>
      <c r="N2543" s="73"/>
      <c r="O2543" s="73"/>
      <c r="P2543" s="73"/>
      <c r="AA2543" s="45"/>
      <c r="AB2543" s="45"/>
      <c r="AD2543" s="189"/>
      <c r="AE2543" s="189"/>
      <c r="AF2543" s="189"/>
      <c r="AG2543" s="189"/>
      <c r="AH2543" s="189"/>
      <c r="AI2543" s="45"/>
      <c r="AJ2543" s="45"/>
    </row>
    <row r="2544" spans="2:36" x14ac:dyDescent="0.2">
      <c r="B2544" s="45"/>
      <c r="C2544" s="189"/>
      <c r="D2544" s="45"/>
      <c r="E2544" s="45"/>
      <c r="G2544" s="45"/>
      <c r="H2544" s="45"/>
      <c r="I2544" s="45"/>
      <c r="J2544" s="45"/>
      <c r="K2544" s="45"/>
      <c r="L2544" s="45"/>
      <c r="M2544" s="111"/>
      <c r="N2544" s="73"/>
      <c r="O2544" s="73"/>
      <c r="P2544" s="73"/>
      <c r="AA2544" s="45"/>
      <c r="AB2544" s="45"/>
      <c r="AD2544" s="189"/>
      <c r="AE2544" s="189"/>
      <c r="AF2544" s="189"/>
      <c r="AG2544" s="189"/>
      <c r="AH2544" s="189"/>
      <c r="AI2544" s="45"/>
      <c r="AJ2544" s="45"/>
    </row>
    <row r="2545" spans="2:36" x14ac:dyDescent="0.2">
      <c r="B2545" s="45"/>
      <c r="C2545" s="189"/>
      <c r="D2545" s="45"/>
      <c r="E2545" s="45"/>
      <c r="G2545" s="45"/>
      <c r="H2545" s="45"/>
      <c r="I2545" s="45"/>
      <c r="J2545" s="45"/>
      <c r="K2545" s="45"/>
      <c r="L2545" s="45"/>
      <c r="M2545" s="111"/>
      <c r="N2545" s="73"/>
      <c r="O2545" s="73"/>
      <c r="P2545" s="73"/>
      <c r="AA2545" s="45"/>
      <c r="AB2545" s="45"/>
      <c r="AD2545" s="189"/>
      <c r="AE2545" s="189"/>
      <c r="AF2545" s="189"/>
      <c r="AG2545" s="189"/>
      <c r="AH2545" s="189"/>
      <c r="AI2545" s="45"/>
      <c r="AJ2545" s="45"/>
    </row>
    <row r="2546" spans="2:36" x14ac:dyDescent="0.2">
      <c r="B2546" s="45"/>
      <c r="C2546" s="189"/>
      <c r="D2546" s="45"/>
      <c r="E2546" s="45"/>
      <c r="G2546" s="45"/>
      <c r="H2546" s="45"/>
      <c r="I2546" s="45"/>
      <c r="J2546" s="45"/>
      <c r="K2546" s="45"/>
      <c r="L2546" s="45"/>
      <c r="M2546" s="111"/>
      <c r="N2546" s="73"/>
      <c r="O2546" s="73"/>
      <c r="P2546" s="73"/>
      <c r="AA2546" s="45"/>
      <c r="AB2546" s="45"/>
      <c r="AD2546" s="189"/>
      <c r="AE2546" s="189"/>
      <c r="AF2546" s="189"/>
      <c r="AG2546" s="189"/>
      <c r="AH2546" s="189"/>
      <c r="AI2546" s="45"/>
      <c r="AJ2546" s="45"/>
    </row>
    <row r="2547" spans="2:36" x14ac:dyDescent="0.2">
      <c r="B2547" s="45"/>
      <c r="C2547" s="189"/>
      <c r="D2547" s="45"/>
      <c r="E2547" s="45"/>
      <c r="G2547" s="45"/>
      <c r="H2547" s="45"/>
      <c r="I2547" s="45"/>
      <c r="J2547" s="45"/>
      <c r="K2547" s="45"/>
      <c r="L2547" s="45"/>
      <c r="M2547" s="111"/>
      <c r="N2547" s="73"/>
      <c r="O2547" s="73"/>
      <c r="P2547" s="73"/>
      <c r="AA2547" s="45"/>
      <c r="AB2547" s="45"/>
      <c r="AD2547" s="189"/>
      <c r="AE2547" s="189"/>
      <c r="AF2547" s="189"/>
      <c r="AG2547" s="189"/>
      <c r="AH2547" s="189"/>
      <c r="AI2547" s="45"/>
      <c r="AJ2547" s="45"/>
    </row>
    <row r="2548" spans="2:36" x14ac:dyDescent="0.2">
      <c r="B2548" s="45"/>
      <c r="C2548" s="189"/>
      <c r="D2548" s="45"/>
      <c r="E2548" s="45"/>
      <c r="G2548" s="45"/>
      <c r="H2548" s="45"/>
      <c r="I2548" s="45"/>
      <c r="J2548" s="45"/>
      <c r="K2548" s="45"/>
      <c r="L2548" s="45"/>
      <c r="M2548" s="111"/>
      <c r="N2548" s="73"/>
      <c r="O2548" s="73"/>
      <c r="P2548" s="73"/>
      <c r="AA2548" s="45"/>
      <c r="AB2548" s="45"/>
      <c r="AD2548" s="189"/>
      <c r="AE2548" s="189"/>
      <c r="AF2548" s="189"/>
      <c r="AG2548" s="189"/>
      <c r="AH2548" s="189"/>
      <c r="AI2548" s="45"/>
      <c r="AJ2548" s="45"/>
    </row>
    <row r="2549" spans="2:36" x14ac:dyDescent="0.2">
      <c r="B2549" s="45"/>
      <c r="C2549" s="189"/>
      <c r="D2549" s="45"/>
      <c r="E2549" s="45"/>
      <c r="G2549" s="45"/>
      <c r="H2549" s="45"/>
      <c r="I2549" s="45"/>
      <c r="J2549" s="45"/>
      <c r="K2549" s="45"/>
      <c r="L2549" s="45"/>
      <c r="M2549" s="111"/>
      <c r="N2549" s="73"/>
      <c r="O2549" s="73"/>
      <c r="P2549" s="73"/>
      <c r="AA2549" s="45"/>
      <c r="AB2549" s="45"/>
      <c r="AD2549" s="189"/>
      <c r="AE2549" s="189"/>
      <c r="AF2549" s="189"/>
      <c r="AG2549" s="189"/>
      <c r="AH2549" s="189"/>
      <c r="AI2549" s="45"/>
      <c r="AJ2549" s="45"/>
    </row>
    <row r="2550" spans="2:36" x14ac:dyDescent="0.2">
      <c r="B2550" s="45"/>
      <c r="C2550" s="189"/>
      <c r="D2550" s="45"/>
      <c r="E2550" s="45"/>
      <c r="G2550" s="45"/>
      <c r="H2550" s="45"/>
      <c r="I2550" s="45"/>
      <c r="J2550" s="45"/>
      <c r="K2550" s="45"/>
      <c r="L2550" s="45"/>
      <c r="M2550" s="111"/>
      <c r="N2550" s="73"/>
      <c r="O2550" s="73"/>
      <c r="P2550" s="73"/>
      <c r="AA2550" s="45"/>
      <c r="AB2550" s="45"/>
      <c r="AD2550" s="189"/>
      <c r="AE2550" s="189"/>
      <c r="AF2550" s="189"/>
      <c r="AG2550" s="189"/>
      <c r="AH2550" s="189"/>
      <c r="AI2550" s="45"/>
      <c r="AJ2550" s="45"/>
    </row>
    <row r="2551" spans="2:36" x14ac:dyDescent="0.2">
      <c r="B2551" s="45"/>
      <c r="C2551" s="189"/>
      <c r="D2551" s="45"/>
      <c r="E2551" s="45"/>
      <c r="G2551" s="45"/>
      <c r="H2551" s="45"/>
      <c r="I2551" s="45"/>
      <c r="J2551" s="45"/>
      <c r="K2551" s="45"/>
      <c r="L2551" s="45"/>
      <c r="M2551" s="111"/>
      <c r="N2551" s="73"/>
      <c r="O2551" s="73"/>
      <c r="P2551" s="73"/>
      <c r="AA2551" s="45"/>
      <c r="AB2551" s="45"/>
      <c r="AD2551" s="189"/>
      <c r="AE2551" s="189"/>
      <c r="AF2551" s="189"/>
      <c r="AG2551" s="189"/>
      <c r="AH2551" s="189"/>
      <c r="AI2551" s="45"/>
      <c r="AJ2551" s="45"/>
    </row>
    <row r="2552" spans="2:36" x14ac:dyDescent="0.2">
      <c r="B2552" s="45"/>
      <c r="C2552" s="189"/>
      <c r="D2552" s="45"/>
      <c r="E2552" s="45"/>
      <c r="G2552" s="45"/>
      <c r="H2552" s="45"/>
      <c r="I2552" s="45"/>
      <c r="J2552" s="45"/>
      <c r="K2552" s="45"/>
      <c r="L2552" s="45"/>
      <c r="M2552" s="111"/>
      <c r="N2552" s="73"/>
      <c r="O2552" s="73"/>
      <c r="P2552" s="73"/>
      <c r="AA2552" s="45"/>
      <c r="AB2552" s="45"/>
      <c r="AD2552" s="189"/>
      <c r="AE2552" s="189"/>
      <c r="AF2552" s="189"/>
      <c r="AG2552" s="189"/>
      <c r="AH2552" s="189"/>
      <c r="AI2552" s="45"/>
      <c r="AJ2552" s="45"/>
    </row>
    <row r="2553" spans="2:36" x14ac:dyDescent="0.2">
      <c r="B2553" s="45"/>
      <c r="C2553" s="189"/>
      <c r="D2553" s="45"/>
      <c r="E2553" s="45"/>
      <c r="G2553" s="45"/>
      <c r="H2553" s="45"/>
      <c r="I2553" s="45"/>
      <c r="J2553" s="45"/>
      <c r="K2553" s="45"/>
      <c r="L2553" s="45"/>
      <c r="M2553" s="111"/>
      <c r="N2553" s="73"/>
      <c r="O2553" s="73"/>
      <c r="P2553" s="73"/>
      <c r="AA2553" s="45"/>
      <c r="AB2553" s="45"/>
      <c r="AD2553" s="189"/>
      <c r="AE2553" s="189"/>
      <c r="AF2553" s="189"/>
      <c r="AG2553" s="189"/>
      <c r="AH2553" s="189"/>
      <c r="AI2553" s="45"/>
      <c r="AJ2553" s="45"/>
    </row>
    <row r="2554" spans="2:36" x14ac:dyDescent="0.2">
      <c r="B2554" s="45"/>
      <c r="C2554" s="189"/>
      <c r="D2554" s="45"/>
      <c r="E2554" s="45"/>
      <c r="G2554" s="45"/>
      <c r="H2554" s="45"/>
      <c r="I2554" s="45"/>
      <c r="J2554" s="45"/>
      <c r="K2554" s="45"/>
      <c r="L2554" s="45"/>
      <c r="M2554" s="111"/>
      <c r="N2554" s="73"/>
      <c r="O2554" s="73"/>
      <c r="P2554" s="73"/>
      <c r="AA2554" s="45"/>
      <c r="AB2554" s="45"/>
      <c r="AD2554" s="189"/>
      <c r="AE2554" s="189"/>
      <c r="AF2554" s="189"/>
      <c r="AG2554" s="189"/>
      <c r="AH2554" s="189"/>
      <c r="AI2554" s="45"/>
      <c r="AJ2554" s="45"/>
    </row>
    <row r="2555" spans="2:36" x14ac:dyDescent="0.2">
      <c r="B2555" s="45"/>
      <c r="C2555" s="189"/>
      <c r="D2555" s="45"/>
      <c r="E2555" s="45"/>
      <c r="G2555" s="45"/>
      <c r="H2555" s="45"/>
      <c r="I2555" s="45"/>
      <c r="J2555" s="45"/>
      <c r="K2555" s="45"/>
      <c r="L2555" s="45"/>
      <c r="M2555" s="111"/>
      <c r="N2555" s="73"/>
      <c r="O2555" s="73"/>
      <c r="P2555" s="73"/>
      <c r="AA2555" s="45"/>
      <c r="AB2555" s="45"/>
      <c r="AD2555" s="189"/>
      <c r="AE2555" s="189"/>
      <c r="AF2555" s="189"/>
      <c r="AG2555" s="189"/>
      <c r="AH2555" s="189"/>
      <c r="AI2555" s="45"/>
      <c r="AJ2555" s="45"/>
    </row>
    <row r="2556" spans="2:36" x14ac:dyDescent="0.2">
      <c r="B2556" s="45"/>
      <c r="C2556" s="189"/>
      <c r="D2556" s="45"/>
      <c r="E2556" s="45"/>
      <c r="G2556" s="45"/>
      <c r="H2556" s="45"/>
      <c r="I2556" s="45"/>
      <c r="J2556" s="45"/>
      <c r="K2556" s="45"/>
      <c r="L2556" s="45"/>
      <c r="M2556" s="111"/>
      <c r="N2556" s="73"/>
      <c r="O2556" s="73"/>
      <c r="P2556" s="73"/>
      <c r="AA2556" s="45"/>
      <c r="AB2556" s="45"/>
      <c r="AD2556" s="189"/>
      <c r="AE2556" s="189"/>
      <c r="AF2556" s="189"/>
      <c r="AG2556" s="189"/>
      <c r="AH2556" s="189"/>
      <c r="AI2556" s="45"/>
      <c r="AJ2556" s="45"/>
    </row>
    <row r="2557" spans="2:36" x14ac:dyDescent="0.2">
      <c r="B2557" s="45"/>
      <c r="C2557" s="189"/>
      <c r="D2557" s="45"/>
      <c r="E2557" s="45"/>
      <c r="G2557" s="45"/>
      <c r="H2557" s="45"/>
      <c r="I2557" s="45"/>
      <c r="J2557" s="45"/>
      <c r="K2557" s="45"/>
      <c r="L2557" s="45"/>
      <c r="M2557" s="111"/>
      <c r="N2557" s="73"/>
      <c r="O2557" s="73"/>
      <c r="P2557" s="73"/>
      <c r="AA2557" s="45"/>
      <c r="AB2557" s="45"/>
      <c r="AD2557" s="189"/>
      <c r="AE2557" s="189"/>
      <c r="AF2557" s="189"/>
      <c r="AG2557" s="189"/>
      <c r="AH2557" s="189"/>
      <c r="AI2557" s="45"/>
      <c r="AJ2557" s="45"/>
    </row>
    <row r="2558" spans="2:36" x14ac:dyDescent="0.2">
      <c r="B2558" s="45"/>
      <c r="C2558" s="189"/>
      <c r="D2558" s="45"/>
      <c r="E2558" s="45"/>
      <c r="G2558" s="45"/>
      <c r="H2558" s="45"/>
      <c r="I2558" s="45"/>
      <c r="J2558" s="45"/>
      <c r="K2558" s="45"/>
      <c r="L2558" s="45"/>
      <c r="M2558" s="111"/>
      <c r="N2558" s="73"/>
      <c r="O2558" s="73"/>
      <c r="P2558" s="73"/>
      <c r="AA2558" s="45"/>
      <c r="AB2558" s="45"/>
      <c r="AD2558" s="189"/>
      <c r="AE2558" s="189"/>
      <c r="AF2558" s="189"/>
      <c r="AG2558" s="189"/>
      <c r="AH2558" s="189"/>
      <c r="AI2558" s="45"/>
      <c r="AJ2558" s="45"/>
    </row>
    <row r="2559" spans="2:36" x14ac:dyDescent="0.2">
      <c r="B2559" s="45"/>
      <c r="C2559" s="189"/>
      <c r="D2559" s="45"/>
      <c r="E2559" s="45"/>
      <c r="G2559" s="45"/>
      <c r="H2559" s="45"/>
      <c r="I2559" s="45"/>
      <c r="J2559" s="45"/>
      <c r="K2559" s="45"/>
      <c r="L2559" s="45"/>
      <c r="M2559" s="111"/>
      <c r="N2559" s="73"/>
      <c r="O2559" s="73"/>
      <c r="P2559" s="73"/>
      <c r="AA2559" s="45"/>
      <c r="AB2559" s="45"/>
      <c r="AD2559" s="189"/>
      <c r="AE2559" s="189"/>
      <c r="AF2559" s="189"/>
      <c r="AG2559" s="189"/>
      <c r="AH2559" s="189"/>
      <c r="AI2559" s="45"/>
      <c r="AJ2559" s="45"/>
    </row>
    <row r="2560" spans="2:36" x14ac:dyDescent="0.2">
      <c r="B2560" s="45"/>
      <c r="C2560" s="189"/>
      <c r="D2560" s="45"/>
      <c r="E2560" s="45"/>
      <c r="G2560" s="45"/>
      <c r="H2560" s="45"/>
      <c r="I2560" s="45"/>
      <c r="J2560" s="45"/>
      <c r="K2560" s="45"/>
      <c r="L2560" s="45"/>
      <c r="M2560" s="111"/>
      <c r="N2560" s="73"/>
      <c r="O2560" s="73"/>
      <c r="P2560" s="73"/>
      <c r="AA2560" s="45"/>
      <c r="AB2560" s="45"/>
      <c r="AD2560" s="189"/>
      <c r="AE2560" s="189"/>
      <c r="AF2560" s="189"/>
      <c r="AG2560" s="189"/>
      <c r="AH2560" s="189"/>
      <c r="AI2560" s="45"/>
      <c r="AJ2560" s="45"/>
    </row>
    <row r="2561" spans="2:36" x14ac:dyDescent="0.2">
      <c r="B2561" s="45"/>
      <c r="C2561" s="189"/>
      <c r="D2561" s="45"/>
      <c r="E2561" s="45"/>
      <c r="G2561" s="45"/>
      <c r="H2561" s="45"/>
      <c r="I2561" s="45"/>
      <c r="J2561" s="45"/>
      <c r="K2561" s="45"/>
      <c r="L2561" s="45"/>
      <c r="M2561" s="111"/>
      <c r="N2561" s="73"/>
      <c r="O2561" s="73"/>
      <c r="P2561" s="73"/>
      <c r="AA2561" s="45"/>
      <c r="AB2561" s="45"/>
      <c r="AD2561" s="189"/>
      <c r="AE2561" s="189"/>
      <c r="AF2561" s="189"/>
      <c r="AG2561" s="189"/>
      <c r="AH2561" s="189"/>
      <c r="AI2561" s="45"/>
      <c r="AJ2561" s="45"/>
    </row>
    <row r="2562" spans="2:36" x14ac:dyDescent="0.2">
      <c r="B2562" s="45"/>
      <c r="C2562" s="189"/>
      <c r="D2562" s="45"/>
      <c r="E2562" s="45"/>
      <c r="G2562" s="45"/>
      <c r="H2562" s="45"/>
      <c r="I2562" s="45"/>
      <c r="J2562" s="45"/>
      <c r="K2562" s="45"/>
      <c r="L2562" s="45"/>
      <c r="M2562" s="111"/>
      <c r="N2562" s="73"/>
      <c r="O2562" s="73"/>
      <c r="P2562" s="73"/>
      <c r="AA2562" s="45"/>
      <c r="AB2562" s="45"/>
      <c r="AD2562" s="189"/>
      <c r="AE2562" s="189"/>
      <c r="AF2562" s="189"/>
      <c r="AG2562" s="189"/>
      <c r="AH2562" s="189"/>
      <c r="AI2562" s="45"/>
      <c r="AJ2562" s="45"/>
    </row>
    <row r="2563" spans="2:36" x14ac:dyDescent="0.2">
      <c r="B2563" s="45"/>
      <c r="C2563" s="189"/>
      <c r="D2563" s="45"/>
      <c r="E2563" s="45"/>
      <c r="G2563" s="45"/>
      <c r="H2563" s="45"/>
      <c r="I2563" s="45"/>
      <c r="J2563" s="45"/>
      <c r="K2563" s="45"/>
      <c r="L2563" s="45"/>
      <c r="M2563" s="111"/>
      <c r="N2563" s="73"/>
      <c r="O2563" s="73"/>
      <c r="P2563" s="73"/>
      <c r="AA2563" s="45"/>
      <c r="AB2563" s="45"/>
      <c r="AD2563" s="189"/>
      <c r="AE2563" s="189"/>
      <c r="AF2563" s="189"/>
      <c r="AG2563" s="189"/>
      <c r="AH2563" s="189"/>
      <c r="AI2563" s="45"/>
      <c r="AJ2563" s="45"/>
    </row>
    <row r="2564" spans="2:36" x14ac:dyDescent="0.2">
      <c r="B2564" s="45"/>
      <c r="C2564" s="189"/>
      <c r="D2564" s="45"/>
      <c r="E2564" s="45"/>
      <c r="G2564" s="45"/>
      <c r="H2564" s="45"/>
      <c r="I2564" s="45"/>
      <c r="J2564" s="45"/>
      <c r="K2564" s="45"/>
      <c r="L2564" s="45"/>
      <c r="M2564" s="111"/>
      <c r="N2564" s="73"/>
      <c r="O2564" s="73"/>
      <c r="P2564" s="73"/>
      <c r="AA2564" s="45"/>
      <c r="AB2564" s="45"/>
      <c r="AD2564" s="189"/>
      <c r="AE2564" s="189"/>
      <c r="AF2564" s="189"/>
      <c r="AG2564" s="189"/>
      <c r="AH2564" s="189"/>
      <c r="AI2564" s="45"/>
      <c r="AJ2564" s="45"/>
    </row>
    <row r="2565" spans="2:36" x14ac:dyDescent="0.2">
      <c r="B2565" s="45"/>
      <c r="C2565" s="189"/>
      <c r="D2565" s="45"/>
      <c r="E2565" s="45"/>
      <c r="G2565" s="45"/>
      <c r="H2565" s="45"/>
      <c r="I2565" s="45"/>
      <c r="J2565" s="45"/>
      <c r="K2565" s="45"/>
      <c r="L2565" s="45"/>
      <c r="M2565" s="111"/>
      <c r="N2565" s="73"/>
      <c r="O2565" s="73"/>
      <c r="P2565" s="73"/>
      <c r="AA2565" s="45"/>
      <c r="AB2565" s="45"/>
      <c r="AD2565" s="189"/>
      <c r="AE2565" s="189"/>
      <c r="AF2565" s="189"/>
      <c r="AG2565" s="189"/>
      <c r="AH2565" s="189"/>
      <c r="AI2565" s="45"/>
      <c r="AJ2565" s="45"/>
    </row>
    <row r="2566" spans="2:36" x14ac:dyDescent="0.2">
      <c r="B2566" s="45"/>
      <c r="C2566" s="189"/>
      <c r="D2566" s="45"/>
      <c r="E2566" s="45"/>
      <c r="G2566" s="45"/>
      <c r="H2566" s="45"/>
      <c r="I2566" s="45"/>
      <c r="J2566" s="45"/>
      <c r="K2566" s="45"/>
      <c r="L2566" s="45"/>
      <c r="M2566" s="111"/>
      <c r="N2566" s="73"/>
      <c r="O2566" s="73"/>
      <c r="P2566" s="73"/>
      <c r="AA2566" s="45"/>
      <c r="AB2566" s="45"/>
      <c r="AD2566" s="189"/>
      <c r="AE2566" s="189"/>
      <c r="AF2566" s="189"/>
      <c r="AG2566" s="189"/>
      <c r="AH2566" s="189"/>
      <c r="AI2566" s="45"/>
      <c r="AJ2566" s="45"/>
    </row>
    <row r="2567" spans="2:36" x14ac:dyDescent="0.2">
      <c r="B2567" s="45"/>
      <c r="C2567" s="189"/>
      <c r="D2567" s="45"/>
      <c r="E2567" s="45"/>
      <c r="G2567" s="45"/>
      <c r="H2567" s="45"/>
      <c r="I2567" s="45"/>
      <c r="J2567" s="45"/>
      <c r="K2567" s="45"/>
      <c r="L2567" s="45"/>
      <c r="M2567" s="111"/>
      <c r="N2567" s="73"/>
      <c r="O2567" s="73"/>
      <c r="P2567" s="73"/>
      <c r="AA2567" s="45"/>
      <c r="AB2567" s="45"/>
      <c r="AD2567" s="189"/>
      <c r="AE2567" s="189"/>
      <c r="AF2567" s="189"/>
      <c r="AG2567" s="189"/>
      <c r="AH2567" s="189"/>
      <c r="AI2567" s="45"/>
      <c r="AJ2567" s="45"/>
    </row>
    <row r="2568" spans="2:36" x14ac:dyDescent="0.2">
      <c r="B2568" s="45"/>
      <c r="C2568" s="189"/>
      <c r="D2568" s="45"/>
      <c r="E2568" s="45"/>
      <c r="G2568" s="45"/>
      <c r="H2568" s="45"/>
      <c r="I2568" s="45"/>
      <c r="J2568" s="45"/>
      <c r="K2568" s="45"/>
      <c r="L2568" s="45"/>
      <c r="M2568" s="111"/>
      <c r="N2568" s="73"/>
      <c r="O2568" s="73"/>
      <c r="P2568" s="73"/>
      <c r="AA2568" s="45"/>
      <c r="AB2568" s="45"/>
      <c r="AD2568" s="189"/>
      <c r="AE2568" s="189"/>
      <c r="AF2568" s="189"/>
      <c r="AG2568" s="189"/>
      <c r="AH2568" s="189"/>
      <c r="AI2568" s="45"/>
      <c r="AJ2568" s="45"/>
    </row>
    <row r="2569" spans="2:36" x14ac:dyDescent="0.2">
      <c r="B2569" s="45"/>
      <c r="C2569" s="189"/>
      <c r="D2569" s="45"/>
      <c r="E2569" s="45"/>
      <c r="G2569" s="45"/>
      <c r="H2569" s="45"/>
      <c r="I2569" s="45"/>
      <c r="J2569" s="45"/>
      <c r="K2569" s="45"/>
      <c r="L2569" s="45"/>
      <c r="M2569" s="111"/>
      <c r="N2569" s="73"/>
      <c r="O2569" s="73"/>
      <c r="P2569" s="73"/>
      <c r="AA2569" s="45"/>
      <c r="AB2569" s="45"/>
      <c r="AD2569" s="189"/>
      <c r="AE2569" s="189"/>
      <c r="AF2569" s="189"/>
      <c r="AG2569" s="189"/>
      <c r="AH2569" s="189"/>
      <c r="AI2569" s="45"/>
      <c r="AJ2569" s="45"/>
    </row>
    <row r="2570" spans="2:36" x14ac:dyDescent="0.2">
      <c r="B2570" s="45"/>
      <c r="C2570" s="189"/>
      <c r="D2570" s="45"/>
      <c r="E2570" s="45"/>
      <c r="G2570" s="45"/>
      <c r="H2570" s="45"/>
      <c r="I2570" s="45"/>
      <c r="J2570" s="45"/>
      <c r="K2570" s="45"/>
      <c r="L2570" s="45"/>
      <c r="M2570" s="111"/>
      <c r="N2570" s="73"/>
      <c r="O2570" s="73"/>
      <c r="P2570" s="73"/>
      <c r="AA2570" s="45"/>
      <c r="AB2570" s="45"/>
      <c r="AD2570" s="189"/>
      <c r="AE2570" s="189"/>
      <c r="AF2570" s="189"/>
      <c r="AG2570" s="189"/>
      <c r="AH2570" s="189"/>
      <c r="AI2570" s="45"/>
      <c r="AJ2570" s="45"/>
    </row>
    <row r="2571" spans="2:36" x14ac:dyDescent="0.2">
      <c r="B2571" s="45"/>
      <c r="C2571" s="189"/>
      <c r="D2571" s="45"/>
      <c r="E2571" s="45"/>
      <c r="G2571" s="45"/>
      <c r="H2571" s="45"/>
      <c r="I2571" s="45"/>
      <c r="J2571" s="45"/>
      <c r="K2571" s="45"/>
      <c r="L2571" s="45"/>
      <c r="M2571" s="111"/>
      <c r="N2571" s="73"/>
      <c r="O2571" s="73"/>
      <c r="P2571" s="73"/>
      <c r="AA2571" s="45"/>
      <c r="AB2571" s="45"/>
      <c r="AD2571" s="189"/>
      <c r="AE2571" s="189"/>
      <c r="AF2571" s="189"/>
      <c r="AG2571" s="189"/>
      <c r="AH2571" s="189"/>
      <c r="AI2571" s="45"/>
      <c r="AJ2571" s="45"/>
    </row>
    <row r="2572" spans="2:36" x14ac:dyDescent="0.2">
      <c r="B2572" s="45"/>
      <c r="C2572" s="189"/>
      <c r="D2572" s="45"/>
      <c r="E2572" s="45"/>
      <c r="G2572" s="45"/>
      <c r="H2572" s="45"/>
      <c r="I2572" s="45"/>
      <c r="J2572" s="45"/>
      <c r="K2572" s="45"/>
      <c r="L2572" s="45"/>
      <c r="M2572" s="111"/>
      <c r="N2572" s="73"/>
      <c r="O2572" s="73"/>
      <c r="P2572" s="73"/>
      <c r="AA2572" s="45"/>
      <c r="AB2572" s="45"/>
      <c r="AD2572" s="189"/>
      <c r="AE2572" s="189"/>
      <c r="AF2572" s="189"/>
      <c r="AG2572" s="189"/>
      <c r="AH2572" s="189"/>
      <c r="AI2572" s="45"/>
      <c r="AJ2572" s="45"/>
    </row>
    <row r="2573" spans="2:36" x14ac:dyDescent="0.2">
      <c r="B2573" s="45"/>
      <c r="C2573" s="189"/>
      <c r="D2573" s="45"/>
      <c r="E2573" s="45"/>
      <c r="G2573" s="45"/>
      <c r="H2573" s="45"/>
      <c r="I2573" s="45"/>
      <c r="J2573" s="45"/>
      <c r="K2573" s="45"/>
      <c r="L2573" s="45"/>
      <c r="M2573" s="111"/>
      <c r="N2573" s="73"/>
      <c r="O2573" s="73"/>
      <c r="P2573" s="73"/>
      <c r="AA2573" s="45"/>
      <c r="AB2573" s="45"/>
      <c r="AD2573" s="189"/>
      <c r="AE2573" s="189"/>
      <c r="AF2573" s="189"/>
      <c r="AG2573" s="189"/>
      <c r="AH2573" s="189"/>
      <c r="AI2573" s="45"/>
      <c r="AJ2573" s="45"/>
    </row>
    <row r="2574" spans="2:36" x14ac:dyDescent="0.2">
      <c r="B2574" s="45"/>
      <c r="C2574" s="189"/>
      <c r="D2574" s="45"/>
      <c r="E2574" s="45"/>
      <c r="G2574" s="45"/>
      <c r="H2574" s="45"/>
      <c r="I2574" s="45"/>
      <c r="J2574" s="45"/>
      <c r="K2574" s="45"/>
      <c r="L2574" s="45"/>
      <c r="M2574" s="111"/>
      <c r="N2574" s="73"/>
      <c r="O2574" s="73"/>
      <c r="P2574" s="73"/>
      <c r="AA2574" s="45"/>
      <c r="AB2574" s="45"/>
      <c r="AD2574" s="189"/>
      <c r="AE2574" s="189"/>
      <c r="AF2574" s="189"/>
      <c r="AG2574" s="189"/>
      <c r="AH2574" s="189"/>
      <c r="AI2574" s="45"/>
      <c r="AJ2574" s="45"/>
    </row>
    <row r="2575" spans="2:36" x14ac:dyDescent="0.2">
      <c r="B2575" s="45"/>
      <c r="C2575" s="189"/>
      <c r="D2575" s="45"/>
      <c r="E2575" s="45"/>
      <c r="G2575" s="45"/>
      <c r="H2575" s="45"/>
      <c r="I2575" s="45"/>
      <c r="J2575" s="45"/>
      <c r="K2575" s="45"/>
      <c r="L2575" s="45"/>
      <c r="M2575" s="111"/>
      <c r="N2575" s="73"/>
      <c r="O2575" s="73"/>
      <c r="P2575" s="73"/>
      <c r="AA2575" s="45"/>
      <c r="AB2575" s="45"/>
      <c r="AD2575" s="189"/>
      <c r="AE2575" s="189"/>
      <c r="AF2575" s="189"/>
      <c r="AG2575" s="189"/>
      <c r="AH2575" s="189"/>
      <c r="AI2575" s="45"/>
      <c r="AJ2575" s="45"/>
    </row>
    <row r="2576" spans="2:36" x14ac:dyDescent="0.2">
      <c r="B2576" s="45"/>
      <c r="C2576" s="189"/>
      <c r="D2576" s="45"/>
      <c r="E2576" s="45"/>
      <c r="G2576" s="45"/>
      <c r="H2576" s="45"/>
      <c r="I2576" s="45"/>
      <c r="J2576" s="45"/>
      <c r="K2576" s="45"/>
      <c r="L2576" s="45"/>
      <c r="M2576" s="111"/>
      <c r="N2576" s="73"/>
      <c r="O2576" s="73"/>
      <c r="P2576" s="73"/>
      <c r="AA2576" s="45"/>
      <c r="AB2576" s="45"/>
      <c r="AD2576" s="189"/>
      <c r="AE2576" s="189"/>
      <c r="AF2576" s="189"/>
      <c r="AG2576" s="189"/>
      <c r="AH2576" s="189"/>
      <c r="AI2576" s="45"/>
      <c r="AJ2576" s="45"/>
    </row>
    <row r="2577" spans="2:36" x14ac:dyDescent="0.2">
      <c r="B2577" s="45"/>
      <c r="C2577" s="189"/>
      <c r="D2577" s="45"/>
      <c r="E2577" s="45"/>
      <c r="G2577" s="45"/>
      <c r="H2577" s="45"/>
      <c r="I2577" s="45"/>
      <c r="J2577" s="45"/>
      <c r="K2577" s="45"/>
      <c r="L2577" s="45"/>
      <c r="M2577" s="111"/>
      <c r="N2577" s="73"/>
      <c r="O2577" s="73"/>
      <c r="P2577" s="73"/>
      <c r="AA2577" s="45"/>
      <c r="AB2577" s="45"/>
      <c r="AD2577" s="189"/>
      <c r="AE2577" s="189"/>
      <c r="AF2577" s="189"/>
      <c r="AG2577" s="189"/>
      <c r="AH2577" s="189"/>
      <c r="AI2577" s="45"/>
      <c r="AJ2577" s="45"/>
    </row>
    <row r="2578" spans="2:36" x14ac:dyDescent="0.2">
      <c r="B2578" s="45"/>
      <c r="C2578" s="189"/>
      <c r="D2578" s="45"/>
      <c r="E2578" s="45"/>
      <c r="G2578" s="45"/>
      <c r="H2578" s="45"/>
      <c r="I2578" s="45"/>
      <c r="J2578" s="45"/>
      <c r="K2578" s="45"/>
      <c r="L2578" s="45"/>
      <c r="M2578" s="111"/>
      <c r="N2578" s="73"/>
      <c r="O2578" s="73"/>
      <c r="P2578" s="73"/>
      <c r="AA2578" s="45"/>
      <c r="AB2578" s="45"/>
      <c r="AD2578" s="189"/>
      <c r="AE2578" s="189"/>
      <c r="AF2578" s="189"/>
      <c r="AG2578" s="189"/>
      <c r="AH2578" s="189"/>
      <c r="AI2578" s="45"/>
      <c r="AJ2578" s="45"/>
    </row>
    <row r="2579" spans="2:36" x14ac:dyDescent="0.2">
      <c r="B2579" s="45"/>
      <c r="C2579" s="189"/>
      <c r="D2579" s="45"/>
      <c r="E2579" s="45"/>
      <c r="G2579" s="45"/>
      <c r="H2579" s="45"/>
      <c r="I2579" s="45"/>
      <c r="J2579" s="45"/>
      <c r="K2579" s="45"/>
      <c r="L2579" s="45"/>
      <c r="M2579" s="111"/>
      <c r="N2579" s="73"/>
      <c r="O2579" s="73"/>
      <c r="P2579" s="73"/>
      <c r="AA2579" s="45"/>
      <c r="AB2579" s="45"/>
      <c r="AD2579" s="189"/>
      <c r="AE2579" s="189"/>
      <c r="AF2579" s="189"/>
      <c r="AG2579" s="189"/>
      <c r="AH2579" s="189"/>
      <c r="AI2579" s="45"/>
      <c r="AJ2579" s="45"/>
    </row>
    <row r="2580" spans="2:36" x14ac:dyDescent="0.2">
      <c r="B2580" s="45"/>
      <c r="C2580" s="189"/>
      <c r="D2580" s="45"/>
      <c r="E2580" s="45"/>
      <c r="G2580" s="45"/>
      <c r="H2580" s="45"/>
      <c r="I2580" s="45"/>
      <c r="J2580" s="45"/>
      <c r="K2580" s="45"/>
      <c r="L2580" s="45"/>
      <c r="M2580" s="111"/>
      <c r="N2580" s="73"/>
      <c r="O2580" s="73"/>
      <c r="P2580" s="73"/>
      <c r="AA2580" s="45"/>
      <c r="AB2580" s="45"/>
      <c r="AD2580" s="189"/>
      <c r="AE2580" s="189"/>
      <c r="AF2580" s="189"/>
      <c r="AG2580" s="189"/>
      <c r="AH2580" s="189"/>
      <c r="AI2580" s="45"/>
      <c r="AJ2580" s="45"/>
    </row>
    <row r="2581" spans="2:36" x14ac:dyDescent="0.2">
      <c r="B2581" s="45"/>
      <c r="C2581" s="189"/>
      <c r="D2581" s="45"/>
      <c r="E2581" s="45"/>
      <c r="G2581" s="45"/>
      <c r="H2581" s="45"/>
      <c r="I2581" s="45"/>
      <c r="J2581" s="45"/>
      <c r="K2581" s="45"/>
      <c r="L2581" s="45"/>
      <c r="M2581" s="111"/>
      <c r="N2581" s="73"/>
      <c r="O2581" s="73"/>
      <c r="P2581" s="73"/>
      <c r="AA2581" s="45"/>
      <c r="AB2581" s="45"/>
      <c r="AD2581" s="189"/>
      <c r="AE2581" s="189"/>
      <c r="AF2581" s="189"/>
      <c r="AG2581" s="189"/>
      <c r="AH2581" s="189"/>
      <c r="AI2581" s="45"/>
      <c r="AJ2581" s="45"/>
    </row>
    <row r="2582" spans="2:36" x14ac:dyDescent="0.2">
      <c r="B2582" s="45"/>
      <c r="C2582" s="189"/>
      <c r="D2582" s="45"/>
      <c r="E2582" s="45"/>
      <c r="G2582" s="45"/>
      <c r="H2582" s="45"/>
      <c r="I2582" s="45"/>
      <c r="J2582" s="45"/>
      <c r="K2582" s="45"/>
      <c r="L2582" s="45"/>
      <c r="M2582" s="111"/>
      <c r="N2582" s="73"/>
      <c r="O2582" s="73"/>
      <c r="P2582" s="73"/>
      <c r="AA2582" s="45"/>
      <c r="AB2582" s="45"/>
      <c r="AD2582" s="189"/>
      <c r="AE2582" s="189"/>
      <c r="AF2582" s="189"/>
      <c r="AG2582" s="189"/>
      <c r="AH2582" s="189"/>
      <c r="AI2582" s="45"/>
      <c r="AJ2582" s="45"/>
    </row>
    <row r="2583" spans="2:36" x14ac:dyDescent="0.2">
      <c r="B2583" s="45"/>
      <c r="C2583" s="189"/>
      <c r="D2583" s="45"/>
      <c r="E2583" s="45"/>
      <c r="G2583" s="45"/>
      <c r="H2583" s="45"/>
      <c r="I2583" s="45"/>
      <c r="J2583" s="45"/>
      <c r="K2583" s="45"/>
      <c r="L2583" s="45"/>
      <c r="M2583" s="111"/>
      <c r="N2583" s="73"/>
      <c r="O2583" s="73"/>
      <c r="P2583" s="73"/>
      <c r="AA2583" s="45"/>
      <c r="AB2583" s="45"/>
      <c r="AD2583" s="189"/>
      <c r="AE2583" s="189"/>
      <c r="AF2583" s="189"/>
      <c r="AG2583" s="189"/>
      <c r="AH2583" s="189"/>
      <c r="AI2583" s="45"/>
      <c r="AJ2583" s="45"/>
    </row>
    <row r="2584" spans="2:36" x14ac:dyDescent="0.2">
      <c r="B2584" s="45"/>
      <c r="C2584" s="189"/>
      <c r="D2584" s="45"/>
      <c r="E2584" s="45"/>
      <c r="G2584" s="45"/>
      <c r="H2584" s="45"/>
      <c r="I2584" s="45"/>
      <c r="J2584" s="45"/>
      <c r="K2584" s="45"/>
      <c r="L2584" s="45"/>
      <c r="M2584" s="111"/>
      <c r="N2584" s="73"/>
      <c r="O2584" s="73"/>
      <c r="P2584" s="73"/>
      <c r="AA2584" s="45"/>
      <c r="AB2584" s="45"/>
      <c r="AD2584" s="189"/>
      <c r="AE2584" s="189"/>
      <c r="AF2584" s="189"/>
      <c r="AG2584" s="189"/>
      <c r="AH2584" s="189"/>
      <c r="AI2584" s="45"/>
      <c r="AJ2584" s="45"/>
    </row>
    <row r="2585" spans="2:36" x14ac:dyDescent="0.2">
      <c r="B2585" s="45"/>
      <c r="C2585" s="189"/>
      <c r="D2585" s="45"/>
      <c r="E2585" s="45"/>
      <c r="G2585" s="45"/>
      <c r="H2585" s="45"/>
      <c r="I2585" s="45"/>
      <c r="J2585" s="45"/>
      <c r="K2585" s="45"/>
      <c r="L2585" s="45"/>
      <c r="M2585" s="111"/>
      <c r="N2585" s="73"/>
      <c r="O2585" s="73"/>
      <c r="P2585" s="73"/>
      <c r="AA2585" s="45"/>
      <c r="AB2585" s="45"/>
      <c r="AD2585" s="189"/>
      <c r="AE2585" s="189"/>
      <c r="AF2585" s="189"/>
      <c r="AG2585" s="189"/>
      <c r="AH2585" s="189"/>
      <c r="AI2585" s="45"/>
      <c r="AJ2585" s="45"/>
    </row>
    <row r="2586" spans="2:36" x14ac:dyDescent="0.2">
      <c r="B2586" s="45"/>
      <c r="C2586" s="189"/>
      <c r="D2586" s="45"/>
      <c r="E2586" s="45"/>
      <c r="G2586" s="45"/>
      <c r="H2586" s="45"/>
      <c r="I2586" s="45"/>
      <c r="J2586" s="45"/>
      <c r="K2586" s="45"/>
      <c r="L2586" s="45"/>
      <c r="M2586" s="111"/>
      <c r="N2586" s="73"/>
      <c r="O2586" s="73"/>
      <c r="P2586" s="73"/>
      <c r="AA2586" s="45"/>
      <c r="AB2586" s="45"/>
      <c r="AD2586" s="189"/>
      <c r="AE2586" s="189"/>
      <c r="AF2586" s="189"/>
      <c r="AG2586" s="189"/>
      <c r="AH2586" s="189"/>
      <c r="AI2586" s="45"/>
      <c r="AJ2586" s="45"/>
    </row>
    <row r="2587" spans="2:36" x14ac:dyDescent="0.2">
      <c r="B2587" s="45"/>
      <c r="C2587" s="189"/>
      <c r="D2587" s="45"/>
      <c r="E2587" s="45"/>
      <c r="G2587" s="45"/>
      <c r="H2587" s="45"/>
      <c r="I2587" s="45"/>
      <c r="J2587" s="45"/>
      <c r="K2587" s="45"/>
      <c r="L2587" s="45"/>
      <c r="M2587" s="111"/>
      <c r="N2587" s="73"/>
      <c r="O2587" s="73"/>
      <c r="P2587" s="73"/>
      <c r="AA2587" s="45"/>
      <c r="AB2587" s="45"/>
      <c r="AD2587" s="189"/>
      <c r="AE2587" s="189"/>
      <c r="AF2587" s="189"/>
      <c r="AG2587" s="189"/>
      <c r="AH2587" s="189"/>
      <c r="AI2587" s="45"/>
      <c r="AJ2587" s="45"/>
    </row>
    <row r="2588" spans="2:36" x14ac:dyDescent="0.2">
      <c r="B2588" s="45"/>
      <c r="C2588" s="189"/>
      <c r="D2588" s="45"/>
      <c r="E2588" s="45"/>
      <c r="G2588" s="45"/>
      <c r="H2588" s="45"/>
      <c r="I2588" s="45"/>
      <c r="J2588" s="45"/>
      <c r="K2588" s="45"/>
      <c r="L2588" s="45"/>
      <c r="M2588" s="111"/>
      <c r="N2588" s="73"/>
      <c r="O2588" s="73"/>
      <c r="P2588" s="73"/>
      <c r="AA2588" s="45"/>
      <c r="AB2588" s="45"/>
      <c r="AD2588" s="189"/>
      <c r="AE2588" s="189"/>
      <c r="AF2588" s="189"/>
      <c r="AG2588" s="189"/>
      <c r="AH2588" s="189"/>
      <c r="AI2588" s="45"/>
      <c r="AJ2588" s="45"/>
    </row>
    <row r="2589" spans="2:36" x14ac:dyDescent="0.2">
      <c r="B2589" s="45"/>
      <c r="C2589" s="189"/>
      <c r="D2589" s="45"/>
      <c r="E2589" s="45"/>
      <c r="G2589" s="45"/>
      <c r="H2589" s="45"/>
      <c r="I2589" s="45"/>
      <c r="J2589" s="45"/>
      <c r="K2589" s="45"/>
      <c r="L2589" s="45"/>
      <c r="M2589" s="111"/>
      <c r="N2589" s="73"/>
      <c r="O2589" s="73"/>
      <c r="P2589" s="73"/>
      <c r="AA2589" s="45"/>
      <c r="AB2589" s="45"/>
      <c r="AD2589" s="189"/>
      <c r="AE2589" s="189"/>
      <c r="AF2589" s="189"/>
      <c r="AG2589" s="189"/>
      <c r="AH2589" s="189"/>
      <c r="AI2589" s="45"/>
      <c r="AJ2589" s="45"/>
    </row>
    <row r="2590" spans="2:36" x14ac:dyDescent="0.2">
      <c r="B2590" s="45"/>
      <c r="C2590" s="189"/>
      <c r="D2590" s="45"/>
      <c r="E2590" s="45"/>
      <c r="G2590" s="45"/>
      <c r="H2590" s="45"/>
      <c r="I2590" s="45"/>
      <c r="J2590" s="45"/>
      <c r="K2590" s="45"/>
      <c r="L2590" s="45"/>
      <c r="M2590" s="111"/>
      <c r="N2590" s="73"/>
      <c r="O2590" s="73"/>
      <c r="P2590" s="73"/>
      <c r="AA2590" s="45"/>
      <c r="AB2590" s="45"/>
      <c r="AD2590" s="189"/>
      <c r="AE2590" s="189"/>
      <c r="AF2590" s="189"/>
      <c r="AG2590" s="189"/>
      <c r="AH2590" s="189"/>
      <c r="AI2590" s="45"/>
      <c r="AJ2590" s="45"/>
    </row>
    <row r="2591" spans="2:36" x14ac:dyDescent="0.2">
      <c r="B2591" s="45"/>
      <c r="C2591" s="189"/>
      <c r="D2591" s="45"/>
      <c r="E2591" s="45"/>
      <c r="G2591" s="45"/>
      <c r="H2591" s="45"/>
      <c r="I2591" s="45"/>
      <c r="J2591" s="45"/>
      <c r="K2591" s="45"/>
      <c r="L2591" s="45"/>
      <c r="M2591" s="111"/>
      <c r="N2591" s="73"/>
      <c r="O2591" s="73"/>
      <c r="P2591" s="73"/>
      <c r="AA2591" s="45"/>
      <c r="AB2591" s="45"/>
      <c r="AD2591" s="189"/>
      <c r="AE2591" s="189"/>
      <c r="AF2591" s="189"/>
      <c r="AG2591" s="189"/>
      <c r="AH2591" s="189"/>
      <c r="AI2591" s="45"/>
      <c r="AJ2591" s="45"/>
    </row>
    <row r="2592" spans="2:36" x14ac:dyDescent="0.2">
      <c r="B2592" s="45"/>
      <c r="C2592" s="189"/>
      <c r="D2592" s="45"/>
      <c r="E2592" s="45"/>
      <c r="G2592" s="45"/>
      <c r="H2592" s="45"/>
      <c r="I2592" s="45"/>
      <c r="J2592" s="45"/>
      <c r="K2592" s="45"/>
      <c r="L2592" s="45"/>
      <c r="M2592" s="111"/>
      <c r="N2592" s="73"/>
      <c r="O2592" s="73"/>
      <c r="P2592" s="73"/>
      <c r="AA2592" s="45"/>
      <c r="AB2592" s="45"/>
      <c r="AD2592" s="189"/>
      <c r="AE2592" s="189"/>
      <c r="AF2592" s="189"/>
      <c r="AG2592" s="189"/>
      <c r="AH2592" s="189"/>
      <c r="AI2592" s="45"/>
      <c r="AJ2592" s="45"/>
    </row>
    <row r="2593" spans="2:36" x14ac:dyDescent="0.2">
      <c r="B2593" s="45"/>
      <c r="C2593" s="189"/>
      <c r="D2593" s="45"/>
      <c r="E2593" s="45"/>
      <c r="G2593" s="45"/>
      <c r="H2593" s="45"/>
      <c r="I2593" s="45"/>
      <c r="J2593" s="45"/>
      <c r="K2593" s="45"/>
      <c r="L2593" s="45"/>
      <c r="M2593" s="111"/>
      <c r="N2593" s="73"/>
      <c r="O2593" s="73"/>
      <c r="P2593" s="73"/>
      <c r="AA2593" s="45"/>
      <c r="AB2593" s="45"/>
      <c r="AD2593" s="189"/>
      <c r="AE2593" s="189"/>
      <c r="AF2593" s="189"/>
      <c r="AG2593" s="189"/>
      <c r="AH2593" s="189"/>
      <c r="AI2593" s="45"/>
      <c r="AJ2593" s="45"/>
    </row>
    <row r="2594" spans="2:36" x14ac:dyDescent="0.2">
      <c r="B2594" s="45"/>
      <c r="C2594" s="189"/>
      <c r="D2594" s="45"/>
      <c r="E2594" s="45"/>
      <c r="G2594" s="45"/>
      <c r="H2594" s="45"/>
      <c r="I2594" s="45"/>
      <c r="J2594" s="45"/>
      <c r="K2594" s="45"/>
      <c r="L2594" s="45"/>
      <c r="M2594" s="111"/>
      <c r="N2594" s="73"/>
      <c r="O2594" s="73"/>
      <c r="P2594" s="73"/>
      <c r="AA2594" s="45"/>
      <c r="AB2594" s="45"/>
      <c r="AD2594" s="189"/>
      <c r="AE2594" s="189"/>
      <c r="AF2594" s="189"/>
      <c r="AG2594" s="189"/>
      <c r="AH2594" s="189"/>
      <c r="AI2594" s="45"/>
      <c r="AJ2594" s="45"/>
    </row>
    <row r="2595" spans="2:36" x14ac:dyDescent="0.2">
      <c r="B2595" s="45"/>
      <c r="C2595" s="189"/>
      <c r="D2595" s="45"/>
      <c r="E2595" s="45"/>
      <c r="G2595" s="45"/>
      <c r="H2595" s="45"/>
      <c r="I2595" s="45"/>
      <c r="J2595" s="45"/>
      <c r="K2595" s="45"/>
      <c r="L2595" s="45"/>
      <c r="M2595" s="111"/>
      <c r="N2595" s="73"/>
      <c r="O2595" s="73"/>
      <c r="P2595" s="73"/>
      <c r="AA2595" s="45"/>
      <c r="AB2595" s="45"/>
      <c r="AD2595" s="189"/>
      <c r="AE2595" s="189"/>
      <c r="AF2595" s="189"/>
      <c r="AG2595" s="189"/>
      <c r="AH2595" s="189"/>
      <c r="AI2595" s="45"/>
      <c r="AJ2595" s="45"/>
    </row>
    <row r="2596" spans="2:36" x14ac:dyDescent="0.2">
      <c r="B2596" s="45"/>
      <c r="C2596" s="189"/>
      <c r="D2596" s="45"/>
      <c r="E2596" s="45"/>
      <c r="G2596" s="45"/>
      <c r="H2596" s="45"/>
      <c r="I2596" s="45"/>
      <c r="J2596" s="45"/>
      <c r="K2596" s="45"/>
      <c r="L2596" s="45"/>
      <c r="M2596" s="111"/>
      <c r="N2596" s="73"/>
      <c r="O2596" s="73"/>
      <c r="P2596" s="73"/>
      <c r="AA2596" s="45"/>
      <c r="AB2596" s="45"/>
      <c r="AD2596" s="189"/>
      <c r="AE2596" s="189"/>
      <c r="AF2596" s="189"/>
      <c r="AG2596" s="189"/>
      <c r="AH2596" s="189"/>
      <c r="AI2596" s="45"/>
      <c r="AJ2596" s="45"/>
    </row>
    <row r="2597" spans="2:36" x14ac:dyDescent="0.2">
      <c r="B2597" s="45"/>
      <c r="C2597" s="189"/>
      <c r="D2597" s="45"/>
      <c r="E2597" s="45"/>
      <c r="G2597" s="45"/>
      <c r="H2597" s="45"/>
      <c r="I2597" s="45"/>
      <c r="J2597" s="45"/>
      <c r="K2597" s="45"/>
      <c r="L2597" s="45"/>
      <c r="M2597" s="111"/>
      <c r="N2597" s="73"/>
      <c r="O2597" s="73"/>
      <c r="P2597" s="73"/>
      <c r="AA2597" s="45"/>
      <c r="AB2597" s="45"/>
      <c r="AD2597" s="189"/>
      <c r="AE2597" s="189"/>
      <c r="AF2597" s="189"/>
      <c r="AG2597" s="189"/>
      <c r="AH2597" s="189"/>
      <c r="AI2597" s="45"/>
      <c r="AJ2597" s="45"/>
    </row>
    <row r="2598" spans="2:36" x14ac:dyDescent="0.2">
      <c r="B2598" s="45"/>
      <c r="C2598" s="189"/>
      <c r="D2598" s="45"/>
      <c r="E2598" s="45"/>
      <c r="G2598" s="45"/>
      <c r="H2598" s="45"/>
      <c r="I2598" s="45"/>
      <c r="J2598" s="45"/>
      <c r="K2598" s="45"/>
      <c r="L2598" s="45"/>
      <c r="M2598" s="111"/>
      <c r="N2598" s="73"/>
      <c r="O2598" s="73"/>
      <c r="P2598" s="73"/>
      <c r="AA2598" s="45"/>
      <c r="AB2598" s="45"/>
      <c r="AD2598" s="189"/>
      <c r="AE2598" s="189"/>
      <c r="AF2598" s="189"/>
      <c r="AG2598" s="189"/>
      <c r="AH2598" s="189"/>
      <c r="AI2598" s="45"/>
      <c r="AJ2598" s="45"/>
    </row>
    <row r="2599" spans="2:36" x14ac:dyDescent="0.2">
      <c r="B2599" s="45"/>
      <c r="C2599" s="189"/>
      <c r="D2599" s="45"/>
      <c r="E2599" s="45"/>
      <c r="G2599" s="45"/>
      <c r="H2599" s="45"/>
      <c r="I2599" s="45"/>
      <c r="J2599" s="45"/>
      <c r="K2599" s="45"/>
      <c r="L2599" s="45"/>
      <c r="M2599" s="111"/>
      <c r="N2599" s="73"/>
      <c r="O2599" s="73"/>
      <c r="P2599" s="73"/>
      <c r="AA2599" s="45"/>
      <c r="AB2599" s="45"/>
      <c r="AD2599" s="189"/>
      <c r="AE2599" s="189"/>
      <c r="AF2599" s="189"/>
      <c r="AG2599" s="189"/>
      <c r="AH2599" s="189"/>
      <c r="AI2599" s="45"/>
      <c r="AJ2599" s="45"/>
    </row>
    <row r="2600" spans="2:36" x14ac:dyDescent="0.2">
      <c r="B2600" s="45"/>
      <c r="C2600" s="189"/>
      <c r="D2600" s="45"/>
      <c r="E2600" s="45"/>
      <c r="G2600" s="45"/>
      <c r="H2600" s="45"/>
      <c r="I2600" s="45"/>
      <c r="J2600" s="45"/>
      <c r="K2600" s="45"/>
      <c r="L2600" s="45"/>
      <c r="M2600" s="111"/>
      <c r="N2600" s="73"/>
      <c r="O2600" s="73"/>
      <c r="P2600" s="73"/>
      <c r="AA2600" s="45"/>
      <c r="AB2600" s="45"/>
      <c r="AD2600" s="189"/>
      <c r="AE2600" s="189"/>
      <c r="AF2600" s="189"/>
      <c r="AG2600" s="189"/>
      <c r="AH2600" s="189"/>
      <c r="AI2600" s="45"/>
      <c r="AJ2600" s="45"/>
    </row>
    <row r="2601" spans="2:36" x14ac:dyDescent="0.2">
      <c r="B2601" s="45"/>
      <c r="C2601" s="189"/>
      <c r="D2601" s="45"/>
      <c r="E2601" s="45"/>
      <c r="G2601" s="45"/>
      <c r="H2601" s="45"/>
      <c r="I2601" s="45"/>
      <c r="J2601" s="45"/>
      <c r="K2601" s="45"/>
      <c r="L2601" s="45"/>
      <c r="M2601" s="111"/>
      <c r="N2601" s="73"/>
      <c r="O2601" s="73"/>
      <c r="P2601" s="73"/>
      <c r="AA2601" s="45"/>
      <c r="AB2601" s="45"/>
      <c r="AD2601" s="189"/>
      <c r="AE2601" s="189"/>
      <c r="AF2601" s="189"/>
      <c r="AG2601" s="189"/>
      <c r="AH2601" s="189"/>
      <c r="AI2601" s="45"/>
      <c r="AJ2601" s="45"/>
    </row>
    <row r="2602" spans="2:36" x14ac:dyDescent="0.2">
      <c r="B2602" s="45"/>
      <c r="C2602" s="189"/>
      <c r="D2602" s="45"/>
      <c r="E2602" s="45"/>
      <c r="G2602" s="45"/>
      <c r="H2602" s="45"/>
      <c r="I2602" s="45"/>
      <c r="J2602" s="45"/>
      <c r="K2602" s="45"/>
      <c r="L2602" s="45"/>
      <c r="M2602" s="111"/>
      <c r="N2602" s="73"/>
      <c r="O2602" s="73"/>
      <c r="P2602" s="73"/>
      <c r="AA2602" s="45"/>
      <c r="AB2602" s="45"/>
      <c r="AD2602" s="189"/>
      <c r="AE2602" s="189"/>
      <c r="AF2602" s="189"/>
      <c r="AG2602" s="189"/>
      <c r="AH2602" s="189"/>
      <c r="AI2602" s="45"/>
      <c r="AJ2602" s="45"/>
    </row>
    <row r="2603" spans="2:36" x14ac:dyDescent="0.2">
      <c r="B2603" s="45"/>
      <c r="C2603" s="189"/>
      <c r="D2603" s="45"/>
      <c r="E2603" s="45"/>
      <c r="G2603" s="45"/>
      <c r="H2603" s="45"/>
      <c r="I2603" s="45"/>
      <c r="J2603" s="45"/>
      <c r="K2603" s="45"/>
      <c r="L2603" s="45"/>
      <c r="M2603" s="111"/>
      <c r="N2603" s="73"/>
      <c r="O2603" s="73"/>
      <c r="P2603" s="73"/>
      <c r="AA2603" s="45"/>
      <c r="AB2603" s="45"/>
      <c r="AD2603" s="189"/>
      <c r="AE2603" s="189"/>
      <c r="AF2603" s="189"/>
      <c r="AG2603" s="189"/>
      <c r="AH2603" s="189"/>
      <c r="AI2603" s="45"/>
      <c r="AJ2603" s="45"/>
    </row>
    <row r="2604" spans="2:36" x14ac:dyDescent="0.2">
      <c r="B2604" s="45"/>
      <c r="C2604" s="189"/>
      <c r="D2604" s="45"/>
      <c r="E2604" s="45"/>
      <c r="G2604" s="45"/>
      <c r="H2604" s="45"/>
      <c r="I2604" s="45"/>
      <c r="J2604" s="45"/>
      <c r="K2604" s="45"/>
      <c r="L2604" s="45"/>
      <c r="M2604" s="111"/>
      <c r="N2604" s="73"/>
      <c r="O2604" s="73"/>
      <c r="P2604" s="73"/>
      <c r="AA2604" s="45"/>
      <c r="AB2604" s="45"/>
      <c r="AD2604" s="189"/>
      <c r="AE2604" s="189"/>
      <c r="AF2604" s="189"/>
      <c r="AG2604" s="189"/>
      <c r="AH2604" s="189"/>
      <c r="AI2604" s="45"/>
      <c r="AJ2604" s="45"/>
    </row>
    <row r="2605" spans="2:36" x14ac:dyDescent="0.2">
      <c r="B2605" s="45"/>
      <c r="C2605" s="189"/>
      <c r="D2605" s="45"/>
      <c r="E2605" s="45"/>
      <c r="G2605" s="45"/>
      <c r="H2605" s="45"/>
      <c r="I2605" s="45"/>
      <c r="J2605" s="45"/>
      <c r="K2605" s="45"/>
      <c r="L2605" s="45"/>
      <c r="M2605" s="111"/>
      <c r="N2605" s="73"/>
      <c r="O2605" s="73"/>
      <c r="P2605" s="73"/>
      <c r="AA2605" s="45"/>
      <c r="AB2605" s="45"/>
      <c r="AD2605" s="189"/>
      <c r="AE2605" s="189"/>
      <c r="AF2605" s="189"/>
      <c r="AG2605" s="189"/>
      <c r="AH2605" s="189"/>
      <c r="AI2605" s="45"/>
      <c r="AJ2605" s="45"/>
    </row>
    <row r="2606" spans="2:36" x14ac:dyDescent="0.2">
      <c r="B2606" s="45"/>
      <c r="C2606" s="189"/>
      <c r="D2606" s="45"/>
      <c r="E2606" s="45"/>
      <c r="G2606" s="45"/>
      <c r="H2606" s="45"/>
      <c r="I2606" s="45"/>
      <c r="J2606" s="45"/>
      <c r="K2606" s="45"/>
      <c r="L2606" s="45"/>
      <c r="M2606" s="111"/>
      <c r="N2606" s="73"/>
      <c r="O2606" s="73"/>
      <c r="P2606" s="73"/>
      <c r="AA2606" s="45"/>
      <c r="AB2606" s="45"/>
      <c r="AD2606" s="189"/>
      <c r="AE2606" s="189"/>
      <c r="AF2606" s="189"/>
      <c r="AG2606" s="189"/>
      <c r="AH2606" s="189"/>
      <c r="AI2606" s="45"/>
      <c r="AJ2606" s="45"/>
    </row>
    <row r="2607" spans="2:36" x14ac:dyDescent="0.2">
      <c r="B2607" s="45"/>
      <c r="C2607" s="189"/>
      <c r="D2607" s="45"/>
      <c r="E2607" s="45"/>
      <c r="G2607" s="45"/>
      <c r="H2607" s="45"/>
      <c r="I2607" s="45"/>
      <c r="J2607" s="45"/>
      <c r="K2607" s="45"/>
      <c r="L2607" s="45"/>
      <c r="M2607" s="111"/>
      <c r="N2607" s="73"/>
      <c r="O2607" s="73"/>
      <c r="P2607" s="73"/>
      <c r="AA2607" s="45"/>
      <c r="AB2607" s="45"/>
      <c r="AD2607" s="189"/>
      <c r="AE2607" s="189"/>
      <c r="AF2607" s="189"/>
      <c r="AG2607" s="189"/>
      <c r="AH2607" s="189"/>
      <c r="AI2607" s="45"/>
      <c r="AJ2607" s="45"/>
    </row>
    <row r="2608" spans="2:36" x14ac:dyDescent="0.2">
      <c r="B2608" s="45"/>
      <c r="C2608" s="189"/>
      <c r="D2608" s="45"/>
      <c r="E2608" s="45"/>
      <c r="G2608" s="45"/>
      <c r="H2608" s="45"/>
      <c r="I2608" s="45"/>
      <c r="J2608" s="45"/>
      <c r="K2608" s="45"/>
      <c r="L2608" s="45"/>
      <c r="M2608" s="111"/>
      <c r="N2608" s="73"/>
      <c r="O2608" s="73"/>
      <c r="P2608" s="73"/>
      <c r="AA2608" s="45"/>
      <c r="AB2608" s="45"/>
      <c r="AD2608" s="189"/>
      <c r="AE2608" s="189"/>
      <c r="AF2608" s="189"/>
      <c r="AG2608" s="189"/>
      <c r="AH2608" s="189"/>
      <c r="AI2608" s="45"/>
      <c r="AJ2608" s="45"/>
    </row>
    <row r="2609" spans="2:36" x14ac:dyDescent="0.2">
      <c r="B2609" s="45"/>
      <c r="C2609" s="189"/>
      <c r="D2609" s="45"/>
      <c r="E2609" s="45"/>
      <c r="G2609" s="45"/>
      <c r="H2609" s="45"/>
      <c r="I2609" s="45"/>
      <c r="J2609" s="45"/>
      <c r="K2609" s="45"/>
      <c r="L2609" s="45"/>
      <c r="M2609" s="111"/>
      <c r="N2609" s="73"/>
      <c r="O2609" s="73"/>
      <c r="P2609" s="73"/>
      <c r="AA2609" s="45"/>
      <c r="AB2609" s="45"/>
      <c r="AD2609" s="189"/>
      <c r="AE2609" s="189"/>
      <c r="AF2609" s="189"/>
      <c r="AG2609" s="189"/>
      <c r="AH2609" s="189"/>
      <c r="AI2609" s="45"/>
      <c r="AJ2609" s="45"/>
    </row>
    <row r="2610" spans="2:36" x14ac:dyDescent="0.2">
      <c r="B2610" s="45"/>
      <c r="C2610" s="189"/>
      <c r="D2610" s="45"/>
      <c r="E2610" s="45"/>
      <c r="G2610" s="45"/>
      <c r="H2610" s="45"/>
      <c r="I2610" s="45"/>
      <c r="J2610" s="45"/>
      <c r="K2610" s="45"/>
      <c r="L2610" s="45"/>
      <c r="M2610" s="111"/>
      <c r="N2610" s="73"/>
      <c r="O2610" s="73"/>
      <c r="P2610" s="73"/>
      <c r="AA2610" s="45"/>
      <c r="AB2610" s="45"/>
      <c r="AD2610" s="189"/>
      <c r="AE2610" s="189"/>
      <c r="AF2610" s="189"/>
      <c r="AG2610" s="189"/>
      <c r="AH2610" s="189"/>
      <c r="AI2610" s="45"/>
      <c r="AJ2610" s="45"/>
    </row>
    <row r="2611" spans="2:36" x14ac:dyDescent="0.2">
      <c r="B2611" s="45"/>
      <c r="C2611" s="189"/>
      <c r="D2611" s="45"/>
      <c r="E2611" s="45"/>
      <c r="G2611" s="45"/>
      <c r="H2611" s="45"/>
      <c r="I2611" s="45"/>
      <c r="J2611" s="45"/>
      <c r="K2611" s="45"/>
      <c r="L2611" s="45"/>
      <c r="M2611" s="111"/>
      <c r="N2611" s="73"/>
      <c r="O2611" s="73"/>
      <c r="P2611" s="73"/>
      <c r="AA2611" s="45"/>
      <c r="AB2611" s="45"/>
      <c r="AD2611" s="189"/>
      <c r="AE2611" s="189"/>
      <c r="AF2611" s="189"/>
      <c r="AG2611" s="189"/>
      <c r="AH2611" s="189"/>
      <c r="AI2611" s="45"/>
      <c r="AJ2611" s="45"/>
    </row>
    <row r="2612" spans="2:36" x14ac:dyDescent="0.2">
      <c r="B2612" s="45"/>
      <c r="C2612" s="189"/>
      <c r="D2612" s="45"/>
      <c r="E2612" s="45"/>
      <c r="G2612" s="45"/>
      <c r="H2612" s="45"/>
      <c r="I2612" s="45"/>
      <c r="J2612" s="45"/>
      <c r="K2612" s="45"/>
      <c r="L2612" s="45"/>
      <c r="M2612" s="111"/>
      <c r="N2612" s="73"/>
      <c r="O2612" s="73"/>
      <c r="P2612" s="73"/>
      <c r="AA2612" s="45"/>
      <c r="AB2612" s="45"/>
      <c r="AD2612" s="189"/>
      <c r="AE2612" s="189"/>
      <c r="AF2612" s="189"/>
      <c r="AG2612" s="189"/>
      <c r="AH2612" s="189"/>
      <c r="AI2612" s="45"/>
      <c r="AJ2612" s="45"/>
    </row>
    <row r="2613" spans="2:36" x14ac:dyDescent="0.2">
      <c r="B2613" s="45"/>
      <c r="C2613" s="189"/>
      <c r="D2613" s="45"/>
      <c r="E2613" s="45"/>
      <c r="G2613" s="45"/>
      <c r="H2613" s="45"/>
      <c r="I2613" s="45"/>
      <c r="J2613" s="45"/>
      <c r="K2613" s="45"/>
      <c r="L2613" s="45"/>
      <c r="M2613" s="111"/>
      <c r="N2613" s="73"/>
      <c r="O2613" s="73"/>
      <c r="P2613" s="73"/>
      <c r="AA2613" s="45"/>
      <c r="AB2613" s="45"/>
      <c r="AD2613" s="189"/>
      <c r="AE2613" s="189"/>
      <c r="AF2613" s="189"/>
      <c r="AG2613" s="189"/>
      <c r="AH2613" s="189"/>
      <c r="AI2613" s="45"/>
      <c r="AJ2613" s="45"/>
    </row>
    <row r="2614" spans="2:36" x14ac:dyDescent="0.2">
      <c r="B2614" s="45"/>
      <c r="C2614" s="189"/>
      <c r="D2614" s="45"/>
      <c r="E2614" s="45"/>
      <c r="G2614" s="45"/>
      <c r="H2614" s="45"/>
      <c r="I2614" s="45"/>
      <c r="J2614" s="45"/>
      <c r="K2614" s="45"/>
      <c r="L2614" s="45"/>
      <c r="M2614" s="111"/>
      <c r="N2614" s="73"/>
      <c r="O2614" s="73"/>
      <c r="P2614" s="73"/>
      <c r="AA2614" s="45"/>
      <c r="AB2614" s="45"/>
      <c r="AD2614" s="189"/>
      <c r="AE2614" s="189"/>
      <c r="AF2614" s="189"/>
      <c r="AG2614" s="189"/>
      <c r="AH2614" s="189"/>
      <c r="AI2614" s="45"/>
      <c r="AJ2614" s="45"/>
    </row>
    <row r="2615" spans="2:36" x14ac:dyDescent="0.2">
      <c r="B2615" s="45"/>
      <c r="C2615" s="189"/>
      <c r="D2615" s="45"/>
      <c r="E2615" s="45"/>
      <c r="G2615" s="45"/>
      <c r="H2615" s="45"/>
      <c r="I2615" s="45"/>
      <c r="J2615" s="45"/>
      <c r="K2615" s="45"/>
      <c r="L2615" s="45"/>
      <c r="M2615" s="111"/>
      <c r="N2615" s="73"/>
      <c r="O2615" s="73"/>
      <c r="P2615" s="73"/>
      <c r="AA2615" s="45"/>
      <c r="AB2615" s="45"/>
      <c r="AD2615" s="189"/>
      <c r="AE2615" s="189"/>
      <c r="AF2615" s="189"/>
      <c r="AG2615" s="189"/>
      <c r="AH2615" s="189"/>
      <c r="AI2615" s="45"/>
      <c r="AJ2615" s="45"/>
    </row>
    <row r="2616" spans="2:36" x14ac:dyDescent="0.2">
      <c r="B2616" s="45"/>
      <c r="C2616" s="189"/>
      <c r="D2616" s="45"/>
      <c r="E2616" s="45"/>
      <c r="G2616" s="45"/>
      <c r="H2616" s="45"/>
      <c r="I2616" s="45"/>
      <c r="J2616" s="45"/>
      <c r="K2616" s="45"/>
      <c r="L2616" s="45"/>
      <c r="M2616" s="111"/>
      <c r="N2616" s="73"/>
      <c r="O2616" s="73"/>
      <c r="P2616" s="73"/>
      <c r="AA2616" s="45"/>
      <c r="AB2616" s="45"/>
      <c r="AD2616" s="189"/>
      <c r="AE2616" s="189"/>
      <c r="AF2616" s="189"/>
      <c r="AG2616" s="189"/>
      <c r="AH2616" s="189"/>
      <c r="AI2616" s="45"/>
      <c r="AJ2616" s="45"/>
    </row>
    <row r="2617" spans="2:36" x14ac:dyDescent="0.2">
      <c r="B2617" s="45"/>
      <c r="C2617" s="189"/>
      <c r="D2617" s="45"/>
      <c r="E2617" s="45"/>
      <c r="G2617" s="45"/>
      <c r="H2617" s="45"/>
      <c r="I2617" s="45"/>
      <c r="J2617" s="45"/>
      <c r="K2617" s="45"/>
      <c r="L2617" s="45"/>
      <c r="M2617" s="111"/>
      <c r="N2617" s="73"/>
      <c r="O2617" s="73"/>
      <c r="P2617" s="73"/>
      <c r="AA2617" s="45"/>
      <c r="AB2617" s="45"/>
      <c r="AD2617" s="189"/>
      <c r="AE2617" s="189"/>
      <c r="AF2617" s="189"/>
      <c r="AG2617" s="189"/>
      <c r="AH2617" s="189"/>
      <c r="AI2617" s="45"/>
      <c r="AJ2617" s="45"/>
    </row>
    <row r="2618" spans="2:36" x14ac:dyDescent="0.2">
      <c r="B2618" s="45"/>
      <c r="C2618" s="189"/>
      <c r="D2618" s="45"/>
      <c r="E2618" s="45"/>
      <c r="G2618" s="45"/>
      <c r="H2618" s="45"/>
      <c r="I2618" s="45"/>
      <c r="J2618" s="45"/>
      <c r="K2618" s="45"/>
      <c r="L2618" s="45"/>
      <c r="M2618" s="111"/>
      <c r="N2618" s="73"/>
      <c r="O2618" s="73"/>
      <c r="P2618" s="73"/>
      <c r="AA2618" s="45"/>
      <c r="AB2618" s="45"/>
      <c r="AD2618" s="189"/>
      <c r="AE2618" s="189"/>
      <c r="AF2618" s="189"/>
      <c r="AG2618" s="189"/>
      <c r="AH2618" s="189"/>
      <c r="AI2618" s="45"/>
      <c r="AJ2618" s="45"/>
    </row>
    <row r="2619" spans="2:36" x14ac:dyDescent="0.2">
      <c r="B2619" s="45"/>
      <c r="C2619" s="189"/>
      <c r="D2619" s="45"/>
      <c r="E2619" s="45"/>
      <c r="G2619" s="45"/>
      <c r="H2619" s="45"/>
      <c r="I2619" s="45"/>
      <c r="J2619" s="45"/>
      <c r="K2619" s="45"/>
      <c r="L2619" s="45"/>
      <c r="M2619" s="111"/>
      <c r="N2619" s="73"/>
      <c r="O2619" s="73"/>
      <c r="P2619" s="73"/>
      <c r="AA2619" s="45"/>
      <c r="AB2619" s="45"/>
      <c r="AD2619" s="189"/>
      <c r="AE2619" s="189"/>
      <c r="AF2619" s="189"/>
      <c r="AG2619" s="189"/>
      <c r="AH2619" s="189"/>
      <c r="AI2619" s="45"/>
      <c r="AJ2619" s="45"/>
    </row>
    <row r="2620" spans="2:36" x14ac:dyDescent="0.2">
      <c r="B2620" s="45"/>
      <c r="C2620" s="189"/>
      <c r="D2620" s="45"/>
      <c r="E2620" s="45"/>
      <c r="G2620" s="45"/>
      <c r="H2620" s="45"/>
      <c r="I2620" s="45"/>
      <c r="J2620" s="45"/>
      <c r="K2620" s="45"/>
      <c r="L2620" s="45"/>
      <c r="M2620" s="111"/>
      <c r="N2620" s="73"/>
      <c r="O2620" s="73"/>
      <c r="P2620" s="73"/>
      <c r="AA2620" s="45"/>
      <c r="AB2620" s="45"/>
      <c r="AD2620" s="189"/>
      <c r="AE2620" s="189"/>
      <c r="AF2620" s="189"/>
      <c r="AG2620" s="189"/>
      <c r="AH2620" s="189"/>
      <c r="AI2620" s="45"/>
      <c r="AJ2620" s="45"/>
    </row>
    <row r="2621" spans="2:36" x14ac:dyDescent="0.2">
      <c r="B2621" s="45"/>
      <c r="C2621" s="189"/>
      <c r="D2621" s="45"/>
      <c r="E2621" s="45"/>
      <c r="G2621" s="45"/>
      <c r="H2621" s="45"/>
      <c r="I2621" s="45"/>
      <c r="J2621" s="45"/>
      <c r="K2621" s="45"/>
      <c r="L2621" s="45"/>
      <c r="M2621" s="111"/>
      <c r="N2621" s="73"/>
      <c r="O2621" s="73"/>
      <c r="P2621" s="73"/>
      <c r="AA2621" s="45"/>
      <c r="AB2621" s="45"/>
      <c r="AD2621" s="189"/>
      <c r="AE2621" s="189"/>
      <c r="AF2621" s="189"/>
      <c r="AG2621" s="189"/>
      <c r="AH2621" s="189"/>
      <c r="AI2621" s="45"/>
      <c r="AJ2621" s="45"/>
    </row>
    <row r="2622" spans="2:36" x14ac:dyDescent="0.2">
      <c r="B2622" s="45"/>
      <c r="C2622" s="189"/>
      <c r="D2622" s="45"/>
      <c r="E2622" s="45"/>
      <c r="G2622" s="45"/>
      <c r="H2622" s="45"/>
      <c r="I2622" s="45"/>
      <c r="J2622" s="45"/>
      <c r="K2622" s="45"/>
      <c r="L2622" s="45"/>
      <c r="M2622" s="111"/>
      <c r="N2622" s="73"/>
      <c r="O2622" s="73"/>
      <c r="P2622" s="73"/>
      <c r="AA2622" s="45"/>
      <c r="AB2622" s="45"/>
      <c r="AD2622" s="189"/>
      <c r="AE2622" s="189"/>
      <c r="AF2622" s="189"/>
      <c r="AG2622" s="189"/>
      <c r="AH2622" s="189"/>
      <c r="AI2622" s="45"/>
      <c r="AJ2622" s="45"/>
    </row>
    <row r="2623" spans="2:36" x14ac:dyDescent="0.2">
      <c r="B2623" s="45"/>
      <c r="C2623" s="189"/>
      <c r="D2623" s="45"/>
      <c r="E2623" s="45"/>
      <c r="G2623" s="45"/>
      <c r="H2623" s="45"/>
      <c r="I2623" s="45"/>
      <c r="J2623" s="45"/>
      <c r="K2623" s="45"/>
      <c r="L2623" s="45"/>
      <c r="M2623" s="111"/>
      <c r="N2623" s="73"/>
      <c r="O2623" s="73"/>
      <c r="P2623" s="73"/>
      <c r="AA2623" s="45"/>
      <c r="AB2623" s="45"/>
      <c r="AD2623" s="189"/>
      <c r="AE2623" s="189"/>
      <c r="AF2623" s="189"/>
      <c r="AG2623" s="189"/>
      <c r="AH2623" s="189"/>
      <c r="AI2623" s="45"/>
      <c r="AJ2623" s="45"/>
    </row>
    <row r="2624" spans="2:36" x14ac:dyDescent="0.2">
      <c r="B2624" s="45"/>
      <c r="C2624" s="189"/>
      <c r="D2624" s="45"/>
      <c r="E2624" s="45"/>
      <c r="G2624" s="45"/>
      <c r="H2624" s="45"/>
      <c r="I2624" s="45"/>
      <c r="J2624" s="45"/>
      <c r="K2624" s="45"/>
      <c r="L2624" s="45"/>
      <c r="M2624" s="111"/>
      <c r="N2624" s="73"/>
      <c r="O2624" s="73"/>
      <c r="P2624" s="73"/>
      <c r="AA2624" s="45"/>
      <c r="AB2624" s="45"/>
      <c r="AD2624" s="189"/>
      <c r="AE2624" s="189"/>
      <c r="AF2624" s="189"/>
      <c r="AG2624" s="189"/>
      <c r="AH2624" s="189"/>
      <c r="AI2624" s="45"/>
      <c r="AJ2624" s="45"/>
    </row>
    <row r="2625" spans="2:36" x14ac:dyDescent="0.2">
      <c r="B2625" s="45"/>
      <c r="C2625" s="189"/>
      <c r="D2625" s="45"/>
      <c r="E2625" s="45"/>
      <c r="G2625" s="45"/>
      <c r="H2625" s="45"/>
      <c r="I2625" s="45"/>
      <c r="J2625" s="45"/>
      <c r="K2625" s="45"/>
      <c r="L2625" s="45"/>
      <c r="M2625" s="111"/>
      <c r="N2625" s="73"/>
      <c r="O2625" s="73"/>
      <c r="P2625" s="73"/>
      <c r="AA2625" s="45"/>
      <c r="AB2625" s="45"/>
      <c r="AD2625" s="189"/>
      <c r="AE2625" s="189"/>
      <c r="AF2625" s="189"/>
      <c r="AG2625" s="189"/>
      <c r="AH2625" s="189"/>
      <c r="AI2625" s="45"/>
      <c r="AJ2625" s="45"/>
    </row>
    <row r="2626" spans="2:36" x14ac:dyDescent="0.2">
      <c r="B2626" s="45"/>
      <c r="C2626" s="189"/>
      <c r="D2626" s="45"/>
      <c r="E2626" s="45"/>
      <c r="G2626" s="45"/>
      <c r="H2626" s="45"/>
      <c r="I2626" s="45"/>
      <c r="J2626" s="45"/>
      <c r="K2626" s="45"/>
      <c r="L2626" s="45"/>
      <c r="M2626" s="111"/>
      <c r="N2626" s="73"/>
      <c r="O2626" s="73"/>
      <c r="P2626" s="73"/>
      <c r="AA2626" s="45"/>
      <c r="AB2626" s="45"/>
      <c r="AD2626" s="189"/>
      <c r="AE2626" s="189"/>
      <c r="AF2626" s="189"/>
      <c r="AG2626" s="189"/>
      <c r="AH2626" s="189"/>
      <c r="AI2626" s="45"/>
      <c r="AJ2626" s="45"/>
    </row>
    <row r="2627" spans="2:36" x14ac:dyDescent="0.2">
      <c r="B2627" s="45"/>
      <c r="C2627" s="189"/>
      <c r="D2627" s="45"/>
      <c r="E2627" s="45"/>
      <c r="G2627" s="45"/>
      <c r="H2627" s="45"/>
      <c r="I2627" s="45"/>
      <c r="J2627" s="45"/>
      <c r="K2627" s="45"/>
      <c r="L2627" s="45"/>
      <c r="M2627" s="111"/>
      <c r="N2627" s="73"/>
      <c r="O2627" s="73"/>
      <c r="P2627" s="73"/>
      <c r="AA2627" s="45"/>
      <c r="AB2627" s="45"/>
      <c r="AD2627" s="189"/>
      <c r="AE2627" s="189"/>
      <c r="AF2627" s="189"/>
      <c r="AG2627" s="189"/>
      <c r="AH2627" s="189"/>
      <c r="AI2627" s="45"/>
      <c r="AJ2627" s="45"/>
    </row>
    <row r="2628" spans="2:36" x14ac:dyDescent="0.2">
      <c r="B2628" s="45"/>
      <c r="C2628" s="189"/>
      <c r="D2628" s="45"/>
      <c r="E2628" s="45"/>
      <c r="G2628" s="45"/>
      <c r="H2628" s="45"/>
      <c r="I2628" s="45"/>
      <c r="J2628" s="45"/>
      <c r="K2628" s="45"/>
      <c r="L2628" s="45"/>
      <c r="M2628" s="111"/>
      <c r="N2628" s="73"/>
      <c r="O2628" s="73"/>
      <c r="P2628" s="73"/>
      <c r="AA2628" s="45"/>
      <c r="AB2628" s="45"/>
      <c r="AD2628" s="189"/>
      <c r="AE2628" s="189"/>
      <c r="AF2628" s="189"/>
      <c r="AG2628" s="189"/>
      <c r="AH2628" s="189"/>
      <c r="AI2628" s="45"/>
      <c r="AJ2628" s="45"/>
    </row>
    <row r="2629" spans="2:36" x14ac:dyDescent="0.2">
      <c r="B2629" s="45"/>
      <c r="C2629" s="189"/>
      <c r="D2629" s="45"/>
      <c r="E2629" s="45"/>
      <c r="G2629" s="45"/>
      <c r="H2629" s="45"/>
      <c r="I2629" s="45"/>
      <c r="J2629" s="45"/>
      <c r="K2629" s="45"/>
      <c r="L2629" s="45"/>
      <c r="M2629" s="111"/>
      <c r="N2629" s="73"/>
      <c r="O2629" s="73"/>
      <c r="P2629" s="73"/>
      <c r="AA2629" s="45"/>
      <c r="AB2629" s="45"/>
      <c r="AD2629" s="189"/>
      <c r="AE2629" s="189"/>
      <c r="AF2629" s="189"/>
      <c r="AG2629" s="189"/>
      <c r="AH2629" s="189"/>
      <c r="AI2629" s="45"/>
      <c r="AJ2629" s="45"/>
    </row>
    <row r="2630" spans="2:36" x14ac:dyDescent="0.2">
      <c r="B2630" s="45"/>
      <c r="C2630" s="189"/>
      <c r="D2630" s="45"/>
      <c r="E2630" s="45"/>
      <c r="G2630" s="45"/>
      <c r="H2630" s="45"/>
      <c r="I2630" s="45"/>
      <c r="J2630" s="45"/>
      <c r="K2630" s="45"/>
      <c r="L2630" s="45"/>
      <c r="M2630" s="111"/>
      <c r="N2630" s="73"/>
      <c r="O2630" s="73"/>
      <c r="P2630" s="73"/>
      <c r="AA2630" s="45"/>
      <c r="AB2630" s="45"/>
      <c r="AD2630" s="189"/>
      <c r="AE2630" s="189"/>
      <c r="AF2630" s="189"/>
      <c r="AG2630" s="189"/>
      <c r="AH2630" s="189"/>
      <c r="AI2630" s="45"/>
      <c r="AJ2630" s="45"/>
    </row>
    <row r="2631" spans="2:36" x14ac:dyDescent="0.2">
      <c r="B2631" s="45"/>
      <c r="C2631" s="189"/>
      <c r="D2631" s="45"/>
      <c r="E2631" s="45"/>
      <c r="G2631" s="45"/>
      <c r="H2631" s="45"/>
      <c r="I2631" s="45"/>
      <c r="J2631" s="45"/>
      <c r="K2631" s="45"/>
      <c r="L2631" s="45"/>
      <c r="M2631" s="111"/>
      <c r="N2631" s="73"/>
      <c r="O2631" s="73"/>
      <c r="P2631" s="73"/>
      <c r="AA2631" s="45"/>
      <c r="AB2631" s="45"/>
      <c r="AD2631" s="189"/>
      <c r="AE2631" s="189"/>
      <c r="AF2631" s="189"/>
      <c r="AG2631" s="189"/>
      <c r="AH2631" s="189"/>
      <c r="AI2631" s="45"/>
      <c r="AJ2631" s="45"/>
    </row>
    <row r="2632" spans="2:36" x14ac:dyDescent="0.2">
      <c r="B2632" s="45"/>
      <c r="C2632" s="189"/>
      <c r="D2632" s="45"/>
      <c r="E2632" s="45"/>
      <c r="G2632" s="45"/>
      <c r="H2632" s="45"/>
      <c r="I2632" s="45"/>
      <c r="J2632" s="45"/>
      <c r="K2632" s="45"/>
      <c r="L2632" s="45"/>
      <c r="M2632" s="111"/>
      <c r="N2632" s="73"/>
      <c r="O2632" s="73"/>
      <c r="P2632" s="73"/>
      <c r="AA2632" s="45"/>
      <c r="AB2632" s="45"/>
      <c r="AD2632" s="189"/>
      <c r="AE2632" s="189"/>
      <c r="AF2632" s="189"/>
      <c r="AG2632" s="189"/>
      <c r="AH2632" s="189"/>
      <c r="AI2632" s="45"/>
      <c r="AJ2632" s="45"/>
    </row>
    <row r="2633" spans="2:36" x14ac:dyDescent="0.2">
      <c r="B2633" s="45"/>
      <c r="C2633" s="189"/>
      <c r="D2633" s="45"/>
      <c r="E2633" s="45"/>
      <c r="G2633" s="45"/>
      <c r="H2633" s="45"/>
      <c r="I2633" s="45"/>
      <c r="J2633" s="45"/>
      <c r="K2633" s="45"/>
      <c r="L2633" s="45"/>
      <c r="M2633" s="111"/>
      <c r="N2633" s="73"/>
      <c r="O2633" s="73"/>
      <c r="P2633" s="73"/>
      <c r="AA2633" s="45"/>
      <c r="AB2633" s="45"/>
      <c r="AD2633" s="189"/>
      <c r="AE2633" s="189"/>
      <c r="AF2633" s="189"/>
      <c r="AG2633" s="189"/>
      <c r="AH2633" s="189"/>
      <c r="AI2633" s="45"/>
      <c r="AJ2633" s="45"/>
    </row>
    <row r="2634" spans="2:36" x14ac:dyDescent="0.2">
      <c r="B2634" s="45"/>
      <c r="C2634" s="189"/>
      <c r="D2634" s="45"/>
      <c r="E2634" s="45"/>
      <c r="G2634" s="45"/>
      <c r="H2634" s="45"/>
      <c r="I2634" s="45"/>
      <c r="J2634" s="45"/>
      <c r="K2634" s="45"/>
      <c r="L2634" s="45"/>
      <c r="M2634" s="111"/>
      <c r="N2634" s="73"/>
      <c r="O2634" s="73"/>
      <c r="P2634" s="73"/>
      <c r="AA2634" s="45"/>
      <c r="AB2634" s="45"/>
      <c r="AD2634" s="189"/>
      <c r="AE2634" s="189"/>
      <c r="AF2634" s="189"/>
      <c r="AG2634" s="189"/>
      <c r="AH2634" s="189"/>
      <c r="AI2634" s="45"/>
      <c r="AJ2634" s="45"/>
    </row>
    <row r="2635" spans="2:36" x14ac:dyDescent="0.2">
      <c r="B2635" s="45"/>
      <c r="C2635" s="189"/>
      <c r="D2635" s="45"/>
      <c r="E2635" s="45"/>
      <c r="G2635" s="45"/>
      <c r="H2635" s="45"/>
      <c r="I2635" s="45"/>
      <c r="J2635" s="45"/>
      <c r="K2635" s="45"/>
      <c r="L2635" s="45"/>
      <c r="M2635" s="111"/>
      <c r="N2635" s="73"/>
      <c r="O2635" s="73"/>
      <c r="P2635" s="73"/>
      <c r="AA2635" s="45"/>
      <c r="AB2635" s="45"/>
      <c r="AD2635" s="189"/>
      <c r="AE2635" s="189"/>
      <c r="AF2635" s="189"/>
      <c r="AG2635" s="189"/>
      <c r="AH2635" s="189"/>
      <c r="AI2635" s="45"/>
      <c r="AJ2635" s="45"/>
    </row>
    <row r="2636" spans="2:36" x14ac:dyDescent="0.2">
      <c r="B2636" s="45"/>
      <c r="C2636" s="189"/>
      <c r="D2636" s="45"/>
      <c r="E2636" s="45"/>
      <c r="G2636" s="45"/>
      <c r="H2636" s="45"/>
      <c r="I2636" s="45"/>
      <c r="J2636" s="45"/>
      <c r="K2636" s="45"/>
      <c r="L2636" s="45"/>
      <c r="M2636" s="111"/>
      <c r="N2636" s="73"/>
      <c r="O2636" s="73"/>
      <c r="P2636" s="73"/>
      <c r="AA2636" s="45"/>
      <c r="AB2636" s="45"/>
      <c r="AD2636" s="189"/>
      <c r="AE2636" s="189"/>
      <c r="AF2636" s="189"/>
      <c r="AG2636" s="189"/>
      <c r="AH2636" s="189"/>
      <c r="AI2636" s="45"/>
      <c r="AJ2636" s="45"/>
    </row>
    <row r="2637" spans="2:36" x14ac:dyDescent="0.2">
      <c r="B2637" s="45"/>
      <c r="C2637" s="189"/>
      <c r="D2637" s="45"/>
      <c r="E2637" s="45"/>
      <c r="G2637" s="45"/>
      <c r="H2637" s="45"/>
      <c r="I2637" s="45"/>
      <c r="J2637" s="45"/>
      <c r="K2637" s="45"/>
      <c r="L2637" s="45"/>
      <c r="M2637" s="111"/>
      <c r="N2637" s="73"/>
      <c r="O2637" s="73"/>
      <c r="P2637" s="73"/>
      <c r="AA2637" s="45"/>
      <c r="AB2637" s="45"/>
      <c r="AD2637" s="189"/>
      <c r="AE2637" s="189"/>
      <c r="AF2637" s="189"/>
      <c r="AG2637" s="189"/>
      <c r="AH2637" s="189"/>
      <c r="AI2637" s="45"/>
      <c r="AJ2637" s="45"/>
    </row>
    <row r="2638" spans="2:36" x14ac:dyDescent="0.2">
      <c r="B2638" s="45"/>
      <c r="C2638" s="189"/>
      <c r="D2638" s="45"/>
      <c r="E2638" s="45"/>
      <c r="G2638" s="45"/>
      <c r="H2638" s="45"/>
      <c r="I2638" s="45"/>
      <c r="J2638" s="45"/>
      <c r="K2638" s="45"/>
      <c r="L2638" s="45"/>
      <c r="M2638" s="111"/>
      <c r="N2638" s="73"/>
      <c r="O2638" s="73"/>
      <c r="P2638" s="73"/>
      <c r="AA2638" s="45"/>
      <c r="AB2638" s="45"/>
      <c r="AD2638" s="189"/>
      <c r="AE2638" s="189"/>
      <c r="AF2638" s="189"/>
      <c r="AG2638" s="189"/>
      <c r="AH2638" s="189"/>
      <c r="AI2638" s="45"/>
      <c r="AJ2638" s="45"/>
    </row>
    <row r="2639" spans="2:36" x14ac:dyDescent="0.2">
      <c r="B2639" s="45"/>
      <c r="C2639" s="189"/>
      <c r="D2639" s="45"/>
      <c r="E2639" s="45"/>
      <c r="G2639" s="45"/>
      <c r="H2639" s="45"/>
      <c r="I2639" s="45"/>
      <c r="J2639" s="45"/>
      <c r="K2639" s="45"/>
      <c r="L2639" s="45"/>
      <c r="M2639" s="111"/>
      <c r="N2639" s="73"/>
      <c r="O2639" s="73"/>
      <c r="P2639" s="73"/>
      <c r="AA2639" s="45"/>
      <c r="AB2639" s="45"/>
      <c r="AD2639" s="189"/>
      <c r="AE2639" s="189"/>
      <c r="AF2639" s="189"/>
      <c r="AG2639" s="189"/>
      <c r="AH2639" s="189"/>
      <c r="AI2639" s="45"/>
      <c r="AJ2639" s="45"/>
    </row>
    <row r="2640" spans="2:36" x14ac:dyDescent="0.2">
      <c r="B2640" s="45"/>
      <c r="C2640" s="189"/>
      <c r="D2640" s="45"/>
      <c r="E2640" s="45"/>
      <c r="G2640" s="45"/>
      <c r="H2640" s="45"/>
      <c r="I2640" s="45"/>
      <c r="J2640" s="45"/>
      <c r="K2640" s="45"/>
      <c r="L2640" s="45"/>
      <c r="M2640" s="111"/>
      <c r="N2640" s="73"/>
      <c r="O2640" s="73"/>
      <c r="P2640" s="73"/>
      <c r="AA2640" s="45"/>
      <c r="AB2640" s="45"/>
      <c r="AD2640" s="189"/>
      <c r="AE2640" s="189"/>
      <c r="AF2640" s="189"/>
      <c r="AG2640" s="189"/>
      <c r="AH2640" s="189"/>
      <c r="AI2640" s="45"/>
      <c r="AJ2640" s="45"/>
    </row>
    <row r="2641" spans="2:36" x14ac:dyDescent="0.2">
      <c r="B2641" s="45"/>
      <c r="C2641" s="189"/>
      <c r="D2641" s="45"/>
      <c r="E2641" s="45"/>
      <c r="G2641" s="45"/>
      <c r="H2641" s="45"/>
      <c r="I2641" s="45"/>
      <c r="J2641" s="45"/>
      <c r="K2641" s="45"/>
      <c r="L2641" s="45"/>
      <c r="M2641" s="111"/>
      <c r="N2641" s="73"/>
      <c r="O2641" s="73"/>
      <c r="P2641" s="73"/>
      <c r="AA2641" s="45"/>
      <c r="AB2641" s="45"/>
      <c r="AD2641" s="189"/>
      <c r="AE2641" s="189"/>
      <c r="AF2641" s="189"/>
      <c r="AG2641" s="189"/>
      <c r="AH2641" s="189"/>
      <c r="AI2641" s="45"/>
      <c r="AJ2641" s="45"/>
    </row>
    <row r="2642" spans="2:36" x14ac:dyDescent="0.2">
      <c r="B2642" s="45"/>
      <c r="C2642" s="189"/>
      <c r="D2642" s="45"/>
      <c r="E2642" s="45"/>
      <c r="G2642" s="45"/>
      <c r="H2642" s="45"/>
      <c r="I2642" s="45"/>
      <c r="J2642" s="45"/>
      <c r="K2642" s="45"/>
      <c r="L2642" s="45"/>
      <c r="M2642" s="111"/>
      <c r="N2642" s="73"/>
      <c r="O2642" s="73"/>
      <c r="P2642" s="73"/>
      <c r="AA2642" s="45"/>
      <c r="AB2642" s="45"/>
      <c r="AD2642" s="189"/>
      <c r="AE2642" s="189"/>
      <c r="AF2642" s="189"/>
      <c r="AG2642" s="189"/>
      <c r="AH2642" s="189"/>
      <c r="AI2642" s="45"/>
      <c r="AJ2642" s="45"/>
    </row>
    <row r="2643" spans="2:36" x14ac:dyDescent="0.2">
      <c r="B2643" s="45"/>
      <c r="C2643" s="189"/>
      <c r="D2643" s="45"/>
      <c r="E2643" s="45"/>
      <c r="G2643" s="45"/>
      <c r="H2643" s="45"/>
      <c r="I2643" s="45"/>
      <c r="J2643" s="45"/>
      <c r="K2643" s="45"/>
      <c r="L2643" s="45"/>
      <c r="M2643" s="111"/>
      <c r="N2643" s="73"/>
      <c r="O2643" s="73"/>
      <c r="P2643" s="73"/>
      <c r="AA2643" s="45"/>
      <c r="AB2643" s="45"/>
      <c r="AD2643" s="189"/>
      <c r="AE2643" s="189"/>
      <c r="AF2643" s="189"/>
      <c r="AG2643" s="189"/>
      <c r="AH2643" s="189"/>
      <c r="AI2643" s="45"/>
      <c r="AJ2643" s="45"/>
    </row>
    <row r="2644" spans="2:36" x14ac:dyDescent="0.2">
      <c r="B2644" s="45"/>
      <c r="C2644" s="189"/>
      <c r="D2644" s="45"/>
      <c r="E2644" s="45"/>
      <c r="G2644" s="45"/>
      <c r="H2644" s="45"/>
      <c r="I2644" s="45"/>
      <c r="J2644" s="45"/>
      <c r="K2644" s="45"/>
      <c r="L2644" s="45"/>
      <c r="M2644" s="111"/>
      <c r="N2644" s="73"/>
      <c r="O2644" s="73"/>
      <c r="P2644" s="73"/>
      <c r="AA2644" s="45"/>
      <c r="AB2644" s="45"/>
      <c r="AD2644" s="189"/>
      <c r="AE2644" s="189"/>
      <c r="AF2644" s="189"/>
      <c r="AG2644" s="189"/>
      <c r="AH2644" s="189"/>
      <c r="AI2644" s="45"/>
      <c r="AJ2644" s="45"/>
    </row>
    <row r="2645" spans="2:36" x14ac:dyDescent="0.2">
      <c r="B2645" s="45"/>
      <c r="C2645" s="189"/>
      <c r="D2645" s="45"/>
      <c r="E2645" s="45"/>
      <c r="G2645" s="45"/>
      <c r="H2645" s="45"/>
      <c r="I2645" s="45"/>
      <c r="J2645" s="45"/>
      <c r="K2645" s="45"/>
      <c r="L2645" s="45"/>
      <c r="M2645" s="111"/>
      <c r="N2645" s="73"/>
      <c r="O2645" s="73"/>
      <c r="P2645" s="73"/>
      <c r="AA2645" s="45"/>
      <c r="AB2645" s="45"/>
      <c r="AD2645" s="189"/>
      <c r="AE2645" s="189"/>
      <c r="AF2645" s="189"/>
      <c r="AG2645" s="189"/>
      <c r="AH2645" s="189"/>
      <c r="AI2645" s="45"/>
      <c r="AJ2645" s="45"/>
    </row>
    <row r="2646" spans="2:36" x14ac:dyDescent="0.2">
      <c r="B2646" s="45"/>
      <c r="C2646" s="189"/>
      <c r="D2646" s="45"/>
      <c r="E2646" s="45"/>
      <c r="G2646" s="45"/>
      <c r="H2646" s="45"/>
      <c r="I2646" s="45"/>
      <c r="J2646" s="45"/>
      <c r="K2646" s="45"/>
      <c r="L2646" s="45"/>
      <c r="M2646" s="111"/>
      <c r="N2646" s="73"/>
      <c r="O2646" s="73"/>
      <c r="P2646" s="73"/>
      <c r="AA2646" s="45"/>
      <c r="AB2646" s="45"/>
      <c r="AD2646" s="189"/>
      <c r="AE2646" s="189"/>
      <c r="AF2646" s="189"/>
      <c r="AG2646" s="189"/>
      <c r="AH2646" s="189"/>
      <c r="AI2646" s="45"/>
      <c r="AJ2646" s="45"/>
    </row>
    <row r="2647" spans="2:36" x14ac:dyDescent="0.2">
      <c r="B2647" s="45"/>
      <c r="C2647" s="189"/>
      <c r="D2647" s="45"/>
      <c r="E2647" s="45"/>
      <c r="G2647" s="45"/>
      <c r="H2647" s="45"/>
      <c r="I2647" s="45"/>
      <c r="J2647" s="45"/>
      <c r="K2647" s="45"/>
      <c r="L2647" s="45"/>
      <c r="M2647" s="111"/>
      <c r="N2647" s="73"/>
      <c r="O2647" s="73"/>
      <c r="P2647" s="73"/>
      <c r="AA2647" s="45"/>
      <c r="AB2647" s="45"/>
      <c r="AD2647" s="189"/>
      <c r="AE2647" s="189"/>
      <c r="AF2647" s="189"/>
      <c r="AG2647" s="189"/>
      <c r="AH2647" s="189"/>
      <c r="AI2647" s="45"/>
      <c r="AJ2647" s="45"/>
    </row>
    <row r="2648" spans="2:36" x14ac:dyDescent="0.2">
      <c r="B2648" s="45"/>
      <c r="C2648" s="189"/>
      <c r="D2648" s="45"/>
      <c r="E2648" s="45"/>
      <c r="G2648" s="45"/>
      <c r="H2648" s="45"/>
      <c r="I2648" s="45"/>
      <c r="J2648" s="45"/>
      <c r="K2648" s="45"/>
      <c r="L2648" s="45"/>
      <c r="M2648" s="111"/>
      <c r="N2648" s="73"/>
      <c r="O2648" s="73"/>
      <c r="P2648" s="73"/>
      <c r="AA2648" s="45"/>
      <c r="AB2648" s="45"/>
      <c r="AD2648" s="189"/>
      <c r="AE2648" s="189"/>
      <c r="AF2648" s="189"/>
      <c r="AG2648" s="189"/>
      <c r="AH2648" s="189"/>
      <c r="AI2648" s="45"/>
      <c r="AJ2648" s="45"/>
    </row>
    <row r="2649" spans="2:36" x14ac:dyDescent="0.2">
      <c r="B2649" s="45"/>
      <c r="C2649" s="189"/>
      <c r="D2649" s="45"/>
      <c r="E2649" s="45"/>
      <c r="G2649" s="45"/>
      <c r="H2649" s="45"/>
      <c r="I2649" s="45"/>
      <c r="J2649" s="45"/>
      <c r="K2649" s="45"/>
      <c r="L2649" s="45"/>
      <c r="M2649" s="111"/>
      <c r="N2649" s="73"/>
      <c r="O2649" s="73"/>
      <c r="P2649" s="73"/>
      <c r="AA2649" s="45"/>
      <c r="AB2649" s="45"/>
      <c r="AD2649" s="189"/>
      <c r="AE2649" s="189"/>
      <c r="AF2649" s="189"/>
      <c r="AG2649" s="189"/>
      <c r="AH2649" s="189"/>
      <c r="AI2649" s="45"/>
      <c r="AJ2649" s="45"/>
    </row>
    <row r="2650" spans="2:36" x14ac:dyDescent="0.2">
      <c r="B2650" s="45"/>
      <c r="C2650" s="189"/>
      <c r="D2650" s="45"/>
      <c r="E2650" s="45"/>
      <c r="G2650" s="45"/>
      <c r="H2650" s="45"/>
      <c r="I2650" s="45"/>
      <c r="J2650" s="45"/>
      <c r="K2650" s="45"/>
      <c r="L2650" s="45"/>
      <c r="M2650" s="111"/>
      <c r="N2650" s="73"/>
      <c r="O2650" s="73"/>
      <c r="P2650" s="73"/>
      <c r="AA2650" s="45"/>
      <c r="AB2650" s="45"/>
      <c r="AD2650" s="189"/>
      <c r="AE2650" s="189"/>
      <c r="AF2650" s="189"/>
      <c r="AG2650" s="189"/>
      <c r="AH2650" s="189"/>
      <c r="AI2650" s="45"/>
      <c r="AJ2650" s="45"/>
    </row>
    <row r="2651" spans="2:36" x14ac:dyDescent="0.2">
      <c r="B2651" s="45"/>
      <c r="C2651" s="189"/>
      <c r="D2651" s="45"/>
      <c r="E2651" s="45"/>
      <c r="G2651" s="45"/>
      <c r="H2651" s="45"/>
      <c r="I2651" s="45"/>
      <c r="J2651" s="45"/>
      <c r="K2651" s="45"/>
      <c r="L2651" s="45"/>
      <c r="M2651" s="111"/>
      <c r="N2651" s="73"/>
      <c r="O2651" s="73"/>
      <c r="P2651" s="73"/>
      <c r="AA2651" s="45"/>
      <c r="AB2651" s="45"/>
      <c r="AD2651" s="189"/>
      <c r="AE2651" s="189"/>
      <c r="AF2651" s="189"/>
      <c r="AG2651" s="189"/>
      <c r="AH2651" s="189"/>
      <c r="AI2651" s="45"/>
      <c r="AJ2651" s="45"/>
    </row>
    <row r="2652" spans="2:36" x14ac:dyDescent="0.2">
      <c r="B2652" s="45"/>
      <c r="C2652" s="189"/>
      <c r="D2652" s="45"/>
      <c r="E2652" s="45"/>
      <c r="G2652" s="45"/>
      <c r="H2652" s="45"/>
      <c r="I2652" s="45"/>
      <c r="J2652" s="45"/>
      <c r="K2652" s="45"/>
      <c r="L2652" s="45"/>
      <c r="M2652" s="111"/>
      <c r="N2652" s="73"/>
      <c r="O2652" s="73"/>
      <c r="P2652" s="73"/>
      <c r="AA2652" s="45"/>
      <c r="AB2652" s="45"/>
      <c r="AD2652" s="189"/>
      <c r="AE2652" s="189"/>
      <c r="AF2652" s="189"/>
      <c r="AG2652" s="189"/>
      <c r="AH2652" s="189"/>
      <c r="AI2652" s="45"/>
      <c r="AJ2652" s="45"/>
    </row>
    <row r="2653" spans="2:36" x14ac:dyDescent="0.2">
      <c r="B2653" s="45"/>
      <c r="C2653" s="189"/>
      <c r="D2653" s="45"/>
      <c r="E2653" s="45"/>
      <c r="G2653" s="45"/>
      <c r="H2653" s="45"/>
      <c r="I2653" s="45"/>
      <c r="J2653" s="45"/>
      <c r="K2653" s="45"/>
      <c r="L2653" s="45"/>
      <c r="M2653" s="111"/>
      <c r="N2653" s="73"/>
      <c r="O2653" s="73"/>
      <c r="P2653" s="73"/>
      <c r="AA2653" s="45"/>
      <c r="AB2653" s="45"/>
      <c r="AD2653" s="189"/>
      <c r="AE2653" s="189"/>
      <c r="AF2653" s="189"/>
      <c r="AG2653" s="189"/>
      <c r="AH2653" s="189"/>
      <c r="AI2653" s="45"/>
      <c r="AJ2653" s="45"/>
    </row>
    <row r="2654" spans="2:36" x14ac:dyDescent="0.2">
      <c r="B2654" s="45"/>
      <c r="C2654" s="189"/>
      <c r="D2654" s="45"/>
      <c r="E2654" s="45"/>
      <c r="G2654" s="45"/>
      <c r="H2654" s="45"/>
      <c r="I2654" s="45"/>
      <c r="J2654" s="45"/>
      <c r="K2654" s="45"/>
      <c r="L2654" s="45"/>
      <c r="M2654" s="111"/>
      <c r="N2654" s="73"/>
      <c r="O2654" s="73"/>
      <c r="P2654" s="73"/>
      <c r="AA2654" s="45"/>
      <c r="AB2654" s="45"/>
      <c r="AD2654" s="189"/>
      <c r="AE2654" s="189"/>
      <c r="AF2654" s="189"/>
      <c r="AG2654" s="189"/>
      <c r="AH2654" s="189"/>
      <c r="AI2654" s="45"/>
      <c r="AJ2654" s="45"/>
    </row>
    <row r="2655" spans="2:36" x14ac:dyDescent="0.2">
      <c r="B2655" s="45"/>
      <c r="C2655" s="189"/>
      <c r="D2655" s="45"/>
      <c r="E2655" s="45"/>
      <c r="G2655" s="45"/>
      <c r="H2655" s="45"/>
      <c r="I2655" s="45"/>
      <c r="J2655" s="45"/>
      <c r="K2655" s="45"/>
      <c r="L2655" s="45"/>
      <c r="M2655" s="111"/>
      <c r="N2655" s="73"/>
      <c r="O2655" s="73"/>
      <c r="P2655" s="73"/>
      <c r="AA2655" s="45"/>
      <c r="AB2655" s="45"/>
      <c r="AD2655" s="189"/>
      <c r="AE2655" s="189"/>
      <c r="AF2655" s="189"/>
      <c r="AG2655" s="189"/>
      <c r="AH2655" s="189"/>
      <c r="AI2655" s="45"/>
      <c r="AJ2655" s="45"/>
    </row>
    <row r="2656" spans="2:36" x14ac:dyDescent="0.2">
      <c r="B2656" s="45"/>
      <c r="C2656" s="189"/>
      <c r="D2656" s="45"/>
      <c r="E2656" s="45"/>
      <c r="G2656" s="45"/>
      <c r="H2656" s="45"/>
      <c r="I2656" s="45"/>
      <c r="J2656" s="45"/>
      <c r="K2656" s="45"/>
      <c r="L2656" s="45"/>
      <c r="M2656" s="111"/>
      <c r="N2656" s="73"/>
      <c r="O2656" s="73"/>
      <c r="P2656" s="73"/>
      <c r="AA2656" s="45"/>
      <c r="AB2656" s="45"/>
      <c r="AD2656" s="189"/>
      <c r="AE2656" s="189"/>
      <c r="AF2656" s="189"/>
      <c r="AG2656" s="189"/>
      <c r="AH2656" s="189"/>
      <c r="AI2656" s="45"/>
      <c r="AJ2656" s="45"/>
    </row>
    <row r="2657" spans="1:61" x14ac:dyDescent="0.2">
      <c r="B2657" s="45"/>
      <c r="C2657" s="189"/>
      <c r="D2657" s="45"/>
      <c r="E2657" s="45"/>
      <c r="G2657" s="45"/>
      <c r="H2657" s="45"/>
      <c r="I2657" s="45"/>
      <c r="J2657" s="45"/>
      <c r="K2657" s="45"/>
      <c r="L2657" s="45"/>
      <c r="M2657" s="111"/>
      <c r="N2657" s="73"/>
      <c r="O2657" s="73"/>
      <c r="P2657" s="73"/>
      <c r="AA2657" s="45"/>
      <c r="AB2657" s="45"/>
      <c r="AD2657" s="189"/>
      <c r="AE2657" s="189"/>
      <c r="AF2657" s="189"/>
      <c r="AG2657" s="189"/>
      <c r="AH2657" s="189"/>
      <c r="AI2657" s="45"/>
      <c r="AJ2657" s="45"/>
    </row>
    <row r="2658" spans="1:61" x14ac:dyDescent="0.2">
      <c r="B2658" s="45"/>
      <c r="C2658" s="189"/>
      <c r="D2658" s="45"/>
      <c r="E2658" s="45"/>
      <c r="G2658" s="45"/>
      <c r="H2658" s="45"/>
      <c r="I2658" s="45"/>
      <c r="J2658" s="45"/>
      <c r="K2658" s="45"/>
      <c r="L2658" s="45"/>
      <c r="M2658" s="111"/>
      <c r="N2658" s="73"/>
      <c r="O2658" s="73"/>
      <c r="P2658" s="73"/>
      <c r="AA2658" s="45"/>
      <c r="AB2658" s="45"/>
      <c r="AD2658" s="189"/>
      <c r="AE2658" s="189"/>
      <c r="AF2658" s="189"/>
      <c r="AG2658" s="189"/>
      <c r="AH2658" s="189"/>
      <c r="AI2658" s="45"/>
      <c r="AJ2658" s="45"/>
    </row>
    <row r="2659" spans="1:61" x14ac:dyDescent="0.2">
      <c r="B2659" s="45"/>
      <c r="C2659" s="189"/>
      <c r="D2659" s="45"/>
      <c r="E2659" s="45"/>
      <c r="G2659" s="45"/>
      <c r="H2659" s="45"/>
      <c r="I2659" s="45"/>
      <c r="J2659" s="45"/>
      <c r="K2659" s="45"/>
      <c r="L2659" s="45"/>
      <c r="M2659" s="111"/>
      <c r="N2659" s="73"/>
      <c r="O2659" s="73"/>
      <c r="P2659" s="73"/>
      <c r="AA2659" s="45"/>
      <c r="AB2659" s="45"/>
      <c r="AD2659" s="189"/>
      <c r="AE2659" s="189"/>
      <c r="AF2659" s="189"/>
      <c r="AG2659" s="189"/>
      <c r="AH2659" s="189"/>
      <c r="AI2659" s="45"/>
      <c r="AJ2659" s="45"/>
    </row>
    <row r="2660" spans="1:61" x14ac:dyDescent="0.2">
      <c r="B2660" s="45"/>
      <c r="C2660" s="189"/>
      <c r="D2660" s="45"/>
      <c r="E2660" s="45"/>
      <c r="G2660" s="45"/>
      <c r="H2660" s="45"/>
      <c r="I2660" s="45"/>
      <c r="J2660" s="45"/>
      <c r="K2660" s="45"/>
      <c r="L2660" s="45"/>
      <c r="M2660" s="111"/>
      <c r="N2660" s="73"/>
      <c r="O2660" s="73"/>
      <c r="P2660" s="73"/>
      <c r="AA2660" s="45"/>
      <c r="AB2660" s="45"/>
      <c r="AD2660" s="189"/>
      <c r="AE2660" s="189"/>
      <c r="AF2660" s="189"/>
      <c r="AG2660" s="189"/>
      <c r="AH2660" s="189"/>
      <c r="AI2660" s="45"/>
      <c r="AJ2660" s="45"/>
    </row>
    <row r="2661" spans="1:61" x14ac:dyDescent="0.2">
      <c r="B2661" s="45"/>
      <c r="C2661" s="189"/>
      <c r="D2661" s="45"/>
      <c r="E2661" s="45"/>
      <c r="G2661" s="45"/>
      <c r="H2661" s="45"/>
      <c r="I2661" s="45"/>
      <c r="J2661" s="45"/>
      <c r="K2661" s="45"/>
      <c r="L2661" s="45"/>
      <c r="M2661" s="111"/>
      <c r="N2661" s="73"/>
      <c r="O2661" s="73"/>
      <c r="P2661" s="73"/>
      <c r="AA2661" s="45"/>
      <c r="AB2661" s="45"/>
      <c r="AD2661" s="189"/>
      <c r="AE2661" s="189"/>
      <c r="AF2661" s="189"/>
      <c r="AG2661" s="189"/>
      <c r="AH2661" s="189"/>
      <c r="AI2661" s="45"/>
      <c r="AJ2661" s="45"/>
    </row>
    <row r="2662" spans="1:61" x14ac:dyDescent="0.2">
      <c r="B2662" s="45"/>
      <c r="C2662" s="189"/>
      <c r="D2662" s="45"/>
      <c r="E2662" s="45"/>
      <c r="G2662" s="45"/>
      <c r="H2662" s="45"/>
      <c r="I2662" s="45"/>
      <c r="J2662" s="45"/>
      <c r="K2662" s="45"/>
      <c r="L2662" s="45"/>
      <c r="M2662" s="111"/>
      <c r="N2662" s="73"/>
      <c r="O2662" s="73"/>
      <c r="P2662" s="73"/>
      <c r="AA2662" s="45"/>
      <c r="AB2662" s="45"/>
      <c r="AD2662" s="189"/>
      <c r="AE2662" s="189"/>
      <c r="AF2662" s="189"/>
      <c r="AG2662" s="189"/>
      <c r="AH2662" s="189"/>
      <c r="AI2662" s="45"/>
      <c r="AJ2662" s="45"/>
    </row>
    <row r="2663" spans="1:61" x14ac:dyDescent="0.2">
      <c r="B2663" s="45"/>
      <c r="C2663" s="189"/>
      <c r="D2663" s="45"/>
      <c r="E2663" s="45"/>
      <c r="G2663" s="45"/>
      <c r="H2663" s="45"/>
      <c r="I2663" s="45"/>
      <c r="J2663" s="45"/>
      <c r="K2663" s="45"/>
      <c r="L2663" s="45"/>
      <c r="M2663" s="111"/>
      <c r="N2663" s="73"/>
      <c r="O2663" s="73"/>
      <c r="P2663" s="73"/>
      <c r="AA2663" s="45"/>
      <c r="AB2663" s="45"/>
      <c r="AD2663" s="189"/>
      <c r="AE2663" s="189"/>
      <c r="AF2663" s="189"/>
      <c r="AG2663" s="189"/>
      <c r="AH2663" s="189"/>
      <c r="AI2663" s="45"/>
      <c r="AJ2663" s="45"/>
    </row>
    <row r="2664" spans="1:61" x14ac:dyDescent="0.2">
      <c r="B2664" s="45"/>
      <c r="C2664" s="189"/>
      <c r="D2664" s="45"/>
      <c r="E2664" s="45"/>
      <c r="G2664" s="45"/>
      <c r="H2664" s="45"/>
      <c r="I2664" s="45"/>
      <c r="J2664" s="45"/>
      <c r="K2664" s="45"/>
      <c r="L2664" s="45"/>
      <c r="M2664" s="111"/>
      <c r="N2664" s="73"/>
      <c r="O2664" s="73"/>
      <c r="P2664" s="73"/>
      <c r="AA2664" s="45"/>
      <c r="AB2664" s="45"/>
      <c r="AD2664" s="189"/>
      <c r="AE2664" s="189"/>
      <c r="AF2664" s="189"/>
      <c r="AG2664" s="189"/>
      <c r="AH2664" s="189"/>
      <c r="AI2664" s="45"/>
      <c r="AJ2664" s="45"/>
    </row>
    <row r="2665" spans="1:61" x14ac:dyDescent="0.2">
      <c r="B2665" s="45"/>
      <c r="C2665" s="189"/>
      <c r="D2665" s="45"/>
      <c r="E2665" s="45"/>
      <c r="G2665" s="45"/>
      <c r="H2665" s="45"/>
      <c r="I2665" s="45"/>
      <c r="J2665" s="45"/>
      <c r="K2665" s="45"/>
      <c r="L2665" s="45"/>
      <c r="M2665" s="111"/>
      <c r="N2665" s="73"/>
      <c r="O2665" s="73"/>
      <c r="P2665" s="73"/>
      <c r="AA2665" s="45"/>
      <c r="AB2665" s="45"/>
      <c r="AD2665" s="189"/>
      <c r="AE2665" s="189"/>
      <c r="AF2665" s="189"/>
      <c r="AG2665" s="189"/>
      <c r="AH2665" s="189"/>
      <c r="AI2665" s="45"/>
      <c r="AJ2665" s="45"/>
    </row>
    <row r="2666" spans="1:61" x14ac:dyDescent="0.2">
      <c r="B2666" s="45"/>
      <c r="C2666" s="189"/>
      <c r="D2666" s="45"/>
      <c r="E2666" s="45"/>
      <c r="G2666" s="45"/>
      <c r="H2666" s="45"/>
      <c r="I2666" s="45"/>
      <c r="J2666" s="45"/>
      <c r="K2666" s="45"/>
      <c r="L2666" s="45"/>
      <c r="M2666" s="111"/>
      <c r="N2666" s="73"/>
      <c r="O2666" s="73"/>
      <c r="P2666" s="73"/>
      <c r="AA2666" s="45"/>
      <c r="AB2666" s="45"/>
      <c r="AD2666" s="189"/>
      <c r="AE2666" s="189"/>
      <c r="AF2666" s="189"/>
      <c r="AG2666" s="189"/>
      <c r="AH2666" s="189"/>
      <c r="AI2666" s="45"/>
      <c r="AJ2666" s="45"/>
    </row>
    <row r="2667" spans="1:61" x14ac:dyDescent="0.2">
      <c r="B2667" s="45"/>
      <c r="C2667" s="189"/>
      <c r="D2667" s="45"/>
      <c r="E2667" s="45"/>
      <c r="G2667" s="45"/>
      <c r="H2667" s="45"/>
      <c r="I2667" s="45"/>
      <c r="J2667" s="45"/>
      <c r="K2667" s="45"/>
      <c r="L2667" s="45"/>
      <c r="M2667" s="111"/>
      <c r="N2667" s="73"/>
      <c r="O2667" s="73"/>
      <c r="P2667" s="73"/>
      <c r="AA2667" s="45"/>
      <c r="AB2667" s="45"/>
      <c r="AD2667" s="189"/>
      <c r="AE2667" s="189"/>
      <c r="AF2667" s="189"/>
      <c r="AG2667" s="189"/>
      <c r="AH2667" s="189"/>
      <c r="AI2667" s="45"/>
      <c r="AJ2667" s="45"/>
    </row>
    <row r="2668" spans="1:61" x14ac:dyDescent="0.2">
      <c r="B2668" s="45"/>
      <c r="C2668" s="189"/>
      <c r="D2668" s="45"/>
      <c r="E2668" s="45"/>
      <c r="G2668" s="45"/>
      <c r="H2668" s="45"/>
      <c r="I2668" s="45"/>
      <c r="J2668" s="45"/>
      <c r="K2668" s="45"/>
      <c r="L2668" s="45"/>
      <c r="M2668" s="111"/>
      <c r="N2668" s="73"/>
      <c r="O2668" s="73"/>
      <c r="P2668" s="73"/>
      <c r="AA2668" s="45"/>
      <c r="AB2668" s="45"/>
      <c r="AD2668" s="189"/>
      <c r="AE2668" s="189"/>
      <c r="AF2668" s="189"/>
      <c r="AG2668" s="189"/>
      <c r="AH2668" s="189"/>
      <c r="AI2668" s="45"/>
      <c r="AJ2668" s="45"/>
    </row>
    <row r="2669" spans="1:61" x14ac:dyDescent="0.2">
      <c r="B2669" s="45"/>
      <c r="C2669" s="189"/>
      <c r="D2669" s="45"/>
      <c r="E2669" s="45"/>
      <c r="G2669" s="45"/>
      <c r="H2669" s="45"/>
      <c r="I2669" s="45"/>
      <c r="J2669" s="45"/>
      <c r="K2669" s="45"/>
      <c r="L2669" s="45"/>
      <c r="M2669" s="111"/>
      <c r="N2669" s="73"/>
      <c r="O2669" s="73"/>
      <c r="P2669" s="73"/>
      <c r="AA2669" s="45"/>
      <c r="AB2669" s="45"/>
      <c r="AD2669" s="189"/>
      <c r="AE2669" s="189"/>
      <c r="AF2669" s="189"/>
      <c r="AG2669" s="189"/>
      <c r="AH2669" s="189"/>
      <c r="AI2669" s="45"/>
      <c r="AJ2669" s="45"/>
    </row>
    <row r="2670" spans="1:61" x14ac:dyDescent="0.2">
      <c r="B2670" s="45"/>
      <c r="C2670" s="189"/>
      <c r="D2670" s="45"/>
      <c r="E2670" s="45"/>
      <c r="G2670" s="45"/>
      <c r="H2670" s="45"/>
      <c r="I2670" s="45"/>
      <c r="J2670" s="45"/>
      <c r="K2670" s="45"/>
      <c r="L2670" s="45"/>
      <c r="M2670" s="111"/>
      <c r="N2670" s="73"/>
      <c r="O2670" s="73"/>
      <c r="P2670" s="73"/>
      <c r="AA2670" s="45"/>
      <c r="AB2670" s="45"/>
      <c r="AD2670" s="189"/>
      <c r="AE2670" s="189"/>
      <c r="AF2670" s="189"/>
      <c r="AG2670" s="189"/>
      <c r="AH2670" s="189"/>
      <c r="AI2670" s="45"/>
      <c r="AJ2670" s="45"/>
    </row>
    <row r="2671" spans="1:61" x14ac:dyDescent="0.2">
      <c r="A2671" s="45"/>
      <c r="B2671" s="45"/>
      <c r="C2671" s="189"/>
      <c r="D2671" s="45"/>
      <c r="E2671" s="45"/>
      <c r="G2671" s="45"/>
      <c r="H2671" s="45"/>
      <c r="I2671" s="45"/>
      <c r="J2671" s="45"/>
      <c r="K2671" s="45"/>
      <c r="L2671" s="45"/>
      <c r="M2671" s="111"/>
      <c r="N2671" s="73"/>
      <c r="O2671" s="73"/>
      <c r="P2671" s="73"/>
      <c r="AA2671" s="45"/>
      <c r="AB2671" s="45"/>
      <c r="AD2671" s="189"/>
      <c r="AE2671" s="189"/>
      <c r="AF2671" s="189"/>
      <c r="AG2671" s="189"/>
      <c r="AH2671" s="189"/>
      <c r="AI2671" s="45"/>
      <c r="AJ2671" s="45"/>
      <c r="AK2671" s="45"/>
      <c r="AL2671" s="45"/>
      <c r="AM2671" s="45"/>
    </row>
    <row r="2672" spans="1:61" s="45" customFormat="1" x14ac:dyDescent="0.2">
      <c r="C2672" s="189"/>
      <c r="F2672" s="1"/>
      <c r="M2672" s="111"/>
      <c r="N2672" s="73"/>
      <c r="O2672" s="73"/>
      <c r="P2672" s="73"/>
      <c r="Q2672" s="1"/>
      <c r="R2672" s="2"/>
      <c r="S2672" s="19"/>
      <c r="T2672" s="1"/>
      <c r="U2672"/>
      <c r="V2672"/>
      <c r="X2672" s="189"/>
      <c r="Y2672" s="189"/>
      <c r="Z2672" s="100"/>
      <c r="AC2672" s="84"/>
      <c r="AD2672" s="189"/>
      <c r="AE2672" s="189"/>
      <c r="AF2672" s="189"/>
      <c r="AG2672" s="189"/>
      <c r="AH2672" s="189"/>
      <c r="AP2672" s="238"/>
      <c r="AS2672"/>
      <c r="AT2672"/>
      <c r="AU2672"/>
      <c r="AV2672"/>
      <c r="AW2672"/>
      <c r="AX2672"/>
      <c r="AY2672"/>
      <c r="AZ2672"/>
      <c r="BA2672"/>
      <c r="BB2672"/>
      <c r="BC2672"/>
      <c r="BD2672"/>
      <c r="BE2672"/>
      <c r="BF2672"/>
      <c r="BG2672"/>
      <c r="BH2672"/>
      <c r="BI2672"/>
    </row>
    <row r="2673" spans="3:61" s="45" customFormat="1" x14ac:dyDescent="0.2">
      <c r="C2673" s="189"/>
      <c r="F2673" s="1"/>
      <c r="M2673" s="111"/>
      <c r="N2673" s="73"/>
      <c r="O2673" s="73"/>
      <c r="P2673" s="73"/>
      <c r="Q2673" s="1"/>
      <c r="R2673" s="2"/>
      <c r="S2673" s="19"/>
      <c r="T2673" s="1"/>
      <c r="U2673"/>
      <c r="V2673"/>
      <c r="X2673" s="189"/>
      <c r="Y2673" s="189"/>
      <c r="Z2673" s="100"/>
      <c r="AC2673" s="84"/>
      <c r="AD2673" s="189"/>
      <c r="AE2673" s="189"/>
      <c r="AF2673" s="189"/>
      <c r="AG2673" s="189"/>
      <c r="AH2673" s="189"/>
      <c r="AP2673" s="238"/>
      <c r="AS2673"/>
      <c r="AT2673"/>
      <c r="AU2673"/>
      <c r="AV2673"/>
      <c r="AW2673"/>
      <c r="AX2673"/>
      <c r="AY2673"/>
      <c r="AZ2673"/>
      <c r="BA2673"/>
      <c r="BB2673"/>
      <c r="BC2673"/>
      <c r="BD2673"/>
      <c r="BE2673"/>
      <c r="BF2673"/>
      <c r="BG2673"/>
      <c r="BH2673"/>
      <c r="BI2673"/>
    </row>
    <row r="2674" spans="3:61" s="45" customFormat="1" x14ac:dyDescent="0.2">
      <c r="C2674" s="189"/>
      <c r="F2674" s="73"/>
      <c r="M2674" s="111"/>
      <c r="N2674" s="73"/>
      <c r="O2674" s="73"/>
      <c r="P2674" s="73"/>
      <c r="Q2674" s="73"/>
      <c r="R2674" s="111"/>
      <c r="S2674" s="75"/>
      <c r="T2674" s="73"/>
      <c r="X2674" s="189"/>
      <c r="Y2674" s="189"/>
      <c r="Z2674" s="100"/>
      <c r="AC2674" s="84"/>
      <c r="AD2674" s="189"/>
      <c r="AE2674" s="189"/>
      <c r="AF2674" s="189"/>
      <c r="AG2674" s="189"/>
      <c r="AH2674" s="189"/>
      <c r="AP2674" s="238"/>
      <c r="AS2674"/>
      <c r="AT2674"/>
      <c r="AU2674"/>
      <c r="AV2674"/>
      <c r="AW2674"/>
      <c r="AX2674"/>
      <c r="AY2674"/>
      <c r="AZ2674"/>
      <c r="BA2674"/>
      <c r="BB2674"/>
      <c r="BC2674"/>
      <c r="BD2674"/>
      <c r="BE2674"/>
      <c r="BF2674"/>
      <c r="BG2674"/>
      <c r="BH2674"/>
    </row>
    <row r="2675" spans="3:61" s="45" customFormat="1" x14ac:dyDescent="0.2">
      <c r="C2675" s="189"/>
      <c r="F2675" s="73"/>
      <c r="M2675" s="111"/>
      <c r="N2675" s="73"/>
      <c r="O2675" s="73"/>
      <c r="P2675" s="73"/>
      <c r="Q2675" s="73"/>
      <c r="R2675" s="111"/>
      <c r="S2675" s="75"/>
      <c r="T2675" s="73"/>
      <c r="X2675" s="189"/>
      <c r="Y2675" s="189"/>
      <c r="Z2675" s="100"/>
      <c r="AC2675" s="84"/>
      <c r="AD2675" s="189"/>
      <c r="AE2675" s="189"/>
      <c r="AF2675" s="189"/>
      <c r="AG2675" s="189"/>
      <c r="AH2675" s="189"/>
      <c r="AP2675" s="238"/>
      <c r="AS2675"/>
      <c r="AT2675"/>
      <c r="AU2675"/>
      <c r="AV2675"/>
      <c r="AW2675"/>
      <c r="AX2675"/>
      <c r="AY2675"/>
      <c r="AZ2675"/>
      <c r="BA2675"/>
      <c r="BB2675"/>
      <c r="BC2675"/>
      <c r="BD2675"/>
      <c r="BE2675"/>
      <c r="BF2675"/>
      <c r="BG2675"/>
      <c r="BH2675"/>
    </row>
    <row r="2676" spans="3:61" s="45" customFormat="1" x14ac:dyDescent="0.2">
      <c r="C2676" s="189"/>
      <c r="F2676" s="73"/>
      <c r="M2676" s="111"/>
      <c r="N2676" s="73"/>
      <c r="O2676" s="73"/>
      <c r="P2676" s="73"/>
      <c r="Q2676" s="73"/>
      <c r="R2676" s="111"/>
      <c r="S2676" s="75"/>
      <c r="T2676" s="73"/>
      <c r="X2676" s="189"/>
      <c r="Y2676" s="189"/>
      <c r="Z2676" s="100"/>
      <c r="AC2676" s="84"/>
      <c r="AD2676" s="189"/>
      <c r="AE2676" s="189"/>
      <c r="AF2676" s="189"/>
      <c r="AG2676" s="189"/>
      <c r="AH2676" s="189"/>
      <c r="AP2676" s="238"/>
      <c r="AS2676"/>
      <c r="AT2676"/>
      <c r="AU2676"/>
      <c r="AV2676"/>
      <c r="AW2676"/>
      <c r="AX2676"/>
      <c r="AY2676"/>
      <c r="AZ2676"/>
      <c r="BA2676"/>
      <c r="BB2676"/>
      <c r="BC2676"/>
      <c r="BD2676"/>
      <c r="BE2676"/>
      <c r="BF2676"/>
      <c r="BG2676"/>
      <c r="BH2676"/>
    </row>
    <row r="2677" spans="3:61" s="45" customFormat="1" x14ac:dyDescent="0.2">
      <c r="C2677" s="189"/>
      <c r="F2677" s="73"/>
      <c r="M2677" s="111"/>
      <c r="N2677" s="73"/>
      <c r="O2677" s="73"/>
      <c r="P2677" s="73"/>
      <c r="Q2677" s="73"/>
      <c r="R2677" s="111"/>
      <c r="S2677" s="75"/>
      <c r="T2677" s="73"/>
      <c r="X2677" s="189"/>
      <c r="Y2677" s="189"/>
      <c r="Z2677" s="100"/>
      <c r="AC2677" s="84"/>
      <c r="AD2677" s="189"/>
      <c r="AE2677" s="189"/>
      <c r="AF2677" s="189"/>
      <c r="AG2677" s="189"/>
      <c r="AH2677" s="189"/>
      <c r="AP2677" s="238"/>
      <c r="AS2677"/>
      <c r="AT2677"/>
      <c r="AU2677"/>
      <c r="AV2677"/>
      <c r="AW2677"/>
      <c r="AX2677"/>
      <c r="AY2677"/>
      <c r="AZ2677"/>
      <c r="BA2677"/>
      <c r="BB2677"/>
      <c r="BC2677"/>
      <c r="BD2677"/>
      <c r="BE2677"/>
      <c r="BF2677"/>
      <c r="BG2677"/>
      <c r="BH2677"/>
    </row>
    <row r="2678" spans="3:61" s="45" customFormat="1" x14ac:dyDescent="0.2">
      <c r="C2678" s="189"/>
      <c r="F2678" s="73"/>
      <c r="M2678" s="111"/>
      <c r="N2678" s="73"/>
      <c r="O2678" s="73"/>
      <c r="P2678" s="73"/>
      <c r="Q2678" s="73"/>
      <c r="R2678" s="111"/>
      <c r="S2678" s="75"/>
      <c r="T2678" s="73"/>
      <c r="X2678" s="189"/>
      <c r="Y2678" s="189"/>
      <c r="Z2678" s="100"/>
      <c r="AC2678" s="84"/>
      <c r="AD2678" s="189"/>
      <c r="AE2678" s="189"/>
      <c r="AF2678" s="189"/>
      <c r="AG2678" s="189"/>
      <c r="AH2678" s="189"/>
      <c r="AP2678" s="238"/>
      <c r="AS2678"/>
      <c r="AT2678"/>
      <c r="AU2678"/>
      <c r="AV2678"/>
      <c r="AW2678"/>
      <c r="AX2678"/>
      <c r="AY2678"/>
      <c r="AZ2678"/>
      <c r="BA2678"/>
      <c r="BB2678"/>
      <c r="BC2678"/>
      <c r="BD2678"/>
      <c r="BE2678"/>
      <c r="BF2678"/>
      <c r="BG2678"/>
      <c r="BH2678"/>
    </row>
    <row r="2679" spans="3:61" s="45" customFormat="1" x14ac:dyDescent="0.2">
      <c r="C2679" s="189"/>
      <c r="F2679" s="73"/>
      <c r="M2679" s="111"/>
      <c r="N2679" s="73"/>
      <c r="O2679" s="73"/>
      <c r="P2679" s="73"/>
      <c r="Q2679" s="73"/>
      <c r="R2679" s="111"/>
      <c r="S2679" s="75"/>
      <c r="T2679" s="73"/>
      <c r="X2679" s="189"/>
      <c r="Y2679" s="189"/>
      <c r="Z2679" s="100"/>
      <c r="AC2679" s="84"/>
      <c r="AD2679" s="189"/>
      <c r="AE2679" s="189"/>
      <c r="AF2679" s="189"/>
      <c r="AG2679" s="189"/>
      <c r="AH2679" s="189"/>
      <c r="AP2679" s="238"/>
      <c r="AS2679"/>
      <c r="AT2679"/>
      <c r="AU2679"/>
      <c r="AV2679"/>
      <c r="AW2679"/>
      <c r="AX2679"/>
      <c r="AY2679"/>
      <c r="AZ2679"/>
      <c r="BA2679"/>
      <c r="BB2679"/>
      <c r="BC2679"/>
      <c r="BD2679"/>
      <c r="BE2679"/>
      <c r="BF2679"/>
      <c r="BG2679"/>
      <c r="BH2679"/>
    </row>
    <row r="2680" spans="3:61" s="45" customFormat="1" x14ac:dyDescent="0.2">
      <c r="C2680" s="189"/>
      <c r="F2680" s="73"/>
      <c r="M2680" s="111"/>
      <c r="N2680" s="73"/>
      <c r="O2680" s="73"/>
      <c r="P2680" s="73"/>
      <c r="Q2680" s="73"/>
      <c r="R2680" s="111"/>
      <c r="S2680" s="75"/>
      <c r="T2680" s="73"/>
      <c r="X2680" s="189"/>
      <c r="Y2680" s="189"/>
      <c r="Z2680" s="100"/>
      <c r="AC2680" s="84"/>
      <c r="AD2680" s="189"/>
      <c r="AE2680" s="189"/>
      <c r="AF2680" s="189"/>
      <c r="AG2680" s="189"/>
      <c r="AH2680" s="189"/>
      <c r="AP2680" s="238"/>
      <c r="AS2680"/>
      <c r="AT2680"/>
      <c r="AU2680"/>
      <c r="AV2680"/>
      <c r="AW2680"/>
      <c r="AX2680"/>
      <c r="AY2680"/>
      <c r="AZ2680"/>
      <c r="BA2680"/>
      <c r="BB2680"/>
      <c r="BC2680"/>
      <c r="BD2680"/>
      <c r="BE2680"/>
      <c r="BF2680"/>
      <c r="BG2680"/>
      <c r="BH2680"/>
    </row>
    <row r="2681" spans="3:61" s="45" customFormat="1" x14ac:dyDescent="0.2">
      <c r="C2681" s="189"/>
      <c r="F2681" s="73"/>
      <c r="M2681" s="111"/>
      <c r="N2681" s="73"/>
      <c r="O2681" s="73"/>
      <c r="P2681" s="73"/>
      <c r="Q2681" s="73"/>
      <c r="R2681" s="111"/>
      <c r="S2681" s="75"/>
      <c r="T2681" s="73"/>
      <c r="X2681" s="189"/>
      <c r="Y2681" s="189"/>
      <c r="Z2681" s="100"/>
      <c r="AC2681" s="84"/>
      <c r="AD2681" s="189"/>
      <c r="AE2681" s="189"/>
      <c r="AF2681" s="189"/>
      <c r="AG2681" s="189"/>
      <c r="AH2681" s="189"/>
      <c r="AP2681" s="238"/>
      <c r="AS2681"/>
      <c r="AT2681"/>
      <c r="AU2681"/>
      <c r="AV2681"/>
      <c r="AW2681"/>
      <c r="AX2681"/>
      <c r="AY2681"/>
      <c r="AZ2681"/>
      <c r="BA2681"/>
      <c r="BB2681"/>
      <c r="BC2681"/>
      <c r="BD2681"/>
      <c r="BE2681"/>
      <c r="BF2681"/>
      <c r="BG2681"/>
      <c r="BH2681"/>
    </row>
    <row r="2682" spans="3:61" s="45" customFormat="1" x14ac:dyDescent="0.2">
      <c r="C2682" s="189"/>
      <c r="F2682" s="73"/>
      <c r="M2682" s="111"/>
      <c r="N2682" s="73"/>
      <c r="O2682" s="73"/>
      <c r="P2682" s="73"/>
      <c r="Q2682" s="73"/>
      <c r="R2682" s="111"/>
      <c r="S2682" s="75"/>
      <c r="T2682" s="73"/>
      <c r="X2682" s="189"/>
      <c r="Y2682" s="189"/>
      <c r="Z2682" s="100"/>
      <c r="AC2682" s="84"/>
      <c r="AD2682" s="189"/>
      <c r="AE2682" s="189"/>
      <c r="AF2682" s="189"/>
      <c r="AG2682" s="189"/>
      <c r="AH2682" s="189"/>
      <c r="AP2682" s="238"/>
      <c r="AS2682"/>
      <c r="AT2682"/>
      <c r="AU2682"/>
      <c r="AV2682"/>
      <c r="AW2682"/>
      <c r="AX2682"/>
      <c r="AY2682"/>
      <c r="AZ2682"/>
      <c r="BA2682"/>
      <c r="BB2682"/>
      <c r="BC2682"/>
      <c r="BD2682"/>
      <c r="BE2682"/>
      <c r="BF2682"/>
      <c r="BG2682"/>
      <c r="BH2682"/>
    </row>
    <row r="2683" spans="3:61" s="45" customFormat="1" x14ac:dyDescent="0.2">
      <c r="C2683" s="189"/>
      <c r="F2683" s="73"/>
      <c r="M2683" s="111"/>
      <c r="N2683" s="73"/>
      <c r="O2683" s="73"/>
      <c r="P2683" s="73"/>
      <c r="Q2683" s="73"/>
      <c r="R2683" s="111"/>
      <c r="S2683" s="75"/>
      <c r="T2683" s="73"/>
      <c r="X2683" s="189"/>
      <c r="Y2683" s="189"/>
      <c r="Z2683" s="100"/>
      <c r="AC2683" s="84"/>
      <c r="AD2683" s="189"/>
      <c r="AE2683" s="189"/>
      <c r="AF2683" s="189"/>
      <c r="AG2683" s="189"/>
      <c r="AH2683" s="189"/>
      <c r="AP2683" s="238"/>
      <c r="AS2683"/>
      <c r="AT2683"/>
      <c r="AU2683"/>
      <c r="AV2683"/>
      <c r="AW2683"/>
      <c r="AX2683"/>
      <c r="AY2683"/>
      <c r="AZ2683"/>
      <c r="BA2683"/>
      <c r="BB2683"/>
      <c r="BC2683"/>
      <c r="BD2683"/>
      <c r="BE2683"/>
      <c r="BF2683"/>
      <c r="BG2683"/>
      <c r="BH2683"/>
    </row>
    <row r="2684" spans="3:61" s="45" customFormat="1" x14ac:dyDescent="0.2">
      <c r="C2684" s="189"/>
      <c r="F2684" s="73"/>
      <c r="M2684" s="111"/>
      <c r="N2684" s="73"/>
      <c r="O2684" s="73"/>
      <c r="P2684" s="73"/>
      <c r="Q2684" s="73"/>
      <c r="R2684" s="111"/>
      <c r="S2684" s="75"/>
      <c r="T2684" s="73"/>
      <c r="X2684" s="189"/>
      <c r="Y2684" s="189"/>
      <c r="Z2684" s="100"/>
      <c r="AC2684" s="84"/>
      <c r="AD2684" s="189"/>
      <c r="AE2684" s="189"/>
      <c r="AF2684" s="189"/>
      <c r="AG2684" s="189"/>
      <c r="AH2684" s="189"/>
      <c r="AP2684" s="238"/>
      <c r="AS2684"/>
      <c r="AT2684"/>
      <c r="AU2684"/>
      <c r="AV2684"/>
      <c r="AW2684"/>
      <c r="AX2684"/>
      <c r="AY2684"/>
      <c r="AZ2684"/>
      <c r="BA2684"/>
      <c r="BB2684"/>
      <c r="BC2684"/>
      <c r="BD2684"/>
      <c r="BE2684"/>
      <c r="BF2684"/>
      <c r="BG2684"/>
      <c r="BH2684"/>
    </row>
    <row r="2685" spans="3:61" s="45" customFormat="1" x14ac:dyDescent="0.2">
      <c r="C2685" s="189"/>
      <c r="F2685" s="73"/>
      <c r="M2685" s="111"/>
      <c r="N2685" s="73"/>
      <c r="O2685" s="73"/>
      <c r="P2685" s="73"/>
      <c r="Q2685" s="73"/>
      <c r="R2685" s="111"/>
      <c r="S2685" s="75"/>
      <c r="T2685" s="73"/>
      <c r="X2685" s="189"/>
      <c r="Y2685" s="189"/>
      <c r="Z2685" s="100"/>
      <c r="AC2685" s="84"/>
      <c r="AD2685" s="189"/>
      <c r="AE2685" s="189"/>
      <c r="AF2685" s="189"/>
      <c r="AG2685" s="189"/>
      <c r="AH2685" s="189"/>
      <c r="AP2685" s="238"/>
      <c r="AS2685"/>
      <c r="AT2685"/>
      <c r="AU2685"/>
      <c r="AV2685"/>
      <c r="AW2685"/>
      <c r="AX2685"/>
      <c r="AY2685"/>
      <c r="AZ2685"/>
      <c r="BA2685"/>
      <c r="BB2685"/>
      <c r="BC2685"/>
      <c r="BD2685"/>
      <c r="BE2685"/>
      <c r="BF2685"/>
      <c r="BG2685"/>
      <c r="BH2685"/>
    </row>
    <row r="2686" spans="3:61" s="45" customFormat="1" x14ac:dyDescent="0.2">
      <c r="C2686" s="189"/>
      <c r="F2686" s="73"/>
      <c r="M2686" s="111"/>
      <c r="N2686" s="73"/>
      <c r="O2686" s="73"/>
      <c r="P2686" s="73"/>
      <c r="Q2686" s="73"/>
      <c r="R2686" s="111"/>
      <c r="S2686" s="75"/>
      <c r="T2686" s="73"/>
      <c r="X2686" s="189"/>
      <c r="Y2686" s="189"/>
      <c r="Z2686" s="100"/>
      <c r="AC2686" s="84"/>
      <c r="AD2686" s="189"/>
      <c r="AE2686" s="189"/>
      <c r="AF2686" s="189"/>
      <c r="AG2686" s="189"/>
      <c r="AH2686" s="189"/>
      <c r="AP2686" s="238"/>
      <c r="AS2686"/>
      <c r="AT2686"/>
      <c r="AU2686"/>
      <c r="AV2686"/>
      <c r="AW2686"/>
      <c r="AX2686"/>
      <c r="AY2686"/>
      <c r="AZ2686"/>
      <c r="BA2686"/>
      <c r="BB2686"/>
      <c r="BC2686"/>
      <c r="BD2686"/>
      <c r="BE2686"/>
      <c r="BF2686"/>
      <c r="BG2686"/>
      <c r="BH2686"/>
    </row>
    <row r="2687" spans="3:61" s="45" customFormat="1" x14ac:dyDescent="0.2">
      <c r="C2687" s="189"/>
      <c r="F2687" s="73"/>
      <c r="M2687" s="111"/>
      <c r="N2687" s="73"/>
      <c r="O2687" s="73"/>
      <c r="P2687" s="73"/>
      <c r="Q2687" s="73"/>
      <c r="R2687" s="111"/>
      <c r="S2687" s="75"/>
      <c r="T2687" s="73"/>
      <c r="X2687" s="189"/>
      <c r="Y2687" s="189"/>
      <c r="Z2687" s="100"/>
      <c r="AC2687" s="84"/>
      <c r="AD2687" s="189"/>
      <c r="AE2687" s="189"/>
      <c r="AF2687" s="189"/>
      <c r="AG2687" s="189"/>
      <c r="AH2687" s="189"/>
      <c r="AP2687" s="238"/>
      <c r="AS2687"/>
      <c r="AT2687"/>
      <c r="AU2687"/>
      <c r="AV2687"/>
      <c r="AW2687"/>
      <c r="AX2687"/>
      <c r="AY2687"/>
      <c r="AZ2687"/>
      <c r="BA2687"/>
      <c r="BB2687"/>
      <c r="BC2687"/>
      <c r="BD2687"/>
      <c r="BE2687"/>
      <c r="BF2687"/>
      <c r="BG2687"/>
      <c r="BH2687"/>
    </row>
    <row r="2688" spans="3:61" s="45" customFormat="1" x14ac:dyDescent="0.2">
      <c r="C2688" s="189"/>
      <c r="F2688" s="73"/>
      <c r="M2688" s="111"/>
      <c r="N2688" s="73"/>
      <c r="O2688" s="73"/>
      <c r="P2688" s="73"/>
      <c r="Q2688" s="73"/>
      <c r="R2688" s="111"/>
      <c r="S2688" s="75"/>
      <c r="T2688" s="73"/>
      <c r="X2688" s="189"/>
      <c r="Y2688" s="189"/>
      <c r="Z2688" s="100"/>
      <c r="AC2688" s="84"/>
      <c r="AD2688" s="189"/>
      <c r="AE2688" s="189"/>
      <c r="AF2688" s="189"/>
      <c r="AG2688" s="189"/>
      <c r="AH2688" s="189"/>
      <c r="AP2688" s="238"/>
      <c r="AS2688"/>
      <c r="AT2688"/>
      <c r="AU2688"/>
      <c r="AV2688"/>
      <c r="AW2688"/>
      <c r="AX2688"/>
      <c r="AY2688"/>
      <c r="AZ2688"/>
      <c r="BA2688"/>
      <c r="BB2688"/>
      <c r="BC2688"/>
      <c r="BD2688"/>
      <c r="BE2688"/>
      <c r="BF2688"/>
      <c r="BG2688"/>
      <c r="BH2688"/>
    </row>
    <row r="2689" spans="3:60" s="45" customFormat="1" x14ac:dyDescent="0.2">
      <c r="C2689" s="189"/>
      <c r="F2689" s="73"/>
      <c r="M2689" s="111"/>
      <c r="N2689" s="73"/>
      <c r="O2689" s="73"/>
      <c r="P2689" s="73"/>
      <c r="Q2689" s="73"/>
      <c r="R2689" s="111"/>
      <c r="S2689" s="75"/>
      <c r="T2689" s="73"/>
      <c r="X2689" s="189"/>
      <c r="Y2689" s="189"/>
      <c r="Z2689" s="100"/>
      <c r="AC2689" s="84"/>
      <c r="AD2689" s="189"/>
      <c r="AE2689" s="189"/>
      <c r="AF2689" s="189"/>
      <c r="AG2689" s="189"/>
      <c r="AH2689" s="189"/>
      <c r="AP2689" s="238"/>
      <c r="AS2689"/>
      <c r="AT2689"/>
      <c r="AU2689"/>
      <c r="AV2689"/>
      <c r="AW2689"/>
      <c r="AX2689"/>
      <c r="AY2689"/>
      <c r="AZ2689"/>
      <c r="BA2689"/>
      <c r="BB2689"/>
      <c r="BC2689"/>
      <c r="BD2689"/>
      <c r="BE2689"/>
      <c r="BF2689"/>
      <c r="BG2689"/>
      <c r="BH2689"/>
    </row>
    <row r="2690" spans="3:60" s="45" customFormat="1" x14ac:dyDescent="0.2">
      <c r="C2690" s="189"/>
      <c r="F2690" s="73"/>
      <c r="M2690" s="111"/>
      <c r="N2690" s="73"/>
      <c r="O2690" s="73"/>
      <c r="P2690" s="73"/>
      <c r="Q2690" s="73"/>
      <c r="R2690" s="111"/>
      <c r="S2690" s="75"/>
      <c r="T2690" s="73"/>
      <c r="X2690" s="189"/>
      <c r="Y2690" s="189"/>
      <c r="Z2690" s="100"/>
      <c r="AC2690" s="84"/>
      <c r="AD2690" s="189"/>
      <c r="AE2690" s="189"/>
      <c r="AF2690" s="189"/>
      <c r="AG2690" s="189"/>
      <c r="AH2690" s="189"/>
      <c r="AP2690" s="238"/>
      <c r="AS2690"/>
      <c r="AT2690"/>
      <c r="AU2690"/>
      <c r="AV2690"/>
      <c r="AW2690"/>
      <c r="AX2690"/>
      <c r="AY2690"/>
      <c r="AZ2690"/>
      <c r="BA2690"/>
      <c r="BB2690"/>
      <c r="BC2690"/>
      <c r="BD2690"/>
      <c r="BE2690"/>
      <c r="BF2690"/>
      <c r="BG2690"/>
      <c r="BH2690"/>
    </row>
    <row r="2691" spans="3:60" s="45" customFormat="1" x14ac:dyDescent="0.2">
      <c r="C2691" s="189"/>
      <c r="F2691" s="73"/>
      <c r="M2691" s="111"/>
      <c r="N2691" s="73"/>
      <c r="O2691" s="73"/>
      <c r="P2691" s="73"/>
      <c r="Q2691" s="73"/>
      <c r="R2691" s="111"/>
      <c r="S2691" s="75"/>
      <c r="T2691" s="73"/>
      <c r="X2691" s="189"/>
      <c r="Y2691" s="189"/>
      <c r="Z2691" s="100"/>
      <c r="AC2691" s="84"/>
      <c r="AD2691" s="189"/>
      <c r="AE2691" s="189"/>
      <c r="AF2691" s="189"/>
      <c r="AG2691" s="189"/>
      <c r="AH2691" s="189"/>
      <c r="AP2691" s="238"/>
      <c r="AS2691"/>
      <c r="AT2691"/>
      <c r="AU2691"/>
      <c r="AV2691"/>
      <c r="AW2691"/>
      <c r="AX2691"/>
      <c r="AY2691"/>
      <c r="AZ2691"/>
      <c r="BA2691"/>
      <c r="BB2691"/>
      <c r="BC2691"/>
      <c r="BD2691"/>
      <c r="BE2691"/>
      <c r="BF2691"/>
      <c r="BG2691"/>
      <c r="BH2691"/>
    </row>
    <row r="2692" spans="3:60" s="45" customFormat="1" x14ac:dyDescent="0.2">
      <c r="C2692" s="189"/>
      <c r="F2692" s="73"/>
      <c r="M2692" s="111"/>
      <c r="N2692" s="73"/>
      <c r="O2692" s="73"/>
      <c r="P2692" s="73"/>
      <c r="Q2692" s="73"/>
      <c r="R2692" s="111"/>
      <c r="S2692" s="75"/>
      <c r="T2692" s="73"/>
      <c r="X2692" s="189"/>
      <c r="Y2692" s="189"/>
      <c r="Z2692" s="100"/>
      <c r="AC2692" s="84"/>
      <c r="AD2692" s="189"/>
      <c r="AE2692" s="189"/>
      <c r="AF2692" s="189"/>
      <c r="AG2692" s="189"/>
      <c r="AH2692" s="189"/>
      <c r="AP2692" s="238"/>
      <c r="AS2692"/>
      <c r="AT2692"/>
      <c r="AU2692"/>
      <c r="AV2692"/>
      <c r="AW2692"/>
      <c r="AX2692"/>
      <c r="AY2692"/>
      <c r="AZ2692"/>
      <c r="BA2692"/>
      <c r="BB2692"/>
      <c r="BC2692"/>
      <c r="BD2692"/>
      <c r="BE2692"/>
      <c r="BF2692"/>
      <c r="BG2692"/>
      <c r="BH2692"/>
    </row>
    <row r="2693" spans="3:60" s="45" customFormat="1" x14ac:dyDescent="0.2">
      <c r="C2693" s="189"/>
      <c r="F2693" s="73"/>
      <c r="M2693" s="111"/>
      <c r="N2693" s="73"/>
      <c r="O2693" s="73"/>
      <c r="P2693" s="73"/>
      <c r="Q2693" s="73"/>
      <c r="R2693" s="111"/>
      <c r="S2693" s="75"/>
      <c r="T2693" s="73"/>
      <c r="X2693" s="189"/>
      <c r="Y2693" s="189"/>
      <c r="Z2693" s="100"/>
      <c r="AC2693" s="84"/>
      <c r="AD2693" s="189"/>
      <c r="AE2693" s="189"/>
      <c r="AF2693" s="189"/>
      <c r="AG2693" s="189"/>
      <c r="AH2693" s="189"/>
      <c r="AP2693" s="238"/>
      <c r="AS2693"/>
      <c r="AT2693"/>
      <c r="AU2693"/>
      <c r="AV2693"/>
      <c r="AW2693"/>
      <c r="AX2693"/>
      <c r="AY2693"/>
      <c r="AZ2693"/>
      <c r="BA2693"/>
      <c r="BB2693"/>
      <c r="BC2693"/>
      <c r="BD2693"/>
      <c r="BE2693"/>
      <c r="BF2693"/>
      <c r="BG2693"/>
      <c r="BH2693"/>
    </row>
    <row r="2694" spans="3:60" s="45" customFormat="1" x14ac:dyDescent="0.2">
      <c r="C2694" s="189"/>
      <c r="F2694" s="73"/>
      <c r="M2694" s="111"/>
      <c r="N2694" s="73"/>
      <c r="O2694" s="73"/>
      <c r="P2694" s="73"/>
      <c r="Q2694" s="73"/>
      <c r="R2694" s="111"/>
      <c r="S2694" s="75"/>
      <c r="T2694" s="73"/>
      <c r="X2694" s="189"/>
      <c r="Y2694" s="189"/>
      <c r="Z2694" s="100"/>
      <c r="AC2694" s="84"/>
      <c r="AD2694" s="189"/>
      <c r="AE2694" s="189"/>
      <c r="AF2694" s="189"/>
      <c r="AG2694" s="189"/>
      <c r="AH2694" s="189"/>
      <c r="AP2694" s="238"/>
      <c r="AS2694"/>
      <c r="AT2694"/>
      <c r="AU2694"/>
      <c r="AV2694"/>
      <c r="AW2694"/>
      <c r="AX2694"/>
      <c r="AY2694"/>
      <c r="AZ2694"/>
      <c r="BA2694"/>
      <c r="BB2694"/>
      <c r="BC2694"/>
      <c r="BD2694"/>
      <c r="BE2694"/>
      <c r="BF2694"/>
      <c r="BG2694"/>
      <c r="BH2694"/>
    </row>
    <row r="2695" spans="3:60" s="45" customFormat="1" x14ac:dyDescent="0.2">
      <c r="C2695" s="189"/>
      <c r="F2695" s="73"/>
      <c r="M2695" s="111"/>
      <c r="N2695" s="73"/>
      <c r="O2695" s="73"/>
      <c r="P2695" s="73"/>
      <c r="Q2695" s="73"/>
      <c r="R2695" s="111"/>
      <c r="S2695" s="75"/>
      <c r="T2695" s="73"/>
      <c r="X2695" s="189"/>
      <c r="Y2695" s="189"/>
      <c r="Z2695" s="100"/>
      <c r="AC2695" s="84"/>
      <c r="AD2695" s="189"/>
      <c r="AE2695" s="189"/>
      <c r="AF2695" s="189"/>
      <c r="AG2695" s="189"/>
      <c r="AH2695" s="189"/>
      <c r="AP2695" s="238"/>
      <c r="AS2695"/>
      <c r="AT2695"/>
      <c r="AU2695"/>
      <c r="AV2695"/>
      <c r="AW2695"/>
      <c r="AX2695"/>
      <c r="AY2695"/>
      <c r="AZ2695"/>
      <c r="BA2695"/>
      <c r="BB2695"/>
      <c r="BC2695"/>
      <c r="BD2695"/>
      <c r="BE2695"/>
      <c r="BF2695"/>
      <c r="BG2695"/>
      <c r="BH2695"/>
    </row>
    <row r="2696" spans="3:60" s="45" customFormat="1" x14ac:dyDescent="0.2">
      <c r="C2696" s="189"/>
      <c r="F2696" s="73"/>
      <c r="M2696" s="111"/>
      <c r="N2696" s="73"/>
      <c r="O2696" s="73"/>
      <c r="P2696" s="73"/>
      <c r="Q2696" s="73"/>
      <c r="R2696" s="111"/>
      <c r="S2696" s="75"/>
      <c r="T2696" s="73"/>
      <c r="X2696" s="189"/>
      <c r="Y2696" s="189"/>
      <c r="Z2696" s="100"/>
      <c r="AC2696" s="84"/>
      <c r="AD2696" s="189"/>
      <c r="AE2696" s="189"/>
      <c r="AF2696" s="189"/>
      <c r="AG2696" s="189"/>
      <c r="AH2696" s="189"/>
      <c r="AP2696" s="238"/>
      <c r="AS2696"/>
      <c r="AT2696"/>
      <c r="AU2696"/>
      <c r="AV2696"/>
      <c r="AW2696"/>
      <c r="AX2696"/>
      <c r="AY2696"/>
      <c r="AZ2696"/>
      <c r="BA2696"/>
      <c r="BB2696"/>
      <c r="BC2696"/>
      <c r="BD2696"/>
      <c r="BE2696"/>
      <c r="BF2696"/>
      <c r="BG2696"/>
      <c r="BH2696"/>
    </row>
    <row r="2697" spans="3:60" s="45" customFormat="1" x14ac:dyDescent="0.2">
      <c r="C2697" s="189"/>
      <c r="F2697" s="73"/>
      <c r="M2697" s="111"/>
      <c r="N2697" s="73"/>
      <c r="O2697" s="73"/>
      <c r="P2697" s="73"/>
      <c r="Q2697" s="73"/>
      <c r="R2697" s="111"/>
      <c r="S2697" s="75"/>
      <c r="T2697" s="73"/>
      <c r="X2697" s="189"/>
      <c r="Y2697" s="189"/>
      <c r="Z2697" s="100"/>
      <c r="AC2697" s="84"/>
      <c r="AD2697" s="189"/>
      <c r="AE2697" s="189"/>
      <c r="AF2697" s="189"/>
      <c r="AG2697" s="189"/>
      <c r="AH2697" s="189"/>
      <c r="AP2697" s="238"/>
      <c r="AS2697"/>
      <c r="AT2697"/>
      <c r="AU2697"/>
      <c r="AV2697"/>
      <c r="AW2697"/>
      <c r="AX2697"/>
      <c r="AY2697"/>
      <c r="AZ2697"/>
      <c r="BA2697"/>
      <c r="BB2697"/>
      <c r="BC2697"/>
      <c r="BD2697"/>
      <c r="BE2697"/>
      <c r="BF2697"/>
      <c r="BG2697"/>
      <c r="BH2697"/>
    </row>
    <row r="2698" spans="3:60" s="45" customFormat="1" x14ac:dyDescent="0.2">
      <c r="C2698" s="189"/>
      <c r="F2698" s="73"/>
      <c r="M2698" s="111"/>
      <c r="N2698" s="73"/>
      <c r="O2698" s="73"/>
      <c r="P2698" s="73"/>
      <c r="Q2698" s="73"/>
      <c r="R2698" s="111"/>
      <c r="S2698" s="75"/>
      <c r="T2698" s="73"/>
      <c r="X2698" s="189"/>
      <c r="Y2698" s="189"/>
      <c r="Z2698" s="100"/>
      <c r="AC2698" s="84"/>
      <c r="AD2698" s="189"/>
      <c r="AE2698" s="189"/>
      <c r="AF2698" s="189"/>
      <c r="AG2698" s="189"/>
      <c r="AH2698" s="189"/>
      <c r="AP2698" s="238"/>
      <c r="AS2698"/>
      <c r="AT2698"/>
      <c r="AU2698"/>
      <c r="AV2698"/>
      <c r="AW2698"/>
      <c r="AX2698"/>
      <c r="AY2698"/>
      <c r="AZ2698"/>
      <c r="BA2698"/>
      <c r="BB2698"/>
      <c r="BC2698"/>
      <c r="BD2698"/>
      <c r="BE2698"/>
      <c r="BF2698"/>
      <c r="BG2698"/>
      <c r="BH2698"/>
    </row>
    <row r="2699" spans="3:60" s="45" customFormat="1" x14ac:dyDescent="0.2">
      <c r="C2699" s="189"/>
      <c r="F2699" s="73"/>
      <c r="M2699" s="111"/>
      <c r="N2699" s="73"/>
      <c r="O2699" s="73"/>
      <c r="P2699" s="73"/>
      <c r="Q2699" s="73"/>
      <c r="R2699" s="111"/>
      <c r="S2699" s="75"/>
      <c r="T2699" s="73"/>
      <c r="X2699" s="189"/>
      <c r="Y2699" s="189"/>
      <c r="Z2699" s="100"/>
      <c r="AC2699" s="84"/>
      <c r="AD2699" s="189"/>
      <c r="AE2699" s="189"/>
      <c r="AF2699" s="189"/>
      <c r="AG2699" s="189"/>
      <c r="AH2699" s="189"/>
      <c r="AP2699" s="238"/>
      <c r="AS2699"/>
      <c r="AT2699"/>
      <c r="AU2699"/>
      <c r="AV2699"/>
      <c r="AW2699"/>
      <c r="AX2699"/>
      <c r="AY2699"/>
      <c r="AZ2699"/>
      <c r="BA2699"/>
      <c r="BB2699"/>
      <c r="BC2699"/>
      <c r="BD2699"/>
      <c r="BE2699"/>
      <c r="BF2699"/>
      <c r="BG2699"/>
      <c r="BH2699"/>
    </row>
    <row r="2700" spans="3:60" s="45" customFormat="1" x14ac:dyDescent="0.2">
      <c r="C2700" s="189"/>
      <c r="F2700" s="73"/>
      <c r="M2700" s="111"/>
      <c r="N2700" s="73"/>
      <c r="O2700" s="73"/>
      <c r="P2700" s="73"/>
      <c r="Q2700" s="73"/>
      <c r="R2700" s="111"/>
      <c r="S2700" s="75"/>
      <c r="T2700" s="73"/>
      <c r="X2700" s="189"/>
      <c r="Y2700" s="189"/>
      <c r="Z2700" s="100"/>
      <c r="AC2700" s="84"/>
      <c r="AD2700" s="189"/>
      <c r="AE2700" s="189"/>
      <c r="AF2700" s="189"/>
      <c r="AG2700" s="189"/>
      <c r="AH2700" s="189"/>
      <c r="AP2700" s="238"/>
      <c r="AS2700"/>
      <c r="AT2700"/>
      <c r="AU2700"/>
      <c r="AV2700"/>
      <c r="AW2700"/>
      <c r="AX2700"/>
      <c r="AY2700"/>
      <c r="AZ2700"/>
      <c r="BA2700"/>
      <c r="BB2700"/>
      <c r="BC2700"/>
      <c r="BD2700"/>
      <c r="BE2700"/>
      <c r="BF2700"/>
      <c r="BG2700"/>
      <c r="BH2700"/>
    </row>
    <row r="2701" spans="3:60" s="45" customFormat="1" x14ac:dyDescent="0.2">
      <c r="C2701" s="189"/>
      <c r="F2701" s="73"/>
      <c r="M2701" s="111"/>
      <c r="N2701" s="73"/>
      <c r="O2701" s="73"/>
      <c r="P2701" s="73"/>
      <c r="Q2701" s="73"/>
      <c r="R2701" s="111"/>
      <c r="S2701" s="75"/>
      <c r="T2701" s="73"/>
      <c r="X2701" s="189"/>
      <c r="Y2701" s="189"/>
      <c r="Z2701" s="100"/>
      <c r="AC2701" s="84"/>
      <c r="AD2701" s="189"/>
      <c r="AE2701" s="189"/>
      <c r="AF2701" s="189"/>
      <c r="AG2701" s="189"/>
      <c r="AH2701" s="189"/>
      <c r="AP2701" s="238"/>
      <c r="AS2701"/>
      <c r="AT2701"/>
      <c r="AU2701"/>
      <c r="AV2701"/>
      <c r="AW2701"/>
      <c r="AX2701"/>
      <c r="AY2701"/>
      <c r="AZ2701"/>
      <c r="BA2701"/>
      <c r="BB2701"/>
      <c r="BC2701"/>
      <c r="BD2701"/>
      <c r="BE2701"/>
      <c r="BF2701"/>
      <c r="BG2701"/>
      <c r="BH2701"/>
    </row>
    <row r="2702" spans="3:60" s="45" customFormat="1" x14ac:dyDescent="0.2">
      <c r="C2702" s="189"/>
      <c r="F2702" s="73"/>
      <c r="M2702" s="111"/>
      <c r="N2702" s="73"/>
      <c r="O2702" s="73"/>
      <c r="P2702" s="73"/>
      <c r="Q2702" s="73"/>
      <c r="R2702" s="111"/>
      <c r="S2702" s="75"/>
      <c r="T2702" s="73"/>
      <c r="X2702" s="189"/>
      <c r="Y2702" s="189"/>
      <c r="Z2702" s="100"/>
      <c r="AC2702" s="84"/>
      <c r="AD2702" s="189"/>
      <c r="AE2702" s="189"/>
      <c r="AF2702" s="189"/>
      <c r="AG2702" s="189"/>
      <c r="AH2702" s="189"/>
      <c r="AP2702" s="238"/>
      <c r="AS2702"/>
      <c r="AT2702"/>
      <c r="AU2702"/>
      <c r="AV2702"/>
      <c r="AW2702"/>
      <c r="AX2702"/>
      <c r="AY2702"/>
      <c r="AZ2702"/>
      <c r="BA2702"/>
      <c r="BB2702"/>
      <c r="BC2702"/>
      <c r="BD2702"/>
      <c r="BE2702"/>
      <c r="BF2702"/>
      <c r="BG2702"/>
      <c r="BH2702"/>
    </row>
    <row r="2703" spans="3:60" s="45" customFormat="1" x14ac:dyDescent="0.2">
      <c r="C2703" s="189"/>
      <c r="F2703" s="73"/>
      <c r="M2703" s="111"/>
      <c r="N2703" s="73"/>
      <c r="O2703" s="73"/>
      <c r="P2703" s="73"/>
      <c r="Q2703" s="73"/>
      <c r="R2703" s="111"/>
      <c r="S2703" s="75"/>
      <c r="T2703" s="73"/>
      <c r="X2703" s="189"/>
      <c r="Y2703" s="189"/>
      <c r="Z2703" s="100"/>
      <c r="AC2703" s="84"/>
      <c r="AD2703" s="189"/>
      <c r="AE2703" s="189"/>
      <c r="AF2703" s="189"/>
      <c r="AG2703" s="189"/>
      <c r="AH2703" s="189"/>
      <c r="AP2703" s="238"/>
      <c r="AS2703"/>
      <c r="AT2703"/>
      <c r="AU2703"/>
      <c r="AV2703"/>
      <c r="AW2703"/>
      <c r="AX2703"/>
      <c r="AY2703"/>
      <c r="AZ2703"/>
      <c r="BA2703"/>
      <c r="BB2703"/>
      <c r="BC2703"/>
      <c r="BD2703"/>
      <c r="BE2703"/>
      <c r="BF2703"/>
      <c r="BG2703"/>
      <c r="BH2703"/>
    </row>
    <row r="2704" spans="3:60" s="45" customFormat="1" x14ac:dyDescent="0.2">
      <c r="C2704" s="189"/>
      <c r="F2704" s="73"/>
      <c r="M2704" s="111"/>
      <c r="N2704" s="73"/>
      <c r="O2704" s="73"/>
      <c r="P2704" s="73"/>
      <c r="Q2704" s="73"/>
      <c r="R2704" s="111"/>
      <c r="S2704" s="75"/>
      <c r="T2704" s="73"/>
      <c r="X2704" s="189"/>
      <c r="Y2704" s="189"/>
      <c r="Z2704" s="100"/>
      <c r="AC2704" s="84"/>
      <c r="AD2704" s="189"/>
      <c r="AE2704" s="189"/>
      <c r="AF2704" s="189"/>
      <c r="AG2704" s="189"/>
      <c r="AH2704" s="189"/>
      <c r="AP2704" s="238"/>
      <c r="AS2704"/>
      <c r="AT2704"/>
      <c r="AU2704"/>
      <c r="AV2704"/>
      <c r="AW2704"/>
      <c r="AX2704"/>
      <c r="AY2704"/>
      <c r="AZ2704"/>
      <c r="BA2704"/>
      <c r="BB2704"/>
      <c r="BC2704"/>
      <c r="BD2704"/>
      <c r="BE2704"/>
      <c r="BF2704"/>
      <c r="BG2704"/>
      <c r="BH2704"/>
    </row>
    <row r="2705" spans="3:60" s="45" customFormat="1" x14ac:dyDescent="0.2">
      <c r="C2705" s="189"/>
      <c r="F2705" s="73"/>
      <c r="M2705" s="111"/>
      <c r="N2705" s="73"/>
      <c r="O2705" s="73"/>
      <c r="P2705" s="73"/>
      <c r="Q2705" s="73"/>
      <c r="R2705" s="111"/>
      <c r="S2705" s="75"/>
      <c r="T2705" s="73"/>
      <c r="X2705" s="189"/>
      <c r="Y2705" s="189"/>
      <c r="Z2705" s="100"/>
      <c r="AC2705" s="84"/>
      <c r="AD2705" s="189"/>
      <c r="AE2705" s="189"/>
      <c r="AF2705" s="189"/>
      <c r="AG2705" s="189"/>
      <c r="AH2705" s="189"/>
      <c r="AP2705" s="238"/>
      <c r="AS2705"/>
      <c r="AT2705"/>
      <c r="AU2705"/>
      <c r="AV2705"/>
      <c r="AW2705"/>
      <c r="AX2705"/>
      <c r="AY2705"/>
      <c r="AZ2705"/>
      <c r="BA2705"/>
      <c r="BB2705"/>
      <c r="BC2705"/>
      <c r="BD2705"/>
      <c r="BE2705"/>
      <c r="BF2705"/>
      <c r="BG2705"/>
      <c r="BH2705"/>
    </row>
    <row r="2706" spans="3:60" s="45" customFormat="1" x14ac:dyDescent="0.2">
      <c r="C2706" s="189"/>
      <c r="F2706" s="73"/>
      <c r="M2706" s="111"/>
      <c r="N2706" s="73"/>
      <c r="O2706" s="73"/>
      <c r="P2706" s="73"/>
      <c r="Q2706" s="73"/>
      <c r="R2706" s="111"/>
      <c r="S2706" s="75"/>
      <c r="T2706" s="73"/>
      <c r="X2706" s="189"/>
      <c r="Y2706" s="189"/>
      <c r="Z2706" s="100"/>
      <c r="AC2706" s="84"/>
      <c r="AD2706" s="189"/>
      <c r="AE2706" s="189"/>
      <c r="AF2706" s="189"/>
      <c r="AG2706" s="189"/>
      <c r="AH2706" s="189"/>
      <c r="AP2706" s="238"/>
      <c r="AS2706"/>
      <c r="AT2706"/>
      <c r="AU2706"/>
      <c r="AV2706"/>
      <c r="AW2706"/>
      <c r="AX2706"/>
      <c r="AY2706"/>
      <c r="AZ2706"/>
      <c r="BA2706"/>
      <c r="BB2706"/>
      <c r="BC2706"/>
      <c r="BD2706"/>
      <c r="BE2706"/>
      <c r="BF2706"/>
      <c r="BG2706"/>
      <c r="BH2706"/>
    </row>
    <row r="2707" spans="3:60" s="45" customFormat="1" x14ac:dyDescent="0.2">
      <c r="C2707" s="189"/>
      <c r="F2707" s="73"/>
      <c r="M2707" s="111"/>
      <c r="N2707" s="73"/>
      <c r="O2707" s="73"/>
      <c r="P2707" s="73"/>
      <c r="Q2707" s="73"/>
      <c r="R2707" s="111"/>
      <c r="S2707" s="75"/>
      <c r="T2707" s="73"/>
      <c r="X2707" s="189"/>
      <c r="Y2707" s="189"/>
      <c r="Z2707" s="100"/>
      <c r="AC2707" s="84"/>
      <c r="AD2707" s="189"/>
      <c r="AE2707" s="189"/>
      <c r="AF2707" s="189"/>
      <c r="AG2707" s="189"/>
      <c r="AH2707" s="189"/>
      <c r="AP2707" s="238"/>
      <c r="AS2707"/>
      <c r="AT2707"/>
      <c r="AU2707"/>
      <c r="AV2707"/>
      <c r="AW2707"/>
      <c r="AX2707"/>
      <c r="AY2707"/>
      <c r="AZ2707"/>
      <c r="BA2707"/>
      <c r="BB2707"/>
      <c r="BC2707"/>
      <c r="BD2707"/>
      <c r="BE2707"/>
      <c r="BF2707"/>
      <c r="BG2707"/>
      <c r="BH2707"/>
    </row>
    <row r="2708" spans="3:60" s="45" customFormat="1" x14ac:dyDescent="0.2">
      <c r="C2708" s="189"/>
      <c r="F2708" s="73"/>
      <c r="M2708" s="111"/>
      <c r="N2708" s="73"/>
      <c r="O2708" s="73"/>
      <c r="P2708" s="73"/>
      <c r="Q2708" s="73"/>
      <c r="R2708" s="111"/>
      <c r="S2708" s="75"/>
      <c r="T2708" s="73"/>
      <c r="X2708" s="189"/>
      <c r="Y2708" s="189"/>
      <c r="Z2708" s="100"/>
      <c r="AC2708" s="84"/>
      <c r="AD2708" s="189"/>
      <c r="AE2708" s="189"/>
      <c r="AF2708" s="189"/>
      <c r="AG2708" s="189"/>
      <c r="AH2708" s="189"/>
      <c r="AP2708" s="238"/>
      <c r="AS2708"/>
      <c r="AT2708"/>
      <c r="AU2708"/>
      <c r="AV2708"/>
      <c r="AW2708"/>
      <c r="AX2708"/>
      <c r="AY2708"/>
      <c r="AZ2708"/>
      <c r="BA2708"/>
      <c r="BB2708"/>
      <c r="BC2708"/>
      <c r="BD2708"/>
      <c r="BE2708"/>
      <c r="BF2708"/>
      <c r="BG2708"/>
      <c r="BH2708"/>
    </row>
    <row r="2709" spans="3:60" s="45" customFormat="1" x14ac:dyDescent="0.2">
      <c r="C2709" s="189"/>
      <c r="F2709" s="73"/>
      <c r="M2709" s="111"/>
      <c r="N2709" s="73"/>
      <c r="O2709" s="73"/>
      <c r="P2709" s="73"/>
      <c r="Q2709" s="73"/>
      <c r="R2709" s="111"/>
      <c r="S2709" s="75"/>
      <c r="T2709" s="73"/>
      <c r="X2709" s="189"/>
      <c r="Y2709" s="189"/>
      <c r="Z2709" s="100"/>
      <c r="AC2709" s="84"/>
      <c r="AD2709" s="189"/>
      <c r="AE2709" s="189"/>
      <c r="AF2709" s="189"/>
      <c r="AG2709" s="189"/>
      <c r="AH2709" s="189"/>
      <c r="AP2709" s="238"/>
      <c r="AS2709"/>
      <c r="AT2709"/>
      <c r="AU2709"/>
      <c r="AV2709"/>
      <c r="AW2709"/>
      <c r="AX2709"/>
      <c r="AY2709"/>
      <c r="AZ2709"/>
      <c r="BA2709"/>
      <c r="BB2709"/>
      <c r="BC2709"/>
      <c r="BD2709"/>
      <c r="BE2709"/>
      <c r="BF2709"/>
      <c r="BG2709"/>
      <c r="BH2709"/>
    </row>
    <row r="2710" spans="3:60" s="45" customFormat="1" x14ac:dyDescent="0.2">
      <c r="C2710" s="189"/>
      <c r="F2710" s="73"/>
      <c r="M2710" s="111"/>
      <c r="N2710" s="73"/>
      <c r="O2710" s="73"/>
      <c r="P2710" s="73"/>
      <c r="Q2710" s="73"/>
      <c r="R2710" s="111"/>
      <c r="S2710" s="75"/>
      <c r="T2710" s="73"/>
      <c r="X2710" s="189"/>
      <c r="Y2710" s="189"/>
      <c r="Z2710" s="100"/>
      <c r="AC2710" s="84"/>
      <c r="AD2710" s="189"/>
      <c r="AE2710" s="189"/>
      <c r="AF2710" s="189"/>
      <c r="AG2710" s="189"/>
      <c r="AH2710" s="189"/>
      <c r="AP2710" s="238"/>
      <c r="AS2710"/>
      <c r="AT2710"/>
      <c r="AU2710"/>
      <c r="AV2710"/>
      <c r="AW2710"/>
      <c r="AX2710"/>
      <c r="AY2710"/>
      <c r="AZ2710"/>
      <c r="BA2710"/>
      <c r="BB2710"/>
      <c r="BC2710"/>
      <c r="BD2710"/>
      <c r="BE2710"/>
      <c r="BF2710"/>
      <c r="BG2710"/>
      <c r="BH2710"/>
    </row>
    <row r="2711" spans="3:60" s="45" customFormat="1" x14ac:dyDescent="0.2">
      <c r="C2711" s="189"/>
      <c r="F2711" s="73"/>
      <c r="M2711" s="111"/>
      <c r="N2711" s="73"/>
      <c r="O2711" s="73"/>
      <c r="P2711" s="73"/>
      <c r="Q2711" s="73"/>
      <c r="R2711" s="111"/>
      <c r="S2711" s="75"/>
      <c r="T2711" s="73"/>
      <c r="X2711" s="189"/>
      <c r="Y2711" s="189"/>
      <c r="Z2711" s="100"/>
      <c r="AC2711" s="84"/>
      <c r="AD2711" s="189"/>
      <c r="AE2711" s="189"/>
      <c r="AF2711" s="189"/>
      <c r="AG2711" s="189"/>
      <c r="AH2711" s="189"/>
      <c r="AP2711" s="238"/>
      <c r="AS2711"/>
      <c r="AT2711"/>
      <c r="AU2711"/>
      <c r="AV2711"/>
      <c r="AW2711"/>
      <c r="AX2711"/>
      <c r="AY2711"/>
      <c r="AZ2711"/>
      <c r="BA2711"/>
      <c r="BB2711"/>
      <c r="BC2711"/>
      <c r="BD2711"/>
      <c r="BE2711"/>
      <c r="BF2711"/>
      <c r="BG2711"/>
      <c r="BH2711"/>
    </row>
    <row r="2712" spans="3:60" s="45" customFormat="1" x14ac:dyDescent="0.2">
      <c r="C2712" s="189"/>
      <c r="F2712" s="73"/>
      <c r="M2712" s="111"/>
      <c r="N2712" s="73"/>
      <c r="O2712" s="73"/>
      <c r="P2712" s="73"/>
      <c r="Q2712" s="73"/>
      <c r="R2712" s="111"/>
      <c r="S2712" s="75"/>
      <c r="T2712" s="73"/>
      <c r="X2712" s="189"/>
      <c r="Y2712" s="189"/>
      <c r="Z2712" s="100"/>
      <c r="AC2712" s="84"/>
      <c r="AD2712" s="189"/>
      <c r="AE2712" s="189"/>
      <c r="AF2712" s="189"/>
      <c r="AG2712" s="189"/>
      <c r="AH2712" s="189"/>
      <c r="AP2712" s="238"/>
      <c r="AS2712"/>
      <c r="AT2712"/>
      <c r="AU2712"/>
      <c r="AV2712"/>
      <c r="AW2712"/>
      <c r="AX2712"/>
      <c r="AY2712"/>
      <c r="AZ2712"/>
      <c r="BA2712"/>
      <c r="BB2712"/>
      <c r="BC2712"/>
      <c r="BD2712"/>
      <c r="BE2712"/>
      <c r="BF2712"/>
      <c r="BG2712"/>
      <c r="BH2712"/>
    </row>
    <row r="2713" spans="3:60" s="45" customFormat="1" x14ac:dyDescent="0.2">
      <c r="C2713" s="189"/>
      <c r="F2713" s="73"/>
      <c r="M2713" s="111"/>
      <c r="N2713" s="73"/>
      <c r="O2713" s="73"/>
      <c r="P2713" s="73"/>
      <c r="Q2713" s="73"/>
      <c r="R2713" s="111"/>
      <c r="S2713" s="75"/>
      <c r="T2713" s="73"/>
      <c r="X2713" s="189"/>
      <c r="Y2713" s="189"/>
      <c r="Z2713" s="100"/>
      <c r="AC2713" s="84"/>
      <c r="AD2713" s="189"/>
      <c r="AE2713" s="189"/>
      <c r="AF2713" s="189"/>
      <c r="AG2713" s="189"/>
      <c r="AH2713" s="189"/>
      <c r="AP2713" s="238"/>
      <c r="AS2713"/>
      <c r="AT2713"/>
      <c r="AU2713"/>
      <c r="AV2713"/>
      <c r="AW2713"/>
      <c r="AX2713"/>
      <c r="AY2713"/>
      <c r="AZ2713"/>
      <c r="BA2713"/>
      <c r="BB2713"/>
      <c r="BC2713"/>
      <c r="BD2713"/>
      <c r="BE2713"/>
      <c r="BF2713"/>
      <c r="BG2713"/>
      <c r="BH2713"/>
    </row>
    <row r="2714" spans="3:60" s="45" customFormat="1" x14ac:dyDescent="0.2">
      <c r="C2714" s="189"/>
      <c r="F2714" s="73"/>
      <c r="M2714" s="111"/>
      <c r="N2714" s="73"/>
      <c r="O2714" s="73"/>
      <c r="P2714" s="73"/>
      <c r="Q2714" s="73"/>
      <c r="R2714" s="111"/>
      <c r="S2714" s="75"/>
      <c r="T2714" s="73"/>
      <c r="X2714" s="189"/>
      <c r="Y2714" s="189"/>
      <c r="Z2714" s="100"/>
      <c r="AC2714" s="84"/>
      <c r="AD2714" s="189"/>
      <c r="AE2714" s="189"/>
      <c r="AF2714" s="189"/>
      <c r="AG2714" s="189"/>
      <c r="AH2714" s="189"/>
      <c r="AP2714" s="238"/>
      <c r="AS2714"/>
      <c r="AT2714"/>
      <c r="AU2714"/>
      <c r="AV2714"/>
      <c r="AW2714"/>
      <c r="AX2714"/>
      <c r="AY2714"/>
      <c r="AZ2714"/>
      <c r="BA2714"/>
      <c r="BB2714"/>
      <c r="BC2714"/>
      <c r="BD2714"/>
      <c r="BE2714"/>
      <c r="BF2714"/>
      <c r="BG2714"/>
      <c r="BH2714"/>
    </row>
    <row r="2715" spans="3:60" s="45" customFormat="1" x14ac:dyDescent="0.2">
      <c r="C2715" s="189"/>
      <c r="F2715" s="73"/>
      <c r="M2715" s="111"/>
      <c r="N2715" s="73"/>
      <c r="O2715" s="73"/>
      <c r="P2715" s="73"/>
      <c r="Q2715" s="73"/>
      <c r="R2715" s="111"/>
      <c r="S2715" s="75"/>
      <c r="T2715" s="73"/>
      <c r="X2715" s="189"/>
      <c r="Y2715" s="189"/>
      <c r="Z2715" s="100"/>
      <c r="AC2715" s="84"/>
      <c r="AD2715" s="189"/>
      <c r="AE2715" s="189"/>
      <c r="AF2715" s="189"/>
      <c r="AG2715" s="189"/>
      <c r="AH2715" s="189"/>
      <c r="AP2715" s="238"/>
      <c r="AS2715"/>
      <c r="AT2715"/>
      <c r="AU2715"/>
      <c r="AV2715"/>
      <c r="AW2715"/>
      <c r="AX2715"/>
      <c r="AY2715"/>
      <c r="AZ2715"/>
      <c r="BA2715"/>
      <c r="BB2715"/>
      <c r="BC2715"/>
      <c r="BD2715"/>
      <c r="BE2715"/>
      <c r="BF2715"/>
      <c r="BG2715"/>
      <c r="BH2715"/>
    </row>
    <row r="2716" spans="3:60" s="45" customFormat="1" x14ac:dyDescent="0.2">
      <c r="C2716" s="189"/>
      <c r="F2716" s="73"/>
      <c r="M2716" s="111"/>
      <c r="N2716" s="73"/>
      <c r="O2716" s="73"/>
      <c r="P2716" s="73"/>
      <c r="Q2716" s="73"/>
      <c r="R2716" s="111"/>
      <c r="S2716" s="75"/>
      <c r="T2716" s="73"/>
      <c r="X2716" s="189"/>
      <c r="Y2716" s="189"/>
      <c r="Z2716" s="100"/>
      <c r="AC2716" s="84"/>
      <c r="AD2716" s="189"/>
      <c r="AE2716" s="189"/>
      <c r="AF2716" s="189"/>
      <c r="AG2716" s="189"/>
      <c r="AH2716" s="189"/>
      <c r="AP2716" s="238"/>
      <c r="AS2716"/>
      <c r="AT2716"/>
      <c r="AU2716"/>
      <c r="AV2716"/>
      <c r="AW2716"/>
      <c r="AX2716"/>
      <c r="AY2716"/>
      <c r="AZ2716"/>
      <c r="BA2716"/>
      <c r="BB2716"/>
      <c r="BC2716"/>
      <c r="BD2716"/>
      <c r="BE2716"/>
      <c r="BF2716"/>
      <c r="BG2716"/>
      <c r="BH2716"/>
    </row>
    <row r="2717" spans="3:60" s="45" customFormat="1" x14ac:dyDescent="0.2">
      <c r="C2717" s="189"/>
      <c r="F2717" s="73"/>
      <c r="M2717" s="111"/>
      <c r="N2717" s="73"/>
      <c r="O2717" s="73"/>
      <c r="P2717" s="73"/>
      <c r="Q2717" s="73"/>
      <c r="R2717" s="111"/>
      <c r="S2717" s="75"/>
      <c r="T2717" s="73"/>
      <c r="X2717" s="189"/>
      <c r="Y2717" s="189"/>
      <c r="Z2717" s="100"/>
      <c r="AC2717" s="84"/>
      <c r="AD2717" s="189"/>
      <c r="AE2717" s="189"/>
      <c r="AF2717" s="189"/>
      <c r="AG2717" s="189"/>
      <c r="AH2717" s="189"/>
      <c r="AP2717" s="238"/>
      <c r="AS2717"/>
      <c r="AT2717"/>
      <c r="AU2717"/>
      <c r="AV2717"/>
      <c r="AW2717"/>
      <c r="AX2717"/>
      <c r="AY2717"/>
      <c r="AZ2717"/>
      <c r="BA2717"/>
      <c r="BB2717"/>
      <c r="BC2717"/>
      <c r="BD2717"/>
      <c r="BE2717"/>
      <c r="BF2717"/>
      <c r="BG2717"/>
      <c r="BH2717"/>
    </row>
    <row r="2718" spans="3:60" s="45" customFormat="1" x14ac:dyDescent="0.2">
      <c r="C2718" s="189"/>
      <c r="F2718" s="73"/>
      <c r="M2718" s="111"/>
      <c r="N2718" s="73"/>
      <c r="O2718" s="73"/>
      <c r="P2718" s="73"/>
      <c r="Q2718" s="73"/>
      <c r="R2718" s="111"/>
      <c r="S2718" s="75"/>
      <c r="T2718" s="73"/>
      <c r="X2718" s="189"/>
      <c r="Y2718" s="189"/>
      <c r="Z2718" s="100"/>
      <c r="AC2718" s="84"/>
      <c r="AD2718" s="189"/>
      <c r="AE2718" s="189"/>
      <c r="AF2718" s="189"/>
      <c r="AG2718" s="189"/>
      <c r="AH2718" s="189"/>
      <c r="AP2718" s="238"/>
      <c r="AS2718"/>
      <c r="AT2718"/>
      <c r="AU2718"/>
      <c r="AV2718"/>
      <c r="AX2718"/>
      <c r="AY2718"/>
      <c r="AZ2718"/>
      <c r="BA2718"/>
      <c r="BB2718"/>
      <c r="BC2718"/>
      <c r="BD2718"/>
      <c r="BE2718"/>
      <c r="BF2718"/>
      <c r="BG2718"/>
      <c r="BH2718"/>
    </row>
    <row r="2719" spans="3:60" s="45" customFormat="1" x14ac:dyDescent="0.2">
      <c r="C2719" s="189"/>
      <c r="F2719" s="73"/>
      <c r="M2719" s="111"/>
      <c r="N2719" s="73"/>
      <c r="O2719" s="73"/>
      <c r="P2719" s="73"/>
      <c r="Q2719" s="73"/>
      <c r="R2719" s="111"/>
      <c r="S2719" s="75"/>
      <c r="T2719" s="73"/>
      <c r="X2719" s="189"/>
      <c r="Y2719" s="189"/>
      <c r="Z2719" s="100"/>
      <c r="AC2719" s="84"/>
      <c r="AD2719" s="189"/>
      <c r="AE2719" s="189"/>
      <c r="AF2719" s="189"/>
      <c r="AG2719" s="189"/>
      <c r="AH2719" s="189"/>
      <c r="AP2719" s="238"/>
      <c r="AS2719"/>
      <c r="AT2719"/>
      <c r="AU2719"/>
      <c r="AV2719"/>
      <c r="AX2719"/>
      <c r="AY2719"/>
      <c r="AZ2719"/>
      <c r="BA2719"/>
      <c r="BB2719"/>
      <c r="BC2719"/>
      <c r="BD2719"/>
      <c r="BE2719"/>
      <c r="BF2719"/>
      <c r="BG2719"/>
      <c r="BH2719"/>
    </row>
    <row r="2720" spans="3:60" s="45" customFormat="1" x14ac:dyDescent="0.2">
      <c r="C2720" s="189"/>
      <c r="F2720" s="73"/>
      <c r="M2720" s="111"/>
      <c r="N2720" s="73"/>
      <c r="O2720" s="73"/>
      <c r="P2720" s="73"/>
      <c r="Q2720" s="73"/>
      <c r="R2720" s="111"/>
      <c r="S2720" s="75"/>
      <c r="T2720" s="73"/>
      <c r="X2720" s="189"/>
      <c r="Y2720" s="189"/>
      <c r="Z2720" s="100"/>
      <c r="AC2720" s="84"/>
      <c r="AD2720" s="189"/>
      <c r="AE2720" s="189"/>
      <c r="AF2720" s="189"/>
      <c r="AG2720" s="189"/>
      <c r="AH2720" s="189"/>
      <c r="AP2720" s="238"/>
      <c r="AS2720"/>
      <c r="AT2720"/>
      <c r="AU2720"/>
      <c r="AV2720"/>
      <c r="AX2720"/>
      <c r="AY2720"/>
      <c r="AZ2720"/>
      <c r="BA2720"/>
      <c r="BB2720"/>
      <c r="BC2720"/>
      <c r="BD2720"/>
      <c r="BE2720"/>
      <c r="BF2720"/>
      <c r="BG2720"/>
      <c r="BH2720"/>
    </row>
    <row r="2721" spans="3:60" s="45" customFormat="1" x14ac:dyDescent="0.2">
      <c r="C2721" s="189"/>
      <c r="F2721" s="73"/>
      <c r="M2721" s="111"/>
      <c r="N2721" s="73"/>
      <c r="O2721" s="73"/>
      <c r="P2721" s="73"/>
      <c r="Q2721" s="73"/>
      <c r="R2721" s="111"/>
      <c r="S2721" s="75"/>
      <c r="T2721" s="73"/>
      <c r="X2721" s="189"/>
      <c r="Y2721" s="189"/>
      <c r="Z2721" s="100"/>
      <c r="AC2721" s="84"/>
      <c r="AD2721" s="189"/>
      <c r="AE2721" s="189"/>
      <c r="AF2721" s="189"/>
      <c r="AG2721" s="189"/>
      <c r="AH2721" s="189"/>
      <c r="AP2721" s="238"/>
      <c r="AS2721"/>
      <c r="AT2721"/>
      <c r="AU2721"/>
      <c r="AV2721"/>
      <c r="AX2721"/>
      <c r="AY2721"/>
      <c r="AZ2721"/>
      <c r="BA2721"/>
      <c r="BB2721"/>
      <c r="BC2721"/>
      <c r="BD2721"/>
      <c r="BE2721"/>
      <c r="BF2721"/>
      <c r="BG2721"/>
      <c r="BH2721"/>
    </row>
    <row r="2722" spans="3:60" s="45" customFormat="1" x14ac:dyDescent="0.2">
      <c r="C2722" s="189"/>
      <c r="F2722" s="73"/>
      <c r="M2722" s="111"/>
      <c r="N2722" s="73"/>
      <c r="O2722" s="73"/>
      <c r="P2722" s="73"/>
      <c r="Q2722" s="73"/>
      <c r="R2722" s="111"/>
      <c r="S2722" s="75"/>
      <c r="T2722" s="73"/>
      <c r="X2722" s="189"/>
      <c r="Y2722" s="189"/>
      <c r="Z2722" s="100"/>
      <c r="AC2722" s="84"/>
      <c r="AD2722" s="189"/>
      <c r="AE2722" s="189"/>
      <c r="AF2722" s="189"/>
      <c r="AG2722" s="189"/>
      <c r="AH2722" s="189"/>
      <c r="AP2722" s="238"/>
      <c r="AS2722"/>
      <c r="AT2722"/>
      <c r="AU2722"/>
      <c r="AV2722"/>
      <c r="AX2722"/>
      <c r="AY2722"/>
      <c r="AZ2722"/>
      <c r="BA2722"/>
      <c r="BB2722"/>
      <c r="BC2722"/>
      <c r="BD2722"/>
      <c r="BE2722"/>
      <c r="BF2722"/>
      <c r="BG2722"/>
      <c r="BH2722"/>
    </row>
    <row r="2723" spans="3:60" s="45" customFormat="1" x14ac:dyDescent="0.2">
      <c r="C2723" s="189"/>
      <c r="F2723" s="73"/>
      <c r="M2723" s="111"/>
      <c r="N2723" s="73"/>
      <c r="O2723" s="73"/>
      <c r="P2723" s="73"/>
      <c r="Q2723" s="73"/>
      <c r="R2723" s="111"/>
      <c r="S2723" s="75"/>
      <c r="T2723" s="73"/>
      <c r="X2723" s="189"/>
      <c r="Y2723" s="189"/>
      <c r="Z2723" s="100"/>
      <c r="AC2723" s="84"/>
      <c r="AD2723" s="189"/>
      <c r="AE2723" s="189"/>
      <c r="AF2723" s="189"/>
      <c r="AG2723" s="189"/>
      <c r="AH2723" s="189"/>
      <c r="AP2723" s="238"/>
    </row>
    <row r="2724" spans="3:60" s="45" customFormat="1" x14ac:dyDescent="0.2">
      <c r="C2724" s="189"/>
      <c r="F2724" s="73"/>
      <c r="M2724" s="111"/>
      <c r="N2724" s="73"/>
      <c r="O2724" s="73"/>
      <c r="P2724" s="73"/>
      <c r="Q2724" s="73"/>
      <c r="R2724" s="111"/>
      <c r="S2724" s="75"/>
      <c r="T2724" s="73"/>
      <c r="X2724" s="189"/>
      <c r="Y2724" s="189"/>
      <c r="Z2724" s="100"/>
      <c r="AC2724" s="84"/>
      <c r="AD2724" s="189"/>
      <c r="AE2724" s="189"/>
      <c r="AF2724" s="189"/>
      <c r="AG2724" s="189"/>
      <c r="AH2724" s="189"/>
      <c r="AP2724" s="238"/>
    </row>
    <row r="2725" spans="3:60" s="45" customFormat="1" x14ac:dyDescent="0.2">
      <c r="C2725" s="189"/>
      <c r="F2725" s="73"/>
      <c r="M2725" s="111"/>
      <c r="N2725" s="73"/>
      <c r="O2725" s="73"/>
      <c r="P2725" s="73"/>
      <c r="Q2725" s="73"/>
      <c r="R2725" s="111"/>
      <c r="S2725" s="75"/>
      <c r="T2725" s="73"/>
      <c r="X2725" s="189"/>
      <c r="Y2725" s="189"/>
      <c r="Z2725" s="100"/>
      <c r="AC2725" s="84"/>
      <c r="AD2725" s="189"/>
      <c r="AE2725" s="189"/>
      <c r="AF2725" s="189"/>
      <c r="AG2725" s="189"/>
      <c r="AH2725" s="189"/>
      <c r="AP2725" s="238"/>
    </row>
    <row r="2726" spans="3:60" s="45" customFormat="1" x14ac:dyDescent="0.2">
      <c r="C2726" s="189"/>
      <c r="F2726" s="73"/>
      <c r="M2726" s="111"/>
      <c r="N2726" s="73"/>
      <c r="O2726" s="73"/>
      <c r="P2726" s="73"/>
      <c r="Q2726" s="73"/>
      <c r="R2726" s="111"/>
      <c r="S2726" s="75"/>
      <c r="T2726" s="73"/>
      <c r="X2726" s="189"/>
      <c r="Y2726" s="189"/>
      <c r="Z2726" s="100"/>
      <c r="AC2726" s="84"/>
      <c r="AD2726" s="189"/>
      <c r="AE2726" s="189"/>
      <c r="AF2726" s="189"/>
      <c r="AG2726" s="189"/>
      <c r="AH2726" s="189"/>
      <c r="AP2726" s="238"/>
    </row>
    <row r="2727" spans="3:60" s="45" customFormat="1" x14ac:dyDescent="0.2">
      <c r="C2727" s="189"/>
      <c r="F2727" s="73"/>
      <c r="M2727" s="111"/>
      <c r="N2727" s="73"/>
      <c r="O2727" s="73"/>
      <c r="P2727" s="73"/>
      <c r="Q2727" s="73"/>
      <c r="R2727" s="111"/>
      <c r="S2727" s="75"/>
      <c r="T2727" s="73"/>
      <c r="X2727" s="189"/>
      <c r="Y2727" s="189"/>
      <c r="Z2727" s="100"/>
      <c r="AC2727" s="84"/>
      <c r="AD2727" s="189"/>
      <c r="AE2727" s="189"/>
      <c r="AF2727" s="189"/>
      <c r="AG2727" s="189"/>
      <c r="AH2727" s="189"/>
      <c r="AP2727" s="238"/>
    </row>
    <row r="2728" spans="3:60" s="45" customFormat="1" x14ac:dyDescent="0.2">
      <c r="C2728" s="189"/>
      <c r="F2728" s="73"/>
      <c r="M2728" s="111"/>
      <c r="N2728" s="73"/>
      <c r="O2728" s="73"/>
      <c r="P2728" s="73"/>
      <c r="Q2728" s="73"/>
      <c r="R2728" s="111"/>
      <c r="S2728" s="75"/>
      <c r="T2728" s="73"/>
      <c r="X2728" s="189"/>
      <c r="Y2728" s="189"/>
      <c r="Z2728" s="100"/>
      <c r="AC2728" s="84"/>
      <c r="AD2728" s="189"/>
      <c r="AE2728" s="189"/>
      <c r="AF2728" s="189"/>
      <c r="AG2728" s="189"/>
      <c r="AH2728" s="189"/>
      <c r="AP2728" s="238"/>
    </row>
    <row r="2729" spans="3:60" s="45" customFormat="1" x14ac:dyDescent="0.2">
      <c r="C2729" s="189"/>
      <c r="F2729" s="73"/>
      <c r="M2729" s="111"/>
      <c r="N2729" s="73"/>
      <c r="O2729" s="73"/>
      <c r="P2729" s="73"/>
      <c r="Q2729" s="73"/>
      <c r="R2729" s="111"/>
      <c r="S2729" s="75"/>
      <c r="T2729" s="73"/>
      <c r="X2729" s="189"/>
      <c r="Y2729" s="189"/>
      <c r="Z2729" s="100"/>
      <c r="AC2729" s="84"/>
      <c r="AD2729" s="189"/>
      <c r="AE2729" s="189"/>
      <c r="AF2729" s="189"/>
      <c r="AG2729" s="189"/>
      <c r="AH2729" s="189"/>
      <c r="AP2729" s="238"/>
    </row>
    <row r="2730" spans="3:60" s="45" customFormat="1" x14ac:dyDescent="0.2">
      <c r="C2730" s="189"/>
      <c r="F2730" s="73"/>
      <c r="M2730" s="111"/>
      <c r="N2730" s="73"/>
      <c r="O2730" s="73"/>
      <c r="P2730" s="73"/>
      <c r="Q2730" s="73"/>
      <c r="R2730" s="111"/>
      <c r="S2730" s="75"/>
      <c r="T2730" s="73"/>
      <c r="X2730" s="189"/>
      <c r="Y2730" s="189"/>
      <c r="Z2730" s="100"/>
      <c r="AC2730" s="84"/>
      <c r="AD2730" s="189"/>
      <c r="AE2730" s="189"/>
      <c r="AF2730" s="189"/>
      <c r="AG2730" s="189"/>
      <c r="AH2730" s="189"/>
      <c r="AP2730" s="238"/>
    </row>
    <row r="2731" spans="3:60" s="45" customFormat="1" x14ac:dyDescent="0.2">
      <c r="C2731" s="189"/>
      <c r="F2731" s="73"/>
      <c r="M2731" s="111"/>
      <c r="N2731" s="73"/>
      <c r="O2731" s="73"/>
      <c r="P2731" s="73"/>
      <c r="Q2731" s="73"/>
      <c r="R2731" s="111"/>
      <c r="S2731" s="75"/>
      <c r="T2731" s="73"/>
      <c r="X2731" s="189"/>
      <c r="Y2731" s="189"/>
      <c r="Z2731" s="100"/>
      <c r="AC2731" s="84"/>
      <c r="AD2731" s="189"/>
      <c r="AE2731" s="189"/>
      <c r="AF2731" s="189"/>
      <c r="AG2731" s="189"/>
      <c r="AH2731" s="189"/>
      <c r="AP2731" s="238"/>
    </row>
    <row r="2732" spans="3:60" s="45" customFormat="1" x14ac:dyDescent="0.2">
      <c r="C2732" s="189"/>
      <c r="F2732" s="73"/>
      <c r="M2732" s="111"/>
      <c r="N2732" s="73"/>
      <c r="O2732" s="73"/>
      <c r="P2732" s="73"/>
      <c r="Q2732" s="73"/>
      <c r="R2732" s="111"/>
      <c r="S2732" s="75"/>
      <c r="T2732" s="73"/>
      <c r="X2732" s="189"/>
      <c r="Y2732" s="189"/>
      <c r="Z2732" s="100"/>
      <c r="AC2732" s="84"/>
      <c r="AD2732" s="189"/>
      <c r="AE2732" s="189"/>
      <c r="AF2732" s="189"/>
      <c r="AG2732" s="189"/>
      <c r="AH2732" s="189"/>
      <c r="AP2732" s="238"/>
    </row>
    <row r="2733" spans="3:60" s="45" customFormat="1" x14ac:dyDescent="0.2">
      <c r="C2733" s="189"/>
      <c r="F2733" s="73"/>
      <c r="M2733" s="111"/>
      <c r="N2733" s="73"/>
      <c r="O2733" s="73"/>
      <c r="P2733" s="73"/>
      <c r="Q2733" s="73"/>
      <c r="R2733" s="111"/>
      <c r="S2733" s="75"/>
      <c r="T2733" s="73"/>
      <c r="X2733" s="189"/>
      <c r="Y2733" s="189"/>
      <c r="Z2733" s="100"/>
      <c r="AC2733" s="84"/>
      <c r="AD2733" s="189"/>
      <c r="AE2733" s="189"/>
      <c r="AF2733" s="189"/>
      <c r="AG2733" s="189"/>
      <c r="AH2733" s="189"/>
      <c r="AP2733" s="238"/>
    </row>
    <row r="2734" spans="3:60" s="45" customFormat="1" x14ac:dyDescent="0.2">
      <c r="C2734" s="189"/>
      <c r="F2734" s="73"/>
      <c r="M2734" s="111"/>
      <c r="N2734" s="73"/>
      <c r="O2734" s="73"/>
      <c r="P2734" s="73"/>
      <c r="Q2734" s="73"/>
      <c r="R2734" s="111"/>
      <c r="S2734" s="75"/>
      <c r="T2734" s="73"/>
      <c r="X2734" s="189"/>
      <c r="Y2734" s="189"/>
      <c r="Z2734" s="100"/>
      <c r="AC2734" s="84"/>
      <c r="AD2734" s="189"/>
      <c r="AE2734" s="189"/>
      <c r="AF2734" s="189"/>
      <c r="AG2734" s="189"/>
      <c r="AH2734" s="189"/>
      <c r="AP2734" s="238"/>
    </row>
    <row r="2735" spans="3:60" s="45" customFormat="1" x14ac:dyDescent="0.2">
      <c r="C2735" s="189"/>
      <c r="F2735" s="73"/>
      <c r="M2735" s="111"/>
      <c r="N2735" s="73"/>
      <c r="O2735" s="73"/>
      <c r="P2735" s="73"/>
      <c r="Q2735" s="73"/>
      <c r="R2735" s="111"/>
      <c r="S2735" s="75"/>
      <c r="T2735" s="73"/>
      <c r="X2735" s="189"/>
      <c r="Y2735" s="189"/>
      <c r="Z2735" s="100"/>
      <c r="AC2735" s="84"/>
      <c r="AD2735" s="189"/>
      <c r="AE2735" s="189"/>
      <c r="AF2735" s="189"/>
      <c r="AG2735" s="189"/>
      <c r="AH2735" s="189"/>
      <c r="AP2735" s="238"/>
    </row>
    <row r="2736" spans="3:60" s="45" customFormat="1" x14ac:dyDescent="0.2">
      <c r="C2736" s="189"/>
      <c r="F2736" s="73"/>
      <c r="M2736" s="111"/>
      <c r="N2736" s="73"/>
      <c r="O2736" s="73"/>
      <c r="P2736" s="73"/>
      <c r="Q2736" s="73"/>
      <c r="R2736" s="111"/>
      <c r="S2736" s="75"/>
      <c r="T2736" s="73"/>
      <c r="X2736" s="189"/>
      <c r="Y2736" s="189"/>
      <c r="Z2736" s="100"/>
      <c r="AC2736" s="84"/>
      <c r="AD2736" s="189"/>
      <c r="AE2736" s="189"/>
      <c r="AF2736" s="189"/>
      <c r="AG2736" s="189"/>
      <c r="AH2736" s="189"/>
      <c r="AP2736" s="238"/>
    </row>
    <row r="2737" spans="3:42" s="45" customFormat="1" x14ac:dyDescent="0.2">
      <c r="C2737" s="189"/>
      <c r="F2737" s="73"/>
      <c r="M2737" s="111"/>
      <c r="N2737" s="73"/>
      <c r="O2737" s="73"/>
      <c r="P2737" s="73"/>
      <c r="Q2737" s="73"/>
      <c r="R2737" s="111"/>
      <c r="S2737" s="75"/>
      <c r="T2737" s="73"/>
      <c r="X2737" s="189"/>
      <c r="Y2737" s="189"/>
      <c r="Z2737" s="100"/>
      <c r="AC2737" s="84"/>
      <c r="AD2737" s="189"/>
      <c r="AE2737" s="189"/>
      <c r="AF2737" s="189"/>
      <c r="AG2737" s="189"/>
      <c r="AH2737" s="189"/>
      <c r="AP2737" s="238"/>
    </row>
    <row r="2738" spans="3:42" s="45" customFormat="1" x14ac:dyDescent="0.2">
      <c r="C2738" s="189"/>
      <c r="F2738" s="73"/>
      <c r="M2738" s="111"/>
      <c r="N2738" s="73"/>
      <c r="O2738" s="73"/>
      <c r="P2738" s="73"/>
      <c r="Q2738" s="73"/>
      <c r="R2738" s="111"/>
      <c r="S2738" s="75"/>
      <c r="T2738" s="73"/>
      <c r="X2738" s="189"/>
      <c r="Y2738" s="189"/>
      <c r="Z2738" s="100"/>
      <c r="AC2738" s="84"/>
      <c r="AD2738" s="189"/>
      <c r="AE2738" s="189"/>
      <c r="AF2738" s="189"/>
      <c r="AG2738" s="189"/>
      <c r="AH2738" s="189"/>
      <c r="AP2738" s="238"/>
    </row>
    <row r="2739" spans="3:42" s="45" customFormat="1" x14ac:dyDescent="0.2">
      <c r="C2739" s="189"/>
      <c r="F2739" s="73"/>
      <c r="M2739" s="111"/>
      <c r="N2739" s="73"/>
      <c r="O2739" s="73"/>
      <c r="P2739" s="73"/>
      <c r="Q2739" s="73"/>
      <c r="R2739" s="111"/>
      <c r="S2739" s="75"/>
      <c r="T2739" s="73"/>
      <c r="X2739" s="189"/>
      <c r="Y2739" s="189"/>
      <c r="Z2739" s="100"/>
      <c r="AC2739" s="84"/>
      <c r="AD2739" s="189"/>
      <c r="AE2739" s="189"/>
      <c r="AF2739" s="189"/>
      <c r="AG2739" s="189"/>
      <c r="AH2739" s="189"/>
      <c r="AP2739" s="238"/>
    </row>
    <row r="2740" spans="3:42" s="45" customFormat="1" x14ac:dyDescent="0.2">
      <c r="C2740" s="189"/>
      <c r="F2740" s="73"/>
      <c r="M2740" s="111"/>
      <c r="N2740" s="73"/>
      <c r="O2740" s="73"/>
      <c r="P2740" s="73"/>
      <c r="Q2740" s="73"/>
      <c r="R2740" s="111"/>
      <c r="S2740" s="75"/>
      <c r="T2740" s="73"/>
      <c r="X2740" s="189"/>
      <c r="Y2740" s="189"/>
      <c r="Z2740" s="100"/>
      <c r="AC2740" s="84"/>
      <c r="AD2740" s="189"/>
      <c r="AE2740" s="189"/>
      <c r="AF2740" s="189"/>
      <c r="AG2740" s="189"/>
      <c r="AH2740" s="189"/>
      <c r="AP2740" s="238"/>
    </row>
    <row r="2741" spans="3:42" s="45" customFormat="1" x14ac:dyDescent="0.2">
      <c r="C2741" s="189"/>
      <c r="F2741" s="73"/>
      <c r="M2741" s="111"/>
      <c r="N2741" s="73"/>
      <c r="O2741" s="73"/>
      <c r="P2741" s="73"/>
      <c r="Q2741" s="73"/>
      <c r="R2741" s="111"/>
      <c r="S2741" s="75"/>
      <c r="T2741" s="73"/>
      <c r="X2741" s="189"/>
      <c r="Y2741" s="189"/>
      <c r="Z2741" s="100"/>
      <c r="AC2741" s="84"/>
      <c r="AD2741" s="189"/>
      <c r="AE2741" s="189"/>
      <c r="AF2741" s="189"/>
      <c r="AG2741" s="189"/>
      <c r="AH2741" s="189"/>
      <c r="AP2741" s="238"/>
    </row>
    <row r="2742" spans="3:42" s="45" customFormat="1" x14ac:dyDescent="0.2">
      <c r="C2742" s="189"/>
      <c r="F2742" s="73"/>
      <c r="M2742" s="111"/>
      <c r="N2742" s="73"/>
      <c r="O2742" s="73"/>
      <c r="P2742" s="73"/>
      <c r="Q2742" s="73"/>
      <c r="R2742" s="111"/>
      <c r="S2742" s="75"/>
      <c r="T2742" s="73"/>
      <c r="X2742" s="189"/>
      <c r="Y2742" s="189"/>
      <c r="Z2742" s="100"/>
      <c r="AC2742" s="84"/>
      <c r="AD2742" s="189"/>
      <c r="AE2742" s="189"/>
      <c r="AF2742" s="189"/>
      <c r="AG2742" s="189"/>
      <c r="AH2742" s="189"/>
      <c r="AP2742" s="238"/>
    </row>
    <row r="2743" spans="3:42" s="45" customFormat="1" x14ac:dyDescent="0.2">
      <c r="C2743" s="189"/>
      <c r="F2743" s="73"/>
      <c r="M2743" s="111"/>
      <c r="N2743" s="73"/>
      <c r="O2743" s="73"/>
      <c r="P2743" s="73"/>
      <c r="Q2743" s="73"/>
      <c r="R2743" s="111"/>
      <c r="S2743" s="75"/>
      <c r="T2743" s="73"/>
      <c r="X2743" s="189"/>
      <c r="Y2743" s="189"/>
      <c r="Z2743" s="100"/>
      <c r="AC2743" s="84"/>
      <c r="AD2743" s="189"/>
      <c r="AE2743" s="189"/>
      <c r="AF2743" s="189"/>
      <c r="AG2743" s="189"/>
      <c r="AH2743" s="189"/>
      <c r="AP2743" s="238"/>
    </row>
    <row r="2744" spans="3:42" s="45" customFormat="1" x14ac:dyDescent="0.2">
      <c r="C2744" s="189"/>
      <c r="F2744" s="73"/>
      <c r="M2744" s="111"/>
      <c r="N2744" s="73"/>
      <c r="O2744" s="73"/>
      <c r="P2744" s="73"/>
      <c r="Q2744" s="73"/>
      <c r="R2744" s="111"/>
      <c r="S2744" s="75"/>
      <c r="T2744" s="73"/>
      <c r="X2744" s="189"/>
      <c r="Y2744" s="189"/>
      <c r="Z2744" s="100"/>
      <c r="AC2744" s="84"/>
      <c r="AD2744" s="189"/>
      <c r="AE2744" s="189"/>
      <c r="AF2744" s="189"/>
      <c r="AG2744" s="189"/>
      <c r="AH2744" s="189"/>
      <c r="AP2744" s="238"/>
    </row>
    <row r="2745" spans="3:42" s="45" customFormat="1" x14ac:dyDescent="0.2">
      <c r="C2745" s="189"/>
      <c r="F2745" s="73"/>
      <c r="M2745" s="111"/>
      <c r="N2745" s="73"/>
      <c r="O2745" s="73"/>
      <c r="P2745" s="73"/>
      <c r="Q2745" s="73"/>
      <c r="R2745" s="111"/>
      <c r="S2745" s="75"/>
      <c r="T2745" s="73"/>
      <c r="X2745" s="189"/>
      <c r="Y2745" s="189"/>
      <c r="Z2745" s="100"/>
      <c r="AC2745" s="84"/>
      <c r="AD2745" s="189"/>
      <c r="AE2745" s="189"/>
      <c r="AF2745" s="189"/>
      <c r="AG2745" s="189"/>
      <c r="AH2745" s="189"/>
      <c r="AP2745" s="238"/>
    </row>
    <row r="2746" spans="3:42" s="45" customFormat="1" x14ac:dyDescent="0.2">
      <c r="C2746" s="189"/>
      <c r="F2746" s="73"/>
      <c r="M2746" s="111"/>
      <c r="N2746" s="73"/>
      <c r="O2746" s="73"/>
      <c r="P2746" s="73"/>
      <c r="Q2746" s="73"/>
      <c r="R2746" s="111"/>
      <c r="S2746" s="75"/>
      <c r="T2746" s="73"/>
      <c r="X2746" s="189"/>
      <c r="Y2746" s="189"/>
      <c r="Z2746" s="100"/>
      <c r="AC2746" s="84"/>
      <c r="AD2746" s="189"/>
      <c r="AE2746" s="189"/>
      <c r="AF2746" s="189"/>
      <c r="AG2746" s="189"/>
      <c r="AH2746" s="189"/>
      <c r="AP2746" s="238"/>
    </row>
    <row r="2747" spans="3:42" s="45" customFormat="1" x14ac:dyDescent="0.2">
      <c r="C2747" s="189"/>
      <c r="F2747" s="73"/>
      <c r="M2747" s="111"/>
      <c r="N2747" s="73"/>
      <c r="O2747" s="73"/>
      <c r="P2747" s="73"/>
      <c r="Q2747" s="73"/>
      <c r="R2747" s="111"/>
      <c r="S2747" s="75"/>
      <c r="T2747" s="73"/>
      <c r="X2747" s="189"/>
      <c r="Y2747" s="189"/>
      <c r="Z2747" s="100"/>
      <c r="AC2747" s="84"/>
      <c r="AD2747" s="189"/>
      <c r="AE2747" s="189"/>
      <c r="AF2747" s="189"/>
      <c r="AG2747" s="189"/>
      <c r="AH2747" s="189"/>
      <c r="AP2747" s="238"/>
    </row>
    <row r="2748" spans="3:42" s="45" customFormat="1" x14ac:dyDescent="0.2">
      <c r="C2748" s="189"/>
      <c r="F2748" s="73"/>
      <c r="M2748" s="111"/>
      <c r="N2748" s="73"/>
      <c r="O2748" s="73"/>
      <c r="P2748" s="73"/>
      <c r="Q2748" s="73"/>
      <c r="R2748" s="111"/>
      <c r="S2748" s="75"/>
      <c r="T2748" s="73"/>
      <c r="X2748" s="189"/>
      <c r="Y2748" s="189"/>
      <c r="Z2748" s="100"/>
      <c r="AC2748" s="84"/>
      <c r="AD2748" s="189"/>
      <c r="AE2748" s="189"/>
      <c r="AF2748" s="189"/>
      <c r="AG2748" s="189"/>
      <c r="AH2748" s="189"/>
      <c r="AP2748" s="238"/>
    </row>
    <row r="2749" spans="3:42" s="45" customFormat="1" x14ac:dyDescent="0.2">
      <c r="C2749" s="189"/>
      <c r="F2749" s="73"/>
      <c r="M2749" s="111"/>
      <c r="N2749" s="73"/>
      <c r="O2749" s="73"/>
      <c r="P2749" s="73"/>
      <c r="Q2749" s="73"/>
      <c r="R2749" s="111"/>
      <c r="S2749" s="75"/>
      <c r="T2749" s="73"/>
      <c r="X2749" s="189"/>
      <c r="Y2749" s="189"/>
      <c r="Z2749" s="100"/>
      <c r="AC2749" s="84"/>
      <c r="AD2749" s="189"/>
      <c r="AE2749" s="189"/>
      <c r="AF2749" s="189"/>
      <c r="AG2749" s="189"/>
      <c r="AH2749" s="189"/>
      <c r="AP2749" s="238"/>
    </row>
    <row r="2750" spans="3:42" s="45" customFormat="1" x14ac:dyDescent="0.2">
      <c r="C2750" s="189"/>
      <c r="F2750" s="73"/>
      <c r="M2750" s="111"/>
      <c r="N2750" s="73"/>
      <c r="O2750" s="73"/>
      <c r="P2750" s="73"/>
      <c r="Q2750" s="73"/>
      <c r="R2750" s="111"/>
      <c r="S2750" s="75"/>
      <c r="T2750" s="73"/>
      <c r="X2750" s="189"/>
      <c r="Y2750" s="189"/>
      <c r="Z2750" s="100"/>
      <c r="AC2750" s="84"/>
      <c r="AD2750" s="189"/>
      <c r="AE2750" s="189"/>
      <c r="AF2750" s="189"/>
      <c r="AG2750" s="189"/>
      <c r="AH2750" s="189"/>
      <c r="AP2750" s="238"/>
    </row>
    <row r="2751" spans="3:42" s="45" customFormat="1" x14ac:dyDescent="0.2">
      <c r="C2751" s="189"/>
      <c r="F2751" s="73"/>
      <c r="M2751" s="111"/>
      <c r="N2751" s="73"/>
      <c r="O2751" s="73"/>
      <c r="P2751" s="73"/>
      <c r="Q2751" s="73"/>
      <c r="R2751" s="111"/>
      <c r="S2751" s="75"/>
      <c r="T2751" s="73"/>
      <c r="X2751" s="189"/>
      <c r="Y2751" s="189"/>
      <c r="Z2751" s="100"/>
      <c r="AC2751" s="84"/>
      <c r="AD2751" s="189"/>
      <c r="AE2751" s="189"/>
      <c r="AF2751" s="189"/>
      <c r="AG2751" s="189"/>
      <c r="AH2751" s="189"/>
      <c r="AP2751" s="238"/>
    </row>
    <row r="2752" spans="3:42" s="45" customFormat="1" x14ac:dyDescent="0.2">
      <c r="C2752" s="189"/>
      <c r="F2752" s="73"/>
      <c r="M2752" s="111"/>
      <c r="N2752" s="73"/>
      <c r="O2752" s="73"/>
      <c r="P2752" s="73"/>
      <c r="Q2752" s="73"/>
      <c r="R2752" s="111"/>
      <c r="S2752" s="75"/>
      <c r="T2752" s="73"/>
      <c r="X2752" s="189"/>
      <c r="Y2752" s="189"/>
      <c r="Z2752" s="100"/>
      <c r="AC2752" s="84"/>
      <c r="AD2752" s="189"/>
      <c r="AE2752" s="189"/>
      <c r="AF2752" s="189"/>
      <c r="AG2752" s="189"/>
      <c r="AH2752" s="189"/>
      <c r="AP2752" s="238"/>
    </row>
    <row r="2753" spans="3:42" s="45" customFormat="1" x14ac:dyDescent="0.2">
      <c r="C2753" s="189"/>
      <c r="F2753" s="73"/>
      <c r="M2753" s="111"/>
      <c r="N2753" s="73"/>
      <c r="O2753" s="73"/>
      <c r="P2753" s="73"/>
      <c r="Q2753" s="73"/>
      <c r="R2753" s="111"/>
      <c r="S2753" s="75"/>
      <c r="T2753" s="73"/>
      <c r="X2753" s="189"/>
      <c r="Y2753" s="189"/>
      <c r="Z2753" s="100"/>
      <c r="AC2753" s="84"/>
      <c r="AD2753" s="189"/>
      <c r="AE2753" s="189"/>
      <c r="AF2753" s="189"/>
      <c r="AG2753" s="189"/>
      <c r="AH2753" s="189"/>
      <c r="AP2753" s="238"/>
    </row>
    <row r="2754" spans="3:42" s="45" customFormat="1" x14ac:dyDescent="0.2">
      <c r="C2754" s="189"/>
      <c r="F2754" s="73"/>
      <c r="M2754" s="111"/>
      <c r="N2754" s="73"/>
      <c r="O2754" s="73"/>
      <c r="P2754" s="73"/>
      <c r="Q2754" s="73"/>
      <c r="R2754" s="111"/>
      <c r="S2754" s="75"/>
      <c r="T2754" s="73"/>
      <c r="X2754" s="189"/>
      <c r="Y2754" s="189"/>
      <c r="Z2754" s="100"/>
      <c r="AC2754" s="84"/>
      <c r="AD2754" s="189"/>
      <c r="AE2754" s="189"/>
      <c r="AF2754" s="189"/>
      <c r="AG2754" s="189"/>
      <c r="AH2754" s="189"/>
      <c r="AP2754" s="238"/>
    </row>
    <row r="2755" spans="3:42" s="45" customFormat="1" x14ac:dyDescent="0.2">
      <c r="C2755" s="189"/>
      <c r="F2755" s="73"/>
      <c r="M2755" s="111"/>
      <c r="N2755" s="73"/>
      <c r="O2755" s="73"/>
      <c r="P2755" s="73"/>
      <c r="Q2755" s="73"/>
      <c r="R2755" s="111"/>
      <c r="S2755" s="75"/>
      <c r="T2755" s="73"/>
      <c r="X2755" s="189"/>
      <c r="Y2755" s="189"/>
      <c r="Z2755" s="100"/>
      <c r="AC2755" s="84"/>
      <c r="AD2755" s="189"/>
      <c r="AE2755" s="189"/>
      <c r="AF2755" s="189"/>
      <c r="AG2755" s="189"/>
      <c r="AH2755" s="189"/>
      <c r="AP2755" s="238"/>
    </row>
    <row r="2756" spans="3:42" s="45" customFormat="1" x14ac:dyDescent="0.2">
      <c r="C2756" s="189"/>
      <c r="F2756" s="73"/>
      <c r="M2756" s="111"/>
      <c r="N2756" s="73"/>
      <c r="O2756" s="73"/>
      <c r="P2756" s="73"/>
      <c r="Q2756" s="73"/>
      <c r="R2756" s="111"/>
      <c r="S2756" s="75"/>
      <c r="T2756" s="73"/>
      <c r="X2756" s="189"/>
      <c r="Y2756" s="189"/>
      <c r="Z2756" s="100"/>
      <c r="AC2756" s="84"/>
      <c r="AD2756" s="189"/>
      <c r="AE2756" s="189"/>
      <c r="AF2756" s="189"/>
      <c r="AG2756" s="189"/>
      <c r="AH2756" s="189"/>
      <c r="AP2756" s="238"/>
    </row>
    <row r="2757" spans="3:42" s="45" customFormat="1" x14ac:dyDescent="0.2">
      <c r="C2757" s="189"/>
      <c r="F2757" s="73"/>
      <c r="M2757" s="111"/>
      <c r="N2757" s="73"/>
      <c r="O2757" s="73"/>
      <c r="P2757" s="73"/>
      <c r="Q2757" s="73"/>
      <c r="R2757" s="111"/>
      <c r="S2757" s="75"/>
      <c r="T2757" s="73"/>
      <c r="X2757" s="189"/>
      <c r="Y2757" s="189"/>
      <c r="Z2757" s="100"/>
      <c r="AC2757" s="84"/>
      <c r="AD2757" s="189"/>
      <c r="AE2757" s="189"/>
      <c r="AF2757" s="189"/>
      <c r="AG2757" s="189"/>
      <c r="AH2757" s="189"/>
      <c r="AP2757" s="238"/>
    </row>
    <row r="2758" spans="3:42" s="45" customFormat="1" x14ac:dyDescent="0.2">
      <c r="C2758" s="189"/>
      <c r="F2758" s="73"/>
      <c r="M2758" s="111"/>
      <c r="N2758" s="73"/>
      <c r="O2758" s="73"/>
      <c r="P2758" s="73"/>
      <c r="Q2758" s="73"/>
      <c r="R2758" s="111"/>
      <c r="S2758" s="75"/>
      <c r="T2758" s="73"/>
      <c r="X2758" s="189"/>
      <c r="Y2758" s="189"/>
      <c r="Z2758" s="100"/>
      <c r="AC2758" s="84"/>
      <c r="AD2758" s="189"/>
      <c r="AE2758" s="189"/>
      <c r="AF2758" s="189"/>
      <c r="AG2758" s="189"/>
      <c r="AH2758" s="189"/>
      <c r="AP2758" s="238"/>
    </row>
    <row r="2759" spans="3:42" s="45" customFormat="1" x14ac:dyDescent="0.2">
      <c r="C2759" s="189"/>
      <c r="F2759" s="73"/>
      <c r="M2759" s="111"/>
      <c r="N2759" s="73"/>
      <c r="O2759" s="73"/>
      <c r="P2759" s="73"/>
      <c r="Q2759" s="73"/>
      <c r="R2759" s="111"/>
      <c r="S2759" s="75"/>
      <c r="T2759" s="73"/>
      <c r="X2759" s="189"/>
      <c r="Y2759" s="189"/>
      <c r="Z2759" s="100"/>
      <c r="AC2759" s="84"/>
      <c r="AD2759" s="189"/>
      <c r="AE2759" s="189"/>
      <c r="AF2759" s="189"/>
      <c r="AG2759" s="189"/>
      <c r="AH2759" s="189"/>
      <c r="AP2759" s="238"/>
    </row>
    <row r="2760" spans="3:42" s="45" customFormat="1" x14ac:dyDescent="0.2">
      <c r="C2760" s="189"/>
      <c r="F2760" s="73"/>
      <c r="M2760" s="111"/>
      <c r="N2760" s="73"/>
      <c r="O2760" s="73"/>
      <c r="P2760" s="73"/>
      <c r="Q2760" s="73"/>
      <c r="R2760" s="111"/>
      <c r="S2760" s="75"/>
      <c r="T2760" s="73"/>
      <c r="X2760" s="189"/>
      <c r="Y2760" s="189"/>
      <c r="Z2760" s="100"/>
      <c r="AC2760" s="84"/>
      <c r="AD2760" s="189"/>
      <c r="AE2760" s="189"/>
      <c r="AF2760" s="189"/>
      <c r="AG2760" s="189"/>
      <c r="AH2760" s="189"/>
      <c r="AP2760" s="238"/>
    </row>
    <row r="2761" spans="3:42" s="45" customFormat="1" x14ac:dyDescent="0.2">
      <c r="C2761" s="189"/>
      <c r="F2761" s="73"/>
      <c r="M2761" s="111"/>
      <c r="N2761" s="73"/>
      <c r="O2761" s="73"/>
      <c r="P2761" s="73"/>
      <c r="Q2761" s="73"/>
      <c r="R2761" s="111"/>
      <c r="S2761" s="75"/>
      <c r="T2761" s="73"/>
      <c r="X2761" s="189"/>
      <c r="Y2761" s="189"/>
      <c r="Z2761" s="100"/>
      <c r="AC2761" s="84"/>
      <c r="AD2761" s="189"/>
      <c r="AE2761" s="189"/>
      <c r="AF2761" s="189"/>
      <c r="AG2761" s="189"/>
      <c r="AH2761" s="189"/>
      <c r="AP2761" s="238"/>
    </row>
    <row r="2762" spans="3:42" s="45" customFormat="1" x14ac:dyDescent="0.2">
      <c r="C2762" s="189"/>
      <c r="F2762" s="73"/>
      <c r="M2762" s="111"/>
      <c r="N2762" s="73"/>
      <c r="O2762" s="73"/>
      <c r="P2762" s="73"/>
      <c r="Q2762" s="73"/>
      <c r="R2762" s="111"/>
      <c r="S2762" s="75"/>
      <c r="T2762" s="73"/>
      <c r="X2762" s="189"/>
      <c r="Y2762" s="189"/>
      <c r="Z2762" s="100"/>
      <c r="AC2762" s="84"/>
      <c r="AD2762" s="189"/>
      <c r="AE2762" s="189"/>
      <c r="AF2762" s="189"/>
      <c r="AG2762" s="189"/>
      <c r="AH2762" s="189"/>
      <c r="AP2762" s="238"/>
    </row>
    <row r="2763" spans="3:42" s="45" customFormat="1" x14ac:dyDescent="0.2">
      <c r="C2763" s="189"/>
      <c r="F2763" s="73"/>
      <c r="M2763" s="111"/>
      <c r="N2763" s="73"/>
      <c r="O2763" s="73"/>
      <c r="P2763" s="73"/>
      <c r="Q2763" s="73"/>
      <c r="R2763" s="111"/>
      <c r="S2763" s="75"/>
      <c r="T2763" s="73"/>
      <c r="X2763" s="189"/>
      <c r="Y2763" s="189"/>
      <c r="Z2763" s="100"/>
      <c r="AC2763" s="84"/>
      <c r="AD2763" s="189"/>
      <c r="AE2763" s="189"/>
      <c r="AF2763" s="189"/>
      <c r="AG2763" s="189"/>
      <c r="AH2763" s="189"/>
      <c r="AP2763" s="238"/>
    </row>
    <row r="2764" spans="3:42" s="45" customFormat="1" x14ac:dyDescent="0.2">
      <c r="C2764" s="189"/>
      <c r="F2764" s="73"/>
      <c r="M2764" s="111"/>
      <c r="N2764" s="73"/>
      <c r="O2764" s="73"/>
      <c r="P2764" s="73"/>
      <c r="Q2764" s="73"/>
      <c r="R2764" s="111"/>
      <c r="S2764" s="75"/>
      <c r="T2764" s="73"/>
      <c r="X2764" s="189"/>
      <c r="Y2764" s="189"/>
      <c r="Z2764" s="100"/>
      <c r="AC2764" s="84"/>
      <c r="AD2764" s="189"/>
      <c r="AE2764" s="189"/>
      <c r="AF2764" s="189"/>
      <c r="AG2764" s="189"/>
      <c r="AH2764" s="189"/>
      <c r="AP2764" s="238"/>
    </row>
    <row r="2765" spans="3:42" s="45" customFormat="1" x14ac:dyDescent="0.2">
      <c r="C2765" s="189"/>
      <c r="F2765" s="73"/>
      <c r="M2765" s="111"/>
      <c r="N2765" s="73"/>
      <c r="O2765" s="73"/>
      <c r="P2765" s="73"/>
      <c r="Q2765" s="73"/>
      <c r="R2765" s="111"/>
      <c r="S2765" s="75"/>
      <c r="T2765" s="73"/>
      <c r="X2765" s="189"/>
      <c r="Y2765" s="189"/>
      <c r="Z2765" s="100"/>
      <c r="AC2765" s="84"/>
      <c r="AD2765" s="189"/>
      <c r="AE2765" s="189"/>
      <c r="AF2765" s="189"/>
      <c r="AG2765" s="189"/>
      <c r="AH2765" s="189"/>
      <c r="AP2765" s="238"/>
    </row>
    <row r="2766" spans="3:42" s="45" customFormat="1" x14ac:dyDescent="0.2">
      <c r="C2766" s="189"/>
      <c r="F2766" s="73"/>
      <c r="M2766" s="111"/>
      <c r="N2766" s="73"/>
      <c r="O2766" s="73"/>
      <c r="P2766" s="73"/>
      <c r="Q2766" s="73"/>
      <c r="R2766" s="111"/>
      <c r="S2766" s="75"/>
      <c r="T2766" s="73"/>
      <c r="X2766" s="189"/>
      <c r="Y2766" s="189"/>
      <c r="Z2766" s="100"/>
      <c r="AC2766" s="84"/>
      <c r="AD2766" s="189"/>
      <c r="AE2766" s="189"/>
      <c r="AF2766" s="189"/>
      <c r="AG2766" s="189"/>
      <c r="AH2766" s="189"/>
      <c r="AP2766" s="238"/>
    </row>
    <row r="2767" spans="3:42" s="45" customFormat="1" x14ac:dyDescent="0.2">
      <c r="C2767" s="189"/>
      <c r="F2767" s="73"/>
      <c r="M2767" s="111"/>
      <c r="N2767" s="73"/>
      <c r="O2767" s="73"/>
      <c r="P2767" s="73"/>
      <c r="Q2767" s="73"/>
      <c r="R2767" s="111"/>
      <c r="S2767" s="75"/>
      <c r="T2767" s="73"/>
      <c r="X2767" s="189"/>
      <c r="Y2767" s="189"/>
      <c r="Z2767" s="100"/>
      <c r="AC2767" s="84"/>
      <c r="AD2767" s="189"/>
      <c r="AE2767" s="189"/>
      <c r="AF2767" s="189"/>
      <c r="AG2767" s="189"/>
      <c r="AH2767" s="189"/>
      <c r="AP2767" s="238"/>
    </row>
    <row r="2768" spans="3:42" s="45" customFormat="1" x14ac:dyDescent="0.2">
      <c r="C2768" s="189"/>
      <c r="F2768" s="73"/>
      <c r="M2768" s="111"/>
      <c r="N2768" s="73"/>
      <c r="O2768" s="73"/>
      <c r="P2768" s="73"/>
      <c r="Q2768" s="73"/>
      <c r="R2768" s="111"/>
      <c r="S2768" s="75"/>
      <c r="T2768" s="73"/>
      <c r="X2768" s="189"/>
      <c r="Y2768" s="189"/>
      <c r="Z2768" s="100"/>
      <c r="AC2768" s="84"/>
      <c r="AD2768" s="189"/>
      <c r="AE2768" s="189"/>
      <c r="AF2768" s="189"/>
      <c r="AG2768" s="189"/>
      <c r="AH2768" s="189"/>
      <c r="AP2768" s="238"/>
    </row>
    <row r="2769" spans="3:42" s="45" customFormat="1" x14ac:dyDescent="0.2">
      <c r="C2769" s="189"/>
      <c r="F2769" s="73"/>
      <c r="M2769" s="111"/>
      <c r="N2769" s="73"/>
      <c r="O2769" s="73"/>
      <c r="P2769" s="73"/>
      <c r="Q2769" s="73"/>
      <c r="R2769" s="111"/>
      <c r="S2769" s="75"/>
      <c r="T2769" s="73"/>
      <c r="X2769" s="189"/>
      <c r="Y2769" s="189"/>
      <c r="Z2769" s="100"/>
      <c r="AC2769" s="84"/>
      <c r="AD2769" s="189"/>
      <c r="AE2769" s="189"/>
      <c r="AF2769" s="189"/>
      <c r="AG2769" s="189"/>
      <c r="AH2769" s="189"/>
      <c r="AP2769" s="238"/>
    </row>
    <row r="2770" spans="3:42" s="45" customFormat="1" x14ac:dyDescent="0.2">
      <c r="C2770" s="189"/>
      <c r="F2770" s="73"/>
      <c r="M2770" s="111"/>
      <c r="N2770" s="73"/>
      <c r="O2770" s="73"/>
      <c r="P2770" s="73"/>
      <c r="Q2770" s="73"/>
      <c r="R2770" s="111"/>
      <c r="S2770" s="75"/>
      <c r="T2770" s="73"/>
      <c r="X2770" s="189"/>
      <c r="Y2770" s="189"/>
      <c r="Z2770" s="100"/>
      <c r="AC2770" s="84"/>
      <c r="AD2770" s="189"/>
      <c r="AE2770" s="189"/>
      <c r="AF2770" s="189"/>
      <c r="AG2770" s="189"/>
      <c r="AH2770" s="189"/>
      <c r="AP2770" s="238"/>
    </row>
    <row r="2771" spans="3:42" s="45" customFormat="1" x14ac:dyDescent="0.2">
      <c r="C2771" s="189"/>
      <c r="F2771" s="73"/>
      <c r="M2771" s="111"/>
      <c r="N2771" s="73"/>
      <c r="O2771" s="73"/>
      <c r="P2771" s="73"/>
      <c r="Q2771" s="73"/>
      <c r="R2771" s="111"/>
      <c r="S2771" s="75"/>
      <c r="T2771" s="73"/>
      <c r="X2771" s="189"/>
      <c r="Y2771" s="189"/>
      <c r="Z2771" s="100"/>
      <c r="AC2771" s="84"/>
      <c r="AD2771" s="189"/>
      <c r="AE2771" s="189"/>
      <c r="AF2771" s="189"/>
      <c r="AG2771" s="189"/>
      <c r="AH2771" s="189"/>
      <c r="AP2771" s="238"/>
    </row>
    <row r="2772" spans="3:42" s="45" customFormat="1" x14ac:dyDescent="0.2">
      <c r="C2772" s="189"/>
      <c r="F2772" s="73"/>
      <c r="M2772" s="111"/>
      <c r="N2772" s="73"/>
      <c r="O2772" s="73"/>
      <c r="P2772" s="73"/>
      <c r="Q2772" s="73"/>
      <c r="R2772" s="111"/>
      <c r="S2772" s="75"/>
      <c r="T2772" s="73"/>
      <c r="X2772" s="189"/>
      <c r="Y2772" s="189"/>
      <c r="Z2772" s="100"/>
      <c r="AC2772" s="84"/>
      <c r="AD2772" s="189"/>
      <c r="AE2772" s="189"/>
      <c r="AF2772" s="189"/>
      <c r="AG2772" s="189"/>
      <c r="AH2772" s="189"/>
      <c r="AP2772" s="238"/>
    </row>
    <row r="2773" spans="3:42" s="45" customFormat="1" x14ac:dyDescent="0.2">
      <c r="C2773" s="189"/>
      <c r="F2773" s="73"/>
      <c r="M2773" s="111"/>
      <c r="N2773" s="73"/>
      <c r="O2773" s="73"/>
      <c r="P2773" s="73"/>
      <c r="Q2773" s="73"/>
      <c r="R2773" s="111"/>
      <c r="S2773" s="75"/>
      <c r="T2773" s="73"/>
      <c r="X2773" s="189"/>
      <c r="Y2773" s="189"/>
      <c r="Z2773" s="100"/>
      <c r="AC2773" s="84"/>
      <c r="AD2773" s="189"/>
      <c r="AE2773" s="189"/>
      <c r="AF2773" s="189"/>
      <c r="AG2773" s="189"/>
      <c r="AH2773" s="189"/>
      <c r="AP2773" s="238"/>
    </row>
    <row r="2774" spans="3:42" s="45" customFormat="1" x14ac:dyDescent="0.2">
      <c r="C2774" s="189"/>
      <c r="F2774" s="73"/>
      <c r="M2774" s="111"/>
      <c r="N2774" s="73"/>
      <c r="O2774" s="73"/>
      <c r="P2774" s="73"/>
      <c r="Q2774" s="73"/>
      <c r="R2774" s="111"/>
      <c r="S2774" s="75"/>
      <c r="T2774" s="73"/>
      <c r="X2774" s="189"/>
      <c r="Y2774" s="189"/>
      <c r="Z2774" s="100"/>
      <c r="AC2774" s="84"/>
      <c r="AD2774" s="189"/>
      <c r="AE2774" s="189"/>
      <c r="AF2774" s="189"/>
      <c r="AG2774" s="189"/>
      <c r="AH2774" s="189"/>
      <c r="AP2774" s="238"/>
    </row>
    <row r="2775" spans="3:42" s="45" customFormat="1" x14ac:dyDescent="0.2">
      <c r="C2775" s="189"/>
      <c r="F2775" s="73"/>
      <c r="M2775" s="111"/>
      <c r="N2775" s="73"/>
      <c r="O2775" s="73"/>
      <c r="P2775" s="73"/>
      <c r="Q2775" s="73"/>
      <c r="R2775" s="111"/>
      <c r="S2775" s="75"/>
      <c r="T2775" s="73"/>
      <c r="X2775" s="189"/>
      <c r="Y2775" s="189"/>
      <c r="Z2775" s="100"/>
      <c r="AC2775" s="84"/>
      <c r="AD2775" s="189"/>
      <c r="AE2775" s="189"/>
      <c r="AF2775" s="189"/>
      <c r="AG2775" s="189"/>
      <c r="AH2775" s="189"/>
      <c r="AP2775" s="238"/>
    </row>
    <row r="2776" spans="3:42" s="45" customFormat="1" x14ac:dyDescent="0.2">
      <c r="C2776" s="189"/>
      <c r="F2776" s="73"/>
      <c r="M2776" s="111"/>
      <c r="N2776" s="73"/>
      <c r="O2776" s="73"/>
      <c r="P2776" s="73"/>
      <c r="Q2776" s="73"/>
      <c r="R2776" s="111"/>
      <c r="S2776" s="75"/>
      <c r="T2776" s="73"/>
      <c r="X2776" s="189"/>
      <c r="Y2776" s="189"/>
      <c r="Z2776" s="100"/>
      <c r="AC2776" s="84"/>
      <c r="AD2776" s="189"/>
      <c r="AE2776" s="189"/>
      <c r="AF2776" s="189"/>
      <c r="AG2776" s="189"/>
      <c r="AH2776" s="189"/>
      <c r="AP2776" s="238"/>
    </row>
    <row r="2777" spans="3:42" s="45" customFormat="1" x14ac:dyDescent="0.2">
      <c r="C2777" s="189"/>
      <c r="F2777" s="73"/>
      <c r="M2777" s="111"/>
      <c r="N2777" s="73"/>
      <c r="O2777" s="73"/>
      <c r="P2777" s="73"/>
      <c r="Q2777" s="73"/>
      <c r="R2777" s="111"/>
      <c r="S2777" s="75"/>
      <c r="T2777" s="73"/>
      <c r="X2777" s="189"/>
      <c r="Y2777" s="189"/>
      <c r="Z2777" s="100"/>
      <c r="AC2777" s="84"/>
      <c r="AD2777" s="189"/>
      <c r="AE2777" s="189"/>
      <c r="AF2777" s="189"/>
      <c r="AG2777" s="189"/>
      <c r="AH2777" s="189"/>
      <c r="AP2777" s="238"/>
    </row>
    <row r="2778" spans="3:42" s="45" customFormat="1" x14ac:dyDescent="0.2">
      <c r="C2778" s="189"/>
      <c r="F2778" s="73"/>
      <c r="M2778" s="111"/>
      <c r="N2778" s="73"/>
      <c r="O2778" s="73"/>
      <c r="P2778" s="73"/>
      <c r="Q2778" s="73"/>
      <c r="R2778" s="111"/>
      <c r="S2778" s="75"/>
      <c r="T2778" s="73"/>
      <c r="X2778" s="189"/>
      <c r="Y2778" s="189"/>
      <c r="Z2778" s="100"/>
      <c r="AC2778" s="84"/>
      <c r="AD2778" s="189"/>
      <c r="AE2778" s="189"/>
      <c r="AF2778" s="189"/>
      <c r="AG2778" s="189"/>
      <c r="AH2778" s="189"/>
      <c r="AP2778" s="238"/>
    </row>
    <row r="2779" spans="3:42" s="45" customFormat="1" x14ac:dyDescent="0.2">
      <c r="C2779" s="189"/>
      <c r="F2779" s="73"/>
      <c r="M2779" s="111"/>
      <c r="N2779" s="73"/>
      <c r="O2779" s="73"/>
      <c r="P2779" s="73"/>
      <c r="Q2779" s="73"/>
      <c r="R2779" s="111"/>
      <c r="S2779" s="75"/>
      <c r="T2779" s="73"/>
      <c r="X2779" s="189"/>
      <c r="Y2779" s="189"/>
      <c r="Z2779" s="100"/>
      <c r="AC2779" s="84"/>
      <c r="AD2779" s="189"/>
      <c r="AE2779" s="189"/>
      <c r="AF2779" s="189"/>
      <c r="AG2779" s="189"/>
      <c r="AH2779" s="189"/>
      <c r="AP2779" s="238"/>
    </row>
    <row r="2780" spans="3:42" s="45" customFormat="1" x14ac:dyDescent="0.2">
      <c r="C2780" s="189"/>
      <c r="F2780" s="73"/>
      <c r="M2780" s="111"/>
      <c r="N2780" s="73"/>
      <c r="O2780" s="73"/>
      <c r="P2780" s="73"/>
      <c r="Q2780" s="73"/>
      <c r="R2780" s="111"/>
      <c r="S2780" s="75"/>
      <c r="T2780" s="73"/>
      <c r="X2780" s="189"/>
      <c r="Y2780" s="189"/>
      <c r="Z2780" s="100"/>
      <c r="AC2780" s="84"/>
      <c r="AD2780" s="189"/>
      <c r="AE2780" s="189"/>
      <c r="AF2780" s="189"/>
      <c r="AG2780" s="189"/>
      <c r="AH2780" s="189"/>
      <c r="AP2780" s="238"/>
    </row>
    <row r="2781" spans="3:42" s="45" customFormat="1" x14ac:dyDescent="0.2">
      <c r="C2781" s="189"/>
      <c r="F2781" s="73"/>
      <c r="M2781" s="111"/>
      <c r="N2781" s="73"/>
      <c r="O2781" s="73"/>
      <c r="P2781" s="73"/>
      <c r="Q2781" s="73"/>
      <c r="R2781" s="111"/>
      <c r="S2781" s="75"/>
      <c r="T2781" s="73"/>
      <c r="X2781" s="189"/>
      <c r="Y2781" s="189"/>
      <c r="Z2781" s="100"/>
      <c r="AC2781" s="84"/>
      <c r="AD2781" s="189"/>
      <c r="AE2781" s="189"/>
      <c r="AF2781" s="189"/>
      <c r="AG2781" s="189"/>
      <c r="AH2781" s="189"/>
      <c r="AP2781" s="238"/>
    </row>
    <row r="2782" spans="3:42" s="45" customFormat="1" x14ac:dyDescent="0.2">
      <c r="C2782" s="189"/>
      <c r="F2782" s="73"/>
      <c r="M2782" s="111"/>
      <c r="N2782" s="73"/>
      <c r="O2782" s="73"/>
      <c r="P2782" s="73"/>
      <c r="Q2782" s="73"/>
      <c r="R2782" s="111"/>
      <c r="S2782" s="75"/>
      <c r="T2782" s="73"/>
      <c r="X2782" s="189"/>
      <c r="Y2782" s="189"/>
      <c r="Z2782" s="100"/>
      <c r="AC2782" s="84"/>
      <c r="AD2782" s="189"/>
      <c r="AE2782" s="189"/>
      <c r="AF2782" s="189"/>
      <c r="AG2782" s="189"/>
      <c r="AH2782" s="189"/>
      <c r="AP2782" s="238"/>
    </row>
    <row r="2783" spans="3:42" s="45" customFormat="1" x14ac:dyDescent="0.2">
      <c r="C2783" s="189"/>
      <c r="F2783" s="73"/>
      <c r="M2783" s="111"/>
      <c r="N2783" s="73"/>
      <c r="O2783" s="73"/>
      <c r="P2783" s="73"/>
      <c r="Q2783" s="73"/>
      <c r="R2783" s="111"/>
      <c r="S2783" s="75"/>
      <c r="T2783" s="73"/>
      <c r="X2783" s="189"/>
      <c r="Y2783" s="189"/>
      <c r="Z2783" s="100"/>
      <c r="AC2783" s="84"/>
      <c r="AD2783" s="189"/>
      <c r="AE2783" s="189"/>
      <c r="AF2783" s="189"/>
      <c r="AG2783" s="189"/>
      <c r="AH2783" s="189"/>
      <c r="AP2783" s="238"/>
    </row>
    <row r="2784" spans="3:42" s="45" customFormat="1" x14ac:dyDescent="0.2">
      <c r="C2784" s="189"/>
      <c r="F2784" s="73"/>
      <c r="M2784" s="111"/>
      <c r="N2784" s="73"/>
      <c r="O2784" s="73"/>
      <c r="P2784" s="73"/>
      <c r="Q2784" s="73"/>
      <c r="R2784" s="111"/>
      <c r="S2784" s="75"/>
      <c r="T2784" s="73"/>
      <c r="X2784" s="189"/>
      <c r="Y2784" s="189"/>
      <c r="Z2784" s="100"/>
      <c r="AC2784" s="84"/>
      <c r="AD2784" s="189"/>
      <c r="AE2784" s="189"/>
      <c r="AF2784" s="189"/>
      <c r="AG2784" s="189"/>
      <c r="AH2784" s="189"/>
      <c r="AP2784" s="238"/>
    </row>
    <row r="2785" spans="3:42" s="45" customFormat="1" x14ac:dyDescent="0.2">
      <c r="C2785" s="189"/>
      <c r="F2785" s="73"/>
      <c r="M2785" s="111"/>
      <c r="N2785" s="73"/>
      <c r="O2785" s="73"/>
      <c r="P2785" s="73"/>
      <c r="Q2785" s="73"/>
      <c r="R2785" s="111"/>
      <c r="S2785" s="75"/>
      <c r="T2785" s="73"/>
      <c r="X2785" s="189"/>
      <c r="Y2785" s="189"/>
      <c r="Z2785" s="100"/>
      <c r="AC2785" s="84"/>
      <c r="AD2785" s="189"/>
      <c r="AE2785" s="189"/>
      <c r="AF2785" s="189"/>
      <c r="AG2785" s="189"/>
      <c r="AH2785" s="189"/>
      <c r="AP2785" s="238"/>
    </row>
    <row r="2786" spans="3:42" s="45" customFormat="1" x14ac:dyDescent="0.2">
      <c r="C2786" s="189"/>
      <c r="F2786" s="73"/>
      <c r="M2786" s="111"/>
      <c r="N2786" s="73"/>
      <c r="O2786" s="73"/>
      <c r="P2786" s="73"/>
      <c r="Q2786" s="73"/>
      <c r="R2786" s="111"/>
      <c r="S2786" s="75"/>
      <c r="T2786" s="73"/>
      <c r="X2786" s="189"/>
      <c r="Y2786" s="189"/>
      <c r="Z2786" s="100"/>
      <c r="AC2786" s="84"/>
      <c r="AD2786" s="189"/>
      <c r="AE2786" s="189"/>
      <c r="AF2786" s="189"/>
      <c r="AG2786" s="189"/>
      <c r="AH2786" s="189"/>
      <c r="AP2786" s="238"/>
    </row>
    <row r="2787" spans="3:42" s="45" customFormat="1" x14ac:dyDescent="0.2">
      <c r="C2787" s="189"/>
      <c r="F2787" s="73"/>
      <c r="M2787" s="111"/>
      <c r="N2787" s="73"/>
      <c r="O2787" s="73"/>
      <c r="P2787" s="73"/>
      <c r="Q2787" s="73"/>
      <c r="R2787" s="111"/>
      <c r="S2787" s="75"/>
      <c r="T2787" s="73"/>
      <c r="X2787" s="189"/>
      <c r="Y2787" s="189"/>
      <c r="Z2787" s="100"/>
      <c r="AC2787" s="84"/>
      <c r="AD2787" s="189"/>
      <c r="AE2787" s="189"/>
      <c r="AF2787" s="189"/>
      <c r="AG2787" s="189"/>
      <c r="AH2787" s="189"/>
      <c r="AP2787" s="238"/>
    </row>
    <row r="2788" spans="3:42" s="45" customFormat="1" x14ac:dyDescent="0.2">
      <c r="C2788" s="189"/>
      <c r="F2788" s="73"/>
      <c r="M2788" s="111"/>
      <c r="N2788" s="73"/>
      <c r="O2788" s="73"/>
      <c r="P2788" s="73"/>
      <c r="Q2788" s="73"/>
      <c r="R2788" s="111"/>
      <c r="S2788" s="75"/>
      <c r="T2788" s="73"/>
      <c r="X2788" s="189"/>
      <c r="Y2788" s="189"/>
      <c r="Z2788" s="100"/>
      <c r="AC2788" s="84"/>
      <c r="AD2788" s="189"/>
      <c r="AE2788" s="189"/>
      <c r="AF2788" s="189"/>
      <c r="AG2788" s="189"/>
      <c r="AH2788" s="189"/>
      <c r="AP2788" s="238"/>
    </row>
    <row r="2789" spans="3:42" s="45" customFormat="1" x14ac:dyDescent="0.2">
      <c r="C2789" s="189"/>
      <c r="F2789" s="73"/>
      <c r="M2789" s="111"/>
      <c r="N2789" s="73"/>
      <c r="O2789" s="73"/>
      <c r="P2789" s="73"/>
      <c r="Q2789" s="73"/>
      <c r="R2789" s="111"/>
      <c r="S2789" s="75"/>
      <c r="T2789" s="73"/>
      <c r="X2789" s="189"/>
      <c r="Y2789" s="189"/>
      <c r="Z2789" s="100"/>
      <c r="AC2789" s="84"/>
      <c r="AD2789" s="189"/>
      <c r="AE2789" s="189"/>
      <c r="AF2789" s="189"/>
      <c r="AG2789" s="189"/>
      <c r="AH2789" s="189"/>
      <c r="AP2789" s="238"/>
    </row>
    <row r="2790" spans="3:42" s="45" customFormat="1" x14ac:dyDescent="0.2">
      <c r="C2790" s="189"/>
      <c r="F2790" s="73"/>
      <c r="M2790" s="111"/>
      <c r="N2790" s="73"/>
      <c r="O2790" s="73"/>
      <c r="P2790" s="73"/>
      <c r="Q2790" s="73"/>
      <c r="R2790" s="111"/>
      <c r="S2790" s="75"/>
      <c r="T2790" s="73"/>
      <c r="X2790" s="189"/>
      <c r="Y2790" s="189"/>
      <c r="Z2790" s="100"/>
      <c r="AC2790" s="84"/>
      <c r="AD2790" s="189"/>
      <c r="AE2790" s="189"/>
      <c r="AF2790" s="189"/>
      <c r="AG2790" s="189"/>
      <c r="AH2790" s="189"/>
      <c r="AP2790" s="238"/>
    </row>
    <row r="2791" spans="3:42" s="45" customFormat="1" x14ac:dyDescent="0.2">
      <c r="C2791" s="189"/>
      <c r="F2791" s="73"/>
      <c r="M2791" s="111"/>
      <c r="N2791" s="73"/>
      <c r="O2791" s="73"/>
      <c r="P2791" s="73"/>
      <c r="Q2791" s="73"/>
      <c r="R2791" s="111"/>
      <c r="S2791" s="75"/>
      <c r="T2791" s="73"/>
      <c r="X2791" s="189"/>
      <c r="Y2791" s="189"/>
      <c r="Z2791" s="100"/>
      <c r="AC2791" s="84"/>
      <c r="AD2791" s="189"/>
      <c r="AE2791" s="189"/>
      <c r="AF2791" s="189"/>
      <c r="AG2791" s="189"/>
      <c r="AH2791" s="189"/>
      <c r="AP2791" s="238"/>
    </row>
    <row r="2792" spans="3:42" s="45" customFormat="1" x14ac:dyDescent="0.2">
      <c r="C2792" s="189"/>
      <c r="F2792" s="73"/>
      <c r="M2792" s="111"/>
      <c r="N2792" s="73"/>
      <c r="O2792" s="73"/>
      <c r="P2792" s="73"/>
      <c r="Q2792" s="73"/>
      <c r="R2792" s="111"/>
      <c r="S2792" s="75"/>
      <c r="T2792" s="73"/>
      <c r="X2792" s="189"/>
      <c r="Y2792" s="189"/>
      <c r="Z2792" s="100"/>
      <c r="AC2792" s="84"/>
      <c r="AD2792" s="189"/>
      <c r="AE2792" s="189"/>
      <c r="AF2792" s="189"/>
      <c r="AG2792" s="189"/>
      <c r="AH2792" s="189"/>
      <c r="AP2792" s="238"/>
    </row>
    <row r="2793" spans="3:42" s="45" customFormat="1" x14ac:dyDescent="0.2">
      <c r="C2793" s="189"/>
      <c r="F2793" s="73"/>
      <c r="M2793" s="111"/>
      <c r="N2793" s="73"/>
      <c r="O2793" s="73"/>
      <c r="P2793" s="73"/>
      <c r="Q2793" s="73"/>
      <c r="R2793" s="111"/>
      <c r="S2793" s="75"/>
      <c r="T2793" s="73"/>
      <c r="X2793" s="189"/>
      <c r="Y2793" s="189"/>
      <c r="Z2793" s="100"/>
      <c r="AC2793" s="84"/>
      <c r="AD2793" s="189"/>
      <c r="AE2793" s="189"/>
      <c r="AF2793" s="189"/>
      <c r="AG2793" s="189"/>
      <c r="AH2793" s="189"/>
      <c r="AP2793" s="238"/>
    </row>
    <row r="2794" spans="3:42" s="45" customFormat="1" x14ac:dyDescent="0.2">
      <c r="C2794" s="189"/>
      <c r="F2794" s="73"/>
      <c r="M2794" s="111"/>
      <c r="N2794" s="73"/>
      <c r="O2794" s="73"/>
      <c r="P2794" s="73"/>
      <c r="Q2794" s="73"/>
      <c r="R2794" s="111"/>
      <c r="S2794" s="75"/>
      <c r="T2794" s="73"/>
      <c r="X2794" s="189"/>
      <c r="Y2794" s="189"/>
      <c r="Z2794" s="100"/>
      <c r="AC2794" s="84"/>
      <c r="AD2794" s="189"/>
      <c r="AE2794" s="189"/>
      <c r="AF2794" s="189"/>
      <c r="AG2794" s="189"/>
      <c r="AH2794" s="189"/>
      <c r="AP2794" s="238"/>
    </row>
    <row r="2795" spans="3:42" s="45" customFormat="1" x14ac:dyDescent="0.2">
      <c r="C2795" s="189"/>
      <c r="F2795" s="73"/>
      <c r="M2795" s="111"/>
      <c r="N2795" s="73"/>
      <c r="O2795" s="73"/>
      <c r="P2795" s="73"/>
      <c r="Q2795" s="73"/>
      <c r="R2795" s="111"/>
      <c r="S2795" s="75"/>
      <c r="T2795" s="73"/>
      <c r="X2795" s="189"/>
      <c r="Y2795" s="189"/>
      <c r="Z2795" s="100"/>
      <c r="AC2795" s="84"/>
      <c r="AD2795" s="189"/>
      <c r="AE2795" s="189"/>
      <c r="AF2795" s="189"/>
      <c r="AG2795" s="189"/>
      <c r="AH2795" s="189"/>
      <c r="AP2795" s="238"/>
    </row>
    <row r="2796" spans="3:42" s="45" customFormat="1" x14ac:dyDescent="0.2">
      <c r="C2796" s="189"/>
      <c r="F2796" s="73"/>
      <c r="M2796" s="111"/>
      <c r="N2796" s="73"/>
      <c r="O2796" s="73"/>
      <c r="P2796" s="73"/>
      <c r="Q2796" s="73"/>
      <c r="R2796" s="111"/>
      <c r="S2796" s="75"/>
      <c r="T2796" s="73"/>
      <c r="X2796" s="189"/>
      <c r="Y2796" s="189"/>
      <c r="Z2796" s="100"/>
      <c r="AC2796" s="84"/>
      <c r="AD2796" s="189"/>
      <c r="AE2796" s="189"/>
      <c r="AF2796" s="189"/>
      <c r="AG2796" s="189"/>
      <c r="AH2796" s="189"/>
      <c r="AP2796" s="238"/>
    </row>
    <row r="2797" spans="3:42" s="45" customFormat="1" x14ac:dyDescent="0.2">
      <c r="C2797" s="189"/>
      <c r="F2797" s="73"/>
      <c r="M2797" s="111"/>
      <c r="N2797" s="73"/>
      <c r="O2797" s="73"/>
      <c r="P2797" s="73"/>
      <c r="Q2797" s="73"/>
      <c r="R2797" s="111"/>
      <c r="S2797" s="75"/>
      <c r="T2797" s="73"/>
      <c r="X2797" s="189"/>
      <c r="Y2797" s="189"/>
      <c r="Z2797" s="100"/>
      <c r="AC2797" s="84"/>
      <c r="AD2797" s="189"/>
      <c r="AE2797" s="189"/>
      <c r="AF2797" s="189"/>
      <c r="AG2797" s="189"/>
      <c r="AH2797" s="189"/>
      <c r="AP2797" s="238"/>
    </row>
    <row r="2798" spans="3:42" s="45" customFormat="1" x14ac:dyDescent="0.2">
      <c r="C2798" s="189"/>
      <c r="F2798" s="73"/>
      <c r="M2798" s="111"/>
      <c r="N2798" s="73"/>
      <c r="O2798" s="73"/>
      <c r="P2798" s="73"/>
      <c r="Q2798" s="73"/>
      <c r="R2798" s="111"/>
      <c r="S2798" s="75"/>
      <c r="T2798" s="73"/>
      <c r="X2798" s="189"/>
      <c r="Y2798" s="189"/>
      <c r="Z2798" s="100"/>
      <c r="AC2798" s="84"/>
      <c r="AD2798" s="189"/>
      <c r="AE2798" s="189"/>
      <c r="AF2798" s="189"/>
      <c r="AG2798" s="189"/>
      <c r="AH2798" s="189"/>
      <c r="AP2798" s="238"/>
    </row>
    <row r="2799" spans="3:42" s="45" customFormat="1" x14ac:dyDescent="0.2">
      <c r="C2799" s="189"/>
      <c r="F2799" s="73"/>
      <c r="M2799" s="111"/>
      <c r="N2799" s="73"/>
      <c r="O2799" s="73"/>
      <c r="P2799" s="73"/>
      <c r="Q2799" s="73"/>
      <c r="R2799" s="111"/>
      <c r="S2799" s="75"/>
      <c r="T2799" s="73"/>
      <c r="X2799" s="189"/>
      <c r="Y2799" s="189"/>
      <c r="Z2799" s="100"/>
      <c r="AC2799" s="84"/>
      <c r="AD2799" s="189"/>
      <c r="AE2799" s="189"/>
      <c r="AF2799" s="189"/>
      <c r="AG2799" s="189"/>
      <c r="AH2799" s="189"/>
      <c r="AP2799" s="238"/>
    </row>
    <row r="2800" spans="3:42" s="45" customFormat="1" x14ac:dyDescent="0.2">
      <c r="C2800" s="189"/>
      <c r="F2800" s="73"/>
      <c r="M2800" s="111"/>
      <c r="N2800" s="73"/>
      <c r="O2800" s="73"/>
      <c r="P2800" s="73"/>
      <c r="Q2800" s="73"/>
      <c r="R2800" s="111"/>
      <c r="S2800" s="75"/>
      <c r="T2800" s="73"/>
      <c r="X2800" s="189"/>
      <c r="Y2800" s="189"/>
      <c r="Z2800" s="100"/>
      <c r="AC2800" s="84"/>
      <c r="AD2800" s="189"/>
      <c r="AE2800" s="189"/>
      <c r="AF2800" s="189"/>
      <c r="AG2800" s="189"/>
      <c r="AH2800" s="189"/>
      <c r="AP2800" s="238"/>
    </row>
    <row r="2801" spans="3:42" s="45" customFormat="1" x14ac:dyDescent="0.2">
      <c r="C2801" s="189"/>
      <c r="F2801" s="73"/>
      <c r="M2801" s="111"/>
      <c r="N2801" s="73"/>
      <c r="O2801" s="73"/>
      <c r="P2801" s="73"/>
      <c r="Q2801" s="73"/>
      <c r="R2801" s="111"/>
      <c r="S2801" s="75"/>
      <c r="T2801" s="73"/>
      <c r="X2801" s="189"/>
      <c r="Y2801" s="189"/>
      <c r="Z2801" s="100"/>
      <c r="AC2801" s="84"/>
      <c r="AD2801" s="189"/>
      <c r="AE2801" s="189"/>
      <c r="AF2801" s="189"/>
      <c r="AG2801" s="189"/>
      <c r="AH2801" s="189"/>
      <c r="AP2801" s="238"/>
    </row>
    <row r="2802" spans="3:42" s="45" customFormat="1" x14ac:dyDescent="0.2">
      <c r="C2802" s="189"/>
      <c r="F2802" s="73"/>
      <c r="M2802" s="111"/>
      <c r="N2802" s="73"/>
      <c r="O2802" s="73"/>
      <c r="P2802" s="73"/>
      <c r="Q2802" s="73"/>
      <c r="R2802" s="111"/>
      <c r="S2802" s="75"/>
      <c r="T2802" s="73"/>
      <c r="X2802" s="189"/>
      <c r="Y2802" s="189"/>
      <c r="Z2802" s="100"/>
      <c r="AC2802" s="84"/>
      <c r="AD2802" s="189"/>
      <c r="AE2802" s="189"/>
      <c r="AF2802" s="189"/>
      <c r="AG2802" s="189"/>
      <c r="AH2802" s="189"/>
      <c r="AP2802" s="238"/>
    </row>
    <row r="2803" spans="3:42" s="45" customFormat="1" x14ac:dyDescent="0.2">
      <c r="C2803" s="189"/>
      <c r="F2803" s="73"/>
      <c r="M2803" s="111"/>
      <c r="N2803" s="73"/>
      <c r="O2803" s="73"/>
      <c r="P2803" s="73"/>
      <c r="Q2803" s="73"/>
      <c r="R2803" s="111"/>
      <c r="S2803" s="75"/>
      <c r="T2803" s="73"/>
      <c r="X2803" s="189"/>
      <c r="Y2803" s="189"/>
      <c r="Z2803" s="100"/>
      <c r="AC2803" s="84"/>
      <c r="AD2803" s="189"/>
      <c r="AE2803" s="189"/>
      <c r="AF2803" s="189"/>
      <c r="AG2803" s="189"/>
      <c r="AH2803" s="189"/>
      <c r="AP2803" s="238"/>
    </row>
    <row r="2804" spans="3:42" s="45" customFormat="1" x14ac:dyDescent="0.2">
      <c r="C2804" s="189"/>
      <c r="F2804" s="73"/>
      <c r="M2804" s="111"/>
      <c r="N2804" s="73"/>
      <c r="O2804" s="73"/>
      <c r="P2804" s="73"/>
      <c r="Q2804" s="73"/>
      <c r="R2804" s="111"/>
      <c r="S2804" s="75"/>
      <c r="T2804" s="73"/>
      <c r="X2804" s="189"/>
      <c r="Y2804" s="189"/>
      <c r="Z2804" s="100"/>
      <c r="AC2804" s="84"/>
      <c r="AD2804" s="189"/>
      <c r="AE2804" s="189"/>
      <c r="AF2804" s="189"/>
      <c r="AG2804" s="189"/>
      <c r="AH2804" s="189"/>
      <c r="AP2804" s="238"/>
    </row>
    <row r="2805" spans="3:42" s="45" customFormat="1" x14ac:dyDescent="0.2">
      <c r="C2805" s="189"/>
      <c r="F2805" s="73"/>
      <c r="M2805" s="111"/>
      <c r="N2805" s="73"/>
      <c r="O2805" s="73"/>
      <c r="P2805" s="73"/>
      <c r="Q2805" s="73"/>
      <c r="R2805" s="111"/>
      <c r="S2805" s="75"/>
      <c r="T2805" s="73"/>
      <c r="X2805" s="189"/>
      <c r="Y2805" s="189"/>
      <c r="Z2805" s="100"/>
      <c r="AC2805" s="84"/>
      <c r="AD2805" s="189"/>
      <c r="AE2805" s="189"/>
      <c r="AF2805" s="189"/>
      <c r="AG2805" s="189"/>
      <c r="AH2805" s="189"/>
      <c r="AP2805" s="238"/>
    </row>
    <row r="2806" spans="3:42" s="45" customFormat="1" x14ac:dyDescent="0.2">
      <c r="C2806" s="189"/>
      <c r="F2806" s="73"/>
      <c r="M2806" s="111"/>
      <c r="N2806" s="73"/>
      <c r="O2806" s="73"/>
      <c r="P2806" s="73"/>
      <c r="Q2806" s="73"/>
      <c r="R2806" s="111"/>
      <c r="S2806" s="75"/>
      <c r="T2806" s="73"/>
      <c r="X2806" s="189"/>
      <c r="Y2806" s="189"/>
      <c r="Z2806" s="100"/>
      <c r="AC2806" s="84"/>
      <c r="AD2806" s="189"/>
      <c r="AE2806" s="189"/>
      <c r="AF2806" s="189"/>
      <c r="AG2806" s="189"/>
      <c r="AH2806" s="189"/>
      <c r="AP2806" s="238"/>
    </row>
    <row r="2807" spans="3:42" s="45" customFormat="1" x14ac:dyDescent="0.2">
      <c r="C2807" s="189"/>
      <c r="F2807" s="73"/>
      <c r="M2807" s="111"/>
      <c r="N2807" s="73"/>
      <c r="O2807" s="73"/>
      <c r="P2807" s="73"/>
      <c r="Q2807" s="73"/>
      <c r="R2807" s="111"/>
      <c r="S2807" s="75"/>
      <c r="T2807" s="73"/>
      <c r="X2807" s="189"/>
      <c r="Y2807" s="189"/>
      <c r="Z2807" s="100"/>
      <c r="AC2807" s="84"/>
      <c r="AD2807" s="189"/>
      <c r="AE2807" s="189"/>
      <c r="AF2807" s="189"/>
      <c r="AG2807" s="189"/>
      <c r="AH2807" s="189"/>
      <c r="AP2807" s="238"/>
    </row>
    <row r="2808" spans="3:42" s="45" customFormat="1" x14ac:dyDescent="0.2">
      <c r="C2808" s="189"/>
      <c r="F2808" s="73"/>
      <c r="M2808" s="111"/>
      <c r="N2808" s="73"/>
      <c r="O2808" s="73"/>
      <c r="P2808" s="73"/>
      <c r="Q2808" s="73"/>
      <c r="R2808" s="111"/>
      <c r="S2808" s="75"/>
      <c r="T2808" s="73"/>
      <c r="X2808" s="189"/>
      <c r="Y2808" s="189"/>
      <c r="Z2808" s="100"/>
      <c r="AC2808" s="84"/>
      <c r="AD2808" s="189"/>
      <c r="AE2808" s="189"/>
      <c r="AF2808" s="189"/>
      <c r="AG2808" s="189"/>
      <c r="AH2808" s="189"/>
      <c r="AP2808" s="238"/>
    </row>
    <row r="2809" spans="3:42" s="45" customFormat="1" x14ac:dyDescent="0.2">
      <c r="C2809" s="189"/>
      <c r="F2809" s="73"/>
      <c r="M2809" s="111"/>
      <c r="N2809" s="73"/>
      <c r="O2809" s="73"/>
      <c r="P2809" s="73"/>
      <c r="Q2809" s="73"/>
      <c r="R2809" s="111"/>
      <c r="S2809" s="75"/>
      <c r="T2809" s="73"/>
      <c r="X2809" s="189"/>
      <c r="Y2809" s="189"/>
      <c r="Z2809" s="100"/>
      <c r="AC2809" s="84"/>
      <c r="AD2809" s="189"/>
      <c r="AE2809" s="189"/>
      <c r="AF2809" s="189"/>
      <c r="AG2809" s="189"/>
      <c r="AH2809" s="189"/>
      <c r="AP2809" s="238"/>
    </row>
    <row r="2810" spans="3:42" s="45" customFormat="1" x14ac:dyDescent="0.2">
      <c r="C2810" s="189"/>
      <c r="F2810" s="73"/>
      <c r="M2810" s="111"/>
      <c r="N2810" s="73"/>
      <c r="O2810" s="73"/>
      <c r="P2810" s="73"/>
      <c r="Q2810" s="73"/>
      <c r="R2810" s="111"/>
      <c r="S2810" s="75"/>
      <c r="T2810" s="73"/>
      <c r="X2810" s="189"/>
      <c r="Y2810" s="189"/>
      <c r="Z2810" s="100"/>
      <c r="AC2810" s="84"/>
      <c r="AD2810" s="189"/>
      <c r="AE2810" s="189"/>
      <c r="AF2810" s="189"/>
      <c r="AG2810" s="189"/>
      <c r="AH2810" s="189"/>
      <c r="AP2810" s="238"/>
    </row>
    <row r="2811" spans="3:42" s="45" customFormat="1" x14ac:dyDescent="0.2">
      <c r="C2811" s="189"/>
      <c r="F2811" s="73"/>
      <c r="M2811" s="111"/>
      <c r="N2811" s="73"/>
      <c r="O2811" s="73"/>
      <c r="P2811" s="73"/>
      <c r="Q2811" s="73"/>
      <c r="R2811" s="111"/>
      <c r="S2811" s="75"/>
      <c r="T2811" s="73"/>
      <c r="X2811" s="189"/>
      <c r="Y2811" s="189"/>
      <c r="Z2811" s="100"/>
      <c r="AC2811" s="84"/>
      <c r="AD2811" s="189"/>
      <c r="AE2811" s="189"/>
      <c r="AF2811" s="189"/>
      <c r="AG2811" s="189"/>
      <c r="AH2811" s="189"/>
      <c r="AP2811" s="238"/>
    </row>
    <row r="2812" spans="3:42" s="45" customFormat="1" x14ac:dyDescent="0.2">
      <c r="C2812" s="189"/>
      <c r="F2812" s="73"/>
      <c r="M2812" s="111"/>
      <c r="N2812" s="73"/>
      <c r="O2812" s="73"/>
      <c r="P2812" s="73"/>
      <c r="Q2812" s="73"/>
      <c r="R2812" s="111"/>
      <c r="S2812" s="75"/>
      <c r="T2812" s="73"/>
      <c r="X2812" s="189"/>
      <c r="Y2812" s="189"/>
      <c r="Z2812" s="100"/>
      <c r="AC2812" s="84"/>
      <c r="AD2812" s="189"/>
      <c r="AE2812" s="189"/>
      <c r="AF2812" s="189"/>
      <c r="AG2812" s="189"/>
      <c r="AH2812" s="189"/>
      <c r="AP2812" s="238"/>
    </row>
    <row r="2813" spans="3:42" s="45" customFormat="1" x14ac:dyDescent="0.2">
      <c r="C2813" s="189"/>
      <c r="F2813" s="73"/>
      <c r="M2813" s="111"/>
      <c r="N2813" s="73"/>
      <c r="O2813" s="73"/>
      <c r="P2813" s="73"/>
      <c r="Q2813" s="73"/>
      <c r="R2813" s="111"/>
      <c r="S2813" s="75"/>
      <c r="T2813" s="73"/>
      <c r="X2813" s="189"/>
      <c r="Y2813" s="189"/>
      <c r="Z2813" s="100"/>
      <c r="AC2813" s="84"/>
      <c r="AD2813" s="189"/>
      <c r="AE2813" s="189"/>
      <c r="AF2813" s="189"/>
      <c r="AG2813" s="189"/>
      <c r="AH2813" s="189"/>
      <c r="AP2813" s="238"/>
    </row>
    <row r="2814" spans="3:42" s="45" customFormat="1" x14ac:dyDescent="0.2">
      <c r="C2814" s="189"/>
      <c r="F2814" s="73"/>
      <c r="M2814" s="111"/>
      <c r="N2814" s="73"/>
      <c r="O2814" s="73"/>
      <c r="P2814" s="73"/>
      <c r="Q2814" s="73"/>
      <c r="R2814" s="111"/>
      <c r="S2814" s="75"/>
      <c r="T2814" s="73"/>
      <c r="X2814" s="189"/>
      <c r="Y2814" s="189"/>
      <c r="Z2814" s="100"/>
      <c r="AC2814" s="84"/>
      <c r="AD2814" s="189"/>
      <c r="AE2814" s="189"/>
      <c r="AF2814" s="189"/>
      <c r="AG2814" s="189"/>
      <c r="AH2814" s="189"/>
      <c r="AP2814" s="238"/>
    </row>
    <row r="2815" spans="3:42" s="45" customFormat="1" x14ac:dyDescent="0.2">
      <c r="C2815" s="189"/>
      <c r="F2815" s="73"/>
      <c r="M2815" s="111"/>
      <c r="N2815" s="73"/>
      <c r="O2815" s="73"/>
      <c r="P2815" s="73"/>
      <c r="Q2815" s="73"/>
      <c r="R2815" s="111"/>
      <c r="S2815" s="75"/>
      <c r="T2815" s="73"/>
      <c r="X2815" s="189"/>
      <c r="Y2815" s="189"/>
      <c r="Z2815" s="100"/>
      <c r="AC2815" s="84"/>
      <c r="AD2815" s="189"/>
      <c r="AE2815" s="189"/>
      <c r="AF2815" s="189"/>
      <c r="AG2815" s="189"/>
      <c r="AH2815" s="189"/>
      <c r="AP2815" s="238"/>
    </row>
    <row r="2816" spans="3:42" s="45" customFormat="1" x14ac:dyDescent="0.2">
      <c r="C2816" s="189"/>
      <c r="F2816" s="73"/>
      <c r="M2816" s="111"/>
      <c r="N2816" s="73"/>
      <c r="O2816" s="73"/>
      <c r="P2816" s="73"/>
      <c r="Q2816" s="73"/>
      <c r="R2816" s="111"/>
      <c r="S2816" s="75"/>
      <c r="T2816" s="73"/>
      <c r="X2816" s="189"/>
      <c r="Y2816" s="189"/>
      <c r="Z2816" s="100"/>
      <c r="AC2816" s="84"/>
      <c r="AD2816" s="189"/>
      <c r="AE2816" s="189"/>
      <c r="AF2816" s="189"/>
      <c r="AG2816" s="189"/>
      <c r="AH2816" s="189"/>
      <c r="AP2816" s="238"/>
    </row>
    <row r="2817" spans="3:42" s="45" customFormat="1" x14ac:dyDescent="0.2">
      <c r="C2817" s="189"/>
      <c r="F2817" s="73"/>
      <c r="M2817" s="111"/>
      <c r="N2817" s="73"/>
      <c r="O2817" s="73"/>
      <c r="P2817" s="73"/>
      <c r="Q2817" s="73"/>
      <c r="R2817" s="111"/>
      <c r="S2817" s="75"/>
      <c r="T2817" s="73"/>
      <c r="X2817" s="189"/>
      <c r="Y2817" s="189"/>
      <c r="Z2817" s="100"/>
      <c r="AC2817" s="84"/>
      <c r="AD2817" s="189"/>
      <c r="AE2817" s="189"/>
      <c r="AF2817" s="189"/>
      <c r="AG2817" s="189"/>
      <c r="AH2817" s="189"/>
      <c r="AP2817" s="238"/>
    </row>
    <row r="2818" spans="3:42" s="45" customFormat="1" x14ac:dyDescent="0.2">
      <c r="C2818" s="189"/>
      <c r="F2818" s="73"/>
      <c r="M2818" s="111"/>
      <c r="N2818" s="73"/>
      <c r="O2818" s="73"/>
      <c r="P2818" s="73"/>
      <c r="Q2818" s="73"/>
      <c r="R2818" s="111"/>
      <c r="S2818" s="75"/>
      <c r="T2818" s="73"/>
      <c r="X2818" s="189"/>
      <c r="Y2818" s="189"/>
      <c r="Z2818" s="100"/>
      <c r="AC2818" s="84"/>
      <c r="AD2818" s="189"/>
      <c r="AE2818" s="189"/>
      <c r="AF2818" s="189"/>
      <c r="AG2818" s="189"/>
      <c r="AH2818" s="189"/>
      <c r="AP2818" s="238"/>
    </row>
    <row r="2819" spans="3:42" s="45" customFormat="1" x14ac:dyDescent="0.2">
      <c r="C2819" s="189"/>
      <c r="F2819" s="73"/>
      <c r="M2819" s="111"/>
      <c r="N2819" s="73"/>
      <c r="O2819" s="73"/>
      <c r="P2819" s="73"/>
      <c r="Q2819" s="73"/>
      <c r="R2819" s="111"/>
      <c r="S2819" s="75"/>
      <c r="T2819" s="73"/>
      <c r="X2819" s="189"/>
      <c r="Y2819" s="189"/>
      <c r="Z2819" s="100"/>
      <c r="AC2819" s="84"/>
      <c r="AD2819" s="189"/>
      <c r="AE2819" s="189"/>
      <c r="AF2819" s="189"/>
      <c r="AG2819" s="189"/>
      <c r="AH2819" s="189"/>
      <c r="AP2819" s="238"/>
    </row>
    <row r="2820" spans="3:42" s="45" customFormat="1" x14ac:dyDescent="0.2">
      <c r="C2820" s="189"/>
      <c r="F2820" s="73"/>
      <c r="M2820" s="111"/>
      <c r="N2820" s="73"/>
      <c r="O2820" s="73"/>
      <c r="P2820" s="73"/>
      <c r="Q2820" s="73"/>
      <c r="R2820" s="111"/>
      <c r="S2820" s="75"/>
      <c r="T2820" s="73"/>
      <c r="X2820" s="189"/>
      <c r="Y2820" s="189"/>
      <c r="Z2820" s="100"/>
      <c r="AC2820" s="84"/>
      <c r="AD2820" s="189"/>
      <c r="AE2820" s="189"/>
      <c r="AF2820" s="189"/>
      <c r="AG2820" s="189"/>
      <c r="AH2820" s="189"/>
      <c r="AP2820" s="238"/>
    </row>
    <row r="2821" spans="3:42" s="45" customFormat="1" x14ac:dyDescent="0.2">
      <c r="C2821" s="189"/>
      <c r="F2821" s="73"/>
      <c r="M2821" s="111"/>
      <c r="N2821" s="73"/>
      <c r="O2821" s="73"/>
      <c r="P2821" s="73"/>
      <c r="Q2821" s="73"/>
      <c r="R2821" s="111"/>
      <c r="S2821" s="75"/>
      <c r="T2821" s="73"/>
      <c r="X2821" s="189"/>
      <c r="Y2821" s="189"/>
      <c r="Z2821" s="100"/>
      <c r="AC2821" s="84"/>
      <c r="AD2821" s="189"/>
      <c r="AE2821" s="189"/>
      <c r="AF2821" s="189"/>
      <c r="AG2821" s="189"/>
      <c r="AH2821" s="189"/>
      <c r="AP2821" s="238"/>
    </row>
    <row r="2822" spans="3:42" s="45" customFormat="1" x14ac:dyDescent="0.2">
      <c r="C2822" s="189"/>
      <c r="F2822" s="73"/>
      <c r="M2822" s="111"/>
      <c r="N2822" s="73"/>
      <c r="O2822" s="73"/>
      <c r="P2822" s="73"/>
      <c r="Q2822" s="73"/>
      <c r="R2822" s="111"/>
      <c r="S2822" s="75"/>
      <c r="T2822" s="73"/>
      <c r="X2822" s="189"/>
      <c r="Y2822" s="189"/>
      <c r="Z2822" s="100"/>
      <c r="AC2822" s="84"/>
      <c r="AD2822" s="189"/>
      <c r="AE2822" s="189"/>
      <c r="AF2822" s="189"/>
      <c r="AG2822" s="189"/>
      <c r="AH2822" s="189"/>
      <c r="AP2822" s="238"/>
    </row>
    <row r="2823" spans="3:42" s="45" customFormat="1" x14ac:dyDescent="0.2">
      <c r="C2823" s="189"/>
      <c r="F2823" s="73"/>
      <c r="M2823" s="111"/>
      <c r="N2823" s="73"/>
      <c r="O2823" s="73"/>
      <c r="P2823" s="73"/>
      <c r="Q2823" s="73"/>
      <c r="R2823" s="111"/>
      <c r="S2823" s="75"/>
      <c r="T2823" s="73"/>
      <c r="X2823" s="189"/>
      <c r="Y2823" s="189"/>
      <c r="Z2823" s="100"/>
      <c r="AC2823" s="84"/>
      <c r="AD2823" s="189"/>
      <c r="AE2823" s="189"/>
      <c r="AF2823" s="189"/>
      <c r="AG2823" s="189"/>
      <c r="AH2823" s="189"/>
      <c r="AP2823" s="238"/>
    </row>
    <row r="2824" spans="3:42" s="45" customFormat="1" x14ac:dyDescent="0.2">
      <c r="C2824" s="189"/>
      <c r="F2824" s="73"/>
      <c r="M2824" s="111"/>
      <c r="N2824" s="73"/>
      <c r="O2824" s="73"/>
      <c r="P2824" s="73"/>
      <c r="Q2824" s="73"/>
      <c r="R2824" s="111"/>
      <c r="S2824" s="75"/>
      <c r="T2824" s="73"/>
      <c r="X2824" s="189"/>
      <c r="Y2824" s="189"/>
      <c r="Z2824" s="100"/>
      <c r="AC2824" s="84"/>
      <c r="AD2824" s="189"/>
      <c r="AE2824" s="189"/>
      <c r="AF2824" s="189"/>
      <c r="AG2824" s="189"/>
      <c r="AH2824" s="189"/>
      <c r="AP2824" s="238"/>
    </row>
    <row r="2825" spans="3:42" s="45" customFormat="1" x14ac:dyDescent="0.2">
      <c r="C2825" s="189"/>
      <c r="F2825" s="73"/>
      <c r="M2825" s="111"/>
      <c r="N2825" s="73"/>
      <c r="O2825" s="73"/>
      <c r="P2825" s="73"/>
      <c r="Q2825" s="73"/>
      <c r="R2825" s="111"/>
      <c r="S2825" s="75"/>
      <c r="T2825" s="73"/>
      <c r="X2825" s="189"/>
      <c r="Y2825" s="189"/>
      <c r="Z2825" s="100"/>
      <c r="AC2825" s="84"/>
      <c r="AD2825" s="189"/>
      <c r="AE2825" s="189"/>
      <c r="AF2825" s="189"/>
      <c r="AG2825" s="189"/>
      <c r="AH2825" s="189"/>
      <c r="AP2825" s="238"/>
    </row>
    <row r="2826" spans="3:42" s="45" customFormat="1" x14ac:dyDescent="0.2">
      <c r="C2826" s="189"/>
      <c r="F2826" s="73"/>
      <c r="M2826" s="111"/>
      <c r="N2826" s="73"/>
      <c r="O2826" s="73"/>
      <c r="P2826" s="73"/>
      <c r="Q2826" s="73"/>
      <c r="R2826" s="111"/>
      <c r="S2826" s="75"/>
      <c r="T2826" s="73"/>
      <c r="X2826" s="189"/>
      <c r="Y2826" s="189"/>
      <c r="Z2826" s="100"/>
      <c r="AC2826" s="84"/>
      <c r="AD2826" s="189"/>
      <c r="AE2826" s="189"/>
      <c r="AF2826" s="189"/>
      <c r="AG2826" s="189"/>
      <c r="AH2826" s="189"/>
      <c r="AP2826" s="238"/>
    </row>
    <row r="2827" spans="3:42" s="45" customFormat="1" x14ac:dyDescent="0.2">
      <c r="C2827" s="189"/>
      <c r="F2827" s="73"/>
      <c r="M2827" s="111"/>
      <c r="N2827" s="73"/>
      <c r="O2827" s="73"/>
      <c r="P2827" s="73"/>
      <c r="Q2827" s="73"/>
      <c r="R2827" s="111"/>
      <c r="S2827" s="75"/>
      <c r="T2827" s="73"/>
      <c r="X2827" s="189"/>
      <c r="Y2827" s="189"/>
      <c r="Z2827" s="100"/>
      <c r="AC2827" s="84"/>
      <c r="AD2827" s="189"/>
      <c r="AE2827" s="189"/>
      <c r="AF2827" s="189"/>
      <c r="AG2827" s="189"/>
      <c r="AH2827" s="189"/>
      <c r="AP2827" s="238"/>
    </row>
    <row r="2828" spans="3:42" s="45" customFormat="1" x14ac:dyDescent="0.2">
      <c r="C2828" s="189"/>
      <c r="F2828" s="73"/>
      <c r="M2828" s="111"/>
      <c r="N2828" s="73"/>
      <c r="O2828" s="73"/>
      <c r="P2828" s="73"/>
      <c r="Q2828" s="73"/>
      <c r="R2828" s="111"/>
      <c r="S2828" s="75"/>
      <c r="T2828" s="73"/>
      <c r="X2828" s="189"/>
      <c r="Y2828" s="189"/>
      <c r="Z2828" s="100"/>
      <c r="AC2828" s="84"/>
      <c r="AD2828" s="189"/>
      <c r="AE2828" s="189"/>
      <c r="AF2828" s="189"/>
      <c r="AG2828" s="189"/>
      <c r="AH2828" s="189"/>
      <c r="AP2828" s="238"/>
    </row>
    <row r="2829" spans="3:42" s="45" customFormat="1" x14ac:dyDescent="0.2">
      <c r="C2829" s="189"/>
      <c r="F2829" s="73"/>
      <c r="M2829" s="111"/>
      <c r="N2829" s="73"/>
      <c r="O2829" s="73"/>
      <c r="P2829" s="73"/>
      <c r="Q2829" s="73"/>
      <c r="R2829" s="111"/>
      <c r="S2829" s="75"/>
      <c r="T2829" s="73"/>
      <c r="X2829" s="189"/>
      <c r="Y2829" s="189"/>
      <c r="Z2829" s="100"/>
      <c r="AC2829" s="84"/>
      <c r="AD2829" s="189"/>
      <c r="AE2829" s="189"/>
      <c r="AF2829" s="189"/>
      <c r="AG2829" s="189"/>
      <c r="AH2829" s="189"/>
      <c r="AP2829" s="238"/>
    </row>
    <row r="2830" spans="3:42" s="45" customFormat="1" x14ac:dyDescent="0.2">
      <c r="C2830" s="189"/>
      <c r="F2830" s="73"/>
      <c r="M2830" s="111"/>
      <c r="N2830" s="73"/>
      <c r="O2830" s="73"/>
      <c r="P2830" s="73"/>
      <c r="Q2830" s="73"/>
      <c r="R2830" s="111"/>
      <c r="S2830" s="75"/>
      <c r="T2830" s="73"/>
      <c r="X2830" s="189"/>
      <c r="Y2830" s="189"/>
      <c r="Z2830" s="100"/>
      <c r="AC2830" s="84"/>
      <c r="AD2830" s="189"/>
      <c r="AE2830" s="189"/>
      <c r="AF2830" s="189"/>
      <c r="AG2830" s="189"/>
      <c r="AH2830" s="189"/>
      <c r="AP2830" s="238"/>
    </row>
    <row r="2831" spans="3:42" s="45" customFormat="1" x14ac:dyDescent="0.2">
      <c r="C2831" s="189"/>
      <c r="F2831" s="73"/>
      <c r="M2831" s="111"/>
      <c r="N2831" s="73"/>
      <c r="O2831" s="73"/>
      <c r="P2831" s="73"/>
      <c r="Q2831" s="73"/>
      <c r="R2831" s="111"/>
      <c r="S2831" s="75"/>
      <c r="T2831" s="73"/>
      <c r="X2831" s="189"/>
      <c r="Y2831" s="189"/>
      <c r="Z2831" s="100"/>
      <c r="AC2831" s="84"/>
      <c r="AD2831" s="189"/>
      <c r="AE2831" s="189"/>
      <c r="AF2831" s="189"/>
      <c r="AG2831" s="189"/>
      <c r="AH2831" s="189"/>
      <c r="AP2831" s="238"/>
    </row>
    <row r="2832" spans="3:42" s="45" customFormat="1" x14ac:dyDescent="0.2">
      <c r="C2832" s="189"/>
      <c r="F2832" s="73"/>
      <c r="M2832" s="111"/>
      <c r="N2832" s="73"/>
      <c r="O2832" s="73"/>
      <c r="P2832" s="73"/>
      <c r="Q2832" s="73"/>
      <c r="R2832" s="111"/>
      <c r="S2832" s="75"/>
      <c r="T2832" s="73"/>
      <c r="X2832" s="189"/>
      <c r="Y2832" s="189"/>
      <c r="Z2832" s="100"/>
      <c r="AC2832" s="84"/>
      <c r="AD2832" s="189"/>
      <c r="AE2832" s="189"/>
      <c r="AF2832" s="189"/>
      <c r="AG2832" s="189"/>
      <c r="AH2832" s="189"/>
      <c r="AP2832" s="238"/>
    </row>
    <row r="2833" spans="3:42" s="45" customFormat="1" x14ac:dyDescent="0.2">
      <c r="C2833" s="189"/>
      <c r="F2833" s="73"/>
      <c r="M2833" s="111"/>
      <c r="N2833" s="73"/>
      <c r="O2833" s="73"/>
      <c r="P2833" s="73"/>
      <c r="Q2833" s="73"/>
      <c r="R2833" s="111"/>
      <c r="S2833" s="75"/>
      <c r="T2833" s="73"/>
      <c r="X2833" s="189"/>
      <c r="Y2833" s="189"/>
      <c r="Z2833" s="100"/>
      <c r="AC2833" s="84"/>
      <c r="AD2833" s="189"/>
      <c r="AE2833" s="189"/>
      <c r="AF2833" s="189"/>
      <c r="AG2833" s="189"/>
      <c r="AH2833" s="189"/>
      <c r="AP2833" s="238"/>
    </row>
    <row r="2834" spans="3:42" s="45" customFormat="1" x14ac:dyDescent="0.2">
      <c r="C2834" s="189"/>
      <c r="F2834" s="73"/>
      <c r="M2834" s="111"/>
      <c r="N2834" s="73"/>
      <c r="O2834" s="73"/>
      <c r="P2834" s="73"/>
      <c r="Q2834" s="73"/>
      <c r="R2834" s="111"/>
      <c r="S2834" s="75"/>
      <c r="T2834" s="73"/>
      <c r="X2834" s="189"/>
      <c r="Y2834" s="189"/>
      <c r="Z2834" s="100"/>
      <c r="AC2834" s="84"/>
      <c r="AD2834" s="189"/>
      <c r="AE2834" s="189"/>
      <c r="AF2834" s="189"/>
      <c r="AG2834" s="189"/>
      <c r="AH2834" s="189"/>
      <c r="AP2834" s="238"/>
    </row>
    <row r="2835" spans="3:42" s="45" customFormat="1" x14ac:dyDescent="0.2">
      <c r="C2835" s="189"/>
      <c r="F2835" s="73"/>
      <c r="M2835" s="111"/>
      <c r="N2835" s="73"/>
      <c r="O2835" s="73"/>
      <c r="P2835" s="73"/>
      <c r="Q2835" s="73"/>
      <c r="R2835" s="111"/>
      <c r="S2835" s="75"/>
      <c r="T2835" s="73"/>
      <c r="X2835" s="189"/>
      <c r="Y2835" s="189"/>
      <c r="Z2835" s="100"/>
      <c r="AC2835" s="84"/>
      <c r="AD2835" s="189"/>
      <c r="AE2835" s="189"/>
      <c r="AF2835" s="189"/>
      <c r="AG2835" s="189"/>
      <c r="AH2835" s="189"/>
      <c r="AP2835" s="238"/>
    </row>
    <row r="2836" spans="3:42" s="45" customFormat="1" x14ac:dyDescent="0.2">
      <c r="C2836" s="189"/>
      <c r="F2836" s="73"/>
      <c r="M2836" s="111"/>
      <c r="N2836" s="73"/>
      <c r="O2836" s="73"/>
      <c r="P2836" s="73"/>
      <c r="Q2836" s="73"/>
      <c r="R2836" s="111"/>
      <c r="S2836" s="75"/>
      <c r="T2836" s="73"/>
      <c r="X2836" s="189"/>
      <c r="Y2836" s="189"/>
      <c r="Z2836" s="100"/>
      <c r="AC2836" s="84"/>
      <c r="AD2836" s="189"/>
      <c r="AE2836" s="189"/>
      <c r="AF2836" s="189"/>
      <c r="AG2836" s="189"/>
      <c r="AH2836" s="189"/>
      <c r="AP2836" s="238"/>
    </row>
    <row r="2837" spans="3:42" s="45" customFormat="1" x14ac:dyDescent="0.2">
      <c r="C2837" s="189"/>
      <c r="F2837" s="73"/>
      <c r="M2837" s="111"/>
      <c r="N2837" s="73"/>
      <c r="O2837" s="73"/>
      <c r="P2837" s="73"/>
      <c r="Q2837" s="73"/>
      <c r="R2837" s="111"/>
      <c r="S2837" s="75"/>
      <c r="T2837" s="73"/>
      <c r="X2837" s="189"/>
      <c r="Y2837" s="189"/>
      <c r="Z2837" s="100"/>
      <c r="AC2837" s="84"/>
      <c r="AD2837" s="189"/>
      <c r="AE2837" s="189"/>
      <c r="AF2837" s="189"/>
      <c r="AG2837" s="189"/>
      <c r="AH2837" s="189"/>
      <c r="AP2837" s="238"/>
    </row>
    <row r="2838" spans="3:42" s="45" customFormat="1" x14ac:dyDescent="0.2">
      <c r="C2838" s="189"/>
      <c r="F2838" s="73"/>
      <c r="M2838" s="111"/>
      <c r="N2838" s="73"/>
      <c r="O2838" s="73"/>
      <c r="P2838" s="73"/>
      <c r="Q2838" s="73"/>
      <c r="R2838" s="111"/>
      <c r="S2838" s="75"/>
      <c r="T2838" s="73"/>
      <c r="X2838" s="189"/>
      <c r="Y2838" s="189"/>
      <c r="Z2838" s="100"/>
      <c r="AC2838" s="84"/>
      <c r="AD2838" s="189"/>
      <c r="AE2838" s="189"/>
      <c r="AF2838" s="189"/>
      <c r="AG2838" s="189"/>
      <c r="AH2838" s="189"/>
      <c r="AP2838" s="238"/>
    </row>
    <row r="2839" spans="3:42" s="45" customFormat="1" x14ac:dyDescent="0.2">
      <c r="C2839" s="189"/>
      <c r="F2839" s="73"/>
      <c r="M2839" s="111"/>
      <c r="N2839" s="73"/>
      <c r="O2839" s="73"/>
      <c r="P2839" s="73"/>
      <c r="Q2839" s="73"/>
      <c r="R2839" s="111"/>
      <c r="S2839" s="75"/>
      <c r="T2839" s="73"/>
      <c r="X2839" s="189"/>
      <c r="Y2839" s="189"/>
      <c r="Z2839" s="100"/>
      <c r="AC2839" s="84"/>
      <c r="AD2839" s="189"/>
      <c r="AE2839" s="189"/>
      <c r="AF2839" s="189"/>
      <c r="AG2839" s="189"/>
      <c r="AH2839" s="189"/>
      <c r="AP2839" s="238"/>
    </row>
    <row r="2840" spans="3:42" s="45" customFormat="1" x14ac:dyDescent="0.2">
      <c r="C2840" s="189"/>
      <c r="F2840" s="73"/>
      <c r="M2840" s="111"/>
      <c r="N2840" s="73"/>
      <c r="O2840" s="73"/>
      <c r="P2840" s="73"/>
      <c r="Q2840" s="73"/>
      <c r="R2840" s="111"/>
      <c r="S2840" s="75"/>
      <c r="T2840" s="73"/>
      <c r="X2840" s="189"/>
      <c r="Y2840" s="189"/>
      <c r="Z2840" s="100"/>
      <c r="AC2840" s="84"/>
      <c r="AD2840" s="189"/>
      <c r="AE2840" s="189"/>
      <c r="AF2840" s="189"/>
      <c r="AG2840" s="189"/>
      <c r="AH2840" s="189"/>
      <c r="AP2840" s="238"/>
    </row>
    <row r="2841" spans="3:42" s="45" customFormat="1" x14ac:dyDescent="0.2">
      <c r="C2841" s="189"/>
      <c r="F2841" s="73"/>
      <c r="M2841" s="111"/>
      <c r="N2841" s="73"/>
      <c r="O2841" s="73"/>
      <c r="P2841" s="73"/>
      <c r="Q2841" s="73"/>
      <c r="R2841" s="111"/>
      <c r="S2841" s="75"/>
      <c r="T2841" s="73"/>
      <c r="X2841" s="189"/>
      <c r="Y2841" s="189"/>
      <c r="Z2841" s="100"/>
      <c r="AC2841" s="84"/>
      <c r="AD2841" s="189"/>
      <c r="AE2841" s="189"/>
      <c r="AF2841" s="189"/>
      <c r="AG2841" s="189"/>
      <c r="AH2841" s="189"/>
      <c r="AP2841" s="238"/>
    </row>
    <row r="2842" spans="3:42" s="45" customFormat="1" x14ac:dyDescent="0.2">
      <c r="C2842" s="189"/>
      <c r="F2842" s="73"/>
      <c r="M2842" s="111"/>
      <c r="N2842" s="73"/>
      <c r="O2842" s="73"/>
      <c r="P2842" s="73"/>
      <c r="Q2842" s="73"/>
      <c r="R2842" s="111"/>
      <c r="S2842" s="75"/>
      <c r="T2842" s="73"/>
      <c r="X2842" s="189"/>
      <c r="Y2842" s="189"/>
      <c r="Z2842" s="100"/>
      <c r="AC2842" s="84"/>
      <c r="AD2842" s="189"/>
      <c r="AE2842" s="189"/>
      <c r="AF2842" s="189"/>
      <c r="AG2842" s="189"/>
      <c r="AH2842" s="189"/>
      <c r="AP2842" s="238"/>
    </row>
    <row r="2843" spans="3:42" s="45" customFormat="1" x14ac:dyDescent="0.2">
      <c r="C2843" s="189"/>
      <c r="F2843" s="73"/>
      <c r="M2843" s="111"/>
      <c r="N2843" s="73"/>
      <c r="O2843" s="73"/>
      <c r="P2843" s="73"/>
      <c r="Q2843" s="73"/>
      <c r="R2843" s="111"/>
      <c r="S2843" s="75"/>
      <c r="T2843" s="73"/>
      <c r="X2843" s="189"/>
      <c r="Y2843" s="189"/>
      <c r="Z2843" s="100"/>
      <c r="AC2843" s="84"/>
      <c r="AD2843" s="189"/>
      <c r="AE2843" s="189"/>
      <c r="AF2843" s="189"/>
      <c r="AG2843" s="189"/>
      <c r="AH2843" s="189"/>
      <c r="AP2843" s="238"/>
    </row>
    <row r="2844" spans="3:42" s="45" customFormat="1" x14ac:dyDescent="0.2">
      <c r="C2844" s="189"/>
      <c r="F2844" s="73"/>
      <c r="M2844" s="111"/>
      <c r="N2844" s="73"/>
      <c r="O2844" s="73"/>
      <c r="P2844" s="73"/>
      <c r="Q2844" s="73"/>
      <c r="R2844" s="111"/>
      <c r="S2844" s="75"/>
      <c r="T2844" s="73"/>
      <c r="X2844" s="189"/>
      <c r="Y2844" s="189"/>
      <c r="Z2844" s="100"/>
      <c r="AC2844" s="84"/>
      <c r="AD2844" s="189"/>
      <c r="AE2844" s="189"/>
      <c r="AF2844" s="189"/>
      <c r="AG2844" s="189"/>
      <c r="AH2844" s="189"/>
      <c r="AP2844" s="238"/>
    </row>
    <row r="2845" spans="3:42" s="45" customFormat="1" x14ac:dyDescent="0.2">
      <c r="C2845" s="189"/>
      <c r="F2845" s="73"/>
      <c r="M2845" s="111"/>
      <c r="N2845" s="73"/>
      <c r="O2845" s="73"/>
      <c r="P2845" s="73"/>
      <c r="Q2845" s="73"/>
      <c r="R2845" s="111"/>
      <c r="S2845" s="75"/>
      <c r="T2845" s="73"/>
      <c r="X2845" s="189"/>
      <c r="Y2845" s="189"/>
      <c r="Z2845" s="100"/>
      <c r="AC2845" s="84"/>
      <c r="AD2845" s="189"/>
      <c r="AE2845" s="189"/>
      <c r="AF2845" s="189"/>
      <c r="AG2845" s="189"/>
      <c r="AH2845" s="189"/>
      <c r="AP2845" s="238"/>
    </row>
    <row r="2846" spans="3:42" s="45" customFormat="1" x14ac:dyDescent="0.2">
      <c r="C2846" s="189"/>
      <c r="F2846" s="73"/>
      <c r="M2846" s="111"/>
      <c r="N2846" s="73"/>
      <c r="O2846" s="73"/>
      <c r="P2846" s="73"/>
      <c r="Q2846" s="73"/>
      <c r="R2846" s="111"/>
      <c r="S2846" s="75"/>
      <c r="T2846" s="73"/>
      <c r="X2846" s="189"/>
      <c r="Y2846" s="189"/>
      <c r="Z2846" s="100"/>
      <c r="AC2846" s="84"/>
      <c r="AD2846" s="189"/>
      <c r="AE2846" s="189"/>
      <c r="AF2846" s="189"/>
      <c r="AG2846" s="189"/>
      <c r="AH2846" s="189"/>
      <c r="AP2846" s="238"/>
    </row>
    <row r="2847" spans="3:42" s="45" customFormat="1" x14ac:dyDescent="0.2">
      <c r="C2847" s="189"/>
      <c r="F2847" s="73"/>
      <c r="M2847" s="111"/>
      <c r="N2847" s="73"/>
      <c r="O2847" s="73"/>
      <c r="P2847" s="73"/>
      <c r="Q2847" s="73"/>
      <c r="R2847" s="111"/>
      <c r="S2847" s="75"/>
      <c r="T2847" s="73"/>
      <c r="X2847" s="189"/>
      <c r="Y2847" s="189"/>
      <c r="Z2847" s="100"/>
      <c r="AC2847" s="84"/>
      <c r="AD2847" s="189"/>
      <c r="AE2847" s="189"/>
      <c r="AF2847" s="189"/>
      <c r="AG2847" s="189"/>
      <c r="AH2847" s="189"/>
      <c r="AP2847" s="238"/>
    </row>
    <row r="2848" spans="3:42" s="45" customFormat="1" x14ac:dyDescent="0.2">
      <c r="C2848" s="189"/>
      <c r="F2848" s="73"/>
      <c r="M2848" s="111"/>
      <c r="N2848" s="73"/>
      <c r="O2848" s="73"/>
      <c r="P2848" s="73"/>
      <c r="Q2848" s="73"/>
      <c r="R2848" s="111"/>
      <c r="S2848" s="75"/>
      <c r="T2848" s="73"/>
      <c r="X2848" s="189"/>
      <c r="Y2848" s="189"/>
      <c r="Z2848" s="100"/>
      <c r="AC2848" s="84"/>
      <c r="AD2848" s="189"/>
      <c r="AE2848" s="189"/>
      <c r="AF2848" s="189"/>
      <c r="AG2848" s="189"/>
      <c r="AH2848" s="189"/>
      <c r="AP2848" s="238"/>
    </row>
    <row r="2849" spans="3:42" s="45" customFormat="1" x14ac:dyDescent="0.2">
      <c r="C2849" s="189"/>
      <c r="F2849" s="73"/>
      <c r="M2849" s="111"/>
      <c r="N2849" s="73"/>
      <c r="O2849" s="73"/>
      <c r="P2849" s="73"/>
      <c r="Q2849" s="73"/>
      <c r="R2849" s="111"/>
      <c r="S2849" s="75"/>
      <c r="T2849" s="73"/>
      <c r="X2849" s="189"/>
      <c r="Y2849" s="189"/>
      <c r="Z2849" s="100"/>
      <c r="AC2849" s="84"/>
      <c r="AD2849" s="189"/>
      <c r="AE2849" s="189"/>
      <c r="AF2849" s="189"/>
      <c r="AG2849" s="189"/>
      <c r="AH2849" s="189"/>
      <c r="AP2849" s="238"/>
    </row>
    <row r="2850" spans="3:42" s="45" customFormat="1" x14ac:dyDescent="0.2">
      <c r="C2850" s="189"/>
      <c r="F2850" s="73"/>
      <c r="M2850" s="111"/>
      <c r="N2850" s="73"/>
      <c r="O2850" s="73"/>
      <c r="P2850" s="73"/>
      <c r="Q2850" s="73"/>
      <c r="R2850" s="111"/>
      <c r="S2850" s="75"/>
      <c r="T2850" s="73"/>
      <c r="X2850" s="189"/>
      <c r="Y2850" s="189"/>
      <c r="Z2850" s="100"/>
      <c r="AC2850" s="84"/>
      <c r="AD2850" s="189"/>
      <c r="AE2850" s="189"/>
      <c r="AF2850" s="189"/>
      <c r="AG2850" s="189"/>
      <c r="AH2850" s="189"/>
      <c r="AP2850" s="238"/>
    </row>
    <row r="2851" spans="3:42" s="45" customFormat="1" x14ac:dyDescent="0.2">
      <c r="C2851" s="189"/>
      <c r="F2851" s="73"/>
      <c r="M2851" s="111"/>
      <c r="N2851" s="73"/>
      <c r="O2851" s="73"/>
      <c r="P2851" s="73"/>
      <c r="Q2851" s="73"/>
      <c r="R2851" s="111"/>
      <c r="S2851" s="75"/>
      <c r="T2851" s="73"/>
      <c r="X2851" s="189"/>
      <c r="Y2851" s="189"/>
      <c r="Z2851" s="100"/>
      <c r="AC2851" s="84"/>
      <c r="AD2851" s="189"/>
      <c r="AE2851" s="189"/>
      <c r="AF2851" s="189"/>
      <c r="AG2851" s="189"/>
      <c r="AH2851" s="189"/>
      <c r="AP2851" s="238"/>
    </row>
    <row r="2852" spans="3:42" s="45" customFormat="1" x14ac:dyDescent="0.2">
      <c r="C2852" s="189"/>
      <c r="F2852" s="73"/>
      <c r="M2852" s="111"/>
      <c r="N2852" s="73"/>
      <c r="O2852" s="73"/>
      <c r="P2852" s="73"/>
      <c r="Q2852" s="73"/>
      <c r="R2852" s="111"/>
      <c r="S2852" s="75"/>
      <c r="T2852" s="73"/>
      <c r="X2852" s="189"/>
      <c r="Y2852" s="189"/>
      <c r="Z2852" s="100"/>
      <c r="AC2852" s="84"/>
      <c r="AD2852" s="189"/>
      <c r="AE2852" s="189"/>
      <c r="AF2852" s="189"/>
      <c r="AG2852" s="189"/>
      <c r="AH2852" s="189"/>
      <c r="AP2852" s="238"/>
    </row>
    <row r="2853" spans="3:42" s="45" customFormat="1" x14ac:dyDescent="0.2">
      <c r="C2853" s="189"/>
      <c r="F2853" s="73"/>
      <c r="M2853" s="111"/>
      <c r="N2853" s="73"/>
      <c r="O2853" s="73"/>
      <c r="P2853" s="73"/>
      <c r="Q2853" s="73"/>
      <c r="R2853" s="111"/>
      <c r="S2853" s="75"/>
      <c r="T2853" s="73"/>
      <c r="X2853" s="189"/>
      <c r="Y2853" s="189"/>
      <c r="Z2853" s="100"/>
      <c r="AC2853" s="84"/>
      <c r="AD2853" s="189"/>
      <c r="AE2853" s="189"/>
      <c r="AF2853" s="189"/>
      <c r="AG2853" s="189"/>
      <c r="AH2853" s="189"/>
      <c r="AP2853" s="238"/>
    </row>
    <row r="2854" spans="3:42" s="45" customFormat="1" x14ac:dyDescent="0.2">
      <c r="C2854" s="189"/>
      <c r="F2854" s="73"/>
      <c r="M2854" s="111"/>
      <c r="N2854" s="73"/>
      <c r="O2854" s="73"/>
      <c r="P2854" s="73"/>
      <c r="Q2854" s="73"/>
      <c r="R2854" s="111"/>
      <c r="S2854" s="75"/>
      <c r="T2854" s="73"/>
      <c r="X2854" s="189"/>
      <c r="Y2854" s="189"/>
      <c r="Z2854" s="100"/>
      <c r="AC2854" s="84"/>
      <c r="AD2854" s="189"/>
      <c r="AE2854" s="189"/>
      <c r="AF2854" s="189"/>
      <c r="AG2854" s="189"/>
      <c r="AH2854" s="189"/>
      <c r="AP2854" s="238"/>
    </row>
    <row r="2855" spans="3:42" s="45" customFormat="1" x14ac:dyDescent="0.2">
      <c r="C2855" s="189"/>
      <c r="F2855" s="73"/>
      <c r="M2855" s="111"/>
      <c r="N2855" s="73"/>
      <c r="O2855" s="73"/>
      <c r="P2855" s="73"/>
      <c r="Q2855" s="73"/>
      <c r="R2855" s="111"/>
      <c r="S2855" s="75"/>
      <c r="T2855" s="73"/>
      <c r="X2855" s="189"/>
      <c r="Y2855" s="189"/>
      <c r="Z2855" s="100"/>
      <c r="AC2855" s="84"/>
      <c r="AD2855" s="189"/>
      <c r="AE2855" s="189"/>
      <c r="AF2855" s="189"/>
      <c r="AG2855" s="189"/>
      <c r="AH2855" s="189"/>
      <c r="AP2855" s="238"/>
    </row>
    <row r="2856" spans="3:42" s="45" customFormat="1" x14ac:dyDescent="0.2">
      <c r="C2856" s="189"/>
      <c r="F2856" s="73"/>
      <c r="M2856" s="111"/>
      <c r="N2856" s="73"/>
      <c r="O2856" s="73"/>
      <c r="P2856" s="73"/>
      <c r="Q2856" s="73"/>
      <c r="R2856" s="111"/>
      <c r="S2856" s="75"/>
      <c r="T2856" s="73"/>
      <c r="X2856" s="189"/>
      <c r="Y2856" s="189"/>
      <c r="Z2856" s="100"/>
      <c r="AC2856" s="84"/>
      <c r="AD2856" s="189"/>
      <c r="AE2856" s="189"/>
      <c r="AF2856" s="189"/>
      <c r="AG2856" s="189"/>
      <c r="AH2856" s="189"/>
      <c r="AP2856" s="238"/>
    </row>
    <row r="2857" spans="3:42" s="45" customFormat="1" x14ac:dyDescent="0.2">
      <c r="C2857" s="189"/>
      <c r="F2857" s="73"/>
      <c r="M2857" s="111"/>
      <c r="N2857" s="73"/>
      <c r="O2857" s="73"/>
      <c r="P2857" s="73"/>
      <c r="Q2857" s="73"/>
      <c r="R2857" s="111"/>
      <c r="S2857" s="75"/>
      <c r="T2857" s="73"/>
      <c r="X2857" s="189"/>
      <c r="Y2857" s="189"/>
      <c r="Z2857" s="100"/>
      <c r="AC2857" s="84"/>
      <c r="AD2857" s="189"/>
      <c r="AE2857" s="189"/>
      <c r="AF2857" s="189"/>
      <c r="AG2857" s="189"/>
      <c r="AH2857" s="189"/>
      <c r="AP2857" s="238"/>
    </row>
    <row r="2858" spans="3:42" s="45" customFormat="1" x14ac:dyDescent="0.2">
      <c r="C2858" s="189"/>
      <c r="F2858" s="73"/>
      <c r="M2858" s="111"/>
      <c r="N2858" s="73"/>
      <c r="O2858" s="73"/>
      <c r="P2858" s="73"/>
      <c r="Q2858" s="73"/>
      <c r="R2858" s="111"/>
      <c r="S2858" s="75"/>
      <c r="T2858" s="73"/>
      <c r="X2858" s="189"/>
      <c r="Y2858" s="189"/>
      <c r="Z2858" s="100"/>
      <c r="AC2858" s="84"/>
      <c r="AD2858" s="189"/>
      <c r="AE2858" s="189"/>
      <c r="AF2858" s="189"/>
      <c r="AG2858" s="189"/>
      <c r="AH2858" s="189"/>
      <c r="AP2858" s="238"/>
    </row>
    <row r="2859" spans="3:42" s="45" customFormat="1" x14ac:dyDescent="0.2">
      <c r="C2859" s="189"/>
      <c r="F2859" s="73"/>
      <c r="M2859" s="111"/>
      <c r="N2859" s="73"/>
      <c r="O2859" s="73"/>
      <c r="P2859" s="73"/>
      <c r="Q2859" s="73"/>
      <c r="R2859" s="111"/>
      <c r="S2859" s="75"/>
      <c r="T2859" s="73"/>
      <c r="X2859" s="189"/>
      <c r="Y2859" s="189"/>
      <c r="Z2859" s="100"/>
      <c r="AC2859" s="84"/>
      <c r="AD2859" s="189"/>
      <c r="AE2859" s="189"/>
      <c r="AF2859" s="189"/>
      <c r="AG2859" s="189"/>
      <c r="AH2859" s="189"/>
      <c r="AP2859" s="238"/>
    </row>
    <row r="2860" spans="3:42" s="45" customFormat="1" x14ac:dyDescent="0.2">
      <c r="C2860" s="189"/>
      <c r="F2860" s="73"/>
      <c r="M2860" s="111"/>
      <c r="N2860" s="73"/>
      <c r="O2860" s="73"/>
      <c r="P2860" s="73"/>
      <c r="Q2860" s="73"/>
      <c r="R2860" s="111"/>
      <c r="S2860" s="75"/>
      <c r="T2860" s="73"/>
      <c r="X2860" s="189"/>
      <c r="Y2860" s="189"/>
      <c r="Z2860" s="100"/>
      <c r="AC2860" s="84"/>
      <c r="AD2860" s="189"/>
      <c r="AE2860" s="189"/>
      <c r="AF2860" s="189"/>
      <c r="AG2860" s="189"/>
      <c r="AH2860" s="189"/>
      <c r="AP2860" s="238"/>
    </row>
    <row r="2861" spans="3:42" s="45" customFormat="1" x14ac:dyDescent="0.2">
      <c r="C2861" s="189"/>
      <c r="F2861" s="73"/>
      <c r="M2861" s="111"/>
      <c r="N2861" s="73"/>
      <c r="O2861" s="73"/>
      <c r="P2861" s="73"/>
      <c r="Q2861" s="73"/>
      <c r="R2861" s="111"/>
      <c r="S2861" s="75"/>
      <c r="T2861" s="73"/>
      <c r="X2861" s="189"/>
      <c r="Y2861" s="189"/>
      <c r="Z2861" s="100"/>
      <c r="AC2861" s="84"/>
      <c r="AD2861" s="189"/>
      <c r="AE2861" s="189"/>
      <c r="AF2861" s="189"/>
      <c r="AG2861" s="189"/>
      <c r="AH2861" s="189"/>
      <c r="AP2861" s="238"/>
    </row>
    <row r="2862" spans="3:42" s="45" customFormat="1" x14ac:dyDescent="0.2">
      <c r="C2862" s="189"/>
      <c r="F2862" s="73"/>
      <c r="M2862" s="111"/>
      <c r="N2862" s="73"/>
      <c r="O2862" s="73"/>
      <c r="P2862" s="73"/>
      <c r="Q2862" s="73"/>
      <c r="R2862" s="111"/>
      <c r="S2862" s="75"/>
      <c r="T2862" s="73"/>
      <c r="X2862" s="189"/>
      <c r="Y2862" s="189"/>
      <c r="Z2862" s="100"/>
      <c r="AC2862" s="84"/>
      <c r="AD2862" s="189"/>
      <c r="AE2862" s="189"/>
      <c r="AF2862" s="189"/>
      <c r="AG2862" s="189"/>
      <c r="AH2862" s="189"/>
      <c r="AP2862" s="238"/>
    </row>
    <row r="2863" spans="3:42" s="45" customFormat="1" x14ac:dyDescent="0.2">
      <c r="C2863" s="189"/>
      <c r="F2863" s="73"/>
      <c r="M2863" s="111"/>
      <c r="N2863" s="73"/>
      <c r="O2863" s="73"/>
      <c r="P2863" s="73"/>
      <c r="Q2863" s="73"/>
      <c r="R2863" s="111"/>
      <c r="S2863" s="75"/>
      <c r="T2863" s="73"/>
      <c r="X2863" s="189"/>
      <c r="Y2863" s="189"/>
      <c r="Z2863" s="100"/>
      <c r="AC2863" s="84"/>
      <c r="AD2863" s="189"/>
      <c r="AE2863" s="189"/>
      <c r="AF2863" s="189"/>
      <c r="AG2863" s="189"/>
      <c r="AH2863" s="189"/>
      <c r="AP2863" s="238"/>
    </row>
    <row r="2864" spans="3:42" s="45" customFormat="1" x14ac:dyDescent="0.2">
      <c r="C2864" s="189"/>
      <c r="F2864" s="73"/>
      <c r="M2864" s="111"/>
      <c r="N2864" s="73"/>
      <c r="O2864" s="73"/>
      <c r="P2864" s="73"/>
      <c r="Q2864" s="73"/>
      <c r="R2864" s="111"/>
      <c r="S2864" s="75"/>
      <c r="T2864" s="73"/>
      <c r="X2864" s="189"/>
      <c r="Y2864" s="189"/>
      <c r="Z2864" s="100"/>
      <c r="AC2864" s="84"/>
      <c r="AD2864" s="189"/>
      <c r="AE2864" s="189"/>
      <c r="AF2864" s="189"/>
      <c r="AG2864" s="189"/>
      <c r="AH2864" s="189"/>
      <c r="AP2864" s="238"/>
    </row>
    <row r="2865" spans="3:42" s="45" customFormat="1" x14ac:dyDescent="0.2">
      <c r="C2865" s="189"/>
      <c r="F2865" s="73"/>
      <c r="M2865" s="111"/>
      <c r="N2865" s="73"/>
      <c r="O2865" s="73"/>
      <c r="P2865" s="73"/>
      <c r="Q2865" s="73"/>
      <c r="R2865" s="111"/>
      <c r="S2865" s="75"/>
      <c r="T2865" s="73"/>
      <c r="X2865" s="189"/>
      <c r="Y2865" s="189"/>
      <c r="Z2865" s="100"/>
      <c r="AC2865" s="84"/>
      <c r="AD2865" s="189"/>
      <c r="AE2865" s="189"/>
      <c r="AF2865" s="189"/>
      <c r="AG2865" s="189"/>
      <c r="AH2865" s="189"/>
      <c r="AP2865" s="238"/>
    </row>
    <row r="2866" spans="3:42" s="45" customFormat="1" x14ac:dyDescent="0.2">
      <c r="C2866" s="189"/>
      <c r="F2866" s="73"/>
      <c r="M2866" s="111"/>
      <c r="N2866" s="73"/>
      <c r="O2866" s="73"/>
      <c r="P2866" s="73"/>
      <c r="Q2866" s="73"/>
      <c r="R2866" s="111"/>
      <c r="S2866" s="75"/>
      <c r="T2866" s="73"/>
      <c r="X2866" s="189"/>
      <c r="Y2866" s="189"/>
      <c r="Z2866" s="100"/>
      <c r="AC2866" s="84"/>
      <c r="AD2866" s="189"/>
      <c r="AE2866" s="189"/>
      <c r="AF2866" s="189"/>
      <c r="AG2866" s="189"/>
      <c r="AH2866" s="189"/>
      <c r="AP2866" s="238"/>
    </row>
    <row r="2867" spans="3:42" s="45" customFormat="1" x14ac:dyDescent="0.2">
      <c r="C2867" s="189"/>
      <c r="F2867" s="73"/>
      <c r="M2867" s="111"/>
      <c r="N2867" s="73"/>
      <c r="O2867" s="73"/>
      <c r="P2867" s="73"/>
      <c r="Q2867" s="73"/>
      <c r="R2867" s="111"/>
      <c r="S2867" s="75"/>
      <c r="T2867" s="73"/>
      <c r="X2867" s="189"/>
      <c r="Y2867" s="189"/>
      <c r="Z2867" s="100"/>
      <c r="AC2867" s="84"/>
      <c r="AD2867" s="189"/>
      <c r="AE2867" s="189"/>
      <c r="AF2867" s="189"/>
      <c r="AG2867" s="189"/>
      <c r="AH2867" s="189"/>
      <c r="AP2867" s="238"/>
    </row>
    <row r="2868" spans="3:42" s="45" customFormat="1" x14ac:dyDescent="0.2">
      <c r="C2868" s="189"/>
      <c r="F2868" s="73"/>
      <c r="M2868" s="111"/>
      <c r="N2868" s="73"/>
      <c r="O2868" s="73"/>
      <c r="P2868" s="73"/>
      <c r="Q2868" s="73"/>
      <c r="R2868" s="111"/>
      <c r="S2868" s="75"/>
      <c r="T2868" s="73"/>
      <c r="X2868" s="189"/>
      <c r="Y2868" s="189"/>
      <c r="Z2868" s="100"/>
      <c r="AC2868" s="84"/>
      <c r="AD2868" s="189"/>
      <c r="AE2868" s="189"/>
      <c r="AF2868" s="189"/>
      <c r="AG2868" s="189"/>
      <c r="AH2868" s="189"/>
      <c r="AP2868" s="238"/>
    </row>
    <row r="2869" spans="3:42" s="45" customFormat="1" x14ac:dyDescent="0.2">
      <c r="C2869" s="189"/>
      <c r="F2869" s="73"/>
      <c r="M2869" s="111"/>
      <c r="N2869" s="73"/>
      <c r="O2869" s="73"/>
      <c r="P2869" s="73"/>
      <c r="Q2869" s="73"/>
      <c r="R2869" s="111"/>
      <c r="S2869" s="75"/>
      <c r="T2869" s="73"/>
      <c r="X2869" s="189"/>
      <c r="Y2869" s="189"/>
      <c r="Z2869" s="100"/>
      <c r="AC2869" s="84"/>
      <c r="AD2869" s="189"/>
      <c r="AE2869" s="189"/>
      <c r="AF2869" s="189"/>
      <c r="AG2869" s="189"/>
      <c r="AH2869" s="189"/>
      <c r="AP2869" s="238"/>
    </row>
    <row r="2870" spans="3:42" s="45" customFormat="1" x14ac:dyDescent="0.2">
      <c r="C2870" s="189"/>
      <c r="F2870" s="73"/>
      <c r="M2870" s="111"/>
      <c r="N2870" s="73"/>
      <c r="O2870" s="73"/>
      <c r="P2870" s="73"/>
      <c r="Q2870" s="73"/>
      <c r="R2870" s="111"/>
      <c r="S2870" s="75"/>
      <c r="T2870" s="73"/>
      <c r="X2870" s="189"/>
      <c r="Y2870" s="189"/>
      <c r="Z2870" s="100"/>
      <c r="AC2870" s="84"/>
      <c r="AD2870" s="189"/>
      <c r="AE2870" s="189"/>
      <c r="AF2870" s="189"/>
      <c r="AG2870" s="189"/>
      <c r="AH2870" s="189"/>
      <c r="AP2870" s="238"/>
    </row>
    <row r="2871" spans="3:42" s="45" customFormat="1" x14ac:dyDescent="0.2">
      <c r="C2871" s="189"/>
      <c r="F2871" s="73"/>
      <c r="M2871" s="111"/>
      <c r="N2871" s="73"/>
      <c r="O2871" s="73"/>
      <c r="P2871" s="73"/>
      <c r="Q2871" s="73"/>
      <c r="R2871" s="111"/>
      <c r="S2871" s="75"/>
      <c r="T2871" s="73"/>
      <c r="X2871" s="189"/>
      <c r="Y2871" s="189"/>
      <c r="Z2871" s="100"/>
      <c r="AC2871" s="84"/>
      <c r="AD2871" s="189"/>
      <c r="AE2871" s="189"/>
      <c r="AF2871" s="189"/>
      <c r="AG2871" s="189"/>
      <c r="AH2871" s="189"/>
      <c r="AP2871" s="238"/>
    </row>
    <row r="2872" spans="3:42" s="45" customFormat="1" x14ac:dyDescent="0.2">
      <c r="C2872" s="189"/>
      <c r="F2872" s="73"/>
      <c r="M2872" s="111"/>
      <c r="N2872" s="73"/>
      <c r="O2872" s="73"/>
      <c r="P2872" s="73"/>
      <c r="Q2872" s="73"/>
      <c r="R2872" s="111"/>
      <c r="S2872" s="75"/>
      <c r="T2872" s="73"/>
      <c r="X2872" s="189"/>
      <c r="Y2872" s="189"/>
      <c r="Z2872" s="100"/>
      <c r="AC2872" s="84"/>
      <c r="AD2872" s="189"/>
      <c r="AE2872" s="189"/>
      <c r="AF2872" s="189"/>
      <c r="AG2872" s="189"/>
      <c r="AH2872" s="189"/>
      <c r="AP2872" s="238"/>
    </row>
    <row r="2873" spans="3:42" s="45" customFormat="1" x14ac:dyDescent="0.2">
      <c r="C2873" s="189"/>
      <c r="F2873" s="73"/>
      <c r="M2873" s="111"/>
      <c r="N2873" s="73"/>
      <c r="O2873" s="73"/>
      <c r="P2873" s="73"/>
      <c r="Q2873" s="73"/>
      <c r="R2873" s="111"/>
      <c r="S2873" s="75"/>
      <c r="T2873" s="73"/>
      <c r="X2873" s="189"/>
      <c r="Y2873" s="189"/>
      <c r="Z2873" s="100"/>
      <c r="AC2873" s="84"/>
      <c r="AD2873" s="189"/>
      <c r="AE2873" s="189"/>
      <c r="AF2873" s="189"/>
      <c r="AG2873" s="189"/>
      <c r="AH2873" s="189"/>
      <c r="AP2873" s="238"/>
    </row>
    <row r="2874" spans="3:42" s="45" customFormat="1" x14ac:dyDescent="0.2">
      <c r="C2874" s="189"/>
      <c r="F2874" s="73"/>
      <c r="M2874" s="111"/>
      <c r="N2874" s="73"/>
      <c r="O2874" s="73"/>
      <c r="P2874" s="73"/>
      <c r="Q2874" s="73"/>
      <c r="R2874" s="111"/>
      <c r="S2874" s="75"/>
      <c r="T2874" s="73"/>
      <c r="X2874" s="189"/>
      <c r="Y2874" s="189"/>
      <c r="Z2874" s="100"/>
      <c r="AC2874" s="84"/>
      <c r="AD2874" s="189"/>
      <c r="AE2874" s="189"/>
      <c r="AF2874" s="189"/>
      <c r="AG2874" s="189"/>
      <c r="AH2874" s="189"/>
      <c r="AP2874" s="238"/>
    </row>
    <row r="2875" spans="3:42" s="45" customFormat="1" x14ac:dyDescent="0.2">
      <c r="C2875" s="189"/>
      <c r="F2875" s="73"/>
      <c r="M2875" s="111"/>
      <c r="N2875" s="73"/>
      <c r="O2875" s="73"/>
      <c r="P2875" s="73"/>
      <c r="Q2875" s="73"/>
      <c r="R2875" s="111"/>
      <c r="S2875" s="75"/>
      <c r="T2875" s="73"/>
      <c r="X2875" s="189"/>
      <c r="Y2875" s="189"/>
      <c r="Z2875" s="100"/>
      <c r="AC2875" s="84"/>
      <c r="AD2875" s="189"/>
      <c r="AE2875" s="189"/>
      <c r="AF2875" s="189"/>
      <c r="AG2875" s="189"/>
      <c r="AH2875" s="189"/>
      <c r="AP2875" s="238"/>
    </row>
    <row r="2876" spans="3:42" s="45" customFormat="1" x14ac:dyDescent="0.2">
      <c r="C2876" s="189"/>
      <c r="F2876" s="73"/>
      <c r="M2876" s="111"/>
      <c r="N2876" s="73"/>
      <c r="O2876" s="73"/>
      <c r="P2876" s="73"/>
      <c r="Q2876" s="73"/>
      <c r="R2876" s="111"/>
      <c r="S2876" s="75"/>
      <c r="T2876" s="73"/>
      <c r="X2876" s="189"/>
      <c r="Y2876" s="189"/>
      <c r="Z2876" s="100"/>
      <c r="AC2876" s="84"/>
      <c r="AD2876" s="189"/>
      <c r="AE2876" s="189"/>
      <c r="AF2876" s="189"/>
      <c r="AG2876" s="189"/>
      <c r="AH2876" s="189"/>
      <c r="AP2876" s="238"/>
    </row>
    <row r="2877" spans="3:42" s="45" customFormat="1" x14ac:dyDescent="0.2">
      <c r="C2877" s="189"/>
      <c r="F2877" s="73"/>
      <c r="M2877" s="111"/>
      <c r="N2877" s="73"/>
      <c r="O2877" s="73"/>
      <c r="P2877" s="73"/>
      <c r="Q2877" s="73"/>
      <c r="R2877" s="111"/>
      <c r="S2877" s="75"/>
      <c r="T2877" s="73"/>
      <c r="X2877" s="189"/>
      <c r="Y2877" s="189"/>
      <c r="Z2877" s="100"/>
      <c r="AC2877" s="84"/>
      <c r="AD2877" s="189"/>
      <c r="AE2877" s="189"/>
      <c r="AF2877" s="189"/>
      <c r="AG2877" s="189"/>
      <c r="AH2877" s="189"/>
      <c r="AP2877" s="238"/>
    </row>
    <row r="2878" spans="3:42" s="45" customFormat="1" x14ac:dyDescent="0.2">
      <c r="C2878" s="189"/>
      <c r="F2878" s="73"/>
      <c r="M2878" s="111"/>
      <c r="N2878" s="73"/>
      <c r="O2878" s="73"/>
      <c r="P2878" s="73"/>
      <c r="Q2878" s="73"/>
      <c r="R2878" s="111"/>
      <c r="S2878" s="75"/>
      <c r="T2878" s="73"/>
      <c r="X2878" s="189"/>
      <c r="Y2878" s="189"/>
      <c r="Z2878" s="100"/>
      <c r="AC2878" s="84"/>
      <c r="AD2878" s="189"/>
      <c r="AE2878" s="189"/>
      <c r="AF2878" s="189"/>
      <c r="AG2878" s="189"/>
      <c r="AH2878" s="189"/>
      <c r="AP2878" s="238"/>
    </row>
    <row r="2879" spans="3:42" s="45" customFormat="1" x14ac:dyDescent="0.2">
      <c r="C2879" s="189"/>
      <c r="F2879" s="73"/>
      <c r="M2879" s="111"/>
      <c r="N2879" s="73"/>
      <c r="O2879" s="73"/>
      <c r="P2879" s="73"/>
      <c r="Q2879" s="73"/>
      <c r="R2879" s="111"/>
      <c r="S2879" s="75"/>
      <c r="T2879" s="73"/>
      <c r="X2879" s="189"/>
      <c r="Y2879" s="189"/>
      <c r="Z2879" s="100"/>
      <c r="AC2879" s="84"/>
      <c r="AD2879" s="189"/>
      <c r="AE2879" s="189"/>
      <c r="AF2879" s="189"/>
      <c r="AG2879" s="189"/>
      <c r="AH2879" s="189"/>
      <c r="AP2879" s="238"/>
    </row>
    <row r="2880" spans="3:42" s="45" customFormat="1" x14ac:dyDescent="0.2">
      <c r="C2880" s="189"/>
      <c r="F2880" s="73"/>
      <c r="M2880" s="111"/>
      <c r="N2880" s="73"/>
      <c r="O2880" s="73"/>
      <c r="P2880" s="73"/>
      <c r="Q2880" s="73"/>
      <c r="R2880" s="111"/>
      <c r="S2880" s="75"/>
      <c r="T2880" s="73"/>
      <c r="X2880" s="189"/>
      <c r="Y2880" s="189"/>
      <c r="Z2880" s="100"/>
      <c r="AC2880" s="84"/>
      <c r="AD2880" s="189"/>
      <c r="AE2880" s="189"/>
      <c r="AF2880" s="189"/>
      <c r="AG2880" s="189"/>
      <c r="AH2880" s="189"/>
      <c r="AP2880" s="238"/>
    </row>
    <row r="2881" spans="3:42" s="45" customFormat="1" x14ac:dyDescent="0.2">
      <c r="C2881" s="189"/>
      <c r="F2881" s="73"/>
      <c r="M2881" s="111"/>
      <c r="N2881" s="73"/>
      <c r="O2881" s="73"/>
      <c r="P2881" s="73"/>
      <c r="Q2881" s="73"/>
      <c r="R2881" s="111"/>
      <c r="S2881" s="75"/>
      <c r="T2881" s="73"/>
      <c r="X2881" s="189"/>
      <c r="Y2881" s="189"/>
      <c r="Z2881" s="100"/>
      <c r="AC2881" s="84"/>
      <c r="AD2881" s="189"/>
      <c r="AE2881" s="189"/>
      <c r="AF2881" s="189"/>
      <c r="AG2881" s="189"/>
      <c r="AH2881" s="189"/>
      <c r="AP2881" s="238"/>
    </row>
    <row r="2882" spans="3:42" s="45" customFormat="1" x14ac:dyDescent="0.2">
      <c r="C2882" s="189"/>
      <c r="F2882" s="73"/>
      <c r="M2882" s="111"/>
      <c r="N2882" s="73"/>
      <c r="O2882" s="73"/>
      <c r="P2882" s="73"/>
      <c r="Q2882" s="73"/>
      <c r="R2882" s="111"/>
      <c r="S2882" s="75"/>
      <c r="T2882" s="73"/>
      <c r="X2882" s="189"/>
      <c r="Y2882" s="189"/>
      <c r="Z2882" s="100"/>
      <c r="AC2882" s="84"/>
      <c r="AD2882" s="189"/>
      <c r="AE2882" s="189"/>
      <c r="AF2882" s="189"/>
      <c r="AG2882" s="189"/>
      <c r="AH2882" s="189"/>
      <c r="AP2882" s="238"/>
    </row>
    <row r="2883" spans="3:42" s="45" customFormat="1" x14ac:dyDescent="0.2">
      <c r="C2883" s="189"/>
      <c r="F2883" s="73"/>
      <c r="M2883" s="111"/>
      <c r="N2883" s="73"/>
      <c r="O2883" s="73"/>
      <c r="P2883" s="73"/>
      <c r="Q2883" s="73"/>
      <c r="R2883" s="111"/>
      <c r="S2883" s="75"/>
      <c r="T2883" s="73"/>
      <c r="X2883" s="189"/>
      <c r="Y2883" s="189"/>
      <c r="Z2883" s="100"/>
      <c r="AC2883" s="84"/>
      <c r="AD2883" s="189"/>
      <c r="AE2883" s="189"/>
      <c r="AF2883" s="189"/>
      <c r="AG2883" s="189"/>
      <c r="AH2883" s="189"/>
      <c r="AP2883" s="238"/>
    </row>
    <row r="2884" spans="3:42" s="45" customFormat="1" x14ac:dyDescent="0.2">
      <c r="C2884" s="189"/>
      <c r="F2884" s="73"/>
      <c r="M2884" s="111"/>
      <c r="N2884" s="73"/>
      <c r="O2884" s="73"/>
      <c r="P2884" s="73"/>
      <c r="Q2884" s="73"/>
      <c r="R2884" s="111"/>
      <c r="S2884" s="75"/>
      <c r="T2884" s="73"/>
      <c r="X2884" s="189"/>
      <c r="Y2884" s="189"/>
      <c r="Z2884" s="100"/>
      <c r="AC2884" s="84"/>
      <c r="AD2884" s="189"/>
      <c r="AE2884" s="189"/>
      <c r="AF2884" s="189"/>
      <c r="AG2884" s="189"/>
      <c r="AH2884" s="189"/>
      <c r="AP2884" s="238"/>
    </row>
    <row r="2885" spans="3:42" s="45" customFormat="1" x14ac:dyDescent="0.2">
      <c r="C2885" s="189"/>
      <c r="F2885" s="73"/>
      <c r="M2885" s="111"/>
      <c r="N2885" s="73"/>
      <c r="O2885" s="73"/>
      <c r="P2885" s="73"/>
      <c r="Q2885" s="73"/>
      <c r="R2885" s="111"/>
      <c r="S2885" s="75"/>
      <c r="T2885" s="73"/>
      <c r="X2885" s="189"/>
      <c r="Y2885" s="189"/>
      <c r="Z2885" s="100"/>
      <c r="AC2885" s="84"/>
      <c r="AD2885" s="189"/>
      <c r="AE2885" s="189"/>
      <c r="AF2885" s="189"/>
      <c r="AG2885" s="189"/>
      <c r="AH2885" s="189"/>
      <c r="AP2885" s="238"/>
    </row>
    <row r="2886" spans="3:42" s="45" customFormat="1" x14ac:dyDescent="0.2">
      <c r="C2886" s="189"/>
      <c r="F2886" s="73"/>
      <c r="M2886" s="111"/>
      <c r="N2886" s="73"/>
      <c r="O2886" s="73"/>
      <c r="P2886" s="73"/>
      <c r="Q2886" s="73"/>
      <c r="R2886" s="111"/>
      <c r="S2886" s="75"/>
      <c r="T2886" s="73"/>
      <c r="X2886" s="189"/>
      <c r="Y2886" s="189"/>
      <c r="Z2886" s="100"/>
      <c r="AC2886" s="84"/>
      <c r="AD2886" s="189"/>
      <c r="AE2886" s="189"/>
      <c r="AF2886" s="189"/>
      <c r="AG2886" s="189"/>
      <c r="AH2886" s="189"/>
      <c r="AP2886" s="238"/>
    </row>
    <row r="2887" spans="3:42" s="45" customFormat="1" x14ac:dyDescent="0.2">
      <c r="C2887" s="189"/>
      <c r="F2887" s="73"/>
      <c r="M2887" s="111"/>
      <c r="N2887" s="73"/>
      <c r="O2887" s="73"/>
      <c r="P2887" s="73"/>
      <c r="Q2887" s="73"/>
      <c r="R2887" s="111"/>
      <c r="S2887" s="75"/>
      <c r="T2887" s="73"/>
      <c r="X2887" s="189"/>
      <c r="Y2887" s="189"/>
      <c r="Z2887" s="100"/>
      <c r="AC2887" s="84"/>
      <c r="AD2887" s="189"/>
      <c r="AE2887" s="189"/>
      <c r="AF2887" s="189"/>
      <c r="AG2887" s="189"/>
      <c r="AH2887" s="189"/>
      <c r="AP2887" s="238"/>
    </row>
    <row r="2888" spans="3:42" s="45" customFormat="1" x14ac:dyDescent="0.2">
      <c r="C2888" s="189"/>
      <c r="F2888" s="73"/>
      <c r="M2888" s="111"/>
      <c r="N2888" s="73"/>
      <c r="O2888" s="73"/>
      <c r="P2888" s="73"/>
      <c r="Q2888" s="73"/>
      <c r="R2888" s="111"/>
      <c r="S2888" s="75"/>
      <c r="T2888" s="73"/>
      <c r="X2888" s="189"/>
      <c r="Y2888" s="189"/>
      <c r="Z2888" s="100"/>
      <c r="AC2888" s="84"/>
      <c r="AD2888" s="189"/>
      <c r="AE2888" s="189"/>
      <c r="AF2888" s="189"/>
      <c r="AG2888" s="189"/>
      <c r="AH2888" s="189"/>
      <c r="AP2888" s="238"/>
    </row>
    <row r="2889" spans="3:42" s="45" customFormat="1" x14ac:dyDescent="0.2">
      <c r="C2889" s="189"/>
      <c r="F2889" s="73"/>
      <c r="M2889" s="111"/>
      <c r="N2889" s="73"/>
      <c r="O2889" s="73"/>
      <c r="P2889" s="73"/>
      <c r="Q2889" s="73"/>
      <c r="R2889" s="111"/>
      <c r="S2889" s="75"/>
      <c r="T2889" s="73"/>
      <c r="X2889" s="189"/>
      <c r="Y2889" s="189"/>
      <c r="Z2889" s="100"/>
      <c r="AC2889" s="84"/>
      <c r="AD2889" s="189"/>
      <c r="AE2889" s="189"/>
      <c r="AF2889" s="189"/>
      <c r="AG2889" s="189"/>
      <c r="AH2889" s="189"/>
      <c r="AP2889" s="238"/>
    </row>
    <row r="2890" spans="3:42" s="45" customFormat="1" x14ac:dyDescent="0.2">
      <c r="C2890" s="189"/>
      <c r="F2890" s="73"/>
      <c r="M2890" s="111"/>
      <c r="N2890" s="73"/>
      <c r="O2890" s="73"/>
      <c r="P2890" s="73"/>
      <c r="Q2890" s="73"/>
      <c r="R2890" s="111"/>
      <c r="S2890" s="75"/>
      <c r="T2890" s="73"/>
      <c r="X2890" s="189"/>
      <c r="Y2890" s="189"/>
      <c r="Z2890" s="100"/>
      <c r="AC2890" s="84"/>
      <c r="AD2890" s="189"/>
      <c r="AE2890" s="189"/>
      <c r="AF2890" s="189"/>
      <c r="AG2890" s="189"/>
      <c r="AH2890" s="189"/>
      <c r="AP2890" s="238"/>
    </row>
    <row r="2891" spans="3:42" s="45" customFormat="1" x14ac:dyDescent="0.2">
      <c r="C2891" s="189"/>
      <c r="F2891" s="73"/>
      <c r="M2891" s="111"/>
      <c r="N2891" s="73"/>
      <c r="O2891" s="73"/>
      <c r="P2891" s="73"/>
      <c r="Q2891" s="73"/>
      <c r="R2891" s="111"/>
      <c r="S2891" s="75"/>
      <c r="T2891" s="73"/>
      <c r="X2891" s="189"/>
      <c r="Y2891" s="189"/>
      <c r="Z2891" s="100"/>
      <c r="AC2891" s="84"/>
      <c r="AD2891" s="189"/>
      <c r="AE2891" s="189"/>
      <c r="AF2891" s="189"/>
      <c r="AG2891" s="189"/>
      <c r="AH2891" s="189"/>
      <c r="AP2891" s="238"/>
    </row>
    <row r="2892" spans="3:42" s="45" customFormat="1" x14ac:dyDescent="0.2">
      <c r="C2892" s="189"/>
      <c r="F2892" s="73"/>
      <c r="M2892" s="111"/>
      <c r="N2892" s="73"/>
      <c r="O2892" s="73"/>
      <c r="P2892" s="73"/>
      <c r="Q2892" s="73"/>
      <c r="R2892" s="111"/>
      <c r="S2892" s="75"/>
      <c r="T2892" s="73"/>
      <c r="X2892" s="189"/>
      <c r="Y2892" s="189"/>
      <c r="Z2892" s="100"/>
      <c r="AC2892" s="84"/>
      <c r="AD2892" s="189"/>
      <c r="AE2892" s="189"/>
      <c r="AF2892" s="189"/>
      <c r="AG2892" s="189"/>
      <c r="AH2892" s="189"/>
      <c r="AP2892" s="238"/>
    </row>
    <row r="2893" spans="3:42" s="45" customFormat="1" x14ac:dyDescent="0.2">
      <c r="C2893" s="189"/>
      <c r="F2893" s="73"/>
      <c r="M2893" s="111"/>
      <c r="N2893" s="73"/>
      <c r="O2893" s="73"/>
      <c r="P2893" s="73"/>
      <c r="Q2893" s="73"/>
      <c r="R2893" s="111"/>
      <c r="S2893" s="75"/>
      <c r="T2893" s="73"/>
      <c r="X2893" s="189"/>
      <c r="Y2893" s="189"/>
      <c r="Z2893" s="100"/>
      <c r="AC2893" s="84"/>
      <c r="AD2893" s="189"/>
      <c r="AE2893" s="189"/>
      <c r="AF2893" s="189"/>
      <c r="AG2893" s="189"/>
      <c r="AH2893" s="189"/>
      <c r="AP2893" s="238"/>
    </row>
    <row r="2894" spans="3:42" s="45" customFormat="1" x14ac:dyDescent="0.2">
      <c r="C2894" s="189"/>
      <c r="F2894" s="73"/>
      <c r="M2894" s="111"/>
      <c r="N2894" s="73"/>
      <c r="O2894" s="73"/>
      <c r="P2894" s="73"/>
      <c r="Q2894" s="73"/>
      <c r="R2894" s="111"/>
      <c r="S2894" s="75"/>
      <c r="T2894" s="73"/>
      <c r="X2894" s="189"/>
      <c r="Y2894" s="189"/>
      <c r="Z2894" s="100"/>
      <c r="AC2894" s="84"/>
      <c r="AD2894" s="189"/>
      <c r="AE2894" s="189"/>
      <c r="AF2894" s="189"/>
      <c r="AG2894" s="189"/>
      <c r="AH2894" s="189"/>
      <c r="AP2894" s="238"/>
    </row>
    <row r="2895" spans="3:42" s="45" customFormat="1" x14ac:dyDescent="0.2">
      <c r="C2895" s="189"/>
      <c r="F2895" s="73"/>
      <c r="M2895" s="111"/>
      <c r="N2895" s="73"/>
      <c r="O2895" s="73"/>
      <c r="P2895" s="73"/>
      <c r="Q2895" s="73"/>
      <c r="R2895" s="111"/>
      <c r="S2895" s="75"/>
      <c r="T2895" s="73"/>
      <c r="X2895" s="189"/>
      <c r="Y2895" s="189"/>
      <c r="Z2895" s="100"/>
      <c r="AC2895" s="84"/>
      <c r="AD2895" s="189"/>
      <c r="AE2895" s="189"/>
      <c r="AF2895" s="189"/>
      <c r="AG2895" s="189"/>
      <c r="AH2895" s="189"/>
      <c r="AP2895" s="238"/>
    </row>
    <row r="2896" spans="3:42" s="45" customFormat="1" x14ac:dyDescent="0.2">
      <c r="C2896" s="189"/>
      <c r="F2896" s="73"/>
      <c r="M2896" s="111"/>
      <c r="N2896" s="73"/>
      <c r="O2896" s="73"/>
      <c r="P2896" s="73"/>
      <c r="Q2896" s="73"/>
      <c r="R2896" s="111"/>
      <c r="S2896" s="75"/>
      <c r="T2896" s="73"/>
      <c r="X2896" s="189"/>
      <c r="Y2896" s="189"/>
      <c r="Z2896" s="100"/>
      <c r="AC2896" s="84"/>
      <c r="AD2896" s="189"/>
      <c r="AE2896" s="189"/>
      <c r="AF2896" s="189"/>
      <c r="AG2896" s="189"/>
      <c r="AH2896" s="189"/>
      <c r="AP2896" s="238"/>
    </row>
    <row r="2897" spans="3:42" s="45" customFormat="1" x14ac:dyDescent="0.2">
      <c r="C2897" s="189"/>
      <c r="F2897" s="73"/>
      <c r="M2897" s="111"/>
      <c r="N2897" s="73"/>
      <c r="O2897" s="73"/>
      <c r="P2897" s="73"/>
      <c r="Q2897" s="73"/>
      <c r="R2897" s="111"/>
      <c r="S2897" s="75"/>
      <c r="T2897" s="73"/>
      <c r="X2897" s="189"/>
      <c r="Y2897" s="189"/>
      <c r="Z2897" s="100"/>
      <c r="AC2897" s="84"/>
      <c r="AD2897" s="189"/>
      <c r="AE2897" s="189"/>
      <c r="AF2897" s="189"/>
      <c r="AG2897" s="189"/>
      <c r="AH2897" s="189"/>
      <c r="AP2897" s="238"/>
    </row>
    <row r="2898" spans="3:42" s="45" customFormat="1" x14ac:dyDescent="0.2">
      <c r="C2898" s="189"/>
      <c r="F2898" s="73"/>
      <c r="M2898" s="111"/>
      <c r="N2898" s="73"/>
      <c r="O2898" s="73"/>
      <c r="P2898" s="73"/>
      <c r="Q2898" s="73"/>
      <c r="R2898" s="111"/>
      <c r="S2898" s="75"/>
      <c r="T2898" s="73"/>
      <c r="X2898" s="189"/>
      <c r="Y2898" s="189"/>
      <c r="Z2898" s="100"/>
      <c r="AC2898" s="84"/>
      <c r="AD2898" s="189"/>
      <c r="AE2898" s="189"/>
      <c r="AF2898" s="189"/>
      <c r="AG2898" s="189"/>
      <c r="AH2898" s="189"/>
      <c r="AP2898" s="238"/>
    </row>
    <row r="2899" spans="3:42" s="45" customFormat="1" x14ac:dyDescent="0.2">
      <c r="C2899" s="189"/>
      <c r="F2899" s="73"/>
      <c r="M2899" s="111"/>
      <c r="N2899" s="73"/>
      <c r="O2899" s="73"/>
      <c r="P2899" s="73"/>
      <c r="Q2899" s="73"/>
      <c r="R2899" s="111"/>
      <c r="S2899" s="75"/>
      <c r="T2899" s="73"/>
      <c r="X2899" s="189"/>
      <c r="Y2899" s="189"/>
      <c r="Z2899" s="100"/>
      <c r="AC2899" s="84"/>
      <c r="AD2899" s="189"/>
      <c r="AE2899" s="189"/>
      <c r="AF2899" s="189"/>
      <c r="AG2899" s="189"/>
      <c r="AH2899" s="189"/>
      <c r="AP2899" s="238"/>
    </row>
    <row r="2900" spans="3:42" s="45" customFormat="1" x14ac:dyDescent="0.2">
      <c r="C2900" s="189"/>
      <c r="F2900" s="73"/>
      <c r="M2900" s="111"/>
      <c r="N2900" s="73"/>
      <c r="O2900" s="73"/>
      <c r="P2900" s="73"/>
      <c r="Q2900" s="73"/>
      <c r="R2900" s="111"/>
      <c r="S2900" s="75"/>
      <c r="T2900" s="73"/>
      <c r="X2900" s="189"/>
      <c r="Y2900" s="189"/>
      <c r="Z2900" s="100"/>
      <c r="AC2900" s="84"/>
      <c r="AD2900" s="189"/>
      <c r="AE2900" s="189"/>
      <c r="AF2900" s="189"/>
      <c r="AG2900" s="189"/>
      <c r="AH2900" s="189"/>
      <c r="AP2900" s="238"/>
    </row>
    <row r="2901" spans="3:42" s="45" customFormat="1" x14ac:dyDescent="0.2">
      <c r="C2901" s="189"/>
      <c r="F2901" s="73"/>
      <c r="M2901" s="111"/>
      <c r="N2901" s="73"/>
      <c r="O2901" s="73"/>
      <c r="P2901" s="73"/>
      <c r="Q2901" s="73"/>
      <c r="R2901" s="111"/>
      <c r="S2901" s="75"/>
      <c r="T2901" s="73"/>
      <c r="X2901" s="189"/>
      <c r="Y2901" s="189"/>
      <c r="Z2901" s="100"/>
      <c r="AC2901" s="84"/>
      <c r="AD2901" s="189"/>
      <c r="AE2901" s="189"/>
      <c r="AF2901" s="189"/>
      <c r="AG2901" s="189"/>
      <c r="AH2901" s="189"/>
      <c r="AP2901" s="238"/>
    </row>
    <row r="2902" spans="3:42" s="45" customFormat="1" x14ac:dyDescent="0.2">
      <c r="C2902" s="189"/>
      <c r="F2902" s="73"/>
      <c r="M2902" s="111"/>
      <c r="N2902" s="73"/>
      <c r="O2902" s="73"/>
      <c r="P2902" s="73"/>
      <c r="Q2902" s="73"/>
      <c r="R2902" s="111"/>
      <c r="S2902" s="75"/>
      <c r="T2902" s="73"/>
      <c r="X2902" s="189"/>
      <c r="Y2902" s="189"/>
      <c r="Z2902" s="100"/>
      <c r="AC2902" s="84"/>
      <c r="AD2902" s="189"/>
      <c r="AE2902" s="189"/>
      <c r="AF2902" s="189"/>
      <c r="AG2902" s="189"/>
      <c r="AH2902" s="189"/>
      <c r="AP2902" s="238"/>
    </row>
    <row r="2903" spans="3:42" s="45" customFormat="1" x14ac:dyDescent="0.2">
      <c r="C2903" s="189"/>
      <c r="F2903" s="73"/>
      <c r="M2903" s="111"/>
      <c r="N2903" s="73"/>
      <c r="O2903" s="73"/>
      <c r="P2903" s="73"/>
      <c r="Q2903" s="73"/>
      <c r="R2903" s="111"/>
      <c r="S2903" s="75"/>
      <c r="T2903" s="73"/>
      <c r="X2903" s="189"/>
      <c r="Y2903" s="189"/>
      <c r="Z2903" s="100"/>
      <c r="AC2903" s="84"/>
      <c r="AD2903" s="189"/>
      <c r="AE2903" s="189"/>
      <c r="AF2903" s="189"/>
      <c r="AG2903" s="189"/>
      <c r="AH2903" s="189"/>
      <c r="AP2903" s="238"/>
    </row>
    <row r="2904" spans="3:42" s="45" customFormat="1" x14ac:dyDescent="0.2">
      <c r="C2904" s="189"/>
      <c r="F2904" s="73"/>
      <c r="M2904" s="111"/>
      <c r="N2904" s="73"/>
      <c r="O2904" s="73"/>
      <c r="P2904" s="73"/>
      <c r="Q2904" s="73"/>
      <c r="R2904" s="111"/>
      <c r="S2904" s="75"/>
      <c r="T2904" s="73"/>
      <c r="X2904" s="189"/>
      <c r="Y2904" s="189"/>
      <c r="Z2904" s="100"/>
      <c r="AC2904" s="84"/>
      <c r="AD2904" s="189"/>
      <c r="AE2904" s="189"/>
      <c r="AF2904" s="189"/>
      <c r="AG2904" s="189"/>
      <c r="AH2904" s="189"/>
      <c r="AP2904" s="238"/>
    </row>
    <row r="2905" spans="3:42" s="45" customFormat="1" x14ac:dyDescent="0.2">
      <c r="C2905" s="189"/>
      <c r="F2905" s="73"/>
      <c r="M2905" s="111"/>
      <c r="N2905" s="73"/>
      <c r="O2905" s="73"/>
      <c r="P2905" s="73"/>
      <c r="Q2905" s="73"/>
      <c r="R2905" s="111"/>
      <c r="S2905" s="75"/>
      <c r="T2905" s="73"/>
      <c r="X2905" s="189"/>
      <c r="Y2905" s="189"/>
      <c r="Z2905" s="100"/>
      <c r="AC2905" s="84"/>
      <c r="AD2905" s="189"/>
      <c r="AE2905" s="189"/>
      <c r="AF2905" s="189"/>
      <c r="AG2905" s="189"/>
      <c r="AH2905" s="189"/>
      <c r="AP2905" s="238"/>
    </row>
    <row r="2906" spans="3:42" s="45" customFormat="1" x14ac:dyDescent="0.2">
      <c r="C2906" s="189"/>
      <c r="F2906" s="73"/>
      <c r="M2906" s="111"/>
      <c r="N2906" s="73"/>
      <c r="O2906" s="73"/>
      <c r="P2906" s="73"/>
      <c r="Q2906" s="73"/>
      <c r="R2906" s="111"/>
      <c r="S2906" s="75"/>
      <c r="T2906" s="73"/>
      <c r="X2906" s="189"/>
      <c r="Y2906" s="189"/>
      <c r="Z2906" s="100"/>
      <c r="AC2906" s="84"/>
      <c r="AD2906" s="189"/>
      <c r="AE2906" s="189"/>
      <c r="AF2906" s="189"/>
      <c r="AG2906" s="189"/>
      <c r="AH2906" s="189"/>
      <c r="AP2906" s="238"/>
    </row>
    <row r="2907" spans="3:42" s="45" customFormat="1" x14ac:dyDescent="0.2">
      <c r="C2907" s="189"/>
      <c r="F2907" s="73"/>
      <c r="M2907" s="111"/>
      <c r="N2907" s="73"/>
      <c r="O2907" s="73"/>
      <c r="P2907" s="73"/>
      <c r="Q2907" s="73"/>
      <c r="R2907" s="111"/>
      <c r="S2907" s="75"/>
      <c r="T2907" s="73"/>
      <c r="X2907" s="189"/>
      <c r="Y2907" s="189"/>
      <c r="Z2907" s="100"/>
      <c r="AC2907" s="84"/>
      <c r="AD2907" s="189"/>
      <c r="AE2907" s="189"/>
      <c r="AF2907" s="189"/>
      <c r="AG2907" s="189"/>
      <c r="AH2907" s="189"/>
      <c r="AP2907" s="238"/>
    </row>
    <row r="2908" spans="3:42" s="45" customFormat="1" x14ac:dyDescent="0.2">
      <c r="C2908" s="189"/>
      <c r="F2908" s="73"/>
      <c r="M2908" s="111"/>
      <c r="N2908" s="73"/>
      <c r="O2908" s="73"/>
      <c r="P2908" s="73"/>
      <c r="Q2908" s="73"/>
      <c r="R2908" s="111"/>
      <c r="S2908" s="75"/>
      <c r="T2908" s="73"/>
      <c r="X2908" s="189"/>
      <c r="Y2908" s="189"/>
      <c r="Z2908" s="100"/>
      <c r="AC2908" s="84"/>
      <c r="AD2908" s="189"/>
      <c r="AE2908" s="189"/>
      <c r="AF2908" s="189"/>
      <c r="AG2908" s="189"/>
      <c r="AH2908" s="189"/>
      <c r="AP2908" s="238"/>
    </row>
    <row r="2909" spans="3:42" s="45" customFormat="1" x14ac:dyDescent="0.2">
      <c r="C2909" s="189"/>
      <c r="F2909" s="73"/>
      <c r="M2909" s="111"/>
      <c r="N2909" s="73"/>
      <c r="O2909" s="73"/>
      <c r="P2909" s="73"/>
      <c r="Q2909" s="73"/>
      <c r="R2909" s="111"/>
      <c r="S2909" s="75"/>
      <c r="T2909" s="73"/>
      <c r="X2909" s="189"/>
      <c r="Y2909" s="189"/>
      <c r="Z2909" s="100"/>
      <c r="AC2909" s="84"/>
      <c r="AD2909" s="189"/>
      <c r="AE2909" s="189"/>
      <c r="AF2909" s="189"/>
      <c r="AG2909" s="189"/>
      <c r="AH2909" s="189"/>
      <c r="AP2909" s="238"/>
    </row>
    <row r="2910" spans="3:42" s="45" customFormat="1" x14ac:dyDescent="0.2">
      <c r="C2910" s="189"/>
      <c r="F2910" s="73"/>
      <c r="M2910" s="111"/>
      <c r="N2910" s="73"/>
      <c r="O2910" s="73"/>
      <c r="P2910" s="73"/>
      <c r="Q2910" s="73"/>
      <c r="R2910" s="111"/>
      <c r="S2910" s="75"/>
      <c r="T2910" s="73"/>
      <c r="X2910" s="189"/>
      <c r="Y2910" s="189"/>
      <c r="Z2910" s="100"/>
      <c r="AC2910" s="84"/>
      <c r="AD2910" s="189"/>
      <c r="AE2910" s="189"/>
      <c r="AF2910" s="189"/>
      <c r="AG2910" s="189"/>
      <c r="AH2910" s="189"/>
      <c r="AP2910" s="238"/>
    </row>
    <row r="2911" spans="3:42" s="45" customFormat="1" x14ac:dyDescent="0.2">
      <c r="C2911" s="189"/>
      <c r="F2911" s="73"/>
      <c r="M2911" s="111"/>
      <c r="N2911" s="73"/>
      <c r="O2911" s="73"/>
      <c r="P2911" s="73"/>
      <c r="Q2911" s="73"/>
      <c r="R2911" s="111"/>
      <c r="S2911" s="75"/>
      <c r="T2911" s="73"/>
      <c r="X2911" s="189"/>
      <c r="Y2911" s="189"/>
      <c r="Z2911" s="100"/>
      <c r="AC2911" s="84"/>
      <c r="AD2911" s="189"/>
      <c r="AE2911" s="189"/>
      <c r="AF2911" s="189"/>
      <c r="AG2911" s="189"/>
      <c r="AH2911" s="189"/>
      <c r="AP2911" s="238"/>
    </row>
    <row r="2912" spans="3:42" s="45" customFormat="1" x14ac:dyDescent="0.2">
      <c r="C2912" s="189"/>
      <c r="F2912" s="73"/>
      <c r="M2912" s="111"/>
      <c r="N2912" s="73"/>
      <c r="O2912" s="73"/>
      <c r="P2912" s="73"/>
      <c r="Q2912" s="73"/>
      <c r="R2912" s="111"/>
      <c r="S2912" s="75"/>
      <c r="T2912" s="73"/>
      <c r="X2912" s="189"/>
      <c r="Y2912" s="189"/>
      <c r="Z2912" s="100"/>
      <c r="AC2912" s="84"/>
      <c r="AD2912" s="189"/>
      <c r="AE2912" s="189"/>
      <c r="AF2912" s="189"/>
      <c r="AG2912" s="189"/>
      <c r="AH2912" s="189"/>
      <c r="AP2912" s="238"/>
    </row>
    <row r="2913" spans="3:42" s="45" customFormat="1" x14ac:dyDescent="0.2">
      <c r="C2913" s="189"/>
      <c r="F2913" s="73"/>
      <c r="M2913" s="111"/>
      <c r="N2913" s="73"/>
      <c r="O2913" s="73"/>
      <c r="P2913" s="73"/>
      <c r="Q2913" s="73"/>
      <c r="R2913" s="111"/>
      <c r="S2913" s="75"/>
      <c r="T2913" s="73"/>
      <c r="X2913" s="189"/>
      <c r="Y2913" s="189"/>
      <c r="Z2913" s="100"/>
      <c r="AC2913" s="84"/>
      <c r="AD2913" s="189"/>
      <c r="AE2913" s="189"/>
      <c r="AF2913" s="189"/>
      <c r="AG2913" s="189"/>
      <c r="AH2913" s="189"/>
      <c r="AP2913" s="238"/>
    </row>
    <row r="2914" spans="3:42" s="45" customFormat="1" x14ac:dyDescent="0.2">
      <c r="C2914" s="189"/>
      <c r="F2914" s="73"/>
      <c r="M2914" s="111"/>
      <c r="N2914" s="73"/>
      <c r="O2914" s="73"/>
      <c r="P2914" s="73"/>
      <c r="Q2914" s="73"/>
      <c r="R2914" s="111"/>
      <c r="S2914" s="75"/>
      <c r="T2914" s="73"/>
      <c r="X2914" s="189"/>
      <c r="Y2914" s="189"/>
      <c r="Z2914" s="100"/>
      <c r="AC2914" s="84"/>
      <c r="AD2914" s="189"/>
      <c r="AE2914" s="189"/>
      <c r="AF2914" s="189"/>
      <c r="AG2914" s="189"/>
      <c r="AH2914" s="189"/>
      <c r="AP2914" s="238"/>
    </row>
    <row r="2915" spans="3:42" s="45" customFormat="1" x14ac:dyDescent="0.2">
      <c r="C2915" s="189"/>
      <c r="F2915" s="73"/>
      <c r="M2915" s="111"/>
      <c r="N2915" s="73"/>
      <c r="O2915" s="73"/>
      <c r="P2915" s="73"/>
      <c r="Q2915" s="73"/>
      <c r="R2915" s="111"/>
      <c r="S2915" s="75"/>
      <c r="T2915" s="73"/>
      <c r="X2915" s="189"/>
      <c r="Y2915" s="189"/>
      <c r="Z2915" s="100"/>
      <c r="AC2915" s="84"/>
      <c r="AD2915" s="189"/>
      <c r="AE2915" s="189"/>
      <c r="AF2915" s="189"/>
      <c r="AG2915" s="189"/>
      <c r="AH2915" s="189"/>
      <c r="AP2915" s="238"/>
    </row>
    <row r="2916" spans="3:42" s="45" customFormat="1" x14ac:dyDescent="0.2">
      <c r="C2916" s="189"/>
      <c r="F2916" s="73"/>
      <c r="M2916" s="111"/>
      <c r="N2916" s="73"/>
      <c r="O2916" s="73"/>
      <c r="P2916" s="73"/>
      <c r="Q2916" s="73"/>
      <c r="R2916" s="111"/>
      <c r="S2916" s="75"/>
      <c r="T2916" s="73"/>
      <c r="X2916" s="189"/>
      <c r="Y2916" s="189"/>
      <c r="Z2916" s="100"/>
      <c r="AC2916" s="84"/>
      <c r="AD2916" s="189"/>
      <c r="AE2916" s="189"/>
      <c r="AF2916" s="189"/>
      <c r="AG2916" s="189"/>
      <c r="AH2916" s="189"/>
      <c r="AP2916" s="238"/>
    </row>
    <row r="2917" spans="3:42" s="45" customFormat="1" x14ac:dyDescent="0.2">
      <c r="C2917" s="189"/>
      <c r="F2917" s="73"/>
      <c r="M2917" s="111"/>
      <c r="N2917" s="73"/>
      <c r="O2917" s="73"/>
      <c r="P2917" s="73"/>
      <c r="Q2917" s="73"/>
      <c r="R2917" s="111"/>
      <c r="S2917" s="75"/>
      <c r="T2917" s="73"/>
      <c r="X2917" s="189"/>
      <c r="Y2917" s="189"/>
      <c r="Z2917" s="100"/>
      <c r="AC2917" s="84"/>
      <c r="AD2917" s="189"/>
      <c r="AE2917" s="189"/>
      <c r="AF2917" s="189"/>
      <c r="AG2917" s="189"/>
      <c r="AH2917" s="189"/>
      <c r="AP2917" s="238"/>
    </row>
    <row r="2918" spans="3:42" s="45" customFormat="1" x14ac:dyDescent="0.2">
      <c r="C2918" s="189"/>
      <c r="F2918" s="73"/>
      <c r="M2918" s="111"/>
      <c r="N2918" s="73"/>
      <c r="O2918" s="73"/>
      <c r="P2918" s="73"/>
      <c r="Q2918" s="73"/>
      <c r="R2918" s="111"/>
      <c r="S2918" s="75"/>
      <c r="T2918" s="73"/>
      <c r="X2918" s="189"/>
      <c r="Y2918" s="189"/>
      <c r="Z2918" s="100"/>
      <c r="AC2918" s="84"/>
      <c r="AD2918" s="189"/>
      <c r="AE2918" s="189"/>
      <c r="AF2918" s="189"/>
      <c r="AG2918" s="189"/>
      <c r="AH2918" s="189"/>
      <c r="AP2918" s="238"/>
    </row>
    <row r="2919" spans="3:42" s="45" customFormat="1" x14ac:dyDescent="0.2">
      <c r="C2919" s="189"/>
      <c r="F2919" s="73"/>
      <c r="M2919" s="111"/>
      <c r="N2919" s="73"/>
      <c r="O2919" s="73"/>
      <c r="P2919" s="73"/>
      <c r="Q2919" s="73"/>
      <c r="R2919" s="111"/>
      <c r="S2919" s="75"/>
      <c r="T2919" s="73"/>
      <c r="X2919" s="189"/>
      <c r="Y2919" s="189"/>
      <c r="Z2919" s="100"/>
      <c r="AC2919" s="84"/>
      <c r="AD2919" s="189"/>
      <c r="AE2919" s="189"/>
      <c r="AF2919" s="189"/>
      <c r="AG2919" s="189"/>
      <c r="AH2919" s="189"/>
      <c r="AP2919" s="238"/>
    </row>
    <row r="2920" spans="3:42" s="45" customFormat="1" x14ac:dyDescent="0.2">
      <c r="C2920" s="189"/>
      <c r="F2920" s="73"/>
      <c r="M2920" s="111"/>
      <c r="N2920" s="73"/>
      <c r="O2920" s="73"/>
      <c r="P2920" s="73"/>
      <c r="Q2920" s="73"/>
      <c r="R2920" s="111"/>
      <c r="S2920" s="75"/>
      <c r="T2920" s="73"/>
      <c r="X2920" s="189"/>
      <c r="Y2920" s="189"/>
      <c r="Z2920" s="100"/>
      <c r="AC2920" s="84"/>
      <c r="AD2920" s="189"/>
      <c r="AE2920" s="189"/>
      <c r="AF2920" s="189"/>
      <c r="AG2920" s="189"/>
      <c r="AH2920" s="189"/>
      <c r="AP2920" s="238"/>
    </row>
    <row r="2921" spans="3:42" s="45" customFormat="1" x14ac:dyDescent="0.2">
      <c r="C2921" s="189"/>
      <c r="F2921" s="73"/>
      <c r="M2921" s="111"/>
      <c r="N2921" s="73"/>
      <c r="O2921" s="73"/>
      <c r="P2921" s="73"/>
      <c r="Q2921" s="73"/>
      <c r="R2921" s="111"/>
      <c r="S2921" s="75"/>
      <c r="T2921" s="73"/>
      <c r="X2921" s="189"/>
      <c r="Y2921" s="189"/>
      <c r="Z2921" s="100"/>
      <c r="AC2921" s="84"/>
      <c r="AD2921" s="189"/>
      <c r="AE2921" s="189"/>
      <c r="AF2921" s="189"/>
      <c r="AG2921" s="189"/>
      <c r="AH2921" s="189"/>
      <c r="AP2921" s="238"/>
    </row>
    <row r="2922" spans="3:42" s="45" customFormat="1" x14ac:dyDescent="0.2">
      <c r="C2922" s="189"/>
      <c r="F2922" s="73"/>
      <c r="M2922" s="111"/>
      <c r="N2922" s="73"/>
      <c r="O2922" s="73"/>
      <c r="P2922" s="73"/>
      <c r="Q2922" s="73"/>
      <c r="R2922" s="111"/>
      <c r="S2922" s="75"/>
      <c r="T2922" s="73"/>
      <c r="X2922" s="189"/>
      <c r="Y2922" s="189"/>
      <c r="Z2922" s="100"/>
      <c r="AC2922" s="84"/>
      <c r="AD2922" s="189"/>
      <c r="AE2922" s="189"/>
      <c r="AF2922" s="189"/>
      <c r="AG2922" s="189"/>
      <c r="AH2922" s="189"/>
      <c r="AP2922" s="238"/>
    </row>
    <row r="2923" spans="3:42" s="45" customFormat="1" x14ac:dyDescent="0.2">
      <c r="C2923" s="189"/>
      <c r="F2923" s="73"/>
      <c r="M2923" s="111"/>
      <c r="N2923" s="73"/>
      <c r="O2923" s="73"/>
      <c r="P2923" s="73"/>
      <c r="Q2923" s="73"/>
      <c r="R2923" s="111"/>
      <c r="S2923" s="75"/>
      <c r="T2923" s="73"/>
      <c r="X2923" s="189"/>
      <c r="Y2923" s="189"/>
      <c r="Z2923" s="100"/>
      <c r="AC2923" s="84"/>
      <c r="AD2923" s="189"/>
      <c r="AE2923" s="189"/>
      <c r="AF2923" s="189"/>
      <c r="AG2923" s="189"/>
      <c r="AH2923" s="189"/>
      <c r="AP2923" s="238"/>
    </row>
    <row r="2924" spans="3:42" s="45" customFormat="1" x14ac:dyDescent="0.2">
      <c r="C2924" s="189"/>
      <c r="F2924" s="73"/>
      <c r="M2924" s="111"/>
      <c r="N2924" s="73"/>
      <c r="O2924" s="73"/>
      <c r="P2924" s="73"/>
      <c r="Q2924" s="73"/>
      <c r="R2924" s="111"/>
      <c r="S2924" s="75"/>
      <c r="T2924" s="73"/>
      <c r="X2924" s="189"/>
      <c r="Y2924" s="189"/>
      <c r="Z2924" s="100"/>
      <c r="AC2924" s="84"/>
      <c r="AD2924" s="189"/>
      <c r="AE2924" s="189"/>
      <c r="AF2924" s="189"/>
      <c r="AG2924" s="189"/>
      <c r="AH2924" s="189"/>
      <c r="AP2924" s="238"/>
    </row>
    <row r="2925" spans="3:42" s="45" customFormat="1" x14ac:dyDescent="0.2">
      <c r="C2925" s="189"/>
      <c r="F2925" s="73"/>
      <c r="M2925" s="111"/>
      <c r="N2925" s="73"/>
      <c r="O2925" s="73"/>
      <c r="P2925" s="73"/>
      <c r="Q2925" s="73"/>
      <c r="R2925" s="111"/>
      <c r="S2925" s="75"/>
      <c r="T2925" s="73"/>
      <c r="X2925" s="189"/>
      <c r="Y2925" s="189"/>
      <c r="Z2925" s="100"/>
      <c r="AC2925" s="84"/>
      <c r="AD2925" s="189"/>
      <c r="AE2925" s="189"/>
      <c r="AF2925" s="189"/>
      <c r="AG2925" s="189"/>
      <c r="AH2925" s="189"/>
      <c r="AP2925" s="238"/>
    </row>
    <row r="2926" spans="3:42" s="45" customFormat="1" x14ac:dyDescent="0.2">
      <c r="C2926" s="189"/>
      <c r="F2926" s="73"/>
      <c r="M2926" s="111"/>
      <c r="N2926" s="73"/>
      <c r="O2926" s="73"/>
      <c r="P2926" s="73"/>
      <c r="Q2926" s="73"/>
      <c r="R2926" s="111"/>
      <c r="S2926" s="75"/>
      <c r="T2926" s="73"/>
      <c r="X2926" s="189"/>
      <c r="Y2926" s="189"/>
      <c r="Z2926" s="100"/>
      <c r="AC2926" s="84"/>
      <c r="AD2926" s="189"/>
      <c r="AE2926" s="189"/>
      <c r="AF2926" s="189"/>
      <c r="AG2926" s="189"/>
      <c r="AH2926" s="189"/>
      <c r="AP2926" s="238"/>
    </row>
    <row r="2927" spans="3:42" s="45" customFormat="1" x14ac:dyDescent="0.2">
      <c r="C2927" s="189"/>
      <c r="F2927" s="73"/>
      <c r="M2927" s="111"/>
      <c r="N2927" s="73"/>
      <c r="O2927" s="73"/>
      <c r="P2927" s="73"/>
      <c r="Q2927" s="73"/>
      <c r="R2927" s="111"/>
      <c r="S2927" s="75"/>
      <c r="T2927" s="73"/>
      <c r="X2927" s="189"/>
      <c r="Y2927" s="189"/>
      <c r="Z2927" s="100"/>
      <c r="AC2927" s="84"/>
      <c r="AD2927" s="189"/>
      <c r="AE2927" s="189"/>
      <c r="AF2927" s="189"/>
      <c r="AG2927" s="189"/>
      <c r="AH2927" s="189"/>
      <c r="AP2927" s="238"/>
    </row>
    <row r="2928" spans="3:42" s="45" customFormat="1" x14ac:dyDescent="0.2">
      <c r="C2928" s="189"/>
      <c r="F2928" s="73"/>
      <c r="M2928" s="111"/>
      <c r="N2928" s="73"/>
      <c r="O2928" s="73"/>
      <c r="P2928" s="73"/>
      <c r="Q2928" s="73"/>
      <c r="R2928" s="111"/>
      <c r="S2928" s="75"/>
      <c r="T2928" s="73"/>
      <c r="X2928" s="189"/>
      <c r="Y2928" s="189"/>
      <c r="Z2928" s="100"/>
      <c r="AC2928" s="84"/>
      <c r="AD2928" s="189"/>
      <c r="AE2928" s="189"/>
      <c r="AF2928" s="189"/>
      <c r="AG2928" s="189"/>
      <c r="AH2928" s="189"/>
      <c r="AP2928" s="238"/>
    </row>
    <row r="2929" spans="3:42" s="45" customFormat="1" x14ac:dyDescent="0.2">
      <c r="C2929" s="189"/>
      <c r="F2929" s="73"/>
      <c r="M2929" s="111"/>
      <c r="N2929" s="73"/>
      <c r="O2929" s="73"/>
      <c r="P2929" s="73"/>
      <c r="Q2929" s="73"/>
      <c r="R2929" s="111"/>
      <c r="S2929" s="75"/>
      <c r="T2929" s="73"/>
      <c r="X2929" s="189"/>
      <c r="Y2929" s="189"/>
      <c r="Z2929" s="100"/>
      <c r="AC2929" s="84"/>
      <c r="AD2929" s="189"/>
      <c r="AE2929" s="189"/>
      <c r="AF2929" s="189"/>
      <c r="AG2929" s="189"/>
      <c r="AH2929" s="189"/>
      <c r="AP2929" s="238"/>
    </row>
    <row r="2930" spans="3:42" s="45" customFormat="1" x14ac:dyDescent="0.2">
      <c r="C2930" s="189"/>
      <c r="F2930" s="73"/>
      <c r="M2930" s="111"/>
      <c r="N2930" s="73"/>
      <c r="O2930" s="73"/>
      <c r="P2930" s="73"/>
      <c r="Q2930" s="73"/>
      <c r="R2930" s="111"/>
      <c r="S2930" s="75"/>
      <c r="T2930" s="73"/>
      <c r="X2930" s="189"/>
      <c r="Y2930" s="189"/>
      <c r="Z2930" s="100"/>
      <c r="AC2930" s="84"/>
      <c r="AD2930" s="189"/>
      <c r="AE2930" s="189"/>
      <c r="AF2930" s="189"/>
      <c r="AG2930" s="189"/>
      <c r="AH2930" s="189"/>
      <c r="AP2930" s="238"/>
    </row>
    <row r="2931" spans="3:42" s="45" customFormat="1" x14ac:dyDescent="0.2">
      <c r="C2931" s="189"/>
      <c r="F2931" s="73"/>
      <c r="M2931" s="111"/>
      <c r="N2931" s="73"/>
      <c r="O2931" s="73"/>
      <c r="P2931" s="73"/>
      <c r="Q2931" s="73"/>
      <c r="R2931" s="111"/>
      <c r="S2931" s="75"/>
      <c r="T2931" s="73"/>
      <c r="X2931" s="189"/>
      <c r="Y2931" s="189"/>
      <c r="Z2931" s="100"/>
      <c r="AC2931" s="84"/>
      <c r="AD2931" s="189"/>
      <c r="AE2931" s="189"/>
      <c r="AF2931" s="189"/>
      <c r="AG2931" s="189"/>
      <c r="AH2931" s="189"/>
      <c r="AP2931" s="238"/>
    </row>
    <row r="2932" spans="3:42" s="45" customFormat="1" x14ac:dyDescent="0.2">
      <c r="C2932" s="189"/>
      <c r="F2932" s="73"/>
      <c r="M2932" s="111"/>
      <c r="N2932" s="73"/>
      <c r="O2932" s="73"/>
      <c r="P2932" s="73"/>
      <c r="Q2932" s="73"/>
      <c r="R2932" s="111"/>
      <c r="S2932" s="75"/>
      <c r="T2932" s="73"/>
      <c r="X2932" s="189"/>
      <c r="Y2932" s="189"/>
      <c r="Z2932" s="100"/>
      <c r="AC2932" s="84"/>
      <c r="AD2932" s="189"/>
      <c r="AE2932" s="189"/>
      <c r="AF2932" s="189"/>
      <c r="AG2932" s="189"/>
      <c r="AH2932" s="189"/>
      <c r="AP2932" s="238"/>
    </row>
    <row r="2933" spans="3:42" s="45" customFormat="1" x14ac:dyDescent="0.2">
      <c r="C2933" s="189"/>
      <c r="F2933" s="73"/>
      <c r="M2933" s="111"/>
      <c r="N2933" s="73"/>
      <c r="O2933" s="73"/>
      <c r="P2933" s="73"/>
      <c r="Q2933" s="73"/>
      <c r="R2933" s="111"/>
      <c r="S2933" s="75"/>
      <c r="T2933" s="73"/>
      <c r="X2933" s="189"/>
      <c r="Y2933" s="189"/>
      <c r="Z2933" s="100"/>
      <c r="AC2933" s="84"/>
      <c r="AD2933" s="189"/>
      <c r="AE2933" s="189"/>
      <c r="AF2933" s="189"/>
      <c r="AG2933" s="189"/>
      <c r="AH2933" s="189"/>
      <c r="AP2933" s="238"/>
    </row>
    <row r="2934" spans="3:42" s="45" customFormat="1" x14ac:dyDescent="0.2">
      <c r="C2934" s="189"/>
      <c r="F2934" s="73"/>
      <c r="M2934" s="111"/>
      <c r="N2934" s="73"/>
      <c r="O2934" s="73"/>
      <c r="P2934" s="73"/>
      <c r="Q2934" s="73"/>
      <c r="R2934" s="111"/>
      <c r="S2934" s="75"/>
      <c r="T2934" s="73"/>
      <c r="X2934" s="189"/>
      <c r="Y2934" s="189"/>
      <c r="Z2934" s="100"/>
      <c r="AC2934" s="84"/>
      <c r="AD2934" s="189"/>
      <c r="AE2934" s="189"/>
      <c r="AF2934" s="189"/>
      <c r="AG2934" s="189"/>
      <c r="AH2934" s="189"/>
      <c r="AP2934" s="238"/>
    </row>
    <row r="2935" spans="3:42" s="45" customFormat="1" x14ac:dyDescent="0.2">
      <c r="C2935" s="189"/>
      <c r="F2935" s="73"/>
      <c r="M2935" s="111"/>
      <c r="N2935" s="73"/>
      <c r="O2935" s="73"/>
      <c r="P2935" s="73"/>
      <c r="Q2935" s="73"/>
      <c r="R2935" s="111"/>
      <c r="S2935" s="75"/>
      <c r="T2935" s="73"/>
      <c r="X2935" s="189"/>
      <c r="Y2935" s="189"/>
      <c r="Z2935" s="100"/>
      <c r="AC2935" s="84"/>
      <c r="AD2935" s="189"/>
      <c r="AE2935" s="189"/>
      <c r="AF2935" s="189"/>
      <c r="AG2935" s="189"/>
      <c r="AH2935" s="189"/>
      <c r="AP2935" s="238"/>
    </row>
    <row r="2936" spans="3:42" s="45" customFormat="1" x14ac:dyDescent="0.2">
      <c r="C2936" s="189"/>
      <c r="F2936" s="73"/>
      <c r="M2936" s="111"/>
      <c r="N2936" s="73"/>
      <c r="O2936" s="73"/>
      <c r="P2936" s="73"/>
      <c r="Q2936" s="73"/>
      <c r="R2936" s="111"/>
      <c r="S2936" s="75"/>
      <c r="T2936" s="73"/>
      <c r="X2936" s="189"/>
      <c r="Y2936" s="189"/>
      <c r="Z2936" s="100"/>
      <c r="AC2936" s="84"/>
      <c r="AD2936" s="189"/>
      <c r="AE2936" s="189"/>
      <c r="AF2936" s="189"/>
      <c r="AG2936" s="189"/>
      <c r="AH2936" s="189"/>
      <c r="AP2936" s="238"/>
    </row>
    <row r="2937" spans="3:42" s="45" customFormat="1" x14ac:dyDescent="0.2">
      <c r="C2937" s="189"/>
      <c r="F2937" s="73"/>
      <c r="M2937" s="111"/>
      <c r="N2937" s="73"/>
      <c r="O2937" s="73"/>
      <c r="P2937" s="73"/>
      <c r="Q2937" s="73"/>
      <c r="R2937" s="111"/>
      <c r="S2937" s="75"/>
      <c r="T2937" s="73"/>
      <c r="X2937" s="189"/>
      <c r="Y2937" s="189"/>
      <c r="Z2937" s="100"/>
      <c r="AC2937" s="84"/>
      <c r="AD2937" s="189"/>
      <c r="AE2937" s="189"/>
      <c r="AF2937" s="189"/>
      <c r="AG2937" s="189"/>
      <c r="AH2937" s="189"/>
      <c r="AP2937" s="238"/>
    </row>
    <row r="2938" spans="3:42" s="45" customFormat="1" x14ac:dyDescent="0.2">
      <c r="C2938" s="189"/>
      <c r="F2938" s="73"/>
      <c r="M2938" s="111"/>
      <c r="N2938" s="73"/>
      <c r="O2938" s="73"/>
      <c r="P2938" s="73"/>
      <c r="Q2938" s="73"/>
      <c r="R2938" s="111"/>
      <c r="S2938" s="75"/>
      <c r="T2938" s="73"/>
      <c r="X2938" s="189"/>
      <c r="Y2938" s="189"/>
      <c r="Z2938" s="100"/>
      <c r="AC2938" s="84"/>
      <c r="AD2938" s="189"/>
      <c r="AE2938" s="189"/>
      <c r="AF2938" s="189"/>
      <c r="AG2938" s="189"/>
      <c r="AH2938" s="189"/>
      <c r="AP2938" s="238"/>
    </row>
    <row r="2939" spans="3:42" s="45" customFormat="1" x14ac:dyDescent="0.2">
      <c r="C2939" s="189"/>
      <c r="F2939" s="73"/>
      <c r="M2939" s="111"/>
      <c r="N2939" s="73"/>
      <c r="O2939" s="73"/>
      <c r="P2939" s="73"/>
      <c r="Q2939" s="73"/>
      <c r="R2939" s="111"/>
      <c r="S2939" s="75"/>
      <c r="T2939" s="73"/>
      <c r="X2939" s="189"/>
      <c r="Y2939" s="189"/>
      <c r="Z2939" s="100"/>
      <c r="AC2939" s="84"/>
      <c r="AD2939" s="189"/>
      <c r="AE2939" s="189"/>
      <c r="AF2939" s="189"/>
      <c r="AG2939" s="189"/>
      <c r="AH2939" s="189"/>
      <c r="AP2939" s="238"/>
    </row>
    <row r="2940" spans="3:42" s="45" customFormat="1" x14ac:dyDescent="0.2">
      <c r="C2940" s="189"/>
      <c r="F2940" s="73"/>
      <c r="M2940" s="111"/>
      <c r="N2940" s="73"/>
      <c r="O2940" s="73"/>
      <c r="P2940" s="73"/>
      <c r="Q2940" s="73"/>
      <c r="R2940" s="111"/>
      <c r="S2940" s="75"/>
      <c r="T2940" s="73"/>
      <c r="X2940" s="189"/>
      <c r="Y2940" s="189"/>
      <c r="Z2940" s="100"/>
      <c r="AC2940" s="84"/>
      <c r="AD2940" s="189"/>
      <c r="AE2940" s="189"/>
      <c r="AF2940" s="189"/>
      <c r="AG2940" s="189"/>
      <c r="AH2940" s="189"/>
      <c r="AP2940" s="238"/>
    </row>
    <row r="2941" spans="3:42" s="45" customFormat="1" x14ac:dyDescent="0.2">
      <c r="C2941" s="189"/>
      <c r="F2941" s="73"/>
      <c r="M2941" s="111"/>
      <c r="N2941" s="73"/>
      <c r="O2941" s="73"/>
      <c r="P2941" s="73"/>
      <c r="Q2941" s="73"/>
      <c r="R2941" s="111"/>
      <c r="S2941" s="75"/>
      <c r="T2941" s="73"/>
      <c r="X2941" s="189"/>
      <c r="Y2941" s="189"/>
      <c r="Z2941" s="100"/>
      <c r="AC2941" s="84"/>
      <c r="AD2941" s="189"/>
      <c r="AE2941" s="189"/>
      <c r="AF2941" s="189"/>
      <c r="AG2941" s="189"/>
      <c r="AH2941" s="189"/>
      <c r="AP2941" s="238"/>
    </row>
    <row r="2942" spans="3:42" s="45" customFormat="1" x14ac:dyDescent="0.2">
      <c r="C2942" s="189"/>
      <c r="F2942" s="73"/>
      <c r="M2942" s="111"/>
      <c r="N2942" s="73"/>
      <c r="O2942" s="73"/>
      <c r="P2942" s="73"/>
      <c r="Q2942" s="73"/>
      <c r="R2942" s="111"/>
      <c r="S2942" s="75"/>
      <c r="T2942" s="73"/>
      <c r="X2942" s="189"/>
      <c r="Y2942" s="189"/>
      <c r="Z2942" s="100"/>
      <c r="AC2942" s="84"/>
      <c r="AD2942" s="189"/>
      <c r="AE2942" s="189"/>
      <c r="AF2942" s="189"/>
      <c r="AG2942" s="189"/>
      <c r="AH2942" s="189"/>
      <c r="AP2942" s="238"/>
    </row>
    <row r="2943" spans="3:42" s="45" customFormat="1" x14ac:dyDescent="0.2">
      <c r="C2943" s="189"/>
      <c r="F2943" s="73"/>
      <c r="M2943" s="111"/>
      <c r="N2943" s="73"/>
      <c r="O2943" s="73"/>
      <c r="P2943" s="73"/>
      <c r="Q2943" s="73"/>
      <c r="R2943" s="111"/>
      <c r="S2943" s="75"/>
      <c r="T2943" s="73"/>
      <c r="X2943" s="189"/>
      <c r="Y2943" s="189"/>
      <c r="Z2943" s="100"/>
      <c r="AC2943" s="84"/>
      <c r="AD2943" s="189"/>
      <c r="AE2943" s="189"/>
      <c r="AF2943" s="189"/>
      <c r="AG2943" s="189"/>
      <c r="AH2943" s="189"/>
      <c r="AP2943" s="238"/>
    </row>
    <row r="2944" spans="3:42" s="45" customFormat="1" x14ac:dyDescent="0.2">
      <c r="C2944" s="189"/>
      <c r="F2944" s="73"/>
      <c r="M2944" s="111"/>
      <c r="N2944" s="73"/>
      <c r="O2944" s="73"/>
      <c r="P2944" s="73"/>
      <c r="Q2944" s="73"/>
      <c r="R2944" s="111"/>
      <c r="S2944" s="75"/>
      <c r="T2944" s="73"/>
      <c r="X2944" s="189"/>
      <c r="Y2944" s="189"/>
      <c r="Z2944" s="100"/>
      <c r="AC2944" s="84"/>
      <c r="AD2944" s="189"/>
      <c r="AE2944" s="189"/>
      <c r="AF2944" s="189"/>
      <c r="AG2944" s="189"/>
      <c r="AH2944" s="189"/>
      <c r="AP2944" s="238"/>
    </row>
    <row r="2945" spans="3:42" s="45" customFormat="1" x14ac:dyDescent="0.2">
      <c r="C2945" s="189"/>
      <c r="F2945" s="73"/>
      <c r="M2945" s="111"/>
      <c r="N2945" s="73"/>
      <c r="O2945" s="73"/>
      <c r="P2945" s="73"/>
      <c r="Q2945" s="73"/>
      <c r="R2945" s="111"/>
      <c r="S2945" s="75"/>
      <c r="T2945" s="73"/>
      <c r="X2945" s="189"/>
      <c r="Y2945" s="189"/>
      <c r="Z2945" s="100"/>
      <c r="AC2945" s="84"/>
      <c r="AD2945" s="189"/>
      <c r="AE2945" s="189"/>
      <c r="AF2945" s="189"/>
      <c r="AG2945" s="189"/>
      <c r="AH2945" s="189"/>
      <c r="AP2945" s="238"/>
    </row>
    <row r="2946" spans="3:42" s="45" customFormat="1" x14ac:dyDescent="0.2">
      <c r="C2946" s="189"/>
      <c r="F2946" s="73"/>
      <c r="M2946" s="111"/>
      <c r="N2946" s="73"/>
      <c r="O2946" s="73"/>
      <c r="P2946" s="73"/>
      <c r="Q2946" s="73"/>
      <c r="R2946" s="111"/>
      <c r="S2946" s="75"/>
      <c r="T2946" s="73"/>
      <c r="X2946" s="189"/>
      <c r="Y2946" s="189"/>
      <c r="Z2946" s="100"/>
      <c r="AC2946" s="84"/>
      <c r="AD2946" s="189"/>
      <c r="AE2946" s="189"/>
      <c r="AF2946" s="189"/>
      <c r="AG2946" s="189"/>
      <c r="AH2946" s="189"/>
      <c r="AP2946" s="238"/>
    </row>
    <row r="2947" spans="3:42" s="45" customFormat="1" x14ac:dyDescent="0.2">
      <c r="C2947" s="189"/>
      <c r="F2947" s="73"/>
      <c r="M2947" s="111"/>
      <c r="N2947" s="73"/>
      <c r="O2947" s="73"/>
      <c r="P2947" s="73"/>
      <c r="Q2947" s="73"/>
      <c r="R2947" s="111"/>
      <c r="S2947" s="75"/>
      <c r="T2947" s="73"/>
      <c r="X2947" s="189"/>
      <c r="Y2947" s="189"/>
      <c r="Z2947" s="100"/>
      <c r="AC2947" s="84"/>
      <c r="AD2947" s="189"/>
      <c r="AE2947" s="189"/>
      <c r="AF2947" s="189"/>
      <c r="AG2947" s="189"/>
      <c r="AH2947" s="189"/>
      <c r="AP2947" s="238"/>
    </row>
    <row r="2948" spans="3:42" s="45" customFormat="1" x14ac:dyDescent="0.2">
      <c r="C2948" s="189"/>
      <c r="F2948" s="73"/>
      <c r="M2948" s="111"/>
      <c r="N2948" s="73"/>
      <c r="O2948" s="73"/>
      <c r="P2948" s="73"/>
      <c r="Q2948" s="73"/>
      <c r="R2948" s="111"/>
      <c r="S2948" s="75"/>
      <c r="T2948" s="73"/>
      <c r="X2948" s="189"/>
      <c r="Y2948" s="189"/>
      <c r="Z2948" s="100"/>
      <c r="AC2948" s="84"/>
      <c r="AD2948" s="189"/>
      <c r="AE2948" s="189"/>
      <c r="AF2948" s="189"/>
      <c r="AG2948" s="189"/>
      <c r="AH2948" s="189"/>
      <c r="AP2948" s="238"/>
    </row>
    <row r="2949" spans="3:42" s="45" customFormat="1" x14ac:dyDescent="0.2">
      <c r="C2949" s="189"/>
      <c r="F2949" s="73"/>
      <c r="M2949" s="111"/>
      <c r="N2949" s="73"/>
      <c r="O2949" s="73"/>
      <c r="P2949" s="73"/>
      <c r="Q2949" s="73"/>
      <c r="R2949" s="111"/>
      <c r="S2949" s="75"/>
      <c r="T2949" s="73"/>
      <c r="X2949" s="189"/>
      <c r="Y2949" s="189"/>
      <c r="Z2949" s="100"/>
      <c r="AC2949" s="84"/>
      <c r="AD2949" s="189"/>
      <c r="AE2949" s="189"/>
      <c r="AF2949" s="189"/>
      <c r="AG2949" s="189"/>
      <c r="AH2949" s="189"/>
      <c r="AP2949" s="238"/>
    </row>
    <row r="2950" spans="3:42" s="45" customFormat="1" x14ac:dyDescent="0.2">
      <c r="C2950" s="189"/>
      <c r="F2950" s="73"/>
      <c r="M2950" s="111"/>
      <c r="N2950" s="73"/>
      <c r="O2950" s="73"/>
      <c r="P2950" s="73"/>
      <c r="Q2950" s="73"/>
      <c r="R2950" s="111"/>
      <c r="S2950" s="75"/>
      <c r="T2950" s="73"/>
      <c r="X2950" s="189"/>
      <c r="Y2950" s="189"/>
      <c r="Z2950" s="100"/>
      <c r="AC2950" s="84"/>
      <c r="AD2950" s="189"/>
      <c r="AE2950" s="189"/>
      <c r="AF2950" s="189"/>
      <c r="AG2950" s="189"/>
      <c r="AH2950" s="189"/>
      <c r="AP2950" s="238"/>
    </row>
    <row r="2951" spans="3:42" s="45" customFormat="1" x14ac:dyDescent="0.2">
      <c r="C2951" s="189"/>
      <c r="F2951" s="73"/>
      <c r="M2951" s="111"/>
      <c r="N2951" s="73"/>
      <c r="O2951" s="73"/>
      <c r="P2951" s="73"/>
      <c r="Q2951" s="73"/>
      <c r="R2951" s="111"/>
      <c r="S2951" s="75"/>
      <c r="T2951" s="73"/>
      <c r="X2951" s="189"/>
      <c r="Y2951" s="189"/>
      <c r="Z2951" s="100"/>
      <c r="AC2951" s="84"/>
      <c r="AD2951" s="189"/>
      <c r="AE2951" s="189"/>
      <c r="AF2951" s="189"/>
      <c r="AG2951" s="189"/>
      <c r="AH2951" s="189"/>
      <c r="AP2951" s="238"/>
    </row>
    <row r="2952" spans="3:42" s="45" customFormat="1" x14ac:dyDescent="0.2">
      <c r="C2952" s="189"/>
      <c r="F2952" s="73"/>
      <c r="M2952" s="111"/>
      <c r="N2952" s="73"/>
      <c r="O2952" s="73"/>
      <c r="P2952" s="73"/>
      <c r="Q2952" s="73"/>
      <c r="R2952" s="111"/>
      <c r="S2952" s="75"/>
      <c r="T2952" s="73"/>
      <c r="X2952" s="189"/>
      <c r="Y2952" s="189"/>
      <c r="Z2952" s="100"/>
      <c r="AC2952" s="84"/>
      <c r="AD2952" s="189"/>
      <c r="AE2952" s="189"/>
      <c r="AF2952" s="189"/>
      <c r="AG2952" s="189"/>
      <c r="AH2952" s="189"/>
      <c r="AP2952" s="238"/>
    </row>
    <row r="2953" spans="3:42" s="45" customFormat="1" x14ac:dyDescent="0.2">
      <c r="C2953" s="189"/>
      <c r="F2953" s="73"/>
      <c r="M2953" s="111"/>
      <c r="N2953" s="73"/>
      <c r="O2953" s="73"/>
      <c r="P2953" s="73"/>
      <c r="Q2953" s="73"/>
      <c r="R2953" s="111"/>
      <c r="S2953" s="75"/>
      <c r="T2953" s="73"/>
      <c r="X2953" s="189"/>
      <c r="Y2953" s="189"/>
      <c r="Z2953" s="100"/>
      <c r="AC2953" s="84"/>
      <c r="AD2953" s="189"/>
      <c r="AE2953" s="189"/>
      <c r="AF2953" s="189"/>
      <c r="AG2953" s="189"/>
      <c r="AH2953" s="189"/>
      <c r="AP2953" s="238"/>
    </row>
    <row r="2954" spans="3:42" s="45" customFormat="1" x14ac:dyDescent="0.2">
      <c r="C2954" s="189"/>
      <c r="F2954" s="73"/>
      <c r="M2954" s="111"/>
      <c r="N2954" s="73"/>
      <c r="O2954" s="73"/>
      <c r="P2954" s="73"/>
      <c r="Q2954" s="73"/>
      <c r="R2954" s="111"/>
      <c r="S2954" s="75"/>
      <c r="T2954" s="73"/>
      <c r="X2954" s="189"/>
      <c r="Y2954" s="189"/>
      <c r="Z2954" s="100"/>
      <c r="AC2954" s="84"/>
      <c r="AD2954" s="189"/>
      <c r="AE2954" s="189"/>
      <c r="AF2954" s="189"/>
      <c r="AG2954" s="189"/>
      <c r="AH2954" s="189"/>
      <c r="AP2954" s="238"/>
    </row>
    <row r="2955" spans="3:42" s="45" customFormat="1" x14ac:dyDescent="0.2">
      <c r="C2955" s="189"/>
      <c r="F2955" s="73"/>
      <c r="M2955" s="111"/>
      <c r="N2955" s="73"/>
      <c r="O2955" s="73"/>
      <c r="P2955" s="73"/>
      <c r="Q2955" s="73"/>
      <c r="R2955" s="111"/>
      <c r="S2955" s="75"/>
      <c r="T2955" s="73"/>
      <c r="X2955" s="189"/>
      <c r="Y2955" s="189"/>
      <c r="Z2955" s="100"/>
      <c r="AC2955" s="84"/>
      <c r="AD2955" s="189"/>
      <c r="AE2955" s="189"/>
      <c r="AF2955" s="189"/>
      <c r="AG2955" s="189"/>
      <c r="AH2955" s="189"/>
      <c r="AP2955" s="238"/>
    </row>
    <row r="2956" spans="3:42" s="45" customFormat="1" x14ac:dyDescent="0.2">
      <c r="C2956" s="189"/>
      <c r="F2956" s="73"/>
      <c r="M2956" s="111"/>
      <c r="N2956" s="73"/>
      <c r="O2956" s="73"/>
      <c r="P2956" s="73"/>
      <c r="Q2956" s="73"/>
      <c r="R2956" s="111"/>
      <c r="S2956" s="75"/>
      <c r="T2956" s="73"/>
      <c r="X2956" s="189"/>
      <c r="Y2956" s="189"/>
      <c r="Z2956" s="100"/>
      <c r="AC2956" s="84"/>
      <c r="AD2956" s="189"/>
      <c r="AE2956" s="189"/>
      <c r="AF2956" s="189"/>
      <c r="AG2956" s="189"/>
      <c r="AH2956" s="189"/>
      <c r="AP2956" s="238"/>
    </row>
    <row r="2957" spans="3:42" s="45" customFormat="1" x14ac:dyDescent="0.2">
      <c r="C2957" s="189"/>
      <c r="F2957" s="73"/>
      <c r="M2957" s="111"/>
      <c r="N2957" s="73"/>
      <c r="O2957" s="73"/>
      <c r="P2957" s="73"/>
      <c r="Q2957" s="73"/>
      <c r="R2957" s="111"/>
      <c r="S2957" s="75"/>
      <c r="T2957" s="73"/>
      <c r="X2957" s="189"/>
      <c r="Y2957" s="189"/>
      <c r="Z2957" s="100"/>
      <c r="AC2957" s="84"/>
      <c r="AD2957" s="189"/>
      <c r="AE2957" s="189"/>
      <c r="AF2957" s="189"/>
      <c r="AG2957" s="189"/>
      <c r="AH2957" s="189"/>
      <c r="AP2957" s="238"/>
    </row>
    <row r="2958" spans="3:42" s="45" customFormat="1" x14ac:dyDescent="0.2">
      <c r="C2958" s="189"/>
      <c r="F2958" s="73"/>
      <c r="M2958" s="111"/>
      <c r="N2958" s="73"/>
      <c r="O2958" s="73"/>
      <c r="P2958" s="73"/>
      <c r="Q2958" s="73"/>
      <c r="R2958" s="111"/>
      <c r="S2958" s="75"/>
      <c r="T2958" s="73"/>
      <c r="X2958" s="189"/>
      <c r="Y2958" s="189"/>
      <c r="Z2958" s="100"/>
      <c r="AC2958" s="84"/>
      <c r="AD2958" s="189"/>
      <c r="AE2958" s="189"/>
      <c r="AF2958" s="189"/>
      <c r="AG2958" s="189"/>
      <c r="AH2958" s="189"/>
      <c r="AP2958" s="238"/>
    </row>
    <row r="2959" spans="3:42" s="45" customFormat="1" x14ac:dyDescent="0.2">
      <c r="C2959" s="189"/>
      <c r="F2959" s="73"/>
      <c r="M2959" s="111"/>
      <c r="N2959" s="73"/>
      <c r="O2959" s="73"/>
      <c r="P2959" s="73"/>
      <c r="Q2959" s="73"/>
      <c r="R2959" s="111"/>
      <c r="S2959" s="75"/>
      <c r="T2959" s="73"/>
      <c r="X2959" s="189"/>
      <c r="Y2959" s="189"/>
      <c r="Z2959" s="100"/>
      <c r="AC2959" s="84"/>
      <c r="AD2959" s="189"/>
      <c r="AE2959" s="189"/>
      <c r="AF2959" s="189"/>
      <c r="AG2959" s="189"/>
      <c r="AH2959" s="189"/>
      <c r="AP2959" s="238"/>
    </row>
    <row r="2960" spans="3:42" s="45" customFormat="1" x14ac:dyDescent="0.2">
      <c r="C2960" s="189"/>
      <c r="F2960" s="73"/>
      <c r="M2960" s="111"/>
      <c r="N2960" s="73"/>
      <c r="O2960" s="73"/>
      <c r="P2960" s="73"/>
      <c r="Q2960" s="73"/>
      <c r="R2960" s="111"/>
      <c r="S2960" s="75"/>
      <c r="T2960" s="73"/>
      <c r="X2960" s="189"/>
      <c r="Y2960" s="189"/>
      <c r="Z2960" s="100"/>
      <c r="AC2960" s="84"/>
      <c r="AD2960" s="189"/>
      <c r="AE2960" s="189"/>
      <c r="AF2960" s="189"/>
      <c r="AG2960" s="189"/>
      <c r="AH2960" s="189"/>
      <c r="AP2960" s="238"/>
    </row>
    <row r="2961" spans="3:42" s="45" customFormat="1" x14ac:dyDescent="0.2">
      <c r="C2961" s="189"/>
      <c r="F2961" s="73"/>
      <c r="M2961" s="111"/>
      <c r="N2961" s="73"/>
      <c r="O2961" s="73"/>
      <c r="P2961" s="73"/>
      <c r="Q2961" s="73"/>
      <c r="R2961" s="111"/>
      <c r="S2961" s="75"/>
      <c r="T2961" s="73"/>
      <c r="X2961" s="189"/>
      <c r="Y2961" s="189"/>
      <c r="Z2961" s="100"/>
      <c r="AC2961" s="84"/>
      <c r="AD2961" s="189"/>
      <c r="AE2961" s="189"/>
      <c r="AF2961" s="189"/>
      <c r="AG2961" s="189"/>
      <c r="AH2961" s="189"/>
      <c r="AP2961" s="238"/>
    </row>
    <row r="2962" spans="3:42" s="45" customFormat="1" x14ac:dyDescent="0.2">
      <c r="C2962" s="189"/>
      <c r="F2962" s="73"/>
      <c r="M2962" s="111"/>
      <c r="N2962" s="73"/>
      <c r="O2962" s="73"/>
      <c r="P2962" s="73"/>
      <c r="Q2962" s="73"/>
      <c r="R2962" s="111"/>
      <c r="S2962" s="75"/>
      <c r="T2962" s="73"/>
      <c r="X2962" s="189"/>
      <c r="Y2962" s="189"/>
      <c r="Z2962" s="100"/>
      <c r="AC2962" s="84"/>
      <c r="AD2962" s="189"/>
      <c r="AE2962" s="189"/>
      <c r="AF2962" s="189"/>
      <c r="AG2962" s="189"/>
      <c r="AH2962" s="189"/>
      <c r="AP2962" s="238"/>
    </row>
    <row r="2963" spans="3:42" s="45" customFormat="1" x14ac:dyDescent="0.2">
      <c r="C2963" s="189"/>
      <c r="F2963" s="73"/>
      <c r="M2963" s="111"/>
      <c r="N2963" s="73"/>
      <c r="O2963" s="73"/>
      <c r="P2963" s="73"/>
      <c r="Q2963" s="73"/>
      <c r="R2963" s="111"/>
      <c r="S2963" s="75"/>
      <c r="T2963" s="73"/>
      <c r="X2963" s="189"/>
      <c r="Y2963" s="189"/>
      <c r="Z2963" s="100"/>
      <c r="AC2963" s="84"/>
      <c r="AD2963" s="189"/>
      <c r="AE2963" s="189"/>
      <c r="AF2963" s="189"/>
      <c r="AG2963" s="189"/>
      <c r="AH2963" s="189"/>
      <c r="AP2963" s="238"/>
    </row>
    <row r="2964" spans="3:42" s="45" customFormat="1" x14ac:dyDescent="0.2">
      <c r="C2964" s="189"/>
      <c r="F2964" s="73"/>
      <c r="M2964" s="111"/>
      <c r="N2964" s="73"/>
      <c r="O2964" s="73"/>
      <c r="P2964" s="73"/>
      <c r="Q2964" s="73"/>
      <c r="R2964" s="111"/>
      <c r="S2964" s="75"/>
      <c r="T2964" s="73"/>
      <c r="X2964" s="189"/>
      <c r="Y2964" s="189"/>
      <c r="Z2964" s="100"/>
      <c r="AC2964" s="84"/>
      <c r="AD2964" s="189"/>
      <c r="AE2964" s="189"/>
      <c r="AF2964" s="189"/>
      <c r="AG2964" s="189"/>
      <c r="AH2964" s="189"/>
      <c r="AP2964" s="238"/>
    </row>
    <row r="2965" spans="3:42" s="45" customFormat="1" x14ac:dyDescent="0.2">
      <c r="C2965" s="189"/>
      <c r="F2965" s="73"/>
      <c r="M2965" s="111"/>
      <c r="N2965" s="73"/>
      <c r="O2965" s="73"/>
      <c r="P2965" s="73"/>
      <c r="Q2965" s="73"/>
      <c r="R2965" s="111"/>
      <c r="S2965" s="75"/>
      <c r="T2965" s="73"/>
      <c r="X2965" s="189"/>
      <c r="Y2965" s="189"/>
      <c r="Z2965" s="100"/>
      <c r="AC2965" s="84"/>
      <c r="AD2965" s="189"/>
      <c r="AE2965" s="189"/>
      <c r="AF2965" s="189"/>
      <c r="AG2965" s="189"/>
      <c r="AH2965" s="189"/>
      <c r="AP2965" s="238"/>
    </row>
    <row r="2966" spans="3:42" s="45" customFormat="1" x14ac:dyDescent="0.2">
      <c r="C2966" s="189"/>
      <c r="F2966" s="73"/>
      <c r="M2966" s="111"/>
      <c r="N2966" s="73"/>
      <c r="O2966" s="73"/>
      <c r="P2966" s="73"/>
      <c r="Q2966" s="73"/>
      <c r="R2966" s="111"/>
      <c r="S2966" s="75"/>
      <c r="T2966" s="73"/>
      <c r="X2966" s="189"/>
      <c r="Y2966" s="189"/>
      <c r="Z2966" s="100"/>
      <c r="AC2966" s="84"/>
      <c r="AD2966" s="189"/>
      <c r="AE2966" s="189"/>
      <c r="AF2966" s="189"/>
      <c r="AG2966" s="189"/>
      <c r="AH2966" s="189"/>
      <c r="AP2966" s="238"/>
    </row>
    <row r="2967" spans="3:42" s="45" customFormat="1" x14ac:dyDescent="0.2">
      <c r="C2967" s="189"/>
      <c r="F2967" s="73"/>
      <c r="M2967" s="111"/>
      <c r="N2967" s="73"/>
      <c r="O2967" s="73"/>
      <c r="P2967" s="73"/>
      <c r="Q2967" s="73"/>
      <c r="R2967" s="111"/>
      <c r="S2967" s="75"/>
      <c r="T2967" s="73"/>
      <c r="X2967" s="189"/>
      <c r="Y2967" s="189"/>
      <c r="Z2967" s="100"/>
      <c r="AC2967" s="84"/>
      <c r="AD2967" s="189"/>
      <c r="AE2967" s="189"/>
      <c r="AF2967" s="189"/>
      <c r="AG2967" s="189"/>
      <c r="AH2967" s="189"/>
      <c r="AP2967" s="238"/>
    </row>
    <row r="2968" spans="3:42" s="45" customFormat="1" x14ac:dyDescent="0.2">
      <c r="C2968" s="189"/>
      <c r="F2968" s="73"/>
      <c r="M2968" s="111"/>
      <c r="N2968" s="73"/>
      <c r="O2968" s="73"/>
      <c r="P2968" s="73"/>
      <c r="Q2968" s="73"/>
      <c r="R2968" s="111"/>
      <c r="S2968" s="75"/>
      <c r="T2968" s="73"/>
      <c r="X2968" s="189"/>
      <c r="Y2968" s="189"/>
      <c r="Z2968" s="100"/>
      <c r="AC2968" s="84"/>
      <c r="AD2968" s="189"/>
      <c r="AE2968" s="189"/>
      <c r="AF2968" s="189"/>
      <c r="AG2968" s="189"/>
      <c r="AH2968" s="189"/>
      <c r="AP2968" s="238"/>
    </row>
    <row r="2969" spans="3:42" s="45" customFormat="1" x14ac:dyDescent="0.2">
      <c r="C2969" s="189"/>
      <c r="F2969" s="73"/>
      <c r="M2969" s="111"/>
      <c r="N2969" s="73"/>
      <c r="O2969" s="73"/>
      <c r="P2969" s="73"/>
      <c r="Q2969" s="73"/>
      <c r="R2969" s="111"/>
      <c r="S2969" s="75"/>
      <c r="T2969" s="73"/>
      <c r="X2969" s="189"/>
      <c r="Y2969" s="189"/>
      <c r="Z2969" s="100"/>
      <c r="AC2969" s="84"/>
      <c r="AD2969" s="189"/>
      <c r="AE2969" s="189"/>
      <c r="AF2969" s="189"/>
      <c r="AG2969" s="189"/>
      <c r="AH2969" s="189"/>
      <c r="AP2969" s="238"/>
    </row>
    <row r="2970" spans="3:42" s="45" customFormat="1" x14ac:dyDescent="0.2">
      <c r="C2970" s="189"/>
      <c r="F2970" s="73"/>
      <c r="M2970" s="111"/>
      <c r="N2970" s="73"/>
      <c r="O2970" s="73"/>
      <c r="P2970" s="73"/>
      <c r="Q2970" s="73"/>
      <c r="R2970" s="111"/>
      <c r="S2970" s="75"/>
      <c r="T2970" s="73"/>
      <c r="X2970" s="189"/>
      <c r="Y2970" s="189"/>
      <c r="Z2970" s="100"/>
      <c r="AC2970" s="84"/>
      <c r="AD2970" s="189"/>
      <c r="AE2970" s="189"/>
      <c r="AF2970" s="189"/>
      <c r="AG2970" s="189"/>
      <c r="AH2970" s="189"/>
      <c r="AP2970" s="238"/>
    </row>
    <row r="2971" spans="3:42" s="45" customFormat="1" x14ac:dyDescent="0.2">
      <c r="C2971" s="189"/>
      <c r="F2971" s="73"/>
      <c r="M2971" s="111"/>
      <c r="N2971" s="73"/>
      <c r="O2971" s="73"/>
      <c r="P2971" s="73"/>
      <c r="Q2971" s="73"/>
      <c r="R2971" s="111"/>
      <c r="S2971" s="75"/>
      <c r="T2971" s="73"/>
      <c r="X2971" s="189"/>
      <c r="Y2971" s="189"/>
      <c r="Z2971" s="100"/>
      <c r="AC2971" s="84"/>
      <c r="AD2971" s="189"/>
      <c r="AE2971" s="189"/>
      <c r="AF2971" s="189"/>
      <c r="AG2971" s="189"/>
      <c r="AH2971" s="189"/>
      <c r="AP2971" s="238"/>
    </row>
    <row r="2972" spans="3:42" s="45" customFormat="1" x14ac:dyDescent="0.2">
      <c r="C2972" s="189"/>
      <c r="F2972" s="73"/>
      <c r="M2972" s="111"/>
      <c r="N2972" s="73"/>
      <c r="O2972" s="73"/>
      <c r="P2972" s="73"/>
      <c r="Q2972" s="73"/>
      <c r="R2972" s="111"/>
      <c r="S2972" s="75"/>
      <c r="T2972" s="73"/>
      <c r="X2972" s="189"/>
      <c r="Y2972" s="189"/>
      <c r="Z2972" s="100"/>
      <c r="AC2972" s="84"/>
      <c r="AD2972" s="189"/>
      <c r="AE2972" s="189"/>
      <c r="AF2972" s="189"/>
      <c r="AG2972" s="189"/>
      <c r="AH2972" s="189"/>
      <c r="AP2972" s="238"/>
    </row>
    <row r="2973" spans="3:42" s="45" customFormat="1" x14ac:dyDescent="0.2">
      <c r="C2973" s="189"/>
      <c r="F2973" s="73"/>
      <c r="M2973" s="111"/>
      <c r="N2973" s="73"/>
      <c r="O2973" s="73"/>
      <c r="P2973" s="73"/>
      <c r="Q2973" s="73"/>
      <c r="R2973" s="111"/>
      <c r="S2973" s="75"/>
      <c r="T2973" s="73"/>
      <c r="X2973" s="189"/>
      <c r="Y2973" s="189"/>
      <c r="Z2973" s="100"/>
      <c r="AC2973" s="84"/>
      <c r="AD2973" s="189"/>
      <c r="AE2973" s="189"/>
      <c r="AF2973" s="189"/>
      <c r="AG2973" s="189"/>
      <c r="AH2973" s="189"/>
      <c r="AP2973" s="238"/>
    </row>
    <row r="2974" spans="3:42" s="45" customFormat="1" x14ac:dyDescent="0.2">
      <c r="C2974" s="189"/>
      <c r="F2974" s="73"/>
      <c r="M2974" s="111"/>
      <c r="N2974" s="73"/>
      <c r="O2974" s="73"/>
      <c r="P2974" s="73"/>
      <c r="Q2974" s="73"/>
      <c r="R2974" s="111"/>
      <c r="S2974" s="75"/>
      <c r="T2974" s="73"/>
      <c r="X2974" s="189"/>
      <c r="Y2974" s="189"/>
      <c r="Z2974" s="100"/>
      <c r="AC2974" s="84"/>
      <c r="AD2974" s="189"/>
      <c r="AE2974" s="189"/>
      <c r="AF2974" s="189"/>
      <c r="AG2974" s="189"/>
      <c r="AH2974" s="189"/>
      <c r="AP2974" s="238"/>
    </row>
    <row r="2975" spans="3:42" s="45" customFormat="1" x14ac:dyDescent="0.2">
      <c r="C2975" s="189"/>
      <c r="F2975" s="73"/>
      <c r="M2975" s="111"/>
      <c r="N2975" s="73"/>
      <c r="O2975" s="73"/>
      <c r="P2975" s="73"/>
      <c r="Q2975" s="73"/>
      <c r="R2975" s="111"/>
      <c r="S2975" s="75"/>
      <c r="T2975" s="73"/>
      <c r="X2975" s="189"/>
      <c r="Y2975" s="189"/>
      <c r="Z2975" s="100"/>
      <c r="AC2975" s="84"/>
      <c r="AD2975" s="189"/>
      <c r="AE2975" s="189"/>
      <c r="AF2975" s="189"/>
      <c r="AG2975" s="189"/>
      <c r="AH2975" s="189"/>
      <c r="AP2975" s="238"/>
    </row>
    <row r="2976" spans="3:42" s="45" customFormat="1" x14ac:dyDescent="0.2">
      <c r="C2976" s="189"/>
      <c r="F2976" s="73"/>
      <c r="M2976" s="111"/>
      <c r="N2976" s="73"/>
      <c r="O2976" s="73"/>
      <c r="P2976" s="73"/>
      <c r="Q2976" s="73"/>
      <c r="R2976" s="111"/>
      <c r="S2976" s="75"/>
      <c r="T2976" s="73"/>
      <c r="X2976" s="189"/>
      <c r="Y2976" s="189"/>
      <c r="Z2976" s="100"/>
      <c r="AC2976" s="84"/>
      <c r="AD2976" s="189"/>
      <c r="AE2976" s="189"/>
      <c r="AF2976" s="189"/>
      <c r="AG2976" s="189"/>
      <c r="AH2976" s="189"/>
      <c r="AP2976" s="238"/>
    </row>
    <row r="2977" spans="3:42" s="45" customFormat="1" x14ac:dyDescent="0.2">
      <c r="C2977" s="189"/>
      <c r="F2977" s="73"/>
      <c r="M2977" s="111"/>
      <c r="N2977" s="73"/>
      <c r="O2977" s="73"/>
      <c r="P2977" s="73"/>
      <c r="Q2977" s="73"/>
      <c r="R2977" s="111"/>
      <c r="S2977" s="75"/>
      <c r="T2977" s="73"/>
      <c r="X2977" s="189"/>
      <c r="Y2977" s="189"/>
      <c r="Z2977" s="100"/>
      <c r="AC2977" s="84"/>
      <c r="AD2977" s="189"/>
      <c r="AE2977" s="189"/>
      <c r="AF2977" s="189"/>
      <c r="AG2977" s="189"/>
      <c r="AH2977" s="189"/>
      <c r="AP2977" s="238"/>
    </row>
    <row r="2978" spans="3:42" s="45" customFormat="1" x14ac:dyDescent="0.2">
      <c r="C2978" s="189"/>
      <c r="F2978" s="73"/>
      <c r="M2978" s="111"/>
      <c r="N2978" s="73"/>
      <c r="O2978" s="73"/>
      <c r="P2978" s="73"/>
      <c r="Q2978" s="73"/>
      <c r="R2978" s="111"/>
      <c r="S2978" s="75"/>
      <c r="T2978" s="73"/>
      <c r="X2978" s="189"/>
      <c r="Y2978" s="189"/>
      <c r="Z2978" s="100"/>
      <c r="AC2978" s="84"/>
      <c r="AD2978" s="189"/>
      <c r="AE2978" s="189"/>
      <c r="AF2978" s="189"/>
      <c r="AG2978" s="189"/>
      <c r="AH2978" s="189"/>
      <c r="AP2978" s="238"/>
    </row>
    <row r="2979" spans="3:42" s="45" customFormat="1" x14ac:dyDescent="0.2">
      <c r="C2979" s="189"/>
      <c r="F2979" s="73"/>
      <c r="M2979" s="111"/>
      <c r="N2979" s="73"/>
      <c r="O2979" s="73"/>
      <c r="P2979" s="73"/>
      <c r="Q2979" s="73"/>
      <c r="R2979" s="111"/>
      <c r="S2979" s="75"/>
      <c r="T2979" s="73"/>
      <c r="X2979" s="189"/>
      <c r="Y2979" s="189"/>
      <c r="Z2979" s="100"/>
      <c r="AC2979" s="84"/>
      <c r="AD2979" s="189"/>
      <c r="AE2979" s="189"/>
      <c r="AF2979" s="189"/>
      <c r="AG2979" s="189"/>
      <c r="AH2979" s="189"/>
      <c r="AP2979" s="238"/>
    </row>
    <row r="2980" spans="3:42" s="45" customFormat="1" x14ac:dyDescent="0.2">
      <c r="C2980" s="189"/>
      <c r="F2980" s="73"/>
      <c r="M2980" s="111"/>
      <c r="N2980" s="73"/>
      <c r="O2980" s="73"/>
      <c r="P2980" s="73"/>
      <c r="Q2980" s="73"/>
      <c r="R2980" s="111"/>
      <c r="S2980" s="75"/>
      <c r="T2980" s="73"/>
      <c r="X2980" s="189"/>
      <c r="Y2980" s="189"/>
      <c r="Z2980" s="100"/>
      <c r="AC2980" s="84"/>
      <c r="AD2980" s="189"/>
      <c r="AE2980" s="189"/>
      <c r="AF2980" s="189"/>
      <c r="AG2980" s="189"/>
      <c r="AH2980" s="189"/>
      <c r="AP2980" s="238"/>
    </row>
    <row r="2981" spans="3:42" s="45" customFormat="1" x14ac:dyDescent="0.2">
      <c r="C2981" s="189"/>
      <c r="F2981" s="73"/>
      <c r="M2981" s="111"/>
      <c r="N2981" s="73"/>
      <c r="O2981" s="73"/>
      <c r="P2981" s="73"/>
      <c r="Q2981" s="73"/>
      <c r="R2981" s="111"/>
      <c r="S2981" s="75"/>
      <c r="T2981" s="73"/>
      <c r="X2981" s="189"/>
      <c r="Y2981" s="189"/>
      <c r="Z2981" s="100"/>
      <c r="AC2981" s="84"/>
      <c r="AD2981" s="189"/>
      <c r="AE2981" s="189"/>
      <c r="AF2981" s="189"/>
      <c r="AG2981" s="189"/>
      <c r="AH2981" s="189"/>
      <c r="AP2981" s="238"/>
    </row>
    <row r="2982" spans="3:42" s="45" customFormat="1" x14ac:dyDescent="0.2">
      <c r="C2982" s="189"/>
      <c r="F2982" s="73"/>
      <c r="M2982" s="111"/>
      <c r="N2982" s="73"/>
      <c r="O2982" s="73"/>
      <c r="P2982" s="73"/>
      <c r="Q2982" s="73"/>
      <c r="R2982" s="111"/>
      <c r="S2982" s="75"/>
      <c r="T2982" s="73"/>
      <c r="X2982" s="189"/>
      <c r="Y2982" s="189"/>
      <c r="Z2982" s="100"/>
      <c r="AC2982" s="84"/>
      <c r="AD2982" s="189"/>
      <c r="AE2982" s="189"/>
      <c r="AF2982" s="189"/>
      <c r="AG2982" s="189"/>
      <c r="AH2982" s="189"/>
      <c r="AP2982" s="238"/>
    </row>
    <row r="2983" spans="3:42" s="45" customFormat="1" x14ac:dyDescent="0.2">
      <c r="C2983" s="189"/>
      <c r="F2983" s="73"/>
      <c r="M2983" s="111"/>
      <c r="N2983" s="73"/>
      <c r="O2983" s="73"/>
      <c r="P2983" s="73"/>
      <c r="Q2983" s="73"/>
      <c r="R2983" s="111"/>
      <c r="S2983" s="75"/>
      <c r="T2983" s="73"/>
      <c r="X2983" s="189"/>
      <c r="Y2983" s="189"/>
      <c r="Z2983" s="100"/>
      <c r="AC2983" s="84"/>
      <c r="AD2983" s="189"/>
      <c r="AE2983" s="189"/>
      <c r="AF2983" s="189"/>
      <c r="AG2983" s="189"/>
      <c r="AH2983" s="189"/>
      <c r="AP2983" s="238"/>
    </row>
    <row r="2984" spans="3:42" s="45" customFormat="1" x14ac:dyDescent="0.2">
      <c r="C2984" s="189"/>
      <c r="F2984" s="73"/>
      <c r="M2984" s="111"/>
      <c r="N2984" s="73"/>
      <c r="O2984" s="73"/>
      <c r="P2984" s="73"/>
      <c r="Q2984" s="73"/>
      <c r="R2984" s="111"/>
      <c r="S2984" s="75"/>
      <c r="T2984" s="73"/>
      <c r="X2984" s="189"/>
      <c r="Y2984" s="189"/>
      <c r="Z2984" s="100"/>
      <c r="AC2984" s="84"/>
      <c r="AD2984" s="189"/>
      <c r="AE2984" s="189"/>
      <c r="AF2984" s="189"/>
      <c r="AG2984" s="189"/>
      <c r="AH2984" s="189"/>
      <c r="AP2984" s="238"/>
    </row>
    <row r="2985" spans="3:42" s="45" customFormat="1" x14ac:dyDescent="0.2">
      <c r="C2985" s="189"/>
      <c r="F2985" s="73"/>
      <c r="M2985" s="111"/>
      <c r="N2985" s="73"/>
      <c r="O2985" s="73"/>
      <c r="P2985" s="73"/>
      <c r="Q2985" s="73"/>
      <c r="R2985" s="111"/>
      <c r="S2985" s="75"/>
      <c r="T2985" s="73"/>
      <c r="X2985" s="189"/>
      <c r="Y2985" s="189"/>
      <c r="Z2985" s="100"/>
      <c r="AC2985" s="84"/>
      <c r="AD2985" s="189"/>
      <c r="AE2985" s="189"/>
      <c r="AF2985" s="189"/>
      <c r="AG2985" s="189"/>
      <c r="AH2985" s="189"/>
      <c r="AP2985" s="238"/>
    </row>
    <row r="2986" spans="3:42" s="45" customFormat="1" x14ac:dyDescent="0.2">
      <c r="C2986" s="189"/>
      <c r="F2986" s="73"/>
      <c r="M2986" s="111"/>
      <c r="N2986" s="73"/>
      <c r="O2986" s="73"/>
      <c r="P2986" s="73"/>
      <c r="Q2986" s="73"/>
      <c r="R2986" s="111"/>
      <c r="S2986" s="75"/>
      <c r="T2986" s="73"/>
      <c r="X2986" s="189"/>
      <c r="Y2986" s="189"/>
      <c r="Z2986" s="100"/>
      <c r="AC2986" s="84"/>
      <c r="AD2986" s="189"/>
      <c r="AE2986" s="189"/>
      <c r="AF2986" s="189"/>
      <c r="AG2986" s="189"/>
      <c r="AH2986" s="189"/>
      <c r="AP2986" s="238"/>
    </row>
    <row r="2987" spans="3:42" s="45" customFormat="1" x14ac:dyDescent="0.2">
      <c r="C2987" s="189"/>
      <c r="F2987" s="73"/>
      <c r="M2987" s="111"/>
      <c r="N2987" s="73"/>
      <c r="O2987" s="73"/>
      <c r="P2987" s="73"/>
      <c r="Q2987" s="73"/>
      <c r="R2987" s="111"/>
      <c r="S2987" s="75"/>
      <c r="T2987" s="73"/>
      <c r="X2987" s="189"/>
      <c r="Y2987" s="189"/>
      <c r="Z2987" s="100"/>
      <c r="AC2987" s="84"/>
      <c r="AD2987" s="189"/>
      <c r="AE2987" s="189"/>
      <c r="AF2987" s="189"/>
      <c r="AG2987" s="189"/>
      <c r="AH2987" s="189"/>
      <c r="AP2987" s="238"/>
    </row>
    <row r="2988" spans="3:42" s="45" customFormat="1" x14ac:dyDescent="0.2">
      <c r="C2988" s="189"/>
      <c r="F2988" s="73"/>
      <c r="M2988" s="111"/>
      <c r="N2988" s="73"/>
      <c r="O2988" s="73"/>
      <c r="P2988" s="73"/>
      <c r="Q2988" s="73"/>
      <c r="R2988" s="111"/>
      <c r="S2988" s="75"/>
      <c r="T2988" s="73"/>
      <c r="X2988" s="189"/>
      <c r="Y2988" s="189"/>
      <c r="Z2988" s="100"/>
      <c r="AC2988" s="84"/>
      <c r="AD2988" s="189"/>
      <c r="AE2988" s="189"/>
      <c r="AF2988" s="189"/>
      <c r="AG2988" s="189"/>
      <c r="AH2988" s="189"/>
      <c r="AP2988" s="238"/>
    </row>
    <row r="2989" spans="3:42" s="45" customFormat="1" x14ac:dyDescent="0.2">
      <c r="C2989" s="189"/>
      <c r="F2989" s="73"/>
      <c r="M2989" s="111"/>
      <c r="N2989" s="73"/>
      <c r="O2989" s="73"/>
      <c r="P2989" s="73"/>
      <c r="Q2989" s="73"/>
      <c r="R2989" s="111"/>
      <c r="S2989" s="75"/>
      <c r="T2989" s="73"/>
      <c r="X2989" s="189"/>
      <c r="Y2989" s="189"/>
      <c r="Z2989" s="100"/>
      <c r="AC2989" s="84"/>
      <c r="AD2989" s="189"/>
      <c r="AE2989" s="189"/>
      <c r="AF2989" s="189"/>
      <c r="AG2989" s="189"/>
      <c r="AH2989" s="189"/>
      <c r="AP2989" s="238"/>
    </row>
    <row r="2990" spans="3:42" s="45" customFormat="1" x14ac:dyDescent="0.2">
      <c r="C2990" s="189"/>
      <c r="F2990" s="73"/>
      <c r="M2990" s="111"/>
      <c r="N2990" s="73"/>
      <c r="O2990" s="73"/>
      <c r="P2990" s="73"/>
      <c r="Q2990" s="73"/>
      <c r="R2990" s="111"/>
      <c r="S2990" s="75"/>
      <c r="T2990" s="73"/>
      <c r="X2990" s="189"/>
      <c r="Y2990" s="189"/>
      <c r="Z2990" s="100"/>
      <c r="AC2990" s="84"/>
      <c r="AD2990" s="189"/>
      <c r="AE2990" s="189"/>
      <c r="AF2990" s="189"/>
      <c r="AG2990" s="189"/>
      <c r="AH2990" s="189"/>
      <c r="AP2990" s="238"/>
    </row>
    <row r="2991" spans="3:42" s="45" customFormat="1" x14ac:dyDescent="0.2">
      <c r="C2991" s="189"/>
      <c r="F2991" s="73"/>
      <c r="M2991" s="111"/>
      <c r="N2991" s="73"/>
      <c r="O2991" s="73"/>
      <c r="P2991" s="73"/>
      <c r="Q2991" s="73"/>
      <c r="R2991" s="111"/>
      <c r="S2991" s="75"/>
      <c r="T2991" s="73"/>
      <c r="X2991" s="189"/>
      <c r="Y2991" s="189"/>
      <c r="Z2991" s="100"/>
      <c r="AC2991" s="84"/>
      <c r="AD2991" s="189"/>
      <c r="AE2991" s="189"/>
      <c r="AF2991" s="189"/>
      <c r="AG2991" s="189"/>
      <c r="AH2991" s="189"/>
      <c r="AP2991" s="238"/>
    </row>
    <row r="2992" spans="3:42" s="45" customFormat="1" x14ac:dyDescent="0.2">
      <c r="C2992" s="189"/>
      <c r="F2992" s="73"/>
      <c r="M2992" s="111"/>
      <c r="N2992" s="73"/>
      <c r="O2992" s="73"/>
      <c r="P2992" s="73"/>
      <c r="Q2992" s="73"/>
      <c r="R2992" s="111"/>
      <c r="S2992" s="75"/>
      <c r="T2992" s="73"/>
      <c r="X2992" s="189"/>
      <c r="Y2992" s="189"/>
      <c r="Z2992" s="100"/>
      <c r="AC2992" s="84"/>
      <c r="AD2992" s="189"/>
      <c r="AE2992" s="189"/>
      <c r="AF2992" s="189"/>
      <c r="AG2992" s="189"/>
      <c r="AH2992" s="189"/>
      <c r="AP2992" s="238"/>
    </row>
    <row r="2993" spans="3:42" s="45" customFormat="1" x14ac:dyDescent="0.2">
      <c r="C2993" s="189"/>
      <c r="F2993" s="73"/>
      <c r="M2993" s="111"/>
      <c r="N2993" s="73"/>
      <c r="O2993" s="73"/>
      <c r="P2993" s="73"/>
      <c r="Q2993" s="73"/>
      <c r="R2993" s="111"/>
      <c r="S2993" s="75"/>
      <c r="T2993" s="73"/>
      <c r="X2993" s="189"/>
      <c r="Y2993" s="189"/>
      <c r="Z2993" s="100"/>
      <c r="AC2993" s="84"/>
      <c r="AD2993" s="189"/>
      <c r="AE2993" s="189"/>
      <c r="AF2993" s="189"/>
      <c r="AG2993" s="189"/>
      <c r="AH2993" s="189"/>
      <c r="AP2993" s="238"/>
    </row>
    <row r="2994" spans="3:42" s="45" customFormat="1" x14ac:dyDescent="0.2">
      <c r="C2994" s="189"/>
      <c r="F2994" s="73"/>
      <c r="M2994" s="111"/>
      <c r="N2994" s="73"/>
      <c r="O2994" s="73"/>
      <c r="P2994" s="73"/>
      <c r="Q2994" s="73"/>
      <c r="R2994" s="111"/>
      <c r="S2994" s="75"/>
      <c r="T2994" s="73"/>
      <c r="X2994" s="189"/>
      <c r="Y2994" s="189"/>
      <c r="Z2994" s="100"/>
      <c r="AC2994" s="84"/>
      <c r="AD2994" s="189"/>
      <c r="AE2994" s="189"/>
      <c r="AF2994" s="189"/>
      <c r="AG2994" s="189"/>
      <c r="AH2994" s="189"/>
      <c r="AP2994" s="238"/>
    </row>
    <row r="2995" spans="3:42" s="45" customFormat="1" x14ac:dyDescent="0.2">
      <c r="C2995" s="189"/>
      <c r="F2995" s="73"/>
      <c r="M2995" s="111"/>
      <c r="N2995" s="73"/>
      <c r="O2995" s="73"/>
      <c r="P2995" s="73"/>
      <c r="Q2995" s="73"/>
      <c r="R2995" s="111"/>
      <c r="S2995" s="75"/>
      <c r="T2995" s="73"/>
      <c r="X2995" s="189"/>
      <c r="Y2995" s="189"/>
      <c r="Z2995" s="100"/>
      <c r="AC2995" s="84"/>
      <c r="AD2995" s="189"/>
      <c r="AE2995" s="189"/>
      <c r="AF2995" s="189"/>
      <c r="AG2995" s="189"/>
      <c r="AH2995" s="189"/>
      <c r="AP2995" s="238"/>
    </row>
    <row r="2996" spans="3:42" s="45" customFormat="1" x14ac:dyDescent="0.2">
      <c r="C2996" s="189"/>
      <c r="F2996" s="73"/>
      <c r="M2996" s="111"/>
      <c r="N2996" s="73"/>
      <c r="O2996" s="73"/>
      <c r="P2996" s="73"/>
      <c r="Q2996" s="73"/>
      <c r="R2996" s="111"/>
      <c r="S2996" s="75"/>
      <c r="T2996" s="73"/>
      <c r="X2996" s="189"/>
      <c r="Y2996" s="189"/>
      <c r="Z2996" s="100"/>
      <c r="AC2996" s="84"/>
      <c r="AD2996" s="189"/>
      <c r="AE2996" s="189"/>
      <c r="AF2996" s="189"/>
      <c r="AG2996" s="189"/>
      <c r="AH2996" s="189"/>
      <c r="AP2996" s="238"/>
    </row>
    <row r="2997" spans="3:42" s="45" customFormat="1" x14ac:dyDescent="0.2">
      <c r="C2997" s="189"/>
      <c r="F2997" s="73"/>
      <c r="M2997" s="111"/>
      <c r="N2997" s="73"/>
      <c r="O2997" s="73"/>
      <c r="P2997" s="73"/>
      <c r="Q2997" s="73"/>
      <c r="R2997" s="111"/>
      <c r="S2997" s="75"/>
      <c r="T2997" s="73"/>
      <c r="X2997" s="189"/>
      <c r="Y2997" s="189"/>
      <c r="Z2997" s="100"/>
      <c r="AC2997" s="84"/>
      <c r="AD2997" s="189"/>
      <c r="AE2997" s="189"/>
      <c r="AF2997" s="189"/>
      <c r="AG2997" s="189"/>
      <c r="AH2997" s="189"/>
      <c r="AP2997" s="238"/>
    </row>
    <row r="2998" spans="3:42" s="45" customFormat="1" x14ac:dyDescent="0.2">
      <c r="C2998" s="189"/>
      <c r="F2998" s="73"/>
      <c r="M2998" s="111"/>
      <c r="N2998" s="73"/>
      <c r="O2998" s="73"/>
      <c r="P2998" s="73"/>
      <c r="Q2998" s="73"/>
      <c r="R2998" s="111"/>
      <c r="S2998" s="75"/>
      <c r="T2998" s="73"/>
      <c r="X2998" s="189"/>
      <c r="Y2998" s="189"/>
      <c r="Z2998" s="100"/>
      <c r="AC2998" s="84"/>
      <c r="AD2998" s="189"/>
      <c r="AE2998" s="189"/>
      <c r="AF2998" s="189"/>
      <c r="AG2998" s="189"/>
      <c r="AH2998" s="189"/>
      <c r="AP2998" s="238"/>
    </row>
    <row r="2999" spans="3:42" s="45" customFormat="1" x14ac:dyDescent="0.2">
      <c r="C2999" s="189"/>
      <c r="F2999" s="73"/>
      <c r="M2999" s="111"/>
      <c r="N2999" s="73"/>
      <c r="O2999" s="73"/>
      <c r="P2999" s="73"/>
      <c r="Q2999" s="73"/>
      <c r="R2999" s="111"/>
      <c r="S2999" s="75"/>
      <c r="T2999" s="73"/>
      <c r="X2999" s="189"/>
      <c r="Y2999" s="189"/>
      <c r="Z2999" s="100"/>
      <c r="AC2999" s="84"/>
      <c r="AD2999" s="189"/>
      <c r="AE2999" s="189"/>
      <c r="AF2999" s="189"/>
      <c r="AG2999" s="189"/>
      <c r="AH2999" s="189"/>
      <c r="AP2999" s="238"/>
    </row>
    <row r="3000" spans="3:42" s="45" customFormat="1" x14ac:dyDescent="0.2">
      <c r="C3000" s="189"/>
      <c r="F3000" s="73"/>
      <c r="M3000" s="111"/>
      <c r="N3000" s="73"/>
      <c r="O3000" s="73"/>
      <c r="P3000" s="73"/>
      <c r="Q3000" s="73"/>
      <c r="R3000" s="111"/>
      <c r="S3000" s="75"/>
      <c r="T3000" s="73"/>
      <c r="X3000" s="189"/>
      <c r="Y3000" s="189"/>
      <c r="Z3000" s="100"/>
      <c r="AC3000" s="84"/>
      <c r="AD3000" s="189"/>
      <c r="AE3000" s="189"/>
      <c r="AF3000" s="189"/>
      <c r="AG3000" s="189"/>
      <c r="AH3000" s="189"/>
      <c r="AP3000" s="238"/>
    </row>
    <row r="3001" spans="3:42" s="45" customFormat="1" x14ac:dyDescent="0.2">
      <c r="C3001" s="189"/>
      <c r="F3001" s="73"/>
      <c r="M3001" s="111"/>
      <c r="N3001" s="73"/>
      <c r="O3001" s="73"/>
      <c r="P3001" s="73"/>
      <c r="Q3001" s="73"/>
      <c r="R3001" s="111"/>
      <c r="S3001" s="75"/>
      <c r="T3001" s="73"/>
      <c r="X3001" s="189"/>
      <c r="Y3001" s="189"/>
      <c r="Z3001" s="100"/>
      <c r="AC3001" s="84"/>
      <c r="AD3001" s="189"/>
      <c r="AE3001" s="189"/>
      <c r="AF3001" s="189"/>
      <c r="AG3001" s="189"/>
      <c r="AH3001" s="189"/>
      <c r="AP3001" s="238"/>
    </row>
    <row r="3002" spans="3:42" s="45" customFormat="1" x14ac:dyDescent="0.2">
      <c r="C3002" s="189"/>
      <c r="F3002" s="73"/>
      <c r="M3002" s="111"/>
      <c r="N3002" s="73"/>
      <c r="O3002" s="73"/>
      <c r="P3002" s="73"/>
      <c r="Q3002" s="73"/>
      <c r="R3002" s="111"/>
      <c r="S3002" s="75"/>
      <c r="T3002" s="73"/>
      <c r="X3002" s="189"/>
      <c r="Y3002" s="189"/>
      <c r="Z3002" s="100"/>
      <c r="AC3002" s="84"/>
      <c r="AD3002" s="189"/>
      <c r="AE3002" s="189"/>
      <c r="AF3002" s="189"/>
      <c r="AG3002" s="189"/>
      <c r="AH3002" s="189"/>
      <c r="AP3002" s="238"/>
    </row>
    <row r="3003" spans="3:42" s="45" customFormat="1" x14ac:dyDescent="0.2">
      <c r="C3003" s="189"/>
      <c r="F3003" s="73"/>
      <c r="M3003" s="111"/>
      <c r="N3003" s="73"/>
      <c r="O3003" s="73"/>
      <c r="P3003" s="73"/>
      <c r="Q3003" s="73"/>
      <c r="R3003" s="111"/>
      <c r="S3003" s="75"/>
      <c r="T3003" s="73"/>
      <c r="X3003" s="189"/>
      <c r="Y3003" s="189"/>
      <c r="Z3003" s="100"/>
      <c r="AC3003" s="84"/>
      <c r="AD3003" s="189"/>
      <c r="AE3003" s="189"/>
      <c r="AF3003" s="189"/>
      <c r="AG3003" s="189"/>
      <c r="AH3003" s="189"/>
      <c r="AP3003" s="238"/>
    </row>
    <row r="3004" spans="3:42" s="45" customFormat="1" x14ac:dyDescent="0.2">
      <c r="C3004" s="189"/>
      <c r="F3004" s="73"/>
      <c r="M3004" s="111"/>
      <c r="N3004" s="73"/>
      <c r="O3004" s="73"/>
      <c r="P3004" s="73"/>
      <c r="Q3004" s="73"/>
      <c r="R3004" s="111"/>
      <c r="S3004" s="75"/>
      <c r="T3004" s="73"/>
      <c r="X3004" s="189"/>
      <c r="Y3004" s="189"/>
      <c r="Z3004" s="100"/>
      <c r="AC3004" s="84"/>
      <c r="AD3004" s="189"/>
      <c r="AE3004" s="189"/>
      <c r="AF3004" s="189"/>
      <c r="AG3004" s="189"/>
      <c r="AH3004" s="189"/>
      <c r="AP3004" s="238"/>
    </row>
    <row r="3005" spans="3:42" s="45" customFormat="1" x14ac:dyDescent="0.2">
      <c r="C3005" s="189"/>
      <c r="F3005" s="73"/>
      <c r="M3005" s="111"/>
      <c r="N3005" s="73"/>
      <c r="O3005" s="73"/>
      <c r="P3005" s="73"/>
      <c r="Q3005" s="73"/>
      <c r="R3005" s="111"/>
      <c r="S3005" s="75"/>
      <c r="T3005" s="73"/>
      <c r="X3005" s="189"/>
      <c r="Y3005" s="189"/>
      <c r="Z3005" s="100"/>
      <c r="AC3005" s="84"/>
      <c r="AD3005" s="189"/>
      <c r="AE3005" s="189"/>
      <c r="AF3005" s="189"/>
      <c r="AG3005" s="189"/>
      <c r="AH3005" s="189"/>
      <c r="AP3005" s="238"/>
    </row>
    <row r="3006" spans="3:42" s="45" customFormat="1" x14ac:dyDescent="0.2">
      <c r="C3006" s="189"/>
      <c r="F3006" s="73"/>
      <c r="M3006" s="111"/>
      <c r="N3006" s="73"/>
      <c r="O3006" s="73"/>
      <c r="P3006" s="73"/>
      <c r="Q3006" s="73"/>
      <c r="R3006" s="111"/>
      <c r="S3006" s="75"/>
      <c r="T3006" s="73"/>
      <c r="X3006" s="189"/>
      <c r="Y3006" s="189"/>
      <c r="Z3006" s="100"/>
      <c r="AC3006" s="84"/>
      <c r="AD3006" s="189"/>
      <c r="AE3006" s="189"/>
      <c r="AF3006" s="189"/>
      <c r="AG3006" s="189"/>
      <c r="AH3006" s="189"/>
      <c r="AP3006" s="238"/>
    </row>
    <row r="3007" spans="3:42" s="45" customFormat="1" x14ac:dyDescent="0.2">
      <c r="C3007" s="189"/>
      <c r="F3007" s="73"/>
      <c r="M3007" s="111"/>
      <c r="N3007" s="73"/>
      <c r="O3007" s="73"/>
      <c r="P3007" s="73"/>
      <c r="Q3007" s="73"/>
      <c r="R3007" s="111"/>
      <c r="S3007" s="75"/>
      <c r="T3007" s="73"/>
      <c r="X3007" s="189"/>
      <c r="Y3007" s="189"/>
      <c r="Z3007" s="100"/>
      <c r="AC3007" s="84"/>
      <c r="AD3007" s="189"/>
      <c r="AE3007" s="189"/>
      <c r="AF3007" s="189"/>
      <c r="AG3007" s="189"/>
      <c r="AH3007" s="189"/>
      <c r="AP3007" s="238"/>
    </row>
    <row r="3008" spans="3:42" s="45" customFormat="1" x14ac:dyDescent="0.2">
      <c r="C3008" s="189"/>
      <c r="F3008" s="73"/>
      <c r="M3008" s="111"/>
      <c r="N3008" s="73"/>
      <c r="O3008" s="73"/>
      <c r="P3008" s="73"/>
      <c r="Q3008" s="73"/>
      <c r="R3008" s="111"/>
      <c r="S3008" s="75"/>
      <c r="T3008" s="73"/>
      <c r="X3008" s="189"/>
      <c r="Y3008" s="189"/>
      <c r="Z3008" s="100"/>
      <c r="AC3008" s="84"/>
      <c r="AD3008" s="189"/>
      <c r="AE3008" s="189"/>
      <c r="AF3008" s="189"/>
      <c r="AG3008" s="189"/>
      <c r="AH3008" s="189"/>
      <c r="AP3008" s="238"/>
    </row>
    <row r="3009" spans="3:42" s="45" customFormat="1" x14ac:dyDescent="0.2">
      <c r="C3009" s="189"/>
      <c r="F3009" s="73"/>
      <c r="M3009" s="111"/>
      <c r="N3009" s="73"/>
      <c r="O3009" s="73"/>
      <c r="P3009" s="73"/>
      <c r="Q3009" s="73"/>
      <c r="R3009" s="111"/>
      <c r="S3009" s="75"/>
      <c r="T3009" s="73"/>
      <c r="X3009" s="189"/>
      <c r="Y3009" s="189"/>
      <c r="Z3009" s="100"/>
      <c r="AC3009" s="84"/>
      <c r="AD3009" s="189"/>
      <c r="AE3009" s="189"/>
      <c r="AF3009" s="189"/>
      <c r="AG3009" s="189"/>
      <c r="AH3009" s="189"/>
      <c r="AP3009" s="238"/>
    </row>
    <row r="3010" spans="3:42" s="45" customFormat="1" x14ac:dyDescent="0.2">
      <c r="C3010" s="189"/>
      <c r="F3010" s="73"/>
      <c r="M3010" s="111"/>
      <c r="N3010" s="73"/>
      <c r="O3010" s="73"/>
      <c r="P3010" s="73"/>
      <c r="Q3010" s="73"/>
      <c r="R3010" s="111"/>
      <c r="S3010" s="75"/>
      <c r="T3010" s="73"/>
      <c r="X3010" s="189"/>
      <c r="Y3010" s="189"/>
      <c r="Z3010" s="100"/>
      <c r="AC3010" s="84"/>
      <c r="AD3010" s="189"/>
      <c r="AE3010" s="189"/>
      <c r="AF3010" s="189"/>
      <c r="AG3010" s="189"/>
      <c r="AH3010" s="189"/>
      <c r="AP3010" s="238"/>
    </row>
    <row r="3011" spans="3:42" s="45" customFormat="1" x14ac:dyDescent="0.2">
      <c r="C3011" s="189"/>
      <c r="F3011" s="73"/>
      <c r="M3011" s="111"/>
      <c r="N3011" s="73"/>
      <c r="O3011" s="73"/>
      <c r="P3011" s="73"/>
      <c r="Q3011" s="73"/>
      <c r="R3011" s="111"/>
      <c r="S3011" s="75"/>
      <c r="T3011" s="73"/>
      <c r="X3011" s="189"/>
      <c r="Y3011" s="189"/>
      <c r="Z3011" s="100"/>
      <c r="AC3011" s="84"/>
      <c r="AD3011" s="189"/>
      <c r="AE3011" s="189"/>
      <c r="AF3011" s="189"/>
      <c r="AG3011" s="189"/>
      <c r="AH3011" s="189"/>
      <c r="AP3011" s="238"/>
    </row>
    <row r="3012" spans="3:42" s="45" customFormat="1" x14ac:dyDescent="0.2">
      <c r="C3012" s="189"/>
      <c r="F3012" s="73"/>
      <c r="M3012" s="111"/>
      <c r="N3012" s="73"/>
      <c r="O3012" s="73"/>
      <c r="P3012" s="73"/>
      <c r="Q3012" s="73"/>
      <c r="R3012" s="111"/>
      <c r="S3012" s="75"/>
      <c r="T3012" s="73"/>
      <c r="X3012" s="189"/>
      <c r="Y3012" s="189"/>
      <c r="Z3012" s="100"/>
      <c r="AC3012" s="84"/>
      <c r="AD3012" s="189"/>
      <c r="AE3012" s="189"/>
      <c r="AF3012" s="189"/>
      <c r="AG3012" s="189"/>
      <c r="AH3012" s="189"/>
      <c r="AP3012" s="238"/>
    </row>
    <row r="3013" spans="3:42" s="45" customFormat="1" x14ac:dyDescent="0.2">
      <c r="C3013" s="189"/>
      <c r="F3013" s="73"/>
      <c r="M3013" s="111"/>
      <c r="N3013" s="73"/>
      <c r="O3013" s="73"/>
      <c r="P3013" s="73"/>
      <c r="Q3013" s="73"/>
      <c r="R3013" s="111"/>
      <c r="S3013" s="75"/>
      <c r="T3013" s="73"/>
      <c r="X3013" s="189"/>
      <c r="Y3013" s="189"/>
      <c r="Z3013" s="100"/>
      <c r="AC3013" s="84"/>
      <c r="AD3013" s="189"/>
      <c r="AE3013" s="189"/>
      <c r="AF3013" s="189"/>
      <c r="AG3013" s="189"/>
      <c r="AH3013" s="189"/>
      <c r="AP3013" s="238"/>
    </row>
    <row r="3014" spans="3:42" s="45" customFormat="1" x14ac:dyDescent="0.2">
      <c r="C3014" s="189"/>
      <c r="F3014" s="73"/>
      <c r="M3014" s="111"/>
      <c r="N3014" s="73"/>
      <c r="O3014" s="73"/>
      <c r="P3014" s="73"/>
      <c r="Q3014" s="73"/>
      <c r="R3014" s="111"/>
      <c r="S3014" s="75"/>
      <c r="T3014" s="73"/>
      <c r="X3014" s="189"/>
      <c r="Y3014" s="189"/>
      <c r="Z3014" s="100"/>
      <c r="AC3014" s="84"/>
      <c r="AD3014" s="189"/>
      <c r="AE3014" s="189"/>
      <c r="AF3014" s="189"/>
      <c r="AG3014" s="189"/>
      <c r="AH3014" s="189"/>
      <c r="AP3014" s="238"/>
    </row>
    <row r="3015" spans="3:42" s="45" customFormat="1" x14ac:dyDescent="0.2">
      <c r="C3015" s="189"/>
      <c r="F3015" s="73"/>
      <c r="M3015" s="111"/>
      <c r="N3015" s="73"/>
      <c r="O3015" s="73"/>
      <c r="P3015" s="73"/>
      <c r="Q3015" s="73"/>
      <c r="R3015" s="111"/>
      <c r="S3015" s="75"/>
      <c r="T3015" s="73"/>
      <c r="X3015" s="189"/>
      <c r="Y3015" s="189"/>
      <c r="Z3015" s="100"/>
      <c r="AC3015" s="84"/>
      <c r="AD3015" s="189"/>
      <c r="AE3015" s="189"/>
      <c r="AF3015" s="189"/>
      <c r="AG3015" s="189"/>
      <c r="AH3015" s="189"/>
      <c r="AP3015" s="238"/>
    </row>
    <row r="3016" spans="3:42" s="45" customFormat="1" x14ac:dyDescent="0.2">
      <c r="C3016" s="189"/>
      <c r="F3016" s="73"/>
      <c r="M3016" s="111"/>
      <c r="N3016" s="73"/>
      <c r="O3016" s="73"/>
      <c r="P3016" s="73"/>
      <c r="Q3016" s="73"/>
      <c r="R3016" s="111"/>
      <c r="S3016" s="75"/>
      <c r="T3016" s="73"/>
      <c r="X3016" s="189"/>
      <c r="Y3016" s="189"/>
      <c r="Z3016" s="100"/>
      <c r="AC3016" s="84"/>
      <c r="AD3016" s="189"/>
      <c r="AE3016" s="189"/>
      <c r="AF3016" s="189"/>
      <c r="AG3016" s="189"/>
      <c r="AH3016" s="189"/>
      <c r="AP3016" s="238"/>
    </row>
    <row r="3017" spans="3:42" s="45" customFormat="1" x14ac:dyDescent="0.2">
      <c r="C3017" s="189"/>
      <c r="F3017" s="73"/>
      <c r="M3017" s="111"/>
      <c r="N3017" s="73"/>
      <c r="O3017" s="73"/>
      <c r="P3017" s="73"/>
      <c r="Q3017" s="73"/>
      <c r="R3017" s="111"/>
      <c r="S3017" s="75"/>
      <c r="T3017" s="73"/>
      <c r="X3017" s="189"/>
      <c r="Y3017" s="189"/>
      <c r="Z3017" s="100"/>
      <c r="AC3017" s="84"/>
      <c r="AD3017" s="189"/>
      <c r="AE3017" s="189"/>
      <c r="AF3017" s="189"/>
      <c r="AG3017" s="189"/>
      <c r="AH3017" s="189"/>
      <c r="AP3017" s="238"/>
    </row>
    <row r="3018" spans="3:42" s="45" customFormat="1" x14ac:dyDescent="0.2">
      <c r="C3018" s="189"/>
      <c r="F3018" s="73"/>
      <c r="M3018" s="111"/>
      <c r="N3018" s="73"/>
      <c r="O3018" s="73"/>
      <c r="P3018" s="73"/>
      <c r="Q3018" s="73"/>
      <c r="R3018" s="111"/>
      <c r="S3018" s="75"/>
      <c r="T3018" s="73"/>
      <c r="X3018" s="189"/>
      <c r="Y3018" s="189"/>
      <c r="Z3018" s="100"/>
      <c r="AC3018" s="84"/>
      <c r="AD3018" s="189"/>
      <c r="AE3018" s="189"/>
      <c r="AF3018" s="189"/>
      <c r="AG3018" s="189"/>
      <c r="AH3018" s="189"/>
      <c r="AP3018" s="238"/>
    </row>
    <row r="3019" spans="3:42" s="45" customFormat="1" x14ac:dyDescent="0.2">
      <c r="C3019" s="189"/>
      <c r="F3019" s="73"/>
      <c r="M3019" s="111"/>
      <c r="N3019" s="73"/>
      <c r="O3019" s="73"/>
      <c r="P3019" s="73"/>
      <c r="Q3019" s="73"/>
      <c r="R3019" s="111"/>
      <c r="S3019" s="75"/>
      <c r="T3019" s="73"/>
      <c r="X3019" s="189"/>
      <c r="Y3019" s="189"/>
      <c r="Z3019" s="100"/>
      <c r="AC3019" s="84"/>
      <c r="AD3019" s="189"/>
      <c r="AE3019" s="189"/>
      <c r="AF3019" s="189"/>
      <c r="AG3019" s="189"/>
      <c r="AH3019" s="189"/>
      <c r="AP3019" s="238"/>
    </row>
    <row r="3020" spans="3:42" s="45" customFormat="1" x14ac:dyDescent="0.2">
      <c r="C3020" s="189"/>
      <c r="F3020" s="73"/>
      <c r="M3020" s="111"/>
      <c r="N3020" s="73"/>
      <c r="O3020" s="73"/>
      <c r="P3020" s="73"/>
      <c r="Q3020" s="73"/>
      <c r="R3020" s="111"/>
      <c r="S3020" s="75"/>
      <c r="T3020" s="73"/>
      <c r="X3020" s="189"/>
      <c r="Y3020" s="189"/>
      <c r="Z3020" s="100"/>
      <c r="AC3020" s="84"/>
      <c r="AD3020" s="189"/>
      <c r="AE3020" s="189"/>
      <c r="AF3020" s="189"/>
      <c r="AG3020" s="189"/>
      <c r="AH3020" s="189"/>
      <c r="AP3020" s="238"/>
    </row>
    <row r="3021" spans="3:42" s="45" customFormat="1" x14ac:dyDescent="0.2">
      <c r="C3021" s="189"/>
      <c r="F3021" s="73"/>
      <c r="M3021" s="111"/>
      <c r="N3021" s="73"/>
      <c r="O3021" s="73"/>
      <c r="P3021" s="73"/>
      <c r="Q3021" s="73"/>
      <c r="R3021" s="111"/>
      <c r="S3021" s="75"/>
      <c r="T3021" s="73"/>
      <c r="X3021" s="189"/>
      <c r="Y3021" s="189"/>
      <c r="Z3021" s="100"/>
      <c r="AC3021" s="84"/>
      <c r="AD3021" s="189"/>
      <c r="AE3021" s="189"/>
      <c r="AF3021" s="189"/>
      <c r="AG3021" s="189"/>
      <c r="AH3021" s="189"/>
      <c r="AP3021" s="238"/>
    </row>
    <row r="3022" spans="3:42" s="45" customFormat="1" x14ac:dyDescent="0.2">
      <c r="C3022" s="189"/>
      <c r="F3022" s="73"/>
      <c r="M3022" s="111"/>
      <c r="N3022" s="73"/>
      <c r="O3022" s="73"/>
      <c r="P3022" s="73"/>
      <c r="Q3022" s="73"/>
      <c r="R3022" s="111"/>
      <c r="S3022" s="75"/>
      <c r="T3022" s="73"/>
      <c r="X3022" s="189"/>
      <c r="Y3022" s="189"/>
      <c r="Z3022" s="100"/>
      <c r="AC3022" s="84"/>
      <c r="AD3022" s="189"/>
      <c r="AE3022" s="189"/>
      <c r="AF3022" s="189"/>
      <c r="AG3022" s="189"/>
      <c r="AH3022" s="189"/>
      <c r="AP3022" s="238"/>
    </row>
    <row r="3023" spans="3:42" s="45" customFormat="1" x14ac:dyDescent="0.2">
      <c r="C3023" s="189"/>
      <c r="F3023" s="73"/>
      <c r="M3023" s="111"/>
      <c r="N3023" s="73"/>
      <c r="O3023" s="73"/>
      <c r="P3023" s="73"/>
      <c r="Q3023" s="73"/>
      <c r="R3023" s="111"/>
      <c r="S3023" s="75"/>
      <c r="T3023" s="73"/>
      <c r="X3023" s="189"/>
      <c r="Y3023" s="189"/>
      <c r="Z3023" s="100"/>
      <c r="AC3023" s="84"/>
      <c r="AD3023" s="189"/>
      <c r="AE3023" s="189"/>
      <c r="AF3023" s="189"/>
      <c r="AG3023" s="189"/>
      <c r="AH3023" s="189"/>
      <c r="AP3023" s="238"/>
    </row>
    <row r="3024" spans="3:42" s="45" customFormat="1" x14ac:dyDescent="0.2">
      <c r="C3024" s="189"/>
      <c r="F3024" s="73"/>
      <c r="M3024" s="111"/>
      <c r="N3024" s="73"/>
      <c r="O3024" s="73"/>
      <c r="P3024" s="73"/>
      <c r="Q3024" s="73"/>
      <c r="R3024" s="111"/>
      <c r="S3024" s="75"/>
      <c r="T3024" s="73"/>
      <c r="X3024" s="189"/>
      <c r="Y3024" s="189"/>
      <c r="Z3024" s="100"/>
      <c r="AC3024" s="84"/>
      <c r="AD3024" s="189"/>
      <c r="AE3024" s="189"/>
      <c r="AF3024" s="189"/>
      <c r="AG3024" s="189"/>
      <c r="AH3024" s="189"/>
      <c r="AP3024" s="238"/>
    </row>
    <row r="3025" spans="3:42" s="45" customFormat="1" x14ac:dyDescent="0.2">
      <c r="C3025" s="189"/>
      <c r="F3025" s="73"/>
      <c r="M3025" s="111"/>
      <c r="N3025" s="73"/>
      <c r="O3025" s="73"/>
      <c r="P3025" s="73"/>
      <c r="Q3025" s="73"/>
      <c r="R3025" s="111"/>
      <c r="S3025" s="75"/>
      <c r="T3025" s="73"/>
      <c r="X3025" s="189"/>
      <c r="Y3025" s="189"/>
      <c r="Z3025" s="100"/>
      <c r="AC3025" s="84"/>
      <c r="AD3025" s="189"/>
      <c r="AE3025" s="189"/>
      <c r="AF3025" s="189"/>
      <c r="AG3025" s="189"/>
      <c r="AH3025" s="189"/>
      <c r="AP3025" s="238"/>
    </row>
    <row r="3026" spans="3:42" s="45" customFormat="1" x14ac:dyDescent="0.2">
      <c r="C3026" s="189"/>
      <c r="F3026" s="73"/>
      <c r="M3026" s="111"/>
      <c r="N3026" s="73"/>
      <c r="O3026" s="73"/>
      <c r="P3026" s="73"/>
      <c r="Q3026" s="73"/>
      <c r="R3026" s="111"/>
      <c r="S3026" s="75"/>
      <c r="T3026" s="73"/>
      <c r="X3026" s="189"/>
      <c r="Y3026" s="189"/>
      <c r="Z3026" s="100"/>
      <c r="AC3026" s="84"/>
      <c r="AD3026" s="189"/>
      <c r="AE3026" s="189"/>
      <c r="AF3026" s="189"/>
      <c r="AG3026" s="189"/>
      <c r="AH3026" s="189"/>
      <c r="AP3026" s="238"/>
    </row>
    <row r="3027" spans="3:42" s="45" customFormat="1" x14ac:dyDescent="0.2">
      <c r="C3027" s="189"/>
      <c r="F3027" s="73"/>
      <c r="M3027" s="111"/>
      <c r="N3027" s="73"/>
      <c r="O3027" s="73"/>
      <c r="P3027" s="73"/>
      <c r="Q3027" s="73"/>
      <c r="R3027" s="111"/>
      <c r="S3027" s="75"/>
      <c r="T3027" s="73"/>
      <c r="X3027" s="189"/>
      <c r="Y3027" s="189"/>
      <c r="Z3027" s="100"/>
      <c r="AC3027" s="84"/>
      <c r="AD3027" s="189"/>
      <c r="AE3027" s="189"/>
      <c r="AF3027" s="189"/>
      <c r="AG3027" s="189"/>
      <c r="AH3027" s="189"/>
      <c r="AP3027" s="238"/>
    </row>
    <row r="3028" spans="3:42" s="45" customFormat="1" x14ac:dyDescent="0.2">
      <c r="C3028" s="189"/>
      <c r="F3028" s="73"/>
      <c r="M3028" s="111"/>
      <c r="N3028" s="73"/>
      <c r="O3028" s="73"/>
      <c r="P3028" s="73"/>
      <c r="Q3028" s="73"/>
      <c r="R3028" s="111"/>
      <c r="S3028" s="75"/>
      <c r="T3028" s="73"/>
      <c r="X3028" s="189"/>
      <c r="Y3028" s="189"/>
      <c r="Z3028" s="100"/>
      <c r="AC3028" s="84"/>
      <c r="AD3028" s="189"/>
      <c r="AE3028" s="189"/>
      <c r="AF3028" s="189"/>
      <c r="AG3028" s="189"/>
      <c r="AH3028" s="189"/>
      <c r="AP3028" s="238"/>
    </row>
    <row r="3029" spans="3:42" s="45" customFormat="1" x14ac:dyDescent="0.2">
      <c r="C3029" s="189"/>
      <c r="F3029" s="73"/>
      <c r="M3029" s="111"/>
      <c r="N3029" s="73"/>
      <c r="O3029" s="73"/>
      <c r="P3029" s="73"/>
      <c r="Q3029" s="73"/>
      <c r="R3029" s="111"/>
      <c r="S3029" s="75"/>
      <c r="T3029" s="73"/>
      <c r="X3029" s="189"/>
      <c r="Y3029" s="189"/>
      <c r="Z3029" s="100"/>
      <c r="AC3029" s="84"/>
      <c r="AD3029" s="189"/>
      <c r="AE3029" s="189"/>
      <c r="AF3029" s="189"/>
      <c r="AG3029" s="189"/>
      <c r="AH3029" s="189"/>
      <c r="AP3029" s="238"/>
    </row>
    <row r="3030" spans="3:42" s="45" customFormat="1" x14ac:dyDescent="0.2">
      <c r="C3030" s="189"/>
      <c r="F3030" s="73"/>
      <c r="M3030" s="111"/>
      <c r="N3030" s="73"/>
      <c r="O3030" s="73"/>
      <c r="P3030" s="73"/>
      <c r="Q3030" s="73"/>
      <c r="R3030" s="111"/>
      <c r="S3030" s="75"/>
      <c r="T3030" s="73"/>
      <c r="X3030" s="189"/>
      <c r="Y3030" s="189"/>
      <c r="Z3030" s="100"/>
      <c r="AC3030" s="84"/>
      <c r="AD3030" s="189"/>
      <c r="AE3030" s="189"/>
      <c r="AF3030" s="189"/>
      <c r="AG3030" s="189"/>
      <c r="AH3030" s="189"/>
      <c r="AP3030" s="238"/>
    </row>
    <row r="3031" spans="3:42" s="45" customFormat="1" x14ac:dyDescent="0.2">
      <c r="C3031" s="189"/>
      <c r="F3031" s="73"/>
      <c r="M3031" s="111"/>
      <c r="N3031" s="73"/>
      <c r="O3031" s="73"/>
      <c r="P3031" s="73"/>
      <c r="Q3031" s="73"/>
      <c r="R3031" s="111"/>
      <c r="S3031" s="75"/>
      <c r="T3031" s="73"/>
      <c r="X3031" s="189"/>
      <c r="Y3031" s="189"/>
      <c r="Z3031" s="100"/>
      <c r="AC3031" s="84"/>
      <c r="AD3031" s="189"/>
      <c r="AE3031" s="189"/>
      <c r="AF3031" s="189"/>
      <c r="AG3031" s="189"/>
      <c r="AH3031" s="189"/>
      <c r="AP3031" s="238"/>
    </row>
    <row r="3032" spans="3:42" s="45" customFormat="1" x14ac:dyDescent="0.2">
      <c r="C3032" s="189"/>
      <c r="F3032" s="73"/>
      <c r="M3032" s="111"/>
      <c r="N3032" s="73"/>
      <c r="O3032" s="73"/>
      <c r="P3032" s="73"/>
      <c r="Q3032" s="73"/>
      <c r="R3032" s="111"/>
      <c r="S3032" s="75"/>
      <c r="T3032" s="73"/>
      <c r="X3032" s="189"/>
      <c r="Y3032" s="189"/>
      <c r="Z3032" s="100"/>
      <c r="AC3032" s="84"/>
      <c r="AD3032" s="189"/>
      <c r="AE3032" s="189"/>
      <c r="AF3032" s="189"/>
      <c r="AG3032" s="189"/>
      <c r="AH3032" s="189"/>
      <c r="AP3032" s="238"/>
    </row>
    <row r="3033" spans="3:42" s="45" customFormat="1" x14ac:dyDescent="0.2">
      <c r="C3033" s="189"/>
      <c r="F3033" s="73"/>
      <c r="M3033" s="111"/>
      <c r="N3033" s="73"/>
      <c r="O3033" s="73"/>
      <c r="P3033" s="73"/>
      <c r="Q3033" s="73"/>
      <c r="R3033" s="111"/>
      <c r="S3033" s="75"/>
      <c r="T3033" s="73"/>
      <c r="X3033" s="189"/>
      <c r="Y3033" s="189"/>
      <c r="Z3033" s="100"/>
      <c r="AC3033" s="84"/>
      <c r="AD3033" s="189"/>
      <c r="AE3033" s="189"/>
      <c r="AF3033" s="189"/>
      <c r="AG3033" s="189"/>
      <c r="AH3033" s="189"/>
      <c r="AP3033" s="238"/>
    </row>
    <row r="3034" spans="3:42" s="45" customFormat="1" x14ac:dyDescent="0.2">
      <c r="C3034" s="189"/>
      <c r="F3034" s="73"/>
      <c r="M3034" s="111"/>
      <c r="N3034" s="73"/>
      <c r="O3034" s="73"/>
      <c r="P3034" s="73"/>
      <c r="Q3034" s="73"/>
      <c r="R3034" s="111"/>
      <c r="S3034" s="75"/>
      <c r="T3034" s="73"/>
      <c r="X3034" s="189"/>
      <c r="Y3034" s="189"/>
      <c r="Z3034" s="100"/>
      <c r="AC3034" s="84"/>
      <c r="AD3034" s="189"/>
      <c r="AE3034" s="189"/>
      <c r="AF3034" s="189"/>
      <c r="AG3034" s="189"/>
      <c r="AH3034" s="189"/>
      <c r="AP3034" s="238"/>
    </row>
    <row r="3035" spans="3:42" s="45" customFormat="1" x14ac:dyDescent="0.2">
      <c r="C3035" s="189"/>
      <c r="F3035" s="73"/>
      <c r="M3035" s="111"/>
      <c r="N3035" s="73"/>
      <c r="O3035" s="73"/>
      <c r="P3035" s="73"/>
      <c r="Q3035" s="73"/>
      <c r="R3035" s="111"/>
      <c r="S3035" s="75"/>
      <c r="T3035" s="73"/>
      <c r="X3035" s="189"/>
      <c r="Y3035" s="189"/>
      <c r="Z3035" s="100"/>
      <c r="AC3035" s="84"/>
      <c r="AD3035" s="189"/>
      <c r="AE3035" s="189"/>
      <c r="AF3035" s="189"/>
      <c r="AG3035" s="189"/>
      <c r="AH3035" s="189"/>
      <c r="AP3035" s="238"/>
    </row>
    <row r="3036" spans="3:42" s="45" customFormat="1" x14ac:dyDescent="0.2">
      <c r="C3036" s="189"/>
      <c r="F3036" s="73"/>
      <c r="M3036" s="111"/>
      <c r="N3036" s="73"/>
      <c r="O3036" s="73"/>
      <c r="P3036" s="73"/>
      <c r="Q3036" s="73"/>
      <c r="R3036" s="111"/>
      <c r="S3036" s="75"/>
      <c r="T3036" s="73"/>
      <c r="X3036" s="189"/>
      <c r="Y3036" s="189"/>
      <c r="Z3036" s="100"/>
      <c r="AC3036" s="84"/>
      <c r="AD3036" s="189"/>
      <c r="AE3036" s="189"/>
      <c r="AF3036" s="189"/>
      <c r="AG3036" s="189"/>
      <c r="AH3036" s="189"/>
      <c r="AP3036" s="238"/>
    </row>
    <row r="3037" spans="3:42" s="45" customFormat="1" x14ac:dyDescent="0.2">
      <c r="C3037" s="189"/>
      <c r="F3037" s="73"/>
      <c r="M3037" s="111"/>
      <c r="N3037" s="73"/>
      <c r="O3037" s="73"/>
      <c r="P3037" s="73"/>
      <c r="Q3037" s="73"/>
      <c r="R3037" s="111"/>
      <c r="S3037" s="75"/>
      <c r="T3037" s="73"/>
      <c r="X3037" s="189"/>
      <c r="Y3037" s="189"/>
      <c r="Z3037" s="100"/>
      <c r="AC3037" s="84"/>
      <c r="AD3037" s="189"/>
      <c r="AE3037" s="189"/>
      <c r="AF3037" s="189"/>
      <c r="AG3037" s="189"/>
      <c r="AH3037" s="189"/>
      <c r="AP3037" s="238"/>
    </row>
    <row r="3038" spans="3:42" s="45" customFormat="1" x14ac:dyDescent="0.2">
      <c r="C3038" s="189"/>
      <c r="F3038" s="73"/>
      <c r="M3038" s="111"/>
      <c r="N3038" s="73"/>
      <c r="O3038" s="73"/>
      <c r="P3038" s="73"/>
      <c r="Q3038" s="73"/>
      <c r="R3038" s="111"/>
      <c r="S3038" s="75"/>
      <c r="T3038" s="73"/>
      <c r="X3038" s="189"/>
      <c r="Y3038" s="189"/>
      <c r="Z3038" s="100"/>
      <c r="AC3038" s="84"/>
      <c r="AD3038" s="189"/>
      <c r="AE3038" s="189"/>
      <c r="AF3038" s="189"/>
      <c r="AG3038" s="189"/>
      <c r="AH3038" s="189"/>
      <c r="AP3038" s="238"/>
    </row>
    <row r="3039" spans="3:42" s="45" customFormat="1" x14ac:dyDescent="0.2">
      <c r="C3039" s="189"/>
      <c r="F3039" s="73"/>
      <c r="M3039" s="111"/>
      <c r="N3039" s="73"/>
      <c r="O3039" s="73"/>
      <c r="P3039" s="73"/>
      <c r="Q3039" s="73"/>
      <c r="R3039" s="111"/>
      <c r="S3039" s="75"/>
      <c r="T3039" s="73"/>
      <c r="X3039" s="189"/>
      <c r="Y3039" s="189"/>
      <c r="Z3039" s="100"/>
      <c r="AC3039" s="84"/>
      <c r="AD3039" s="189"/>
      <c r="AE3039" s="189"/>
      <c r="AF3039" s="189"/>
      <c r="AG3039" s="189"/>
      <c r="AH3039" s="189"/>
      <c r="AP3039" s="238"/>
    </row>
    <row r="3040" spans="3:42" s="45" customFormat="1" x14ac:dyDescent="0.2">
      <c r="C3040" s="189"/>
      <c r="F3040" s="73"/>
      <c r="M3040" s="111"/>
      <c r="N3040" s="73"/>
      <c r="O3040" s="73"/>
      <c r="P3040" s="73"/>
      <c r="Q3040" s="73"/>
      <c r="R3040" s="111"/>
      <c r="S3040" s="75"/>
      <c r="T3040" s="73"/>
      <c r="X3040" s="189"/>
      <c r="Y3040" s="189"/>
      <c r="Z3040" s="100"/>
      <c r="AC3040" s="84"/>
      <c r="AD3040" s="189"/>
      <c r="AE3040" s="189"/>
      <c r="AF3040" s="189"/>
      <c r="AG3040" s="189"/>
      <c r="AH3040" s="189"/>
      <c r="AP3040" s="238"/>
    </row>
    <row r="3041" spans="3:42" s="45" customFormat="1" x14ac:dyDescent="0.2">
      <c r="C3041" s="189"/>
      <c r="F3041" s="73"/>
      <c r="M3041" s="111"/>
      <c r="N3041" s="73"/>
      <c r="O3041" s="73"/>
      <c r="P3041" s="73"/>
      <c r="Q3041" s="73"/>
      <c r="R3041" s="111"/>
      <c r="S3041" s="75"/>
      <c r="T3041" s="73"/>
      <c r="X3041" s="189"/>
      <c r="Y3041" s="189"/>
      <c r="Z3041" s="100"/>
      <c r="AC3041" s="84"/>
      <c r="AD3041" s="189"/>
      <c r="AE3041" s="189"/>
      <c r="AF3041" s="189"/>
      <c r="AG3041" s="189"/>
      <c r="AH3041" s="189"/>
      <c r="AP3041" s="238"/>
    </row>
    <row r="3042" spans="3:42" s="45" customFormat="1" x14ac:dyDescent="0.2">
      <c r="C3042" s="189"/>
      <c r="F3042" s="73"/>
      <c r="M3042" s="111"/>
      <c r="N3042" s="73"/>
      <c r="O3042" s="73"/>
      <c r="P3042" s="73"/>
      <c r="Q3042" s="73"/>
      <c r="R3042" s="111"/>
      <c r="S3042" s="75"/>
      <c r="T3042" s="73"/>
      <c r="X3042" s="189"/>
      <c r="Y3042" s="189"/>
      <c r="Z3042" s="100"/>
      <c r="AC3042" s="84"/>
      <c r="AD3042" s="189"/>
      <c r="AE3042" s="189"/>
      <c r="AF3042" s="189"/>
      <c r="AG3042" s="189"/>
      <c r="AH3042" s="189"/>
      <c r="AP3042" s="238"/>
    </row>
    <row r="3043" spans="3:42" s="45" customFormat="1" x14ac:dyDescent="0.2">
      <c r="C3043" s="189"/>
      <c r="F3043" s="73"/>
      <c r="M3043" s="111"/>
      <c r="N3043" s="73"/>
      <c r="O3043" s="73"/>
      <c r="P3043" s="73"/>
      <c r="Q3043" s="73"/>
      <c r="R3043" s="111"/>
      <c r="S3043" s="75"/>
      <c r="T3043" s="73"/>
      <c r="X3043" s="189"/>
      <c r="Y3043" s="189"/>
      <c r="Z3043" s="100"/>
      <c r="AC3043" s="84"/>
      <c r="AD3043" s="189"/>
      <c r="AE3043" s="189"/>
      <c r="AF3043" s="189"/>
      <c r="AG3043" s="189"/>
      <c r="AH3043" s="189"/>
      <c r="AP3043" s="238"/>
    </row>
    <row r="3044" spans="3:42" s="45" customFormat="1" x14ac:dyDescent="0.2">
      <c r="C3044" s="189"/>
      <c r="F3044" s="73"/>
      <c r="M3044" s="111"/>
      <c r="N3044" s="73"/>
      <c r="O3044" s="73"/>
      <c r="P3044" s="73"/>
      <c r="Q3044" s="73"/>
      <c r="R3044" s="111"/>
      <c r="S3044" s="75"/>
      <c r="T3044" s="73"/>
      <c r="X3044" s="189"/>
      <c r="Y3044" s="189"/>
      <c r="Z3044" s="100"/>
      <c r="AC3044" s="84"/>
      <c r="AD3044" s="189"/>
      <c r="AE3044" s="189"/>
      <c r="AF3044" s="189"/>
      <c r="AG3044" s="189"/>
      <c r="AH3044" s="189"/>
      <c r="AP3044" s="238"/>
    </row>
    <row r="3045" spans="3:42" s="45" customFormat="1" x14ac:dyDescent="0.2">
      <c r="C3045" s="189"/>
      <c r="F3045" s="73"/>
      <c r="M3045" s="111"/>
      <c r="N3045" s="73"/>
      <c r="O3045" s="73"/>
      <c r="P3045" s="73"/>
      <c r="Q3045" s="73"/>
      <c r="R3045" s="111"/>
      <c r="S3045" s="75"/>
      <c r="T3045" s="73"/>
      <c r="X3045" s="189"/>
      <c r="Y3045" s="189"/>
      <c r="Z3045" s="100"/>
      <c r="AC3045" s="84"/>
      <c r="AD3045" s="189"/>
      <c r="AE3045" s="189"/>
      <c r="AF3045" s="189"/>
      <c r="AG3045" s="189"/>
      <c r="AH3045" s="189"/>
      <c r="AP3045" s="238"/>
    </row>
    <row r="3046" spans="3:42" s="45" customFormat="1" x14ac:dyDescent="0.2">
      <c r="C3046" s="189"/>
      <c r="F3046" s="73"/>
      <c r="M3046" s="111"/>
      <c r="N3046" s="73"/>
      <c r="O3046" s="73"/>
      <c r="P3046" s="73"/>
      <c r="Q3046" s="73"/>
      <c r="R3046" s="111"/>
      <c r="S3046" s="75"/>
      <c r="T3046" s="73"/>
      <c r="X3046" s="189"/>
      <c r="Y3046" s="189"/>
      <c r="Z3046" s="100"/>
      <c r="AC3046" s="84"/>
      <c r="AD3046" s="189"/>
      <c r="AE3046" s="189"/>
      <c r="AF3046" s="189"/>
      <c r="AG3046" s="189"/>
      <c r="AH3046" s="189"/>
      <c r="AP3046" s="238"/>
    </row>
    <row r="3047" spans="3:42" s="45" customFormat="1" x14ac:dyDescent="0.2">
      <c r="C3047" s="189"/>
      <c r="F3047" s="73"/>
      <c r="M3047" s="111"/>
      <c r="N3047" s="73"/>
      <c r="O3047" s="73"/>
      <c r="P3047" s="73"/>
      <c r="Q3047" s="73"/>
      <c r="R3047" s="111"/>
      <c r="S3047" s="75"/>
      <c r="T3047" s="73"/>
      <c r="X3047" s="189"/>
      <c r="Y3047" s="189"/>
      <c r="Z3047" s="100"/>
      <c r="AC3047" s="84"/>
      <c r="AD3047" s="189"/>
      <c r="AE3047" s="189"/>
      <c r="AF3047" s="189"/>
      <c r="AG3047" s="189"/>
      <c r="AH3047" s="189"/>
      <c r="AP3047" s="238"/>
    </row>
    <row r="3048" spans="3:42" s="45" customFormat="1" x14ac:dyDescent="0.2">
      <c r="C3048" s="189"/>
      <c r="F3048" s="73"/>
      <c r="M3048" s="111"/>
      <c r="N3048" s="73"/>
      <c r="O3048" s="73"/>
      <c r="P3048" s="73"/>
      <c r="Q3048" s="73"/>
      <c r="R3048" s="111"/>
      <c r="S3048" s="75"/>
      <c r="T3048" s="73"/>
      <c r="X3048" s="189"/>
      <c r="Y3048" s="189"/>
      <c r="Z3048" s="100"/>
      <c r="AC3048" s="84"/>
      <c r="AD3048" s="189"/>
      <c r="AE3048" s="189"/>
      <c r="AF3048" s="189"/>
      <c r="AG3048" s="189"/>
      <c r="AH3048" s="189"/>
      <c r="AP3048" s="238"/>
    </row>
    <row r="3049" spans="3:42" s="45" customFormat="1" x14ac:dyDescent="0.2">
      <c r="C3049" s="189"/>
      <c r="F3049" s="73"/>
      <c r="M3049" s="111"/>
      <c r="N3049" s="73"/>
      <c r="O3049" s="73"/>
      <c r="P3049" s="73"/>
      <c r="Q3049" s="73"/>
      <c r="R3049" s="111"/>
      <c r="S3049" s="75"/>
      <c r="T3049" s="73"/>
      <c r="X3049" s="189"/>
      <c r="Y3049" s="189"/>
      <c r="Z3049" s="100"/>
      <c r="AC3049" s="84"/>
      <c r="AD3049" s="189"/>
      <c r="AE3049" s="189"/>
      <c r="AF3049" s="189"/>
      <c r="AG3049" s="189"/>
      <c r="AH3049" s="189"/>
      <c r="AP3049" s="238"/>
    </row>
    <row r="3050" spans="3:42" s="45" customFormat="1" x14ac:dyDescent="0.2">
      <c r="C3050" s="189"/>
      <c r="F3050" s="73"/>
      <c r="M3050" s="111"/>
      <c r="N3050" s="73"/>
      <c r="O3050" s="73"/>
      <c r="P3050" s="73"/>
      <c r="Q3050" s="73"/>
      <c r="R3050" s="111"/>
      <c r="S3050" s="75"/>
      <c r="T3050" s="73"/>
      <c r="X3050" s="189"/>
      <c r="Y3050" s="189"/>
      <c r="Z3050" s="100"/>
      <c r="AC3050" s="84"/>
      <c r="AD3050" s="189"/>
      <c r="AE3050" s="189"/>
      <c r="AF3050" s="189"/>
      <c r="AG3050" s="189"/>
      <c r="AH3050" s="189"/>
      <c r="AP3050" s="238"/>
    </row>
    <row r="3051" spans="3:42" s="45" customFormat="1" x14ac:dyDescent="0.2">
      <c r="C3051" s="189"/>
      <c r="F3051" s="73"/>
      <c r="M3051" s="111"/>
      <c r="N3051" s="73"/>
      <c r="O3051" s="73"/>
      <c r="P3051" s="73"/>
      <c r="Q3051" s="73"/>
      <c r="R3051" s="111"/>
      <c r="S3051" s="75"/>
      <c r="T3051" s="73"/>
      <c r="X3051" s="189"/>
      <c r="Y3051" s="189"/>
      <c r="Z3051" s="100"/>
      <c r="AC3051" s="84"/>
      <c r="AD3051" s="189"/>
      <c r="AE3051" s="189"/>
      <c r="AF3051" s="189"/>
      <c r="AG3051" s="189"/>
      <c r="AH3051" s="189"/>
      <c r="AP3051" s="238"/>
    </row>
    <row r="3052" spans="3:42" s="45" customFormat="1" x14ac:dyDescent="0.2">
      <c r="C3052" s="189"/>
      <c r="F3052" s="73"/>
      <c r="M3052" s="111"/>
      <c r="N3052" s="73"/>
      <c r="O3052" s="73"/>
      <c r="P3052" s="73"/>
      <c r="Q3052" s="73"/>
      <c r="R3052" s="111"/>
      <c r="S3052" s="75"/>
      <c r="T3052" s="73"/>
      <c r="X3052" s="189"/>
      <c r="Y3052" s="189"/>
      <c r="Z3052" s="100"/>
      <c r="AC3052" s="84"/>
      <c r="AD3052" s="189"/>
      <c r="AE3052" s="189"/>
      <c r="AF3052" s="189"/>
      <c r="AG3052" s="189"/>
      <c r="AH3052" s="189"/>
      <c r="AP3052" s="238"/>
    </row>
    <row r="3053" spans="3:42" s="45" customFormat="1" x14ac:dyDescent="0.2">
      <c r="C3053" s="189"/>
      <c r="F3053" s="73"/>
      <c r="M3053" s="111"/>
      <c r="N3053" s="73"/>
      <c r="O3053" s="73"/>
      <c r="P3053" s="73"/>
      <c r="Q3053" s="73"/>
      <c r="R3053" s="111"/>
      <c r="S3053" s="75"/>
      <c r="T3053" s="73"/>
      <c r="X3053" s="189"/>
      <c r="Y3053" s="189"/>
      <c r="Z3053" s="100"/>
      <c r="AC3053" s="84"/>
      <c r="AD3053" s="189"/>
      <c r="AE3053" s="189"/>
      <c r="AF3053" s="189"/>
      <c r="AG3053" s="189"/>
      <c r="AH3053" s="189"/>
      <c r="AP3053" s="238"/>
    </row>
    <row r="3054" spans="3:42" s="45" customFormat="1" x14ac:dyDescent="0.2">
      <c r="C3054" s="189"/>
      <c r="F3054" s="73"/>
      <c r="M3054" s="111"/>
      <c r="N3054" s="73"/>
      <c r="O3054" s="73"/>
      <c r="P3054" s="73"/>
      <c r="Q3054" s="73"/>
      <c r="R3054" s="111"/>
      <c r="S3054" s="75"/>
      <c r="T3054" s="73"/>
      <c r="X3054" s="189"/>
      <c r="Y3054" s="189"/>
      <c r="Z3054" s="100"/>
      <c r="AC3054" s="84"/>
      <c r="AD3054" s="189"/>
      <c r="AE3054" s="189"/>
      <c r="AF3054" s="189"/>
      <c r="AG3054" s="189"/>
      <c r="AH3054" s="189"/>
      <c r="AP3054" s="238"/>
    </row>
    <row r="3055" spans="3:42" s="45" customFormat="1" x14ac:dyDescent="0.2">
      <c r="C3055" s="189"/>
      <c r="F3055" s="73"/>
      <c r="M3055" s="111"/>
      <c r="N3055" s="73"/>
      <c r="O3055" s="73"/>
      <c r="P3055" s="73"/>
      <c r="Q3055" s="73"/>
      <c r="R3055" s="111"/>
      <c r="S3055" s="75"/>
      <c r="T3055" s="73"/>
      <c r="X3055" s="189"/>
      <c r="Y3055" s="189"/>
      <c r="Z3055" s="100"/>
      <c r="AC3055" s="84"/>
      <c r="AD3055" s="189"/>
      <c r="AE3055" s="189"/>
      <c r="AF3055" s="189"/>
      <c r="AG3055" s="189"/>
      <c r="AH3055" s="189"/>
      <c r="AP3055" s="238"/>
    </row>
    <row r="3056" spans="3:42" s="45" customFormat="1" x14ac:dyDescent="0.2">
      <c r="C3056" s="189"/>
      <c r="F3056" s="73"/>
      <c r="M3056" s="111"/>
      <c r="N3056" s="73"/>
      <c r="O3056" s="73"/>
      <c r="P3056" s="73"/>
      <c r="Q3056" s="73"/>
      <c r="R3056" s="111"/>
      <c r="S3056" s="75"/>
      <c r="T3056" s="73"/>
      <c r="X3056" s="189"/>
      <c r="Y3056" s="189"/>
      <c r="Z3056" s="100"/>
      <c r="AC3056" s="84"/>
      <c r="AD3056" s="189"/>
      <c r="AE3056" s="189"/>
      <c r="AF3056" s="189"/>
      <c r="AG3056" s="189"/>
      <c r="AH3056" s="189"/>
      <c r="AP3056" s="238"/>
    </row>
    <row r="3057" spans="3:42" s="45" customFormat="1" x14ac:dyDescent="0.2">
      <c r="C3057" s="189"/>
      <c r="F3057" s="73"/>
      <c r="M3057" s="111"/>
      <c r="N3057" s="73"/>
      <c r="O3057" s="73"/>
      <c r="P3057" s="73"/>
      <c r="Q3057" s="73"/>
      <c r="R3057" s="111"/>
      <c r="S3057" s="75"/>
      <c r="T3057" s="73"/>
      <c r="X3057" s="189"/>
      <c r="Y3057" s="189"/>
      <c r="Z3057" s="100"/>
      <c r="AC3057" s="84"/>
      <c r="AD3057" s="189"/>
      <c r="AE3057" s="189"/>
      <c r="AF3057" s="189"/>
      <c r="AG3057" s="189"/>
      <c r="AH3057" s="189"/>
      <c r="AP3057" s="238"/>
    </row>
    <row r="3058" spans="3:42" s="45" customFormat="1" x14ac:dyDescent="0.2">
      <c r="C3058" s="189"/>
      <c r="F3058" s="73"/>
      <c r="M3058" s="111"/>
      <c r="N3058" s="73"/>
      <c r="O3058" s="73"/>
      <c r="P3058" s="73"/>
      <c r="Q3058" s="73"/>
      <c r="R3058" s="111"/>
      <c r="S3058" s="75"/>
      <c r="T3058" s="73"/>
      <c r="X3058" s="189"/>
      <c r="Y3058" s="189"/>
      <c r="Z3058" s="100"/>
      <c r="AC3058" s="84"/>
      <c r="AD3058" s="189"/>
      <c r="AE3058" s="189"/>
      <c r="AF3058" s="189"/>
      <c r="AG3058" s="189"/>
      <c r="AH3058" s="189"/>
      <c r="AP3058" s="238"/>
    </row>
    <row r="3059" spans="3:42" s="45" customFormat="1" x14ac:dyDescent="0.2">
      <c r="C3059" s="189"/>
      <c r="F3059" s="73"/>
      <c r="M3059" s="111"/>
      <c r="N3059" s="73"/>
      <c r="O3059" s="73"/>
      <c r="P3059" s="73"/>
      <c r="Q3059" s="73"/>
      <c r="R3059" s="111"/>
      <c r="S3059" s="75"/>
      <c r="T3059" s="73"/>
      <c r="X3059" s="189"/>
      <c r="Y3059" s="189"/>
      <c r="Z3059" s="100"/>
      <c r="AC3059" s="84"/>
      <c r="AD3059" s="189"/>
      <c r="AE3059" s="189"/>
      <c r="AF3059" s="189"/>
      <c r="AG3059" s="189"/>
      <c r="AH3059" s="189"/>
      <c r="AP3059" s="238"/>
    </row>
    <row r="3060" spans="3:42" s="45" customFormat="1" x14ac:dyDescent="0.2">
      <c r="C3060" s="189"/>
      <c r="F3060" s="73"/>
      <c r="M3060" s="111"/>
      <c r="N3060" s="73"/>
      <c r="O3060" s="73"/>
      <c r="P3060" s="73"/>
      <c r="Q3060" s="73"/>
      <c r="R3060" s="111"/>
      <c r="S3060" s="75"/>
      <c r="T3060" s="73"/>
      <c r="X3060" s="189"/>
      <c r="Y3060" s="189"/>
      <c r="Z3060" s="100"/>
      <c r="AC3060" s="84"/>
      <c r="AD3060" s="189"/>
      <c r="AE3060" s="189"/>
      <c r="AF3060" s="189"/>
      <c r="AG3060" s="189"/>
      <c r="AH3060" s="189"/>
      <c r="AP3060" s="238"/>
    </row>
    <row r="3061" spans="3:42" s="45" customFormat="1" x14ac:dyDescent="0.2">
      <c r="C3061" s="189"/>
      <c r="F3061" s="73"/>
      <c r="M3061" s="111"/>
      <c r="N3061" s="73"/>
      <c r="O3061" s="73"/>
      <c r="P3061" s="73"/>
      <c r="Q3061" s="73"/>
      <c r="R3061" s="111"/>
      <c r="S3061" s="75"/>
      <c r="T3061" s="73"/>
      <c r="X3061" s="189"/>
      <c r="Y3061" s="189"/>
      <c r="Z3061" s="100"/>
      <c r="AC3061" s="84"/>
      <c r="AD3061" s="189"/>
      <c r="AE3061" s="189"/>
      <c r="AF3061" s="189"/>
      <c r="AG3061" s="189"/>
      <c r="AH3061" s="189"/>
      <c r="AP3061" s="238"/>
    </row>
    <row r="3062" spans="3:42" s="45" customFormat="1" x14ac:dyDescent="0.2">
      <c r="C3062" s="189"/>
      <c r="F3062" s="73"/>
      <c r="M3062" s="111"/>
      <c r="N3062" s="73"/>
      <c r="O3062" s="73"/>
      <c r="P3062" s="73"/>
      <c r="Q3062" s="73"/>
      <c r="R3062" s="111"/>
      <c r="S3062" s="75"/>
      <c r="T3062" s="73"/>
      <c r="X3062" s="189"/>
      <c r="Y3062" s="189"/>
      <c r="Z3062" s="100"/>
      <c r="AC3062" s="84"/>
      <c r="AD3062" s="189"/>
      <c r="AE3062" s="189"/>
      <c r="AF3062" s="189"/>
      <c r="AG3062" s="189"/>
      <c r="AH3062" s="189"/>
      <c r="AP3062" s="238"/>
    </row>
    <row r="3063" spans="3:42" s="45" customFormat="1" x14ac:dyDescent="0.2">
      <c r="C3063" s="189"/>
      <c r="F3063" s="73"/>
      <c r="M3063" s="111"/>
      <c r="N3063" s="73"/>
      <c r="O3063" s="73"/>
      <c r="P3063" s="73"/>
      <c r="Q3063" s="73"/>
      <c r="R3063" s="111"/>
      <c r="S3063" s="75"/>
      <c r="T3063" s="73"/>
      <c r="X3063" s="189"/>
      <c r="Y3063" s="189"/>
      <c r="Z3063" s="100"/>
      <c r="AC3063" s="84"/>
      <c r="AD3063" s="189"/>
      <c r="AE3063" s="189"/>
      <c r="AF3063" s="189"/>
      <c r="AG3063" s="189"/>
      <c r="AH3063" s="189"/>
      <c r="AP3063" s="238"/>
    </row>
    <row r="3064" spans="3:42" s="45" customFormat="1" x14ac:dyDescent="0.2">
      <c r="C3064" s="189"/>
      <c r="F3064" s="73"/>
      <c r="M3064" s="111"/>
      <c r="N3064" s="73"/>
      <c r="O3064" s="73"/>
      <c r="P3064" s="73"/>
      <c r="Q3064" s="73"/>
      <c r="R3064" s="111"/>
      <c r="S3064" s="75"/>
      <c r="T3064" s="73"/>
      <c r="X3064" s="189"/>
      <c r="Y3064" s="189"/>
      <c r="Z3064" s="100"/>
      <c r="AC3064" s="84"/>
      <c r="AD3064" s="189"/>
      <c r="AE3064" s="189"/>
      <c r="AF3064" s="189"/>
      <c r="AG3064" s="189"/>
      <c r="AH3064" s="189"/>
      <c r="AP3064" s="238"/>
    </row>
    <row r="3065" spans="3:42" s="45" customFormat="1" x14ac:dyDescent="0.2">
      <c r="C3065" s="189"/>
      <c r="F3065" s="73"/>
      <c r="M3065" s="111"/>
      <c r="N3065" s="73"/>
      <c r="O3065" s="73"/>
      <c r="P3065" s="73"/>
      <c r="Q3065" s="73"/>
      <c r="R3065" s="111"/>
      <c r="S3065" s="75"/>
      <c r="T3065" s="73"/>
      <c r="X3065" s="189"/>
      <c r="Y3065" s="189"/>
      <c r="Z3065" s="100"/>
      <c r="AC3065" s="84"/>
      <c r="AD3065" s="189"/>
      <c r="AE3065" s="189"/>
      <c r="AF3065" s="189"/>
      <c r="AG3065" s="189"/>
      <c r="AH3065" s="189"/>
      <c r="AP3065" s="238"/>
    </row>
    <row r="3066" spans="3:42" s="45" customFormat="1" x14ac:dyDescent="0.2">
      <c r="C3066" s="189"/>
      <c r="F3066" s="73"/>
      <c r="M3066" s="111"/>
      <c r="N3066" s="73"/>
      <c r="O3066" s="73"/>
      <c r="P3066" s="73"/>
      <c r="Q3066" s="73"/>
      <c r="R3066" s="111"/>
      <c r="S3066" s="75"/>
      <c r="T3066" s="73"/>
      <c r="X3066" s="189"/>
      <c r="Y3066" s="189"/>
      <c r="Z3066" s="100"/>
      <c r="AC3066" s="84"/>
      <c r="AD3066" s="189"/>
      <c r="AE3066" s="189"/>
      <c r="AF3066" s="189"/>
      <c r="AG3066" s="189"/>
      <c r="AH3066" s="189"/>
      <c r="AP3066" s="238"/>
    </row>
    <row r="3067" spans="3:42" s="45" customFormat="1" x14ac:dyDescent="0.2">
      <c r="C3067" s="189"/>
      <c r="F3067" s="73"/>
      <c r="M3067" s="111"/>
      <c r="N3067" s="73"/>
      <c r="O3067" s="73"/>
      <c r="P3067" s="73"/>
      <c r="Q3067" s="73"/>
      <c r="R3067" s="111"/>
      <c r="S3067" s="75"/>
      <c r="T3067" s="73"/>
      <c r="X3067" s="189"/>
      <c r="Y3067" s="189"/>
      <c r="Z3067" s="100"/>
      <c r="AC3067" s="84"/>
      <c r="AD3067" s="189"/>
      <c r="AE3067" s="189"/>
      <c r="AF3067" s="189"/>
      <c r="AG3067" s="189"/>
      <c r="AH3067" s="189"/>
      <c r="AP3067" s="238"/>
    </row>
    <row r="3068" spans="3:42" s="45" customFormat="1" x14ac:dyDescent="0.2">
      <c r="C3068" s="189"/>
      <c r="F3068" s="73"/>
      <c r="M3068" s="111"/>
      <c r="N3068" s="73"/>
      <c r="O3068" s="73"/>
      <c r="P3068" s="73"/>
      <c r="Q3068" s="73"/>
      <c r="R3068" s="111"/>
      <c r="S3068" s="75"/>
      <c r="T3068" s="73"/>
      <c r="X3068" s="189"/>
      <c r="Y3068" s="189"/>
      <c r="Z3068" s="100"/>
      <c r="AC3068" s="84"/>
      <c r="AD3068" s="189"/>
      <c r="AE3068" s="189"/>
      <c r="AF3068" s="189"/>
      <c r="AG3068" s="189"/>
      <c r="AH3068" s="189"/>
      <c r="AP3068" s="238"/>
    </row>
    <row r="3069" spans="3:42" s="45" customFormat="1" x14ac:dyDescent="0.2">
      <c r="C3069" s="189"/>
      <c r="F3069" s="73"/>
      <c r="M3069" s="111"/>
      <c r="N3069" s="73"/>
      <c r="O3069" s="73"/>
      <c r="P3069" s="73"/>
      <c r="Q3069" s="73"/>
      <c r="R3069" s="111"/>
      <c r="S3069" s="75"/>
      <c r="T3069" s="73"/>
      <c r="X3069" s="189"/>
      <c r="Y3069" s="189"/>
      <c r="Z3069" s="100"/>
      <c r="AC3069" s="84"/>
      <c r="AD3069" s="189"/>
      <c r="AE3069" s="189"/>
      <c r="AF3069" s="189"/>
      <c r="AG3069" s="189"/>
      <c r="AH3069" s="189"/>
      <c r="AP3069" s="238"/>
    </row>
    <row r="3070" spans="3:42" s="45" customFormat="1" x14ac:dyDescent="0.2">
      <c r="C3070" s="189"/>
      <c r="F3070" s="73"/>
      <c r="M3070" s="111"/>
      <c r="N3070" s="73"/>
      <c r="O3070" s="73"/>
      <c r="P3070" s="73"/>
      <c r="Q3070" s="73"/>
      <c r="R3070" s="111"/>
      <c r="S3070" s="75"/>
      <c r="T3070" s="73"/>
      <c r="X3070" s="189"/>
      <c r="Y3070" s="189"/>
      <c r="Z3070" s="100"/>
      <c r="AC3070" s="84"/>
      <c r="AD3070" s="189"/>
      <c r="AE3070" s="189"/>
      <c r="AF3070" s="189"/>
      <c r="AG3070" s="189"/>
      <c r="AH3070" s="189"/>
      <c r="AP3070" s="238"/>
    </row>
    <row r="3071" spans="3:42" s="45" customFormat="1" x14ac:dyDescent="0.2">
      <c r="C3071" s="189"/>
      <c r="F3071" s="73"/>
      <c r="M3071" s="111"/>
      <c r="N3071" s="73"/>
      <c r="O3071" s="73"/>
      <c r="P3071" s="73"/>
      <c r="Q3071" s="73"/>
      <c r="R3071" s="111"/>
      <c r="S3071" s="75"/>
      <c r="T3071" s="73"/>
      <c r="X3071" s="189"/>
      <c r="Y3071" s="189"/>
      <c r="Z3071" s="100"/>
      <c r="AC3071" s="84"/>
      <c r="AD3071" s="189"/>
      <c r="AE3071" s="189"/>
      <c r="AF3071" s="189"/>
      <c r="AG3071" s="189"/>
      <c r="AH3071" s="189"/>
      <c r="AP3071" s="238"/>
    </row>
    <row r="3072" spans="3:42" s="45" customFormat="1" x14ac:dyDescent="0.2">
      <c r="C3072" s="189"/>
      <c r="F3072" s="73"/>
      <c r="M3072" s="111"/>
      <c r="N3072" s="73"/>
      <c r="O3072" s="73"/>
      <c r="P3072" s="73"/>
      <c r="Q3072" s="73"/>
      <c r="R3072" s="111"/>
      <c r="S3072" s="75"/>
      <c r="T3072" s="73"/>
      <c r="X3072" s="189"/>
      <c r="Y3072" s="189"/>
      <c r="Z3072" s="100"/>
      <c r="AC3072" s="84"/>
      <c r="AD3072" s="189"/>
      <c r="AE3072" s="189"/>
      <c r="AF3072" s="189"/>
      <c r="AG3072" s="189"/>
      <c r="AH3072" s="189"/>
      <c r="AP3072" s="238"/>
    </row>
    <row r="3073" spans="3:42" s="45" customFormat="1" x14ac:dyDescent="0.2">
      <c r="C3073" s="189"/>
      <c r="F3073" s="73"/>
      <c r="M3073" s="111"/>
      <c r="N3073" s="73"/>
      <c r="O3073" s="73"/>
      <c r="P3073" s="73"/>
      <c r="Q3073" s="73"/>
      <c r="R3073" s="111"/>
      <c r="S3073" s="75"/>
      <c r="T3073" s="73"/>
      <c r="X3073" s="189"/>
      <c r="Y3073" s="189"/>
      <c r="Z3073" s="100"/>
      <c r="AC3073" s="84"/>
      <c r="AD3073" s="189"/>
      <c r="AE3073" s="189"/>
      <c r="AF3073" s="189"/>
      <c r="AG3073" s="189"/>
      <c r="AH3073" s="189"/>
      <c r="AP3073" s="238"/>
    </row>
    <row r="3074" spans="3:42" s="45" customFormat="1" x14ac:dyDescent="0.2">
      <c r="C3074" s="189"/>
      <c r="F3074" s="73"/>
      <c r="M3074" s="111"/>
      <c r="N3074" s="73"/>
      <c r="O3074" s="73"/>
      <c r="P3074" s="73"/>
      <c r="Q3074" s="73"/>
      <c r="R3074" s="111"/>
      <c r="S3074" s="75"/>
      <c r="T3074" s="73"/>
      <c r="X3074" s="189"/>
      <c r="Y3074" s="189"/>
      <c r="Z3074" s="100"/>
      <c r="AC3074" s="84"/>
      <c r="AD3074" s="189"/>
      <c r="AE3074" s="189"/>
      <c r="AF3074" s="189"/>
      <c r="AG3074" s="189"/>
      <c r="AH3074" s="189"/>
      <c r="AP3074" s="238"/>
    </row>
    <row r="3075" spans="3:42" s="45" customFormat="1" x14ac:dyDescent="0.2">
      <c r="C3075" s="189"/>
      <c r="F3075" s="73"/>
      <c r="M3075" s="111"/>
      <c r="N3075" s="73"/>
      <c r="O3075" s="73"/>
      <c r="P3075" s="73"/>
      <c r="Q3075" s="73"/>
      <c r="R3075" s="111"/>
      <c r="S3075" s="75"/>
      <c r="T3075" s="73"/>
      <c r="X3075" s="189"/>
      <c r="Y3075" s="189"/>
      <c r="Z3075" s="100"/>
      <c r="AC3075" s="84"/>
      <c r="AD3075" s="189"/>
      <c r="AE3075" s="189"/>
      <c r="AF3075" s="189"/>
      <c r="AG3075" s="189"/>
      <c r="AH3075" s="189"/>
      <c r="AP3075" s="238"/>
    </row>
    <row r="3076" spans="3:42" s="45" customFormat="1" x14ac:dyDescent="0.2">
      <c r="C3076" s="189"/>
      <c r="F3076" s="73"/>
      <c r="M3076" s="111"/>
      <c r="N3076" s="73"/>
      <c r="O3076" s="73"/>
      <c r="P3076" s="73"/>
      <c r="Q3076" s="73"/>
      <c r="R3076" s="111"/>
      <c r="S3076" s="75"/>
      <c r="T3076" s="73"/>
      <c r="X3076" s="189"/>
      <c r="Y3076" s="189"/>
      <c r="Z3076" s="100"/>
      <c r="AC3076" s="84"/>
      <c r="AD3076" s="189"/>
      <c r="AE3076" s="189"/>
      <c r="AF3076" s="189"/>
      <c r="AG3076" s="189"/>
      <c r="AH3076" s="189"/>
      <c r="AP3076" s="238"/>
    </row>
    <row r="3077" spans="3:42" s="45" customFormat="1" x14ac:dyDescent="0.2">
      <c r="C3077" s="189"/>
      <c r="F3077" s="73"/>
      <c r="M3077" s="111"/>
      <c r="N3077" s="73"/>
      <c r="O3077" s="73"/>
      <c r="P3077" s="73"/>
      <c r="Q3077" s="73"/>
      <c r="R3077" s="111"/>
      <c r="S3077" s="75"/>
      <c r="T3077" s="73"/>
      <c r="X3077" s="189"/>
      <c r="Y3077" s="189"/>
      <c r="Z3077" s="100"/>
      <c r="AC3077" s="84"/>
      <c r="AD3077" s="189"/>
      <c r="AE3077" s="189"/>
      <c r="AF3077" s="189"/>
      <c r="AG3077" s="189"/>
      <c r="AH3077" s="189"/>
      <c r="AP3077" s="238"/>
    </row>
    <row r="3078" spans="3:42" s="45" customFormat="1" x14ac:dyDescent="0.2">
      <c r="C3078" s="189"/>
      <c r="F3078" s="73"/>
      <c r="M3078" s="111"/>
      <c r="N3078" s="73"/>
      <c r="O3078" s="73"/>
      <c r="P3078" s="73"/>
      <c r="Q3078" s="73"/>
      <c r="R3078" s="111"/>
      <c r="S3078" s="75"/>
      <c r="T3078" s="73"/>
      <c r="X3078" s="189"/>
      <c r="Y3078" s="189"/>
      <c r="Z3078" s="100"/>
      <c r="AC3078" s="84"/>
      <c r="AD3078" s="189"/>
      <c r="AE3078" s="189"/>
      <c r="AF3078" s="189"/>
      <c r="AG3078" s="189"/>
      <c r="AH3078" s="189"/>
      <c r="AP3078" s="238"/>
    </row>
    <row r="3079" spans="3:42" s="45" customFormat="1" x14ac:dyDescent="0.2">
      <c r="C3079" s="189"/>
      <c r="F3079" s="73"/>
      <c r="M3079" s="111"/>
      <c r="N3079" s="73"/>
      <c r="O3079" s="73"/>
      <c r="P3079" s="73"/>
      <c r="Q3079" s="73"/>
      <c r="R3079" s="111"/>
      <c r="S3079" s="75"/>
      <c r="T3079" s="73"/>
      <c r="X3079" s="189"/>
      <c r="Y3079" s="189"/>
      <c r="Z3079" s="100"/>
      <c r="AC3079" s="84"/>
      <c r="AD3079" s="189"/>
      <c r="AE3079" s="189"/>
      <c r="AF3079" s="189"/>
      <c r="AG3079" s="189"/>
      <c r="AH3079" s="189"/>
      <c r="AP3079" s="238"/>
    </row>
    <row r="3080" spans="3:42" s="45" customFormat="1" x14ac:dyDescent="0.2">
      <c r="C3080" s="189"/>
      <c r="F3080" s="73"/>
      <c r="M3080" s="111"/>
      <c r="N3080" s="73"/>
      <c r="O3080" s="73"/>
      <c r="P3080" s="73"/>
      <c r="Q3080" s="73"/>
      <c r="R3080" s="111"/>
      <c r="S3080" s="75"/>
      <c r="T3080" s="73"/>
      <c r="X3080" s="189"/>
      <c r="Y3080" s="189"/>
      <c r="Z3080" s="100"/>
      <c r="AC3080" s="84"/>
      <c r="AD3080" s="189"/>
      <c r="AE3080" s="189"/>
      <c r="AF3080" s="189"/>
      <c r="AG3080" s="189"/>
      <c r="AH3080" s="189"/>
      <c r="AP3080" s="238"/>
    </row>
    <row r="3081" spans="3:42" s="45" customFormat="1" x14ac:dyDescent="0.2">
      <c r="C3081" s="189"/>
      <c r="F3081" s="73"/>
      <c r="M3081" s="111"/>
      <c r="N3081" s="73"/>
      <c r="O3081" s="73"/>
      <c r="P3081" s="73"/>
      <c r="Q3081" s="73"/>
      <c r="R3081" s="111"/>
      <c r="S3081" s="75"/>
      <c r="T3081" s="73"/>
      <c r="X3081" s="189"/>
      <c r="Y3081" s="189"/>
      <c r="Z3081" s="100"/>
      <c r="AC3081" s="84"/>
      <c r="AD3081" s="189"/>
      <c r="AE3081" s="189"/>
      <c r="AF3081" s="189"/>
      <c r="AG3081" s="189"/>
      <c r="AH3081" s="189"/>
      <c r="AP3081" s="238"/>
    </row>
    <row r="3082" spans="3:42" s="45" customFormat="1" x14ac:dyDescent="0.2">
      <c r="C3082" s="189"/>
      <c r="F3082" s="73"/>
      <c r="M3082" s="111"/>
      <c r="N3082" s="73"/>
      <c r="O3082" s="73"/>
      <c r="P3082" s="73"/>
      <c r="Q3082" s="73"/>
      <c r="R3082" s="111"/>
      <c r="S3082" s="75"/>
      <c r="T3082" s="73"/>
      <c r="X3082" s="189"/>
      <c r="Y3082" s="189"/>
      <c r="Z3082" s="100"/>
      <c r="AC3082" s="84"/>
      <c r="AD3082" s="189"/>
      <c r="AE3082" s="189"/>
      <c r="AF3082" s="189"/>
      <c r="AG3082" s="189"/>
      <c r="AH3082" s="189"/>
      <c r="AP3082" s="238"/>
    </row>
    <row r="3083" spans="3:42" s="45" customFormat="1" x14ac:dyDescent="0.2">
      <c r="C3083" s="189"/>
      <c r="F3083" s="73"/>
      <c r="M3083" s="111"/>
      <c r="N3083" s="73"/>
      <c r="O3083" s="73"/>
      <c r="P3083" s="73"/>
      <c r="Q3083" s="73"/>
      <c r="R3083" s="111"/>
      <c r="S3083" s="75"/>
      <c r="T3083" s="73"/>
      <c r="X3083" s="189"/>
      <c r="Y3083" s="189"/>
      <c r="Z3083" s="100"/>
      <c r="AC3083" s="84"/>
      <c r="AD3083" s="189"/>
      <c r="AE3083" s="189"/>
      <c r="AF3083" s="189"/>
      <c r="AG3083" s="189"/>
      <c r="AH3083" s="189"/>
      <c r="AP3083" s="238"/>
    </row>
    <row r="3084" spans="3:42" s="45" customFormat="1" x14ac:dyDescent="0.2">
      <c r="C3084" s="189"/>
      <c r="F3084" s="73"/>
      <c r="M3084" s="111"/>
      <c r="N3084" s="73"/>
      <c r="O3084" s="73"/>
      <c r="P3084" s="73"/>
      <c r="Q3084" s="73"/>
      <c r="R3084" s="111"/>
      <c r="S3084" s="75"/>
      <c r="T3084" s="73"/>
      <c r="X3084" s="189"/>
      <c r="Y3084" s="189"/>
      <c r="Z3084" s="100"/>
      <c r="AC3084" s="84"/>
      <c r="AD3084" s="189"/>
      <c r="AE3084" s="189"/>
      <c r="AF3084" s="189"/>
      <c r="AG3084" s="189"/>
      <c r="AH3084" s="189"/>
      <c r="AP3084" s="238"/>
    </row>
    <row r="3085" spans="3:42" s="45" customFormat="1" x14ac:dyDescent="0.2">
      <c r="C3085" s="189"/>
      <c r="F3085" s="73"/>
      <c r="M3085" s="111"/>
      <c r="N3085" s="73"/>
      <c r="O3085" s="73"/>
      <c r="P3085" s="73"/>
      <c r="Q3085" s="73"/>
      <c r="R3085" s="111"/>
      <c r="S3085" s="75"/>
      <c r="T3085" s="73"/>
      <c r="X3085" s="189"/>
      <c r="Y3085" s="189"/>
      <c r="Z3085" s="100"/>
      <c r="AC3085" s="84"/>
      <c r="AD3085" s="189"/>
      <c r="AE3085" s="189"/>
      <c r="AF3085" s="189"/>
      <c r="AG3085" s="189"/>
      <c r="AH3085" s="189"/>
      <c r="AP3085" s="238"/>
    </row>
    <row r="3086" spans="3:42" s="45" customFormat="1" x14ac:dyDescent="0.2">
      <c r="C3086" s="189"/>
      <c r="F3086" s="73"/>
      <c r="M3086" s="111"/>
      <c r="N3086" s="73"/>
      <c r="O3086" s="73"/>
      <c r="P3086" s="73"/>
      <c r="Q3086" s="73"/>
      <c r="R3086" s="111"/>
      <c r="S3086" s="75"/>
      <c r="T3086" s="73"/>
      <c r="X3086" s="189"/>
      <c r="Y3086" s="189"/>
      <c r="Z3086" s="100"/>
      <c r="AC3086" s="84"/>
      <c r="AD3086" s="189"/>
      <c r="AE3086" s="189"/>
      <c r="AF3086" s="189"/>
      <c r="AG3086" s="189"/>
      <c r="AH3086" s="189"/>
      <c r="AP3086" s="238"/>
    </row>
    <row r="3087" spans="3:42" s="45" customFormat="1" x14ac:dyDescent="0.2">
      <c r="C3087" s="189"/>
      <c r="F3087" s="73"/>
      <c r="M3087" s="111"/>
      <c r="N3087" s="73"/>
      <c r="O3087" s="73"/>
      <c r="P3087" s="73"/>
      <c r="Q3087" s="73"/>
      <c r="R3087" s="111"/>
      <c r="S3087" s="75"/>
      <c r="T3087" s="73"/>
      <c r="X3087" s="189"/>
      <c r="Y3087" s="189"/>
      <c r="Z3087" s="100"/>
      <c r="AC3087" s="84"/>
      <c r="AD3087" s="189"/>
      <c r="AE3087" s="189"/>
      <c r="AF3087" s="189"/>
      <c r="AG3087" s="189"/>
      <c r="AH3087" s="189"/>
      <c r="AP3087" s="238"/>
    </row>
    <row r="3088" spans="3:42" s="45" customFormat="1" x14ac:dyDescent="0.2">
      <c r="C3088" s="189"/>
      <c r="F3088" s="73"/>
      <c r="M3088" s="111"/>
      <c r="N3088" s="73"/>
      <c r="O3088" s="73"/>
      <c r="P3088" s="73"/>
      <c r="Q3088" s="73"/>
      <c r="R3088" s="111"/>
      <c r="S3088" s="75"/>
      <c r="T3088" s="73"/>
      <c r="X3088" s="189"/>
      <c r="Y3088" s="189"/>
      <c r="Z3088" s="100"/>
      <c r="AC3088" s="84"/>
      <c r="AD3088" s="189"/>
      <c r="AE3088" s="189"/>
      <c r="AF3088" s="189"/>
      <c r="AG3088" s="189"/>
      <c r="AH3088" s="189"/>
      <c r="AP3088" s="238"/>
    </row>
    <row r="3089" spans="3:42" s="45" customFormat="1" x14ac:dyDescent="0.2">
      <c r="C3089" s="189"/>
      <c r="F3089" s="73"/>
      <c r="M3089" s="111"/>
      <c r="N3089" s="73"/>
      <c r="O3089" s="73"/>
      <c r="P3089" s="73"/>
      <c r="Q3089" s="73"/>
      <c r="R3089" s="111"/>
      <c r="S3089" s="75"/>
      <c r="T3089" s="73"/>
      <c r="X3089" s="189"/>
      <c r="Y3089" s="189"/>
      <c r="Z3089" s="100"/>
      <c r="AC3089" s="84"/>
      <c r="AD3089" s="189"/>
      <c r="AE3089" s="189"/>
      <c r="AF3089" s="189"/>
      <c r="AG3089" s="189"/>
      <c r="AH3089" s="189"/>
      <c r="AP3089" s="238"/>
    </row>
    <row r="3090" spans="3:42" s="45" customFormat="1" x14ac:dyDescent="0.2">
      <c r="C3090" s="189"/>
      <c r="F3090" s="73"/>
      <c r="M3090" s="111"/>
      <c r="N3090" s="73"/>
      <c r="O3090" s="73"/>
      <c r="P3090" s="73"/>
      <c r="Q3090" s="73"/>
      <c r="R3090" s="111"/>
      <c r="S3090" s="75"/>
      <c r="T3090" s="73"/>
      <c r="X3090" s="189"/>
      <c r="Y3090" s="189"/>
      <c r="Z3090" s="100"/>
      <c r="AC3090" s="84"/>
      <c r="AD3090" s="189"/>
      <c r="AE3090" s="189"/>
      <c r="AF3090" s="189"/>
      <c r="AG3090" s="189"/>
      <c r="AH3090" s="189"/>
      <c r="AP3090" s="238"/>
    </row>
    <row r="3091" spans="3:42" s="45" customFormat="1" x14ac:dyDescent="0.2">
      <c r="C3091" s="189"/>
      <c r="F3091" s="73"/>
      <c r="M3091" s="111"/>
      <c r="N3091" s="73"/>
      <c r="O3091" s="73"/>
      <c r="P3091" s="73"/>
      <c r="Q3091" s="73"/>
      <c r="R3091" s="111"/>
      <c r="S3091" s="75"/>
      <c r="T3091" s="73"/>
      <c r="X3091" s="189"/>
      <c r="Y3091" s="189"/>
      <c r="Z3091" s="100"/>
      <c r="AC3091" s="84"/>
      <c r="AD3091" s="189"/>
      <c r="AE3091" s="189"/>
      <c r="AF3091" s="189"/>
      <c r="AG3091" s="189"/>
      <c r="AH3091" s="189"/>
      <c r="AP3091" s="238"/>
    </row>
    <row r="3092" spans="3:42" s="45" customFormat="1" x14ac:dyDescent="0.2">
      <c r="C3092" s="189"/>
      <c r="F3092" s="73"/>
      <c r="M3092" s="111"/>
      <c r="N3092" s="73"/>
      <c r="O3092" s="73"/>
      <c r="P3092" s="73"/>
      <c r="Q3092" s="73"/>
      <c r="R3092" s="111"/>
      <c r="S3092" s="75"/>
      <c r="T3092" s="73"/>
      <c r="X3092" s="189"/>
      <c r="Y3092" s="189"/>
      <c r="Z3092" s="100"/>
      <c r="AC3092" s="84"/>
      <c r="AD3092" s="189"/>
      <c r="AE3092" s="189"/>
      <c r="AF3092" s="189"/>
      <c r="AG3092" s="189"/>
      <c r="AH3092" s="189"/>
      <c r="AP3092" s="238"/>
    </row>
    <row r="3093" spans="3:42" s="45" customFormat="1" x14ac:dyDescent="0.2">
      <c r="C3093" s="189"/>
      <c r="F3093" s="73"/>
      <c r="M3093" s="111"/>
      <c r="N3093" s="73"/>
      <c r="O3093" s="73"/>
      <c r="P3093" s="73"/>
      <c r="Q3093" s="73"/>
      <c r="R3093" s="111"/>
      <c r="S3093" s="75"/>
      <c r="T3093" s="73"/>
      <c r="X3093" s="189"/>
      <c r="Y3093" s="189"/>
      <c r="Z3093" s="100"/>
      <c r="AC3093" s="84"/>
      <c r="AD3093" s="189"/>
      <c r="AE3093" s="189"/>
      <c r="AF3093" s="189"/>
      <c r="AG3093" s="189"/>
      <c r="AH3093" s="189"/>
      <c r="AP3093" s="238"/>
    </row>
    <row r="3094" spans="3:42" s="45" customFormat="1" x14ac:dyDescent="0.2">
      <c r="C3094" s="189"/>
      <c r="F3094" s="73"/>
      <c r="M3094" s="111"/>
      <c r="N3094" s="73"/>
      <c r="O3094" s="73"/>
      <c r="P3094" s="73"/>
      <c r="Q3094" s="73"/>
      <c r="R3094" s="111"/>
      <c r="S3094" s="75"/>
      <c r="T3094" s="73"/>
      <c r="X3094" s="189"/>
      <c r="Y3094" s="189"/>
      <c r="Z3094" s="100"/>
      <c r="AC3094" s="84"/>
      <c r="AD3094" s="189"/>
      <c r="AE3094" s="189"/>
      <c r="AF3094" s="189"/>
      <c r="AG3094" s="189"/>
      <c r="AH3094" s="189"/>
      <c r="AP3094" s="238"/>
    </row>
    <row r="3095" spans="3:42" s="45" customFormat="1" x14ac:dyDescent="0.2">
      <c r="C3095" s="189"/>
      <c r="F3095" s="73"/>
      <c r="M3095" s="111"/>
      <c r="N3095" s="73"/>
      <c r="O3095" s="73"/>
      <c r="P3095" s="73"/>
      <c r="Q3095" s="73"/>
      <c r="R3095" s="111"/>
      <c r="S3095" s="75"/>
      <c r="T3095" s="73"/>
      <c r="X3095" s="189"/>
      <c r="Y3095" s="189"/>
      <c r="Z3095" s="100"/>
      <c r="AC3095" s="84"/>
      <c r="AD3095" s="189"/>
      <c r="AE3095" s="189"/>
      <c r="AF3095" s="189"/>
      <c r="AG3095" s="189"/>
      <c r="AH3095" s="189"/>
      <c r="AP3095" s="238"/>
    </row>
    <row r="3096" spans="3:42" s="45" customFormat="1" x14ac:dyDescent="0.2">
      <c r="C3096" s="189"/>
      <c r="F3096" s="73"/>
      <c r="M3096" s="111"/>
      <c r="N3096" s="73"/>
      <c r="O3096" s="73"/>
      <c r="P3096" s="73"/>
      <c r="Q3096" s="73"/>
      <c r="R3096" s="111"/>
      <c r="S3096" s="75"/>
      <c r="T3096" s="73"/>
      <c r="X3096" s="189"/>
      <c r="Y3096" s="189"/>
      <c r="Z3096" s="100"/>
      <c r="AC3096" s="84"/>
      <c r="AD3096" s="189"/>
      <c r="AE3096" s="189"/>
      <c r="AF3096" s="189"/>
      <c r="AG3096" s="189"/>
      <c r="AH3096" s="189"/>
      <c r="AP3096" s="238"/>
    </row>
    <row r="3097" spans="3:42" s="45" customFormat="1" x14ac:dyDescent="0.2">
      <c r="C3097" s="189"/>
      <c r="F3097" s="73"/>
      <c r="M3097" s="111"/>
      <c r="N3097" s="73"/>
      <c r="O3097" s="73"/>
      <c r="P3097" s="73"/>
      <c r="Q3097" s="73"/>
      <c r="R3097" s="111"/>
      <c r="S3097" s="75"/>
      <c r="T3097" s="73"/>
      <c r="X3097" s="189"/>
      <c r="Y3097" s="189"/>
      <c r="Z3097" s="100"/>
      <c r="AC3097" s="84"/>
      <c r="AD3097" s="189"/>
      <c r="AE3097" s="189"/>
      <c r="AF3097" s="189"/>
      <c r="AG3097" s="189"/>
      <c r="AH3097" s="189"/>
      <c r="AP3097" s="238"/>
    </row>
    <row r="3098" spans="3:42" s="45" customFormat="1" x14ac:dyDescent="0.2">
      <c r="C3098" s="189"/>
      <c r="F3098" s="73"/>
      <c r="M3098" s="111"/>
      <c r="N3098" s="73"/>
      <c r="O3098" s="73"/>
      <c r="P3098" s="73"/>
      <c r="Q3098" s="73"/>
      <c r="R3098" s="111"/>
      <c r="S3098" s="75"/>
      <c r="T3098" s="73"/>
      <c r="X3098" s="189"/>
      <c r="Y3098" s="189"/>
      <c r="Z3098" s="100"/>
      <c r="AC3098" s="84"/>
      <c r="AD3098" s="189"/>
      <c r="AE3098" s="189"/>
      <c r="AF3098" s="189"/>
      <c r="AG3098" s="189"/>
      <c r="AH3098" s="189"/>
      <c r="AP3098" s="238"/>
    </row>
    <row r="3099" spans="3:42" s="45" customFormat="1" x14ac:dyDescent="0.2">
      <c r="C3099" s="189"/>
      <c r="F3099" s="73"/>
      <c r="M3099" s="111"/>
      <c r="N3099" s="73"/>
      <c r="O3099" s="73"/>
      <c r="P3099" s="73"/>
      <c r="Q3099" s="73"/>
      <c r="R3099" s="111"/>
      <c r="S3099" s="75"/>
      <c r="T3099" s="73"/>
      <c r="X3099" s="189"/>
      <c r="Y3099" s="189"/>
      <c r="Z3099" s="100"/>
      <c r="AC3099" s="84"/>
      <c r="AD3099" s="189"/>
      <c r="AE3099" s="189"/>
      <c r="AF3099" s="189"/>
      <c r="AG3099" s="189"/>
      <c r="AH3099" s="189"/>
      <c r="AP3099" s="238"/>
    </row>
    <row r="3100" spans="3:42" s="45" customFormat="1" x14ac:dyDescent="0.2">
      <c r="C3100" s="189"/>
      <c r="F3100" s="73"/>
      <c r="M3100" s="111"/>
      <c r="N3100" s="73"/>
      <c r="O3100" s="73"/>
      <c r="P3100" s="73"/>
      <c r="Q3100" s="73"/>
      <c r="R3100" s="111"/>
      <c r="S3100" s="75"/>
      <c r="T3100" s="73"/>
      <c r="X3100" s="189"/>
      <c r="Y3100" s="189"/>
      <c r="Z3100" s="100"/>
      <c r="AC3100" s="84"/>
      <c r="AD3100" s="189"/>
      <c r="AE3100" s="189"/>
      <c r="AF3100" s="189"/>
      <c r="AG3100" s="189"/>
      <c r="AH3100" s="189"/>
      <c r="AP3100" s="238"/>
    </row>
    <row r="3101" spans="3:42" s="45" customFormat="1" x14ac:dyDescent="0.2">
      <c r="C3101" s="189"/>
      <c r="F3101" s="73"/>
      <c r="M3101" s="111"/>
      <c r="N3101" s="73"/>
      <c r="O3101" s="73"/>
      <c r="P3101" s="73"/>
      <c r="Q3101" s="73"/>
      <c r="R3101" s="111"/>
      <c r="S3101" s="75"/>
      <c r="T3101" s="73"/>
      <c r="X3101" s="189"/>
      <c r="Y3101" s="189"/>
      <c r="Z3101" s="100"/>
      <c r="AC3101" s="84"/>
      <c r="AD3101" s="189"/>
      <c r="AE3101" s="189"/>
      <c r="AF3101" s="189"/>
      <c r="AG3101" s="189"/>
      <c r="AH3101" s="189"/>
      <c r="AP3101" s="238"/>
    </row>
    <row r="3102" spans="3:42" s="45" customFormat="1" x14ac:dyDescent="0.2">
      <c r="C3102" s="189"/>
      <c r="F3102" s="73"/>
      <c r="M3102" s="111"/>
      <c r="N3102" s="73"/>
      <c r="O3102" s="73"/>
      <c r="P3102" s="73"/>
      <c r="Q3102" s="73"/>
      <c r="R3102" s="111"/>
      <c r="S3102" s="75"/>
      <c r="T3102" s="73"/>
      <c r="X3102" s="189"/>
      <c r="Y3102" s="189"/>
      <c r="Z3102" s="100"/>
      <c r="AC3102" s="84"/>
      <c r="AD3102" s="189"/>
      <c r="AE3102" s="189"/>
      <c r="AF3102" s="189"/>
      <c r="AG3102" s="189"/>
      <c r="AH3102" s="189"/>
      <c r="AP3102" s="238"/>
    </row>
    <row r="3103" spans="3:42" s="45" customFormat="1" x14ac:dyDescent="0.2">
      <c r="C3103" s="189"/>
      <c r="F3103" s="73"/>
      <c r="M3103" s="111"/>
      <c r="N3103" s="73"/>
      <c r="O3103" s="73"/>
      <c r="P3103" s="73"/>
      <c r="Q3103" s="73"/>
      <c r="R3103" s="111"/>
      <c r="S3103" s="75"/>
      <c r="T3103" s="73"/>
      <c r="X3103" s="189"/>
      <c r="Y3103" s="189"/>
      <c r="Z3103" s="100"/>
      <c r="AC3103" s="84"/>
      <c r="AD3103" s="189"/>
      <c r="AE3103" s="189"/>
      <c r="AF3103" s="189"/>
      <c r="AG3103" s="189"/>
      <c r="AH3103" s="189"/>
      <c r="AP3103" s="238"/>
    </row>
    <row r="3104" spans="3:42" s="45" customFormat="1" x14ac:dyDescent="0.2">
      <c r="C3104" s="189"/>
      <c r="F3104" s="73"/>
      <c r="M3104" s="111"/>
      <c r="N3104" s="73"/>
      <c r="O3104" s="73"/>
      <c r="P3104" s="73"/>
      <c r="Q3104" s="73"/>
      <c r="R3104" s="111"/>
      <c r="S3104" s="75"/>
      <c r="T3104" s="73"/>
      <c r="X3104" s="189"/>
      <c r="Y3104" s="189"/>
      <c r="Z3104" s="100"/>
      <c r="AC3104" s="84"/>
      <c r="AD3104" s="189"/>
      <c r="AE3104" s="189"/>
      <c r="AF3104" s="189"/>
      <c r="AG3104" s="189"/>
      <c r="AH3104" s="189"/>
      <c r="AP3104" s="238"/>
    </row>
    <row r="3105" spans="3:42" s="45" customFormat="1" x14ac:dyDescent="0.2">
      <c r="C3105" s="189"/>
      <c r="F3105" s="73"/>
      <c r="M3105" s="111"/>
      <c r="N3105" s="73"/>
      <c r="O3105" s="73"/>
      <c r="P3105" s="73"/>
      <c r="Q3105" s="73"/>
      <c r="R3105" s="111"/>
      <c r="S3105" s="75"/>
      <c r="T3105" s="73"/>
      <c r="X3105" s="189"/>
      <c r="Y3105" s="189"/>
      <c r="Z3105" s="100"/>
      <c r="AC3105" s="84"/>
      <c r="AD3105" s="189"/>
      <c r="AE3105" s="189"/>
      <c r="AF3105" s="189"/>
      <c r="AG3105" s="189"/>
      <c r="AH3105" s="189"/>
      <c r="AP3105" s="238"/>
    </row>
    <row r="3106" spans="3:42" s="45" customFormat="1" x14ac:dyDescent="0.2">
      <c r="C3106" s="189"/>
      <c r="F3106" s="73"/>
      <c r="M3106" s="111"/>
      <c r="N3106" s="73"/>
      <c r="O3106" s="73"/>
      <c r="P3106" s="73"/>
      <c r="Q3106" s="73"/>
      <c r="R3106" s="111"/>
      <c r="S3106" s="75"/>
      <c r="T3106" s="73"/>
      <c r="X3106" s="189"/>
      <c r="Y3106" s="189"/>
      <c r="Z3106" s="100"/>
      <c r="AC3106" s="84"/>
      <c r="AD3106" s="189"/>
      <c r="AE3106" s="189"/>
      <c r="AF3106" s="189"/>
      <c r="AG3106" s="189"/>
      <c r="AH3106" s="189"/>
      <c r="AP3106" s="238"/>
    </row>
    <row r="3107" spans="3:42" s="45" customFormat="1" x14ac:dyDescent="0.2">
      <c r="C3107" s="189"/>
      <c r="F3107" s="73"/>
      <c r="M3107" s="111"/>
      <c r="N3107" s="73"/>
      <c r="O3107" s="73"/>
      <c r="P3107" s="73"/>
      <c r="Q3107" s="73"/>
      <c r="R3107" s="111"/>
      <c r="S3107" s="75"/>
      <c r="T3107" s="73"/>
      <c r="X3107" s="189"/>
      <c r="Y3107" s="189"/>
      <c r="Z3107" s="100"/>
      <c r="AC3107" s="84"/>
      <c r="AD3107" s="189"/>
      <c r="AE3107" s="189"/>
      <c r="AF3107" s="189"/>
      <c r="AG3107" s="189"/>
      <c r="AH3107" s="189"/>
      <c r="AP3107" s="238"/>
    </row>
    <row r="3108" spans="3:42" s="45" customFormat="1" x14ac:dyDescent="0.2">
      <c r="C3108" s="189"/>
      <c r="F3108" s="73"/>
      <c r="M3108" s="111"/>
      <c r="N3108" s="73"/>
      <c r="O3108" s="73"/>
      <c r="P3108" s="73"/>
      <c r="Q3108" s="73"/>
      <c r="R3108" s="111"/>
      <c r="S3108" s="75"/>
      <c r="T3108" s="73"/>
      <c r="X3108" s="189"/>
      <c r="Y3108" s="189"/>
      <c r="Z3108" s="100"/>
      <c r="AC3108" s="84"/>
      <c r="AD3108" s="189"/>
      <c r="AE3108" s="189"/>
      <c r="AF3108" s="189"/>
      <c r="AG3108" s="189"/>
      <c r="AH3108" s="189"/>
      <c r="AP3108" s="238"/>
    </row>
    <row r="3109" spans="3:42" s="45" customFormat="1" x14ac:dyDescent="0.2">
      <c r="C3109" s="189"/>
      <c r="F3109" s="73"/>
      <c r="M3109" s="111"/>
      <c r="N3109" s="73"/>
      <c r="O3109" s="73"/>
      <c r="P3109" s="73"/>
      <c r="Q3109" s="73"/>
      <c r="R3109" s="111"/>
      <c r="S3109" s="75"/>
      <c r="T3109" s="73"/>
      <c r="X3109" s="189"/>
      <c r="Y3109" s="189"/>
      <c r="Z3109" s="100"/>
      <c r="AC3109" s="84"/>
      <c r="AD3109" s="189"/>
      <c r="AE3109" s="189"/>
      <c r="AF3109" s="189"/>
      <c r="AG3109" s="189"/>
      <c r="AH3109" s="189"/>
      <c r="AP3109" s="238"/>
    </row>
    <row r="3110" spans="3:42" s="45" customFormat="1" x14ac:dyDescent="0.2">
      <c r="C3110" s="189"/>
      <c r="F3110" s="73"/>
      <c r="M3110" s="111"/>
      <c r="N3110" s="73"/>
      <c r="O3110" s="73"/>
      <c r="P3110" s="73"/>
      <c r="Q3110" s="73"/>
      <c r="R3110" s="111"/>
      <c r="S3110" s="75"/>
      <c r="T3110" s="73"/>
      <c r="X3110" s="189"/>
      <c r="Y3110" s="189"/>
      <c r="Z3110" s="100"/>
      <c r="AC3110" s="84"/>
      <c r="AD3110" s="189"/>
      <c r="AE3110" s="189"/>
      <c r="AF3110" s="189"/>
      <c r="AG3110" s="189"/>
      <c r="AH3110" s="189"/>
      <c r="AP3110" s="238"/>
    </row>
    <row r="3111" spans="3:42" s="45" customFormat="1" x14ac:dyDescent="0.2">
      <c r="C3111" s="189"/>
      <c r="F3111" s="73"/>
      <c r="M3111" s="111"/>
      <c r="N3111" s="73"/>
      <c r="O3111" s="73"/>
      <c r="P3111" s="73"/>
      <c r="Q3111" s="73"/>
      <c r="R3111" s="111"/>
      <c r="S3111" s="75"/>
      <c r="T3111" s="73"/>
      <c r="X3111" s="189"/>
      <c r="Y3111" s="189"/>
      <c r="Z3111" s="100"/>
      <c r="AC3111" s="84"/>
      <c r="AD3111" s="189"/>
      <c r="AE3111" s="189"/>
      <c r="AF3111" s="189"/>
      <c r="AG3111" s="189"/>
      <c r="AH3111" s="189"/>
      <c r="AP3111" s="238"/>
    </row>
    <row r="3112" spans="3:42" s="45" customFormat="1" x14ac:dyDescent="0.2">
      <c r="C3112" s="189"/>
      <c r="F3112" s="73"/>
      <c r="M3112" s="111"/>
      <c r="N3112" s="73"/>
      <c r="O3112" s="73"/>
      <c r="P3112" s="73"/>
      <c r="Q3112" s="73"/>
      <c r="R3112" s="111"/>
      <c r="S3112" s="75"/>
      <c r="T3112" s="73"/>
      <c r="X3112" s="189"/>
      <c r="Y3112" s="189"/>
      <c r="Z3112" s="100"/>
      <c r="AC3112" s="84"/>
      <c r="AD3112" s="189"/>
      <c r="AE3112" s="189"/>
      <c r="AF3112" s="189"/>
      <c r="AG3112" s="189"/>
      <c r="AH3112" s="189"/>
      <c r="AP3112" s="238"/>
    </row>
    <row r="3113" spans="3:42" s="45" customFormat="1" x14ac:dyDescent="0.2">
      <c r="C3113" s="189"/>
      <c r="F3113" s="73"/>
      <c r="M3113" s="111"/>
      <c r="N3113" s="73"/>
      <c r="O3113" s="73"/>
      <c r="P3113" s="73"/>
      <c r="Q3113" s="73"/>
      <c r="R3113" s="111"/>
      <c r="S3113" s="75"/>
      <c r="T3113" s="73"/>
      <c r="X3113" s="189"/>
      <c r="Y3113" s="189"/>
      <c r="Z3113" s="100"/>
      <c r="AC3113" s="84"/>
      <c r="AD3113" s="189"/>
      <c r="AE3113" s="189"/>
      <c r="AF3113" s="189"/>
      <c r="AG3113" s="189"/>
      <c r="AH3113" s="189"/>
      <c r="AP3113" s="238"/>
    </row>
    <row r="3114" spans="3:42" s="45" customFormat="1" x14ac:dyDescent="0.2">
      <c r="C3114" s="189"/>
      <c r="F3114" s="73"/>
      <c r="M3114" s="111"/>
      <c r="N3114" s="73"/>
      <c r="O3114" s="73"/>
      <c r="P3114" s="73"/>
      <c r="Q3114" s="73"/>
      <c r="R3114" s="111"/>
      <c r="S3114" s="75"/>
      <c r="T3114" s="73"/>
      <c r="X3114" s="189"/>
      <c r="Y3114" s="189"/>
      <c r="Z3114" s="100"/>
      <c r="AC3114" s="84"/>
      <c r="AD3114" s="189"/>
      <c r="AE3114" s="189"/>
      <c r="AF3114" s="189"/>
      <c r="AG3114" s="189"/>
      <c r="AH3114" s="189"/>
      <c r="AP3114" s="238"/>
    </row>
    <row r="3115" spans="3:42" s="45" customFormat="1" x14ac:dyDescent="0.2">
      <c r="C3115" s="189"/>
      <c r="F3115" s="73"/>
      <c r="M3115" s="111"/>
      <c r="N3115" s="73"/>
      <c r="O3115" s="73"/>
      <c r="P3115" s="73"/>
      <c r="Q3115" s="73"/>
      <c r="R3115" s="111"/>
      <c r="S3115" s="75"/>
      <c r="T3115" s="73"/>
      <c r="X3115" s="189"/>
      <c r="Y3115" s="189"/>
      <c r="Z3115" s="100"/>
      <c r="AC3115" s="84"/>
      <c r="AD3115" s="189"/>
      <c r="AE3115" s="189"/>
      <c r="AF3115" s="189"/>
      <c r="AG3115" s="189"/>
      <c r="AH3115" s="189"/>
      <c r="AP3115" s="238"/>
    </row>
    <row r="3116" spans="3:42" s="45" customFormat="1" x14ac:dyDescent="0.2">
      <c r="C3116" s="189"/>
      <c r="F3116" s="73"/>
      <c r="M3116" s="111"/>
      <c r="N3116" s="73"/>
      <c r="O3116" s="73"/>
      <c r="P3116" s="73"/>
      <c r="Q3116" s="73"/>
      <c r="R3116" s="111"/>
      <c r="S3116" s="75"/>
      <c r="T3116" s="73"/>
      <c r="X3116" s="189"/>
      <c r="Y3116" s="189"/>
      <c r="Z3116" s="100"/>
      <c r="AC3116" s="84"/>
      <c r="AD3116" s="189"/>
      <c r="AE3116" s="189"/>
      <c r="AF3116" s="189"/>
      <c r="AG3116" s="189"/>
      <c r="AH3116" s="189"/>
      <c r="AP3116" s="238"/>
    </row>
    <row r="3117" spans="3:42" s="45" customFormat="1" x14ac:dyDescent="0.2">
      <c r="C3117" s="189"/>
      <c r="F3117" s="73"/>
      <c r="M3117" s="111"/>
      <c r="N3117" s="73"/>
      <c r="O3117" s="73"/>
      <c r="P3117" s="73"/>
      <c r="Q3117" s="73"/>
      <c r="R3117" s="111"/>
      <c r="S3117" s="75"/>
      <c r="T3117" s="73"/>
      <c r="X3117" s="189"/>
      <c r="Y3117" s="189"/>
      <c r="Z3117" s="100"/>
      <c r="AC3117" s="84"/>
      <c r="AD3117" s="189"/>
      <c r="AE3117" s="189"/>
      <c r="AF3117" s="189"/>
      <c r="AG3117" s="189"/>
      <c r="AH3117" s="189"/>
      <c r="AP3117" s="238"/>
    </row>
    <row r="3118" spans="3:42" s="45" customFormat="1" x14ac:dyDescent="0.2">
      <c r="C3118" s="189"/>
      <c r="F3118" s="73"/>
      <c r="M3118" s="111"/>
      <c r="N3118" s="73"/>
      <c r="O3118" s="73"/>
      <c r="P3118" s="73"/>
      <c r="Q3118" s="73"/>
      <c r="R3118" s="111"/>
      <c r="S3118" s="75"/>
      <c r="T3118" s="73"/>
      <c r="X3118" s="189"/>
      <c r="Y3118" s="189"/>
      <c r="Z3118" s="100"/>
      <c r="AC3118" s="84"/>
      <c r="AD3118" s="189"/>
      <c r="AE3118" s="189"/>
      <c r="AF3118" s="189"/>
      <c r="AG3118" s="189"/>
      <c r="AH3118" s="189"/>
      <c r="AP3118" s="238"/>
    </row>
    <row r="3119" spans="3:42" s="45" customFormat="1" x14ac:dyDescent="0.2">
      <c r="C3119" s="189"/>
      <c r="F3119" s="73"/>
      <c r="M3119" s="111"/>
      <c r="N3119" s="73"/>
      <c r="O3119" s="73"/>
      <c r="P3119" s="73"/>
      <c r="Q3119" s="73"/>
      <c r="R3119" s="111"/>
      <c r="S3119" s="75"/>
      <c r="T3119" s="73"/>
      <c r="X3119" s="189"/>
      <c r="Y3119" s="189"/>
      <c r="Z3119" s="100"/>
      <c r="AC3119" s="84"/>
      <c r="AD3119" s="189"/>
      <c r="AE3119" s="189"/>
      <c r="AF3119" s="189"/>
      <c r="AG3119" s="189"/>
      <c r="AH3119" s="189"/>
      <c r="AP3119" s="238"/>
    </row>
    <row r="3120" spans="3:42" s="45" customFormat="1" x14ac:dyDescent="0.2">
      <c r="C3120" s="189"/>
      <c r="F3120" s="73"/>
      <c r="M3120" s="111"/>
      <c r="N3120" s="73"/>
      <c r="O3120" s="73"/>
      <c r="P3120" s="73"/>
      <c r="Q3120" s="73"/>
      <c r="R3120" s="111"/>
      <c r="S3120" s="75"/>
      <c r="T3120" s="73"/>
      <c r="X3120" s="189"/>
      <c r="Y3120" s="189"/>
      <c r="Z3120" s="100"/>
      <c r="AC3120" s="84"/>
      <c r="AD3120" s="189"/>
      <c r="AE3120" s="189"/>
      <c r="AF3120" s="189"/>
      <c r="AG3120" s="189"/>
      <c r="AH3120" s="189"/>
      <c r="AP3120" s="238"/>
    </row>
    <row r="3121" spans="3:42" s="45" customFormat="1" x14ac:dyDescent="0.2">
      <c r="C3121" s="189"/>
      <c r="F3121" s="73"/>
      <c r="M3121" s="111"/>
      <c r="N3121" s="73"/>
      <c r="O3121" s="73"/>
      <c r="P3121" s="73"/>
      <c r="Q3121" s="73"/>
      <c r="R3121" s="111"/>
      <c r="S3121" s="75"/>
      <c r="T3121" s="73"/>
      <c r="X3121" s="189"/>
      <c r="Y3121" s="189"/>
      <c r="Z3121" s="100"/>
      <c r="AC3121" s="84"/>
      <c r="AD3121" s="189"/>
      <c r="AE3121" s="189"/>
      <c r="AF3121" s="189"/>
      <c r="AG3121" s="189"/>
      <c r="AH3121" s="189"/>
      <c r="AP3121" s="238"/>
    </row>
    <row r="3122" spans="3:42" s="45" customFormat="1" x14ac:dyDescent="0.2">
      <c r="C3122" s="189"/>
      <c r="F3122" s="73"/>
      <c r="M3122" s="111"/>
      <c r="N3122" s="73"/>
      <c r="O3122" s="73"/>
      <c r="P3122" s="73"/>
      <c r="Q3122" s="73"/>
      <c r="R3122" s="111"/>
      <c r="S3122" s="75"/>
      <c r="T3122" s="73"/>
      <c r="X3122" s="189"/>
      <c r="Y3122" s="189"/>
      <c r="Z3122" s="100"/>
      <c r="AC3122" s="84"/>
      <c r="AD3122" s="189"/>
      <c r="AE3122" s="189"/>
      <c r="AF3122" s="189"/>
      <c r="AG3122" s="189"/>
      <c r="AH3122" s="189"/>
      <c r="AP3122" s="238"/>
    </row>
    <row r="3123" spans="3:42" s="45" customFormat="1" x14ac:dyDescent="0.2">
      <c r="C3123" s="189"/>
      <c r="F3123" s="73"/>
      <c r="M3123" s="111"/>
      <c r="N3123" s="73"/>
      <c r="O3123" s="73"/>
      <c r="P3123" s="73"/>
      <c r="Q3123" s="73"/>
      <c r="R3123" s="111"/>
      <c r="S3123" s="75"/>
      <c r="T3123" s="73"/>
      <c r="X3123" s="189"/>
      <c r="Y3123" s="189"/>
      <c r="Z3123" s="100"/>
      <c r="AC3123" s="84"/>
      <c r="AD3123" s="189"/>
      <c r="AE3123" s="189"/>
      <c r="AF3123" s="189"/>
      <c r="AG3123" s="189"/>
      <c r="AH3123" s="189"/>
      <c r="AP3123" s="238"/>
    </row>
    <row r="3124" spans="3:42" s="45" customFormat="1" x14ac:dyDescent="0.2">
      <c r="C3124" s="189"/>
      <c r="F3124" s="73"/>
      <c r="M3124" s="111"/>
      <c r="N3124" s="73"/>
      <c r="O3124" s="73"/>
      <c r="P3124" s="73"/>
      <c r="Q3124" s="73"/>
      <c r="R3124" s="111"/>
      <c r="S3124" s="75"/>
      <c r="T3124" s="73"/>
      <c r="X3124" s="189"/>
      <c r="Y3124" s="189"/>
      <c r="Z3124" s="100"/>
      <c r="AC3124" s="84"/>
      <c r="AD3124" s="189"/>
      <c r="AE3124" s="189"/>
      <c r="AF3124" s="189"/>
      <c r="AG3124" s="189"/>
      <c r="AH3124" s="189"/>
      <c r="AP3124" s="238"/>
    </row>
    <row r="3125" spans="3:42" s="45" customFormat="1" x14ac:dyDescent="0.2">
      <c r="C3125" s="189"/>
      <c r="F3125" s="73"/>
      <c r="M3125" s="111"/>
      <c r="N3125" s="73"/>
      <c r="O3125" s="73"/>
      <c r="P3125" s="73"/>
      <c r="Q3125" s="73"/>
      <c r="R3125" s="111"/>
      <c r="S3125" s="75"/>
      <c r="T3125" s="73"/>
      <c r="X3125" s="189"/>
      <c r="Y3125" s="189"/>
      <c r="Z3125" s="100"/>
      <c r="AC3125" s="84"/>
      <c r="AD3125" s="189"/>
      <c r="AE3125" s="189"/>
      <c r="AF3125" s="189"/>
      <c r="AG3125" s="189"/>
      <c r="AH3125" s="189"/>
      <c r="AP3125" s="238"/>
    </row>
    <row r="3126" spans="3:42" s="45" customFormat="1" x14ac:dyDescent="0.2">
      <c r="C3126" s="189"/>
      <c r="F3126" s="73"/>
      <c r="M3126" s="111"/>
      <c r="N3126" s="73"/>
      <c r="O3126" s="73"/>
      <c r="P3126" s="73"/>
      <c r="Q3126" s="73"/>
      <c r="R3126" s="111"/>
      <c r="S3126" s="75"/>
      <c r="T3126" s="73"/>
      <c r="X3126" s="189"/>
      <c r="Y3126" s="189"/>
      <c r="Z3126" s="100"/>
      <c r="AC3126" s="84"/>
      <c r="AD3126" s="189"/>
      <c r="AE3126" s="189"/>
      <c r="AF3126" s="189"/>
      <c r="AG3126" s="189"/>
      <c r="AH3126" s="189"/>
      <c r="AP3126" s="238"/>
    </row>
    <row r="3127" spans="3:42" s="45" customFormat="1" x14ac:dyDescent="0.2">
      <c r="C3127" s="189"/>
      <c r="F3127" s="73"/>
      <c r="M3127" s="111"/>
      <c r="N3127" s="73"/>
      <c r="O3127" s="73"/>
      <c r="P3127" s="73"/>
      <c r="Q3127" s="73"/>
      <c r="R3127" s="111"/>
      <c r="S3127" s="75"/>
      <c r="T3127" s="73"/>
      <c r="X3127" s="189"/>
      <c r="Y3127" s="189"/>
      <c r="Z3127" s="100"/>
      <c r="AC3127" s="84"/>
      <c r="AD3127" s="189"/>
      <c r="AE3127" s="189"/>
      <c r="AF3127" s="189"/>
      <c r="AG3127" s="189"/>
      <c r="AH3127" s="189"/>
      <c r="AP3127" s="238"/>
    </row>
    <row r="3128" spans="3:42" s="45" customFormat="1" x14ac:dyDescent="0.2">
      <c r="C3128" s="189"/>
      <c r="F3128" s="73"/>
      <c r="M3128" s="111"/>
      <c r="N3128" s="73"/>
      <c r="O3128" s="73"/>
      <c r="P3128" s="73"/>
      <c r="Q3128" s="73"/>
      <c r="R3128" s="111"/>
      <c r="S3128" s="75"/>
      <c r="T3128" s="73"/>
      <c r="X3128" s="189"/>
      <c r="Y3128" s="189"/>
      <c r="Z3128" s="100"/>
      <c r="AC3128" s="84"/>
      <c r="AD3128" s="189"/>
      <c r="AE3128" s="189"/>
      <c r="AF3128" s="189"/>
      <c r="AG3128" s="189"/>
      <c r="AH3128" s="189"/>
      <c r="AP3128" s="238"/>
    </row>
    <row r="3129" spans="3:42" s="45" customFormat="1" x14ac:dyDescent="0.2">
      <c r="C3129" s="189"/>
      <c r="F3129" s="73"/>
      <c r="M3129" s="111"/>
      <c r="N3129" s="73"/>
      <c r="O3129" s="73"/>
      <c r="P3129" s="73"/>
      <c r="Q3129" s="73"/>
      <c r="R3129" s="111"/>
      <c r="S3129" s="75"/>
      <c r="T3129" s="73"/>
      <c r="X3129" s="189"/>
      <c r="Y3129" s="189"/>
      <c r="Z3129" s="100"/>
      <c r="AC3129" s="84"/>
      <c r="AD3129" s="189"/>
      <c r="AE3129" s="189"/>
      <c r="AF3129" s="189"/>
      <c r="AG3129" s="189"/>
      <c r="AH3129" s="189"/>
      <c r="AP3129" s="238"/>
    </row>
    <row r="3130" spans="3:42" s="45" customFormat="1" x14ac:dyDescent="0.2">
      <c r="C3130" s="189"/>
      <c r="F3130" s="73"/>
      <c r="M3130" s="111"/>
      <c r="N3130" s="73"/>
      <c r="O3130" s="73"/>
      <c r="P3130" s="73"/>
      <c r="Q3130" s="73"/>
      <c r="R3130" s="111"/>
      <c r="S3130" s="75"/>
      <c r="T3130" s="73"/>
      <c r="X3130" s="189"/>
      <c r="Y3130" s="189"/>
      <c r="Z3130" s="100"/>
      <c r="AC3130" s="84"/>
      <c r="AD3130" s="189"/>
      <c r="AE3130" s="189"/>
      <c r="AF3130" s="189"/>
      <c r="AG3130" s="189"/>
      <c r="AH3130" s="189"/>
      <c r="AP3130" s="238"/>
    </row>
    <row r="3131" spans="3:42" s="45" customFormat="1" x14ac:dyDescent="0.2">
      <c r="C3131" s="189"/>
      <c r="F3131" s="73"/>
      <c r="M3131" s="111"/>
      <c r="N3131" s="73"/>
      <c r="O3131" s="73"/>
      <c r="P3131" s="73"/>
      <c r="Q3131" s="73"/>
      <c r="R3131" s="111"/>
      <c r="S3131" s="75"/>
      <c r="T3131" s="73"/>
      <c r="X3131" s="189"/>
      <c r="Y3131" s="189"/>
      <c r="Z3131" s="100"/>
      <c r="AC3131" s="84"/>
      <c r="AD3131" s="189"/>
      <c r="AE3131" s="189"/>
      <c r="AF3131" s="189"/>
      <c r="AG3131" s="189"/>
      <c r="AH3131" s="189"/>
      <c r="AP3131" s="238"/>
    </row>
    <row r="3132" spans="3:42" s="45" customFormat="1" x14ac:dyDescent="0.2">
      <c r="C3132" s="189"/>
      <c r="F3132" s="73"/>
      <c r="M3132" s="111"/>
      <c r="N3132" s="73"/>
      <c r="O3132" s="73"/>
      <c r="P3132" s="73"/>
      <c r="Q3132" s="73"/>
      <c r="R3132" s="111"/>
      <c r="S3132" s="75"/>
      <c r="T3132" s="73"/>
      <c r="X3132" s="189"/>
      <c r="Y3132" s="189"/>
      <c r="Z3132" s="100"/>
      <c r="AC3132" s="84"/>
      <c r="AD3132" s="189"/>
      <c r="AE3132" s="189"/>
      <c r="AF3132" s="189"/>
      <c r="AG3132" s="189"/>
      <c r="AH3132" s="189"/>
      <c r="AP3132" s="238"/>
    </row>
    <row r="3133" spans="3:42" s="45" customFormat="1" x14ac:dyDescent="0.2">
      <c r="C3133" s="189"/>
      <c r="F3133" s="73"/>
      <c r="M3133" s="111"/>
      <c r="N3133" s="73"/>
      <c r="O3133" s="73"/>
      <c r="P3133" s="73"/>
      <c r="Q3133" s="73"/>
      <c r="R3133" s="111"/>
      <c r="S3133" s="75"/>
      <c r="T3133" s="73"/>
      <c r="X3133" s="189"/>
      <c r="Y3133" s="189"/>
      <c r="Z3133" s="100"/>
      <c r="AC3133" s="84"/>
      <c r="AD3133" s="189"/>
      <c r="AE3133" s="189"/>
      <c r="AF3133" s="189"/>
      <c r="AG3133" s="189"/>
      <c r="AH3133" s="189"/>
      <c r="AP3133" s="238"/>
    </row>
    <row r="3134" spans="3:42" s="45" customFormat="1" x14ac:dyDescent="0.2">
      <c r="C3134" s="189"/>
      <c r="F3134" s="73"/>
      <c r="M3134" s="111"/>
      <c r="N3134" s="73"/>
      <c r="O3134" s="73"/>
      <c r="P3134" s="73"/>
      <c r="Q3134" s="73"/>
      <c r="R3134" s="111"/>
      <c r="S3134" s="75"/>
      <c r="T3134" s="73"/>
      <c r="X3134" s="189"/>
      <c r="Y3134" s="189"/>
      <c r="Z3134" s="100"/>
      <c r="AC3134" s="84"/>
      <c r="AD3134" s="189"/>
      <c r="AE3134" s="189"/>
      <c r="AF3134" s="189"/>
      <c r="AG3134" s="189"/>
      <c r="AH3134" s="189"/>
      <c r="AP3134" s="238"/>
    </row>
    <row r="3135" spans="3:42" s="45" customFormat="1" x14ac:dyDescent="0.2">
      <c r="C3135" s="189"/>
      <c r="F3135" s="73"/>
      <c r="M3135" s="111"/>
      <c r="N3135" s="73"/>
      <c r="O3135" s="73"/>
      <c r="P3135" s="73"/>
      <c r="Q3135" s="73"/>
      <c r="R3135" s="111"/>
      <c r="S3135" s="75"/>
      <c r="T3135" s="73"/>
      <c r="X3135" s="189"/>
      <c r="Y3135" s="189"/>
      <c r="Z3135" s="100"/>
      <c r="AC3135" s="84"/>
      <c r="AD3135" s="189"/>
      <c r="AE3135" s="189"/>
      <c r="AF3135" s="189"/>
      <c r="AG3135" s="189"/>
      <c r="AH3135" s="189"/>
      <c r="AP3135" s="238"/>
    </row>
    <row r="3136" spans="3:42" s="45" customFormat="1" x14ac:dyDescent="0.2">
      <c r="C3136" s="189"/>
      <c r="F3136" s="73"/>
      <c r="M3136" s="111"/>
      <c r="N3136" s="73"/>
      <c r="O3136" s="73"/>
      <c r="P3136" s="73"/>
      <c r="Q3136" s="73"/>
      <c r="R3136" s="111"/>
      <c r="S3136" s="75"/>
      <c r="T3136" s="73"/>
      <c r="X3136" s="189"/>
      <c r="Y3136" s="189"/>
      <c r="Z3136" s="100"/>
      <c r="AC3136" s="84"/>
      <c r="AD3136" s="189"/>
      <c r="AE3136" s="189"/>
      <c r="AF3136" s="189"/>
      <c r="AG3136" s="189"/>
      <c r="AH3136" s="189"/>
      <c r="AP3136" s="238"/>
    </row>
    <row r="3137" spans="3:42" s="45" customFormat="1" x14ac:dyDescent="0.2">
      <c r="C3137" s="189"/>
      <c r="F3137" s="73"/>
      <c r="M3137" s="111"/>
      <c r="N3137" s="73"/>
      <c r="O3137" s="73"/>
      <c r="P3137" s="73"/>
      <c r="Q3137" s="73"/>
      <c r="R3137" s="111"/>
      <c r="S3137" s="75"/>
      <c r="T3137" s="73"/>
      <c r="X3137" s="189"/>
      <c r="Y3137" s="189"/>
      <c r="Z3137" s="100"/>
      <c r="AC3137" s="84"/>
      <c r="AD3137" s="189"/>
      <c r="AE3137" s="189"/>
      <c r="AF3137" s="189"/>
      <c r="AG3137" s="189"/>
      <c r="AH3137" s="189"/>
      <c r="AP3137" s="238"/>
    </row>
    <row r="3138" spans="3:42" s="45" customFormat="1" x14ac:dyDescent="0.2">
      <c r="C3138" s="189"/>
      <c r="F3138" s="73"/>
      <c r="M3138" s="111"/>
      <c r="N3138" s="73"/>
      <c r="O3138" s="73"/>
      <c r="P3138" s="73"/>
      <c r="Q3138" s="73"/>
      <c r="R3138" s="111"/>
      <c r="S3138" s="75"/>
      <c r="T3138" s="73"/>
      <c r="X3138" s="189"/>
      <c r="Y3138" s="189"/>
      <c r="Z3138" s="100"/>
      <c r="AC3138" s="84"/>
      <c r="AD3138" s="189"/>
      <c r="AE3138" s="189"/>
      <c r="AF3138" s="189"/>
      <c r="AG3138" s="189"/>
      <c r="AH3138" s="189"/>
      <c r="AP3138" s="238"/>
    </row>
    <row r="3139" spans="3:42" s="45" customFormat="1" x14ac:dyDescent="0.2">
      <c r="C3139" s="189"/>
      <c r="F3139" s="73"/>
      <c r="M3139" s="111"/>
      <c r="N3139" s="73"/>
      <c r="O3139" s="73"/>
      <c r="P3139" s="73"/>
      <c r="Q3139" s="73"/>
      <c r="R3139" s="111"/>
      <c r="S3139" s="75"/>
      <c r="T3139" s="73"/>
      <c r="X3139" s="189"/>
      <c r="Y3139" s="189"/>
      <c r="Z3139" s="100"/>
      <c r="AC3139" s="84"/>
      <c r="AD3139" s="189"/>
      <c r="AE3139" s="189"/>
      <c r="AF3139" s="189"/>
      <c r="AG3139" s="189"/>
      <c r="AH3139" s="189"/>
      <c r="AP3139" s="238"/>
    </row>
    <row r="3140" spans="3:42" s="45" customFormat="1" x14ac:dyDescent="0.2">
      <c r="C3140" s="189"/>
      <c r="F3140" s="73"/>
      <c r="M3140" s="111"/>
      <c r="N3140" s="73"/>
      <c r="O3140" s="73"/>
      <c r="P3140" s="73"/>
      <c r="Q3140" s="73"/>
      <c r="R3140" s="111"/>
      <c r="S3140" s="75"/>
      <c r="T3140" s="73"/>
      <c r="X3140" s="189"/>
      <c r="Y3140" s="189"/>
      <c r="Z3140" s="100"/>
      <c r="AC3140" s="84"/>
      <c r="AD3140" s="189"/>
      <c r="AE3140" s="189"/>
      <c r="AF3140" s="189"/>
      <c r="AG3140" s="189"/>
      <c r="AH3140" s="189"/>
      <c r="AP3140" s="238"/>
    </row>
    <row r="3141" spans="3:42" s="45" customFormat="1" x14ac:dyDescent="0.2">
      <c r="C3141" s="189"/>
      <c r="F3141" s="73"/>
      <c r="M3141" s="111"/>
      <c r="N3141" s="73"/>
      <c r="O3141" s="73"/>
      <c r="P3141" s="73"/>
      <c r="Q3141" s="73"/>
      <c r="R3141" s="111"/>
      <c r="S3141" s="75"/>
      <c r="T3141" s="73"/>
      <c r="X3141" s="189"/>
      <c r="Y3141" s="189"/>
      <c r="Z3141" s="100"/>
      <c r="AC3141" s="84"/>
      <c r="AD3141" s="189"/>
      <c r="AE3141" s="189"/>
      <c r="AF3141" s="189"/>
      <c r="AG3141" s="189"/>
      <c r="AH3141" s="189"/>
      <c r="AP3141" s="238"/>
    </row>
    <row r="3142" spans="3:42" s="45" customFormat="1" x14ac:dyDescent="0.2">
      <c r="C3142" s="189"/>
      <c r="F3142" s="73"/>
      <c r="M3142" s="111"/>
      <c r="N3142" s="73"/>
      <c r="O3142" s="73"/>
      <c r="P3142" s="73"/>
      <c r="Q3142" s="73"/>
      <c r="R3142" s="111"/>
      <c r="S3142" s="75"/>
      <c r="T3142" s="73"/>
      <c r="X3142" s="189"/>
      <c r="Y3142" s="189"/>
      <c r="Z3142" s="100"/>
      <c r="AC3142" s="84"/>
      <c r="AD3142" s="189"/>
      <c r="AE3142" s="189"/>
      <c r="AF3142" s="189"/>
      <c r="AG3142" s="189"/>
      <c r="AH3142" s="189"/>
      <c r="AP3142" s="238"/>
    </row>
    <row r="3143" spans="3:42" s="45" customFormat="1" x14ac:dyDescent="0.2">
      <c r="C3143" s="189"/>
      <c r="F3143" s="73"/>
      <c r="M3143" s="111"/>
      <c r="N3143" s="73"/>
      <c r="O3143" s="73"/>
      <c r="P3143" s="73"/>
      <c r="Q3143" s="73"/>
      <c r="R3143" s="111"/>
      <c r="S3143" s="75"/>
      <c r="T3143" s="73"/>
      <c r="X3143" s="189"/>
      <c r="Y3143" s="189"/>
      <c r="Z3143" s="100"/>
      <c r="AC3143" s="84"/>
      <c r="AD3143" s="189"/>
      <c r="AE3143" s="189"/>
      <c r="AF3143" s="189"/>
      <c r="AG3143" s="189"/>
      <c r="AH3143" s="189"/>
      <c r="AP3143" s="238"/>
    </row>
    <row r="3144" spans="3:42" s="45" customFormat="1" x14ac:dyDescent="0.2">
      <c r="C3144" s="189"/>
      <c r="F3144" s="73"/>
      <c r="M3144" s="111"/>
      <c r="N3144" s="73"/>
      <c r="O3144" s="73"/>
      <c r="P3144" s="73"/>
      <c r="Q3144" s="73"/>
      <c r="R3144" s="111"/>
      <c r="S3144" s="75"/>
      <c r="T3144" s="73"/>
      <c r="X3144" s="189"/>
      <c r="Y3144" s="189"/>
      <c r="Z3144" s="100"/>
      <c r="AC3144" s="84"/>
      <c r="AD3144" s="189"/>
      <c r="AE3144" s="189"/>
      <c r="AF3144" s="189"/>
      <c r="AG3144" s="189"/>
      <c r="AH3144" s="189"/>
      <c r="AP3144" s="238"/>
    </row>
    <row r="3145" spans="3:42" s="45" customFormat="1" x14ac:dyDescent="0.2">
      <c r="C3145" s="189"/>
      <c r="F3145" s="73"/>
      <c r="M3145" s="111"/>
      <c r="N3145" s="73"/>
      <c r="O3145" s="73"/>
      <c r="P3145" s="73"/>
      <c r="Q3145" s="73"/>
      <c r="R3145" s="111"/>
      <c r="S3145" s="75"/>
      <c r="T3145" s="73"/>
      <c r="X3145" s="189"/>
      <c r="Y3145" s="189"/>
      <c r="Z3145" s="100"/>
      <c r="AC3145" s="84"/>
      <c r="AD3145" s="189"/>
      <c r="AE3145" s="189"/>
      <c r="AF3145" s="189"/>
      <c r="AG3145" s="189"/>
      <c r="AH3145" s="189"/>
      <c r="AP3145" s="238"/>
    </row>
    <row r="3146" spans="3:42" s="45" customFormat="1" x14ac:dyDescent="0.2">
      <c r="C3146" s="189"/>
      <c r="F3146" s="73"/>
      <c r="M3146" s="111"/>
      <c r="N3146" s="73"/>
      <c r="O3146" s="73"/>
      <c r="P3146" s="73"/>
      <c r="Q3146" s="73"/>
      <c r="R3146" s="111"/>
      <c r="S3146" s="75"/>
      <c r="T3146" s="73"/>
      <c r="X3146" s="189"/>
      <c r="Y3146" s="189"/>
      <c r="Z3146" s="100"/>
      <c r="AC3146" s="84"/>
      <c r="AD3146" s="189"/>
      <c r="AE3146" s="189"/>
      <c r="AF3146" s="189"/>
      <c r="AG3146" s="189"/>
      <c r="AH3146" s="189"/>
      <c r="AP3146" s="238"/>
    </row>
    <row r="3147" spans="3:42" s="45" customFormat="1" x14ac:dyDescent="0.2">
      <c r="C3147" s="189"/>
      <c r="F3147" s="73"/>
      <c r="M3147" s="111"/>
      <c r="N3147" s="73"/>
      <c r="O3147" s="73"/>
      <c r="P3147" s="73"/>
      <c r="Q3147" s="73"/>
      <c r="R3147" s="111"/>
      <c r="S3147" s="75"/>
      <c r="T3147" s="73"/>
      <c r="X3147" s="189"/>
      <c r="Y3147" s="189"/>
      <c r="Z3147" s="100"/>
      <c r="AC3147" s="84"/>
      <c r="AD3147" s="189"/>
      <c r="AE3147" s="189"/>
      <c r="AF3147" s="189"/>
      <c r="AG3147" s="189"/>
      <c r="AH3147" s="189"/>
      <c r="AP3147" s="238"/>
    </row>
    <row r="3148" spans="3:42" s="45" customFormat="1" x14ac:dyDescent="0.2">
      <c r="C3148" s="189"/>
      <c r="F3148" s="73"/>
      <c r="M3148" s="111"/>
      <c r="N3148" s="73"/>
      <c r="O3148" s="73"/>
      <c r="P3148" s="73"/>
      <c r="Q3148" s="73"/>
      <c r="R3148" s="111"/>
      <c r="S3148" s="75"/>
      <c r="T3148" s="73"/>
      <c r="X3148" s="189"/>
      <c r="Y3148" s="189"/>
      <c r="Z3148" s="100"/>
      <c r="AC3148" s="84"/>
      <c r="AD3148" s="189"/>
      <c r="AE3148" s="189"/>
      <c r="AF3148" s="189"/>
      <c r="AG3148" s="189"/>
      <c r="AH3148" s="189"/>
      <c r="AP3148" s="238"/>
    </row>
    <row r="3149" spans="3:42" s="45" customFormat="1" x14ac:dyDescent="0.2">
      <c r="C3149" s="189"/>
      <c r="F3149" s="73"/>
      <c r="M3149" s="111"/>
      <c r="N3149" s="73"/>
      <c r="O3149" s="73"/>
      <c r="P3149" s="73"/>
      <c r="Q3149" s="73"/>
      <c r="R3149" s="111"/>
      <c r="S3149" s="75"/>
      <c r="T3149" s="73"/>
      <c r="X3149" s="189"/>
      <c r="Y3149" s="189"/>
      <c r="Z3149" s="100"/>
      <c r="AC3149" s="84"/>
      <c r="AD3149" s="189"/>
      <c r="AE3149" s="189"/>
      <c r="AF3149" s="189"/>
      <c r="AG3149" s="189"/>
      <c r="AH3149" s="189"/>
      <c r="AP3149" s="238"/>
    </row>
    <row r="3150" spans="3:42" s="45" customFormat="1" x14ac:dyDescent="0.2">
      <c r="C3150" s="189"/>
      <c r="F3150" s="73"/>
      <c r="M3150" s="111"/>
      <c r="N3150" s="73"/>
      <c r="O3150" s="73"/>
      <c r="P3150" s="73"/>
      <c r="Q3150" s="73"/>
      <c r="R3150" s="111"/>
      <c r="S3150" s="75"/>
      <c r="T3150" s="73"/>
      <c r="X3150" s="189"/>
      <c r="Y3150" s="189"/>
      <c r="Z3150" s="100"/>
      <c r="AC3150" s="84"/>
      <c r="AD3150" s="189"/>
      <c r="AE3150" s="189"/>
      <c r="AF3150" s="189"/>
      <c r="AG3150" s="189"/>
      <c r="AH3150" s="189"/>
      <c r="AP3150" s="238"/>
    </row>
    <row r="3151" spans="3:42" s="45" customFormat="1" x14ac:dyDescent="0.2">
      <c r="C3151" s="189"/>
      <c r="F3151" s="73"/>
      <c r="M3151" s="111"/>
      <c r="N3151" s="73"/>
      <c r="O3151" s="73"/>
      <c r="P3151" s="73"/>
      <c r="Q3151" s="73"/>
      <c r="R3151" s="111"/>
      <c r="S3151" s="75"/>
      <c r="T3151" s="73"/>
      <c r="X3151" s="189"/>
      <c r="Y3151" s="189"/>
      <c r="Z3151" s="100"/>
      <c r="AC3151" s="84"/>
      <c r="AD3151" s="189"/>
      <c r="AE3151" s="189"/>
      <c r="AF3151" s="189"/>
      <c r="AG3151" s="189"/>
      <c r="AH3151" s="189"/>
      <c r="AP3151" s="238"/>
    </row>
    <row r="3152" spans="3:42" s="45" customFormat="1" x14ac:dyDescent="0.2">
      <c r="C3152" s="189"/>
      <c r="F3152" s="73"/>
      <c r="M3152" s="111"/>
      <c r="N3152" s="73"/>
      <c r="O3152" s="73"/>
      <c r="P3152" s="73"/>
      <c r="Q3152" s="73"/>
      <c r="R3152" s="111"/>
      <c r="S3152" s="75"/>
      <c r="T3152" s="73"/>
      <c r="X3152" s="189"/>
      <c r="Y3152" s="189"/>
      <c r="Z3152" s="100"/>
      <c r="AC3152" s="84"/>
      <c r="AD3152" s="189"/>
      <c r="AE3152" s="189"/>
      <c r="AF3152" s="189"/>
      <c r="AG3152" s="189"/>
      <c r="AH3152" s="189"/>
      <c r="AP3152" s="238"/>
    </row>
    <row r="3153" spans="3:42" s="45" customFormat="1" x14ac:dyDescent="0.2">
      <c r="C3153" s="189"/>
      <c r="F3153" s="73"/>
      <c r="M3153" s="111"/>
      <c r="N3153" s="73"/>
      <c r="O3153" s="73"/>
      <c r="P3153" s="73"/>
      <c r="Q3153" s="73"/>
      <c r="R3153" s="111"/>
      <c r="S3153" s="75"/>
      <c r="T3153" s="73"/>
      <c r="X3153" s="189"/>
      <c r="Y3153" s="189"/>
      <c r="Z3153" s="100"/>
      <c r="AC3153" s="84"/>
      <c r="AD3153" s="189"/>
      <c r="AE3153" s="189"/>
      <c r="AF3153" s="189"/>
      <c r="AG3153" s="189"/>
      <c r="AH3153" s="189"/>
      <c r="AP3153" s="238"/>
    </row>
    <row r="3154" spans="3:42" s="45" customFormat="1" x14ac:dyDescent="0.2">
      <c r="C3154" s="189"/>
      <c r="F3154" s="73"/>
      <c r="M3154" s="111"/>
      <c r="N3154" s="73"/>
      <c r="O3154" s="73"/>
      <c r="P3154" s="73"/>
      <c r="Q3154" s="73"/>
      <c r="R3154" s="111"/>
      <c r="S3154" s="75"/>
      <c r="T3154" s="73"/>
      <c r="X3154" s="189"/>
      <c r="Y3154" s="189"/>
      <c r="Z3154" s="100"/>
      <c r="AC3154" s="84"/>
      <c r="AD3154" s="189"/>
      <c r="AE3154" s="189"/>
      <c r="AF3154" s="189"/>
      <c r="AG3154" s="189"/>
      <c r="AH3154" s="189"/>
      <c r="AP3154" s="238"/>
    </row>
    <row r="3155" spans="3:42" s="45" customFormat="1" x14ac:dyDescent="0.2">
      <c r="C3155" s="189"/>
      <c r="F3155" s="73"/>
      <c r="M3155" s="111"/>
      <c r="N3155" s="73"/>
      <c r="O3155" s="73"/>
      <c r="P3155" s="73"/>
      <c r="Q3155" s="73"/>
      <c r="R3155" s="111"/>
      <c r="S3155" s="75"/>
      <c r="T3155" s="73"/>
      <c r="X3155" s="189"/>
      <c r="Y3155" s="189"/>
      <c r="Z3155" s="100"/>
      <c r="AC3155" s="84"/>
      <c r="AD3155" s="189"/>
      <c r="AE3155" s="189"/>
      <c r="AF3155" s="189"/>
      <c r="AG3155" s="189"/>
      <c r="AH3155" s="189"/>
      <c r="AP3155" s="238"/>
    </row>
    <row r="3156" spans="3:42" s="45" customFormat="1" x14ac:dyDescent="0.2">
      <c r="C3156" s="189"/>
      <c r="F3156" s="73"/>
      <c r="M3156" s="111"/>
      <c r="N3156" s="73"/>
      <c r="O3156" s="73"/>
      <c r="P3156" s="73"/>
      <c r="Q3156" s="73"/>
      <c r="R3156" s="111"/>
      <c r="S3156" s="75"/>
      <c r="T3156" s="73"/>
      <c r="X3156" s="189"/>
      <c r="Y3156" s="189"/>
      <c r="Z3156" s="100"/>
      <c r="AC3156" s="84"/>
      <c r="AD3156" s="189"/>
      <c r="AE3156" s="189"/>
      <c r="AF3156" s="189"/>
      <c r="AG3156" s="189"/>
      <c r="AH3156" s="189"/>
      <c r="AP3156" s="238"/>
    </row>
    <row r="3157" spans="3:42" s="45" customFormat="1" x14ac:dyDescent="0.2">
      <c r="C3157" s="189"/>
      <c r="F3157" s="73"/>
      <c r="M3157" s="111"/>
      <c r="N3157" s="73"/>
      <c r="O3157" s="73"/>
      <c r="P3157" s="73"/>
      <c r="Q3157" s="73"/>
      <c r="R3157" s="111"/>
      <c r="S3157" s="75"/>
      <c r="T3157" s="73"/>
      <c r="X3157" s="189"/>
      <c r="Y3157" s="189"/>
      <c r="Z3157" s="100"/>
      <c r="AC3157" s="84"/>
      <c r="AD3157" s="189"/>
      <c r="AE3157" s="189"/>
      <c r="AF3157" s="189"/>
      <c r="AG3157" s="189"/>
      <c r="AH3157" s="189"/>
      <c r="AP3157" s="238"/>
    </row>
    <row r="3158" spans="3:42" s="45" customFormat="1" x14ac:dyDescent="0.2">
      <c r="C3158" s="189"/>
      <c r="F3158" s="73"/>
      <c r="M3158" s="111"/>
      <c r="N3158" s="73"/>
      <c r="O3158" s="73"/>
      <c r="P3158" s="73"/>
      <c r="Q3158" s="73"/>
      <c r="R3158" s="111"/>
      <c r="S3158" s="75"/>
      <c r="T3158" s="73"/>
      <c r="X3158" s="189"/>
      <c r="Y3158" s="189"/>
      <c r="Z3158" s="100"/>
      <c r="AC3158" s="84"/>
      <c r="AD3158" s="189"/>
      <c r="AE3158" s="189"/>
      <c r="AF3158" s="189"/>
      <c r="AG3158" s="189"/>
      <c r="AH3158" s="189"/>
      <c r="AP3158" s="238"/>
    </row>
    <row r="3159" spans="3:42" s="45" customFormat="1" x14ac:dyDescent="0.2">
      <c r="C3159" s="189"/>
      <c r="F3159" s="73"/>
      <c r="M3159" s="111"/>
      <c r="N3159" s="73"/>
      <c r="O3159" s="73"/>
      <c r="P3159" s="73"/>
      <c r="Q3159" s="73"/>
      <c r="R3159" s="111"/>
      <c r="S3159" s="75"/>
      <c r="T3159" s="73"/>
      <c r="X3159" s="189"/>
      <c r="Y3159" s="189"/>
      <c r="Z3159" s="100"/>
      <c r="AC3159" s="84"/>
      <c r="AD3159" s="189"/>
      <c r="AE3159" s="189"/>
      <c r="AF3159" s="189"/>
      <c r="AG3159" s="189"/>
      <c r="AH3159" s="189"/>
      <c r="AP3159" s="238"/>
    </row>
    <row r="3160" spans="3:42" s="45" customFormat="1" x14ac:dyDescent="0.2">
      <c r="C3160" s="189"/>
      <c r="F3160" s="73"/>
      <c r="M3160" s="111"/>
      <c r="N3160" s="73"/>
      <c r="O3160" s="73"/>
      <c r="P3160" s="73"/>
      <c r="Q3160" s="73"/>
      <c r="R3160" s="111"/>
      <c r="S3160" s="75"/>
      <c r="T3160" s="73"/>
      <c r="X3160" s="189"/>
      <c r="Y3160" s="189"/>
      <c r="Z3160" s="100"/>
      <c r="AC3160" s="84"/>
      <c r="AD3160" s="189"/>
      <c r="AE3160" s="189"/>
      <c r="AF3160" s="189"/>
      <c r="AG3160" s="189"/>
      <c r="AH3160" s="189"/>
      <c r="AP3160" s="238"/>
    </row>
    <row r="3161" spans="3:42" s="45" customFormat="1" x14ac:dyDescent="0.2">
      <c r="C3161" s="189"/>
      <c r="F3161" s="73"/>
      <c r="M3161" s="111"/>
      <c r="N3161" s="73"/>
      <c r="O3161" s="73"/>
      <c r="P3161" s="73"/>
      <c r="Q3161" s="73"/>
      <c r="R3161" s="111"/>
      <c r="S3161" s="75"/>
      <c r="T3161" s="73"/>
      <c r="X3161" s="189"/>
      <c r="Y3161" s="189"/>
      <c r="Z3161" s="100"/>
      <c r="AC3161" s="84"/>
      <c r="AD3161" s="189"/>
      <c r="AE3161" s="189"/>
      <c r="AF3161" s="189"/>
      <c r="AG3161" s="189"/>
      <c r="AH3161" s="189"/>
      <c r="AP3161" s="238"/>
    </row>
    <row r="3162" spans="3:42" s="45" customFormat="1" x14ac:dyDescent="0.2">
      <c r="C3162" s="189"/>
      <c r="F3162" s="73"/>
      <c r="M3162" s="111"/>
      <c r="N3162" s="73"/>
      <c r="O3162" s="73"/>
      <c r="P3162" s="73"/>
      <c r="Q3162" s="73"/>
      <c r="R3162" s="111"/>
      <c r="S3162" s="75"/>
      <c r="T3162" s="73"/>
      <c r="X3162" s="189"/>
      <c r="Y3162" s="189"/>
      <c r="Z3162" s="100"/>
      <c r="AC3162" s="84"/>
      <c r="AD3162" s="189"/>
      <c r="AE3162" s="189"/>
      <c r="AF3162" s="189"/>
      <c r="AG3162" s="189"/>
      <c r="AH3162" s="189"/>
      <c r="AP3162" s="238"/>
    </row>
    <row r="3163" spans="3:42" s="45" customFormat="1" x14ac:dyDescent="0.2">
      <c r="C3163" s="189"/>
      <c r="F3163" s="73"/>
      <c r="M3163" s="111"/>
      <c r="N3163" s="73"/>
      <c r="O3163" s="73"/>
      <c r="P3163" s="73"/>
      <c r="Q3163" s="73"/>
      <c r="R3163" s="111"/>
      <c r="S3163" s="75"/>
      <c r="T3163" s="73"/>
      <c r="X3163" s="189"/>
      <c r="Y3163" s="189"/>
      <c r="Z3163" s="100"/>
      <c r="AC3163" s="84"/>
      <c r="AD3163" s="189"/>
      <c r="AE3163" s="189"/>
      <c r="AF3163" s="189"/>
      <c r="AG3163" s="189"/>
      <c r="AH3163" s="189"/>
      <c r="AP3163" s="238"/>
    </row>
    <row r="3164" spans="3:42" s="45" customFormat="1" x14ac:dyDescent="0.2">
      <c r="C3164" s="189"/>
      <c r="F3164" s="73"/>
      <c r="M3164" s="111"/>
      <c r="N3164" s="73"/>
      <c r="O3164" s="73"/>
      <c r="P3164" s="73"/>
      <c r="Q3164" s="73"/>
      <c r="R3164" s="111"/>
      <c r="S3164" s="75"/>
      <c r="T3164" s="73"/>
      <c r="X3164" s="189"/>
      <c r="Y3164" s="189"/>
      <c r="Z3164" s="100"/>
      <c r="AC3164" s="84"/>
      <c r="AD3164" s="189"/>
      <c r="AE3164" s="189"/>
      <c r="AF3164" s="189"/>
      <c r="AG3164" s="189"/>
      <c r="AH3164" s="189"/>
      <c r="AP3164" s="238"/>
    </row>
    <row r="3165" spans="3:42" s="45" customFormat="1" x14ac:dyDescent="0.2">
      <c r="C3165" s="189"/>
      <c r="F3165" s="73"/>
      <c r="M3165" s="111"/>
      <c r="N3165" s="73"/>
      <c r="O3165" s="73"/>
      <c r="P3165" s="73"/>
      <c r="Q3165" s="73"/>
      <c r="R3165" s="111"/>
      <c r="S3165" s="75"/>
      <c r="T3165" s="73"/>
      <c r="X3165" s="189"/>
      <c r="Y3165" s="189"/>
      <c r="Z3165" s="100"/>
      <c r="AC3165" s="84"/>
      <c r="AD3165" s="189"/>
      <c r="AE3165" s="189"/>
      <c r="AF3165" s="189"/>
      <c r="AG3165" s="189"/>
      <c r="AH3165" s="189"/>
      <c r="AP3165" s="238"/>
    </row>
    <row r="3166" spans="3:42" s="45" customFormat="1" x14ac:dyDescent="0.2">
      <c r="C3166" s="189"/>
      <c r="F3166" s="73"/>
      <c r="M3166" s="111"/>
      <c r="N3166" s="73"/>
      <c r="O3166" s="73"/>
      <c r="P3166" s="73"/>
      <c r="Q3166" s="73"/>
      <c r="R3166" s="111"/>
      <c r="S3166" s="75"/>
      <c r="T3166" s="73"/>
      <c r="X3166" s="189"/>
      <c r="Y3166" s="189"/>
      <c r="Z3166" s="100"/>
      <c r="AC3166" s="84"/>
      <c r="AD3166" s="189"/>
      <c r="AE3166" s="189"/>
      <c r="AF3166" s="189"/>
      <c r="AG3166" s="189"/>
      <c r="AH3166" s="189"/>
      <c r="AP3166" s="238"/>
    </row>
    <row r="3167" spans="3:42" s="45" customFormat="1" x14ac:dyDescent="0.2">
      <c r="C3167" s="189"/>
      <c r="F3167" s="73"/>
      <c r="M3167" s="111"/>
      <c r="N3167" s="73"/>
      <c r="O3167" s="73"/>
      <c r="P3167" s="73"/>
      <c r="Q3167" s="73"/>
      <c r="R3167" s="111"/>
      <c r="S3167" s="75"/>
      <c r="T3167" s="73"/>
      <c r="X3167" s="189"/>
      <c r="Y3167" s="189"/>
      <c r="Z3167" s="100"/>
      <c r="AC3167" s="84"/>
      <c r="AD3167" s="189"/>
      <c r="AE3167" s="189"/>
      <c r="AF3167" s="189"/>
      <c r="AG3167" s="189"/>
      <c r="AH3167" s="189"/>
      <c r="AP3167" s="238"/>
    </row>
    <row r="3168" spans="3:42" s="45" customFormat="1" x14ac:dyDescent="0.2">
      <c r="C3168" s="189"/>
      <c r="F3168" s="73"/>
      <c r="M3168" s="111"/>
      <c r="N3168" s="73"/>
      <c r="O3168" s="73"/>
      <c r="P3168" s="73"/>
      <c r="Q3168" s="73"/>
      <c r="R3168" s="111"/>
      <c r="S3168" s="75"/>
      <c r="T3168" s="73"/>
      <c r="X3168" s="189"/>
      <c r="Y3168" s="189"/>
      <c r="Z3168" s="100"/>
      <c r="AC3168" s="84"/>
      <c r="AD3168" s="189"/>
      <c r="AE3168" s="189"/>
      <c r="AF3168" s="189"/>
      <c r="AG3168" s="189"/>
      <c r="AH3168" s="189"/>
      <c r="AP3168" s="238"/>
    </row>
    <row r="3169" spans="3:42" s="45" customFormat="1" x14ac:dyDescent="0.2">
      <c r="C3169" s="189"/>
      <c r="F3169" s="73"/>
      <c r="M3169" s="111"/>
      <c r="N3169" s="73"/>
      <c r="O3169" s="73"/>
      <c r="P3169" s="73"/>
      <c r="Q3169" s="73"/>
      <c r="R3169" s="111"/>
      <c r="S3169" s="75"/>
      <c r="T3169" s="73"/>
      <c r="X3169" s="189"/>
      <c r="Y3169" s="189"/>
      <c r="Z3169" s="100"/>
      <c r="AC3169" s="84"/>
      <c r="AD3169" s="189"/>
      <c r="AE3169" s="189"/>
      <c r="AF3169" s="189"/>
      <c r="AG3169" s="189"/>
      <c r="AH3169" s="189"/>
      <c r="AP3169" s="238"/>
    </row>
    <row r="3170" spans="3:42" s="45" customFormat="1" x14ac:dyDescent="0.2">
      <c r="C3170" s="189"/>
      <c r="F3170" s="73"/>
      <c r="M3170" s="111"/>
      <c r="N3170" s="73"/>
      <c r="O3170" s="73"/>
      <c r="P3170" s="73"/>
      <c r="Q3170" s="73"/>
      <c r="R3170" s="111"/>
      <c r="S3170" s="75"/>
      <c r="T3170" s="73"/>
      <c r="X3170" s="189"/>
      <c r="Y3170" s="189"/>
      <c r="Z3170" s="100"/>
      <c r="AC3170" s="84"/>
      <c r="AD3170" s="189"/>
      <c r="AE3170" s="189"/>
      <c r="AF3170" s="189"/>
      <c r="AG3170" s="189"/>
      <c r="AH3170" s="189"/>
      <c r="AP3170" s="238"/>
    </row>
    <row r="3171" spans="3:42" s="45" customFormat="1" x14ac:dyDescent="0.2">
      <c r="C3171" s="189"/>
      <c r="F3171" s="73"/>
      <c r="M3171" s="111"/>
      <c r="N3171" s="73"/>
      <c r="O3171" s="73"/>
      <c r="P3171" s="73"/>
      <c r="Q3171" s="73"/>
      <c r="R3171" s="111"/>
      <c r="S3171" s="75"/>
      <c r="T3171" s="73"/>
      <c r="X3171" s="189"/>
      <c r="Y3171" s="189"/>
      <c r="Z3171" s="100"/>
      <c r="AC3171" s="84"/>
      <c r="AD3171" s="189"/>
      <c r="AE3171" s="189"/>
      <c r="AF3171" s="189"/>
      <c r="AG3171" s="189"/>
      <c r="AH3171" s="189"/>
      <c r="AP3171" s="238"/>
    </row>
    <row r="3172" spans="3:42" s="45" customFormat="1" x14ac:dyDescent="0.2">
      <c r="C3172" s="189"/>
      <c r="F3172" s="73"/>
      <c r="M3172" s="111"/>
      <c r="N3172" s="73"/>
      <c r="O3172" s="73"/>
      <c r="P3172" s="73"/>
      <c r="Q3172" s="73"/>
      <c r="R3172" s="111"/>
      <c r="S3172" s="75"/>
      <c r="T3172" s="73"/>
      <c r="X3172" s="189"/>
      <c r="Y3172" s="189"/>
      <c r="Z3172" s="100"/>
      <c r="AC3172" s="84"/>
      <c r="AD3172" s="189"/>
      <c r="AE3172" s="189"/>
      <c r="AF3172" s="189"/>
      <c r="AG3172" s="189"/>
      <c r="AH3172" s="189"/>
      <c r="AP3172" s="238"/>
    </row>
    <row r="3173" spans="3:42" s="45" customFormat="1" x14ac:dyDescent="0.2">
      <c r="C3173" s="189"/>
      <c r="F3173" s="73"/>
      <c r="M3173" s="111"/>
      <c r="N3173" s="73"/>
      <c r="O3173" s="73"/>
      <c r="P3173" s="73"/>
      <c r="Q3173" s="73"/>
      <c r="R3173" s="111"/>
      <c r="S3173" s="75"/>
      <c r="T3173" s="73"/>
      <c r="X3173" s="189"/>
      <c r="Y3173" s="189"/>
      <c r="Z3173" s="100"/>
      <c r="AC3173" s="84"/>
      <c r="AD3173" s="189"/>
      <c r="AE3173" s="189"/>
      <c r="AF3173" s="189"/>
      <c r="AG3173" s="189"/>
      <c r="AH3173" s="189"/>
      <c r="AP3173" s="238"/>
    </row>
    <row r="3174" spans="3:42" s="45" customFormat="1" x14ac:dyDescent="0.2">
      <c r="C3174" s="189"/>
      <c r="F3174" s="73"/>
      <c r="M3174" s="111"/>
      <c r="N3174" s="73"/>
      <c r="O3174" s="73"/>
      <c r="P3174" s="73"/>
      <c r="Q3174" s="73"/>
      <c r="R3174" s="111"/>
      <c r="S3174" s="75"/>
      <c r="T3174" s="73"/>
      <c r="X3174" s="189"/>
      <c r="Y3174" s="189"/>
      <c r="Z3174" s="100"/>
      <c r="AC3174" s="84"/>
      <c r="AD3174" s="189"/>
      <c r="AE3174" s="189"/>
      <c r="AF3174" s="189"/>
      <c r="AG3174" s="189"/>
      <c r="AH3174" s="189"/>
      <c r="AP3174" s="238"/>
    </row>
    <row r="3175" spans="3:42" s="45" customFormat="1" x14ac:dyDescent="0.2">
      <c r="C3175" s="189"/>
      <c r="F3175" s="73"/>
      <c r="M3175" s="111"/>
      <c r="N3175" s="73"/>
      <c r="O3175" s="73"/>
      <c r="P3175" s="73"/>
      <c r="Q3175" s="73"/>
      <c r="R3175" s="111"/>
      <c r="S3175" s="75"/>
      <c r="T3175" s="73"/>
      <c r="X3175" s="189"/>
      <c r="Y3175" s="189"/>
      <c r="Z3175" s="100"/>
      <c r="AC3175" s="84"/>
      <c r="AD3175" s="189"/>
      <c r="AE3175" s="189"/>
      <c r="AF3175" s="189"/>
      <c r="AG3175" s="189"/>
      <c r="AH3175" s="189"/>
      <c r="AP3175" s="238"/>
    </row>
    <row r="3176" spans="3:42" s="45" customFormat="1" x14ac:dyDescent="0.2">
      <c r="C3176" s="189"/>
      <c r="F3176" s="73"/>
      <c r="M3176" s="111"/>
      <c r="N3176" s="73"/>
      <c r="O3176" s="73"/>
      <c r="P3176" s="73"/>
      <c r="Q3176" s="73"/>
      <c r="R3176" s="111"/>
      <c r="S3176" s="75"/>
      <c r="T3176" s="73"/>
      <c r="X3176" s="189"/>
      <c r="Y3176" s="189"/>
      <c r="Z3176" s="100"/>
      <c r="AC3176" s="84"/>
      <c r="AD3176" s="189"/>
      <c r="AE3176" s="189"/>
      <c r="AF3176" s="189"/>
      <c r="AG3176" s="189"/>
      <c r="AH3176" s="189"/>
      <c r="AP3176" s="238"/>
    </row>
    <row r="3177" spans="3:42" s="45" customFormat="1" x14ac:dyDescent="0.2">
      <c r="C3177" s="189"/>
      <c r="F3177" s="73"/>
      <c r="M3177" s="111"/>
      <c r="N3177" s="73"/>
      <c r="O3177" s="73"/>
      <c r="P3177" s="73"/>
      <c r="Q3177" s="73"/>
      <c r="R3177" s="111"/>
      <c r="S3177" s="75"/>
      <c r="T3177" s="73"/>
      <c r="X3177" s="189"/>
      <c r="Y3177" s="189"/>
      <c r="Z3177" s="100"/>
      <c r="AC3177" s="84"/>
      <c r="AD3177" s="189"/>
      <c r="AE3177" s="189"/>
      <c r="AF3177" s="189"/>
      <c r="AG3177" s="189"/>
      <c r="AH3177" s="189"/>
      <c r="AP3177" s="238"/>
    </row>
    <row r="3178" spans="3:42" s="45" customFormat="1" x14ac:dyDescent="0.2">
      <c r="C3178" s="189"/>
      <c r="F3178" s="73"/>
      <c r="M3178" s="111"/>
      <c r="N3178" s="73"/>
      <c r="O3178" s="73"/>
      <c r="P3178" s="73"/>
      <c r="Q3178" s="73"/>
      <c r="R3178" s="111"/>
      <c r="S3178" s="75"/>
      <c r="T3178" s="73"/>
      <c r="X3178" s="189"/>
      <c r="Y3178" s="189"/>
      <c r="Z3178" s="100"/>
      <c r="AC3178" s="84"/>
      <c r="AD3178" s="189"/>
      <c r="AE3178" s="189"/>
      <c r="AF3178" s="189"/>
      <c r="AG3178" s="189"/>
      <c r="AH3178" s="189"/>
      <c r="AP3178" s="238"/>
    </row>
    <row r="3179" spans="3:42" s="45" customFormat="1" x14ac:dyDescent="0.2">
      <c r="C3179" s="189"/>
      <c r="F3179" s="73"/>
      <c r="M3179" s="111"/>
      <c r="N3179" s="73"/>
      <c r="O3179" s="73"/>
      <c r="P3179" s="73"/>
      <c r="Q3179" s="73"/>
      <c r="R3179" s="111"/>
      <c r="S3179" s="75"/>
      <c r="T3179" s="73"/>
      <c r="X3179" s="189"/>
      <c r="Y3179" s="189"/>
      <c r="Z3179" s="100"/>
      <c r="AC3179" s="84"/>
      <c r="AD3179" s="189"/>
      <c r="AE3179" s="189"/>
      <c r="AF3179" s="189"/>
      <c r="AG3179" s="189"/>
      <c r="AH3179" s="189"/>
      <c r="AP3179" s="238"/>
    </row>
    <row r="3180" spans="3:42" s="45" customFormat="1" x14ac:dyDescent="0.2">
      <c r="C3180" s="189"/>
      <c r="F3180" s="73"/>
      <c r="M3180" s="111"/>
      <c r="N3180" s="73"/>
      <c r="O3180" s="73"/>
      <c r="P3180" s="73"/>
      <c r="Q3180" s="73"/>
      <c r="R3180" s="111"/>
      <c r="S3180" s="75"/>
      <c r="T3180" s="73"/>
      <c r="X3180" s="189"/>
      <c r="Y3180" s="189"/>
      <c r="Z3180" s="100"/>
      <c r="AC3180" s="84"/>
      <c r="AD3180" s="189"/>
      <c r="AE3180" s="189"/>
      <c r="AF3180" s="189"/>
      <c r="AG3180" s="189"/>
      <c r="AH3180" s="189"/>
      <c r="AP3180" s="238"/>
    </row>
    <row r="3181" spans="3:42" s="45" customFormat="1" x14ac:dyDescent="0.2">
      <c r="C3181" s="189"/>
      <c r="F3181" s="73"/>
      <c r="M3181" s="111"/>
      <c r="N3181" s="73"/>
      <c r="O3181" s="73"/>
      <c r="P3181" s="73"/>
      <c r="Q3181" s="73"/>
      <c r="R3181" s="111"/>
      <c r="S3181" s="75"/>
      <c r="T3181" s="73"/>
      <c r="X3181" s="189"/>
      <c r="Y3181" s="189"/>
      <c r="Z3181" s="100"/>
      <c r="AC3181" s="84"/>
      <c r="AD3181" s="189"/>
      <c r="AE3181" s="189"/>
      <c r="AF3181" s="189"/>
      <c r="AG3181" s="189"/>
      <c r="AH3181" s="189"/>
      <c r="AP3181" s="238"/>
    </row>
    <row r="3182" spans="3:42" s="45" customFormat="1" x14ac:dyDescent="0.2">
      <c r="C3182" s="189"/>
      <c r="F3182" s="73"/>
      <c r="M3182" s="111"/>
      <c r="N3182" s="73"/>
      <c r="O3182" s="73"/>
      <c r="P3182" s="73"/>
      <c r="Q3182" s="73"/>
      <c r="R3182" s="111"/>
      <c r="S3182" s="75"/>
      <c r="T3182" s="73"/>
      <c r="X3182" s="189"/>
      <c r="Y3182" s="189"/>
      <c r="Z3182" s="100"/>
      <c r="AC3182" s="84"/>
      <c r="AD3182" s="189"/>
      <c r="AE3182" s="189"/>
      <c r="AF3182" s="189"/>
      <c r="AG3182" s="189"/>
      <c r="AH3182" s="189"/>
      <c r="AP3182" s="238"/>
    </row>
    <row r="3183" spans="3:42" s="45" customFormat="1" x14ac:dyDescent="0.2">
      <c r="C3183" s="189"/>
      <c r="F3183" s="73"/>
      <c r="M3183" s="111"/>
      <c r="N3183" s="73"/>
      <c r="O3183" s="73"/>
      <c r="P3183" s="73"/>
      <c r="Q3183" s="73"/>
      <c r="R3183" s="111"/>
      <c r="S3183" s="75"/>
      <c r="T3183" s="73"/>
      <c r="X3183" s="189"/>
      <c r="Y3183" s="189"/>
      <c r="Z3183" s="100"/>
      <c r="AC3183" s="84"/>
      <c r="AD3183" s="189"/>
      <c r="AE3183" s="189"/>
      <c r="AF3183" s="189"/>
      <c r="AG3183" s="189"/>
      <c r="AH3183" s="189"/>
      <c r="AP3183" s="238"/>
    </row>
    <row r="3184" spans="3:42" s="45" customFormat="1" x14ac:dyDescent="0.2">
      <c r="C3184" s="189"/>
      <c r="F3184" s="73"/>
      <c r="M3184" s="111"/>
      <c r="N3184" s="73"/>
      <c r="O3184" s="73"/>
      <c r="P3184" s="73"/>
      <c r="Q3184" s="73"/>
      <c r="R3184" s="111"/>
      <c r="S3184" s="75"/>
      <c r="T3184" s="73"/>
      <c r="X3184" s="189"/>
      <c r="Y3184" s="189"/>
      <c r="Z3184" s="100"/>
      <c r="AC3184" s="84"/>
      <c r="AD3184" s="189"/>
      <c r="AE3184" s="189"/>
      <c r="AF3184" s="189"/>
      <c r="AG3184" s="189"/>
      <c r="AH3184" s="189"/>
      <c r="AP3184" s="238"/>
    </row>
    <row r="3185" spans="3:42" s="45" customFormat="1" x14ac:dyDescent="0.2">
      <c r="C3185" s="189"/>
      <c r="F3185" s="73"/>
      <c r="M3185" s="111"/>
      <c r="N3185" s="73"/>
      <c r="O3185" s="73"/>
      <c r="P3185" s="73"/>
      <c r="Q3185" s="73"/>
      <c r="R3185" s="111"/>
      <c r="S3185" s="75"/>
      <c r="T3185" s="73"/>
      <c r="X3185" s="189"/>
      <c r="Y3185" s="189"/>
      <c r="Z3185" s="100"/>
      <c r="AC3185" s="84"/>
      <c r="AD3185" s="189"/>
      <c r="AE3185" s="189"/>
      <c r="AF3185" s="189"/>
      <c r="AG3185" s="189"/>
      <c r="AH3185" s="189"/>
      <c r="AP3185" s="238"/>
    </row>
    <row r="3186" spans="3:42" s="45" customFormat="1" x14ac:dyDescent="0.2">
      <c r="C3186" s="189"/>
      <c r="F3186" s="73"/>
      <c r="M3186" s="111"/>
      <c r="N3186" s="73"/>
      <c r="O3186" s="73"/>
      <c r="P3186" s="73"/>
      <c r="Q3186" s="73"/>
      <c r="R3186" s="111"/>
      <c r="S3186" s="75"/>
      <c r="T3186" s="73"/>
      <c r="X3186" s="189"/>
      <c r="Y3186" s="189"/>
      <c r="Z3186" s="100"/>
      <c r="AC3186" s="84"/>
      <c r="AD3186" s="189"/>
      <c r="AE3186" s="189"/>
      <c r="AF3186" s="189"/>
      <c r="AG3186" s="189"/>
      <c r="AH3186" s="189"/>
      <c r="AP3186" s="238"/>
    </row>
    <row r="3187" spans="3:42" s="45" customFormat="1" x14ac:dyDescent="0.2">
      <c r="C3187" s="189"/>
      <c r="F3187" s="73"/>
      <c r="M3187" s="111"/>
      <c r="N3187" s="73"/>
      <c r="O3187" s="73"/>
      <c r="P3187" s="73"/>
      <c r="Q3187" s="73"/>
      <c r="R3187" s="111"/>
      <c r="S3187" s="75"/>
      <c r="T3187" s="73"/>
      <c r="X3187" s="189"/>
      <c r="Y3187" s="189"/>
      <c r="Z3187" s="100"/>
      <c r="AC3187" s="84"/>
      <c r="AD3187" s="189"/>
      <c r="AE3187" s="189"/>
      <c r="AF3187" s="189"/>
      <c r="AG3187" s="189"/>
      <c r="AH3187" s="189"/>
      <c r="AP3187" s="238"/>
    </row>
    <row r="3188" spans="3:42" s="45" customFormat="1" x14ac:dyDescent="0.2">
      <c r="C3188" s="189"/>
      <c r="F3188" s="73"/>
      <c r="M3188" s="111"/>
      <c r="N3188" s="73"/>
      <c r="O3188" s="73"/>
      <c r="P3188" s="73"/>
      <c r="Q3188" s="73"/>
      <c r="R3188" s="111"/>
      <c r="S3188" s="75"/>
      <c r="T3188" s="73"/>
      <c r="X3188" s="189"/>
      <c r="Y3188" s="189"/>
      <c r="Z3188" s="100"/>
      <c r="AC3188" s="84"/>
      <c r="AD3188" s="189"/>
      <c r="AE3188" s="189"/>
      <c r="AF3188" s="189"/>
      <c r="AG3188" s="189"/>
      <c r="AH3188" s="189"/>
      <c r="AP3188" s="238"/>
    </row>
    <row r="3189" spans="3:42" s="45" customFormat="1" x14ac:dyDescent="0.2">
      <c r="C3189" s="189"/>
      <c r="F3189" s="73"/>
      <c r="M3189" s="111"/>
      <c r="N3189" s="73"/>
      <c r="O3189" s="73"/>
      <c r="P3189" s="73"/>
      <c r="Q3189" s="73"/>
      <c r="R3189" s="111"/>
      <c r="S3189" s="75"/>
      <c r="T3189" s="73"/>
      <c r="X3189" s="189"/>
      <c r="Y3189" s="189"/>
      <c r="Z3189" s="100"/>
      <c r="AC3189" s="84"/>
      <c r="AD3189" s="189"/>
      <c r="AE3189" s="189"/>
      <c r="AF3189" s="189"/>
      <c r="AG3189" s="189"/>
      <c r="AH3189" s="189"/>
      <c r="AP3189" s="238"/>
    </row>
    <row r="3190" spans="3:42" s="45" customFormat="1" x14ac:dyDescent="0.2">
      <c r="C3190" s="189"/>
      <c r="F3190" s="73"/>
      <c r="M3190" s="111"/>
      <c r="N3190" s="73"/>
      <c r="O3190" s="73"/>
      <c r="P3190" s="73"/>
      <c r="Q3190" s="73"/>
      <c r="R3190" s="111"/>
      <c r="S3190" s="75"/>
      <c r="T3190" s="73"/>
      <c r="X3190" s="189"/>
      <c r="Y3190" s="189"/>
      <c r="Z3190" s="100"/>
      <c r="AC3190" s="84"/>
      <c r="AD3190" s="189"/>
      <c r="AE3190" s="189"/>
      <c r="AF3190" s="189"/>
      <c r="AG3190" s="189"/>
      <c r="AH3190" s="189"/>
      <c r="AP3190" s="238"/>
    </row>
    <row r="3191" spans="3:42" s="45" customFormat="1" x14ac:dyDescent="0.2">
      <c r="C3191" s="189"/>
      <c r="F3191" s="73"/>
      <c r="M3191" s="111"/>
      <c r="N3191" s="73"/>
      <c r="O3191" s="73"/>
      <c r="P3191" s="73"/>
      <c r="Q3191" s="73"/>
      <c r="R3191" s="111"/>
      <c r="S3191" s="75"/>
      <c r="T3191" s="73"/>
      <c r="X3191" s="189"/>
      <c r="Y3191" s="189"/>
      <c r="Z3191" s="100"/>
      <c r="AC3191" s="84"/>
      <c r="AD3191" s="189"/>
      <c r="AE3191" s="189"/>
      <c r="AF3191" s="189"/>
      <c r="AG3191" s="189"/>
      <c r="AH3191" s="189"/>
      <c r="AP3191" s="238"/>
    </row>
    <row r="3192" spans="3:42" s="45" customFormat="1" x14ac:dyDescent="0.2">
      <c r="C3192" s="189"/>
      <c r="F3192" s="73"/>
      <c r="M3192" s="111"/>
      <c r="N3192" s="73"/>
      <c r="O3192" s="73"/>
      <c r="P3192" s="73"/>
      <c r="Q3192" s="73"/>
      <c r="R3192" s="111"/>
      <c r="S3192" s="75"/>
      <c r="T3192" s="73"/>
      <c r="X3192" s="189"/>
      <c r="Y3192" s="189"/>
      <c r="Z3192" s="100"/>
      <c r="AC3192" s="84"/>
      <c r="AD3192" s="189"/>
      <c r="AE3192" s="189"/>
      <c r="AF3192" s="189"/>
      <c r="AG3192" s="189"/>
      <c r="AH3192" s="189"/>
      <c r="AP3192" s="238"/>
    </row>
    <row r="3193" spans="3:42" s="45" customFormat="1" x14ac:dyDescent="0.2">
      <c r="C3193" s="189"/>
      <c r="F3193" s="73"/>
      <c r="M3193" s="111"/>
      <c r="N3193" s="73"/>
      <c r="O3193" s="73"/>
      <c r="P3193" s="73"/>
      <c r="Q3193" s="73"/>
      <c r="R3193" s="111"/>
      <c r="S3193" s="75"/>
      <c r="T3193" s="73"/>
      <c r="X3193" s="189"/>
      <c r="Y3193" s="189"/>
      <c r="Z3193" s="100"/>
      <c r="AC3193" s="84"/>
      <c r="AD3193" s="189"/>
      <c r="AE3193" s="189"/>
      <c r="AF3193" s="189"/>
      <c r="AG3193" s="189"/>
      <c r="AH3193" s="189"/>
      <c r="AP3193" s="238"/>
    </row>
    <row r="3194" spans="3:42" s="45" customFormat="1" x14ac:dyDescent="0.2">
      <c r="C3194" s="189"/>
      <c r="F3194" s="73"/>
      <c r="M3194" s="111"/>
      <c r="N3194" s="73"/>
      <c r="O3194" s="73"/>
      <c r="P3194" s="73"/>
      <c r="Q3194" s="73"/>
      <c r="R3194" s="111"/>
      <c r="S3194" s="75"/>
      <c r="T3194" s="73"/>
      <c r="X3194" s="189"/>
      <c r="Y3194" s="189"/>
      <c r="Z3194" s="100"/>
      <c r="AC3194" s="84"/>
      <c r="AD3194" s="189"/>
      <c r="AE3194" s="189"/>
      <c r="AF3194" s="189"/>
      <c r="AG3194" s="189"/>
      <c r="AH3194" s="189"/>
      <c r="AP3194" s="238"/>
    </row>
    <row r="3195" spans="3:42" s="45" customFormat="1" x14ac:dyDescent="0.2">
      <c r="C3195" s="189"/>
      <c r="F3195" s="73"/>
      <c r="M3195" s="111"/>
      <c r="N3195" s="73"/>
      <c r="O3195" s="73"/>
      <c r="P3195" s="73"/>
      <c r="Q3195" s="73"/>
      <c r="R3195" s="111"/>
      <c r="S3195" s="75"/>
      <c r="T3195" s="73"/>
      <c r="X3195" s="189"/>
      <c r="Y3195" s="189"/>
      <c r="Z3195" s="100"/>
      <c r="AC3195" s="84"/>
      <c r="AD3195" s="189"/>
      <c r="AE3195" s="189"/>
      <c r="AF3195" s="189"/>
      <c r="AG3195" s="189"/>
      <c r="AH3195" s="189"/>
      <c r="AP3195" s="238"/>
    </row>
    <row r="3196" spans="3:42" s="45" customFormat="1" x14ac:dyDescent="0.2">
      <c r="C3196" s="189"/>
      <c r="F3196" s="73"/>
      <c r="M3196" s="111"/>
      <c r="N3196" s="73"/>
      <c r="O3196" s="73"/>
      <c r="P3196" s="73"/>
      <c r="Q3196" s="73"/>
      <c r="R3196" s="111"/>
      <c r="S3196" s="75"/>
      <c r="T3196" s="73"/>
      <c r="X3196" s="189"/>
      <c r="Y3196" s="189"/>
      <c r="Z3196" s="100"/>
      <c r="AC3196" s="84"/>
      <c r="AD3196" s="189"/>
      <c r="AE3196" s="189"/>
      <c r="AF3196" s="189"/>
      <c r="AG3196" s="189"/>
      <c r="AH3196" s="189"/>
      <c r="AP3196" s="238"/>
    </row>
    <row r="3197" spans="3:42" s="45" customFormat="1" x14ac:dyDescent="0.2">
      <c r="C3197" s="189"/>
      <c r="F3197" s="73"/>
      <c r="M3197" s="111"/>
      <c r="N3197" s="73"/>
      <c r="O3197" s="73"/>
      <c r="P3197" s="73"/>
      <c r="Q3197" s="73"/>
      <c r="R3197" s="111"/>
      <c r="S3197" s="75"/>
      <c r="T3197" s="73"/>
      <c r="X3197" s="189"/>
      <c r="Y3197" s="189"/>
      <c r="Z3197" s="100"/>
      <c r="AC3197" s="84"/>
      <c r="AD3197" s="189"/>
      <c r="AE3197" s="189"/>
      <c r="AF3197" s="189"/>
      <c r="AG3197" s="189"/>
      <c r="AH3197" s="189"/>
      <c r="AP3197" s="238"/>
    </row>
    <row r="3198" spans="3:42" s="45" customFormat="1" x14ac:dyDescent="0.2">
      <c r="C3198" s="189"/>
      <c r="F3198" s="73"/>
      <c r="M3198" s="111"/>
      <c r="N3198" s="73"/>
      <c r="O3198" s="73"/>
      <c r="P3198" s="73"/>
      <c r="Q3198" s="73"/>
      <c r="R3198" s="111"/>
      <c r="S3198" s="75"/>
      <c r="T3198" s="73"/>
      <c r="X3198" s="189"/>
      <c r="Y3198" s="189"/>
      <c r="Z3198" s="100"/>
      <c r="AC3198" s="84"/>
      <c r="AD3198" s="189"/>
      <c r="AE3198" s="189"/>
      <c r="AF3198" s="189"/>
      <c r="AG3198" s="189"/>
      <c r="AH3198" s="189"/>
      <c r="AP3198" s="238"/>
    </row>
    <row r="3199" spans="3:42" s="45" customFormat="1" x14ac:dyDescent="0.2">
      <c r="C3199" s="189"/>
      <c r="F3199" s="73"/>
      <c r="M3199" s="111"/>
      <c r="N3199" s="73"/>
      <c r="O3199" s="73"/>
      <c r="P3199" s="73"/>
      <c r="Q3199" s="73"/>
      <c r="R3199" s="111"/>
      <c r="S3199" s="75"/>
      <c r="T3199" s="73"/>
      <c r="X3199" s="189"/>
      <c r="Y3199" s="189"/>
      <c r="Z3199" s="100"/>
      <c r="AC3199" s="84"/>
      <c r="AD3199" s="189"/>
      <c r="AE3199" s="189"/>
      <c r="AF3199" s="189"/>
      <c r="AG3199" s="189"/>
      <c r="AH3199" s="189"/>
      <c r="AP3199" s="238"/>
    </row>
    <row r="3200" spans="3:42" s="45" customFormat="1" x14ac:dyDescent="0.2">
      <c r="C3200" s="189"/>
      <c r="F3200" s="73"/>
      <c r="M3200" s="111"/>
      <c r="N3200" s="73"/>
      <c r="O3200" s="73"/>
      <c r="P3200" s="73"/>
      <c r="Q3200" s="73"/>
      <c r="R3200" s="111"/>
      <c r="S3200" s="75"/>
      <c r="T3200" s="73"/>
      <c r="X3200" s="189"/>
      <c r="Y3200" s="189"/>
      <c r="Z3200" s="100"/>
      <c r="AC3200" s="84"/>
      <c r="AD3200" s="189"/>
      <c r="AE3200" s="189"/>
      <c r="AF3200" s="189"/>
      <c r="AG3200" s="189"/>
      <c r="AH3200" s="189"/>
      <c r="AP3200" s="238"/>
    </row>
    <row r="3201" spans="3:42" s="45" customFormat="1" x14ac:dyDescent="0.2">
      <c r="C3201" s="189"/>
      <c r="F3201" s="73"/>
      <c r="M3201" s="111"/>
      <c r="N3201" s="73"/>
      <c r="O3201" s="73"/>
      <c r="P3201" s="73"/>
      <c r="Q3201" s="73"/>
      <c r="R3201" s="111"/>
      <c r="S3201" s="75"/>
      <c r="T3201" s="73"/>
      <c r="X3201" s="189"/>
      <c r="Y3201" s="189"/>
      <c r="Z3201" s="100"/>
      <c r="AC3201" s="84"/>
      <c r="AD3201" s="189"/>
      <c r="AE3201" s="189"/>
      <c r="AF3201" s="189"/>
      <c r="AG3201" s="189"/>
      <c r="AH3201" s="189"/>
      <c r="AP3201" s="238"/>
    </row>
    <row r="3202" spans="3:42" s="45" customFormat="1" x14ac:dyDescent="0.2">
      <c r="C3202" s="189"/>
      <c r="F3202" s="73"/>
      <c r="M3202" s="111"/>
      <c r="N3202" s="73"/>
      <c r="O3202" s="73"/>
      <c r="P3202" s="73"/>
      <c r="Q3202" s="73"/>
      <c r="R3202" s="111"/>
      <c r="S3202" s="75"/>
      <c r="T3202" s="73"/>
      <c r="X3202" s="189"/>
      <c r="Y3202" s="189"/>
      <c r="Z3202" s="100"/>
      <c r="AC3202" s="84"/>
      <c r="AD3202" s="189"/>
      <c r="AE3202" s="189"/>
      <c r="AF3202" s="189"/>
      <c r="AG3202" s="189"/>
      <c r="AH3202" s="189"/>
      <c r="AP3202" s="238"/>
    </row>
    <row r="3203" spans="3:42" s="45" customFormat="1" x14ac:dyDescent="0.2">
      <c r="C3203" s="189"/>
      <c r="F3203" s="73"/>
      <c r="M3203" s="111"/>
      <c r="N3203" s="73"/>
      <c r="O3203" s="73"/>
      <c r="P3203" s="73"/>
      <c r="Q3203" s="73"/>
      <c r="R3203" s="111"/>
      <c r="S3203" s="75"/>
      <c r="T3203" s="73"/>
      <c r="X3203" s="189"/>
      <c r="Y3203" s="189"/>
      <c r="Z3203" s="100"/>
      <c r="AC3203" s="84"/>
      <c r="AD3203" s="189"/>
      <c r="AE3203" s="189"/>
      <c r="AF3203" s="189"/>
      <c r="AG3203" s="189"/>
      <c r="AH3203" s="189"/>
      <c r="AP3203" s="238"/>
    </row>
    <row r="3204" spans="3:42" s="45" customFormat="1" x14ac:dyDescent="0.2">
      <c r="C3204" s="189"/>
      <c r="F3204" s="73"/>
      <c r="M3204" s="111"/>
      <c r="N3204" s="73"/>
      <c r="O3204" s="73"/>
      <c r="P3204" s="73"/>
      <c r="Q3204" s="73"/>
      <c r="R3204" s="111"/>
      <c r="S3204" s="75"/>
      <c r="T3204" s="73"/>
      <c r="X3204" s="189"/>
      <c r="Y3204" s="189"/>
      <c r="Z3204" s="100"/>
      <c r="AC3204" s="84"/>
      <c r="AD3204" s="189"/>
      <c r="AE3204" s="189"/>
      <c r="AF3204" s="189"/>
      <c r="AG3204" s="189"/>
      <c r="AH3204" s="189"/>
      <c r="AP3204" s="238"/>
    </row>
    <row r="3205" spans="3:42" s="45" customFormat="1" x14ac:dyDescent="0.2">
      <c r="C3205" s="189"/>
      <c r="F3205" s="73"/>
      <c r="M3205" s="111"/>
      <c r="N3205" s="73"/>
      <c r="O3205" s="73"/>
      <c r="P3205" s="73"/>
      <c r="Q3205" s="73"/>
      <c r="R3205" s="111"/>
      <c r="S3205" s="75"/>
      <c r="T3205" s="73"/>
      <c r="X3205" s="189"/>
      <c r="Y3205" s="189"/>
      <c r="Z3205" s="100"/>
      <c r="AC3205" s="84"/>
      <c r="AD3205" s="189"/>
      <c r="AE3205" s="189"/>
      <c r="AF3205" s="189"/>
      <c r="AG3205" s="189"/>
      <c r="AH3205" s="189"/>
      <c r="AP3205" s="238"/>
    </row>
    <row r="3206" spans="3:42" s="45" customFormat="1" x14ac:dyDescent="0.2">
      <c r="C3206" s="189"/>
      <c r="F3206" s="73"/>
      <c r="M3206" s="111"/>
      <c r="N3206" s="73"/>
      <c r="O3206" s="73"/>
      <c r="P3206" s="73"/>
      <c r="Q3206" s="73"/>
      <c r="R3206" s="111"/>
      <c r="S3206" s="75"/>
      <c r="T3206" s="73"/>
      <c r="X3206" s="189"/>
      <c r="Y3206" s="189"/>
      <c r="Z3206" s="100"/>
      <c r="AC3206" s="84"/>
      <c r="AD3206" s="189"/>
      <c r="AE3206" s="189"/>
      <c r="AF3206" s="189"/>
      <c r="AG3206" s="189"/>
      <c r="AH3206" s="189"/>
      <c r="AP3206" s="238"/>
    </row>
    <row r="3207" spans="3:42" s="45" customFormat="1" x14ac:dyDescent="0.2">
      <c r="C3207" s="189"/>
      <c r="F3207" s="73"/>
      <c r="M3207" s="111"/>
      <c r="N3207" s="73"/>
      <c r="O3207" s="73"/>
      <c r="P3207" s="73"/>
      <c r="Q3207" s="73"/>
      <c r="R3207" s="111"/>
      <c r="S3207" s="75"/>
      <c r="T3207" s="73"/>
      <c r="X3207" s="189"/>
      <c r="Y3207" s="189"/>
      <c r="Z3207" s="100"/>
      <c r="AC3207" s="84"/>
      <c r="AD3207" s="189"/>
      <c r="AE3207" s="189"/>
      <c r="AF3207" s="189"/>
      <c r="AG3207" s="189"/>
      <c r="AH3207" s="189"/>
      <c r="AP3207" s="238"/>
    </row>
    <row r="3208" spans="3:42" s="45" customFormat="1" x14ac:dyDescent="0.2">
      <c r="C3208" s="189"/>
      <c r="F3208" s="73"/>
      <c r="M3208" s="111"/>
      <c r="N3208" s="73"/>
      <c r="O3208" s="73"/>
      <c r="P3208" s="73"/>
      <c r="Q3208" s="73"/>
      <c r="R3208" s="111"/>
      <c r="S3208" s="75"/>
      <c r="T3208" s="73"/>
      <c r="X3208" s="189"/>
      <c r="Y3208" s="189"/>
      <c r="Z3208" s="100"/>
      <c r="AC3208" s="84"/>
      <c r="AD3208" s="189"/>
      <c r="AE3208" s="189"/>
      <c r="AF3208" s="189"/>
      <c r="AG3208" s="189"/>
      <c r="AH3208" s="189"/>
      <c r="AP3208" s="238"/>
    </row>
    <row r="3209" spans="3:42" s="45" customFormat="1" x14ac:dyDescent="0.2">
      <c r="C3209" s="189"/>
      <c r="F3209" s="73"/>
      <c r="M3209" s="111"/>
      <c r="N3209" s="73"/>
      <c r="O3209" s="73"/>
      <c r="P3209" s="73"/>
      <c r="Q3209" s="73"/>
      <c r="R3209" s="111"/>
      <c r="S3209" s="75"/>
      <c r="T3209" s="73"/>
      <c r="X3209" s="189"/>
      <c r="Y3209" s="189"/>
      <c r="Z3209" s="100"/>
      <c r="AC3209" s="84"/>
      <c r="AD3209" s="189"/>
      <c r="AE3209" s="189"/>
      <c r="AF3209" s="189"/>
      <c r="AG3209" s="189"/>
      <c r="AH3209" s="189"/>
      <c r="AP3209" s="238"/>
    </row>
    <row r="3210" spans="3:42" s="45" customFormat="1" x14ac:dyDescent="0.2">
      <c r="C3210" s="189"/>
      <c r="F3210" s="73"/>
      <c r="M3210" s="111"/>
      <c r="N3210" s="73"/>
      <c r="O3210" s="73"/>
      <c r="P3210" s="73"/>
      <c r="Q3210" s="73"/>
      <c r="R3210" s="111"/>
      <c r="S3210" s="75"/>
      <c r="T3210" s="73"/>
      <c r="X3210" s="189"/>
      <c r="Y3210" s="189"/>
      <c r="Z3210" s="100"/>
      <c r="AC3210" s="84"/>
      <c r="AD3210" s="189"/>
      <c r="AE3210" s="189"/>
      <c r="AF3210" s="189"/>
      <c r="AG3210" s="189"/>
      <c r="AH3210" s="189"/>
      <c r="AP3210" s="238"/>
    </row>
    <row r="3211" spans="3:42" s="45" customFormat="1" x14ac:dyDescent="0.2">
      <c r="C3211" s="189"/>
      <c r="F3211" s="73"/>
      <c r="M3211" s="111"/>
      <c r="N3211" s="73"/>
      <c r="O3211" s="73"/>
      <c r="P3211" s="73"/>
      <c r="Q3211" s="73"/>
      <c r="R3211" s="111"/>
      <c r="S3211" s="75"/>
      <c r="T3211" s="73"/>
      <c r="X3211" s="189"/>
      <c r="Y3211" s="189"/>
      <c r="Z3211" s="100"/>
      <c r="AC3211" s="84"/>
      <c r="AD3211" s="189"/>
      <c r="AE3211" s="189"/>
      <c r="AF3211" s="189"/>
      <c r="AG3211" s="189"/>
      <c r="AH3211" s="189"/>
      <c r="AP3211" s="238"/>
    </row>
    <row r="3212" spans="3:42" s="45" customFormat="1" x14ac:dyDescent="0.2">
      <c r="C3212" s="189"/>
      <c r="F3212" s="73"/>
      <c r="M3212" s="111"/>
      <c r="N3212" s="73"/>
      <c r="O3212" s="73"/>
      <c r="P3212" s="73"/>
      <c r="Q3212" s="73"/>
      <c r="R3212" s="111"/>
      <c r="S3212" s="75"/>
      <c r="T3212" s="73"/>
      <c r="X3212" s="189"/>
      <c r="Y3212" s="189"/>
      <c r="Z3212" s="100"/>
      <c r="AC3212" s="84"/>
      <c r="AD3212" s="189"/>
      <c r="AE3212" s="189"/>
      <c r="AF3212" s="189"/>
      <c r="AG3212" s="189"/>
      <c r="AH3212" s="189"/>
      <c r="AP3212" s="238"/>
    </row>
    <row r="3213" spans="3:42" s="45" customFormat="1" x14ac:dyDescent="0.2">
      <c r="C3213" s="189"/>
      <c r="F3213" s="73"/>
      <c r="M3213" s="111"/>
      <c r="N3213" s="73"/>
      <c r="O3213" s="73"/>
      <c r="P3213" s="73"/>
      <c r="Q3213" s="73"/>
      <c r="R3213" s="111"/>
      <c r="S3213" s="75"/>
      <c r="T3213" s="73"/>
      <c r="X3213" s="189"/>
      <c r="Y3213" s="189"/>
      <c r="Z3213" s="100"/>
      <c r="AC3213" s="84"/>
      <c r="AD3213" s="189"/>
      <c r="AE3213" s="189"/>
      <c r="AF3213" s="189"/>
      <c r="AG3213" s="189"/>
      <c r="AH3213" s="189"/>
      <c r="AP3213" s="238"/>
    </row>
    <row r="3214" spans="3:42" s="45" customFormat="1" x14ac:dyDescent="0.2">
      <c r="C3214" s="189"/>
      <c r="F3214" s="73"/>
      <c r="M3214" s="111"/>
      <c r="N3214" s="73"/>
      <c r="O3214" s="73"/>
      <c r="P3214" s="73"/>
      <c r="Q3214" s="73"/>
      <c r="R3214" s="111"/>
      <c r="S3214" s="75"/>
      <c r="T3214" s="73"/>
      <c r="X3214" s="189"/>
      <c r="Y3214" s="189"/>
      <c r="Z3214" s="100"/>
      <c r="AC3214" s="84"/>
      <c r="AD3214" s="189"/>
      <c r="AE3214" s="189"/>
      <c r="AF3214" s="189"/>
      <c r="AG3214" s="189"/>
      <c r="AH3214" s="189"/>
      <c r="AP3214" s="238"/>
    </row>
    <row r="3215" spans="3:42" s="45" customFormat="1" x14ac:dyDescent="0.2">
      <c r="C3215" s="189"/>
      <c r="F3215" s="73"/>
      <c r="M3215" s="111"/>
      <c r="N3215" s="73"/>
      <c r="O3215" s="73"/>
      <c r="P3215" s="73"/>
      <c r="Q3215" s="73"/>
      <c r="R3215" s="111"/>
      <c r="S3215" s="75"/>
      <c r="T3215" s="73"/>
      <c r="X3215" s="189"/>
      <c r="Y3215" s="189"/>
      <c r="Z3215" s="100"/>
      <c r="AC3215" s="84"/>
      <c r="AD3215" s="189"/>
      <c r="AE3215" s="189"/>
      <c r="AF3215" s="189"/>
      <c r="AG3215" s="189"/>
      <c r="AH3215" s="189"/>
      <c r="AP3215" s="238"/>
    </row>
    <row r="3216" spans="3:42" s="45" customFormat="1" x14ac:dyDescent="0.2">
      <c r="C3216" s="189"/>
      <c r="F3216" s="73"/>
      <c r="M3216" s="111"/>
      <c r="N3216" s="73"/>
      <c r="O3216" s="73"/>
      <c r="P3216" s="73"/>
      <c r="Q3216" s="73"/>
      <c r="R3216" s="111"/>
      <c r="S3216" s="75"/>
      <c r="T3216" s="73"/>
      <c r="X3216" s="189"/>
      <c r="Y3216" s="189"/>
      <c r="Z3216" s="100"/>
      <c r="AC3216" s="84"/>
      <c r="AD3216" s="189"/>
      <c r="AE3216" s="189"/>
      <c r="AF3216" s="189"/>
      <c r="AG3216" s="189"/>
      <c r="AH3216" s="189"/>
      <c r="AP3216" s="238"/>
    </row>
    <row r="3217" spans="3:42" s="45" customFormat="1" x14ac:dyDescent="0.2">
      <c r="C3217" s="189"/>
      <c r="F3217" s="73"/>
      <c r="M3217" s="111"/>
      <c r="N3217" s="73"/>
      <c r="O3217" s="73"/>
      <c r="P3217" s="73"/>
      <c r="Q3217" s="73"/>
      <c r="R3217" s="111"/>
      <c r="S3217" s="75"/>
      <c r="T3217" s="73"/>
      <c r="X3217" s="189"/>
      <c r="Y3217" s="189"/>
      <c r="Z3217" s="100"/>
      <c r="AC3217" s="84"/>
      <c r="AD3217" s="189"/>
      <c r="AE3217" s="189"/>
      <c r="AF3217" s="189"/>
      <c r="AG3217" s="189"/>
      <c r="AH3217" s="189"/>
      <c r="AP3217" s="238"/>
    </row>
    <row r="3218" spans="3:42" s="45" customFormat="1" x14ac:dyDescent="0.2">
      <c r="C3218" s="189"/>
      <c r="F3218" s="73"/>
      <c r="M3218" s="111"/>
      <c r="N3218" s="73"/>
      <c r="O3218" s="73"/>
      <c r="P3218" s="73"/>
      <c r="Q3218" s="73"/>
      <c r="R3218" s="111"/>
      <c r="S3218" s="75"/>
      <c r="T3218" s="73"/>
      <c r="X3218" s="189"/>
      <c r="Y3218" s="189"/>
      <c r="Z3218" s="100"/>
      <c r="AC3218" s="84"/>
      <c r="AD3218" s="189"/>
      <c r="AE3218" s="189"/>
      <c r="AF3218" s="189"/>
      <c r="AG3218" s="189"/>
      <c r="AH3218" s="189"/>
      <c r="AP3218" s="238"/>
    </row>
    <row r="3219" spans="3:42" s="45" customFormat="1" x14ac:dyDescent="0.2">
      <c r="C3219" s="189"/>
      <c r="F3219" s="73"/>
      <c r="M3219" s="111"/>
      <c r="N3219" s="73"/>
      <c r="O3219" s="73"/>
      <c r="P3219" s="73"/>
      <c r="Q3219" s="73"/>
      <c r="R3219" s="111"/>
      <c r="S3219" s="75"/>
      <c r="T3219" s="73"/>
      <c r="X3219" s="189"/>
      <c r="Y3219" s="189"/>
      <c r="Z3219" s="100"/>
      <c r="AC3219" s="84"/>
      <c r="AD3219" s="189"/>
      <c r="AE3219" s="189"/>
      <c r="AF3219" s="189"/>
      <c r="AG3219" s="189"/>
      <c r="AH3219" s="189"/>
      <c r="AP3219" s="238"/>
    </row>
    <row r="3220" spans="3:42" s="45" customFormat="1" x14ac:dyDescent="0.2">
      <c r="C3220" s="189"/>
      <c r="F3220" s="73"/>
      <c r="M3220" s="111"/>
      <c r="N3220" s="73"/>
      <c r="O3220" s="73"/>
      <c r="P3220" s="73"/>
      <c r="Q3220" s="73"/>
      <c r="R3220" s="111"/>
      <c r="S3220" s="75"/>
      <c r="T3220" s="73"/>
      <c r="X3220" s="189"/>
      <c r="Y3220" s="189"/>
      <c r="Z3220" s="100"/>
      <c r="AC3220" s="84"/>
      <c r="AD3220" s="189"/>
      <c r="AE3220" s="189"/>
      <c r="AF3220" s="189"/>
      <c r="AG3220" s="189"/>
      <c r="AH3220" s="189"/>
      <c r="AP3220" s="238"/>
    </row>
    <row r="3221" spans="3:42" s="45" customFormat="1" x14ac:dyDescent="0.2">
      <c r="C3221" s="189"/>
      <c r="F3221" s="73"/>
      <c r="M3221" s="111"/>
      <c r="N3221" s="73"/>
      <c r="O3221" s="73"/>
      <c r="P3221" s="73"/>
      <c r="Q3221" s="73"/>
      <c r="R3221" s="111"/>
      <c r="S3221" s="75"/>
      <c r="T3221" s="73"/>
      <c r="X3221" s="189"/>
      <c r="Y3221" s="189"/>
      <c r="Z3221" s="100"/>
      <c r="AC3221" s="84"/>
      <c r="AD3221" s="189"/>
      <c r="AE3221" s="189"/>
      <c r="AF3221" s="189"/>
      <c r="AG3221" s="189"/>
      <c r="AH3221" s="189"/>
      <c r="AP3221" s="238"/>
    </row>
    <row r="3222" spans="3:42" s="45" customFormat="1" x14ac:dyDescent="0.2">
      <c r="C3222" s="189"/>
      <c r="F3222" s="73"/>
      <c r="M3222" s="111"/>
      <c r="N3222" s="73"/>
      <c r="O3222" s="73"/>
      <c r="P3222" s="73"/>
      <c r="Q3222" s="73"/>
      <c r="R3222" s="111"/>
      <c r="S3222" s="75"/>
      <c r="T3222" s="73"/>
      <c r="X3222" s="189"/>
      <c r="Y3222" s="189"/>
      <c r="Z3222" s="100"/>
      <c r="AC3222" s="84"/>
      <c r="AD3222" s="189"/>
      <c r="AE3222" s="189"/>
      <c r="AF3222" s="189"/>
      <c r="AG3222" s="189"/>
      <c r="AH3222" s="189"/>
      <c r="AP3222" s="238"/>
    </row>
    <row r="3223" spans="3:42" s="45" customFormat="1" x14ac:dyDescent="0.2">
      <c r="C3223" s="189"/>
      <c r="F3223" s="73"/>
      <c r="M3223" s="111"/>
      <c r="N3223" s="73"/>
      <c r="O3223" s="73"/>
      <c r="P3223" s="73"/>
      <c r="Q3223" s="73"/>
      <c r="R3223" s="111"/>
      <c r="S3223" s="75"/>
      <c r="T3223" s="73"/>
      <c r="X3223" s="189"/>
      <c r="Y3223" s="189"/>
      <c r="Z3223" s="100"/>
      <c r="AC3223" s="84"/>
      <c r="AD3223" s="189"/>
      <c r="AE3223" s="189"/>
      <c r="AF3223" s="189"/>
      <c r="AG3223" s="189"/>
      <c r="AH3223" s="189"/>
      <c r="AP3223" s="238"/>
    </row>
    <row r="3224" spans="3:42" s="45" customFormat="1" x14ac:dyDescent="0.2">
      <c r="C3224" s="189"/>
      <c r="F3224" s="73"/>
      <c r="M3224" s="111"/>
      <c r="N3224" s="73"/>
      <c r="O3224" s="73"/>
      <c r="P3224" s="73"/>
      <c r="Q3224" s="73"/>
      <c r="R3224" s="111"/>
      <c r="S3224" s="75"/>
      <c r="T3224" s="73"/>
      <c r="X3224" s="189"/>
      <c r="Y3224" s="189"/>
      <c r="Z3224" s="100"/>
      <c r="AC3224" s="84"/>
      <c r="AD3224" s="189"/>
      <c r="AE3224" s="189"/>
      <c r="AF3224" s="189"/>
      <c r="AG3224" s="189"/>
      <c r="AH3224" s="189"/>
      <c r="AP3224" s="238"/>
    </row>
    <row r="3225" spans="3:42" s="45" customFormat="1" x14ac:dyDescent="0.2">
      <c r="C3225" s="189"/>
      <c r="F3225" s="73"/>
      <c r="M3225" s="111"/>
      <c r="N3225" s="73"/>
      <c r="O3225" s="73"/>
      <c r="P3225" s="73"/>
      <c r="Q3225" s="73"/>
      <c r="R3225" s="111"/>
      <c r="S3225" s="75"/>
      <c r="T3225" s="73"/>
      <c r="X3225" s="189"/>
      <c r="Y3225" s="189"/>
      <c r="Z3225" s="100"/>
      <c r="AC3225" s="84"/>
      <c r="AD3225" s="189"/>
      <c r="AE3225" s="189"/>
      <c r="AF3225" s="189"/>
      <c r="AG3225" s="189"/>
      <c r="AH3225" s="189"/>
      <c r="AP3225" s="238"/>
    </row>
    <row r="3226" spans="3:42" s="45" customFormat="1" x14ac:dyDescent="0.2">
      <c r="C3226" s="189"/>
      <c r="F3226" s="73"/>
      <c r="M3226" s="111"/>
      <c r="N3226" s="73"/>
      <c r="O3226" s="73"/>
      <c r="P3226" s="73"/>
      <c r="Q3226" s="73"/>
      <c r="R3226" s="111"/>
      <c r="S3226" s="75"/>
      <c r="T3226" s="73"/>
      <c r="X3226" s="189"/>
      <c r="Y3226" s="189"/>
      <c r="Z3226" s="100"/>
      <c r="AC3226" s="84"/>
      <c r="AD3226" s="189"/>
      <c r="AE3226" s="189"/>
      <c r="AF3226" s="189"/>
      <c r="AG3226" s="189"/>
      <c r="AH3226" s="189"/>
      <c r="AP3226" s="238"/>
    </row>
    <row r="3227" spans="3:42" s="45" customFormat="1" x14ac:dyDescent="0.2">
      <c r="C3227" s="189"/>
      <c r="F3227" s="73"/>
      <c r="M3227" s="111"/>
      <c r="N3227" s="73"/>
      <c r="O3227" s="73"/>
      <c r="P3227" s="73"/>
      <c r="Q3227" s="73"/>
      <c r="R3227" s="111"/>
      <c r="S3227" s="75"/>
      <c r="T3227" s="73"/>
      <c r="X3227" s="189"/>
      <c r="Y3227" s="189"/>
      <c r="Z3227" s="100"/>
      <c r="AC3227" s="84"/>
      <c r="AD3227" s="189"/>
      <c r="AE3227" s="189"/>
      <c r="AF3227" s="189"/>
      <c r="AG3227" s="189"/>
      <c r="AH3227" s="189"/>
      <c r="AP3227" s="238"/>
    </row>
    <row r="3228" spans="3:42" s="45" customFormat="1" x14ac:dyDescent="0.2">
      <c r="C3228" s="189"/>
      <c r="F3228" s="73"/>
      <c r="M3228" s="111"/>
      <c r="N3228" s="73"/>
      <c r="O3228" s="73"/>
      <c r="P3228" s="73"/>
      <c r="Q3228" s="73"/>
      <c r="R3228" s="111"/>
      <c r="S3228" s="75"/>
      <c r="T3228" s="73"/>
      <c r="X3228" s="189"/>
      <c r="Y3228" s="189"/>
      <c r="Z3228" s="100"/>
      <c r="AC3228" s="84"/>
      <c r="AD3228" s="189"/>
      <c r="AE3228" s="189"/>
      <c r="AF3228" s="189"/>
      <c r="AG3228" s="189"/>
      <c r="AH3228" s="189"/>
      <c r="AP3228" s="238"/>
    </row>
    <row r="3229" spans="3:42" s="45" customFormat="1" x14ac:dyDescent="0.2">
      <c r="C3229" s="189"/>
      <c r="F3229" s="73"/>
      <c r="M3229" s="111"/>
      <c r="N3229" s="73"/>
      <c r="O3229" s="73"/>
      <c r="P3229" s="73"/>
      <c r="Q3229" s="73"/>
      <c r="R3229" s="111"/>
      <c r="S3229" s="75"/>
      <c r="T3229" s="73"/>
      <c r="X3229" s="189"/>
      <c r="Y3229" s="189"/>
      <c r="Z3229" s="100"/>
      <c r="AC3229" s="84"/>
      <c r="AD3229" s="189"/>
      <c r="AE3229" s="189"/>
      <c r="AF3229" s="189"/>
      <c r="AG3229" s="189"/>
      <c r="AH3229" s="189"/>
      <c r="AP3229" s="238"/>
    </row>
    <row r="3230" spans="3:42" s="45" customFormat="1" x14ac:dyDescent="0.2">
      <c r="C3230" s="189"/>
      <c r="F3230" s="73"/>
      <c r="M3230" s="111"/>
      <c r="N3230" s="73"/>
      <c r="O3230" s="73"/>
      <c r="P3230" s="73"/>
      <c r="Q3230" s="73"/>
      <c r="R3230" s="111"/>
      <c r="S3230" s="75"/>
      <c r="T3230" s="73"/>
      <c r="X3230" s="189"/>
      <c r="Y3230" s="189"/>
      <c r="Z3230" s="100"/>
      <c r="AC3230" s="84"/>
      <c r="AD3230" s="189"/>
      <c r="AE3230" s="189"/>
      <c r="AF3230" s="189"/>
      <c r="AG3230" s="189"/>
      <c r="AH3230" s="189"/>
      <c r="AP3230" s="238"/>
    </row>
    <row r="3231" spans="3:42" s="45" customFormat="1" x14ac:dyDescent="0.2">
      <c r="C3231" s="189"/>
      <c r="F3231" s="73"/>
      <c r="M3231" s="111"/>
      <c r="N3231" s="73"/>
      <c r="O3231" s="73"/>
      <c r="P3231" s="73"/>
      <c r="Q3231" s="73"/>
      <c r="R3231" s="111"/>
      <c r="S3231" s="75"/>
      <c r="T3231" s="73"/>
      <c r="X3231" s="189"/>
      <c r="Y3231" s="189"/>
      <c r="Z3231" s="100"/>
      <c r="AC3231" s="84"/>
      <c r="AD3231" s="189"/>
      <c r="AE3231" s="189"/>
      <c r="AF3231" s="189"/>
      <c r="AG3231" s="189"/>
      <c r="AH3231" s="189"/>
      <c r="AP3231" s="238"/>
    </row>
    <row r="3232" spans="3:42" s="45" customFormat="1" x14ac:dyDescent="0.2">
      <c r="C3232" s="189"/>
      <c r="F3232" s="73"/>
      <c r="M3232" s="111"/>
      <c r="N3232" s="73"/>
      <c r="O3232" s="73"/>
      <c r="P3232" s="73"/>
      <c r="Q3232" s="73"/>
      <c r="R3232" s="111"/>
      <c r="S3232" s="75"/>
      <c r="T3232" s="73"/>
      <c r="X3232" s="189"/>
      <c r="Y3232" s="189"/>
      <c r="Z3232" s="100"/>
      <c r="AC3232" s="84"/>
      <c r="AD3232" s="189"/>
      <c r="AE3232" s="189"/>
      <c r="AF3232" s="189"/>
      <c r="AG3232" s="189"/>
      <c r="AH3232" s="189"/>
      <c r="AP3232" s="238"/>
    </row>
    <row r="3233" spans="3:42" s="45" customFormat="1" x14ac:dyDescent="0.2">
      <c r="C3233" s="189"/>
      <c r="F3233" s="73"/>
      <c r="M3233" s="111"/>
      <c r="N3233" s="73"/>
      <c r="O3233" s="73"/>
      <c r="P3233" s="73"/>
      <c r="Q3233" s="73"/>
      <c r="R3233" s="111"/>
      <c r="S3233" s="75"/>
      <c r="T3233" s="73"/>
      <c r="X3233" s="189"/>
      <c r="Y3233" s="189"/>
      <c r="Z3233" s="100"/>
      <c r="AC3233" s="84"/>
      <c r="AD3233" s="189"/>
      <c r="AE3233" s="189"/>
      <c r="AF3233" s="189"/>
      <c r="AG3233" s="189"/>
      <c r="AH3233" s="189"/>
      <c r="AP3233" s="238"/>
    </row>
    <row r="3234" spans="3:42" s="45" customFormat="1" x14ac:dyDescent="0.2">
      <c r="C3234" s="189"/>
      <c r="F3234" s="73"/>
      <c r="M3234" s="111"/>
      <c r="N3234" s="73"/>
      <c r="O3234" s="73"/>
      <c r="P3234" s="73"/>
      <c r="Q3234" s="73"/>
      <c r="R3234" s="111"/>
      <c r="S3234" s="75"/>
      <c r="T3234" s="73"/>
      <c r="X3234" s="189"/>
      <c r="Y3234" s="189"/>
      <c r="Z3234" s="100"/>
      <c r="AC3234" s="84"/>
      <c r="AD3234" s="189"/>
      <c r="AE3234" s="189"/>
      <c r="AF3234" s="189"/>
      <c r="AG3234" s="189"/>
      <c r="AH3234" s="189"/>
      <c r="AP3234" s="238"/>
    </row>
    <row r="3235" spans="3:42" s="45" customFormat="1" x14ac:dyDescent="0.2">
      <c r="C3235" s="189"/>
      <c r="F3235" s="73"/>
      <c r="M3235" s="111"/>
      <c r="N3235" s="73"/>
      <c r="O3235" s="73"/>
      <c r="P3235" s="73"/>
      <c r="Q3235" s="73"/>
      <c r="R3235" s="111"/>
      <c r="S3235" s="75"/>
      <c r="T3235" s="73"/>
      <c r="X3235" s="189"/>
      <c r="Y3235" s="189"/>
      <c r="Z3235" s="100"/>
      <c r="AC3235" s="84"/>
      <c r="AD3235" s="189"/>
      <c r="AE3235" s="189"/>
      <c r="AF3235" s="189"/>
      <c r="AG3235" s="189"/>
      <c r="AH3235" s="189"/>
      <c r="AP3235" s="238"/>
    </row>
    <row r="3236" spans="3:42" s="45" customFormat="1" x14ac:dyDescent="0.2">
      <c r="C3236" s="189"/>
      <c r="F3236" s="73"/>
      <c r="M3236" s="111"/>
      <c r="N3236" s="73"/>
      <c r="O3236" s="73"/>
      <c r="P3236" s="73"/>
      <c r="Q3236" s="73"/>
      <c r="R3236" s="111"/>
      <c r="S3236" s="75"/>
      <c r="T3236" s="73"/>
      <c r="X3236" s="189"/>
      <c r="Y3236" s="189"/>
      <c r="Z3236" s="100"/>
      <c r="AC3236" s="84"/>
      <c r="AD3236" s="189"/>
      <c r="AE3236" s="189"/>
      <c r="AF3236" s="189"/>
      <c r="AG3236" s="189"/>
      <c r="AH3236" s="189"/>
      <c r="AP3236" s="238"/>
    </row>
    <row r="3237" spans="3:42" s="45" customFormat="1" x14ac:dyDescent="0.2">
      <c r="C3237" s="189"/>
      <c r="F3237" s="73"/>
      <c r="M3237" s="111"/>
      <c r="N3237" s="73"/>
      <c r="O3237" s="73"/>
      <c r="P3237" s="73"/>
      <c r="Q3237" s="73"/>
      <c r="R3237" s="111"/>
      <c r="S3237" s="75"/>
      <c r="T3237" s="73"/>
      <c r="X3237" s="189"/>
      <c r="Y3237" s="189"/>
      <c r="Z3237" s="100"/>
      <c r="AC3237" s="84"/>
      <c r="AD3237" s="189"/>
      <c r="AE3237" s="189"/>
      <c r="AF3237" s="189"/>
      <c r="AG3237" s="189"/>
      <c r="AH3237" s="189"/>
      <c r="AP3237" s="238"/>
    </row>
    <row r="3238" spans="3:42" s="45" customFormat="1" x14ac:dyDescent="0.2">
      <c r="C3238" s="189"/>
      <c r="F3238" s="73"/>
      <c r="M3238" s="111"/>
      <c r="N3238" s="73"/>
      <c r="O3238" s="73"/>
      <c r="P3238" s="73"/>
      <c r="Q3238" s="73"/>
      <c r="R3238" s="111"/>
      <c r="S3238" s="75"/>
      <c r="T3238" s="73"/>
      <c r="X3238" s="189"/>
      <c r="Y3238" s="189"/>
      <c r="Z3238" s="100"/>
      <c r="AC3238" s="84"/>
      <c r="AD3238" s="189"/>
      <c r="AE3238" s="189"/>
      <c r="AF3238" s="189"/>
      <c r="AG3238" s="189"/>
      <c r="AH3238" s="189"/>
      <c r="AP3238" s="238"/>
    </row>
    <row r="3239" spans="3:42" s="45" customFormat="1" x14ac:dyDescent="0.2">
      <c r="C3239" s="189"/>
      <c r="F3239" s="73"/>
      <c r="M3239" s="111"/>
      <c r="N3239" s="73"/>
      <c r="O3239" s="73"/>
      <c r="P3239" s="73"/>
      <c r="Q3239" s="73"/>
      <c r="R3239" s="111"/>
      <c r="S3239" s="75"/>
      <c r="T3239" s="73"/>
      <c r="X3239" s="189"/>
      <c r="Y3239" s="189"/>
      <c r="Z3239" s="100"/>
      <c r="AC3239" s="84"/>
      <c r="AD3239" s="189"/>
      <c r="AE3239" s="189"/>
      <c r="AF3239" s="189"/>
      <c r="AG3239" s="189"/>
      <c r="AH3239" s="189"/>
      <c r="AP3239" s="238"/>
    </row>
    <row r="3240" spans="3:42" s="45" customFormat="1" x14ac:dyDescent="0.2">
      <c r="C3240" s="189"/>
      <c r="F3240" s="73"/>
      <c r="M3240" s="111"/>
      <c r="N3240" s="73"/>
      <c r="O3240" s="73"/>
      <c r="P3240" s="73"/>
      <c r="Q3240" s="73"/>
      <c r="R3240" s="111"/>
      <c r="S3240" s="75"/>
      <c r="T3240" s="73"/>
      <c r="X3240" s="189"/>
      <c r="Y3240" s="189"/>
      <c r="Z3240" s="100"/>
      <c r="AC3240" s="84"/>
      <c r="AD3240" s="189"/>
      <c r="AE3240" s="189"/>
      <c r="AF3240" s="189"/>
      <c r="AG3240" s="189"/>
      <c r="AH3240" s="189"/>
      <c r="AP3240" s="238"/>
    </row>
    <row r="3241" spans="3:42" s="45" customFormat="1" x14ac:dyDescent="0.2">
      <c r="C3241" s="189"/>
      <c r="F3241" s="73"/>
      <c r="M3241" s="111"/>
      <c r="N3241" s="73"/>
      <c r="O3241" s="73"/>
      <c r="P3241" s="73"/>
      <c r="Q3241" s="73"/>
      <c r="R3241" s="111"/>
      <c r="S3241" s="75"/>
      <c r="T3241" s="73"/>
      <c r="X3241" s="189"/>
      <c r="Y3241" s="189"/>
      <c r="Z3241" s="100"/>
      <c r="AC3241" s="84"/>
      <c r="AD3241" s="189"/>
      <c r="AE3241" s="189"/>
      <c r="AF3241" s="189"/>
      <c r="AG3241" s="189"/>
      <c r="AH3241" s="189"/>
      <c r="AP3241" s="238"/>
    </row>
    <row r="3242" spans="3:42" s="45" customFormat="1" x14ac:dyDescent="0.2">
      <c r="C3242" s="189"/>
      <c r="F3242" s="73"/>
      <c r="M3242" s="111"/>
      <c r="N3242" s="73"/>
      <c r="O3242" s="73"/>
      <c r="P3242" s="73"/>
      <c r="Q3242" s="73"/>
      <c r="R3242" s="111"/>
      <c r="S3242" s="75"/>
      <c r="T3242" s="73"/>
      <c r="X3242" s="189"/>
      <c r="Y3242" s="189"/>
      <c r="Z3242" s="100"/>
      <c r="AC3242" s="84"/>
      <c r="AD3242" s="189"/>
      <c r="AE3242" s="189"/>
      <c r="AF3242" s="189"/>
      <c r="AG3242" s="189"/>
      <c r="AH3242" s="189"/>
      <c r="AP3242" s="238"/>
    </row>
    <row r="3243" spans="3:42" s="45" customFormat="1" x14ac:dyDescent="0.2">
      <c r="C3243" s="189"/>
      <c r="F3243" s="73"/>
      <c r="M3243" s="111"/>
      <c r="N3243" s="73"/>
      <c r="O3243" s="73"/>
      <c r="P3243" s="73"/>
      <c r="Q3243" s="73"/>
      <c r="R3243" s="111"/>
      <c r="S3243" s="75"/>
      <c r="T3243" s="73"/>
      <c r="X3243" s="189"/>
      <c r="Y3243" s="189"/>
      <c r="Z3243" s="100"/>
      <c r="AC3243" s="84"/>
      <c r="AD3243" s="189"/>
      <c r="AE3243" s="189"/>
      <c r="AF3243" s="189"/>
      <c r="AG3243" s="189"/>
      <c r="AH3243" s="189"/>
      <c r="AP3243" s="238"/>
    </row>
    <row r="3244" spans="3:42" s="45" customFormat="1" x14ac:dyDescent="0.2">
      <c r="C3244" s="189"/>
      <c r="F3244" s="73"/>
      <c r="M3244" s="111"/>
      <c r="N3244" s="73"/>
      <c r="O3244" s="73"/>
      <c r="P3244" s="73"/>
      <c r="Q3244" s="73"/>
      <c r="R3244" s="111"/>
      <c r="S3244" s="75"/>
      <c r="T3244" s="73"/>
      <c r="X3244" s="189"/>
      <c r="Y3244" s="189"/>
      <c r="Z3244" s="100"/>
      <c r="AC3244" s="84"/>
      <c r="AD3244" s="189"/>
      <c r="AE3244" s="189"/>
      <c r="AF3244" s="189"/>
      <c r="AG3244" s="189"/>
      <c r="AH3244" s="189"/>
      <c r="AP3244" s="238"/>
    </row>
    <row r="3245" spans="3:42" s="45" customFormat="1" x14ac:dyDescent="0.2">
      <c r="C3245" s="189"/>
      <c r="F3245" s="73"/>
      <c r="M3245" s="111"/>
      <c r="N3245" s="73"/>
      <c r="O3245" s="73"/>
      <c r="P3245" s="73"/>
      <c r="Q3245" s="73"/>
      <c r="R3245" s="111"/>
      <c r="S3245" s="75"/>
      <c r="T3245" s="73"/>
      <c r="X3245" s="189"/>
      <c r="Y3245" s="189"/>
      <c r="Z3245" s="100"/>
      <c r="AC3245" s="84"/>
      <c r="AD3245" s="189"/>
      <c r="AE3245" s="189"/>
      <c r="AF3245" s="189"/>
      <c r="AG3245" s="189"/>
      <c r="AH3245" s="189"/>
      <c r="AP3245" s="238"/>
    </row>
    <row r="3246" spans="3:42" s="45" customFormat="1" x14ac:dyDescent="0.2">
      <c r="C3246" s="189"/>
      <c r="F3246" s="73"/>
      <c r="M3246" s="111"/>
      <c r="N3246" s="73"/>
      <c r="O3246" s="73"/>
      <c r="P3246" s="73"/>
      <c r="Q3246" s="73"/>
      <c r="R3246" s="111"/>
      <c r="S3246" s="75"/>
      <c r="T3246" s="73"/>
      <c r="X3246" s="189"/>
      <c r="Y3246" s="189"/>
      <c r="Z3246" s="100"/>
      <c r="AC3246" s="84"/>
      <c r="AD3246" s="189"/>
      <c r="AE3246" s="189"/>
      <c r="AF3246" s="189"/>
      <c r="AG3246" s="189"/>
      <c r="AH3246" s="189"/>
      <c r="AP3246" s="238"/>
    </row>
    <row r="3247" spans="3:42" s="45" customFormat="1" x14ac:dyDescent="0.2">
      <c r="C3247" s="189"/>
      <c r="F3247" s="73"/>
      <c r="M3247" s="111"/>
      <c r="N3247" s="73"/>
      <c r="O3247" s="73"/>
      <c r="P3247" s="73"/>
      <c r="Q3247" s="73"/>
      <c r="R3247" s="111"/>
      <c r="S3247" s="75"/>
      <c r="T3247" s="73"/>
      <c r="X3247" s="189"/>
      <c r="Y3247" s="189"/>
      <c r="Z3247" s="100"/>
      <c r="AC3247" s="84"/>
      <c r="AD3247" s="189"/>
      <c r="AE3247" s="189"/>
      <c r="AF3247" s="189"/>
      <c r="AG3247" s="189"/>
      <c r="AH3247" s="189"/>
      <c r="AP3247" s="238"/>
    </row>
    <row r="3248" spans="3:42" s="45" customFormat="1" x14ac:dyDescent="0.2">
      <c r="C3248" s="189"/>
      <c r="F3248" s="73"/>
      <c r="M3248" s="111"/>
      <c r="N3248" s="73"/>
      <c r="O3248" s="73"/>
      <c r="P3248" s="73"/>
      <c r="Q3248" s="73"/>
      <c r="R3248" s="111"/>
      <c r="S3248" s="75"/>
      <c r="T3248" s="73"/>
      <c r="X3248" s="189"/>
      <c r="Y3248" s="189"/>
      <c r="Z3248" s="100"/>
      <c r="AC3248" s="84"/>
      <c r="AD3248" s="189"/>
      <c r="AE3248" s="189"/>
      <c r="AF3248" s="189"/>
      <c r="AG3248" s="189"/>
      <c r="AH3248" s="189"/>
      <c r="AP3248" s="238"/>
    </row>
    <row r="3249" spans="3:42" s="45" customFormat="1" x14ac:dyDescent="0.2">
      <c r="C3249" s="189"/>
      <c r="F3249" s="73"/>
      <c r="M3249" s="111"/>
      <c r="N3249" s="73"/>
      <c r="O3249" s="73"/>
      <c r="P3249" s="73"/>
      <c r="Q3249" s="73"/>
      <c r="R3249" s="111"/>
      <c r="S3249" s="75"/>
      <c r="T3249" s="73"/>
      <c r="X3249" s="189"/>
      <c r="Y3249" s="189"/>
      <c r="Z3249" s="100"/>
      <c r="AC3249" s="84"/>
      <c r="AD3249" s="189"/>
      <c r="AE3249" s="189"/>
      <c r="AF3249" s="189"/>
      <c r="AG3249" s="189"/>
      <c r="AH3249" s="189"/>
      <c r="AP3249" s="238"/>
    </row>
    <row r="3250" spans="3:42" s="45" customFormat="1" x14ac:dyDescent="0.2">
      <c r="C3250" s="189"/>
      <c r="F3250" s="73"/>
      <c r="M3250" s="111"/>
      <c r="N3250" s="73"/>
      <c r="O3250" s="73"/>
      <c r="P3250" s="73"/>
      <c r="Q3250" s="73"/>
      <c r="R3250" s="111"/>
      <c r="S3250" s="75"/>
      <c r="T3250" s="73"/>
      <c r="X3250" s="189"/>
      <c r="Y3250" s="189"/>
      <c r="Z3250" s="100"/>
      <c r="AC3250" s="84"/>
      <c r="AD3250" s="189"/>
      <c r="AE3250" s="189"/>
      <c r="AF3250" s="189"/>
      <c r="AG3250" s="189"/>
      <c r="AH3250" s="189"/>
      <c r="AP3250" s="238"/>
    </row>
    <row r="3251" spans="3:42" s="45" customFormat="1" x14ac:dyDescent="0.2">
      <c r="C3251" s="189"/>
      <c r="F3251" s="73"/>
      <c r="M3251" s="111"/>
      <c r="N3251" s="73"/>
      <c r="O3251" s="73"/>
      <c r="P3251" s="73"/>
      <c r="Q3251" s="73"/>
      <c r="R3251" s="111"/>
      <c r="S3251" s="75"/>
      <c r="T3251" s="73"/>
      <c r="X3251" s="189"/>
      <c r="Y3251" s="189"/>
      <c r="Z3251" s="100"/>
      <c r="AC3251" s="84"/>
      <c r="AD3251" s="189"/>
      <c r="AE3251" s="189"/>
      <c r="AF3251" s="189"/>
      <c r="AG3251" s="189"/>
      <c r="AH3251" s="189"/>
      <c r="AP3251" s="238"/>
    </row>
    <row r="3252" spans="3:42" s="45" customFormat="1" x14ac:dyDescent="0.2">
      <c r="C3252" s="189"/>
      <c r="F3252" s="73"/>
      <c r="M3252" s="111"/>
      <c r="N3252" s="73"/>
      <c r="O3252" s="73"/>
      <c r="P3252" s="73"/>
      <c r="Q3252" s="73"/>
      <c r="R3252" s="111"/>
      <c r="S3252" s="75"/>
      <c r="T3252" s="73"/>
      <c r="X3252" s="189"/>
      <c r="Y3252" s="189"/>
      <c r="Z3252" s="100"/>
      <c r="AC3252" s="84"/>
      <c r="AD3252" s="189"/>
      <c r="AE3252" s="189"/>
      <c r="AF3252" s="189"/>
      <c r="AG3252" s="189"/>
      <c r="AH3252" s="189"/>
      <c r="AP3252" s="238"/>
    </row>
    <row r="3253" spans="3:42" s="45" customFormat="1" x14ac:dyDescent="0.2">
      <c r="C3253" s="189"/>
      <c r="F3253" s="73"/>
      <c r="M3253" s="111"/>
      <c r="N3253" s="73"/>
      <c r="O3253" s="73"/>
      <c r="P3253" s="73"/>
      <c r="Q3253" s="73"/>
      <c r="R3253" s="111"/>
      <c r="S3253" s="75"/>
      <c r="T3253" s="73"/>
      <c r="X3253" s="189"/>
      <c r="Y3253" s="189"/>
      <c r="Z3253" s="100"/>
      <c r="AC3253" s="84"/>
      <c r="AD3253" s="189"/>
      <c r="AE3253" s="189"/>
      <c r="AF3253" s="189"/>
      <c r="AG3253" s="189"/>
      <c r="AH3253" s="189"/>
      <c r="AP3253" s="238"/>
    </row>
    <row r="3254" spans="3:42" s="45" customFormat="1" x14ac:dyDescent="0.2">
      <c r="C3254" s="189"/>
      <c r="F3254" s="73"/>
      <c r="M3254" s="111"/>
      <c r="N3254" s="73"/>
      <c r="O3254" s="73"/>
      <c r="P3254" s="73"/>
      <c r="Q3254" s="73"/>
      <c r="R3254" s="111"/>
      <c r="S3254" s="75"/>
      <c r="T3254" s="73"/>
      <c r="X3254" s="189"/>
      <c r="Y3254" s="189"/>
      <c r="Z3254" s="100"/>
      <c r="AC3254" s="84"/>
      <c r="AD3254" s="189"/>
      <c r="AE3254" s="189"/>
      <c r="AF3254" s="189"/>
      <c r="AG3254" s="189"/>
      <c r="AH3254" s="189"/>
      <c r="AP3254" s="238"/>
    </row>
    <row r="3255" spans="3:42" s="45" customFormat="1" x14ac:dyDescent="0.2">
      <c r="C3255" s="189"/>
      <c r="F3255" s="73"/>
      <c r="M3255" s="111"/>
      <c r="N3255" s="73"/>
      <c r="O3255" s="73"/>
      <c r="P3255" s="73"/>
      <c r="Q3255" s="73"/>
      <c r="R3255" s="111"/>
      <c r="S3255" s="75"/>
      <c r="T3255" s="73"/>
      <c r="X3255" s="189"/>
      <c r="Y3255" s="189"/>
      <c r="Z3255" s="100"/>
      <c r="AC3255" s="84"/>
      <c r="AD3255" s="189"/>
      <c r="AE3255" s="189"/>
      <c r="AF3255" s="189"/>
      <c r="AG3255" s="189"/>
      <c r="AH3255" s="189"/>
      <c r="AP3255" s="238"/>
    </row>
    <row r="3256" spans="3:42" s="45" customFormat="1" x14ac:dyDescent="0.2">
      <c r="C3256" s="189"/>
      <c r="F3256" s="73"/>
      <c r="M3256" s="111"/>
      <c r="N3256" s="73"/>
      <c r="O3256" s="73"/>
      <c r="P3256" s="73"/>
      <c r="Q3256" s="73"/>
      <c r="R3256" s="111"/>
      <c r="S3256" s="75"/>
      <c r="T3256" s="73"/>
      <c r="X3256" s="189"/>
      <c r="Y3256" s="189"/>
      <c r="Z3256" s="100"/>
      <c r="AC3256" s="84"/>
      <c r="AD3256" s="189"/>
      <c r="AE3256" s="189"/>
      <c r="AF3256" s="189"/>
      <c r="AG3256" s="189"/>
      <c r="AH3256" s="189"/>
      <c r="AP3256" s="238"/>
    </row>
    <row r="3257" spans="3:42" s="45" customFormat="1" x14ac:dyDescent="0.2">
      <c r="C3257" s="189"/>
      <c r="F3257" s="73"/>
      <c r="M3257" s="111"/>
      <c r="N3257" s="73"/>
      <c r="O3257" s="73"/>
      <c r="P3257" s="73"/>
      <c r="Q3257" s="73"/>
      <c r="R3257" s="111"/>
      <c r="S3257" s="75"/>
      <c r="T3257" s="73"/>
      <c r="X3257" s="189"/>
      <c r="Y3257" s="189"/>
      <c r="Z3257" s="100"/>
      <c r="AC3257" s="84"/>
      <c r="AD3257" s="189"/>
      <c r="AE3257" s="189"/>
      <c r="AF3257" s="189"/>
      <c r="AG3257" s="189"/>
      <c r="AH3257" s="189"/>
      <c r="AP3257" s="238"/>
    </row>
    <row r="3258" spans="3:42" s="45" customFormat="1" x14ac:dyDescent="0.2">
      <c r="C3258" s="189"/>
      <c r="F3258" s="73"/>
      <c r="M3258" s="111"/>
      <c r="N3258" s="73"/>
      <c r="O3258" s="73"/>
      <c r="P3258" s="73"/>
      <c r="Q3258" s="73"/>
      <c r="R3258" s="111"/>
      <c r="S3258" s="75"/>
      <c r="T3258" s="73"/>
      <c r="X3258" s="189"/>
      <c r="Y3258" s="189"/>
      <c r="Z3258" s="100"/>
      <c r="AC3258" s="84"/>
      <c r="AD3258" s="189"/>
      <c r="AE3258" s="189"/>
      <c r="AF3258" s="189"/>
      <c r="AG3258" s="189"/>
      <c r="AH3258" s="189"/>
      <c r="AP3258" s="238"/>
    </row>
    <row r="3259" spans="3:42" s="45" customFormat="1" x14ac:dyDescent="0.2">
      <c r="C3259" s="189"/>
      <c r="F3259" s="73"/>
      <c r="M3259" s="111"/>
      <c r="N3259" s="73"/>
      <c r="O3259" s="73"/>
      <c r="P3259" s="73"/>
      <c r="Q3259" s="73"/>
      <c r="R3259" s="111"/>
      <c r="S3259" s="75"/>
      <c r="T3259" s="73"/>
      <c r="X3259" s="189"/>
      <c r="Y3259" s="189"/>
      <c r="Z3259" s="100"/>
      <c r="AC3259" s="84"/>
      <c r="AD3259" s="189"/>
      <c r="AE3259" s="189"/>
      <c r="AF3259" s="189"/>
      <c r="AG3259" s="189"/>
      <c r="AH3259" s="189"/>
      <c r="AP3259" s="238"/>
    </row>
    <row r="3260" spans="3:42" s="45" customFormat="1" x14ac:dyDescent="0.2">
      <c r="C3260" s="189"/>
      <c r="F3260" s="73"/>
      <c r="M3260" s="111"/>
      <c r="N3260" s="73"/>
      <c r="O3260" s="73"/>
      <c r="P3260" s="73"/>
      <c r="Q3260" s="73"/>
      <c r="R3260" s="111"/>
      <c r="S3260" s="75"/>
      <c r="T3260" s="73"/>
      <c r="X3260" s="189"/>
      <c r="Y3260" s="189"/>
      <c r="Z3260" s="100"/>
      <c r="AC3260" s="84"/>
      <c r="AD3260" s="189"/>
      <c r="AE3260" s="189"/>
      <c r="AF3260" s="189"/>
      <c r="AG3260" s="189"/>
      <c r="AH3260" s="189"/>
      <c r="AP3260" s="238"/>
    </row>
    <row r="3261" spans="3:42" s="45" customFormat="1" x14ac:dyDescent="0.2">
      <c r="C3261" s="189"/>
      <c r="F3261" s="73"/>
      <c r="M3261" s="111"/>
      <c r="N3261" s="73"/>
      <c r="O3261" s="73"/>
      <c r="P3261" s="73"/>
      <c r="Q3261" s="73"/>
      <c r="R3261" s="111"/>
      <c r="S3261" s="75"/>
      <c r="T3261" s="73"/>
      <c r="X3261" s="189"/>
      <c r="Y3261" s="189"/>
      <c r="Z3261" s="100"/>
      <c r="AC3261" s="84"/>
      <c r="AD3261" s="189"/>
      <c r="AE3261" s="189"/>
      <c r="AF3261" s="189"/>
      <c r="AG3261" s="189"/>
      <c r="AH3261" s="189"/>
      <c r="AP3261" s="238"/>
    </row>
    <row r="3262" spans="3:42" s="45" customFormat="1" x14ac:dyDescent="0.2">
      <c r="C3262" s="189"/>
      <c r="F3262" s="73"/>
      <c r="M3262" s="111"/>
      <c r="N3262" s="73"/>
      <c r="O3262" s="73"/>
      <c r="P3262" s="73"/>
      <c r="Q3262" s="73"/>
      <c r="R3262" s="111"/>
      <c r="S3262" s="75"/>
      <c r="T3262" s="73"/>
      <c r="X3262" s="189"/>
      <c r="Y3262" s="189"/>
      <c r="Z3262" s="100"/>
      <c r="AC3262" s="84"/>
      <c r="AD3262" s="189"/>
      <c r="AE3262" s="189"/>
      <c r="AF3262" s="189"/>
      <c r="AG3262" s="189"/>
      <c r="AH3262" s="189"/>
      <c r="AP3262" s="238"/>
    </row>
    <row r="3263" spans="3:42" s="45" customFormat="1" x14ac:dyDescent="0.2">
      <c r="C3263" s="189"/>
      <c r="F3263" s="73"/>
      <c r="M3263" s="111"/>
      <c r="N3263" s="73"/>
      <c r="O3263" s="73"/>
      <c r="P3263" s="73"/>
      <c r="Q3263" s="73"/>
      <c r="R3263" s="111"/>
      <c r="S3263" s="75"/>
      <c r="T3263" s="73"/>
      <c r="X3263" s="189"/>
      <c r="Y3263" s="189"/>
      <c r="Z3263" s="100"/>
      <c r="AC3263" s="84"/>
      <c r="AD3263" s="189"/>
      <c r="AE3263" s="189"/>
      <c r="AF3263" s="189"/>
      <c r="AG3263" s="189"/>
      <c r="AH3263" s="189"/>
      <c r="AP3263" s="238"/>
    </row>
    <row r="3264" spans="3:42" s="45" customFormat="1" x14ac:dyDescent="0.2">
      <c r="C3264" s="189"/>
      <c r="F3264" s="73"/>
      <c r="M3264" s="111"/>
      <c r="N3264" s="73"/>
      <c r="O3264" s="73"/>
      <c r="P3264" s="73"/>
      <c r="Q3264" s="73"/>
      <c r="R3264" s="111"/>
      <c r="S3264" s="75"/>
      <c r="T3264" s="73"/>
      <c r="X3264" s="189"/>
      <c r="Y3264" s="189"/>
      <c r="Z3264" s="100"/>
      <c r="AC3264" s="84"/>
      <c r="AD3264" s="189"/>
      <c r="AE3264" s="189"/>
      <c r="AF3264" s="189"/>
      <c r="AG3264" s="189"/>
      <c r="AH3264" s="189"/>
      <c r="AP3264" s="238"/>
    </row>
    <row r="3265" spans="3:42" s="45" customFormat="1" x14ac:dyDescent="0.2">
      <c r="C3265" s="189"/>
      <c r="F3265" s="73"/>
      <c r="M3265" s="111"/>
      <c r="N3265" s="73"/>
      <c r="O3265" s="73"/>
      <c r="P3265" s="73"/>
      <c r="Q3265" s="73"/>
      <c r="R3265" s="111"/>
      <c r="S3265" s="75"/>
      <c r="T3265" s="73"/>
      <c r="X3265" s="189"/>
      <c r="Y3265" s="189"/>
      <c r="Z3265" s="100"/>
      <c r="AC3265" s="84"/>
      <c r="AD3265" s="189"/>
      <c r="AE3265" s="189"/>
      <c r="AF3265" s="189"/>
      <c r="AG3265" s="189"/>
      <c r="AH3265" s="189"/>
      <c r="AP3265" s="238"/>
    </row>
    <row r="3266" spans="3:42" s="45" customFormat="1" x14ac:dyDescent="0.2">
      <c r="C3266" s="189"/>
      <c r="F3266" s="73"/>
      <c r="M3266" s="111"/>
      <c r="N3266" s="73"/>
      <c r="O3266" s="73"/>
      <c r="P3266" s="73"/>
      <c r="Q3266" s="73"/>
      <c r="R3266" s="111"/>
      <c r="S3266" s="75"/>
      <c r="T3266" s="73"/>
      <c r="X3266" s="189"/>
      <c r="Y3266" s="189"/>
      <c r="Z3266" s="100"/>
      <c r="AC3266" s="84"/>
      <c r="AD3266" s="189"/>
      <c r="AE3266" s="189"/>
      <c r="AF3266" s="189"/>
      <c r="AG3266" s="189"/>
      <c r="AH3266" s="189"/>
      <c r="AP3266" s="238"/>
    </row>
    <row r="3267" spans="3:42" s="45" customFormat="1" x14ac:dyDescent="0.2">
      <c r="C3267" s="189"/>
      <c r="F3267" s="73"/>
      <c r="M3267" s="111"/>
      <c r="N3267" s="73"/>
      <c r="O3267" s="73"/>
      <c r="P3267" s="73"/>
      <c r="Q3267" s="73"/>
      <c r="R3267" s="111"/>
      <c r="S3267" s="75"/>
      <c r="T3267" s="73"/>
      <c r="X3267" s="189"/>
      <c r="Y3267" s="189"/>
      <c r="Z3267" s="100"/>
      <c r="AC3267" s="84"/>
      <c r="AD3267" s="189"/>
      <c r="AE3267" s="189"/>
      <c r="AF3267" s="189"/>
      <c r="AG3267" s="189"/>
      <c r="AH3267" s="189"/>
      <c r="AP3267" s="238"/>
    </row>
    <row r="3268" spans="3:42" s="45" customFormat="1" x14ac:dyDescent="0.2">
      <c r="C3268" s="189"/>
      <c r="F3268" s="73"/>
      <c r="M3268" s="111"/>
      <c r="N3268" s="73"/>
      <c r="O3268" s="73"/>
      <c r="P3268" s="73"/>
      <c r="Q3268" s="73"/>
      <c r="R3268" s="111"/>
      <c r="S3268" s="75"/>
      <c r="T3268" s="73"/>
      <c r="X3268" s="189"/>
      <c r="Y3268" s="189"/>
      <c r="Z3268" s="100"/>
      <c r="AC3268" s="84"/>
      <c r="AD3268" s="189"/>
      <c r="AE3268" s="189"/>
      <c r="AF3268" s="189"/>
      <c r="AG3268" s="189"/>
      <c r="AH3268" s="189"/>
      <c r="AP3268" s="238"/>
    </row>
    <row r="3269" spans="3:42" s="45" customFormat="1" x14ac:dyDescent="0.2">
      <c r="C3269" s="189"/>
      <c r="F3269" s="73"/>
      <c r="M3269" s="111"/>
      <c r="N3269" s="73"/>
      <c r="O3269" s="73"/>
      <c r="P3269" s="73"/>
      <c r="Q3269" s="73"/>
      <c r="R3269" s="111"/>
      <c r="S3269" s="75"/>
      <c r="T3269" s="73"/>
      <c r="X3269" s="189"/>
      <c r="Y3269" s="189"/>
      <c r="Z3269" s="100"/>
      <c r="AC3269" s="84"/>
      <c r="AD3269" s="189"/>
      <c r="AE3269" s="189"/>
      <c r="AF3269" s="189"/>
      <c r="AG3269" s="189"/>
      <c r="AH3269" s="189"/>
      <c r="AP3269" s="238"/>
    </row>
    <row r="3270" spans="3:42" s="45" customFormat="1" x14ac:dyDescent="0.2">
      <c r="C3270" s="189"/>
      <c r="F3270" s="73"/>
      <c r="M3270" s="111"/>
      <c r="N3270" s="73"/>
      <c r="O3270" s="73"/>
      <c r="P3270" s="73"/>
      <c r="Q3270" s="73"/>
      <c r="R3270" s="111"/>
      <c r="S3270" s="75"/>
      <c r="T3270" s="73"/>
      <c r="X3270" s="189"/>
      <c r="Y3270" s="189"/>
      <c r="Z3270" s="100"/>
      <c r="AC3270" s="84"/>
      <c r="AD3270" s="189"/>
      <c r="AE3270" s="189"/>
      <c r="AF3270" s="189"/>
      <c r="AG3270" s="189"/>
      <c r="AH3270" s="189"/>
      <c r="AP3270" s="238"/>
    </row>
    <row r="3271" spans="3:42" s="45" customFormat="1" x14ac:dyDescent="0.2">
      <c r="C3271" s="189"/>
      <c r="F3271" s="73"/>
      <c r="M3271" s="111"/>
      <c r="N3271" s="73"/>
      <c r="O3271" s="73"/>
      <c r="P3271" s="73"/>
      <c r="Q3271" s="73"/>
      <c r="R3271" s="111"/>
      <c r="S3271" s="75"/>
      <c r="T3271" s="73"/>
      <c r="X3271" s="189"/>
      <c r="Y3271" s="189"/>
      <c r="Z3271" s="100"/>
      <c r="AC3271" s="84"/>
      <c r="AD3271" s="189"/>
      <c r="AE3271" s="189"/>
      <c r="AF3271" s="189"/>
      <c r="AG3271" s="189"/>
      <c r="AH3271" s="189"/>
      <c r="AP3271" s="238"/>
    </row>
    <row r="3272" spans="3:42" s="45" customFormat="1" x14ac:dyDescent="0.2">
      <c r="C3272" s="189"/>
      <c r="F3272" s="73"/>
      <c r="M3272" s="111"/>
      <c r="N3272" s="73"/>
      <c r="O3272" s="73"/>
      <c r="P3272" s="73"/>
      <c r="Q3272" s="73"/>
      <c r="R3272" s="111"/>
      <c r="S3272" s="75"/>
      <c r="T3272" s="73"/>
      <c r="X3272" s="189"/>
      <c r="Y3272" s="189"/>
      <c r="Z3272" s="100"/>
      <c r="AC3272" s="84"/>
      <c r="AD3272" s="189"/>
      <c r="AE3272" s="189"/>
      <c r="AF3272" s="189"/>
      <c r="AG3272" s="189"/>
      <c r="AH3272" s="189"/>
      <c r="AP3272" s="238"/>
    </row>
    <row r="3273" spans="3:42" s="45" customFormat="1" x14ac:dyDescent="0.2">
      <c r="C3273" s="189"/>
      <c r="F3273" s="73"/>
      <c r="M3273" s="111"/>
      <c r="N3273" s="73"/>
      <c r="O3273" s="73"/>
      <c r="P3273" s="73"/>
      <c r="Q3273" s="73"/>
      <c r="R3273" s="111"/>
      <c r="S3273" s="75"/>
      <c r="T3273" s="73"/>
      <c r="X3273" s="189"/>
      <c r="Y3273" s="189"/>
      <c r="Z3273" s="100"/>
      <c r="AC3273" s="84"/>
      <c r="AD3273" s="189"/>
      <c r="AE3273" s="189"/>
      <c r="AF3273" s="189"/>
      <c r="AG3273" s="189"/>
      <c r="AH3273" s="189"/>
      <c r="AP3273" s="238"/>
    </row>
    <row r="3274" spans="3:42" s="45" customFormat="1" x14ac:dyDescent="0.2">
      <c r="C3274" s="189"/>
      <c r="F3274" s="73"/>
      <c r="M3274" s="111"/>
      <c r="N3274" s="73"/>
      <c r="O3274" s="73"/>
      <c r="P3274" s="73"/>
      <c r="Q3274" s="73"/>
      <c r="R3274" s="111"/>
      <c r="S3274" s="75"/>
      <c r="T3274" s="73"/>
      <c r="X3274" s="189"/>
      <c r="Y3274" s="189"/>
      <c r="Z3274" s="100"/>
      <c r="AC3274" s="84"/>
      <c r="AD3274" s="189"/>
      <c r="AE3274" s="189"/>
      <c r="AF3274" s="189"/>
      <c r="AG3274" s="189"/>
      <c r="AH3274" s="189"/>
      <c r="AP3274" s="238"/>
    </row>
    <row r="3275" spans="3:42" s="45" customFormat="1" x14ac:dyDescent="0.2">
      <c r="C3275" s="189"/>
      <c r="F3275" s="73"/>
      <c r="M3275" s="111"/>
      <c r="N3275" s="73"/>
      <c r="O3275" s="73"/>
      <c r="P3275" s="73"/>
      <c r="Q3275" s="73"/>
      <c r="R3275" s="111"/>
      <c r="S3275" s="75"/>
      <c r="T3275" s="73"/>
      <c r="X3275" s="189"/>
      <c r="Y3275" s="189"/>
      <c r="Z3275" s="100"/>
      <c r="AC3275" s="84"/>
      <c r="AD3275" s="189"/>
      <c r="AE3275" s="189"/>
      <c r="AF3275" s="189"/>
      <c r="AG3275" s="189"/>
      <c r="AH3275" s="189"/>
      <c r="AP3275" s="238"/>
    </row>
    <row r="3276" spans="3:42" s="45" customFormat="1" x14ac:dyDescent="0.2">
      <c r="C3276" s="189"/>
      <c r="F3276" s="73"/>
      <c r="M3276" s="111"/>
      <c r="N3276" s="73"/>
      <c r="O3276" s="73"/>
      <c r="P3276" s="73"/>
      <c r="Q3276" s="73"/>
      <c r="R3276" s="111"/>
      <c r="S3276" s="75"/>
      <c r="T3276" s="73"/>
      <c r="X3276" s="189"/>
      <c r="Y3276" s="189"/>
      <c r="Z3276" s="100"/>
      <c r="AC3276" s="84"/>
      <c r="AD3276" s="189"/>
      <c r="AE3276" s="189"/>
      <c r="AF3276" s="189"/>
      <c r="AG3276" s="189"/>
      <c r="AH3276" s="189"/>
      <c r="AP3276" s="238"/>
    </row>
    <row r="3277" spans="3:42" s="45" customFormat="1" x14ac:dyDescent="0.2">
      <c r="C3277" s="189"/>
      <c r="F3277" s="73"/>
      <c r="M3277" s="111"/>
      <c r="N3277" s="73"/>
      <c r="O3277" s="73"/>
      <c r="P3277" s="73"/>
      <c r="Q3277" s="73"/>
      <c r="R3277" s="111"/>
      <c r="S3277" s="75"/>
      <c r="T3277" s="73"/>
      <c r="X3277" s="189"/>
      <c r="Y3277" s="189"/>
      <c r="Z3277" s="100"/>
      <c r="AC3277" s="84"/>
      <c r="AD3277" s="189"/>
      <c r="AE3277" s="189"/>
      <c r="AF3277" s="189"/>
      <c r="AG3277" s="189"/>
      <c r="AH3277" s="189"/>
      <c r="AP3277" s="238"/>
    </row>
    <row r="3278" spans="3:42" s="45" customFormat="1" x14ac:dyDescent="0.2">
      <c r="C3278" s="189"/>
      <c r="F3278" s="73"/>
      <c r="M3278" s="111"/>
      <c r="N3278" s="73"/>
      <c r="O3278" s="73"/>
      <c r="P3278" s="73"/>
      <c r="Q3278" s="73"/>
      <c r="R3278" s="111"/>
      <c r="S3278" s="75"/>
      <c r="T3278" s="73"/>
      <c r="X3278" s="189"/>
      <c r="Y3278" s="189"/>
      <c r="Z3278" s="100"/>
      <c r="AC3278" s="84"/>
      <c r="AD3278" s="189"/>
      <c r="AE3278" s="189"/>
      <c r="AF3278" s="189"/>
      <c r="AG3278" s="189"/>
      <c r="AH3278" s="189"/>
      <c r="AP3278" s="238"/>
    </row>
    <row r="3279" spans="3:42" s="45" customFormat="1" x14ac:dyDescent="0.2">
      <c r="C3279" s="189"/>
      <c r="F3279" s="73"/>
      <c r="M3279" s="111"/>
      <c r="N3279" s="73"/>
      <c r="O3279" s="73"/>
      <c r="P3279" s="73"/>
      <c r="Q3279" s="73"/>
      <c r="R3279" s="111"/>
      <c r="S3279" s="75"/>
      <c r="T3279" s="73"/>
      <c r="X3279" s="189"/>
      <c r="Y3279" s="189"/>
      <c r="Z3279" s="100"/>
      <c r="AC3279" s="84"/>
      <c r="AD3279" s="189"/>
      <c r="AE3279" s="189"/>
      <c r="AF3279" s="189"/>
      <c r="AG3279" s="189"/>
      <c r="AH3279" s="189"/>
      <c r="AP3279" s="238"/>
    </row>
    <row r="3280" spans="3:42" s="45" customFormat="1" x14ac:dyDescent="0.2">
      <c r="C3280" s="189"/>
      <c r="F3280" s="73"/>
      <c r="M3280" s="111"/>
      <c r="N3280" s="73"/>
      <c r="O3280" s="73"/>
      <c r="P3280" s="73"/>
      <c r="Q3280" s="73"/>
      <c r="R3280" s="111"/>
      <c r="S3280" s="75"/>
      <c r="T3280" s="73"/>
      <c r="X3280" s="189"/>
      <c r="Y3280" s="189"/>
      <c r="Z3280" s="100"/>
      <c r="AC3280" s="84"/>
      <c r="AD3280" s="189"/>
      <c r="AE3280" s="189"/>
      <c r="AF3280" s="189"/>
      <c r="AG3280" s="189"/>
      <c r="AH3280" s="189"/>
      <c r="AP3280" s="238"/>
    </row>
    <row r="3281" spans="3:42" s="45" customFormat="1" x14ac:dyDescent="0.2">
      <c r="C3281" s="189"/>
      <c r="F3281" s="73"/>
      <c r="M3281" s="111"/>
      <c r="N3281" s="73"/>
      <c r="O3281" s="73"/>
      <c r="P3281" s="73"/>
      <c r="Q3281" s="73"/>
      <c r="R3281" s="111"/>
      <c r="S3281" s="75"/>
      <c r="T3281" s="73"/>
      <c r="X3281" s="189"/>
      <c r="Y3281" s="189"/>
      <c r="Z3281" s="100"/>
      <c r="AC3281" s="84"/>
      <c r="AD3281" s="189"/>
      <c r="AE3281" s="189"/>
      <c r="AF3281" s="189"/>
      <c r="AG3281" s="189"/>
      <c r="AH3281" s="189"/>
      <c r="AP3281" s="238"/>
    </row>
    <row r="3282" spans="3:42" s="45" customFormat="1" x14ac:dyDescent="0.2">
      <c r="C3282" s="189"/>
      <c r="F3282" s="73"/>
      <c r="M3282" s="111"/>
      <c r="N3282" s="73"/>
      <c r="O3282" s="73"/>
      <c r="P3282" s="73"/>
      <c r="Q3282" s="73"/>
      <c r="R3282" s="111"/>
      <c r="S3282" s="75"/>
      <c r="T3282" s="73"/>
      <c r="X3282" s="189"/>
      <c r="Y3282" s="189"/>
      <c r="Z3282" s="100"/>
      <c r="AC3282" s="84"/>
      <c r="AD3282" s="189"/>
      <c r="AE3282" s="189"/>
      <c r="AF3282" s="189"/>
      <c r="AG3282" s="189"/>
      <c r="AH3282" s="189"/>
      <c r="AP3282" s="238"/>
    </row>
    <row r="3283" spans="3:42" s="45" customFormat="1" x14ac:dyDescent="0.2">
      <c r="C3283" s="189"/>
      <c r="F3283" s="73"/>
      <c r="M3283" s="111"/>
      <c r="N3283" s="73"/>
      <c r="O3283" s="73"/>
      <c r="P3283" s="73"/>
      <c r="Q3283" s="73"/>
      <c r="R3283" s="111"/>
      <c r="S3283" s="75"/>
      <c r="T3283" s="73"/>
      <c r="X3283" s="189"/>
      <c r="Y3283" s="189"/>
      <c r="Z3283" s="100"/>
      <c r="AC3283" s="84"/>
      <c r="AD3283" s="189"/>
      <c r="AE3283" s="189"/>
      <c r="AF3283" s="189"/>
      <c r="AG3283" s="189"/>
      <c r="AH3283" s="189"/>
      <c r="AP3283" s="238"/>
    </row>
    <row r="3284" spans="3:42" s="45" customFormat="1" x14ac:dyDescent="0.2">
      <c r="C3284" s="189"/>
      <c r="F3284" s="73"/>
      <c r="M3284" s="111"/>
      <c r="N3284" s="73"/>
      <c r="O3284" s="73"/>
      <c r="P3284" s="73"/>
      <c r="Q3284" s="73"/>
      <c r="R3284" s="111"/>
      <c r="S3284" s="75"/>
      <c r="T3284" s="73"/>
      <c r="X3284" s="189"/>
      <c r="Y3284" s="189"/>
      <c r="Z3284" s="100"/>
      <c r="AC3284" s="84"/>
      <c r="AD3284" s="189"/>
      <c r="AE3284" s="189"/>
      <c r="AF3284" s="189"/>
      <c r="AG3284" s="189"/>
      <c r="AH3284" s="189"/>
      <c r="AP3284" s="238"/>
    </row>
    <row r="3285" spans="3:42" s="45" customFormat="1" x14ac:dyDescent="0.2">
      <c r="C3285" s="189"/>
      <c r="F3285" s="73"/>
      <c r="M3285" s="111"/>
      <c r="N3285" s="73"/>
      <c r="O3285" s="73"/>
      <c r="P3285" s="73"/>
      <c r="Q3285" s="73"/>
      <c r="R3285" s="111"/>
      <c r="S3285" s="75"/>
      <c r="T3285" s="73"/>
      <c r="X3285" s="189"/>
      <c r="Y3285" s="189"/>
      <c r="Z3285" s="100"/>
      <c r="AC3285" s="84"/>
      <c r="AD3285" s="189"/>
      <c r="AE3285" s="189"/>
      <c r="AF3285" s="189"/>
      <c r="AG3285" s="189"/>
      <c r="AH3285" s="189"/>
      <c r="AP3285" s="238"/>
    </row>
    <row r="3286" spans="3:42" s="45" customFormat="1" x14ac:dyDescent="0.2">
      <c r="C3286" s="189"/>
      <c r="F3286" s="73"/>
      <c r="M3286" s="111"/>
      <c r="N3286" s="73"/>
      <c r="O3286" s="73"/>
      <c r="P3286" s="73"/>
      <c r="Q3286" s="73"/>
      <c r="R3286" s="111"/>
      <c r="S3286" s="75"/>
      <c r="T3286" s="73"/>
      <c r="X3286" s="189"/>
      <c r="Y3286" s="189"/>
      <c r="Z3286" s="100"/>
      <c r="AC3286" s="84"/>
      <c r="AD3286" s="189"/>
      <c r="AE3286" s="189"/>
      <c r="AF3286" s="189"/>
      <c r="AG3286" s="189"/>
      <c r="AH3286" s="189"/>
      <c r="AP3286" s="238"/>
    </row>
    <row r="3287" spans="3:42" s="45" customFormat="1" x14ac:dyDescent="0.2">
      <c r="C3287" s="189"/>
      <c r="F3287" s="73"/>
      <c r="M3287" s="111"/>
      <c r="N3287" s="73"/>
      <c r="O3287" s="73"/>
      <c r="P3287" s="73"/>
      <c r="Q3287" s="73"/>
      <c r="R3287" s="111"/>
      <c r="S3287" s="75"/>
      <c r="T3287" s="73"/>
      <c r="X3287" s="189"/>
      <c r="Y3287" s="189"/>
      <c r="Z3287" s="100"/>
      <c r="AC3287" s="84"/>
      <c r="AD3287" s="189"/>
      <c r="AE3287" s="189"/>
      <c r="AF3287" s="189"/>
      <c r="AG3287" s="189"/>
      <c r="AH3287" s="189"/>
      <c r="AP3287" s="238"/>
    </row>
    <row r="3288" spans="3:42" s="45" customFormat="1" x14ac:dyDescent="0.2">
      <c r="C3288" s="189"/>
      <c r="F3288" s="73"/>
      <c r="M3288" s="111"/>
      <c r="N3288" s="73"/>
      <c r="O3288" s="73"/>
      <c r="P3288" s="73"/>
      <c r="Q3288" s="73"/>
      <c r="R3288" s="111"/>
      <c r="S3288" s="75"/>
      <c r="T3288" s="73"/>
      <c r="X3288" s="189"/>
      <c r="Y3288" s="189"/>
      <c r="Z3288" s="100"/>
      <c r="AC3288" s="84"/>
      <c r="AD3288" s="189"/>
      <c r="AE3288" s="189"/>
      <c r="AF3288" s="189"/>
      <c r="AG3288" s="189"/>
      <c r="AH3288" s="189"/>
      <c r="AP3288" s="238"/>
    </row>
    <row r="3289" spans="3:42" s="45" customFormat="1" x14ac:dyDescent="0.2">
      <c r="C3289" s="189"/>
      <c r="F3289" s="73"/>
      <c r="M3289" s="111"/>
      <c r="N3289" s="73"/>
      <c r="O3289" s="73"/>
      <c r="P3289" s="73"/>
      <c r="Q3289" s="73"/>
      <c r="R3289" s="111"/>
      <c r="S3289" s="75"/>
      <c r="T3289" s="73"/>
      <c r="X3289" s="189"/>
      <c r="Y3289" s="189"/>
      <c r="Z3289" s="100"/>
      <c r="AC3289" s="84"/>
      <c r="AD3289" s="189"/>
      <c r="AE3289" s="189"/>
      <c r="AF3289" s="189"/>
      <c r="AG3289" s="189"/>
      <c r="AH3289" s="189"/>
      <c r="AP3289" s="238"/>
    </row>
    <row r="3290" spans="3:42" s="45" customFormat="1" x14ac:dyDescent="0.2">
      <c r="C3290" s="189"/>
      <c r="F3290" s="73"/>
      <c r="M3290" s="111"/>
      <c r="N3290" s="73"/>
      <c r="O3290" s="73"/>
      <c r="P3290" s="73"/>
      <c r="Q3290" s="73"/>
      <c r="R3290" s="111"/>
      <c r="S3290" s="75"/>
      <c r="T3290" s="73"/>
      <c r="X3290" s="189"/>
      <c r="Y3290" s="189"/>
      <c r="Z3290" s="100"/>
      <c r="AC3290" s="84"/>
      <c r="AD3290" s="189"/>
      <c r="AE3290" s="189"/>
      <c r="AF3290" s="189"/>
      <c r="AG3290" s="189"/>
      <c r="AH3290" s="189"/>
      <c r="AP3290" s="238"/>
    </row>
    <row r="3291" spans="3:42" s="45" customFormat="1" x14ac:dyDescent="0.2">
      <c r="C3291" s="189"/>
      <c r="F3291" s="73"/>
      <c r="M3291" s="111"/>
      <c r="N3291" s="73"/>
      <c r="O3291" s="73"/>
      <c r="P3291" s="73"/>
      <c r="Q3291" s="73"/>
      <c r="R3291" s="111"/>
      <c r="S3291" s="75"/>
      <c r="T3291" s="73"/>
      <c r="X3291" s="189"/>
      <c r="Y3291" s="189"/>
      <c r="Z3291" s="100"/>
      <c r="AC3291" s="84"/>
      <c r="AD3291" s="189"/>
      <c r="AE3291" s="189"/>
      <c r="AF3291" s="189"/>
      <c r="AG3291" s="189"/>
      <c r="AH3291" s="189"/>
      <c r="AP3291" s="238"/>
    </row>
    <row r="3292" spans="3:42" s="45" customFormat="1" x14ac:dyDescent="0.2">
      <c r="C3292" s="189"/>
      <c r="F3292" s="73"/>
      <c r="M3292" s="111"/>
      <c r="N3292" s="73"/>
      <c r="O3292" s="73"/>
      <c r="P3292" s="73"/>
      <c r="Q3292" s="73"/>
      <c r="R3292" s="111"/>
      <c r="S3292" s="75"/>
      <c r="T3292" s="73"/>
      <c r="X3292" s="189"/>
      <c r="Y3292" s="189"/>
      <c r="Z3292" s="100"/>
      <c r="AC3292" s="84"/>
      <c r="AD3292" s="189"/>
      <c r="AE3292" s="189"/>
      <c r="AF3292" s="189"/>
      <c r="AG3292" s="189"/>
      <c r="AH3292" s="189"/>
      <c r="AP3292" s="238"/>
    </row>
    <row r="3293" spans="3:42" s="45" customFormat="1" x14ac:dyDescent="0.2">
      <c r="C3293" s="189"/>
      <c r="F3293" s="73"/>
      <c r="M3293" s="111"/>
      <c r="N3293" s="73"/>
      <c r="O3293" s="73"/>
      <c r="P3293" s="73"/>
      <c r="Q3293" s="73"/>
      <c r="R3293" s="111"/>
      <c r="S3293" s="75"/>
      <c r="T3293" s="73"/>
      <c r="X3293" s="189"/>
      <c r="Y3293" s="189"/>
      <c r="Z3293" s="100"/>
      <c r="AC3293" s="84"/>
      <c r="AD3293" s="189"/>
      <c r="AE3293" s="189"/>
      <c r="AF3293" s="189"/>
      <c r="AG3293" s="189"/>
      <c r="AH3293" s="189"/>
      <c r="AP3293" s="238"/>
    </row>
    <row r="3294" spans="3:42" s="45" customFormat="1" x14ac:dyDescent="0.2">
      <c r="C3294" s="189"/>
      <c r="F3294" s="73"/>
      <c r="M3294" s="111"/>
      <c r="N3294" s="73"/>
      <c r="O3294" s="73"/>
      <c r="P3294" s="73"/>
      <c r="Q3294" s="73"/>
      <c r="R3294" s="111"/>
      <c r="S3294" s="75"/>
      <c r="T3294" s="73"/>
      <c r="X3294" s="189"/>
      <c r="Y3294" s="189"/>
      <c r="Z3294" s="100"/>
      <c r="AC3294" s="84"/>
      <c r="AD3294" s="189"/>
      <c r="AE3294" s="189"/>
      <c r="AF3294" s="189"/>
      <c r="AG3294" s="189"/>
      <c r="AH3294" s="189"/>
      <c r="AP3294" s="238"/>
    </row>
    <row r="3295" spans="3:42" s="45" customFormat="1" x14ac:dyDescent="0.2">
      <c r="C3295" s="189"/>
      <c r="F3295" s="73"/>
      <c r="M3295" s="111"/>
      <c r="N3295" s="73"/>
      <c r="O3295" s="73"/>
      <c r="P3295" s="73"/>
      <c r="Q3295" s="73"/>
      <c r="R3295" s="111"/>
      <c r="S3295" s="75"/>
      <c r="T3295" s="73"/>
      <c r="X3295" s="189"/>
      <c r="Y3295" s="189"/>
      <c r="Z3295" s="100"/>
      <c r="AC3295" s="84"/>
      <c r="AD3295" s="189"/>
      <c r="AE3295" s="189"/>
      <c r="AF3295" s="189"/>
      <c r="AG3295" s="189"/>
      <c r="AH3295" s="189"/>
      <c r="AP3295" s="238"/>
    </row>
    <row r="3296" spans="3:42" s="45" customFormat="1" x14ac:dyDescent="0.2">
      <c r="C3296" s="189"/>
      <c r="F3296" s="73"/>
      <c r="M3296" s="111"/>
      <c r="N3296" s="73"/>
      <c r="O3296" s="73"/>
      <c r="P3296" s="73"/>
      <c r="Q3296" s="73"/>
      <c r="R3296" s="111"/>
      <c r="S3296" s="75"/>
      <c r="T3296" s="73"/>
      <c r="X3296" s="189"/>
      <c r="Y3296" s="189"/>
      <c r="Z3296" s="100"/>
      <c r="AC3296" s="84"/>
      <c r="AD3296" s="189"/>
      <c r="AE3296" s="189"/>
      <c r="AF3296" s="189"/>
      <c r="AG3296" s="189"/>
      <c r="AH3296" s="189"/>
      <c r="AP3296" s="238"/>
    </row>
    <row r="3297" spans="3:42" s="45" customFormat="1" x14ac:dyDescent="0.2">
      <c r="C3297" s="189"/>
      <c r="F3297" s="73"/>
      <c r="M3297" s="111"/>
      <c r="N3297" s="73"/>
      <c r="O3297" s="73"/>
      <c r="P3297" s="73"/>
      <c r="Q3297" s="73"/>
      <c r="R3297" s="111"/>
      <c r="S3297" s="75"/>
      <c r="T3297" s="73"/>
      <c r="X3297" s="189"/>
      <c r="Y3297" s="189"/>
      <c r="Z3297" s="100"/>
      <c r="AC3297" s="84"/>
      <c r="AD3297" s="189"/>
      <c r="AE3297" s="189"/>
      <c r="AF3297" s="189"/>
      <c r="AG3297" s="189"/>
      <c r="AH3297" s="189"/>
      <c r="AP3297" s="238"/>
    </row>
    <row r="3298" spans="3:42" s="45" customFormat="1" x14ac:dyDescent="0.2">
      <c r="C3298" s="189"/>
      <c r="F3298" s="73"/>
      <c r="M3298" s="111"/>
      <c r="N3298" s="73"/>
      <c r="O3298" s="73"/>
      <c r="P3298" s="73"/>
      <c r="Q3298" s="73"/>
      <c r="R3298" s="111"/>
      <c r="S3298" s="75"/>
      <c r="T3298" s="73"/>
      <c r="X3298" s="189"/>
      <c r="Y3298" s="189"/>
      <c r="Z3298" s="100"/>
      <c r="AC3298" s="84"/>
      <c r="AD3298" s="189"/>
      <c r="AE3298" s="189"/>
      <c r="AF3298" s="189"/>
      <c r="AG3298" s="189"/>
      <c r="AH3298" s="189"/>
      <c r="AP3298" s="238"/>
    </row>
    <row r="3299" spans="3:42" s="45" customFormat="1" x14ac:dyDescent="0.2">
      <c r="C3299" s="189"/>
      <c r="F3299" s="73"/>
      <c r="M3299" s="111"/>
      <c r="N3299" s="73"/>
      <c r="O3299" s="73"/>
      <c r="P3299" s="73"/>
      <c r="Q3299" s="73"/>
      <c r="R3299" s="111"/>
      <c r="S3299" s="75"/>
      <c r="T3299" s="73"/>
      <c r="X3299" s="189"/>
      <c r="Y3299" s="189"/>
      <c r="Z3299" s="100"/>
      <c r="AC3299" s="84"/>
      <c r="AD3299" s="189"/>
      <c r="AE3299" s="189"/>
      <c r="AF3299" s="189"/>
      <c r="AG3299" s="189"/>
      <c r="AH3299" s="189"/>
      <c r="AP3299" s="238"/>
    </row>
    <row r="3300" spans="3:42" s="45" customFormat="1" x14ac:dyDescent="0.2">
      <c r="C3300" s="189"/>
      <c r="F3300" s="73"/>
      <c r="M3300" s="111"/>
      <c r="N3300" s="73"/>
      <c r="O3300" s="73"/>
      <c r="P3300" s="73"/>
      <c r="Q3300" s="73"/>
      <c r="R3300" s="111"/>
      <c r="S3300" s="75"/>
      <c r="T3300" s="73"/>
      <c r="X3300" s="189"/>
      <c r="Y3300" s="189"/>
      <c r="Z3300" s="100"/>
      <c r="AC3300" s="84"/>
      <c r="AD3300" s="189"/>
      <c r="AE3300" s="189"/>
      <c r="AF3300" s="189"/>
      <c r="AG3300" s="189"/>
      <c r="AH3300" s="189"/>
      <c r="AP3300" s="238"/>
    </row>
    <row r="3301" spans="3:42" s="45" customFormat="1" x14ac:dyDescent="0.2">
      <c r="C3301" s="189"/>
      <c r="F3301" s="73"/>
      <c r="M3301" s="111"/>
      <c r="N3301" s="73"/>
      <c r="O3301" s="73"/>
      <c r="P3301" s="73"/>
      <c r="Q3301" s="73"/>
      <c r="R3301" s="111"/>
      <c r="S3301" s="75"/>
      <c r="T3301" s="73"/>
      <c r="X3301" s="189"/>
      <c r="Y3301" s="189"/>
      <c r="Z3301" s="100"/>
      <c r="AC3301" s="84"/>
      <c r="AD3301" s="189"/>
      <c r="AE3301" s="189"/>
      <c r="AF3301" s="189"/>
      <c r="AG3301" s="189"/>
      <c r="AH3301" s="189"/>
      <c r="AP3301" s="238"/>
    </row>
    <row r="3302" spans="3:42" s="45" customFormat="1" x14ac:dyDescent="0.2">
      <c r="C3302" s="189"/>
      <c r="F3302" s="73"/>
      <c r="M3302" s="111"/>
      <c r="N3302" s="73"/>
      <c r="O3302" s="73"/>
      <c r="P3302" s="73"/>
      <c r="Q3302" s="73"/>
      <c r="R3302" s="111"/>
      <c r="S3302" s="75"/>
      <c r="T3302" s="73"/>
      <c r="X3302" s="189"/>
      <c r="Y3302" s="189"/>
      <c r="Z3302" s="100"/>
      <c r="AC3302" s="84"/>
      <c r="AD3302" s="189"/>
      <c r="AE3302" s="189"/>
      <c r="AF3302" s="189"/>
      <c r="AG3302" s="189"/>
      <c r="AH3302" s="189"/>
      <c r="AP3302" s="238"/>
    </row>
    <row r="3303" spans="3:42" s="45" customFormat="1" x14ac:dyDescent="0.2">
      <c r="C3303" s="189"/>
      <c r="F3303" s="73"/>
      <c r="M3303" s="111"/>
      <c r="N3303" s="73"/>
      <c r="O3303" s="73"/>
      <c r="P3303" s="73"/>
      <c r="Q3303" s="73"/>
      <c r="R3303" s="111"/>
      <c r="S3303" s="75"/>
      <c r="T3303" s="73"/>
      <c r="X3303" s="189"/>
      <c r="Y3303" s="189"/>
      <c r="Z3303" s="100"/>
      <c r="AC3303" s="84"/>
      <c r="AD3303" s="189"/>
      <c r="AE3303" s="189"/>
      <c r="AF3303" s="189"/>
      <c r="AG3303" s="189"/>
      <c r="AH3303" s="189"/>
      <c r="AP3303" s="238"/>
    </row>
    <row r="3304" spans="3:42" s="45" customFormat="1" x14ac:dyDescent="0.2">
      <c r="C3304" s="189"/>
      <c r="F3304" s="73"/>
      <c r="M3304" s="111"/>
      <c r="N3304" s="73"/>
      <c r="O3304" s="73"/>
      <c r="P3304" s="73"/>
      <c r="Q3304" s="73"/>
      <c r="R3304" s="111"/>
      <c r="S3304" s="75"/>
      <c r="T3304" s="73"/>
      <c r="X3304" s="189"/>
      <c r="Y3304" s="189"/>
      <c r="Z3304" s="100"/>
      <c r="AC3304" s="84"/>
      <c r="AD3304" s="189"/>
      <c r="AE3304" s="189"/>
      <c r="AF3304" s="189"/>
      <c r="AG3304" s="189"/>
      <c r="AH3304" s="189"/>
      <c r="AP3304" s="238"/>
    </row>
    <row r="3305" spans="3:42" s="45" customFormat="1" x14ac:dyDescent="0.2">
      <c r="C3305" s="189"/>
      <c r="F3305" s="73"/>
      <c r="M3305" s="111"/>
      <c r="N3305" s="73"/>
      <c r="O3305" s="73"/>
      <c r="P3305" s="73"/>
      <c r="Q3305" s="73"/>
      <c r="R3305" s="111"/>
      <c r="S3305" s="75"/>
      <c r="T3305" s="73"/>
      <c r="X3305" s="189"/>
      <c r="Y3305" s="189"/>
      <c r="Z3305" s="100"/>
      <c r="AC3305" s="84"/>
      <c r="AD3305" s="189"/>
      <c r="AE3305" s="189"/>
      <c r="AF3305" s="189"/>
      <c r="AG3305" s="189"/>
      <c r="AH3305" s="189"/>
      <c r="AP3305" s="238"/>
    </row>
    <row r="3306" spans="3:42" s="45" customFormat="1" x14ac:dyDescent="0.2">
      <c r="C3306" s="189"/>
      <c r="F3306" s="73"/>
      <c r="M3306" s="111"/>
      <c r="N3306" s="73"/>
      <c r="O3306" s="73"/>
      <c r="P3306" s="73"/>
      <c r="Q3306" s="73"/>
      <c r="R3306" s="111"/>
      <c r="S3306" s="75"/>
      <c r="T3306" s="73"/>
      <c r="X3306" s="189"/>
      <c r="Y3306" s="189"/>
      <c r="Z3306" s="100"/>
      <c r="AC3306" s="84"/>
      <c r="AD3306" s="189"/>
      <c r="AE3306" s="189"/>
      <c r="AF3306" s="189"/>
      <c r="AG3306" s="189"/>
      <c r="AH3306" s="189"/>
      <c r="AP3306" s="238"/>
    </row>
    <row r="3307" spans="3:42" s="45" customFormat="1" x14ac:dyDescent="0.2">
      <c r="C3307" s="189"/>
      <c r="F3307" s="73"/>
      <c r="M3307" s="111"/>
      <c r="N3307" s="73"/>
      <c r="O3307" s="73"/>
      <c r="P3307" s="73"/>
      <c r="Q3307" s="73"/>
      <c r="R3307" s="111"/>
      <c r="S3307" s="75"/>
      <c r="T3307" s="73"/>
      <c r="X3307" s="189"/>
      <c r="Y3307" s="189"/>
      <c r="Z3307" s="100"/>
      <c r="AC3307" s="84"/>
      <c r="AD3307" s="189"/>
      <c r="AE3307" s="189"/>
      <c r="AF3307" s="189"/>
      <c r="AG3307" s="189"/>
      <c r="AH3307" s="189"/>
      <c r="AP3307" s="238"/>
    </row>
    <row r="3308" spans="3:42" s="45" customFormat="1" x14ac:dyDescent="0.2">
      <c r="C3308" s="189"/>
      <c r="F3308" s="73"/>
      <c r="M3308" s="111"/>
      <c r="N3308" s="73"/>
      <c r="O3308" s="73"/>
      <c r="P3308" s="73"/>
      <c r="Q3308" s="73"/>
      <c r="R3308" s="111"/>
      <c r="S3308" s="75"/>
      <c r="T3308" s="73"/>
      <c r="X3308" s="189"/>
      <c r="Y3308" s="189"/>
      <c r="Z3308" s="100"/>
      <c r="AC3308" s="84"/>
      <c r="AD3308" s="189"/>
      <c r="AE3308" s="189"/>
      <c r="AF3308" s="189"/>
      <c r="AG3308" s="189"/>
      <c r="AH3308" s="189"/>
      <c r="AP3308" s="238"/>
    </row>
    <row r="3309" spans="3:42" s="45" customFormat="1" x14ac:dyDescent="0.2">
      <c r="C3309" s="189"/>
      <c r="F3309" s="73"/>
      <c r="M3309" s="111"/>
      <c r="N3309" s="73"/>
      <c r="O3309" s="73"/>
      <c r="P3309" s="73"/>
      <c r="Q3309" s="73"/>
      <c r="R3309" s="111"/>
      <c r="S3309" s="75"/>
      <c r="T3309" s="73"/>
      <c r="X3309" s="189"/>
      <c r="Y3309" s="189"/>
      <c r="Z3309" s="100"/>
      <c r="AC3309" s="84"/>
      <c r="AD3309" s="189"/>
      <c r="AE3309" s="189"/>
      <c r="AF3309" s="189"/>
      <c r="AG3309" s="189"/>
      <c r="AH3309" s="189"/>
      <c r="AP3309" s="238"/>
    </row>
    <row r="3310" spans="3:42" s="45" customFormat="1" x14ac:dyDescent="0.2">
      <c r="C3310" s="189"/>
      <c r="F3310" s="73"/>
      <c r="M3310" s="111"/>
      <c r="N3310" s="73"/>
      <c r="O3310" s="73"/>
      <c r="P3310" s="73"/>
      <c r="Q3310" s="73"/>
      <c r="R3310" s="111"/>
      <c r="S3310" s="75"/>
      <c r="T3310" s="73"/>
      <c r="X3310" s="189"/>
      <c r="Y3310" s="189"/>
      <c r="Z3310" s="100"/>
      <c r="AC3310" s="84"/>
      <c r="AD3310" s="189"/>
      <c r="AE3310" s="189"/>
      <c r="AF3310" s="189"/>
      <c r="AG3310" s="189"/>
      <c r="AH3310" s="189"/>
      <c r="AP3310" s="238"/>
    </row>
    <row r="3311" spans="3:42" s="45" customFormat="1" x14ac:dyDescent="0.2">
      <c r="C3311" s="189"/>
      <c r="F3311" s="73"/>
      <c r="M3311" s="111"/>
      <c r="N3311" s="73"/>
      <c r="O3311" s="73"/>
      <c r="P3311" s="73"/>
      <c r="Q3311" s="73"/>
      <c r="R3311" s="111"/>
      <c r="S3311" s="75"/>
      <c r="T3311" s="73"/>
      <c r="X3311" s="189"/>
      <c r="Y3311" s="189"/>
      <c r="Z3311" s="100"/>
      <c r="AC3311" s="84"/>
      <c r="AD3311" s="189"/>
      <c r="AE3311" s="189"/>
      <c r="AF3311" s="189"/>
      <c r="AG3311" s="189"/>
      <c r="AH3311" s="189"/>
      <c r="AP3311" s="238"/>
    </row>
    <row r="3312" spans="3:42" s="45" customFormat="1" x14ac:dyDescent="0.2">
      <c r="C3312" s="189"/>
      <c r="F3312" s="73"/>
      <c r="M3312" s="111"/>
      <c r="N3312" s="73"/>
      <c r="O3312" s="73"/>
      <c r="P3312" s="73"/>
      <c r="Q3312" s="73"/>
      <c r="R3312" s="111"/>
      <c r="S3312" s="75"/>
      <c r="T3312" s="73"/>
      <c r="X3312" s="189"/>
      <c r="Y3312" s="189"/>
      <c r="Z3312" s="100"/>
      <c r="AC3312" s="84"/>
      <c r="AD3312" s="189"/>
      <c r="AE3312" s="189"/>
      <c r="AF3312" s="189"/>
      <c r="AG3312" s="189"/>
      <c r="AH3312" s="189"/>
      <c r="AP3312" s="238"/>
    </row>
    <row r="3313" spans="3:42" s="45" customFormat="1" x14ac:dyDescent="0.2">
      <c r="C3313" s="189"/>
      <c r="F3313" s="73"/>
      <c r="M3313" s="111"/>
      <c r="N3313" s="73"/>
      <c r="O3313" s="73"/>
      <c r="P3313" s="73"/>
      <c r="Q3313" s="73"/>
      <c r="R3313" s="111"/>
      <c r="S3313" s="75"/>
      <c r="T3313" s="73"/>
      <c r="X3313" s="189"/>
      <c r="Y3313" s="189"/>
      <c r="Z3313" s="100"/>
      <c r="AC3313" s="84"/>
      <c r="AD3313" s="189"/>
      <c r="AE3313" s="189"/>
      <c r="AF3313" s="189"/>
      <c r="AG3313" s="189"/>
      <c r="AH3313" s="189"/>
      <c r="AP3313" s="238"/>
    </row>
    <row r="3314" spans="3:42" s="45" customFormat="1" x14ac:dyDescent="0.2">
      <c r="C3314" s="189"/>
      <c r="F3314" s="73"/>
      <c r="M3314" s="111"/>
      <c r="N3314" s="73"/>
      <c r="O3314" s="73"/>
      <c r="P3314" s="73"/>
      <c r="Q3314" s="73"/>
      <c r="R3314" s="111"/>
      <c r="S3314" s="75"/>
      <c r="T3314" s="73"/>
      <c r="X3314" s="189"/>
      <c r="Y3314" s="189"/>
      <c r="Z3314" s="100"/>
      <c r="AC3314" s="84"/>
      <c r="AD3314" s="189"/>
      <c r="AE3314" s="189"/>
      <c r="AF3314" s="189"/>
      <c r="AG3314" s="189"/>
      <c r="AH3314" s="189"/>
      <c r="AP3314" s="238"/>
    </row>
    <row r="3315" spans="3:42" s="45" customFormat="1" x14ac:dyDescent="0.2">
      <c r="C3315" s="189"/>
      <c r="F3315" s="73"/>
      <c r="M3315" s="111"/>
      <c r="N3315" s="73"/>
      <c r="O3315" s="73"/>
      <c r="P3315" s="73"/>
      <c r="Q3315" s="73"/>
      <c r="R3315" s="111"/>
      <c r="S3315" s="75"/>
      <c r="T3315" s="73"/>
      <c r="X3315" s="189"/>
      <c r="Y3315" s="189"/>
      <c r="Z3315" s="100"/>
      <c r="AC3315" s="84"/>
      <c r="AD3315" s="189"/>
      <c r="AE3315" s="189"/>
      <c r="AF3315" s="189"/>
      <c r="AG3315" s="189"/>
      <c r="AH3315" s="189"/>
      <c r="AP3315" s="238"/>
    </row>
    <row r="3316" spans="3:42" s="45" customFormat="1" x14ac:dyDescent="0.2">
      <c r="C3316" s="189"/>
      <c r="F3316" s="73"/>
      <c r="M3316" s="111"/>
      <c r="N3316" s="73"/>
      <c r="O3316" s="73"/>
      <c r="P3316" s="73"/>
      <c r="Q3316" s="73"/>
      <c r="R3316" s="111"/>
      <c r="S3316" s="75"/>
      <c r="T3316" s="73"/>
      <c r="X3316" s="189"/>
      <c r="Y3316" s="189"/>
      <c r="Z3316" s="100"/>
      <c r="AC3316" s="84"/>
      <c r="AD3316" s="189"/>
      <c r="AE3316" s="189"/>
      <c r="AF3316" s="189"/>
      <c r="AG3316" s="189"/>
      <c r="AH3316" s="189"/>
      <c r="AP3316" s="238"/>
    </row>
    <row r="3317" spans="3:42" s="45" customFormat="1" x14ac:dyDescent="0.2">
      <c r="C3317" s="189"/>
      <c r="F3317" s="73"/>
      <c r="M3317" s="111"/>
      <c r="N3317" s="73"/>
      <c r="O3317" s="73"/>
      <c r="P3317" s="73"/>
      <c r="Q3317" s="73"/>
      <c r="R3317" s="111"/>
      <c r="S3317" s="75"/>
      <c r="T3317" s="73"/>
      <c r="X3317" s="189"/>
      <c r="Y3317" s="189"/>
      <c r="Z3317" s="100"/>
      <c r="AC3317" s="84"/>
      <c r="AD3317" s="189"/>
      <c r="AE3317" s="189"/>
      <c r="AF3317" s="189"/>
      <c r="AG3317" s="189"/>
      <c r="AH3317" s="189"/>
      <c r="AP3317" s="238"/>
    </row>
    <row r="3318" spans="3:42" s="45" customFormat="1" x14ac:dyDescent="0.2">
      <c r="C3318" s="189"/>
      <c r="F3318" s="73"/>
      <c r="M3318" s="111"/>
      <c r="N3318" s="73"/>
      <c r="O3318" s="73"/>
      <c r="P3318" s="73"/>
      <c r="Q3318" s="73"/>
      <c r="R3318" s="111"/>
      <c r="S3318" s="75"/>
      <c r="T3318" s="73"/>
      <c r="X3318" s="189"/>
      <c r="Y3318" s="189"/>
      <c r="Z3318" s="100"/>
      <c r="AC3318" s="84"/>
      <c r="AD3318" s="189"/>
      <c r="AE3318" s="189"/>
      <c r="AF3318" s="189"/>
      <c r="AG3318" s="189"/>
      <c r="AH3318" s="189"/>
      <c r="AP3318" s="238"/>
    </row>
    <row r="3319" spans="3:42" s="45" customFormat="1" x14ac:dyDescent="0.2">
      <c r="C3319" s="189"/>
      <c r="F3319" s="73"/>
      <c r="M3319" s="111"/>
      <c r="N3319" s="73"/>
      <c r="O3319" s="73"/>
      <c r="P3319" s="73"/>
      <c r="Q3319" s="73"/>
      <c r="R3319" s="111"/>
      <c r="S3319" s="75"/>
      <c r="T3319" s="73"/>
      <c r="X3319" s="189"/>
      <c r="Y3319" s="189"/>
      <c r="Z3319" s="100"/>
      <c r="AC3319" s="84"/>
      <c r="AD3319" s="189"/>
      <c r="AE3319" s="189"/>
      <c r="AF3319" s="189"/>
      <c r="AG3319" s="189"/>
      <c r="AH3319" s="189"/>
      <c r="AP3319" s="238"/>
    </row>
    <row r="3320" spans="3:42" s="45" customFormat="1" x14ac:dyDescent="0.2">
      <c r="C3320" s="189"/>
      <c r="F3320" s="73"/>
      <c r="M3320" s="111"/>
      <c r="N3320" s="73"/>
      <c r="O3320" s="73"/>
      <c r="P3320" s="73"/>
      <c r="Q3320" s="73"/>
      <c r="R3320" s="111"/>
      <c r="S3320" s="75"/>
      <c r="T3320" s="73"/>
      <c r="X3320" s="189"/>
      <c r="Y3320" s="189"/>
      <c r="Z3320" s="100"/>
      <c r="AC3320" s="84"/>
      <c r="AD3320" s="189"/>
      <c r="AE3320" s="189"/>
      <c r="AF3320" s="189"/>
      <c r="AG3320" s="189"/>
      <c r="AH3320" s="189"/>
      <c r="AP3320" s="238"/>
    </row>
    <row r="3321" spans="3:42" s="45" customFormat="1" x14ac:dyDescent="0.2">
      <c r="C3321" s="189"/>
      <c r="F3321" s="73"/>
      <c r="M3321" s="111"/>
      <c r="N3321" s="73"/>
      <c r="O3321" s="73"/>
      <c r="P3321" s="73"/>
      <c r="Q3321" s="73"/>
      <c r="R3321" s="111"/>
      <c r="S3321" s="75"/>
      <c r="T3321" s="73"/>
      <c r="X3321" s="189"/>
      <c r="Y3321" s="189"/>
      <c r="Z3321" s="100"/>
      <c r="AC3321" s="84"/>
      <c r="AD3321" s="189"/>
      <c r="AE3321" s="189"/>
      <c r="AF3321" s="189"/>
      <c r="AG3321" s="189"/>
      <c r="AH3321" s="189"/>
      <c r="AP3321" s="238"/>
    </row>
    <row r="3322" spans="3:42" s="45" customFormat="1" x14ac:dyDescent="0.2">
      <c r="C3322" s="189"/>
      <c r="F3322" s="73"/>
      <c r="M3322" s="111"/>
      <c r="N3322" s="73"/>
      <c r="O3322" s="73"/>
      <c r="P3322" s="73"/>
      <c r="Q3322" s="73"/>
      <c r="R3322" s="111"/>
      <c r="S3322" s="75"/>
      <c r="T3322" s="73"/>
      <c r="X3322" s="189"/>
      <c r="Y3322" s="189"/>
      <c r="Z3322" s="100"/>
      <c r="AC3322" s="84"/>
      <c r="AD3322" s="189"/>
      <c r="AE3322" s="189"/>
      <c r="AF3322" s="189"/>
      <c r="AG3322" s="189"/>
      <c r="AH3322" s="189"/>
      <c r="AP3322" s="238"/>
    </row>
    <row r="3323" spans="3:42" s="45" customFormat="1" x14ac:dyDescent="0.2">
      <c r="C3323" s="189"/>
      <c r="F3323" s="73"/>
      <c r="M3323" s="111"/>
      <c r="N3323" s="73"/>
      <c r="O3323" s="73"/>
      <c r="P3323" s="73"/>
      <c r="Q3323" s="73"/>
      <c r="R3323" s="111"/>
      <c r="S3323" s="75"/>
      <c r="T3323" s="73"/>
      <c r="X3323" s="189"/>
      <c r="Y3323" s="189"/>
      <c r="Z3323" s="100"/>
      <c r="AC3323" s="84"/>
      <c r="AD3323" s="189"/>
      <c r="AE3323" s="189"/>
      <c r="AF3323" s="189"/>
      <c r="AG3323" s="189"/>
      <c r="AH3323" s="189"/>
      <c r="AP3323" s="238"/>
    </row>
    <row r="3324" spans="3:42" s="45" customFormat="1" x14ac:dyDescent="0.2">
      <c r="C3324" s="189"/>
      <c r="F3324" s="73"/>
      <c r="M3324" s="111"/>
      <c r="N3324" s="73"/>
      <c r="O3324" s="73"/>
      <c r="P3324" s="73"/>
      <c r="Q3324" s="73"/>
      <c r="R3324" s="111"/>
      <c r="S3324" s="75"/>
      <c r="T3324" s="73"/>
      <c r="X3324" s="189"/>
      <c r="Y3324" s="189"/>
      <c r="Z3324" s="100"/>
      <c r="AC3324" s="84"/>
      <c r="AD3324" s="189"/>
      <c r="AE3324" s="189"/>
      <c r="AF3324" s="189"/>
      <c r="AG3324" s="189"/>
      <c r="AH3324" s="189"/>
      <c r="AP3324" s="238"/>
    </row>
    <row r="3325" spans="3:42" s="45" customFormat="1" x14ac:dyDescent="0.2">
      <c r="C3325" s="189"/>
      <c r="F3325" s="73"/>
      <c r="M3325" s="111"/>
      <c r="N3325" s="73"/>
      <c r="O3325" s="73"/>
      <c r="P3325" s="73"/>
      <c r="Q3325" s="73"/>
      <c r="R3325" s="111"/>
      <c r="S3325" s="75"/>
      <c r="T3325" s="73"/>
      <c r="X3325" s="189"/>
      <c r="Y3325" s="189"/>
      <c r="Z3325" s="100"/>
      <c r="AC3325" s="84"/>
      <c r="AD3325" s="189"/>
      <c r="AE3325" s="189"/>
      <c r="AF3325" s="189"/>
      <c r="AG3325" s="189"/>
      <c r="AH3325" s="189"/>
      <c r="AP3325" s="238"/>
    </row>
    <row r="3326" spans="3:42" s="45" customFormat="1" x14ac:dyDescent="0.2">
      <c r="C3326" s="189"/>
      <c r="F3326" s="73"/>
      <c r="M3326" s="111"/>
      <c r="N3326" s="73"/>
      <c r="O3326" s="73"/>
      <c r="P3326" s="73"/>
      <c r="Q3326" s="73"/>
      <c r="R3326" s="111"/>
      <c r="S3326" s="75"/>
      <c r="T3326" s="73"/>
      <c r="X3326" s="189"/>
      <c r="Y3326" s="189"/>
      <c r="Z3326" s="100"/>
      <c r="AC3326" s="84"/>
      <c r="AD3326" s="189"/>
      <c r="AE3326" s="189"/>
      <c r="AF3326" s="189"/>
      <c r="AG3326" s="189"/>
      <c r="AH3326" s="189"/>
      <c r="AP3326" s="238"/>
    </row>
    <row r="3327" spans="3:42" s="45" customFormat="1" x14ac:dyDescent="0.2">
      <c r="C3327" s="189"/>
      <c r="F3327" s="73"/>
      <c r="M3327" s="111"/>
      <c r="N3327" s="73"/>
      <c r="O3327" s="73"/>
      <c r="P3327" s="73"/>
      <c r="Q3327" s="73"/>
      <c r="R3327" s="111"/>
      <c r="S3327" s="75"/>
      <c r="T3327" s="73"/>
      <c r="X3327" s="189"/>
      <c r="Y3327" s="189"/>
      <c r="Z3327" s="100"/>
      <c r="AC3327" s="84"/>
      <c r="AD3327" s="189"/>
      <c r="AE3327" s="189"/>
      <c r="AF3327" s="189"/>
      <c r="AG3327" s="189"/>
      <c r="AH3327" s="189"/>
      <c r="AP3327" s="238"/>
    </row>
    <row r="3328" spans="3:42" s="45" customFormat="1" x14ac:dyDescent="0.2">
      <c r="C3328" s="189"/>
      <c r="F3328" s="73"/>
      <c r="M3328" s="111"/>
      <c r="N3328" s="73"/>
      <c r="O3328" s="73"/>
      <c r="P3328" s="73"/>
      <c r="Q3328" s="73"/>
      <c r="R3328" s="111"/>
      <c r="S3328" s="75"/>
      <c r="T3328" s="73"/>
      <c r="X3328" s="189"/>
      <c r="Y3328" s="189"/>
      <c r="Z3328" s="100"/>
      <c r="AC3328" s="84"/>
      <c r="AD3328" s="189"/>
      <c r="AE3328" s="189"/>
      <c r="AF3328" s="189"/>
      <c r="AG3328" s="189"/>
      <c r="AH3328" s="189"/>
      <c r="AP3328" s="238"/>
    </row>
    <row r="3329" spans="3:42" s="45" customFormat="1" x14ac:dyDescent="0.2">
      <c r="C3329" s="189"/>
      <c r="F3329" s="73"/>
      <c r="M3329" s="111"/>
      <c r="N3329" s="73"/>
      <c r="O3329" s="73"/>
      <c r="P3329" s="73"/>
      <c r="Q3329" s="73"/>
      <c r="R3329" s="111"/>
      <c r="S3329" s="75"/>
      <c r="T3329" s="73"/>
      <c r="X3329" s="189"/>
      <c r="Y3329" s="189"/>
      <c r="Z3329" s="100"/>
      <c r="AC3329" s="84"/>
      <c r="AD3329" s="189"/>
      <c r="AE3329" s="189"/>
      <c r="AF3329" s="189"/>
      <c r="AG3329" s="189"/>
      <c r="AH3329" s="189"/>
      <c r="AP3329" s="238"/>
    </row>
    <row r="3330" spans="3:42" s="45" customFormat="1" x14ac:dyDescent="0.2">
      <c r="C3330" s="189"/>
      <c r="F3330" s="73"/>
      <c r="M3330" s="111"/>
      <c r="N3330" s="73"/>
      <c r="O3330" s="73"/>
      <c r="P3330" s="73"/>
      <c r="Q3330" s="73"/>
      <c r="R3330" s="111"/>
      <c r="S3330" s="75"/>
      <c r="T3330" s="73"/>
      <c r="X3330" s="189"/>
      <c r="Y3330" s="189"/>
      <c r="Z3330" s="100"/>
      <c r="AC3330" s="84"/>
      <c r="AD3330" s="189"/>
      <c r="AE3330" s="189"/>
      <c r="AF3330" s="189"/>
      <c r="AG3330" s="189"/>
      <c r="AH3330" s="189"/>
      <c r="AP3330" s="238"/>
    </row>
    <row r="3331" spans="3:42" s="45" customFormat="1" x14ac:dyDescent="0.2">
      <c r="C3331" s="189"/>
      <c r="F3331" s="73"/>
      <c r="M3331" s="111"/>
      <c r="N3331" s="73"/>
      <c r="O3331" s="73"/>
      <c r="P3331" s="73"/>
      <c r="Q3331" s="73"/>
      <c r="R3331" s="111"/>
      <c r="S3331" s="75"/>
      <c r="T3331" s="73"/>
      <c r="X3331" s="189"/>
      <c r="Y3331" s="189"/>
      <c r="Z3331" s="100"/>
      <c r="AC3331" s="84"/>
      <c r="AD3331" s="189"/>
      <c r="AE3331" s="189"/>
      <c r="AF3331" s="189"/>
      <c r="AG3331" s="189"/>
      <c r="AH3331" s="189"/>
      <c r="AP3331" s="238"/>
    </row>
    <row r="3332" spans="3:42" s="45" customFormat="1" x14ac:dyDescent="0.2">
      <c r="C3332" s="189"/>
      <c r="F3332" s="73"/>
      <c r="M3332" s="111"/>
      <c r="N3332" s="73"/>
      <c r="O3332" s="73"/>
      <c r="P3332" s="73"/>
      <c r="Q3332" s="73"/>
      <c r="R3332" s="111"/>
      <c r="S3332" s="75"/>
      <c r="T3332" s="73"/>
      <c r="X3332" s="189"/>
      <c r="Y3332" s="189"/>
      <c r="Z3332" s="100"/>
      <c r="AC3332" s="84"/>
      <c r="AD3332" s="189"/>
      <c r="AE3332" s="189"/>
      <c r="AF3332" s="189"/>
      <c r="AG3332" s="189"/>
      <c r="AH3332" s="189"/>
      <c r="AP3332" s="238"/>
    </row>
    <row r="3333" spans="3:42" s="45" customFormat="1" x14ac:dyDescent="0.2">
      <c r="C3333" s="189"/>
      <c r="F3333" s="73"/>
      <c r="M3333" s="111"/>
      <c r="N3333" s="73"/>
      <c r="O3333" s="73"/>
      <c r="P3333" s="73"/>
      <c r="Q3333" s="73"/>
      <c r="R3333" s="111"/>
      <c r="S3333" s="75"/>
      <c r="T3333" s="73"/>
      <c r="X3333" s="189"/>
      <c r="Y3333" s="189"/>
      <c r="Z3333" s="100"/>
      <c r="AC3333" s="84"/>
      <c r="AD3333" s="189"/>
      <c r="AE3333" s="189"/>
      <c r="AF3333" s="189"/>
      <c r="AG3333" s="189"/>
      <c r="AH3333" s="189"/>
      <c r="AP3333" s="238"/>
    </row>
    <row r="3334" spans="3:42" s="45" customFormat="1" x14ac:dyDescent="0.2">
      <c r="C3334" s="189"/>
      <c r="F3334" s="73"/>
      <c r="M3334" s="111"/>
      <c r="N3334" s="73"/>
      <c r="O3334" s="73"/>
      <c r="P3334" s="73"/>
      <c r="Q3334" s="73"/>
      <c r="R3334" s="111"/>
      <c r="S3334" s="75"/>
      <c r="T3334" s="73"/>
      <c r="X3334" s="189"/>
      <c r="Y3334" s="189"/>
      <c r="Z3334" s="100"/>
      <c r="AC3334" s="84"/>
      <c r="AD3334" s="189"/>
      <c r="AE3334" s="189"/>
      <c r="AF3334" s="189"/>
      <c r="AG3334" s="189"/>
      <c r="AH3334" s="189"/>
      <c r="AP3334" s="238"/>
    </row>
    <row r="3335" spans="3:42" s="45" customFormat="1" x14ac:dyDescent="0.2">
      <c r="C3335" s="189"/>
      <c r="F3335" s="73"/>
      <c r="M3335" s="111"/>
      <c r="N3335" s="73"/>
      <c r="O3335" s="73"/>
      <c r="P3335" s="73"/>
      <c r="Q3335" s="73"/>
      <c r="R3335" s="111"/>
      <c r="S3335" s="75"/>
      <c r="T3335" s="73"/>
      <c r="X3335" s="189"/>
      <c r="Y3335" s="189"/>
      <c r="Z3335" s="100"/>
      <c r="AC3335" s="84"/>
      <c r="AD3335" s="189"/>
      <c r="AE3335" s="189"/>
      <c r="AF3335" s="189"/>
      <c r="AG3335" s="189"/>
      <c r="AH3335" s="189"/>
      <c r="AP3335" s="238"/>
    </row>
    <row r="3336" spans="3:42" s="45" customFormat="1" x14ac:dyDescent="0.2">
      <c r="C3336" s="189"/>
      <c r="F3336" s="73"/>
      <c r="M3336" s="111"/>
      <c r="N3336" s="73"/>
      <c r="O3336" s="73"/>
      <c r="P3336" s="73"/>
      <c r="Q3336" s="73"/>
      <c r="R3336" s="111"/>
      <c r="S3336" s="75"/>
      <c r="T3336" s="73"/>
      <c r="X3336" s="189"/>
      <c r="Y3336" s="189"/>
      <c r="Z3336" s="100"/>
      <c r="AC3336" s="84"/>
      <c r="AD3336" s="189"/>
      <c r="AE3336" s="189"/>
      <c r="AF3336" s="189"/>
      <c r="AG3336" s="189"/>
      <c r="AH3336" s="189"/>
      <c r="AP3336" s="238"/>
    </row>
    <row r="3337" spans="3:42" s="45" customFormat="1" x14ac:dyDescent="0.2">
      <c r="C3337" s="189"/>
      <c r="F3337" s="73"/>
      <c r="M3337" s="111"/>
      <c r="N3337" s="73"/>
      <c r="O3337" s="73"/>
      <c r="P3337" s="73"/>
      <c r="Q3337" s="73"/>
      <c r="R3337" s="111"/>
      <c r="S3337" s="75"/>
      <c r="T3337" s="73"/>
      <c r="X3337" s="189"/>
      <c r="Y3337" s="189"/>
      <c r="Z3337" s="100"/>
      <c r="AC3337" s="84"/>
      <c r="AD3337" s="189"/>
      <c r="AE3337" s="189"/>
      <c r="AF3337" s="189"/>
      <c r="AG3337" s="189"/>
      <c r="AH3337" s="189"/>
      <c r="AP3337" s="238"/>
    </row>
    <row r="3338" spans="3:42" s="45" customFormat="1" x14ac:dyDescent="0.2">
      <c r="C3338" s="189"/>
      <c r="F3338" s="73"/>
      <c r="M3338" s="111"/>
      <c r="N3338" s="73"/>
      <c r="O3338" s="73"/>
      <c r="P3338" s="73"/>
      <c r="Q3338" s="73"/>
      <c r="R3338" s="111"/>
      <c r="S3338" s="75"/>
      <c r="T3338" s="73"/>
      <c r="X3338" s="189"/>
      <c r="Y3338" s="189"/>
      <c r="Z3338" s="100"/>
      <c r="AC3338" s="84"/>
      <c r="AD3338" s="189"/>
      <c r="AE3338" s="189"/>
      <c r="AF3338" s="189"/>
      <c r="AG3338" s="189"/>
      <c r="AH3338" s="189"/>
      <c r="AP3338" s="238"/>
    </row>
    <row r="3339" spans="3:42" s="45" customFormat="1" x14ac:dyDescent="0.2">
      <c r="C3339" s="189"/>
      <c r="F3339" s="73"/>
      <c r="M3339" s="111"/>
      <c r="N3339" s="73"/>
      <c r="O3339" s="73"/>
      <c r="P3339" s="73"/>
      <c r="Q3339" s="73"/>
      <c r="R3339" s="111"/>
      <c r="S3339" s="75"/>
      <c r="T3339" s="73"/>
      <c r="X3339" s="189"/>
      <c r="Y3339" s="189"/>
      <c r="Z3339" s="100"/>
      <c r="AC3339" s="84"/>
      <c r="AD3339" s="189"/>
      <c r="AE3339" s="189"/>
      <c r="AF3339" s="189"/>
      <c r="AG3339" s="189"/>
      <c r="AH3339" s="189"/>
      <c r="AP3339" s="238"/>
    </row>
    <row r="3340" spans="3:42" s="45" customFormat="1" x14ac:dyDescent="0.2">
      <c r="C3340" s="189"/>
      <c r="F3340" s="73"/>
      <c r="M3340" s="111"/>
      <c r="N3340" s="73"/>
      <c r="O3340" s="73"/>
      <c r="P3340" s="73"/>
      <c r="Q3340" s="73"/>
      <c r="R3340" s="111"/>
      <c r="S3340" s="75"/>
      <c r="T3340" s="73"/>
      <c r="X3340" s="189"/>
      <c r="Y3340" s="189"/>
      <c r="Z3340" s="100"/>
      <c r="AC3340" s="84"/>
      <c r="AD3340" s="189"/>
      <c r="AE3340" s="189"/>
      <c r="AF3340" s="189"/>
      <c r="AG3340" s="189"/>
      <c r="AH3340" s="189"/>
      <c r="AP3340" s="238"/>
    </row>
    <row r="3341" spans="3:42" s="45" customFormat="1" x14ac:dyDescent="0.2">
      <c r="C3341" s="189"/>
      <c r="F3341" s="73"/>
      <c r="M3341" s="111"/>
      <c r="N3341" s="73"/>
      <c r="O3341" s="73"/>
      <c r="P3341" s="73"/>
      <c r="Q3341" s="73"/>
      <c r="R3341" s="111"/>
      <c r="S3341" s="75"/>
      <c r="T3341" s="73"/>
      <c r="X3341" s="189"/>
      <c r="Y3341" s="189"/>
      <c r="Z3341" s="100"/>
      <c r="AC3341" s="84"/>
      <c r="AD3341" s="189"/>
      <c r="AE3341" s="189"/>
      <c r="AF3341" s="189"/>
      <c r="AG3341" s="189"/>
      <c r="AH3341" s="189"/>
      <c r="AP3341" s="238"/>
    </row>
    <row r="3342" spans="3:42" s="45" customFormat="1" x14ac:dyDescent="0.2">
      <c r="C3342" s="189"/>
      <c r="F3342" s="73"/>
      <c r="M3342" s="111"/>
      <c r="N3342" s="73"/>
      <c r="O3342" s="73"/>
      <c r="P3342" s="73"/>
      <c r="Q3342" s="73"/>
      <c r="R3342" s="111"/>
      <c r="S3342" s="75"/>
      <c r="T3342" s="73"/>
      <c r="X3342" s="189"/>
      <c r="Y3342" s="189"/>
      <c r="Z3342" s="100"/>
      <c r="AC3342" s="84"/>
      <c r="AD3342" s="189"/>
      <c r="AE3342" s="189"/>
      <c r="AF3342" s="189"/>
      <c r="AG3342" s="189"/>
      <c r="AH3342" s="189"/>
      <c r="AP3342" s="238"/>
    </row>
    <row r="3343" spans="3:42" s="45" customFormat="1" x14ac:dyDescent="0.2">
      <c r="C3343" s="189"/>
      <c r="F3343" s="73"/>
      <c r="M3343" s="111"/>
      <c r="N3343" s="73"/>
      <c r="O3343" s="73"/>
      <c r="P3343" s="73"/>
      <c r="Q3343" s="73"/>
      <c r="R3343" s="111"/>
      <c r="S3343" s="75"/>
      <c r="T3343" s="73"/>
      <c r="X3343" s="189"/>
      <c r="Y3343" s="189"/>
      <c r="Z3343" s="100"/>
      <c r="AC3343" s="84"/>
      <c r="AD3343" s="189"/>
      <c r="AE3343" s="189"/>
      <c r="AF3343" s="189"/>
      <c r="AG3343" s="189"/>
      <c r="AH3343" s="189"/>
      <c r="AP3343" s="238"/>
    </row>
    <row r="3344" spans="3:42" s="45" customFormat="1" x14ac:dyDescent="0.2">
      <c r="C3344" s="189"/>
      <c r="F3344" s="73"/>
      <c r="M3344" s="111"/>
      <c r="N3344" s="73"/>
      <c r="O3344" s="73"/>
      <c r="P3344" s="73"/>
      <c r="Q3344" s="73"/>
      <c r="R3344" s="111"/>
      <c r="S3344" s="75"/>
      <c r="T3344" s="73"/>
      <c r="X3344" s="189"/>
      <c r="Y3344" s="189"/>
      <c r="Z3344" s="100"/>
      <c r="AC3344" s="84"/>
      <c r="AD3344" s="189"/>
      <c r="AE3344" s="189"/>
      <c r="AF3344" s="189"/>
      <c r="AG3344" s="189"/>
      <c r="AH3344" s="189"/>
      <c r="AP3344" s="238"/>
    </row>
    <row r="3345" spans="3:42" s="45" customFormat="1" x14ac:dyDescent="0.2">
      <c r="C3345" s="189"/>
      <c r="F3345" s="73"/>
      <c r="M3345" s="111"/>
      <c r="N3345" s="73"/>
      <c r="O3345" s="73"/>
      <c r="P3345" s="73"/>
      <c r="Q3345" s="73"/>
      <c r="R3345" s="111"/>
      <c r="S3345" s="75"/>
      <c r="T3345" s="73"/>
      <c r="X3345" s="189"/>
      <c r="Y3345" s="189"/>
      <c r="Z3345" s="100"/>
      <c r="AC3345" s="84"/>
      <c r="AD3345" s="189"/>
      <c r="AE3345" s="189"/>
      <c r="AF3345" s="189"/>
      <c r="AG3345" s="189"/>
      <c r="AH3345" s="189"/>
      <c r="AP3345" s="238"/>
    </row>
    <row r="3346" spans="3:42" s="45" customFormat="1" x14ac:dyDescent="0.2">
      <c r="C3346" s="189"/>
      <c r="F3346" s="73"/>
      <c r="M3346" s="111"/>
      <c r="N3346" s="73"/>
      <c r="O3346" s="73"/>
      <c r="P3346" s="73"/>
      <c r="Q3346" s="73"/>
      <c r="R3346" s="111"/>
      <c r="S3346" s="75"/>
      <c r="T3346" s="73"/>
      <c r="X3346" s="189"/>
      <c r="Y3346" s="189"/>
      <c r="Z3346" s="100"/>
      <c r="AC3346" s="84"/>
      <c r="AD3346" s="189"/>
      <c r="AE3346" s="189"/>
      <c r="AF3346" s="189"/>
      <c r="AG3346" s="189"/>
      <c r="AH3346" s="189"/>
      <c r="AP3346" s="238"/>
    </row>
    <row r="3347" spans="3:42" s="45" customFormat="1" x14ac:dyDescent="0.2">
      <c r="C3347" s="189"/>
      <c r="F3347" s="73"/>
      <c r="M3347" s="111"/>
      <c r="N3347" s="73"/>
      <c r="O3347" s="73"/>
      <c r="P3347" s="73"/>
      <c r="Q3347" s="73"/>
      <c r="R3347" s="111"/>
      <c r="S3347" s="75"/>
      <c r="T3347" s="73"/>
      <c r="X3347" s="189"/>
      <c r="Y3347" s="189"/>
      <c r="Z3347" s="100"/>
      <c r="AC3347" s="84"/>
      <c r="AD3347" s="189"/>
      <c r="AE3347" s="189"/>
      <c r="AF3347" s="189"/>
      <c r="AG3347" s="189"/>
      <c r="AH3347" s="189"/>
      <c r="AP3347" s="238"/>
    </row>
    <row r="3348" spans="3:42" s="45" customFormat="1" x14ac:dyDescent="0.2">
      <c r="C3348" s="189"/>
      <c r="F3348" s="73"/>
      <c r="M3348" s="111"/>
      <c r="N3348" s="73"/>
      <c r="O3348" s="73"/>
      <c r="P3348" s="73"/>
      <c r="Q3348" s="73"/>
      <c r="R3348" s="111"/>
      <c r="S3348" s="75"/>
      <c r="T3348" s="73"/>
      <c r="X3348" s="189"/>
      <c r="Y3348" s="189"/>
      <c r="Z3348" s="100"/>
      <c r="AC3348" s="84"/>
      <c r="AD3348" s="189"/>
      <c r="AE3348" s="189"/>
      <c r="AF3348" s="189"/>
      <c r="AG3348" s="189"/>
      <c r="AH3348" s="189"/>
      <c r="AP3348" s="238"/>
    </row>
    <row r="3349" spans="3:42" s="45" customFormat="1" x14ac:dyDescent="0.2">
      <c r="C3349" s="189"/>
      <c r="F3349" s="73"/>
      <c r="M3349" s="111"/>
      <c r="N3349" s="73"/>
      <c r="O3349" s="73"/>
      <c r="P3349" s="73"/>
      <c r="Q3349" s="73"/>
      <c r="R3349" s="111"/>
      <c r="S3349" s="75"/>
      <c r="T3349" s="73"/>
      <c r="X3349" s="189"/>
      <c r="Y3349" s="189"/>
      <c r="Z3349" s="100"/>
      <c r="AC3349" s="84"/>
      <c r="AD3349" s="189"/>
      <c r="AE3349" s="189"/>
      <c r="AF3349" s="189"/>
      <c r="AG3349" s="189"/>
      <c r="AH3349" s="189"/>
      <c r="AP3349" s="238"/>
    </row>
    <row r="3350" spans="3:42" s="45" customFormat="1" x14ac:dyDescent="0.2">
      <c r="C3350" s="189"/>
      <c r="F3350" s="73"/>
      <c r="M3350" s="111"/>
      <c r="N3350" s="73"/>
      <c r="O3350" s="73"/>
      <c r="P3350" s="73"/>
      <c r="Q3350" s="73"/>
      <c r="R3350" s="111"/>
      <c r="S3350" s="75"/>
      <c r="T3350" s="73"/>
      <c r="X3350" s="189"/>
      <c r="Y3350" s="189"/>
      <c r="Z3350" s="100"/>
      <c r="AC3350" s="84"/>
      <c r="AD3350" s="189"/>
      <c r="AE3350" s="189"/>
      <c r="AF3350" s="189"/>
      <c r="AG3350" s="189"/>
      <c r="AH3350" s="189"/>
      <c r="AP3350" s="238"/>
    </row>
    <row r="3351" spans="3:42" s="45" customFormat="1" x14ac:dyDescent="0.2">
      <c r="C3351" s="189"/>
      <c r="F3351" s="73"/>
      <c r="M3351" s="111"/>
      <c r="N3351" s="73"/>
      <c r="O3351" s="73"/>
      <c r="P3351" s="73"/>
      <c r="Q3351" s="73"/>
      <c r="R3351" s="111"/>
      <c r="S3351" s="75"/>
      <c r="T3351" s="73"/>
      <c r="X3351" s="189"/>
      <c r="Y3351" s="189"/>
      <c r="Z3351" s="100"/>
      <c r="AC3351" s="84"/>
      <c r="AD3351" s="189"/>
      <c r="AE3351" s="189"/>
      <c r="AF3351" s="189"/>
      <c r="AG3351" s="189"/>
      <c r="AH3351" s="189"/>
      <c r="AP3351" s="238"/>
    </row>
    <row r="3352" spans="3:42" s="45" customFormat="1" x14ac:dyDescent="0.2">
      <c r="C3352" s="189"/>
      <c r="F3352" s="73"/>
      <c r="M3352" s="111"/>
      <c r="N3352" s="73"/>
      <c r="O3352" s="73"/>
      <c r="P3352" s="73"/>
      <c r="Q3352" s="73"/>
      <c r="R3352" s="111"/>
      <c r="S3352" s="75"/>
      <c r="T3352" s="73"/>
      <c r="X3352" s="189"/>
      <c r="Y3352" s="189"/>
      <c r="Z3352" s="100"/>
      <c r="AC3352" s="84"/>
      <c r="AD3352" s="189"/>
      <c r="AE3352" s="189"/>
      <c r="AF3352" s="189"/>
      <c r="AG3352" s="189"/>
      <c r="AH3352" s="189"/>
      <c r="AP3352" s="238"/>
    </row>
    <row r="3353" spans="3:42" s="45" customFormat="1" x14ac:dyDescent="0.2">
      <c r="C3353" s="189"/>
      <c r="F3353" s="73"/>
      <c r="M3353" s="111"/>
      <c r="N3353" s="73"/>
      <c r="O3353" s="73"/>
      <c r="P3353" s="73"/>
      <c r="Q3353" s="73"/>
      <c r="R3353" s="111"/>
      <c r="S3353" s="75"/>
      <c r="T3353" s="73"/>
      <c r="X3353" s="189"/>
      <c r="Y3353" s="189"/>
      <c r="Z3353" s="100"/>
      <c r="AC3353" s="84"/>
      <c r="AD3353" s="189"/>
      <c r="AE3353" s="189"/>
      <c r="AF3353" s="189"/>
      <c r="AG3353" s="189"/>
      <c r="AH3353" s="189"/>
      <c r="AP3353" s="238"/>
    </row>
    <row r="3354" spans="3:42" s="45" customFormat="1" x14ac:dyDescent="0.2">
      <c r="C3354" s="189"/>
      <c r="F3354" s="73"/>
      <c r="M3354" s="111"/>
      <c r="N3354" s="73"/>
      <c r="O3354" s="73"/>
      <c r="P3354" s="73"/>
      <c r="Q3354" s="73"/>
      <c r="R3354" s="111"/>
      <c r="S3354" s="75"/>
      <c r="T3354" s="73"/>
      <c r="X3354" s="189"/>
      <c r="Y3354" s="189"/>
      <c r="Z3354" s="100"/>
      <c r="AC3354" s="84"/>
      <c r="AD3354" s="189"/>
      <c r="AE3354" s="189"/>
      <c r="AF3354" s="189"/>
      <c r="AG3354" s="189"/>
      <c r="AH3354" s="189"/>
      <c r="AP3354" s="238"/>
    </row>
    <row r="3355" spans="3:42" s="45" customFormat="1" x14ac:dyDescent="0.2">
      <c r="C3355" s="189"/>
      <c r="F3355" s="73"/>
      <c r="M3355" s="111"/>
      <c r="N3355" s="73"/>
      <c r="O3355" s="73"/>
      <c r="P3355" s="73"/>
      <c r="Q3355" s="73"/>
      <c r="R3355" s="111"/>
      <c r="S3355" s="75"/>
      <c r="T3355" s="73"/>
      <c r="X3355" s="189"/>
      <c r="Y3355" s="189"/>
      <c r="Z3355" s="100"/>
      <c r="AC3355" s="84"/>
      <c r="AD3355" s="189"/>
      <c r="AE3355" s="189"/>
      <c r="AF3355" s="189"/>
      <c r="AG3355" s="189"/>
      <c r="AH3355" s="189"/>
      <c r="AP3355" s="238"/>
    </row>
    <row r="3356" spans="3:42" s="45" customFormat="1" x14ac:dyDescent="0.2">
      <c r="C3356" s="189"/>
      <c r="F3356" s="73"/>
      <c r="M3356" s="111"/>
      <c r="N3356" s="73"/>
      <c r="O3356" s="73"/>
      <c r="P3356" s="73"/>
      <c r="Q3356" s="73"/>
      <c r="R3356" s="111"/>
      <c r="S3356" s="75"/>
      <c r="T3356" s="73"/>
      <c r="X3356" s="189"/>
      <c r="Y3356" s="189"/>
      <c r="Z3356" s="100"/>
      <c r="AC3356" s="84"/>
      <c r="AD3356" s="189"/>
      <c r="AE3356" s="189"/>
      <c r="AF3356" s="189"/>
      <c r="AG3356" s="189"/>
      <c r="AH3356" s="189"/>
      <c r="AP3356" s="238"/>
    </row>
    <row r="3357" spans="3:42" s="45" customFormat="1" x14ac:dyDescent="0.2">
      <c r="C3357" s="189"/>
      <c r="F3357" s="73"/>
      <c r="M3357" s="111"/>
      <c r="N3357" s="73"/>
      <c r="O3357" s="73"/>
      <c r="P3357" s="73"/>
      <c r="Q3357" s="73"/>
      <c r="R3357" s="111"/>
      <c r="S3357" s="75"/>
      <c r="T3357" s="73"/>
      <c r="X3357" s="189"/>
      <c r="Y3357" s="189"/>
      <c r="Z3357" s="100"/>
      <c r="AC3357" s="84"/>
      <c r="AD3357" s="189"/>
      <c r="AE3357" s="189"/>
      <c r="AF3357" s="189"/>
      <c r="AG3357" s="189"/>
      <c r="AH3357" s="189"/>
      <c r="AP3357" s="238"/>
    </row>
    <row r="3358" spans="3:42" s="45" customFormat="1" x14ac:dyDescent="0.2">
      <c r="C3358" s="189"/>
      <c r="F3358" s="73"/>
      <c r="M3358" s="111"/>
      <c r="N3358" s="73"/>
      <c r="O3358" s="73"/>
      <c r="P3358" s="73"/>
      <c r="Q3358" s="73"/>
      <c r="R3358" s="111"/>
      <c r="S3358" s="75"/>
      <c r="T3358" s="73"/>
      <c r="X3358" s="189"/>
      <c r="Y3358" s="189"/>
      <c r="Z3358" s="100"/>
      <c r="AC3358" s="84"/>
      <c r="AD3358" s="189"/>
      <c r="AE3358" s="189"/>
      <c r="AF3358" s="189"/>
      <c r="AG3358" s="189"/>
      <c r="AH3358" s="189"/>
      <c r="AP3358" s="238"/>
    </row>
    <row r="3359" spans="3:42" s="45" customFormat="1" x14ac:dyDescent="0.2">
      <c r="C3359" s="189"/>
      <c r="F3359" s="73"/>
      <c r="M3359" s="111"/>
      <c r="N3359" s="73"/>
      <c r="O3359" s="73"/>
      <c r="P3359" s="73"/>
      <c r="Q3359" s="73"/>
      <c r="R3359" s="111"/>
      <c r="S3359" s="75"/>
      <c r="T3359" s="73"/>
      <c r="X3359" s="189"/>
      <c r="Y3359" s="189"/>
      <c r="Z3359" s="100"/>
      <c r="AC3359" s="84"/>
      <c r="AD3359" s="189"/>
      <c r="AE3359" s="189"/>
      <c r="AF3359" s="189"/>
      <c r="AG3359" s="189"/>
      <c r="AH3359" s="189"/>
      <c r="AP3359" s="238"/>
    </row>
    <row r="3360" spans="3:42" s="45" customFormat="1" x14ac:dyDescent="0.2">
      <c r="C3360" s="189"/>
      <c r="F3360" s="73"/>
      <c r="M3360" s="111"/>
      <c r="N3360" s="73"/>
      <c r="O3360" s="73"/>
      <c r="P3360" s="73"/>
      <c r="Q3360" s="73"/>
      <c r="R3360" s="111"/>
      <c r="S3360" s="75"/>
      <c r="T3360" s="73"/>
      <c r="X3360" s="189"/>
      <c r="Y3360" s="189"/>
      <c r="Z3360" s="100"/>
      <c r="AC3360" s="84"/>
      <c r="AD3360" s="189"/>
      <c r="AE3360" s="189"/>
      <c r="AF3360" s="189"/>
      <c r="AG3360" s="189"/>
      <c r="AH3360" s="189"/>
      <c r="AP3360" s="238"/>
    </row>
    <row r="3361" spans="3:42" s="45" customFormat="1" x14ac:dyDescent="0.2">
      <c r="C3361" s="189"/>
      <c r="F3361" s="73"/>
      <c r="M3361" s="111"/>
      <c r="N3361" s="73"/>
      <c r="O3361" s="73"/>
      <c r="P3361" s="73"/>
      <c r="Q3361" s="73"/>
      <c r="R3361" s="111"/>
      <c r="S3361" s="75"/>
      <c r="T3361" s="73"/>
      <c r="X3361" s="189"/>
      <c r="Y3361" s="189"/>
      <c r="Z3361" s="100"/>
      <c r="AC3361" s="84"/>
      <c r="AD3361" s="189"/>
      <c r="AE3361" s="189"/>
      <c r="AF3361" s="189"/>
      <c r="AG3361" s="189"/>
      <c r="AH3361" s="189"/>
      <c r="AP3361" s="238"/>
    </row>
    <row r="3362" spans="3:42" s="45" customFormat="1" x14ac:dyDescent="0.2">
      <c r="C3362" s="189"/>
      <c r="F3362" s="73"/>
      <c r="M3362" s="111"/>
      <c r="N3362" s="73"/>
      <c r="O3362" s="73"/>
      <c r="P3362" s="73"/>
      <c r="Q3362" s="73"/>
      <c r="R3362" s="111"/>
      <c r="S3362" s="75"/>
      <c r="T3362" s="73"/>
      <c r="X3362" s="189"/>
      <c r="Y3362" s="189"/>
      <c r="Z3362" s="100"/>
      <c r="AC3362" s="84"/>
      <c r="AD3362" s="189"/>
      <c r="AE3362" s="189"/>
      <c r="AF3362" s="189"/>
      <c r="AG3362" s="189"/>
      <c r="AH3362" s="189"/>
      <c r="AP3362" s="238"/>
    </row>
    <row r="3363" spans="3:42" s="45" customFormat="1" x14ac:dyDescent="0.2">
      <c r="C3363" s="189"/>
      <c r="F3363" s="73"/>
      <c r="M3363" s="111"/>
      <c r="N3363" s="73"/>
      <c r="O3363" s="73"/>
      <c r="P3363" s="73"/>
      <c r="Q3363" s="73"/>
      <c r="R3363" s="111"/>
      <c r="S3363" s="75"/>
      <c r="T3363" s="73"/>
      <c r="X3363" s="189"/>
      <c r="Y3363" s="189"/>
      <c r="Z3363" s="100"/>
      <c r="AC3363" s="84"/>
      <c r="AD3363" s="189"/>
      <c r="AE3363" s="189"/>
      <c r="AF3363" s="189"/>
      <c r="AG3363" s="189"/>
      <c r="AH3363" s="189"/>
      <c r="AP3363" s="238"/>
    </row>
    <row r="3364" spans="3:42" s="45" customFormat="1" x14ac:dyDescent="0.2">
      <c r="C3364" s="189"/>
      <c r="F3364" s="73"/>
      <c r="M3364" s="111"/>
      <c r="N3364" s="73"/>
      <c r="O3364" s="73"/>
      <c r="P3364" s="73"/>
      <c r="Q3364" s="73"/>
      <c r="R3364" s="111"/>
      <c r="S3364" s="75"/>
      <c r="T3364" s="73"/>
      <c r="X3364" s="189"/>
      <c r="Y3364" s="189"/>
      <c r="Z3364" s="100"/>
      <c r="AC3364" s="84"/>
      <c r="AD3364" s="189"/>
      <c r="AE3364" s="189"/>
      <c r="AF3364" s="189"/>
      <c r="AG3364" s="189"/>
      <c r="AH3364" s="189"/>
      <c r="AP3364" s="238"/>
    </row>
    <row r="3365" spans="3:42" s="45" customFormat="1" x14ac:dyDescent="0.2">
      <c r="C3365" s="189"/>
      <c r="F3365" s="73"/>
      <c r="M3365" s="111"/>
      <c r="N3365" s="73"/>
      <c r="O3365" s="73"/>
      <c r="P3365" s="73"/>
      <c r="Q3365" s="73"/>
      <c r="R3365" s="111"/>
      <c r="S3365" s="75"/>
      <c r="T3365" s="73"/>
      <c r="X3365" s="189"/>
      <c r="Y3365" s="189"/>
      <c r="Z3365" s="100"/>
      <c r="AC3365" s="84"/>
      <c r="AD3365" s="189"/>
      <c r="AE3365" s="189"/>
      <c r="AF3365" s="189"/>
      <c r="AG3365" s="189"/>
      <c r="AH3365" s="189"/>
      <c r="AP3365" s="238"/>
    </row>
    <row r="3366" spans="3:42" s="45" customFormat="1" x14ac:dyDescent="0.2">
      <c r="C3366" s="189"/>
      <c r="F3366" s="73"/>
      <c r="M3366" s="111"/>
      <c r="N3366" s="73"/>
      <c r="O3366" s="73"/>
      <c r="P3366" s="73"/>
      <c r="Q3366" s="73"/>
      <c r="R3366" s="111"/>
      <c r="S3366" s="75"/>
      <c r="T3366" s="73"/>
      <c r="X3366" s="189"/>
      <c r="Y3366" s="189"/>
      <c r="Z3366" s="100"/>
      <c r="AC3366" s="84"/>
      <c r="AD3366" s="189"/>
      <c r="AE3366" s="189"/>
      <c r="AF3366" s="189"/>
      <c r="AG3366" s="189"/>
      <c r="AH3366" s="189"/>
      <c r="AP3366" s="238"/>
    </row>
    <row r="3367" spans="3:42" s="45" customFormat="1" x14ac:dyDescent="0.2">
      <c r="C3367" s="189"/>
      <c r="F3367" s="73"/>
      <c r="M3367" s="111"/>
      <c r="N3367" s="73"/>
      <c r="O3367" s="73"/>
      <c r="P3367" s="73"/>
      <c r="Q3367" s="73"/>
      <c r="R3367" s="111"/>
      <c r="S3367" s="75"/>
      <c r="T3367" s="73"/>
      <c r="X3367" s="189"/>
      <c r="Y3367" s="189"/>
      <c r="Z3367" s="100"/>
      <c r="AC3367" s="84"/>
      <c r="AD3367" s="189"/>
      <c r="AE3367" s="189"/>
      <c r="AF3367" s="189"/>
      <c r="AG3367" s="189"/>
      <c r="AH3367" s="189"/>
      <c r="AP3367" s="238"/>
    </row>
    <row r="3368" spans="3:42" s="45" customFormat="1" x14ac:dyDescent="0.2">
      <c r="C3368" s="189"/>
      <c r="F3368" s="73"/>
      <c r="M3368" s="111"/>
      <c r="N3368" s="73"/>
      <c r="O3368" s="73"/>
      <c r="P3368" s="73"/>
      <c r="Q3368" s="73"/>
      <c r="R3368" s="111"/>
      <c r="S3368" s="75"/>
      <c r="T3368" s="73"/>
      <c r="X3368" s="189"/>
      <c r="Y3368" s="189"/>
      <c r="Z3368" s="100"/>
      <c r="AC3368" s="84"/>
      <c r="AD3368" s="189"/>
      <c r="AE3368" s="189"/>
      <c r="AF3368" s="189"/>
      <c r="AG3368" s="189"/>
      <c r="AH3368" s="189"/>
      <c r="AP3368" s="238"/>
    </row>
    <row r="3369" spans="3:42" s="45" customFormat="1" x14ac:dyDescent="0.2">
      <c r="C3369" s="189"/>
      <c r="F3369" s="73"/>
      <c r="M3369" s="111"/>
      <c r="N3369" s="73"/>
      <c r="O3369" s="73"/>
      <c r="P3369" s="73"/>
      <c r="Q3369" s="73"/>
      <c r="R3369" s="111"/>
      <c r="S3369" s="75"/>
      <c r="T3369" s="73"/>
      <c r="X3369" s="189"/>
      <c r="Y3369" s="189"/>
      <c r="Z3369" s="100"/>
      <c r="AC3369" s="84"/>
      <c r="AD3369" s="189"/>
      <c r="AE3369" s="189"/>
      <c r="AF3369" s="189"/>
      <c r="AG3369" s="189"/>
      <c r="AH3369" s="189"/>
      <c r="AP3369" s="238"/>
    </row>
    <row r="3370" spans="3:42" s="45" customFormat="1" x14ac:dyDescent="0.2">
      <c r="C3370" s="189"/>
      <c r="F3370" s="73"/>
      <c r="M3370" s="111"/>
      <c r="N3370" s="73"/>
      <c r="O3370" s="73"/>
      <c r="P3370" s="73"/>
      <c r="Q3370" s="73"/>
      <c r="R3370" s="111"/>
      <c r="S3370" s="75"/>
      <c r="T3370" s="73"/>
      <c r="X3370" s="189"/>
      <c r="Y3370" s="189"/>
      <c r="Z3370" s="100"/>
      <c r="AC3370" s="84"/>
      <c r="AD3370" s="189"/>
      <c r="AE3370" s="189"/>
      <c r="AF3370" s="189"/>
      <c r="AG3370" s="189"/>
      <c r="AH3370" s="189"/>
      <c r="AP3370" s="238"/>
    </row>
    <row r="3371" spans="3:42" s="45" customFormat="1" x14ac:dyDescent="0.2">
      <c r="C3371" s="189"/>
      <c r="F3371" s="73"/>
      <c r="M3371" s="111"/>
      <c r="N3371" s="73"/>
      <c r="O3371" s="73"/>
      <c r="P3371" s="73"/>
      <c r="Q3371" s="73"/>
      <c r="R3371" s="111"/>
      <c r="S3371" s="75"/>
      <c r="T3371" s="73"/>
      <c r="X3371" s="189"/>
      <c r="Y3371" s="189"/>
      <c r="Z3371" s="100"/>
      <c r="AC3371" s="84"/>
      <c r="AD3371" s="189"/>
      <c r="AE3371" s="189"/>
      <c r="AF3371" s="189"/>
      <c r="AG3371" s="189"/>
      <c r="AH3371" s="189"/>
      <c r="AP3371" s="238"/>
    </row>
    <row r="3372" spans="3:42" s="45" customFormat="1" x14ac:dyDescent="0.2">
      <c r="C3372" s="189"/>
      <c r="F3372" s="73"/>
      <c r="M3372" s="111"/>
      <c r="N3372" s="73"/>
      <c r="O3372" s="73"/>
      <c r="P3372" s="73"/>
      <c r="Q3372" s="73"/>
      <c r="R3372" s="111"/>
      <c r="S3372" s="75"/>
      <c r="T3372" s="73"/>
      <c r="X3372" s="189"/>
      <c r="Y3372" s="189"/>
      <c r="Z3372" s="100"/>
      <c r="AC3372" s="84"/>
      <c r="AD3372" s="189"/>
      <c r="AE3372" s="189"/>
      <c r="AF3372" s="189"/>
      <c r="AG3372" s="189"/>
      <c r="AH3372" s="189"/>
      <c r="AP3372" s="238"/>
    </row>
    <row r="3373" spans="3:42" s="45" customFormat="1" x14ac:dyDescent="0.2">
      <c r="C3373" s="189"/>
      <c r="F3373" s="73"/>
      <c r="M3373" s="111"/>
      <c r="N3373" s="73"/>
      <c r="O3373" s="73"/>
      <c r="P3373" s="73"/>
      <c r="Q3373" s="73"/>
      <c r="R3373" s="111"/>
      <c r="S3373" s="75"/>
      <c r="T3373" s="73"/>
      <c r="X3373" s="189"/>
      <c r="Y3373" s="189"/>
      <c r="Z3373" s="100"/>
      <c r="AC3373" s="84"/>
      <c r="AD3373" s="189"/>
      <c r="AE3373" s="189"/>
      <c r="AF3373" s="189"/>
      <c r="AG3373" s="189"/>
      <c r="AH3373" s="189"/>
      <c r="AP3373" s="238"/>
    </row>
    <row r="3374" spans="3:42" s="45" customFormat="1" x14ac:dyDescent="0.2">
      <c r="C3374" s="189"/>
      <c r="F3374" s="73"/>
      <c r="M3374" s="111"/>
      <c r="N3374" s="73"/>
      <c r="O3374" s="73"/>
      <c r="P3374" s="73"/>
      <c r="Q3374" s="73"/>
      <c r="R3374" s="111"/>
      <c r="S3374" s="75"/>
      <c r="T3374" s="73"/>
      <c r="X3374" s="189"/>
      <c r="Y3374" s="189"/>
      <c r="Z3374" s="100"/>
      <c r="AC3374" s="84"/>
      <c r="AD3374" s="189"/>
      <c r="AE3374" s="189"/>
      <c r="AF3374" s="189"/>
      <c r="AG3374" s="189"/>
      <c r="AH3374" s="189"/>
      <c r="AP3374" s="238"/>
    </row>
    <row r="3375" spans="3:42" s="45" customFormat="1" x14ac:dyDescent="0.2">
      <c r="C3375" s="189"/>
      <c r="F3375" s="73"/>
      <c r="M3375" s="111"/>
      <c r="N3375" s="73"/>
      <c r="O3375" s="73"/>
      <c r="P3375" s="73"/>
      <c r="Q3375" s="73"/>
      <c r="R3375" s="111"/>
      <c r="S3375" s="75"/>
      <c r="T3375" s="73"/>
      <c r="X3375" s="189"/>
      <c r="Y3375" s="189"/>
      <c r="Z3375" s="100"/>
      <c r="AC3375" s="84"/>
      <c r="AD3375" s="189"/>
      <c r="AE3375" s="189"/>
      <c r="AF3375" s="189"/>
      <c r="AG3375" s="189"/>
      <c r="AH3375" s="189"/>
      <c r="AP3375" s="238"/>
    </row>
    <row r="3376" spans="3:42" s="45" customFormat="1" x14ac:dyDescent="0.2">
      <c r="C3376" s="189"/>
      <c r="F3376" s="73"/>
      <c r="M3376" s="111"/>
      <c r="N3376" s="73"/>
      <c r="O3376" s="73"/>
      <c r="P3376" s="73"/>
      <c r="Q3376" s="73"/>
      <c r="R3376" s="111"/>
      <c r="S3376" s="75"/>
      <c r="T3376" s="73"/>
      <c r="X3376" s="189"/>
      <c r="Y3376" s="189"/>
      <c r="Z3376" s="100"/>
      <c r="AC3376" s="84"/>
      <c r="AD3376" s="189"/>
      <c r="AE3376" s="189"/>
      <c r="AF3376" s="189"/>
      <c r="AG3376" s="189"/>
      <c r="AH3376" s="189"/>
      <c r="AP3376" s="238"/>
    </row>
    <row r="3377" spans="3:42" s="45" customFormat="1" x14ac:dyDescent="0.2">
      <c r="C3377" s="189"/>
      <c r="F3377" s="73"/>
      <c r="M3377" s="111"/>
      <c r="N3377" s="73"/>
      <c r="O3377" s="73"/>
      <c r="P3377" s="73"/>
      <c r="Q3377" s="73"/>
      <c r="R3377" s="111"/>
      <c r="S3377" s="75"/>
      <c r="T3377" s="73"/>
      <c r="X3377" s="189"/>
      <c r="Y3377" s="189"/>
      <c r="Z3377" s="100"/>
      <c r="AC3377" s="84"/>
      <c r="AD3377" s="189"/>
      <c r="AE3377" s="189"/>
      <c r="AF3377" s="189"/>
      <c r="AG3377" s="189"/>
      <c r="AH3377" s="189"/>
      <c r="AP3377" s="238"/>
    </row>
    <row r="3378" spans="3:42" s="45" customFormat="1" x14ac:dyDescent="0.2">
      <c r="C3378" s="189"/>
      <c r="F3378" s="73"/>
      <c r="M3378" s="111"/>
      <c r="N3378" s="73"/>
      <c r="O3378" s="73"/>
      <c r="P3378" s="73"/>
      <c r="Q3378" s="73"/>
      <c r="R3378" s="111"/>
      <c r="S3378" s="75"/>
      <c r="T3378" s="73"/>
      <c r="X3378" s="189"/>
      <c r="Y3378" s="189"/>
      <c r="Z3378" s="100"/>
      <c r="AC3378" s="84"/>
      <c r="AD3378" s="189"/>
      <c r="AE3378" s="189"/>
      <c r="AF3378" s="189"/>
      <c r="AG3378" s="189"/>
      <c r="AH3378" s="189"/>
      <c r="AP3378" s="238"/>
    </row>
    <row r="3379" spans="3:42" s="45" customFormat="1" x14ac:dyDescent="0.2">
      <c r="C3379" s="189"/>
      <c r="F3379" s="73"/>
      <c r="M3379" s="111"/>
      <c r="N3379" s="73"/>
      <c r="O3379" s="73"/>
      <c r="P3379" s="73"/>
      <c r="Q3379" s="73"/>
      <c r="R3379" s="111"/>
      <c r="S3379" s="75"/>
      <c r="T3379" s="73"/>
      <c r="X3379" s="189"/>
      <c r="Y3379" s="189"/>
      <c r="Z3379" s="100"/>
      <c r="AC3379" s="84"/>
      <c r="AD3379" s="189"/>
      <c r="AE3379" s="189"/>
      <c r="AF3379" s="189"/>
      <c r="AG3379" s="189"/>
      <c r="AH3379" s="189"/>
      <c r="AP3379" s="238"/>
    </row>
    <row r="3380" spans="3:42" s="45" customFormat="1" x14ac:dyDescent="0.2">
      <c r="C3380" s="189"/>
      <c r="F3380" s="73"/>
      <c r="M3380" s="111"/>
      <c r="N3380" s="73"/>
      <c r="O3380" s="73"/>
      <c r="P3380" s="73"/>
      <c r="Q3380" s="73"/>
      <c r="R3380" s="111"/>
      <c r="S3380" s="75"/>
      <c r="T3380" s="73"/>
      <c r="X3380" s="189"/>
      <c r="Y3380" s="189"/>
      <c r="Z3380" s="100"/>
      <c r="AC3380" s="84"/>
      <c r="AD3380" s="189"/>
      <c r="AE3380" s="189"/>
      <c r="AF3380" s="189"/>
      <c r="AG3380" s="189"/>
      <c r="AH3380" s="189"/>
      <c r="AP3380" s="238"/>
    </row>
    <row r="3381" spans="3:42" s="45" customFormat="1" x14ac:dyDescent="0.2">
      <c r="C3381" s="189"/>
      <c r="F3381" s="73"/>
      <c r="M3381" s="111"/>
      <c r="N3381" s="73"/>
      <c r="O3381" s="73"/>
      <c r="P3381" s="73"/>
      <c r="Q3381" s="73"/>
      <c r="R3381" s="111"/>
      <c r="S3381" s="75"/>
      <c r="T3381" s="73"/>
      <c r="X3381" s="189"/>
      <c r="Y3381" s="189"/>
      <c r="Z3381" s="100"/>
      <c r="AC3381" s="84"/>
      <c r="AD3381" s="189"/>
      <c r="AE3381" s="189"/>
      <c r="AF3381" s="189"/>
      <c r="AG3381" s="189"/>
      <c r="AH3381" s="189"/>
      <c r="AP3381" s="238"/>
    </row>
    <row r="3382" spans="3:42" s="45" customFormat="1" x14ac:dyDescent="0.2">
      <c r="C3382" s="189"/>
      <c r="F3382" s="73"/>
      <c r="M3382" s="111"/>
      <c r="N3382" s="73"/>
      <c r="O3382" s="73"/>
      <c r="P3382" s="73"/>
      <c r="Q3382" s="73"/>
      <c r="R3382" s="111"/>
      <c r="S3382" s="75"/>
      <c r="T3382" s="73"/>
      <c r="X3382" s="189"/>
      <c r="Y3382" s="189"/>
      <c r="Z3382" s="100"/>
      <c r="AC3382" s="84"/>
      <c r="AD3382" s="189"/>
      <c r="AE3382" s="189"/>
      <c r="AF3382" s="189"/>
      <c r="AG3382" s="189"/>
      <c r="AH3382" s="189"/>
      <c r="AP3382" s="238"/>
    </row>
    <row r="3383" spans="3:42" s="45" customFormat="1" x14ac:dyDescent="0.2">
      <c r="C3383" s="189"/>
      <c r="F3383" s="73"/>
      <c r="M3383" s="111"/>
      <c r="N3383" s="73"/>
      <c r="O3383" s="73"/>
      <c r="P3383" s="73"/>
      <c r="Q3383" s="73"/>
      <c r="R3383" s="111"/>
      <c r="S3383" s="75"/>
      <c r="T3383" s="73"/>
      <c r="X3383" s="189"/>
      <c r="Y3383" s="189"/>
      <c r="Z3383" s="100"/>
      <c r="AC3383" s="84"/>
      <c r="AD3383" s="189"/>
      <c r="AE3383" s="189"/>
      <c r="AF3383" s="189"/>
      <c r="AG3383" s="189"/>
      <c r="AH3383" s="189"/>
      <c r="AP3383" s="238"/>
    </row>
    <row r="3384" spans="3:42" s="45" customFormat="1" x14ac:dyDescent="0.2">
      <c r="C3384" s="189"/>
      <c r="F3384" s="73"/>
      <c r="M3384" s="111"/>
      <c r="N3384" s="73"/>
      <c r="O3384" s="73"/>
      <c r="P3384" s="73"/>
      <c r="Q3384" s="73"/>
      <c r="R3384" s="111"/>
      <c r="S3384" s="75"/>
      <c r="T3384" s="73"/>
      <c r="X3384" s="189"/>
      <c r="Y3384" s="189"/>
      <c r="Z3384" s="100"/>
      <c r="AC3384" s="84"/>
      <c r="AD3384" s="189"/>
      <c r="AE3384" s="189"/>
      <c r="AF3384" s="189"/>
      <c r="AG3384" s="189"/>
      <c r="AH3384" s="189"/>
      <c r="AP3384" s="238"/>
    </row>
    <row r="3385" spans="3:42" s="45" customFormat="1" x14ac:dyDescent="0.2">
      <c r="C3385" s="189"/>
      <c r="F3385" s="73"/>
      <c r="M3385" s="111"/>
      <c r="N3385" s="73"/>
      <c r="O3385" s="73"/>
      <c r="P3385" s="73"/>
      <c r="Q3385" s="73"/>
      <c r="R3385" s="111"/>
      <c r="S3385" s="75"/>
      <c r="T3385" s="73"/>
      <c r="X3385" s="189"/>
      <c r="Y3385" s="189"/>
      <c r="Z3385" s="100"/>
      <c r="AC3385" s="84"/>
      <c r="AD3385" s="189"/>
      <c r="AE3385" s="189"/>
      <c r="AF3385" s="189"/>
      <c r="AG3385" s="189"/>
      <c r="AH3385" s="189"/>
      <c r="AP3385" s="238"/>
    </row>
    <row r="3386" spans="3:42" s="45" customFormat="1" x14ac:dyDescent="0.2">
      <c r="C3386" s="189"/>
      <c r="F3386" s="73"/>
      <c r="M3386" s="111"/>
      <c r="N3386" s="73"/>
      <c r="O3386" s="73"/>
      <c r="P3386" s="73"/>
      <c r="Q3386" s="73"/>
      <c r="R3386" s="111"/>
      <c r="S3386" s="75"/>
      <c r="T3386" s="73"/>
      <c r="X3386" s="189"/>
      <c r="Y3386" s="189"/>
      <c r="Z3386" s="100"/>
      <c r="AC3386" s="84"/>
      <c r="AD3386" s="189"/>
      <c r="AE3386" s="189"/>
      <c r="AF3386" s="189"/>
      <c r="AG3386" s="189"/>
      <c r="AH3386" s="189"/>
      <c r="AP3386" s="238"/>
    </row>
    <row r="3387" spans="3:42" s="45" customFormat="1" x14ac:dyDescent="0.2">
      <c r="C3387" s="189"/>
      <c r="F3387" s="73"/>
      <c r="M3387" s="111"/>
      <c r="N3387" s="73"/>
      <c r="O3387" s="73"/>
      <c r="P3387" s="73"/>
      <c r="Q3387" s="73"/>
      <c r="R3387" s="111"/>
      <c r="S3387" s="75"/>
      <c r="T3387" s="73"/>
      <c r="X3387" s="189"/>
      <c r="Y3387" s="189"/>
      <c r="Z3387" s="100"/>
      <c r="AC3387" s="84"/>
      <c r="AD3387" s="189"/>
      <c r="AE3387" s="189"/>
      <c r="AF3387" s="189"/>
      <c r="AG3387" s="189"/>
      <c r="AH3387" s="189"/>
      <c r="AP3387" s="238"/>
    </row>
    <row r="3388" spans="3:42" s="45" customFormat="1" x14ac:dyDescent="0.2">
      <c r="C3388" s="189"/>
      <c r="F3388" s="73"/>
      <c r="M3388" s="111"/>
      <c r="N3388" s="73"/>
      <c r="O3388" s="73"/>
      <c r="P3388" s="73"/>
      <c r="Q3388" s="73"/>
      <c r="R3388" s="111"/>
      <c r="S3388" s="75"/>
      <c r="T3388" s="73"/>
      <c r="X3388" s="189"/>
      <c r="Y3388" s="189"/>
      <c r="Z3388" s="100"/>
      <c r="AC3388" s="84"/>
      <c r="AD3388" s="189"/>
      <c r="AE3388" s="189"/>
      <c r="AF3388" s="189"/>
      <c r="AG3388" s="189"/>
      <c r="AH3388" s="189"/>
      <c r="AP3388" s="238"/>
    </row>
    <row r="3389" spans="3:42" s="45" customFormat="1" x14ac:dyDescent="0.2">
      <c r="C3389" s="189"/>
      <c r="F3389" s="73"/>
      <c r="M3389" s="111"/>
      <c r="N3389" s="73"/>
      <c r="O3389" s="73"/>
      <c r="P3389" s="73"/>
      <c r="Q3389" s="73"/>
      <c r="R3389" s="111"/>
      <c r="S3389" s="75"/>
      <c r="T3389" s="73"/>
      <c r="X3389" s="189"/>
      <c r="Y3389" s="189"/>
      <c r="Z3389" s="100"/>
      <c r="AC3389" s="84"/>
      <c r="AD3389" s="189"/>
      <c r="AE3389" s="189"/>
      <c r="AF3389" s="189"/>
      <c r="AG3389" s="189"/>
      <c r="AH3389" s="189"/>
      <c r="AP3389" s="238"/>
    </row>
    <row r="3390" spans="3:42" s="45" customFormat="1" x14ac:dyDescent="0.2">
      <c r="C3390" s="189"/>
      <c r="F3390" s="73"/>
      <c r="M3390" s="111"/>
      <c r="N3390" s="73"/>
      <c r="O3390" s="73"/>
      <c r="P3390" s="73"/>
      <c r="Q3390" s="73"/>
      <c r="R3390" s="111"/>
      <c r="S3390" s="75"/>
      <c r="T3390" s="73"/>
      <c r="X3390" s="189"/>
      <c r="Y3390" s="189"/>
      <c r="Z3390" s="100"/>
      <c r="AC3390" s="84"/>
      <c r="AD3390" s="189"/>
      <c r="AE3390" s="189"/>
      <c r="AF3390" s="189"/>
      <c r="AG3390" s="189"/>
      <c r="AH3390" s="189"/>
      <c r="AP3390" s="238"/>
    </row>
    <row r="3391" spans="3:42" s="45" customFormat="1" x14ac:dyDescent="0.2">
      <c r="C3391" s="189"/>
      <c r="F3391" s="73"/>
      <c r="M3391" s="111"/>
      <c r="N3391" s="73"/>
      <c r="O3391" s="73"/>
      <c r="P3391" s="73"/>
      <c r="Q3391" s="73"/>
      <c r="R3391" s="111"/>
      <c r="S3391" s="75"/>
      <c r="T3391" s="73"/>
      <c r="X3391" s="189"/>
      <c r="Y3391" s="189"/>
      <c r="Z3391" s="100"/>
      <c r="AC3391" s="84"/>
      <c r="AD3391" s="189"/>
      <c r="AE3391" s="189"/>
      <c r="AF3391" s="189"/>
      <c r="AG3391" s="189"/>
      <c r="AH3391" s="189"/>
      <c r="AP3391" s="238"/>
    </row>
    <row r="3392" spans="3:42" s="45" customFormat="1" x14ac:dyDescent="0.2">
      <c r="C3392" s="189"/>
      <c r="F3392" s="73"/>
      <c r="M3392" s="111"/>
      <c r="N3392" s="73"/>
      <c r="O3392" s="73"/>
      <c r="P3392" s="73"/>
      <c r="Q3392" s="73"/>
      <c r="R3392" s="111"/>
      <c r="S3392" s="75"/>
      <c r="T3392" s="73"/>
      <c r="X3392" s="189"/>
      <c r="Y3392" s="189"/>
      <c r="Z3392" s="100"/>
      <c r="AC3392" s="84"/>
      <c r="AD3392" s="189"/>
      <c r="AE3392" s="189"/>
      <c r="AF3392" s="189"/>
      <c r="AG3392" s="189"/>
      <c r="AH3392" s="189"/>
      <c r="AP3392" s="238"/>
    </row>
    <row r="3393" spans="3:42" s="45" customFormat="1" x14ac:dyDescent="0.2">
      <c r="C3393" s="189"/>
      <c r="F3393" s="73"/>
      <c r="M3393" s="111"/>
      <c r="N3393" s="73"/>
      <c r="O3393" s="73"/>
      <c r="P3393" s="73"/>
      <c r="Q3393" s="73"/>
      <c r="R3393" s="111"/>
      <c r="S3393" s="75"/>
      <c r="T3393" s="73"/>
      <c r="X3393" s="189"/>
      <c r="Y3393" s="189"/>
      <c r="Z3393" s="100"/>
      <c r="AC3393" s="84"/>
      <c r="AD3393" s="189"/>
      <c r="AE3393" s="189"/>
      <c r="AF3393" s="189"/>
      <c r="AG3393" s="189"/>
      <c r="AH3393" s="189"/>
      <c r="AP3393" s="238"/>
    </row>
    <row r="3394" spans="3:42" s="45" customFormat="1" x14ac:dyDescent="0.2">
      <c r="C3394" s="189"/>
      <c r="F3394" s="73"/>
      <c r="M3394" s="111"/>
      <c r="N3394" s="73"/>
      <c r="O3394" s="73"/>
      <c r="P3394" s="73"/>
      <c r="Q3394" s="73"/>
      <c r="R3394" s="111"/>
      <c r="S3394" s="75"/>
      <c r="T3394" s="73"/>
      <c r="X3394" s="189"/>
      <c r="Y3394" s="189"/>
      <c r="Z3394" s="100"/>
      <c r="AC3394" s="84"/>
      <c r="AD3394" s="189"/>
      <c r="AE3394" s="189"/>
      <c r="AF3394" s="189"/>
      <c r="AG3394" s="189"/>
      <c r="AH3394" s="189"/>
      <c r="AP3394" s="238"/>
    </row>
    <row r="3395" spans="3:42" s="45" customFormat="1" x14ac:dyDescent="0.2">
      <c r="C3395" s="189"/>
      <c r="F3395" s="73"/>
      <c r="M3395" s="111"/>
      <c r="N3395" s="73"/>
      <c r="O3395" s="73"/>
      <c r="P3395" s="73"/>
      <c r="Q3395" s="73"/>
      <c r="R3395" s="111"/>
      <c r="S3395" s="75"/>
      <c r="T3395" s="73"/>
      <c r="X3395" s="189"/>
      <c r="Y3395" s="189"/>
      <c r="Z3395" s="100"/>
      <c r="AC3395" s="84"/>
      <c r="AD3395" s="189"/>
      <c r="AE3395" s="189"/>
      <c r="AF3395" s="189"/>
      <c r="AG3395" s="189"/>
      <c r="AH3395" s="189"/>
      <c r="AP3395" s="238"/>
    </row>
    <row r="3396" spans="3:42" s="45" customFormat="1" x14ac:dyDescent="0.2">
      <c r="C3396" s="189"/>
      <c r="F3396" s="73"/>
      <c r="M3396" s="111"/>
      <c r="N3396" s="73"/>
      <c r="O3396" s="73"/>
      <c r="P3396" s="73"/>
      <c r="Q3396" s="73"/>
      <c r="R3396" s="111"/>
      <c r="S3396" s="75"/>
      <c r="T3396" s="73"/>
      <c r="X3396" s="189"/>
      <c r="Y3396" s="189"/>
      <c r="Z3396" s="100"/>
      <c r="AC3396" s="84"/>
      <c r="AD3396" s="189"/>
      <c r="AE3396" s="189"/>
      <c r="AF3396" s="189"/>
      <c r="AG3396" s="189"/>
      <c r="AH3396" s="189"/>
      <c r="AP3396" s="238"/>
    </row>
    <row r="3397" spans="3:42" s="45" customFormat="1" x14ac:dyDescent="0.2">
      <c r="C3397" s="189"/>
      <c r="F3397" s="73"/>
      <c r="M3397" s="111"/>
      <c r="N3397" s="73"/>
      <c r="O3397" s="73"/>
      <c r="P3397" s="73"/>
      <c r="Q3397" s="73"/>
      <c r="R3397" s="111"/>
      <c r="S3397" s="75"/>
      <c r="T3397" s="73"/>
      <c r="X3397" s="189"/>
      <c r="Y3397" s="189"/>
      <c r="Z3397" s="100"/>
      <c r="AC3397" s="84"/>
      <c r="AD3397" s="189"/>
      <c r="AE3397" s="189"/>
      <c r="AF3397" s="189"/>
      <c r="AG3397" s="189"/>
      <c r="AH3397" s="189"/>
      <c r="AP3397" s="238"/>
    </row>
    <row r="3398" spans="3:42" s="45" customFormat="1" x14ac:dyDescent="0.2">
      <c r="C3398" s="189"/>
      <c r="F3398" s="73"/>
      <c r="M3398" s="111"/>
      <c r="N3398" s="73"/>
      <c r="O3398" s="73"/>
      <c r="P3398" s="73"/>
      <c r="Q3398" s="73"/>
      <c r="R3398" s="111"/>
      <c r="S3398" s="75"/>
      <c r="T3398" s="73"/>
      <c r="X3398" s="189"/>
      <c r="Y3398" s="189"/>
      <c r="Z3398" s="100"/>
      <c r="AC3398" s="84"/>
      <c r="AD3398" s="189"/>
      <c r="AE3398" s="189"/>
      <c r="AF3398" s="189"/>
      <c r="AG3398" s="189"/>
      <c r="AH3398" s="189"/>
      <c r="AP3398" s="238"/>
    </row>
    <row r="3399" spans="3:42" s="45" customFormat="1" x14ac:dyDescent="0.2">
      <c r="C3399" s="189"/>
      <c r="F3399" s="73"/>
      <c r="M3399" s="111"/>
      <c r="N3399" s="73"/>
      <c r="O3399" s="73"/>
      <c r="P3399" s="73"/>
      <c r="Q3399" s="73"/>
      <c r="R3399" s="111"/>
      <c r="S3399" s="75"/>
      <c r="T3399" s="73"/>
      <c r="X3399" s="189"/>
      <c r="Y3399" s="189"/>
      <c r="Z3399" s="100"/>
      <c r="AC3399" s="84"/>
      <c r="AD3399" s="189"/>
      <c r="AE3399" s="189"/>
      <c r="AF3399" s="189"/>
      <c r="AG3399" s="189"/>
      <c r="AH3399" s="189"/>
      <c r="AP3399" s="238"/>
    </row>
    <row r="3400" spans="3:42" s="45" customFormat="1" x14ac:dyDescent="0.2">
      <c r="C3400" s="189"/>
      <c r="F3400" s="73"/>
      <c r="M3400" s="111"/>
      <c r="N3400" s="73"/>
      <c r="O3400" s="73"/>
      <c r="P3400" s="73"/>
      <c r="Q3400" s="73"/>
      <c r="R3400" s="111"/>
      <c r="S3400" s="75"/>
      <c r="T3400" s="73"/>
      <c r="X3400" s="189"/>
      <c r="Y3400" s="189"/>
      <c r="Z3400" s="100"/>
      <c r="AC3400" s="84"/>
      <c r="AD3400" s="189"/>
      <c r="AE3400" s="189"/>
      <c r="AF3400" s="189"/>
      <c r="AG3400" s="189"/>
      <c r="AH3400" s="189"/>
      <c r="AP3400" s="238"/>
    </row>
    <row r="3401" spans="3:42" s="45" customFormat="1" x14ac:dyDescent="0.2">
      <c r="C3401" s="189"/>
      <c r="F3401" s="73"/>
      <c r="M3401" s="111"/>
      <c r="N3401" s="73"/>
      <c r="O3401" s="73"/>
      <c r="P3401" s="73"/>
      <c r="Q3401" s="73"/>
      <c r="R3401" s="111"/>
      <c r="S3401" s="75"/>
      <c r="T3401" s="73"/>
      <c r="X3401" s="189"/>
      <c r="Y3401" s="189"/>
      <c r="Z3401" s="100"/>
      <c r="AC3401" s="84"/>
      <c r="AD3401" s="189"/>
      <c r="AE3401" s="189"/>
      <c r="AF3401" s="189"/>
      <c r="AG3401" s="189"/>
      <c r="AH3401" s="189"/>
      <c r="AP3401" s="238"/>
    </row>
    <row r="3402" spans="3:42" s="45" customFormat="1" x14ac:dyDescent="0.2">
      <c r="C3402" s="189"/>
      <c r="F3402" s="73"/>
      <c r="M3402" s="111"/>
      <c r="N3402" s="73"/>
      <c r="O3402" s="73"/>
      <c r="P3402" s="73"/>
      <c r="Q3402" s="73"/>
      <c r="R3402" s="111"/>
      <c r="S3402" s="75"/>
      <c r="T3402" s="73"/>
      <c r="X3402" s="189"/>
      <c r="Y3402" s="189"/>
      <c r="Z3402" s="100"/>
      <c r="AC3402" s="84"/>
      <c r="AD3402" s="189"/>
      <c r="AE3402" s="189"/>
      <c r="AF3402" s="189"/>
      <c r="AG3402" s="189"/>
      <c r="AH3402" s="189"/>
      <c r="AP3402" s="238"/>
    </row>
    <row r="3403" spans="3:42" s="45" customFormat="1" x14ac:dyDescent="0.2">
      <c r="C3403" s="189"/>
      <c r="F3403" s="73"/>
      <c r="M3403" s="111"/>
      <c r="N3403" s="73"/>
      <c r="O3403" s="73"/>
      <c r="P3403" s="73"/>
      <c r="Q3403" s="73"/>
      <c r="R3403" s="111"/>
      <c r="S3403" s="75"/>
      <c r="T3403" s="73"/>
      <c r="X3403" s="189"/>
      <c r="Y3403" s="189"/>
      <c r="Z3403" s="100"/>
      <c r="AC3403" s="84"/>
      <c r="AD3403" s="189"/>
      <c r="AE3403" s="189"/>
      <c r="AF3403" s="189"/>
      <c r="AG3403" s="189"/>
      <c r="AH3403" s="189"/>
      <c r="AP3403" s="238"/>
    </row>
    <row r="3404" spans="3:42" s="45" customFormat="1" x14ac:dyDescent="0.2">
      <c r="C3404" s="189"/>
      <c r="F3404" s="73"/>
      <c r="M3404" s="111"/>
      <c r="N3404" s="73"/>
      <c r="O3404" s="73"/>
      <c r="P3404" s="73"/>
      <c r="Q3404" s="73"/>
      <c r="R3404" s="111"/>
      <c r="S3404" s="75"/>
      <c r="T3404" s="73"/>
      <c r="X3404" s="189"/>
      <c r="Y3404" s="189"/>
      <c r="Z3404" s="100"/>
      <c r="AC3404" s="84"/>
      <c r="AD3404" s="189"/>
      <c r="AE3404" s="189"/>
      <c r="AF3404" s="189"/>
      <c r="AG3404" s="189"/>
      <c r="AH3404" s="189"/>
      <c r="AP3404" s="238"/>
    </row>
    <row r="3405" spans="3:42" s="45" customFormat="1" x14ac:dyDescent="0.2">
      <c r="C3405" s="189"/>
      <c r="F3405" s="73"/>
      <c r="M3405" s="111"/>
      <c r="N3405" s="73"/>
      <c r="O3405" s="73"/>
      <c r="P3405" s="73"/>
      <c r="Q3405" s="73"/>
      <c r="R3405" s="111"/>
      <c r="S3405" s="75"/>
      <c r="T3405" s="73"/>
      <c r="X3405" s="189"/>
      <c r="Y3405" s="189"/>
      <c r="Z3405" s="100"/>
      <c r="AC3405" s="84"/>
      <c r="AD3405" s="189"/>
      <c r="AE3405" s="189"/>
      <c r="AF3405" s="189"/>
      <c r="AG3405" s="189"/>
      <c r="AH3405" s="189"/>
      <c r="AP3405" s="238"/>
    </row>
    <row r="3406" spans="3:42" s="45" customFormat="1" x14ac:dyDescent="0.2">
      <c r="C3406" s="189"/>
      <c r="F3406" s="73"/>
      <c r="M3406" s="111"/>
      <c r="N3406" s="73"/>
      <c r="O3406" s="73"/>
      <c r="P3406" s="73"/>
      <c r="Q3406" s="73"/>
      <c r="R3406" s="111"/>
      <c r="S3406" s="75"/>
      <c r="T3406" s="73"/>
      <c r="X3406" s="189"/>
      <c r="Y3406" s="189"/>
      <c r="Z3406" s="100"/>
      <c r="AC3406" s="84"/>
      <c r="AD3406" s="189"/>
      <c r="AE3406" s="189"/>
      <c r="AF3406" s="189"/>
      <c r="AG3406" s="189"/>
      <c r="AH3406" s="189"/>
      <c r="AP3406" s="238"/>
    </row>
    <row r="3407" spans="3:42" s="45" customFormat="1" x14ac:dyDescent="0.2">
      <c r="C3407" s="189"/>
      <c r="F3407" s="73"/>
      <c r="M3407" s="111"/>
      <c r="N3407" s="73"/>
      <c r="O3407" s="73"/>
      <c r="P3407" s="73"/>
      <c r="Q3407" s="73"/>
      <c r="R3407" s="111"/>
      <c r="S3407" s="75"/>
      <c r="T3407" s="73"/>
      <c r="X3407" s="189"/>
      <c r="Y3407" s="189"/>
      <c r="Z3407" s="100"/>
      <c r="AC3407" s="84"/>
      <c r="AD3407" s="189"/>
      <c r="AE3407" s="189"/>
      <c r="AF3407" s="189"/>
      <c r="AG3407" s="189"/>
      <c r="AH3407" s="189"/>
      <c r="AP3407" s="238"/>
    </row>
    <row r="3408" spans="3:42" s="45" customFormat="1" x14ac:dyDescent="0.2">
      <c r="C3408" s="189"/>
      <c r="F3408" s="73"/>
      <c r="M3408" s="111"/>
      <c r="N3408" s="73"/>
      <c r="O3408" s="73"/>
      <c r="P3408" s="73"/>
      <c r="Q3408" s="73"/>
      <c r="R3408" s="111"/>
      <c r="S3408" s="75"/>
      <c r="T3408" s="73"/>
      <c r="X3408" s="189"/>
      <c r="Y3408" s="189"/>
      <c r="Z3408" s="100"/>
      <c r="AC3408" s="84"/>
      <c r="AD3408" s="189"/>
      <c r="AE3408" s="189"/>
      <c r="AF3408" s="189"/>
      <c r="AG3408" s="189"/>
      <c r="AH3408" s="189"/>
      <c r="AP3408" s="238"/>
    </row>
    <row r="3409" spans="3:42" s="45" customFormat="1" x14ac:dyDescent="0.2">
      <c r="C3409" s="189"/>
      <c r="F3409" s="73"/>
      <c r="M3409" s="111"/>
      <c r="N3409" s="73"/>
      <c r="O3409" s="73"/>
      <c r="P3409" s="73"/>
      <c r="Q3409" s="73"/>
      <c r="R3409" s="111"/>
      <c r="S3409" s="75"/>
      <c r="T3409" s="73"/>
      <c r="X3409" s="189"/>
      <c r="Y3409" s="189"/>
      <c r="Z3409" s="100"/>
      <c r="AC3409" s="84"/>
      <c r="AD3409" s="189"/>
      <c r="AE3409" s="189"/>
      <c r="AF3409" s="189"/>
      <c r="AG3409" s="189"/>
      <c r="AH3409" s="189"/>
      <c r="AP3409" s="238"/>
    </row>
    <row r="3410" spans="3:42" s="45" customFormat="1" x14ac:dyDescent="0.2">
      <c r="C3410" s="189"/>
      <c r="F3410" s="73"/>
      <c r="M3410" s="111"/>
      <c r="N3410" s="73"/>
      <c r="O3410" s="73"/>
      <c r="P3410" s="73"/>
      <c r="Q3410" s="73"/>
      <c r="R3410" s="111"/>
      <c r="S3410" s="75"/>
      <c r="T3410" s="73"/>
      <c r="X3410" s="189"/>
      <c r="Y3410" s="189"/>
      <c r="Z3410" s="100"/>
      <c r="AC3410" s="84"/>
      <c r="AD3410" s="189"/>
      <c r="AE3410" s="189"/>
      <c r="AF3410" s="189"/>
      <c r="AG3410" s="189"/>
      <c r="AH3410" s="189"/>
      <c r="AP3410" s="238"/>
    </row>
    <row r="3411" spans="3:42" s="45" customFormat="1" x14ac:dyDescent="0.2">
      <c r="C3411" s="189"/>
      <c r="F3411" s="73"/>
      <c r="M3411" s="111"/>
      <c r="N3411" s="73"/>
      <c r="O3411" s="73"/>
      <c r="P3411" s="73"/>
      <c r="Q3411" s="73"/>
      <c r="R3411" s="111"/>
      <c r="S3411" s="75"/>
      <c r="T3411" s="73"/>
      <c r="X3411" s="189"/>
      <c r="Y3411" s="189"/>
      <c r="Z3411" s="100"/>
      <c r="AC3411" s="84"/>
      <c r="AD3411" s="189"/>
      <c r="AE3411" s="189"/>
      <c r="AF3411" s="189"/>
      <c r="AG3411" s="189"/>
      <c r="AH3411" s="189"/>
      <c r="AP3411" s="238"/>
    </row>
    <row r="3412" spans="3:42" s="45" customFormat="1" x14ac:dyDescent="0.2">
      <c r="C3412" s="189"/>
      <c r="F3412" s="73"/>
      <c r="M3412" s="111"/>
      <c r="N3412" s="73"/>
      <c r="O3412" s="73"/>
      <c r="P3412" s="73"/>
      <c r="Q3412" s="73"/>
      <c r="R3412" s="111"/>
      <c r="S3412" s="75"/>
      <c r="T3412" s="73"/>
      <c r="X3412" s="189"/>
      <c r="Y3412" s="189"/>
      <c r="Z3412" s="100"/>
      <c r="AC3412" s="84"/>
      <c r="AD3412" s="189"/>
      <c r="AE3412" s="189"/>
      <c r="AF3412" s="189"/>
      <c r="AG3412" s="189"/>
      <c r="AH3412" s="189"/>
      <c r="AP3412" s="238"/>
    </row>
    <row r="3413" spans="3:42" s="45" customFormat="1" x14ac:dyDescent="0.2">
      <c r="C3413" s="189"/>
      <c r="F3413" s="73"/>
      <c r="M3413" s="111"/>
      <c r="N3413" s="73"/>
      <c r="O3413" s="73"/>
      <c r="P3413" s="73"/>
      <c r="Q3413" s="73"/>
      <c r="R3413" s="111"/>
      <c r="S3413" s="75"/>
      <c r="T3413" s="73"/>
      <c r="X3413" s="189"/>
      <c r="Y3413" s="189"/>
      <c r="Z3413" s="100"/>
      <c r="AC3413" s="84"/>
      <c r="AD3413" s="189"/>
      <c r="AE3413" s="189"/>
      <c r="AF3413" s="189"/>
      <c r="AG3413" s="189"/>
      <c r="AH3413" s="189"/>
      <c r="AP3413" s="238"/>
    </row>
    <row r="3414" spans="3:42" s="45" customFormat="1" x14ac:dyDescent="0.2">
      <c r="C3414" s="189"/>
      <c r="F3414" s="73"/>
      <c r="M3414" s="111"/>
      <c r="N3414" s="73"/>
      <c r="O3414" s="73"/>
      <c r="P3414" s="73"/>
      <c r="Q3414" s="73"/>
      <c r="R3414" s="111"/>
      <c r="S3414" s="75"/>
      <c r="T3414" s="73"/>
      <c r="X3414" s="189"/>
      <c r="Y3414" s="189"/>
      <c r="Z3414" s="100"/>
      <c r="AC3414" s="84"/>
      <c r="AD3414" s="189"/>
      <c r="AE3414" s="189"/>
      <c r="AF3414" s="189"/>
      <c r="AG3414" s="189"/>
      <c r="AH3414" s="189"/>
      <c r="AP3414" s="238"/>
    </row>
    <row r="3415" spans="3:42" s="45" customFormat="1" x14ac:dyDescent="0.2">
      <c r="C3415" s="189"/>
      <c r="F3415" s="73"/>
      <c r="M3415" s="111"/>
      <c r="N3415" s="73"/>
      <c r="O3415" s="73"/>
      <c r="P3415" s="73"/>
      <c r="Q3415" s="73"/>
      <c r="R3415" s="111"/>
      <c r="S3415" s="75"/>
      <c r="T3415" s="73"/>
      <c r="X3415" s="189"/>
      <c r="Y3415" s="189"/>
      <c r="Z3415" s="100"/>
      <c r="AC3415" s="84"/>
      <c r="AD3415" s="189"/>
      <c r="AE3415" s="189"/>
      <c r="AF3415" s="189"/>
      <c r="AG3415" s="189"/>
      <c r="AH3415" s="189"/>
      <c r="AP3415" s="238"/>
    </row>
    <row r="3416" spans="3:42" s="45" customFormat="1" x14ac:dyDescent="0.2">
      <c r="C3416" s="189"/>
      <c r="F3416" s="73"/>
      <c r="M3416" s="111"/>
      <c r="N3416" s="73"/>
      <c r="O3416" s="73"/>
      <c r="P3416" s="73"/>
      <c r="Q3416" s="73"/>
      <c r="R3416" s="111"/>
      <c r="S3416" s="75"/>
      <c r="T3416" s="73"/>
      <c r="X3416" s="189"/>
      <c r="Y3416" s="189"/>
      <c r="Z3416" s="100"/>
      <c r="AC3416" s="84"/>
      <c r="AD3416" s="189"/>
      <c r="AE3416" s="189"/>
      <c r="AF3416" s="189"/>
      <c r="AG3416" s="189"/>
      <c r="AH3416" s="189"/>
      <c r="AP3416" s="238"/>
    </row>
    <row r="3417" spans="3:42" s="45" customFormat="1" x14ac:dyDescent="0.2">
      <c r="C3417" s="189"/>
      <c r="F3417" s="73"/>
      <c r="M3417" s="111"/>
      <c r="N3417" s="73"/>
      <c r="O3417" s="73"/>
      <c r="P3417" s="73"/>
      <c r="Q3417" s="73"/>
      <c r="R3417" s="111"/>
      <c r="S3417" s="75"/>
      <c r="T3417" s="73"/>
      <c r="X3417" s="189"/>
      <c r="Y3417" s="189"/>
      <c r="Z3417" s="100"/>
      <c r="AC3417" s="84"/>
      <c r="AD3417" s="189"/>
      <c r="AE3417" s="189"/>
      <c r="AF3417" s="189"/>
      <c r="AG3417" s="189"/>
      <c r="AH3417" s="189"/>
      <c r="AP3417" s="238"/>
    </row>
    <row r="3418" spans="3:42" s="45" customFormat="1" x14ac:dyDescent="0.2">
      <c r="C3418" s="189"/>
      <c r="F3418" s="73"/>
      <c r="M3418" s="111"/>
      <c r="N3418" s="73"/>
      <c r="O3418" s="73"/>
      <c r="P3418" s="73"/>
      <c r="Q3418" s="73"/>
      <c r="R3418" s="111"/>
      <c r="S3418" s="75"/>
      <c r="T3418" s="73"/>
      <c r="X3418" s="189"/>
      <c r="Y3418" s="189"/>
      <c r="Z3418" s="100"/>
      <c r="AC3418" s="84"/>
      <c r="AD3418" s="189"/>
      <c r="AE3418" s="189"/>
      <c r="AF3418" s="189"/>
      <c r="AG3418" s="189"/>
      <c r="AH3418" s="189"/>
      <c r="AP3418" s="238"/>
    </row>
    <row r="3419" spans="3:42" s="45" customFormat="1" x14ac:dyDescent="0.2">
      <c r="C3419" s="189"/>
      <c r="F3419" s="73"/>
      <c r="M3419" s="111"/>
      <c r="N3419" s="73"/>
      <c r="O3419" s="73"/>
      <c r="P3419" s="73"/>
      <c r="Q3419" s="73"/>
      <c r="R3419" s="111"/>
      <c r="S3419" s="75"/>
      <c r="T3419" s="73"/>
      <c r="X3419" s="189"/>
      <c r="Y3419" s="189"/>
      <c r="Z3419" s="100"/>
      <c r="AC3419" s="84"/>
      <c r="AD3419" s="189"/>
      <c r="AE3419" s="189"/>
      <c r="AF3419" s="189"/>
      <c r="AG3419" s="189"/>
      <c r="AH3419" s="189"/>
      <c r="AP3419" s="238"/>
    </row>
    <row r="3420" spans="3:42" s="45" customFormat="1" x14ac:dyDescent="0.2">
      <c r="C3420" s="189"/>
      <c r="F3420" s="73"/>
      <c r="M3420" s="111"/>
      <c r="N3420" s="73"/>
      <c r="O3420" s="73"/>
      <c r="P3420" s="73"/>
      <c r="Q3420" s="73"/>
      <c r="R3420" s="111"/>
      <c r="S3420" s="75"/>
      <c r="T3420" s="73"/>
      <c r="X3420" s="189"/>
      <c r="Y3420" s="189"/>
      <c r="Z3420" s="100"/>
      <c r="AC3420" s="84"/>
      <c r="AD3420" s="189"/>
      <c r="AE3420" s="189"/>
      <c r="AF3420" s="189"/>
      <c r="AG3420" s="189"/>
      <c r="AH3420" s="189"/>
      <c r="AP3420" s="238"/>
    </row>
    <row r="3421" spans="3:42" s="45" customFormat="1" x14ac:dyDescent="0.2">
      <c r="C3421" s="189"/>
      <c r="F3421" s="73"/>
      <c r="M3421" s="111"/>
      <c r="N3421" s="73"/>
      <c r="O3421" s="73"/>
      <c r="P3421" s="73"/>
      <c r="Q3421" s="73"/>
      <c r="R3421" s="111"/>
      <c r="S3421" s="75"/>
      <c r="T3421" s="73"/>
      <c r="X3421" s="189"/>
      <c r="Y3421" s="189"/>
      <c r="Z3421" s="100"/>
      <c r="AC3421" s="84"/>
      <c r="AD3421" s="189"/>
      <c r="AE3421" s="189"/>
      <c r="AF3421" s="189"/>
      <c r="AG3421" s="189"/>
      <c r="AH3421" s="189"/>
      <c r="AP3421" s="238"/>
    </row>
    <row r="3422" spans="3:42" s="45" customFormat="1" x14ac:dyDescent="0.2">
      <c r="C3422" s="189"/>
      <c r="F3422" s="73"/>
      <c r="M3422" s="111"/>
      <c r="N3422" s="73"/>
      <c r="O3422" s="73"/>
      <c r="P3422" s="73"/>
      <c r="Q3422" s="73"/>
      <c r="R3422" s="111"/>
      <c r="S3422" s="75"/>
      <c r="T3422" s="73"/>
      <c r="X3422" s="189"/>
      <c r="Y3422" s="189"/>
      <c r="Z3422" s="100"/>
      <c r="AC3422" s="84"/>
      <c r="AD3422" s="189"/>
      <c r="AE3422" s="189"/>
      <c r="AF3422" s="189"/>
      <c r="AG3422" s="189"/>
      <c r="AH3422" s="189"/>
      <c r="AP3422" s="238"/>
    </row>
    <row r="3423" spans="3:42" s="45" customFormat="1" x14ac:dyDescent="0.2">
      <c r="C3423" s="189"/>
      <c r="F3423" s="73"/>
      <c r="M3423" s="111"/>
      <c r="N3423" s="73"/>
      <c r="O3423" s="73"/>
      <c r="P3423" s="73"/>
      <c r="Q3423" s="73"/>
      <c r="R3423" s="111"/>
      <c r="S3423" s="75"/>
      <c r="T3423" s="73"/>
      <c r="X3423" s="189"/>
      <c r="Y3423" s="189"/>
      <c r="Z3423" s="100"/>
      <c r="AC3423" s="84"/>
      <c r="AD3423" s="189"/>
      <c r="AE3423" s="189"/>
      <c r="AF3423" s="189"/>
      <c r="AG3423" s="189"/>
      <c r="AH3423" s="189"/>
      <c r="AP3423" s="238"/>
    </row>
    <row r="3424" spans="3:42" s="45" customFormat="1" x14ac:dyDescent="0.2">
      <c r="C3424" s="189"/>
      <c r="F3424" s="73"/>
      <c r="M3424" s="111"/>
      <c r="N3424" s="73"/>
      <c r="O3424" s="73"/>
      <c r="P3424" s="73"/>
      <c r="Q3424" s="73"/>
      <c r="R3424" s="111"/>
      <c r="S3424" s="75"/>
      <c r="T3424" s="73"/>
      <c r="X3424" s="189"/>
      <c r="Y3424" s="189"/>
      <c r="Z3424" s="100"/>
      <c r="AC3424" s="84"/>
      <c r="AD3424" s="189"/>
      <c r="AE3424" s="189"/>
      <c r="AF3424" s="189"/>
      <c r="AG3424" s="189"/>
      <c r="AH3424" s="189"/>
      <c r="AP3424" s="238"/>
    </row>
    <row r="3425" spans="3:42" s="45" customFormat="1" x14ac:dyDescent="0.2">
      <c r="C3425" s="189"/>
      <c r="F3425" s="73"/>
      <c r="M3425" s="111"/>
      <c r="N3425" s="73"/>
      <c r="O3425" s="73"/>
      <c r="P3425" s="73"/>
      <c r="Q3425" s="73"/>
      <c r="R3425" s="111"/>
      <c r="S3425" s="75"/>
      <c r="T3425" s="73"/>
      <c r="X3425" s="189"/>
      <c r="Y3425" s="189"/>
      <c r="Z3425" s="100"/>
      <c r="AC3425" s="84"/>
      <c r="AD3425" s="189"/>
      <c r="AE3425" s="189"/>
      <c r="AF3425" s="189"/>
      <c r="AG3425" s="189"/>
      <c r="AH3425" s="189"/>
      <c r="AP3425" s="238"/>
    </row>
    <row r="3426" spans="3:42" s="45" customFormat="1" x14ac:dyDescent="0.2">
      <c r="C3426" s="189"/>
      <c r="F3426" s="73"/>
      <c r="M3426" s="111"/>
      <c r="N3426" s="73"/>
      <c r="O3426" s="73"/>
      <c r="P3426" s="73"/>
      <c r="Q3426" s="73"/>
      <c r="R3426" s="111"/>
      <c r="S3426" s="75"/>
      <c r="T3426" s="73"/>
      <c r="X3426" s="189"/>
      <c r="Y3426" s="189"/>
      <c r="Z3426" s="100"/>
      <c r="AC3426" s="84"/>
      <c r="AD3426" s="189"/>
      <c r="AE3426" s="189"/>
      <c r="AF3426" s="189"/>
      <c r="AG3426" s="189"/>
      <c r="AH3426" s="189"/>
      <c r="AP3426" s="238"/>
    </row>
    <row r="3427" spans="3:42" s="45" customFormat="1" x14ac:dyDescent="0.2">
      <c r="C3427" s="189"/>
      <c r="F3427" s="73"/>
      <c r="M3427" s="111"/>
      <c r="N3427" s="73"/>
      <c r="O3427" s="73"/>
      <c r="P3427" s="73"/>
      <c r="Q3427" s="73"/>
      <c r="R3427" s="111"/>
      <c r="S3427" s="75"/>
      <c r="T3427" s="73"/>
      <c r="X3427" s="189"/>
      <c r="Y3427" s="189"/>
      <c r="Z3427" s="100"/>
      <c r="AC3427" s="84"/>
      <c r="AD3427" s="189"/>
      <c r="AE3427" s="189"/>
      <c r="AF3427" s="189"/>
      <c r="AG3427" s="189"/>
      <c r="AH3427" s="189"/>
      <c r="AP3427" s="238"/>
    </row>
    <row r="3428" spans="3:42" s="45" customFormat="1" x14ac:dyDescent="0.2">
      <c r="C3428" s="189"/>
      <c r="F3428" s="73"/>
      <c r="M3428" s="111"/>
      <c r="N3428" s="73"/>
      <c r="O3428" s="73"/>
      <c r="P3428" s="73"/>
      <c r="Q3428" s="73"/>
      <c r="R3428" s="111"/>
      <c r="S3428" s="75"/>
      <c r="T3428" s="73"/>
      <c r="X3428" s="189"/>
      <c r="Y3428" s="189"/>
      <c r="Z3428" s="100"/>
      <c r="AC3428" s="84"/>
      <c r="AD3428" s="189"/>
      <c r="AE3428" s="189"/>
      <c r="AF3428" s="189"/>
      <c r="AG3428" s="189"/>
      <c r="AH3428" s="189"/>
      <c r="AP3428" s="238"/>
    </row>
    <row r="3429" spans="3:42" s="45" customFormat="1" x14ac:dyDescent="0.2">
      <c r="C3429" s="189"/>
      <c r="F3429" s="73"/>
      <c r="M3429" s="111"/>
      <c r="N3429" s="73"/>
      <c r="O3429" s="73"/>
      <c r="P3429" s="73"/>
      <c r="Q3429" s="73"/>
      <c r="R3429" s="111"/>
      <c r="S3429" s="75"/>
      <c r="T3429" s="73"/>
      <c r="X3429" s="189"/>
      <c r="Y3429" s="189"/>
      <c r="Z3429" s="100"/>
      <c r="AC3429" s="84"/>
      <c r="AD3429" s="189"/>
      <c r="AE3429" s="189"/>
      <c r="AF3429" s="189"/>
      <c r="AG3429" s="189"/>
      <c r="AH3429" s="189"/>
      <c r="AP3429" s="238"/>
    </row>
    <row r="3430" spans="3:42" s="45" customFormat="1" x14ac:dyDescent="0.2">
      <c r="C3430" s="189"/>
      <c r="F3430" s="73"/>
      <c r="M3430" s="111"/>
      <c r="N3430" s="73"/>
      <c r="O3430" s="73"/>
      <c r="P3430" s="73"/>
      <c r="Q3430" s="73"/>
      <c r="R3430" s="111"/>
      <c r="S3430" s="75"/>
      <c r="T3430" s="73"/>
      <c r="X3430" s="189"/>
      <c r="Y3430" s="189"/>
      <c r="Z3430" s="100"/>
      <c r="AC3430" s="84"/>
      <c r="AD3430" s="189"/>
      <c r="AE3430" s="189"/>
      <c r="AF3430" s="189"/>
      <c r="AG3430" s="189"/>
      <c r="AH3430" s="189"/>
      <c r="AP3430" s="238"/>
    </row>
    <row r="3431" spans="3:42" s="45" customFormat="1" x14ac:dyDescent="0.2">
      <c r="C3431" s="189"/>
      <c r="F3431" s="73"/>
      <c r="M3431" s="111"/>
      <c r="N3431" s="73"/>
      <c r="O3431" s="73"/>
      <c r="P3431" s="73"/>
      <c r="Q3431" s="73"/>
      <c r="R3431" s="111"/>
      <c r="S3431" s="75"/>
      <c r="T3431" s="73"/>
      <c r="X3431" s="189"/>
      <c r="Y3431" s="189"/>
      <c r="Z3431" s="100"/>
      <c r="AC3431" s="84"/>
      <c r="AD3431" s="189"/>
      <c r="AE3431" s="189"/>
      <c r="AF3431" s="189"/>
      <c r="AG3431" s="189"/>
      <c r="AH3431" s="189"/>
      <c r="AP3431" s="238"/>
    </row>
    <row r="3432" spans="3:42" s="45" customFormat="1" x14ac:dyDescent="0.2">
      <c r="C3432" s="189"/>
      <c r="F3432" s="73"/>
      <c r="M3432" s="111"/>
      <c r="N3432" s="73"/>
      <c r="O3432" s="73"/>
      <c r="P3432" s="73"/>
      <c r="Q3432" s="73"/>
      <c r="R3432" s="111"/>
      <c r="S3432" s="75"/>
      <c r="T3432" s="73"/>
      <c r="X3432" s="189"/>
      <c r="Y3432" s="189"/>
      <c r="Z3432" s="100"/>
      <c r="AC3432" s="84"/>
      <c r="AD3432" s="189"/>
      <c r="AE3432" s="189"/>
      <c r="AF3432" s="189"/>
      <c r="AG3432" s="189"/>
      <c r="AH3432" s="189"/>
      <c r="AP3432" s="238"/>
    </row>
    <row r="3433" spans="3:42" s="45" customFormat="1" x14ac:dyDescent="0.2">
      <c r="C3433" s="189"/>
      <c r="F3433" s="73"/>
      <c r="M3433" s="111"/>
      <c r="N3433" s="73"/>
      <c r="O3433" s="73"/>
      <c r="P3433" s="73"/>
      <c r="Q3433" s="73"/>
      <c r="R3433" s="111"/>
      <c r="S3433" s="75"/>
      <c r="T3433" s="73"/>
      <c r="X3433" s="189"/>
      <c r="Y3433" s="189"/>
      <c r="Z3433" s="100"/>
      <c r="AC3433" s="84"/>
      <c r="AD3433" s="189"/>
      <c r="AE3433" s="189"/>
      <c r="AF3433" s="189"/>
      <c r="AG3433" s="189"/>
      <c r="AH3433" s="189"/>
      <c r="AP3433" s="238"/>
    </row>
    <row r="3434" spans="3:42" s="45" customFormat="1" x14ac:dyDescent="0.2">
      <c r="C3434" s="189"/>
      <c r="F3434" s="73"/>
      <c r="M3434" s="111"/>
      <c r="N3434" s="73"/>
      <c r="O3434" s="73"/>
      <c r="P3434" s="73"/>
      <c r="Q3434" s="73"/>
      <c r="R3434" s="111"/>
      <c r="S3434" s="75"/>
      <c r="T3434" s="73"/>
      <c r="X3434" s="189"/>
      <c r="Y3434" s="189"/>
      <c r="Z3434" s="100"/>
      <c r="AC3434" s="84"/>
      <c r="AD3434" s="189"/>
      <c r="AE3434" s="189"/>
      <c r="AF3434" s="189"/>
      <c r="AG3434" s="189"/>
      <c r="AH3434" s="189"/>
      <c r="AP3434" s="238"/>
    </row>
    <row r="3435" spans="3:42" s="45" customFormat="1" x14ac:dyDescent="0.2">
      <c r="C3435" s="189"/>
      <c r="F3435" s="73"/>
      <c r="M3435" s="111"/>
      <c r="N3435" s="73"/>
      <c r="O3435" s="73"/>
      <c r="P3435" s="73"/>
      <c r="Q3435" s="73"/>
      <c r="R3435" s="111"/>
      <c r="S3435" s="75"/>
      <c r="T3435" s="73"/>
      <c r="X3435" s="189"/>
      <c r="Y3435" s="189"/>
      <c r="Z3435" s="100"/>
      <c r="AC3435" s="84"/>
      <c r="AD3435" s="189"/>
      <c r="AE3435" s="189"/>
      <c r="AF3435" s="189"/>
      <c r="AG3435" s="189"/>
      <c r="AH3435" s="189"/>
      <c r="AP3435" s="238"/>
    </row>
    <row r="3436" spans="3:42" s="45" customFormat="1" x14ac:dyDescent="0.2">
      <c r="C3436" s="189"/>
      <c r="F3436" s="73"/>
      <c r="M3436" s="111"/>
      <c r="N3436" s="73"/>
      <c r="O3436" s="73"/>
      <c r="P3436" s="73"/>
      <c r="Q3436" s="73"/>
      <c r="R3436" s="111"/>
      <c r="S3436" s="75"/>
      <c r="T3436" s="73"/>
      <c r="X3436" s="189"/>
      <c r="Y3436" s="189"/>
      <c r="Z3436" s="100"/>
      <c r="AC3436" s="84"/>
      <c r="AD3436" s="189"/>
      <c r="AE3436" s="189"/>
      <c r="AF3436" s="189"/>
      <c r="AG3436" s="189"/>
      <c r="AH3436" s="189"/>
      <c r="AP3436" s="238"/>
    </row>
    <row r="3437" spans="3:42" s="45" customFormat="1" x14ac:dyDescent="0.2">
      <c r="C3437" s="189"/>
      <c r="F3437" s="73"/>
      <c r="M3437" s="111"/>
      <c r="N3437" s="73"/>
      <c r="O3437" s="73"/>
      <c r="P3437" s="73"/>
      <c r="Q3437" s="73"/>
      <c r="R3437" s="111"/>
      <c r="S3437" s="75"/>
      <c r="T3437" s="73"/>
      <c r="X3437" s="189"/>
      <c r="Y3437" s="189"/>
      <c r="Z3437" s="100"/>
      <c r="AC3437" s="84"/>
      <c r="AD3437" s="189"/>
      <c r="AE3437" s="189"/>
      <c r="AF3437" s="189"/>
      <c r="AG3437" s="189"/>
      <c r="AH3437" s="189"/>
      <c r="AP3437" s="238"/>
    </row>
    <row r="3438" spans="3:42" s="45" customFormat="1" x14ac:dyDescent="0.2">
      <c r="C3438" s="189"/>
      <c r="F3438" s="73"/>
      <c r="M3438" s="111"/>
      <c r="N3438" s="73"/>
      <c r="O3438" s="73"/>
      <c r="P3438" s="73"/>
      <c r="Q3438" s="73"/>
      <c r="R3438" s="111"/>
      <c r="S3438" s="75"/>
      <c r="T3438" s="73"/>
      <c r="X3438" s="189"/>
      <c r="Y3438" s="189"/>
      <c r="Z3438" s="100"/>
      <c r="AC3438" s="84"/>
      <c r="AD3438" s="189"/>
      <c r="AE3438" s="189"/>
      <c r="AF3438" s="189"/>
      <c r="AG3438" s="189"/>
      <c r="AH3438" s="189"/>
      <c r="AP3438" s="238"/>
    </row>
    <row r="3439" spans="3:42" s="45" customFormat="1" x14ac:dyDescent="0.2">
      <c r="C3439" s="189"/>
      <c r="F3439" s="73"/>
      <c r="M3439" s="111"/>
      <c r="N3439" s="73"/>
      <c r="O3439" s="73"/>
      <c r="P3439" s="73"/>
      <c r="Q3439" s="73"/>
      <c r="R3439" s="111"/>
      <c r="S3439" s="75"/>
      <c r="T3439" s="73"/>
      <c r="X3439" s="189"/>
      <c r="Y3439" s="189"/>
      <c r="Z3439" s="100"/>
      <c r="AC3439" s="84"/>
      <c r="AD3439" s="189"/>
      <c r="AE3439" s="189"/>
      <c r="AF3439" s="189"/>
      <c r="AG3439" s="189"/>
      <c r="AH3439" s="189"/>
      <c r="AP3439" s="238"/>
    </row>
    <row r="3440" spans="3:42" s="45" customFormat="1" x14ac:dyDescent="0.2">
      <c r="C3440" s="189"/>
      <c r="F3440" s="73"/>
      <c r="M3440" s="111"/>
      <c r="N3440" s="73"/>
      <c r="O3440" s="73"/>
      <c r="P3440" s="73"/>
      <c r="Q3440" s="73"/>
      <c r="R3440" s="111"/>
      <c r="S3440" s="75"/>
      <c r="T3440" s="73"/>
      <c r="X3440" s="189"/>
      <c r="Y3440" s="189"/>
      <c r="Z3440" s="100"/>
      <c r="AC3440" s="84"/>
      <c r="AD3440" s="189"/>
      <c r="AE3440" s="189"/>
      <c r="AF3440" s="189"/>
      <c r="AG3440" s="189"/>
      <c r="AH3440" s="189"/>
      <c r="AP3440" s="238"/>
    </row>
    <row r="3441" spans="3:42" s="45" customFormat="1" x14ac:dyDescent="0.2">
      <c r="C3441" s="189"/>
      <c r="F3441" s="73"/>
      <c r="M3441" s="111"/>
      <c r="N3441" s="73"/>
      <c r="O3441" s="73"/>
      <c r="P3441" s="73"/>
      <c r="Q3441" s="73"/>
      <c r="R3441" s="111"/>
      <c r="S3441" s="75"/>
      <c r="T3441" s="73"/>
      <c r="X3441" s="189"/>
      <c r="Y3441" s="189"/>
      <c r="Z3441" s="100"/>
      <c r="AC3441" s="84"/>
      <c r="AD3441" s="189"/>
      <c r="AE3441" s="189"/>
      <c r="AF3441" s="189"/>
      <c r="AG3441" s="189"/>
      <c r="AH3441" s="189"/>
      <c r="AP3441" s="238"/>
    </row>
    <row r="3442" spans="3:42" s="45" customFormat="1" x14ac:dyDescent="0.2">
      <c r="C3442" s="189"/>
      <c r="F3442" s="73"/>
      <c r="M3442" s="111"/>
      <c r="N3442" s="73"/>
      <c r="O3442" s="73"/>
      <c r="P3442" s="73"/>
      <c r="Q3442" s="73"/>
      <c r="R3442" s="111"/>
      <c r="S3442" s="75"/>
      <c r="T3442" s="73"/>
      <c r="X3442" s="189"/>
      <c r="Y3442" s="189"/>
      <c r="Z3442" s="100"/>
      <c r="AC3442" s="84"/>
      <c r="AD3442" s="189"/>
      <c r="AE3442" s="189"/>
      <c r="AF3442" s="189"/>
      <c r="AG3442" s="189"/>
      <c r="AH3442" s="189"/>
      <c r="AP3442" s="238"/>
    </row>
    <row r="3443" spans="3:42" s="45" customFormat="1" x14ac:dyDescent="0.2">
      <c r="C3443" s="189"/>
      <c r="F3443" s="73"/>
      <c r="M3443" s="111"/>
      <c r="N3443" s="73"/>
      <c r="O3443" s="73"/>
      <c r="P3443" s="73"/>
      <c r="Q3443" s="73"/>
      <c r="R3443" s="111"/>
      <c r="S3443" s="75"/>
      <c r="T3443" s="73"/>
      <c r="X3443" s="189"/>
      <c r="Y3443" s="189"/>
      <c r="Z3443" s="100"/>
      <c r="AC3443" s="84"/>
      <c r="AD3443" s="189"/>
      <c r="AE3443" s="189"/>
      <c r="AF3443" s="189"/>
      <c r="AG3443" s="189"/>
      <c r="AH3443" s="189"/>
      <c r="AP3443" s="238"/>
    </row>
    <row r="3444" spans="3:42" s="45" customFormat="1" x14ac:dyDescent="0.2">
      <c r="C3444" s="189"/>
      <c r="F3444" s="73"/>
      <c r="M3444" s="111"/>
      <c r="N3444" s="73"/>
      <c r="O3444" s="73"/>
      <c r="P3444" s="73"/>
      <c r="Q3444" s="73"/>
      <c r="R3444" s="111"/>
      <c r="S3444" s="75"/>
      <c r="T3444" s="73"/>
      <c r="X3444" s="189"/>
      <c r="Y3444" s="189"/>
      <c r="Z3444" s="100"/>
      <c r="AC3444" s="84"/>
      <c r="AD3444" s="189"/>
      <c r="AE3444" s="189"/>
      <c r="AF3444" s="189"/>
      <c r="AG3444" s="189"/>
      <c r="AH3444" s="189"/>
      <c r="AP3444" s="238"/>
    </row>
    <row r="3445" spans="3:42" s="45" customFormat="1" x14ac:dyDescent="0.2">
      <c r="C3445" s="189"/>
      <c r="F3445" s="73"/>
      <c r="M3445" s="111"/>
      <c r="N3445" s="73"/>
      <c r="O3445" s="73"/>
      <c r="P3445" s="73"/>
      <c r="Q3445" s="73"/>
      <c r="R3445" s="111"/>
      <c r="S3445" s="75"/>
      <c r="T3445" s="73"/>
      <c r="X3445" s="189"/>
      <c r="Y3445" s="189"/>
      <c r="Z3445" s="100"/>
      <c r="AC3445" s="84"/>
      <c r="AD3445" s="189"/>
      <c r="AE3445" s="189"/>
      <c r="AF3445" s="189"/>
      <c r="AG3445" s="189"/>
      <c r="AH3445" s="189"/>
      <c r="AP3445" s="238"/>
    </row>
    <row r="3446" spans="3:42" s="45" customFormat="1" x14ac:dyDescent="0.2">
      <c r="C3446" s="189"/>
      <c r="F3446" s="73"/>
      <c r="M3446" s="111"/>
      <c r="N3446" s="73"/>
      <c r="O3446" s="73"/>
      <c r="P3446" s="73"/>
      <c r="Q3446" s="73"/>
      <c r="R3446" s="111"/>
      <c r="S3446" s="75"/>
      <c r="T3446" s="73"/>
      <c r="X3446" s="189"/>
      <c r="Y3446" s="189"/>
      <c r="Z3446" s="100"/>
      <c r="AC3446" s="84"/>
      <c r="AD3446" s="189"/>
      <c r="AE3446" s="189"/>
      <c r="AF3446" s="189"/>
      <c r="AG3446" s="189"/>
      <c r="AH3446" s="189"/>
      <c r="AP3446" s="238"/>
    </row>
    <row r="3447" spans="3:42" s="45" customFormat="1" x14ac:dyDescent="0.2">
      <c r="C3447" s="189"/>
      <c r="F3447" s="73"/>
      <c r="M3447" s="111"/>
      <c r="N3447" s="73"/>
      <c r="O3447" s="73"/>
      <c r="P3447" s="73"/>
      <c r="Q3447" s="73"/>
      <c r="R3447" s="111"/>
      <c r="S3447" s="75"/>
      <c r="T3447" s="73"/>
      <c r="X3447" s="189"/>
      <c r="Y3447" s="189"/>
      <c r="Z3447" s="100"/>
      <c r="AC3447" s="84"/>
      <c r="AD3447" s="189"/>
      <c r="AE3447" s="189"/>
      <c r="AF3447" s="189"/>
      <c r="AG3447" s="189"/>
      <c r="AH3447" s="189"/>
      <c r="AP3447" s="238"/>
    </row>
    <row r="3448" spans="3:42" s="45" customFormat="1" x14ac:dyDescent="0.2">
      <c r="C3448" s="189"/>
      <c r="F3448" s="73"/>
      <c r="M3448" s="111"/>
      <c r="N3448" s="73"/>
      <c r="O3448" s="73"/>
      <c r="P3448" s="73"/>
      <c r="Q3448" s="73"/>
      <c r="R3448" s="111"/>
      <c r="S3448" s="75"/>
      <c r="T3448" s="73"/>
      <c r="X3448" s="189"/>
      <c r="Y3448" s="189"/>
      <c r="Z3448" s="100"/>
      <c r="AC3448" s="84"/>
      <c r="AD3448" s="189"/>
      <c r="AE3448" s="189"/>
      <c r="AF3448" s="189"/>
      <c r="AG3448" s="189"/>
      <c r="AH3448" s="189"/>
      <c r="AP3448" s="238"/>
    </row>
    <row r="3449" spans="3:42" s="45" customFormat="1" x14ac:dyDescent="0.2">
      <c r="C3449" s="189"/>
      <c r="F3449" s="73"/>
      <c r="M3449" s="111"/>
      <c r="N3449" s="73"/>
      <c r="O3449" s="73"/>
      <c r="P3449" s="73"/>
      <c r="Q3449" s="73"/>
      <c r="R3449" s="111"/>
      <c r="S3449" s="75"/>
      <c r="T3449" s="73"/>
      <c r="X3449" s="189"/>
      <c r="Y3449" s="189"/>
      <c r="Z3449" s="100"/>
      <c r="AC3449" s="84"/>
      <c r="AD3449" s="189"/>
      <c r="AE3449" s="189"/>
      <c r="AF3449" s="189"/>
      <c r="AG3449" s="189"/>
      <c r="AH3449" s="189"/>
      <c r="AP3449" s="238"/>
    </row>
    <row r="3450" spans="3:42" s="45" customFormat="1" x14ac:dyDescent="0.2">
      <c r="C3450" s="189"/>
      <c r="F3450" s="73"/>
      <c r="M3450" s="111"/>
      <c r="N3450" s="73"/>
      <c r="O3450" s="73"/>
      <c r="P3450" s="73"/>
      <c r="Q3450" s="73"/>
      <c r="R3450" s="111"/>
      <c r="S3450" s="75"/>
      <c r="T3450" s="73"/>
      <c r="X3450" s="189"/>
      <c r="Y3450" s="189"/>
      <c r="Z3450" s="100"/>
      <c r="AC3450" s="84"/>
      <c r="AD3450" s="189"/>
      <c r="AE3450" s="189"/>
      <c r="AF3450" s="189"/>
      <c r="AG3450" s="189"/>
      <c r="AH3450" s="189"/>
      <c r="AP3450" s="238"/>
    </row>
    <row r="3451" spans="3:42" s="45" customFormat="1" x14ac:dyDescent="0.2">
      <c r="C3451" s="189"/>
      <c r="F3451" s="73"/>
      <c r="M3451" s="111"/>
      <c r="N3451" s="73"/>
      <c r="O3451" s="73"/>
      <c r="P3451" s="73"/>
      <c r="Q3451" s="73"/>
      <c r="R3451" s="111"/>
      <c r="S3451" s="75"/>
      <c r="T3451" s="73"/>
      <c r="X3451" s="189"/>
      <c r="Y3451" s="189"/>
      <c r="Z3451" s="100"/>
      <c r="AC3451" s="84"/>
      <c r="AD3451" s="189"/>
      <c r="AE3451" s="189"/>
      <c r="AF3451" s="189"/>
      <c r="AG3451" s="189"/>
      <c r="AH3451" s="189"/>
      <c r="AP3451" s="238"/>
    </row>
    <row r="3452" spans="3:42" s="45" customFormat="1" x14ac:dyDescent="0.2">
      <c r="C3452" s="189"/>
      <c r="F3452" s="73"/>
      <c r="M3452" s="111"/>
      <c r="N3452" s="73"/>
      <c r="O3452" s="73"/>
      <c r="P3452" s="73"/>
      <c r="Q3452" s="73"/>
      <c r="R3452" s="111"/>
      <c r="S3452" s="75"/>
      <c r="T3452" s="73"/>
      <c r="X3452" s="189"/>
      <c r="Y3452" s="189"/>
      <c r="Z3452" s="100"/>
      <c r="AC3452" s="84"/>
      <c r="AD3452" s="189"/>
      <c r="AE3452" s="189"/>
      <c r="AF3452" s="189"/>
      <c r="AG3452" s="189"/>
      <c r="AH3452" s="189"/>
      <c r="AP3452" s="238"/>
    </row>
    <row r="3453" spans="3:42" s="45" customFormat="1" x14ac:dyDescent="0.2">
      <c r="C3453" s="189"/>
      <c r="F3453" s="73"/>
      <c r="M3453" s="111"/>
      <c r="N3453" s="73"/>
      <c r="O3453" s="73"/>
      <c r="P3453" s="73"/>
      <c r="Q3453" s="73"/>
      <c r="R3453" s="111"/>
      <c r="S3453" s="75"/>
      <c r="T3453" s="73"/>
      <c r="X3453" s="189"/>
      <c r="Y3453" s="189"/>
      <c r="Z3453" s="100"/>
      <c r="AC3453" s="84"/>
      <c r="AD3453" s="189"/>
      <c r="AE3453" s="189"/>
      <c r="AF3453" s="189"/>
      <c r="AG3453" s="189"/>
      <c r="AH3453" s="189"/>
      <c r="AP3453" s="238"/>
    </row>
    <row r="3454" spans="3:42" s="45" customFormat="1" x14ac:dyDescent="0.2">
      <c r="C3454" s="189"/>
      <c r="F3454" s="73"/>
      <c r="M3454" s="111"/>
      <c r="N3454" s="73"/>
      <c r="O3454" s="73"/>
      <c r="P3454" s="73"/>
      <c r="Q3454" s="73"/>
      <c r="R3454" s="111"/>
      <c r="S3454" s="75"/>
      <c r="T3454" s="73"/>
      <c r="X3454" s="189"/>
      <c r="Y3454" s="189"/>
      <c r="Z3454" s="100"/>
      <c r="AC3454" s="84"/>
      <c r="AD3454" s="189"/>
      <c r="AE3454" s="189"/>
      <c r="AF3454" s="189"/>
      <c r="AG3454" s="189"/>
      <c r="AH3454" s="189"/>
      <c r="AP3454" s="238"/>
    </row>
    <row r="3455" spans="3:42" s="45" customFormat="1" x14ac:dyDescent="0.2">
      <c r="C3455" s="189"/>
      <c r="F3455" s="73"/>
      <c r="M3455" s="111"/>
      <c r="N3455" s="73"/>
      <c r="O3455" s="73"/>
      <c r="P3455" s="73"/>
      <c r="Q3455" s="73"/>
      <c r="R3455" s="111"/>
      <c r="S3455" s="75"/>
      <c r="T3455" s="73"/>
      <c r="X3455" s="189"/>
      <c r="Y3455" s="189"/>
      <c r="Z3455" s="100"/>
      <c r="AC3455" s="84"/>
      <c r="AD3455" s="189"/>
      <c r="AE3455" s="189"/>
      <c r="AF3455" s="189"/>
      <c r="AG3455" s="189"/>
      <c r="AH3455" s="189"/>
      <c r="AP3455" s="238"/>
    </row>
    <row r="3456" spans="3:42" s="45" customFormat="1" x14ac:dyDescent="0.2">
      <c r="C3456" s="189"/>
      <c r="F3456" s="73"/>
      <c r="M3456" s="111"/>
      <c r="N3456" s="73"/>
      <c r="O3456" s="73"/>
      <c r="P3456" s="73"/>
      <c r="Q3456" s="73"/>
      <c r="R3456" s="111"/>
      <c r="S3456" s="75"/>
      <c r="T3456" s="73"/>
      <c r="X3456" s="189"/>
      <c r="Y3456" s="189"/>
      <c r="Z3456" s="100"/>
      <c r="AC3456" s="84"/>
      <c r="AD3456" s="189"/>
      <c r="AE3456" s="189"/>
      <c r="AF3456" s="189"/>
      <c r="AG3456" s="189"/>
      <c r="AH3456" s="189"/>
      <c r="AP3456" s="238"/>
    </row>
    <row r="3457" spans="3:42" s="45" customFormat="1" x14ac:dyDescent="0.2">
      <c r="C3457" s="189"/>
      <c r="F3457" s="73"/>
      <c r="M3457" s="111"/>
      <c r="N3457" s="73"/>
      <c r="O3457" s="73"/>
      <c r="P3457" s="73"/>
      <c r="Q3457" s="73"/>
      <c r="R3457" s="111"/>
      <c r="S3457" s="75"/>
      <c r="T3457" s="73"/>
      <c r="X3457" s="189"/>
      <c r="Y3457" s="189"/>
      <c r="Z3457" s="100"/>
      <c r="AC3457" s="84"/>
      <c r="AD3457" s="189"/>
      <c r="AE3457" s="189"/>
      <c r="AF3457" s="189"/>
      <c r="AG3457" s="189"/>
      <c r="AH3457" s="189"/>
      <c r="AP3457" s="238"/>
    </row>
    <row r="3458" spans="3:42" s="45" customFormat="1" x14ac:dyDescent="0.2">
      <c r="C3458" s="189"/>
      <c r="F3458" s="73"/>
      <c r="M3458" s="111"/>
      <c r="N3458" s="73"/>
      <c r="O3458" s="73"/>
      <c r="P3458" s="73"/>
      <c r="Q3458" s="73"/>
      <c r="R3458" s="111"/>
      <c r="S3458" s="75"/>
      <c r="T3458" s="73"/>
      <c r="X3458" s="189"/>
      <c r="Y3458" s="189"/>
      <c r="Z3458" s="100"/>
      <c r="AC3458" s="84"/>
      <c r="AD3458" s="189"/>
      <c r="AE3458" s="189"/>
      <c r="AF3458" s="189"/>
      <c r="AG3458" s="189"/>
      <c r="AH3458" s="189"/>
      <c r="AP3458" s="238"/>
    </row>
    <row r="3459" spans="3:42" s="45" customFormat="1" x14ac:dyDescent="0.2">
      <c r="C3459" s="189"/>
      <c r="F3459" s="73"/>
      <c r="M3459" s="111"/>
      <c r="N3459" s="73"/>
      <c r="O3459" s="73"/>
      <c r="P3459" s="73"/>
      <c r="Q3459" s="73"/>
      <c r="R3459" s="111"/>
      <c r="S3459" s="75"/>
      <c r="T3459" s="73"/>
      <c r="X3459" s="189"/>
      <c r="Y3459" s="189"/>
      <c r="Z3459" s="100"/>
      <c r="AC3459" s="84"/>
      <c r="AD3459" s="189"/>
      <c r="AE3459" s="189"/>
      <c r="AF3459" s="189"/>
      <c r="AG3459" s="189"/>
      <c r="AH3459" s="189"/>
      <c r="AP3459" s="238"/>
    </row>
    <row r="3460" spans="3:42" s="45" customFormat="1" x14ac:dyDescent="0.2">
      <c r="C3460" s="189"/>
      <c r="F3460" s="73"/>
      <c r="M3460" s="111"/>
      <c r="N3460" s="73"/>
      <c r="O3460" s="73"/>
      <c r="P3460" s="73"/>
      <c r="Q3460" s="73"/>
      <c r="R3460" s="111"/>
      <c r="S3460" s="75"/>
      <c r="T3460" s="73"/>
      <c r="X3460" s="189"/>
      <c r="Y3460" s="189"/>
      <c r="Z3460" s="100"/>
      <c r="AC3460" s="84"/>
      <c r="AD3460" s="189"/>
      <c r="AE3460" s="189"/>
      <c r="AF3460" s="189"/>
      <c r="AG3460" s="189"/>
      <c r="AH3460" s="189"/>
      <c r="AP3460" s="238"/>
    </row>
    <row r="3461" spans="3:42" s="45" customFormat="1" x14ac:dyDescent="0.2">
      <c r="C3461" s="189"/>
      <c r="F3461" s="73"/>
      <c r="M3461" s="111"/>
      <c r="N3461" s="73"/>
      <c r="O3461" s="73"/>
      <c r="P3461" s="73"/>
      <c r="Q3461" s="73"/>
      <c r="R3461" s="111"/>
      <c r="S3461" s="75"/>
      <c r="T3461" s="73"/>
      <c r="X3461" s="189"/>
      <c r="Y3461" s="189"/>
      <c r="Z3461" s="100"/>
      <c r="AC3461" s="84"/>
      <c r="AD3461" s="189"/>
      <c r="AE3461" s="189"/>
      <c r="AF3461" s="189"/>
      <c r="AG3461" s="189"/>
      <c r="AH3461" s="189"/>
      <c r="AP3461" s="238"/>
    </row>
    <row r="3462" spans="3:42" s="45" customFormat="1" x14ac:dyDescent="0.2">
      <c r="C3462" s="189"/>
      <c r="F3462" s="73"/>
      <c r="M3462" s="111"/>
      <c r="N3462" s="73"/>
      <c r="O3462" s="73"/>
      <c r="P3462" s="73"/>
      <c r="Q3462" s="73"/>
      <c r="R3462" s="111"/>
      <c r="S3462" s="75"/>
      <c r="T3462" s="73"/>
      <c r="X3462" s="189"/>
      <c r="Y3462" s="189"/>
      <c r="Z3462" s="100"/>
      <c r="AC3462" s="84"/>
      <c r="AD3462" s="189"/>
      <c r="AE3462" s="189"/>
      <c r="AF3462" s="189"/>
      <c r="AG3462" s="189"/>
      <c r="AH3462" s="189"/>
      <c r="AP3462" s="238"/>
    </row>
    <row r="3463" spans="3:42" s="45" customFormat="1" x14ac:dyDescent="0.2">
      <c r="C3463" s="189"/>
      <c r="F3463" s="73"/>
      <c r="M3463" s="111"/>
      <c r="N3463" s="73"/>
      <c r="O3463" s="73"/>
      <c r="P3463" s="73"/>
      <c r="Q3463" s="73"/>
      <c r="R3463" s="111"/>
      <c r="S3463" s="75"/>
      <c r="T3463" s="73"/>
      <c r="X3463" s="189"/>
      <c r="Y3463" s="189"/>
      <c r="Z3463" s="100"/>
      <c r="AC3463" s="84"/>
      <c r="AD3463" s="189"/>
      <c r="AE3463" s="189"/>
      <c r="AF3463" s="189"/>
      <c r="AG3463" s="189"/>
      <c r="AH3463" s="189"/>
      <c r="AP3463" s="238"/>
    </row>
    <row r="3464" spans="3:42" s="45" customFormat="1" x14ac:dyDescent="0.2">
      <c r="C3464" s="189"/>
      <c r="F3464" s="73"/>
      <c r="M3464" s="111"/>
      <c r="N3464" s="73"/>
      <c r="O3464" s="73"/>
      <c r="P3464" s="73"/>
      <c r="Q3464" s="73"/>
      <c r="R3464" s="111"/>
      <c r="S3464" s="75"/>
      <c r="T3464" s="73"/>
      <c r="X3464" s="189"/>
      <c r="Y3464" s="189"/>
      <c r="Z3464" s="100"/>
      <c r="AC3464" s="84"/>
      <c r="AD3464" s="189"/>
      <c r="AE3464" s="189"/>
      <c r="AF3464" s="189"/>
      <c r="AG3464" s="189"/>
      <c r="AH3464" s="189"/>
      <c r="AP3464" s="238"/>
    </row>
    <row r="3465" spans="3:42" s="45" customFormat="1" x14ac:dyDescent="0.2">
      <c r="C3465" s="189"/>
      <c r="F3465" s="73"/>
      <c r="M3465" s="111"/>
      <c r="N3465" s="73"/>
      <c r="O3465" s="73"/>
      <c r="P3465" s="73"/>
      <c r="Q3465" s="73"/>
      <c r="R3465" s="111"/>
      <c r="S3465" s="75"/>
      <c r="T3465" s="73"/>
      <c r="X3465" s="189"/>
      <c r="Y3465" s="189"/>
      <c r="Z3465" s="100"/>
      <c r="AC3465" s="84"/>
      <c r="AD3465" s="189"/>
      <c r="AE3465" s="189"/>
      <c r="AF3465" s="189"/>
      <c r="AG3465" s="189"/>
      <c r="AH3465" s="189"/>
      <c r="AP3465" s="238"/>
    </row>
    <row r="3466" spans="3:42" s="45" customFormat="1" x14ac:dyDescent="0.2">
      <c r="C3466" s="189"/>
      <c r="F3466" s="73"/>
      <c r="M3466" s="111"/>
      <c r="N3466" s="73"/>
      <c r="O3466" s="73"/>
      <c r="P3466" s="73"/>
      <c r="Q3466" s="73"/>
      <c r="R3466" s="111"/>
      <c r="S3466" s="75"/>
      <c r="T3466" s="73"/>
      <c r="X3466" s="189"/>
      <c r="Y3466" s="189"/>
      <c r="Z3466" s="100"/>
      <c r="AC3466" s="84"/>
      <c r="AD3466" s="189"/>
      <c r="AE3466" s="189"/>
      <c r="AF3466" s="189"/>
      <c r="AG3466" s="189"/>
      <c r="AH3466" s="189"/>
      <c r="AP3466" s="238"/>
    </row>
    <row r="3467" spans="3:42" s="45" customFormat="1" x14ac:dyDescent="0.2">
      <c r="C3467" s="189"/>
      <c r="F3467" s="73"/>
      <c r="M3467" s="111"/>
      <c r="N3467" s="73"/>
      <c r="O3467" s="73"/>
      <c r="P3467" s="73"/>
      <c r="Q3467" s="73"/>
      <c r="R3467" s="111"/>
      <c r="S3467" s="75"/>
      <c r="T3467" s="73"/>
      <c r="X3467" s="189"/>
      <c r="Y3467" s="189"/>
      <c r="Z3467" s="100"/>
      <c r="AC3467" s="84"/>
      <c r="AD3467" s="189"/>
      <c r="AE3467" s="189"/>
      <c r="AF3467" s="189"/>
      <c r="AG3467" s="189"/>
      <c r="AH3467" s="189"/>
      <c r="AP3467" s="238"/>
    </row>
    <row r="3468" spans="3:42" s="45" customFormat="1" x14ac:dyDescent="0.2">
      <c r="C3468" s="189"/>
      <c r="F3468" s="73"/>
      <c r="M3468" s="111"/>
      <c r="N3468" s="73"/>
      <c r="O3468" s="73"/>
      <c r="P3468" s="73"/>
      <c r="Q3468" s="73"/>
      <c r="R3468" s="111"/>
      <c r="S3468" s="75"/>
      <c r="T3468" s="73"/>
      <c r="X3468" s="189"/>
      <c r="Y3468" s="189"/>
      <c r="Z3468" s="100"/>
      <c r="AC3468" s="84"/>
      <c r="AD3468" s="189"/>
      <c r="AE3468" s="189"/>
      <c r="AF3468" s="189"/>
      <c r="AG3468" s="189"/>
      <c r="AH3468" s="189"/>
      <c r="AP3468" s="238"/>
    </row>
    <row r="3469" spans="3:42" s="45" customFormat="1" x14ac:dyDescent="0.2">
      <c r="C3469" s="189"/>
      <c r="F3469" s="73"/>
      <c r="M3469" s="111"/>
      <c r="N3469" s="73"/>
      <c r="O3469" s="73"/>
      <c r="P3469" s="73"/>
      <c r="Q3469" s="73"/>
      <c r="R3469" s="111"/>
      <c r="S3469" s="75"/>
      <c r="T3469" s="73"/>
      <c r="X3469" s="189"/>
      <c r="Y3469" s="189"/>
      <c r="Z3469" s="100"/>
      <c r="AC3469" s="84"/>
      <c r="AD3469" s="189"/>
      <c r="AE3469" s="189"/>
      <c r="AF3469" s="189"/>
      <c r="AG3469" s="189"/>
      <c r="AH3469" s="189"/>
      <c r="AP3469" s="238"/>
    </row>
    <row r="3470" spans="3:42" s="45" customFormat="1" x14ac:dyDescent="0.2">
      <c r="C3470" s="189"/>
      <c r="F3470" s="73"/>
      <c r="M3470" s="111"/>
      <c r="N3470" s="73"/>
      <c r="O3470" s="73"/>
      <c r="P3470" s="73"/>
      <c r="Q3470" s="73"/>
      <c r="R3470" s="111"/>
      <c r="S3470" s="75"/>
      <c r="T3470" s="73"/>
      <c r="X3470" s="189"/>
      <c r="Y3470" s="189"/>
      <c r="Z3470" s="100"/>
      <c r="AC3470" s="84"/>
      <c r="AD3470" s="189"/>
      <c r="AE3470" s="189"/>
      <c r="AF3470" s="189"/>
      <c r="AG3470" s="189"/>
      <c r="AH3470" s="189"/>
      <c r="AP3470" s="238"/>
    </row>
    <row r="3471" spans="3:42" s="45" customFormat="1" x14ac:dyDescent="0.2">
      <c r="C3471" s="189"/>
      <c r="F3471" s="73"/>
      <c r="M3471" s="111"/>
      <c r="N3471" s="73"/>
      <c r="O3471" s="73"/>
      <c r="P3471" s="73"/>
      <c r="Q3471" s="73"/>
      <c r="R3471" s="111"/>
      <c r="S3471" s="75"/>
      <c r="T3471" s="73"/>
      <c r="X3471" s="189"/>
      <c r="Y3471" s="189"/>
      <c r="Z3471" s="100"/>
      <c r="AC3471" s="84"/>
      <c r="AD3471" s="189"/>
      <c r="AE3471" s="189"/>
      <c r="AF3471" s="189"/>
      <c r="AG3471" s="189"/>
      <c r="AH3471" s="189"/>
      <c r="AP3471" s="238"/>
    </row>
    <row r="3472" spans="3:42" s="45" customFormat="1" x14ac:dyDescent="0.2">
      <c r="C3472" s="189"/>
      <c r="F3472" s="73"/>
      <c r="M3472" s="111"/>
      <c r="N3472" s="73"/>
      <c r="O3472" s="73"/>
      <c r="P3472" s="73"/>
      <c r="Q3472" s="73"/>
      <c r="R3472" s="111"/>
      <c r="S3472" s="75"/>
      <c r="T3472" s="73"/>
      <c r="X3472" s="189"/>
      <c r="Y3472" s="189"/>
      <c r="Z3472" s="100"/>
      <c r="AC3472" s="84"/>
      <c r="AD3472" s="189"/>
      <c r="AE3472" s="189"/>
      <c r="AF3472" s="189"/>
      <c r="AG3472" s="189"/>
      <c r="AH3472" s="189"/>
      <c r="AP3472" s="238"/>
    </row>
    <row r="3473" spans="3:42" s="45" customFormat="1" x14ac:dyDescent="0.2">
      <c r="C3473" s="189"/>
      <c r="F3473" s="73"/>
      <c r="M3473" s="111"/>
      <c r="N3473" s="73"/>
      <c r="O3473" s="73"/>
      <c r="P3473" s="73"/>
      <c r="Q3473" s="73"/>
      <c r="R3473" s="111"/>
      <c r="S3473" s="75"/>
      <c r="T3473" s="73"/>
      <c r="X3473" s="189"/>
      <c r="Y3473" s="189"/>
      <c r="Z3473" s="100"/>
      <c r="AC3473" s="84"/>
      <c r="AD3473" s="189"/>
      <c r="AE3473" s="189"/>
      <c r="AF3473" s="189"/>
      <c r="AG3473" s="189"/>
      <c r="AH3473" s="189"/>
      <c r="AP3473" s="238"/>
    </row>
    <row r="3474" spans="3:42" s="45" customFormat="1" x14ac:dyDescent="0.2">
      <c r="C3474" s="189"/>
      <c r="F3474" s="73"/>
      <c r="M3474" s="111"/>
      <c r="N3474" s="73"/>
      <c r="O3474" s="73"/>
      <c r="P3474" s="73"/>
      <c r="Q3474" s="73"/>
      <c r="R3474" s="111"/>
      <c r="S3474" s="75"/>
      <c r="T3474" s="73"/>
      <c r="X3474" s="189"/>
      <c r="Y3474" s="189"/>
      <c r="Z3474" s="100"/>
      <c r="AC3474" s="84"/>
      <c r="AD3474" s="189"/>
      <c r="AE3474" s="189"/>
      <c r="AF3474" s="189"/>
      <c r="AG3474" s="189"/>
      <c r="AH3474" s="189"/>
      <c r="AP3474" s="238"/>
    </row>
    <row r="3475" spans="3:42" s="45" customFormat="1" x14ac:dyDescent="0.2">
      <c r="C3475" s="189"/>
      <c r="F3475" s="73"/>
      <c r="M3475" s="111"/>
      <c r="N3475" s="73"/>
      <c r="O3475" s="73"/>
      <c r="P3475" s="73"/>
      <c r="Q3475" s="73"/>
      <c r="R3475" s="111"/>
      <c r="S3475" s="75"/>
      <c r="T3475" s="73"/>
      <c r="X3475" s="189"/>
      <c r="Y3475" s="189"/>
      <c r="Z3475" s="100"/>
      <c r="AC3475" s="84"/>
      <c r="AD3475" s="189"/>
      <c r="AE3475" s="189"/>
      <c r="AF3475" s="189"/>
      <c r="AG3475" s="189"/>
      <c r="AH3475" s="189"/>
      <c r="AP3475" s="238"/>
    </row>
    <row r="3476" spans="3:42" s="45" customFormat="1" x14ac:dyDescent="0.2">
      <c r="C3476" s="189"/>
      <c r="F3476" s="73"/>
      <c r="M3476" s="111"/>
      <c r="N3476" s="73"/>
      <c r="O3476" s="73"/>
      <c r="P3476" s="73"/>
      <c r="Q3476" s="73"/>
      <c r="R3476" s="111"/>
      <c r="S3476" s="75"/>
      <c r="T3476" s="73"/>
      <c r="X3476" s="189"/>
      <c r="Y3476" s="189"/>
      <c r="Z3476" s="100"/>
      <c r="AC3476" s="84"/>
      <c r="AD3476" s="189"/>
      <c r="AE3476" s="189"/>
      <c r="AF3476" s="189"/>
      <c r="AG3476" s="189"/>
      <c r="AH3476" s="189"/>
      <c r="AP3476" s="238"/>
    </row>
    <row r="3477" spans="3:42" s="45" customFormat="1" x14ac:dyDescent="0.2">
      <c r="C3477" s="189"/>
      <c r="F3477" s="73"/>
      <c r="M3477" s="111"/>
      <c r="N3477" s="73"/>
      <c r="O3477" s="73"/>
      <c r="P3477" s="73"/>
      <c r="Q3477" s="73"/>
      <c r="R3477" s="111"/>
      <c r="S3477" s="75"/>
      <c r="T3477" s="73"/>
      <c r="X3477" s="189"/>
      <c r="Y3477" s="189"/>
      <c r="Z3477" s="100"/>
      <c r="AC3477" s="84"/>
      <c r="AD3477" s="189"/>
      <c r="AE3477" s="189"/>
      <c r="AF3477" s="189"/>
      <c r="AG3477" s="189"/>
      <c r="AH3477" s="189"/>
      <c r="AP3477" s="238"/>
    </row>
    <row r="3478" spans="3:42" s="45" customFormat="1" x14ac:dyDescent="0.2">
      <c r="C3478" s="189"/>
      <c r="F3478" s="73"/>
      <c r="M3478" s="111"/>
      <c r="N3478" s="73"/>
      <c r="O3478" s="73"/>
      <c r="P3478" s="73"/>
      <c r="Q3478" s="73"/>
      <c r="R3478" s="111"/>
      <c r="S3478" s="75"/>
      <c r="T3478" s="73"/>
      <c r="X3478" s="189"/>
      <c r="Y3478" s="189"/>
      <c r="Z3478" s="100"/>
      <c r="AC3478" s="84"/>
      <c r="AD3478" s="189"/>
      <c r="AE3478" s="189"/>
      <c r="AF3478" s="189"/>
      <c r="AG3478" s="189"/>
      <c r="AH3478" s="189"/>
      <c r="AP3478" s="238"/>
    </row>
    <row r="3479" spans="3:42" s="45" customFormat="1" x14ac:dyDescent="0.2">
      <c r="C3479" s="189"/>
      <c r="F3479" s="73"/>
      <c r="M3479" s="111"/>
      <c r="N3479" s="73"/>
      <c r="O3479" s="73"/>
      <c r="P3479" s="73"/>
      <c r="Q3479" s="73"/>
      <c r="R3479" s="111"/>
      <c r="S3479" s="75"/>
      <c r="T3479" s="73"/>
      <c r="X3479" s="189"/>
      <c r="Y3479" s="189"/>
      <c r="Z3479" s="100"/>
      <c r="AC3479" s="84"/>
      <c r="AD3479" s="189"/>
      <c r="AE3479" s="189"/>
      <c r="AF3479" s="189"/>
      <c r="AG3479" s="189"/>
      <c r="AH3479" s="189"/>
      <c r="AP3479" s="238"/>
    </row>
    <row r="3480" spans="3:42" s="45" customFormat="1" x14ac:dyDescent="0.2">
      <c r="C3480" s="189"/>
      <c r="F3480" s="73"/>
      <c r="M3480" s="111"/>
      <c r="N3480" s="73"/>
      <c r="O3480" s="73"/>
      <c r="P3480" s="73"/>
      <c r="Q3480" s="73"/>
      <c r="R3480" s="111"/>
      <c r="S3480" s="75"/>
      <c r="T3480" s="73"/>
      <c r="X3480" s="189"/>
      <c r="Y3480" s="189"/>
      <c r="Z3480" s="100"/>
      <c r="AC3480" s="84"/>
      <c r="AD3480" s="189"/>
      <c r="AE3480" s="189"/>
      <c r="AF3480" s="189"/>
      <c r="AG3480" s="189"/>
      <c r="AH3480" s="189"/>
      <c r="AP3480" s="238"/>
    </row>
    <row r="3481" spans="3:42" s="45" customFormat="1" x14ac:dyDescent="0.2">
      <c r="C3481" s="189"/>
      <c r="F3481" s="73"/>
      <c r="M3481" s="111"/>
      <c r="N3481" s="73"/>
      <c r="O3481" s="73"/>
      <c r="P3481" s="73"/>
      <c r="Q3481" s="73"/>
      <c r="R3481" s="111"/>
      <c r="S3481" s="75"/>
      <c r="T3481" s="73"/>
      <c r="X3481" s="189"/>
      <c r="Y3481" s="189"/>
      <c r="Z3481" s="100"/>
      <c r="AC3481" s="84"/>
      <c r="AD3481" s="189"/>
      <c r="AE3481" s="189"/>
      <c r="AF3481" s="189"/>
      <c r="AG3481" s="189"/>
      <c r="AH3481" s="189"/>
      <c r="AP3481" s="238"/>
    </row>
    <row r="3482" spans="3:42" s="45" customFormat="1" x14ac:dyDescent="0.2">
      <c r="C3482" s="189"/>
      <c r="F3482" s="73"/>
      <c r="M3482" s="111"/>
      <c r="N3482" s="73"/>
      <c r="O3482" s="73"/>
      <c r="P3482" s="73"/>
      <c r="Q3482" s="73"/>
      <c r="R3482" s="111"/>
      <c r="S3482" s="75"/>
      <c r="T3482" s="73"/>
      <c r="X3482" s="189"/>
      <c r="Y3482" s="189"/>
      <c r="Z3482" s="100"/>
      <c r="AC3482" s="84"/>
      <c r="AD3482" s="189"/>
      <c r="AE3482" s="189"/>
      <c r="AF3482" s="189"/>
      <c r="AG3482" s="189"/>
      <c r="AH3482" s="189"/>
      <c r="AP3482" s="238"/>
    </row>
    <row r="3483" spans="3:42" s="45" customFormat="1" x14ac:dyDescent="0.2">
      <c r="C3483" s="189"/>
      <c r="F3483" s="73"/>
      <c r="M3483" s="111"/>
      <c r="N3483" s="73"/>
      <c r="O3483" s="73"/>
      <c r="P3483" s="73"/>
      <c r="Q3483" s="73"/>
      <c r="R3483" s="111"/>
      <c r="S3483" s="75"/>
      <c r="T3483" s="73"/>
      <c r="X3483" s="189"/>
      <c r="Y3483" s="189"/>
      <c r="Z3483" s="100"/>
      <c r="AC3483" s="84"/>
      <c r="AD3483" s="189"/>
      <c r="AE3483" s="189"/>
      <c r="AF3483" s="189"/>
      <c r="AG3483" s="189"/>
      <c r="AH3483" s="189"/>
      <c r="AP3483" s="238"/>
    </row>
    <row r="3484" spans="3:42" s="45" customFormat="1" x14ac:dyDescent="0.2">
      <c r="C3484" s="189"/>
      <c r="F3484" s="73"/>
      <c r="M3484" s="111"/>
      <c r="N3484" s="73"/>
      <c r="O3484" s="73"/>
      <c r="P3484" s="73"/>
      <c r="Q3484" s="73"/>
      <c r="R3484" s="111"/>
      <c r="S3484" s="75"/>
      <c r="T3484" s="73"/>
      <c r="X3484" s="189"/>
      <c r="Y3484" s="189"/>
      <c r="Z3484" s="100"/>
      <c r="AC3484" s="84"/>
      <c r="AD3484" s="189"/>
      <c r="AE3484" s="189"/>
      <c r="AF3484" s="189"/>
      <c r="AG3484" s="189"/>
      <c r="AH3484" s="189"/>
      <c r="AP3484" s="238"/>
    </row>
    <row r="3485" spans="3:42" s="45" customFormat="1" x14ac:dyDescent="0.2">
      <c r="C3485" s="189"/>
      <c r="F3485" s="73"/>
      <c r="M3485" s="111"/>
      <c r="N3485" s="73"/>
      <c r="O3485" s="73"/>
      <c r="P3485" s="73"/>
      <c r="Q3485" s="73"/>
      <c r="R3485" s="111"/>
      <c r="S3485" s="75"/>
      <c r="T3485" s="73"/>
      <c r="X3485" s="189"/>
      <c r="Y3485" s="189"/>
      <c r="Z3485" s="100"/>
      <c r="AC3485" s="84"/>
      <c r="AD3485" s="189"/>
      <c r="AE3485" s="189"/>
      <c r="AF3485" s="189"/>
      <c r="AG3485" s="189"/>
      <c r="AH3485" s="189"/>
      <c r="AP3485" s="238"/>
    </row>
    <row r="3486" spans="3:42" s="45" customFormat="1" x14ac:dyDescent="0.2">
      <c r="C3486" s="189"/>
      <c r="F3486" s="73"/>
      <c r="M3486" s="111"/>
      <c r="N3486" s="73"/>
      <c r="O3486" s="73"/>
      <c r="P3486" s="73"/>
      <c r="Q3486" s="73"/>
      <c r="R3486" s="111"/>
      <c r="S3486" s="75"/>
      <c r="T3486" s="73"/>
      <c r="X3486" s="189"/>
      <c r="Y3486" s="189"/>
      <c r="Z3486" s="100"/>
      <c r="AC3486" s="84"/>
      <c r="AD3486" s="189"/>
      <c r="AE3486" s="189"/>
      <c r="AF3486" s="189"/>
      <c r="AG3486" s="189"/>
      <c r="AH3486" s="189"/>
      <c r="AP3486" s="238"/>
    </row>
    <row r="3487" spans="3:42" s="45" customFormat="1" x14ac:dyDescent="0.2">
      <c r="C3487" s="189"/>
      <c r="F3487" s="73"/>
      <c r="M3487" s="111"/>
      <c r="N3487" s="73"/>
      <c r="O3487" s="73"/>
      <c r="P3487" s="73"/>
      <c r="Q3487" s="73"/>
      <c r="R3487" s="111"/>
      <c r="S3487" s="75"/>
      <c r="T3487" s="73"/>
      <c r="X3487" s="189"/>
      <c r="Y3487" s="189"/>
      <c r="Z3487" s="100"/>
      <c r="AC3487" s="84"/>
      <c r="AD3487" s="189"/>
      <c r="AE3487" s="189"/>
      <c r="AF3487" s="189"/>
      <c r="AG3487" s="189"/>
      <c r="AH3487" s="189"/>
      <c r="AP3487" s="238"/>
    </row>
    <row r="3488" spans="3:42" s="45" customFormat="1" x14ac:dyDescent="0.2">
      <c r="C3488" s="189"/>
      <c r="F3488" s="73"/>
      <c r="M3488" s="111"/>
      <c r="N3488" s="73"/>
      <c r="O3488" s="73"/>
      <c r="P3488" s="73"/>
      <c r="Q3488" s="73"/>
      <c r="R3488" s="111"/>
      <c r="S3488" s="75"/>
      <c r="T3488" s="73"/>
      <c r="X3488" s="189"/>
      <c r="Y3488" s="189"/>
      <c r="Z3488" s="100"/>
      <c r="AC3488" s="84"/>
      <c r="AD3488" s="189"/>
      <c r="AE3488" s="189"/>
      <c r="AF3488" s="189"/>
      <c r="AG3488" s="189"/>
      <c r="AH3488" s="189"/>
      <c r="AP3488" s="238"/>
    </row>
    <row r="3489" spans="3:42" s="45" customFormat="1" x14ac:dyDescent="0.2">
      <c r="C3489" s="189"/>
      <c r="F3489" s="73"/>
      <c r="M3489" s="111"/>
      <c r="N3489" s="73"/>
      <c r="O3489" s="73"/>
      <c r="P3489" s="73"/>
      <c r="Q3489" s="73"/>
      <c r="R3489" s="111"/>
      <c r="S3489" s="75"/>
      <c r="T3489" s="73"/>
      <c r="X3489" s="189"/>
      <c r="Y3489" s="189"/>
      <c r="Z3489" s="100"/>
      <c r="AC3489" s="84"/>
      <c r="AD3489" s="189"/>
      <c r="AE3489" s="189"/>
      <c r="AF3489" s="189"/>
      <c r="AG3489" s="189"/>
      <c r="AH3489" s="189"/>
      <c r="AP3489" s="238"/>
    </row>
    <row r="3490" spans="3:42" s="45" customFormat="1" x14ac:dyDescent="0.2">
      <c r="C3490" s="189"/>
      <c r="F3490" s="73"/>
      <c r="M3490" s="111"/>
      <c r="N3490" s="73"/>
      <c r="O3490" s="73"/>
      <c r="P3490" s="73"/>
      <c r="Q3490" s="73"/>
      <c r="R3490" s="111"/>
      <c r="S3490" s="75"/>
      <c r="T3490" s="73"/>
      <c r="X3490" s="189"/>
      <c r="Y3490" s="189"/>
      <c r="Z3490" s="100"/>
      <c r="AC3490" s="84"/>
      <c r="AD3490" s="189"/>
      <c r="AE3490" s="189"/>
      <c r="AF3490" s="189"/>
      <c r="AG3490" s="189"/>
      <c r="AH3490" s="189"/>
      <c r="AP3490" s="238"/>
    </row>
    <row r="3491" spans="3:42" s="45" customFormat="1" x14ac:dyDescent="0.2">
      <c r="C3491" s="189"/>
      <c r="F3491" s="73"/>
      <c r="M3491" s="111"/>
      <c r="N3491" s="73"/>
      <c r="O3491" s="73"/>
      <c r="P3491" s="73"/>
      <c r="Q3491" s="73"/>
      <c r="R3491" s="111"/>
      <c r="S3491" s="75"/>
      <c r="T3491" s="73"/>
      <c r="X3491" s="189"/>
      <c r="Y3491" s="189"/>
      <c r="Z3491" s="100"/>
      <c r="AC3491" s="84"/>
      <c r="AD3491" s="189"/>
      <c r="AE3491" s="189"/>
      <c r="AF3491" s="189"/>
      <c r="AG3491" s="189"/>
      <c r="AH3491" s="189"/>
      <c r="AP3491" s="238"/>
    </row>
    <row r="3492" spans="3:42" s="45" customFormat="1" x14ac:dyDescent="0.2">
      <c r="C3492" s="189"/>
      <c r="F3492" s="73"/>
      <c r="M3492" s="111"/>
      <c r="N3492" s="73"/>
      <c r="O3492" s="73"/>
      <c r="P3492" s="73"/>
      <c r="Q3492" s="73"/>
      <c r="R3492" s="111"/>
      <c r="S3492" s="75"/>
      <c r="T3492" s="73"/>
      <c r="X3492" s="189"/>
      <c r="Y3492" s="189"/>
      <c r="Z3492" s="100"/>
      <c r="AC3492" s="84"/>
      <c r="AD3492" s="189"/>
      <c r="AE3492" s="189"/>
      <c r="AF3492" s="189"/>
      <c r="AG3492" s="189"/>
      <c r="AH3492" s="189"/>
      <c r="AP3492" s="238"/>
    </row>
    <row r="3493" spans="3:42" s="45" customFormat="1" x14ac:dyDescent="0.2">
      <c r="C3493" s="189"/>
      <c r="F3493" s="73"/>
      <c r="M3493" s="111"/>
      <c r="N3493" s="73"/>
      <c r="O3493" s="73"/>
      <c r="P3493" s="73"/>
      <c r="Q3493" s="73"/>
      <c r="R3493" s="111"/>
      <c r="S3493" s="75"/>
      <c r="T3493" s="73"/>
      <c r="X3493" s="189"/>
      <c r="Y3493" s="189"/>
      <c r="Z3493" s="100"/>
      <c r="AC3493" s="84"/>
      <c r="AD3493" s="189"/>
      <c r="AE3493" s="189"/>
      <c r="AF3493" s="189"/>
      <c r="AG3493" s="189"/>
      <c r="AH3493" s="189"/>
      <c r="AP3493" s="238"/>
    </row>
    <row r="3494" spans="3:42" s="45" customFormat="1" x14ac:dyDescent="0.2">
      <c r="C3494" s="189"/>
      <c r="F3494" s="73"/>
      <c r="M3494" s="111"/>
      <c r="N3494" s="73"/>
      <c r="O3494" s="73"/>
      <c r="P3494" s="73"/>
      <c r="Q3494" s="73"/>
      <c r="R3494" s="111"/>
      <c r="S3494" s="75"/>
      <c r="T3494" s="73"/>
      <c r="X3494" s="189"/>
      <c r="Y3494" s="189"/>
      <c r="Z3494" s="100"/>
      <c r="AC3494" s="84"/>
      <c r="AD3494" s="189"/>
      <c r="AE3494" s="189"/>
      <c r="AF3494" s="189"/>
      <c r="AG3494" s="189"/>
      <c r="AH3494" s="189"/>
      <c r="AP3494" s="238"/>
    </row>
    <row r="3495" spans="3:42" s="45" customFormat="1" x14ac:dyDescent="0.2">
      <c r="C3495" s="189"/>
      <c r="F3495" s="73"/>
      <c r="M3495" s="111"/>
      <c r="N3495" s="73"/>
      <c r="O3495" s="73"/>
      <c r="P3495" s="73"/>
      <c r="Q3495" s="73"/>
      <c r="R3495" s="111"/>
      <c r="S3495" s="75"/>
      <c r="T3495" s="73"/>
      <c r="X3495" s="189"/>
      <c r="Y3495" s="189"/>
      <c r="Z3495" s="100"/>
      <c r="AC3495" s="84"/>
      <c r="AD3495" s="189"/>
      <c r="AE3495" s="189"/>
      <c r="AF3495" s="189"/>
      <c r="AG3495" s="189"/>
      <c r="AH3495" s="189"/>
      <c r="AP3495" s="238"/>
    </row>
    <row r="3496" spans="3:42" s="45" customFormat="1" x14ac:dyDescent="0.2">
      <c r="C3496" s="189"/>
      <c r="F3496" s="73"/>
      <c r="M3496" s="111"/>
      <c r="N3496" s="73"/>
      <c r="O3496" s="73"/>
      <c r="P3496" s="73"/>
      <c r="Q3496" s="73"/>
      <c r="R3496" s="111"/>
      <c r="S3496" s="75"/>
      <c r="T3496" s="73"/>
      <c r="X3496" s="189"/>
      <c r="Y3496" s="189"/>
      <c r="Z3496" s="100"/>
      <c r="AC3496" s="84"/>
      <c r="AD3496" s="189"/>
      <c r="AE3496" s="189"/>
      <c r="AF3496" s="189"/>
      <c r="AG3496" s="189"/>
      <c r="AH3496" s="189"/>
      <c r="AP3496" s="238"/>
    </row>
    <row r="3497" spans="3:42" s="45" customFormat="1" x14ac:dyDescent="0.2">
      <c r="C3497" s="189"/>
      <c r="F3497" s="73"/>
      <c r="M3497" s="111"/>
      <c r="N3497" s="73"/>
      <c r="O3497" s="73"/>
      <c r="P3497" s="73"/>
      <c r="Q3497" s="73"/>
      <c r="R3497" s="111"/>
      <c r="S3497" s="75"/>
      <c r="T3497" s="73"/>
      <c r="X3497" s="189"/>
      <c r="Y3497" s="189"/>
      <c r="Z3497" s="100"/>
      <c r="AC3497" s="84"/>
      <c r="AD3497" s="189"/>
      <c r="AE3497" s="189"/>
      <c r="AF3497" s="189"/>
      <c r="AG3497" s="189"/>
      <c r="AH3497" s="189"/>
      <c r="AP3497" s="238"/>
    </row>
    <row r="3498" spans="3:42" s="45" customFormat="1" x14ac:dyDescent="0.2">
      <c r="C3498" s="189"/>
      <c r="F3498" s="73"/>
      <c r="M3498" s="111"/>
      <c r="N3498" s="73"/>
      <c r="O3498" s="73"/>
      <c r="P3498" s="73"/>
      <c r="Q3498" s="73"/>
      <c r="R3498" s="111"/>
      <c r="S3498" s="75"/>
      <c r="T3498" s="73"/>
      <c r="X3498" s="189"/>
      <c r="Y3498" s="189"/>
      <c r="Z3498" s="100"/>
      <c r="AC3498" s="84"/>
      <c r="AD3498" s="189"/>
      <c r="AE3498" s="189"/>
      <c r="AF3498" s="189"/>
      <c r="AG3498" s="189"/>
      <c r="AH3498" s="189"/>
      <c r="AP3498" s="238"/>
    </row>
    <row r="3499" spans="3:42" s="45" customFormat="1" x14ac:dyDescent="0.2">
      <c r="C3499" s="189"/>
      <c r="F3499" s="73"/>
      <c r="M3499" s="111"/>
      <c r="N3499" s="73"/>
      <c r="O3499" s="73"/>
      <c r="P3499" s="73"/>
      <c r="Q3499" s="73"/>
      <c r="R3499" s="111"/>
      <c r="S3499" s="75"/>
      <c r="T3499" s="73"/>
      <c r="X3499" s="189"/>
      <c r="Y3499" s="189"/>
      <c r="Z3499" s="100"/>
      <c r="AC3499" s="84"/>
      <c r="AD3499" s="189"/>
      <c r="AE3499" s="189"/>
      <c r="AF3499" s="189"/>
      <c r="AG3499" s="189"/>
      <c r="AH3499" s="189"/>
      <c r="AP3499" s="238"/>
    </row>
    <row r="3500" spans="3:42" s="45" customFormat="1" x14ac:dyDescent="0.2">
      <c r="C3500" s="189"/>
      <c r="F3500" s="73"/>
      <c r="M3500" s="111"/>
      <c r="N3500" s="73"/>
      <c r="O3500" s="73"/>
      <c r="P3500" s="73"/>
      <c r="Q3500" s="73"/>
      <c r="R3500" s="111"/>
      <c r="S3500" s="75"/>
      <c r="T3500" s="73"/>
      <c r="X3500" s="189"/>
      <c r="Y3500" s="189"/>
      <c r="Z3500" s="100"/>
      <c r="AC3500" s="84"/>
      <c r="AD3500" s="189"/>
      <c r="AE3500" s="189"/>
      <c r="AF3500" s="189"/>
      <c r="AG3500" s="189"/>
      <c r="AH3500" s="189"/>
      <c r="AP3500" s="238"/>
    </row>
    <row r="3501" spans="3:42" s="45" customFormat="1" x14ac:dyDescent="0.2">
      <c r="C3501" s="189"/>
      <c r="F3501" s="73"/>
      <c r="M3501" s="111"/>
      <c r="N3501" s="73"/>
      <c r="O3501" s="73"/>
      <c r="P3501" s="73"/>
      <c r="Q3501" s="73"/>
      <c r="R3501" s="111"/>
      <c r="S3501" s="75"/>
      <c r="T3501" s="73"/>
      <c r="X3501" s="189"/>
      <c r="Y3501" s="189"/>
      <c r="Z3501" s="100"/>
      <c r="AC3501" s="84"/>
      <c r="AD3501" s="189"/>
      <c r="AE3501" s="189"/>
      <c r="AF3501" s="189"/>
      <c r="AG3501" s="189"/>
      <c r="AH3501" s="189"/>
      <c r="AP3501" s="238"/>
    </row>
    <row r="3502" spans="3:42" s="45" customFormat="1" x14ac:dyDescent="0.2">
      <c r="C3502" s="189"/>
      <c r="F3502" s="73"/>
      <c r="M3502" s="111"/>
      <c r="N3502" s="73"/>
      <c r="O3502" s="73"/>
      <c r="P3502" s="73"/>
      <c r="Q3502" s="73"/>
      <c r="R3502" s="111"/>
      <c r="S3502" s="75"/>
      <c r="T3502" s="73"/>
      <c r="X3502" s="189"/>
      <c r="Y3502" s="189"/>
      <c r="Z3502" s="100"/>
      <c r="AC3502" s="84"/>
      <c r="AD3502" s="189"/>
      <c r="AE3502" s="189"/>
      <c r="AF3502" s="189"/>
      <c r="AG3502" s="189"/>
      <c r="AH3502" s="189"/>
      <c r="AP3502" s="238"/>
    </row>
    <row r="3503" spans="3:42" s="45" customFormat="1" x14ac:dyDescent="0.2">
      <c r="C3503" s="189"/>
      <c r="F3503" s="73"/>
      <c r="M3503" s="111"/>
      <c r="N3503" s="73"/>
      <c r="O3503" s="73"/>
      <c r="P3503" s="73"/>
      <c r="Q3503" s="73"/>
      <c r="R3503" s="111"/>
      <c r="S3503" s="75"/>
      <c r="T3503" s="73"/>
      <c r="X3503" s="189"/>
      <c r="Y3503" s="189"/>
      <c r="Z3503" s="100"/>
      <c r="AC3503" s="84"/>
      <c r="AD3503" s="189"/>
      <c r="AE3503" s="189"/>
      <c r="AF3503" s="189"/>
      <c r="AG3503" s="189"/>
      <c r="AH3503" s="189"/>
      <c r="AP3503" s="238"/>
    </row>
    <row r="3504" spans="3:42" s="45" customFormat="1" x14ac:dyDescent="0.2">
      <c r="C3504" s="189"/>
      <c r="F3504" s="73"/>
      <c r="M3504" s="111"/>
      <c r="N3504" s="73"/>
      <c r="O3504" s="73"/>
      <c r="P3504" s="73"/>
      <c r="Q3504" s="73"/>
      <c r="R3504" s="111"/>
      <c r="S3504" s="75"/>
      <c r="T3504" s="73"/>
      <c r="X3504" s="189"/>
      <c r="Y3504" s="189"/>
      <c r="Z3504" s="100"/>
      <c r="AC3504" s="84"/>
      <c r="AD3504" s="189"/>
      <c r="AE3504" s="189"/>
      <c r="AF3504" s="189"/>
      <c r="AG3504" s="189"/>
      <c r="AH3504" s="189"/>
      <c r="AP3504" s="238"/>
    </row>
    <row r="3505" spans="3:42" s="45" customFormat="1" x14ac:dyDescent="0.2">
      <c r="C3505" s="189"/>
      <c r="F3505" s="73"/>
      <c r="M3505" s="111"/>
      <c r="N3505" s="73"/>
      <c r="O3505" s="73"/>
      <c r="P3505" s="73"/>
      <c r="Q3505" s="73"/>
      <c r="R3505" s="111"/>
      <c r="S3505" s="75"/>
      <c r="T3505" s="73"/>
      <c r="X3505" s="189"/>
      <c r="Y3505" s="189"/>
      <c r="Z3505" s="100"/>
      <c r="AC3505" s="84"/>
      <c r="AD3505" s="189"/>
      <c r="AE3505" s="189"/>
      <c r="AF3505" s="189"/>
      <c r="AG3505" s="189"/>
      <c r="AH3505" s="189"/>
      <c r="AP3505" s="238"/>
    </row>
    <row r="3506" spans="3:42" s="45" customFormat="1" x14ac:dyDescent="0.2">
      <c r="C3506" s="189"/>
      <c r="F3506" s="73"/>
      <c r="M3506" s="111"/>
      <c r="N3506" s="73"/>
      <c r="O3506" s="73"/>
      <c r="P3506" s="73"/>
      <c r="Q3506" s="73"/>
      <c r="R3506" s="111"/>
      <c r="S3506" s="75"/>
      <c r="T3506" s="73"/>
      <c r="X3506" s="189"/>
      <c r="Y3506" s="189"/>
      <c r="Z3506" s="100"/>
      <c r="AC3506" s="84"/>
      <c r="AD3506" s="189"/>
      <c r="AE3506" s="189"/>
      <c r="AF3506" s="189"/>
      <c r="AG3506" s="189"/>
      <c r="AH3506" s="189"/>
      <c r="AP3506" s="238"/>
    </row>
    <row r="3507" spans="3:42" s="45" customFormat="1" x14ac:dyDescent="0.2">
      <c r="C3507" s="189"/>
      <c r="F3507" s="73"/>
      <c r="M3507" s="111"/>
      <c r="N3507" s="73"/>
      <c r="O3507" s="73"/>
      <c r="P3507" s="73"/>
      <c r="Q3507" s="73"/>
      <c r="R3507" s="111"/>
      <c r="S3507" s="75"/>
      <c r="T3507" s="73"/>
      <c r="X3507" s="189"/>
      <c r="Y3507" s="189"/>
      <c r="Z3507" s="100"/>
      <c r="AC3507" s="84"/>
      <c r="AD3507" s="189"/>
      <c r="AE3507" s="189"/>
      <c r="AF3507" s="189"/>
      <c r="AG3507" s="189"/>
      <c r="AH3507" s="189"/>
      <c r="AP3507" s="238"/>
    </row>
    <row r="3508" spans="3:42" s="45" customFormat="1" x14ac:dyDescent="0.2">
      <c r="C3508" s="189"/>
      <c r="F3508" s="73"/>
      <c r="M3508" s="111"/>
      <c r="N3508" s="73"/>
      <c r="O3508" s="73"/>
      <c r="P3508" s="73"/>
      <c r="Q3508" s="73"/>
      <c r="R3508" s="111"/>
      <c r="S3508" s="75"/>
      <c r="T3508" s="73"/>
      <c r="X3508" s="189"/>
      <c r="Y3508" s="189"/>
      <c r="Z3508" s="100"/>
      <c r="AC3508" s="84"/>
      <c r="AD3508" s="189"/>
      <c r="AE3508" s="189"/>
      <c r="AF3508" s="189"/>
      <c r="AG3508" s="189"/>
      <c r="AH3508" s="189"/>
      <c r="AP3508" s="238"/>
    </row>
    <row r="3509" spans="3:42" s="45" customFormat="1" x14ac:dyDescent="0.2">
      <c r="C3509" s="189"/>
      <c r="F3509" s="73"/>
      <c r="M3509" s="111"/>
      <c r="N3509" s="73"/>
      <c r="O3509" s="73"/>
      <c r="P3509" s="73"/>
      <c r="Q3509" s="73"/>
      <c r="R3509" s="111"/>
      <c r="S3509" s="75"/>
      <c r="T3509" s="73"/>
      <c r="X3509" s="189"/>
      <c r="Y3509" s="189"/>
      <c r="Z3509" s="100"/>
      <c r="AC3509" s="84"/>
      <c r="AD3509" s="189"/>
      <c r="AE3509" s="189"/>
      <c r="AF3509" s="189"/>
      <c r="AG3509" s="189"/>
      <c r="AH3509" s="189"/>
      <c r="AP3509" s="238"/>
    </row>
    <row r="3510" spans="3:42" s="45" customFormat="1" x14ac:dyDescent="0.2">
      <c r="C3510" s="189"/>
      <c r="F3510" s="73"/>
      <c r="M3510" s="111"/>
      <c r="N3510" s="73"/>
      <c r="O3510" s="73"/>
      <c r="P3510" s="73"/>
      <c r="Q3510" s="73"/>
      <c r="R3510" s="111"/>
      <c r="S3510" s="75"/>
      <c r="T3510" s="73"/>
      <c r="X3510" s="189"/>
      <c r="Y3510" s="189"/>
      <c r="Z3510" s="100"/>
      <c r="AC3510" s="84"/>
      <c r="AD3510" s="189"/>
      <c r="AE3510" s="189"/>
      <c r="AF3510" s="189"/>
      <c r="AG3510" s="189"/>
      <c r="AH3510" s="189"/>
      <c r="AP3510" s="238"/>
    </row>
    <row r="3511" spans="3:42" s="45" customFormat="1" x14ac:dyDescent="0.2">
      <c r="C3511" s="189"/>
      <c r="F3511" s="73"/>
      <c r="M3511" s="111"/>
      <c r="N3511" s="73"/>
      <c r="O3511" s="73"/>
      <c r="P3511" s="73"/>
      <c r="Q3511" s="73"/>
      <c r="R3511" s="111"/>
      <c r="S3511" s="75"/>
      <c r="T3511" s="73"/>
      <c r="X3511" s="189"/>
      <c r="Y3511" s="189"/>
      <c r="Z3511" s="100"/>
      <c r="AC3511" s="84"/>
      <c r="AD3511" s="189"/>
      <c r="AE3511" s="189"/>
      <c r="AF3511" s="189"/>
      <c r="AG3511" s="189"/>
      <c r="AH3511" s="189"/>
      <c r="AP3511" s="238"/>
    </row>
    <row r="3512" spans="3:42" s="45" customFormat="1" x14ac:dyDescent="0.2">
      <c r="C3512" s="189"/>
      <c r="F3512" s="73"/>
      <c r="M3512" s="111"/>
      <c r="N3512" s="73"/>
      <c r="O3512" s="73"/>
      <c r="P3512" s="73"/>
      <c r="Q3512" s="73"/>
      <c r="R3512" s="111"/>
      <c r="S3512" s="75"/>
      <c r="T3512" s="73"/>
      <c r="X3512" s="189"/>
      <c r="Y3512" s="189"/>
      <c r="Z3512" s="100"/>
      <c r="AC3512" s="84"/>
      <c r="AD3512" s="189"/>
      <c r="AE3512" s="189"/>
      <c r="AF3512" s="189"/>
      <c r="AG3512" s="189"/>
      <c r="AH3512" s="189"/>
      <c r="AP3512" s="238"/>
    </row>
    <row r="3513" spans="3:42" s="45" customFormat="1" x14ac:dyDescent="0.2">
      <c r="C3513" s="189"/>
      <c r="F3513" s="73"/>
      <c r="M3513" s="111"/>
      <c r="N3513" s="73"/>
      <c r="O3513" s="73"/>
      <c r="P3513" s="73"/>
      <c r="Q3513" s="73"/>
      <c r="R3513" s="111"/>
      <c r="S3513" s="75"/>
      <c r="T3513" s="73"/>
      <c r="X3513" s="189"/>
      <c r="Y3513" s="189"/>
      <c r="Z3513" s="100"/>
      <c r="AC3513" s="84"/>
      <c r="AD3513" s="189"/>
      <c r="AE3513" s="189"/>
      <c r="AF3513" s="189"/>
      <c r="AG3513" s="189"/>
      <c r="AH3513" s="189"/>
      <c r="AP3513" s="238"/>
    </row>
    <row r="3514" spans="3:42" s="45" customFormat="1" x14ac:dyDescent="0.2">
      <c r="C3514" s="189"/>
      <c r="F3514" s="73"/>
      <c r="M3514" s="111"/>
      <c r="N3514" s="73"/>
      <c r="O3514" s="73"/>
      <c r="P3514" s="73"/>
      <c r="Q3514" s="73"/>
      <c r="R3514" s="111"/>
      <c r="S3514" s="75"/>
      <c r="T3514" s="73"/>
      <c r="X3514" s="189"/>
      <c r="Y3514" s="189"/>
      <c r="Z3514" s="100"/>
      <c r="AC3514" s="84"/>
      <c r="AD3514" s="189"/>
      <c r="AE3514" s="189"/>
      <c r="AF3514" s="189"/>
      <c r="AG3514" s="189"/>
      <c r="AH3514" s="189"/>
      <c r="AP3514" s="238"/>
    </row>
    <row r="3515" spans="3:42" s="45" customFormat="1" x14ac:dyDescent="0.2">
      <c r="C3515" s="189"/>
      <c r="F3515" s="73"/>
      <c r="M3515" s="111"/>
      <c r="N3515" s="73"/>
      <c r="O3515" s="73"/>
      <c r="P3515" s="73"/>
      <c r="Q3515" s="73"/>
      <c r="R3515" s="111"/>
      <c r="S3515" s="75"/>
      <c r="T3515" s="73"/>
      <c r="X3515" s="189"/>
      <c r="Y3515" s="189"/>
      <c r="Z3515" s="100"/>
      <c r="AC3515" s="84"/>
      <c r="AD3515" s="189"/>
      <c r="AE3515" s="189"/>
      <c r="AF3515" s="189"/>
      <c r="AG3515" s="189"/>
      <c r="AH3515" s="189"/>
      <c r="AP3515" s="238"/>
    </row>
    <row r="3516" spans="3:42" s="45" customFormat="1" x14ac:dyDescent="0.2">
      <c r="C3516" s="189"/>
      <c r="F3516" s="73"/>
      <c r="M3516" s="111"/>
      <c r="N3516" s="73"/>
      <c r="O3516" s="73"/>
      <c r="P3516" s="73"/>
      <c r="Q3516" s="73"/>
      <c r="R3516" s="111"/>
      <c r="S3516" s="75"/>
      <c r="T3516" s="73"/>
      <c r="X3516" s="189"/>
      <c r="Y3516" s="189"/>
      <c r="Z3516" s="100"/>
      <c r="AC3516" s="84"/>
      <c r="AD3516" s="189"/>
      <c r="AE3516" s="189"/>
      <c r="AF3516" s="189"/>
      <c r="AG3516" s="189"/>
      <c r="AH3516" s="189"/>
      <c r="AP3516" s="238"/>
    </row>
    <row r="3517" spans="3:42" s="45" customFormat="1" x14ac:dyDescent="0.2">
      <c r="C3517" s="189"/>
      <c r="F3517" s="73"/>
      <c r="M3517" s="111"/>
      <c r="N3517" s="73"/>
      <c r="O3517" s="73"/>
      <c r="P3517" s="73"/>
      <c r="Q3517" s="73"/>
      <c r="R3517" s="111"/>
      <c r="S3517" s="75"/>
      <c r="T3517" s="73"/>
      <c r="X3517" s="189"/>
      <c r="Y3517" s="189"/>
      <c r="Z3517" s="100"/>
      <c r="AC3517" s="84"/>
      <c r="AD3517" s="189"/>
      <c r="AE3517" s="189"/>
      <c r="AF3517" s="189"/>
      <c r="AG3517" s="189"/>
      <c r="AH3517" s="189"/>
      <c r="AP3517" s="238"/>
    </row>
    <row r="3518" spans="3:42" s="45" customFormat="1" x14ac:dyDescent="0.2">
      <c r="C3518" s="189"/>
      <c r="F3518" s="73"/>
      <c r="M3518" s="111"/>
      <c r="N3518" s="73"/>
      <c r="O3518" s="73"/>
      <c r="P3518" s="73"/>
      <c r="Q3518" s="73"/>
      <c r="R3518" s="111"/>
      <c r="S3518" s="75"/>
      <c r="T3518" s="73"/>
      <c r="X3518" s="189"/>
      <c r="Y3518" s="189"/>
      <c r="Z3518" s="100"/>
      <c r="AC3518" s="84"/>
      <c r="AD3518" s="189"/>
      <c r="AE3518" s="189"/>
      <c r="AF3518" s="189"/>
      <c r="AG3518" s="189"/>
      <c r="AH3518" s="189"/>
      <c r="AP3518" s="238"/>
    </row>
    <row r="3519" spans="3:42" s="45" customFormat="1" x14ac:dyDescent="0.2">
      <c r="C3519" s="189"/>
      <c r="F3519" s="73"/>
      <c r="M3519" s="111"/>
      <c r="N3519" s="73"/>
      <c r="O3519" s="73"/>
      <c r="P3519" s="73"/>
      <c r="Q3519" s="73"/>
      <c r="R3519" s="111"/>
      <c r="S3519" s="75"/>
      <c r="T3519" s="73"/>
      <c r="X3519" s="189"/>
      <c r="Y3519" s="189"/>
      <c r="Z3519" s="100"/>
      <c r="AC3519" s="84"/>
      <c r="AD3519" s="189"/>
      <c r="AE3519" s="189"/>
      <c r="AF3519" s="189"/>
      <c r="AG3519" s="189"/>
      <c r="AH3519" s="189"/>
      <c r="AP3519" s="238"/>
    </row>
    <row r="3520" spans="3:42" s="45" customFormat="1" x14ac:dyDescent="0.2">
      <c r="C3520" s="189"/>
      <c r="F3520" s="73"/>
      <c r="M3520" s="111"/>
      <c r="N3520" s="73"/>
      <c r="O3520" s="73"/>
      <c r="P3520" s="73"/>
      <c r="Q3520" s="73"/>
      <c r="R3520" s="111"/>
      <c r="S3520" s="75"/>
      <c r="T3520" s="73"/>
      <c r="X3520" s="189"/>
      <c r="Y3520" s="189"/>
      <c r="Z3520" s="100"/>
      <c r="AC3520" s="84"/>
      <c r="AD3520" s="189"/>
      <c r="AE3520" s="189"/>
      <c r="AF3520" s="189"/>
      <c r="AG3520" s="189"/>
      <c r="AH3520" s="189"/>
      <c r="AP3520" s="238"/>
    </row>
    <row r="3521" spans="3:42" s="45" customFormat="1" x14ac:dyDescent="0.2">
      <c r="C3521" s="189"/>
      <c r="F3521" s="73"/>
      <c r="M3521" s="111"/>
      <c r="N3521" s="73"/>
      <c r="O3521" s="73"/>
      <c r="P3521" s="73"/>
      <c r="Q3521" s="73"/>
      <c r="R3521" s="111"/>
      <c r="S3521" s="75"/>
      <c r="T3521" s="73"/>
      <c r="X3521" s="189"/>
      <c r="Y3521" s="189"/>
      <c r="Z3521" s="100"/>
      <c r="AC3521" s="84"/>
      <c r="AD3521" s="189"/>
      <c r="AE3521" s="189"/>
      <c r="AF3521" s="189"/>
      <c r="AG3521" s="189"/>
      <c r="AH3521" s="189"/>
      <c r="AP3521" s="238"/>
    </row>
    <row r="3522" spans="3:42" s="45" customFormat="1" x14ac:dyDescent="0.2">
      <c r="C3522" s="189"/>
      <c r="F3522" s="73"/>
      <c r="M3522" s="111"/>
      <c r="N3522" s="73"/>
      <c r="O3522" s="73"/>
      <c r="P3522" s="73"/>
      <c r="Q3522" s="73"/>
      <c r="R3522" s="111"/>
      <c r="S3522" s="75"/>
      <c r="T3522" s="73"/>
      <c r="X3522" s="189"/>
      <c r="Y3522" s="189"/>
      <c r="Z3522" s="100"/>
      <c r="AC3522" s="84"/>
      <c r="AD3522" s="189"/>
      <c r="AE3522" s="189"/>
      <c r="AF3522" s="189"/>
      <c r="AG3522" s="189"/>
      <c r="AH3522" s="189"/>
      <c r="AP3522" s="238"/>
    </row>
    <row r="3523" spans="3:42" s="45" customFormat="1" x14ac:dyDescent="0.2">
      <c r="C3523" s="189"/>
      <c r="F3523" s="73"/>
      <c r="M3523" s="111"/>
      <c r="N3523" s="73"/>
      <c r="O3523" s="73"/>
      <c r="P3523" s="73"/>
      <c r="Q3523" s="73"/>
      <c r="R3523" s="111"/>
      <c r="S3523" s="75"/>
      <c r="T3523" s="73"/>
      <c r="X3523" s="189"/>
      <c r="Y3523" s="189"/>
      <c r="Z3523" s="100"/>
      <c r="AC3523" s="84"/>
      <c r="AD3523" s="189"/>
      <c r="AE3523" s="189"/>
      <c r="AF3523" s="189"/>
      <c r="AG3523" s="189"/>
      <c r="AH3523" s="189"/>
      <c r="AP3523" s="238"/>
    </row>
    <row r="3524" spans="3:42" s="45" customFormat="1" x14ac:dyDescent="0.2">
      <c r="C3524" s="189"/>
      <c r="F3524" s="73"/>
      <c r="M3524" s="111"/>
      <c r="N3524" s="73"/>
      <c r="O3524" s="73"/>
      <c r="P3524" s="73"/>
      <c r="Q3524" s="73"/>
      <c r="R3524" s="111"/>
      <c r="S3524" s="75"/>
      <c r="T3524" s="73"/>
      <c r="X3524" s="189"/>
      <c r="Y3524" s="189"/>
      <c r="Z3524" s="100"/>
      <c r="AC3524" s="84"/>
      <c r="AD3524" s="189"/>
      <c r="AE3524" s="189"/>
      <c r="AF3524" s="189"/>
      <c r="AG3524" s="189"/>
      <c r="AH3524" s="189"/>
      <c r="AP3524" s="238"/>
    </row>
    <row r="3525" spans="3:42" s="45" customFormat="1" x14ac:dyDescent="0.2">
      <c r="C3525" s="189"/>
      <c r="F3525" s="73"/>
      <c r="M3525" s="111"/>
      <c r="N3525" s="73"/>
      <c r="O3525" s="73"/>
      <c r="P3525" s="73"/>
      <c r="Q3525" s="73"/>
      <c r="R3525" s="111"/>
      <c r="S3525" s="75"/>
      <c r="T3525" s="73"/>
      <c r="X3525" s="189"/>
      <c r="Y3525" s="189"/>
      <c r="Z3525" s="100"/>
      <c r="AC3525" s="84"/>
      <c r="AD3525" s="189"/>
      <c r="AE3525" s="189"/>
      <c r="AF3525" s="189"/>
      <c r="AG3525" s="189"/>
      <c r="AH3525" s="189"/>
      <c r="AP3525" s="238"/>
    </row>
    <row r="3526" spans="3:42" s="45" customFormat="1" x14ac:dyDescent="0.2">
      <c r="C3526" s="189"/>
      <c r="F3526" s="73"/>
      <c r="M3526" s="111"/>
      <c r="N3526" s="73"/>
      <c r="O3526" s="73"/>
      <c r="P3526" s="73"/>
      <c r="Q3526" s="73"/>
      <c r="R3526" s="111"/>
      <c r="S3526" s="75"/>
      <c r="T3526" s="73"/>
      <c r="X3526" s="189"/>
      <c r="Y3526" s="189"/>
      <c r="Z3526" s="100"/>
      <c r="AC3526" s="84"/>
      <c r="AD3526" s="189"/>
      <c r="AE3526" s="189"/>
      <c r="AF3526" s="189"/>
      <c r="AG3526" s="189"/>
      <c r="AH3526" s="189"/>
      <c r="AP3526" s="238"/>
    </row>
    <row r="3527" spans="3:42" s="45" customFormat="1" x14ac:dyDescent="0.2">
      <c r="C3527" s="189"/>
      <c r="F3527" s="73"/>
      <c r="M3527" s="111"/>
      <c r="N3527" s="73"/>
      <c r="O3527" s="73"/>
      <c r="P3527" s="73"/>
      <c r="Q3527" s="73"/>
      <c r="R3527" s="111"/>
      <c r="S3527" s="75"/>
      <c r="T3527" s="73"/>
      <c r="X3527" s="189"/>
      <c r="Y3527" s="189"/>
      <c r="Z3527" s="100"/>
      <c r="AC3527" s="84"/>
      <c r="AD3527" s="189"/>
      <c r="AE3527" s="189"/>
      <c r="AF3527" s="189"/>
      <c r="AG3527" s="189"/>
      <c r="AH3527" s="189"/>
      <c r="AP3527" s="238"/>
    </row>
    <row r="3528" spans="3:42" s="45" customFormat="1" x14ac:dyDescent="0.2">
      <c r="C3528" s="189"/>
      <c r="F3528" s="73"/>
      <c r="M3528" s="111"/>
      <c r="N3528" s="73"/>
      <c r="O3528" s="73"/>
      <c r="P3528" s="73"/>
      <c r="Q3528" s="73"/>
      <c r="R3528" s="111"/>
      <c r="S3528" s="75"/>
      <c r="T3528" s="73"/>
      <c r="X3528" s="189"/>
      <c r="Y3528" s="189"/>
      <c r="Z3528" s="100"/>
      <c r="AC3528" s="84"/>
      <c r="AD3528" s="189"/>
      <c r="AE3528" s="189"/>
      <c r="AF3528" s="189"/>
      <c r="AG3528" s="189"/>
      <c r="AH3528" s="189"/>
      <c r="AP3528" s="238"/>
    </row>
    <row r="3529" spans="3:42" s="45" customFormat="1" x14ac:dyDescent="0.2">
      <c r="C3529" s="189"/>
      <c r="F3529" s="73"/>
      <c r="M3529" s="111"/>
      <c r="N3529" s="73"/>
      <c r="O3529" s="73"/>
      <c r="P3529" s="73"/>
      <c r="Q3529" s="73"/>
      <c r="R3529" s="111"/>
      <c r="S3529" s="75"/>
      <c r="T3529" s="73"/>
      <c r="X3529" s="189"/>
      <c r="Y3529" s="189"/>
      <c r="Z3529" s="100"/>
      <c r="AC3529" s="84"/>
      <c r="AD3529" s="189"/>
      <c r="AE3529" s="189"/>
      <c r="AF3529" s="189"/>
      <c r="AG3529" s="189"/>
      <c r="AH3529" s="189"/>
      <c r="AP3529" s="238"/>
    </row>
    <row r="3530" spans="3:42" s="45" customFormat="1" x14ac:dyDescent="0.2">
      <c r="C3530" s="189"/>
      <c r="F3530" s="73"/>
      <c r="M3530" s="111"/>
      <c r="N3530" s="73"/>
      <c r="O3530" s="73"/>
      <c r="P3530" s="73"/>
      <c r="Q3530" s="73"/>
      <c r="R3530" s="111"/>
      <c r="S3530" s="75"/>
      <c r="T3530" s="73"/>
      <c r="X3530" s="189"/>
      <c r="Y3530" s="189"/>
      <c r="Z3530" s="100"/>
      <c r="AC3530" s="84"/>
      <c r="AD3530" s="189"/>
      <c r="AE3530" s="189"/>
      <c r="AF3530" s="189"/>
      <c r="AG3530" s="189"/>
      <c r="AH3530" s="189"/>
      <c r="AP3530" s="238"/>
    </row>
    <row r="3531" spans="3:42" s="45" customFormat="1" x14ac:dyDescent="0.2">
      <c r="C3531" s="189"/>
      <c r="F3531" s="73"/>
      <c r="M3531" s="111"/>
      <c r="N3531" s="73"/>
      <c r="O3531" s="73"/>
      <c r="P3531" s="73"/>
      <c r="Q3531" s="73"/>
      <c r="R3531" s="111"/>
      <c r="S3531" s="75"/>
      <c r="T3531" s="73"/>
      <c r="X3531" s="189"/>
      <c r="Y3531" s="189"/>
      <c r="Z3531" s="100"/>
      <c r="AC3531" s="84"/>
      <c r="AD3531" s="189"/>
      <c r="AE3531" s="189"/>
      <c r="AF3531" s="189"/>
      <c r="AG3531" s="189"/>
      <c r="AH3531" s="189"/>
      <c r="AP3531" s="238"/>
    </row>
    <row r="3532" spans="3:42" s="45" customFormat="1" x14ac:dyDescent="0.2">
      <c r="C3532" s="189"/>
      <c r="F3532" s="73"/>
      <c r="M3532" s="111"/>
      <c r="N3532" s="73"/>
      <c r="O3532" s="73"/>
      <c r="P3532" s="73"/>
      <c r="Q3532" s="73"/>
      <c r="R3532" s="111"/>
      <c r="S3532" s="75"/>
      <c r="T3532" s="73"/>
      <c r="X3532" s="189"/>
      <c r="Y3532" s="189"/>
      <c r="Z3532" s="100"/>
      <c r="AC3532" s="84"/>
      <c r="AD3532" s="189"/>
      <c r="AE3532" s="189"/>
      <c r="AF3532" s="189"/>
      <c r="AG3532" s="189"/>
      <c r="AH3532" s="189"/>
      <c r="AP3532" s="238"/>
    </row>
    <row r="3533" spans="3:42" s="45" customFormat="1" x14ac:dyDescent="0.2">
      <c r="C3533" s="189"/>
      <c r="F3533" s="73"/>
      <c r="M3533" s="111"/>
      <c r="N3533" s="73"/>
      <c r="O3533" s="73"/>
      <c r="P3533" s="73"/>
      <c r="Q3533" s="73"/>
      <c r="R3533" s="111"/>
      <c r="S3533" s="75"/>
      <c r="T3533" s="73"/>
      <c r="X3533" s="189"/>
      <c r="Y3533" s="189"/>
      <c r="Z3533" s="100"/>
      <c r="AC3533" s="84"/>
      <c r="AD3533" s="189"/>
      <c r="AE3533" s="189"/>
      <c r="AF3533" s="189"/>
      <c r="AG3533" s="189"/>
      <c r="AH3533" s="189"/>
      <c r="AP3533" s="238"/>
    </row>
    <row r="3534" spans="3:42" s="45" customFormat="1" x14ac:dyDescent="0.2">
      <c r="C3534" s="189"/>
      <c r="F3534" s="73"/>
      <c r="M3534" s="111"/>
      <c r="N3534" s="73"/>
      <c r="O3534" s="73"/>
      <c r="P3534" s="73"/>
      <c r="Q3534" s="73"/>
      <c r="R3534" s="111"/>
      <c r="S3534" s="75"/>
      <c r="T3534" s="73"/>
      <c r="X3534" s="189"/>
      <c r="Y3534" s="189"/>
      <c r="Z3534" s="100"/>
      <c r="AC3534" s="84"/>
      <c r="AD3534" s="189"/>
      <c r="AE3534" s="189"/>
      <c r="AF3534" s="189"/>
      <c r="AG3534" s="189"/>
      <c r="AH3534" s="189"/>
      <c r="AP3534" s="238"/>
    </row>
    <row r="3535" spans="3:42" s="45" customFormat="1" x14ac:dyDescent="0.2">
      <c r="C3535" s="189"/>
      <c r="F3535" s="73"/>
      <c r="M3535" s="111"/>
      <c r="N3535" s="73"/>
      <c r="O3535" s="73"/>
      <c r="P3535" s="73"/>
      <c r="Q3535" s="73"/>
      <c r="R3535" s="111"/>
      <c r="S3535" s="75"/>
      <c r="T3535" s="73"/>
      <c r="X3535" s="189"/>
      <c r="Y3535" s="189"/>
      <c r="Z3535" s="100"/>
      <c r="AC3535" s="84"/>
      <c r="AD3535" s="189"/>
      <c r="AE3535" s="189"/>
      <c r="AF3535" s="189"/>
      <c r="AG3535" s="189"/>
      <c r="AH3535" s="189"/>
      <c r="AP3535" s="238"/>
    </row>
    <row r="3536" spans="3:42" s="45" customFormat="1" x14ac:dyDescent="0.2">
      <c r="C3536" s="189"/>
      <c r="F3536" s="73"/>
      <c r="M3536" s="111"/>
      <c r="N3536" s="73"/>
      <c r="O3536" s="73"/>
      <c r="P3536" s="73"/>
      <c r="Q3536" s="73"/>
      <c r="R3536" s="111"/>
      <c r="S3536" s="75"/>
      <c r="T3536" s="73"/>
      <c r="X3536" s="189"/>
      <c r="Y3536" s="189"/>
      <c r="Z3536" s="100"/>
      <c r="AC3536" s="84"/>
      <c r="AD3536" s="189"/>
      <c r="AE3536" s="189"/>
      <c r="AF3536" s="189"/>
      <c r="AG3536" s="189"/>
      <c r="AH3536" s="189"/>
      <c r="AP3536" s="238"/>
    </row>
    <row r="3537" spans="3:42" s="45" customFormat="1" x14ac:dyDescent="0.2">
      <c r="C3537" s="189"/>
      <c r="F3537" s="73"/>
      <c r="M3537" s="111"/>
      <c r="N3537" s="73"/>
      <c r="O3537" s="73"/>
      <c r="P3537" s="73"/>
      <c r="Q3537" s="73"/>
      <c r="R3537" s="111"/>
      <c r="S3537" s="75"/>
      <c r="T3537" s="73"/>
      <c r="X3537" s="189"/>
      <c r="Y3537" s="189"/>
      <c r="Z3537" s="100"/>
      <c r="AC3537" s="84"/>
      <c r="AD3537" s="189"/>
      <c r="AE3537" s="189"/>
      <c r="AF3537" s="189"/>
      <c r="AG3537" s="189"/>
      <c r="AH3537" s="189"/>
      <c r="AP3537" s="238"/>
    </row>
    <row r="3538" spans="3:42" s="45" customFormat="1" x14ac:dyDescent="0.2">
      <c r="C3538" s="189"/>
      <c r="F3538" s="73"/>
      <c r="M3538" s="111"/>
      <c r="N3538" s="73"/>
      <c r="O3538" s="73"/>
      <c r="P3538" s="73"/>
      <c r="Q3538" s="73"/>
      <c r="R3538" s="111"/>
      <c r="S3538" s="75"/>
      <c r="T3538" s="73"/>
      <c r="X3538" s="189"/>
      <c r="Y3538" s="189"/>
      <c r="Z3538" s="100"/>
      <c r="AC3538" s="84"/>
      <c r="AD3538" s="189"/>
      <c r="AE3538" s="189"/>
      <c r="AF3538" s="189"/>
      <c r="AG3538" s="189"/>
      <c r="AH3538" s="189"/>
      <c r="AP3538" s="238"/>
    </row>
    <row r="3539" spans="3:42" s="45" customFormat="1" x14ac:dyDescent="0.2">
      <c r="C3539" s="189"/>
      <c r="F3539" s="73"/>
      <c r="M3539" s="111"/>
      <c r="N3539" s="73"/>
      <c r="O3539" s="73"/>
      <c r="P3539" s="73"/>
      <c r="Q3539" s="73"/>
      <c r="R3539" s="111"/>
      <c r="S3539" s="75"/>
      <c r="T3539" s="73"/>
      <c r="X3539" s="189"/>
      <c r="Y3539" s="189"/>
      <c r="Z3539" s="100"/>
      <c r="AC3539" s="84"/>
      <c r="AD3539" s="189"/>
      <c r="AE3539" s="189"/>
      <c r="AF3539" s="189"/>
      <c r="AG3539" s="189"/>
      <c r="AH3539" s="189"/>
      <c r="AP3539" s="238"/>
    </row>
    <row r="3540" spans="3:42" s="45" customFormat="1" x14ac:dyDescent="0.2">
      <c r="C3540" s="189"/>
      <c r="F3540" s="73"/>
      <c r="M3540" s="111"/>
      <c r="N3540" s="73"/>
      <c r="O3540" s="73"/>
      <c r="P3540" s="73"/>
      <c r="Q3540" s="73"/>
      <c r="R3540" s="111"/>
      <c r="S3540" s="75"/>
      <c r="T3540" s="73"/>
      <c r="X3540" s="189"/>
      <c r="Y3540" s="189"/>
      <c r="Z3540" s="100"/>
      <c r="AC3540" s="84"/>
      <c r="AD3540" s="189"/>
      <c r="AE3540" s="189"/>
      <c r="AF3540" s="189"/>
      <c r="AG3540" s="189"/>
      <c r="AH3540" s="189"/>
      <c r="AP3540" s="238"/>
    </row>
    <row r="3541" spans="3:42" s="45" customFormat="1" x14ac:dyDescent="0.2">
      <c r="C3541" s="189"/>
      <c r="F3541" s="73"/>
      <c r="M3541" s="111"/>
      <c r="N3541" s="73"/>
      <c r="O3541" s="73"/>
      <c r="P3541" s="73"/>
      <c r="Q3541" s="73"/>
      <c r="R3541" s="111"/>
      <c r="S3541" s="75"/>
      <c r="T3541" s="73"/>
      <c r="X3541" s="189"/>
      <c r="Y3541" s="189"/>
      <c r="Z3541" s="100"/>
      <c r="AC3541" s="84"/>
      <c r="AD3541" s="189"/>
      <c r="AE3541" s="189"/>
      <c r="AF3541" s="189"/>
      <c r="AG3541" s="189"/>
      <c r="AH3541" s="189"/>
      <c r="AP3541" s="238"/>
    </row>
    <row r="3542" spans="3:42" s="45" customFormat="1" x14ac:dyDescent="0.2">
      <c r="C3542" s="189"/>
      <c r="F3542" s="73"/>
      <c r="M3542" s="111"/>
      <c r="N3542" s="73"/>
      <c r="O3542" s="73"/>
      <c r="P3542" s="73"/>
      <c r="Q3542" s="73"/>
      <c r="R3542" s="111"/>
      <c r="S3542" s="75"/>
      <c r="T3542" s="73"/>
      <c r="X3542" s="189"/>
      <c r="Y3542" s="189"/>
      <c r="Z3542" s="100"/>
      <c r="AC3542" s="84"/>
      <c r="AD3542" s="189"/>
      <c r="AE3542" s="189"/>
      <c r="AF3542" s="189"/>
      <c r="AG3542" s="189"/>
      <c r="AH3542" s="189"/>
      <c r="AP3542" s="238"/>
    </row>
    <row r="3543" spans="3:42" s="45" customFormat="1" x14ac:dyDescent="0.2">
      <c r="C3543" s="189"/>
      <c r="F3543" s="73"/>
      <c r="M3543" s="111"/>
      <c r="N3543" s="73"/>
      <c r="O3543" s="73"/>
      <c r="P3543" s="73"/>
      <c r="Q3543" s="73"/>
      <c r="R3543" s="111"/>
      <c r="S3543" s="75"/>
      <c r="T3543" s="73"/>
      <c r="X3543" s="189"/>
      <c r="Y3543" s="189"/>
      <c r="Z3543" s="100"/>
      <c r="AC3543" s="84"/>
      <c r="AD3543" s="189"/>
      <c r="AE3543" s="189"/>
      <c r="AF3543" s="189"/>
      <c r="AG3543" s="189"/>
      <c r="AH3543" s="189"/>
      <c r="AP3543" s="238"/>
    </row>
    <row r="3544" spans="3:42" s="45" customFormat="1" x14ac:dyDescent="0.2">
      <c r="C3544" s="189"/>
      <c r="F3544" s="73"/>
      <c r="M3544" s="111"/>
      <c r="N3544" s="73"/>
      <c r="O3544" s="73"/>
      <c r="P3544" s="73"/>
      <c r="Q3544" s="73"/>
      <c r="R3544" s="111"/>
      <c r="S3544" s="75"/>
      <c r="T3544" s="73"/>
      <c r="X3544" s="189"/>
      <c r="Y3544" s="189"/>
      <c r="Z3544" s="100"/>
      <c r="AC3544" s="84"/>
      <c r="AD3544" s="189"/>
      <c r="AE3544" s="189"/>
      <c r="AF3544" s="189"/>
      <c r="AG3544" s="189"/>
      <c r="AH3544" s="189"/>
      <c r="AP3544" s="238"/>
    </row>
    <row r="3545" spans="3:42" s="45" customFormat="1" x14ac:dyDescent="0.2">
      <c r="C3545" s="189"/>
      <c r="F3545" s="73"/>
      <c r="M3545" s="111"/>
      <c r="N3545" s="73"/>
      <c r="O3545" s="73"/>
      <c r="P3545" s="73"/>
      <c r="Q3545" s="73"/>
      <c r="R3545" s="111"/>
      <c r="S3545" s="75"/>
      <c r="T3545" s="73"/>
      <c r="X3545" s="189"/>
      <c r="Y3545" s="189"/>
      <c r="Z3545" s="100"/>
      <c r="AC3545" s="84"/>
      <c r="AD3545" s="189"/>
      <c r="AE3545" s="189"/>
      <c r="AF3545" s="189"/>
      <c r="AG3545" s="189"/>
      <c r="AH3545" s="189"/>
      <c r="AP3545" s="238"/>
    </row>
    <row r="3546" spans="3:42" s="45" customFormat="1" x14ac:dyDescent="0.2">
      <c r="C3546" s="189"/>
      <c r="F3546" s="73"/>
      <c r="M3546" s="111"/>
      <c r="N3546" s="73"/>
      <c r="O3546" s="73"/>
      <c r="P3546" s="73"/>
      <c r="Q3546" s="73"/>
      <c r="R3546" s="111"/>
      <c r="S3546" s="75"/>
      <c r="T3546" s="73"/>
      <c r="X3546" s="189"/>
      <c r="Y3546" s="189"/>
      <c r="Z3546" s="100"/>
      <c r="AC3546" s="84"/>
      <c r="AD3546" s="189"/>
      <c r="AE3546" s="189"/>
      <c r="AF3546" s="189"/>
      <c r="AG3546" s="189"/>
      <c r="AH3546" s="189"/>
      <c r="AP3546" s="238"/>
    </row>
    <row r="3547" spans="3:42" s="45" customFormat="1" x14ac:dyDescent="0.2">
      <c r="C3547" s="189"/>
      <c r="F3547" s="73"/>
      <c r="M3547" s="111"/>
      <c r="N3547" s="73"/>
      <c r="O3547" s="73"/>
      <c r="P3547" s="73"/>
      <c r="Q3547" s="73"/>
      <c r="R3547" s="111"/>
      <c r="S3547" s="75"/>
      <c r="T3547" s="73"/>
      <c r="X3547" s="189"/>
      <c r="Y3547" s="189"/>
      <c r="Z3547" s="100"/>
      <c r="AC3547" s="84"/>
      <c r="AD3547" s="189"/>
      <c r="AE3547" s="189"/>
      <c r="AF3547" s="189"/>
      <c r="AG3547" s="189"/>
      <c r="AH3547" s="189"/>
      <c r="AP3547" s="238"/>
    </row>
    <row r="3548" spans="3:42" s="45" customFormat="1" x14ac:dyDescent="0.2">
      <c r="C3548" s="189"/>
      <c r="F3548" s="73"/>
      <c r="M3548" s="111"/>
      <c r="N3548" s="73"/>
      <c r="O3548" s="73"/>
      <c r="P3548" s="73"/>
      <c r="Q3548" s="73"/>
      <c r="R3548" s="111"/>
      <c r="S3548" s="75"/>
      <c r="T3548" s="73"/>
      <c r="X3548" s="189"/>
      <c r="Y3548" s="189"/>
      <c r="Z3548" s="100"/>
      <c r="AC3548" s="84"/>
      <c r="AD3548" s="189"/>
      <c r="AE3548" s="189"/>
      <c r="AF3548" s="189"/>
      <c r="AG3548" s="189"/>
      <c r="AH3548" s="189"/>
      <c r="AP3548" s="238"/>
    </row>
    <row r="3549" spans="3:42" s="45" customFormat="1" x14ac:dyDescent="0.2">
      <c r="C3549" s="189"/>
      <c r="F3549" s="73"/>
      <c r="M3549" s="111"/>
      <c r="N3549" s="73"/>
      <c r="O3549" s="73"/>
      <c r="P3549" s="73"/>
      <c r="Q3549" s="73"/>
      <c r="R3549" s="111"/>
      <c r="S3549" s="75"/>
      <c r="T3549" s="73"/>
      <c r="X3549" s="189"/>
      <c r="Y3549" s="189"/>
      <c r="Z3549" s="100"/>
      <c r="AC3549" s="84"/>
      <c r="AD3549" s="189"/>
      <c r="AE3549" s="189"/>
      <c r="AF3549" s="189"/>
      <c r="AG3549" s="189"/>
      <c r="AH3549" s="189"/>
      <c r="AP3549" s="238"/>
    </row>
    <row r="3550" spans="3:42" s="45" customFormat="1" x14ac:dyDescent="0.2">
      <c r="C3550" s="189"/>
      <c r="F3550" s="73"/>
      <c r="M3550" s="111"/>
      <c r="N3550" s="73"/>
      <c r="O3550" s="73"/>
      <c r="P3550" s="73"/>
      <c r="Q3550" s="73"/>
      <c r="R3550" s="111"/>
      <c r="S3550" s="75"/>
      <c r="T3550" s="73"/>
      <c r="X3550" s="189"/>
      <c r="Y3550" s="189"/>
      <c r="Z3550" s="100"/>
      <c r="AC3550" s="84"/>
      <c r="AD3550" s="189"/>
      <c r="AE3550" s="189"/>
      <c r="AF3550" s="189"/>
      <c r="AG3550" s="189"/>
      <c r="AH3550" s="189"/>
      <c r="AP3550" s="238"/>
    </row>
    <row r="3551" spans="3:42" s="45" customFormat="1" x14ac:dyDescent="0.2">
      <c r="C3551" s="189"/>
      <c r="F3551" s="73"/>
      <c r="M3551" s="111"/>
      <c r="N3551" s="73"/>
      <c r="O3551" s="73"/>
      <c r="P3551" s="73"/>
      <c r="Q3551" s="73"/>
      <c r="R3551" s="111"/>
      <c r="S3551" s="75"/>
      <c r="T3551" s="73"/>
      <c r="X3551" s="189"/>
      <c r="Y3551" s="189"/>
      <c r="Z3551" s="100"/>
      <c r="AC3551" s="84"/>
      <c r="AD3551" s="189"/>
      <c r="AE3551" s="189"/>
      <c r="AF3551" s="189"/>
      <c r="AG3551" s="189"/>
      <c r="AH3551" s="189"/>
      <c r="AP3551" s="238"/>
    </row>
    <row r="3552" spans="3:42" s="45" customFormat="1" x14ac:dyDescent="0.2">
      <c r="C3552" s="189"/>
      <c r="F3552" s="73"/>
      <c r="M3552" s="111"/>
      <c r="N3552" s="73"/>
      <c r="O3552" s="73"/>
      <c r="P3552" s="73"/>
      <c r="Q3552" s="73"/>
      <c r="R3552" s="111"/>
      <c r="S3552" s="75"/>
      <c r="T3552" s="73"/>
      <c r="X3552" s="189"/>
      <c r="Y3552" s="189"/>
      <c r="Z3552" s="100"/>
      <c r="AC3552" s="84"/>
      <c r="AD3552" s="189"/>
      <c r="AE3552" s="189"/>
      <c r="AF3552" s="189"/>
      <c r="AG3552" s="189"/>
      <c r="AH3552" s="189"/>
      <c r="AP3552" s="238"/>
    </row>
    <row r="3553" spans="3:42" s="45" customFormat="1" x14ac:dyDescent="0.2">
      <c r="C3553" s="189"/>
      <c r="F3553" s="73"/>
      <c r="M3553" s="111"/>
      <c r="N3553" s="73"/>
      <c r="O3553" s="73"/>
      <c r="P3553" s="73"/>
      <c r="Q3553" s="73"/>
      <c r="R3553" s="111"/>
      <c r="S3553" s="75"/>
      <c r="T3553" s="73"/>
      <c r="X3553" s="189"/>
      <c r="Y3553" s="189"/>
      <c r="Z3553" s="100"/>
      <c r="AC3553" s="84"/>
      <c r="AD3553" s="189"/>
      <c r="AE3553" s="189"/>
      <c r="AF3553" s="189"/>
      <c r="AG3553" s="189"/>
      <c r="AH3553" s="189"/>
      <c r="AP3553" s="238"/>
    </row>
    <row r="3554" spans="3:42" s="45" customFormat="1" x14ac:dyDescent="0.2">
      <c r="C3554" s="189"/>
      <c r="F3554" s="73"/>
      <c r="M3554" s="111"/>
      <c r="N3554" s="73"/>
      <c r="O3554" s="73"/>
      <c r="P3554" s="73"/>
      <c r="Q3554" s="73"/>
      <c r="R3554" s="111"/>
      <c r="S3554" s="75"/>
      <c r="T3554" s="73"/>
      <c r="X3554" s="189"/>
      <c r="Y3554" s="189"/>
      <c r="Z3554" s="100"/>
      <c r="AC3554" s="84"/>
      <c r="AD3554" s="189"/>
      <c r="AE3554" s="189"/>
      <c r="AF3554" s="189"/>
      <c r="AG3554" s="189"/>
      <c r="AH3554" s="189"/>
      <c r="AP3554" s="238"/>
    </row>
    <row r="3555" spans="3:42" s="45" customFormat="1" x14ac:dyDescent="0.2">
      <c r="C3555" s="189"/>
      <c r="F3555" s="73"/>
      <c r="M3555" s="111"/>
      <c r="N3555" s="73"/>
      <c r="O3555" s="73"/>
      <c r="P3555" s="73"/>
      <c r="Q3555" s="73"/>
      <c r="R3555" s="111"/>
      <c r="S3555" s="75"/>
      <c r="T3555" s="73"/>
      <c r="X3555" s="189"/>
      <c r="Y3555" s="189"/>
      <c r="Z3555" s="100"/>
      <c r="AC3555" s="84"/>
      <c r="AD3555" s="189"/>
      <c r="AE3555" s="189"/>
      <c r="AF3555" s="189"/>
      <c r="AG3555" s="189"/>
      <c r="AH3555" s="189"/>
      <c r="AP3555" s="238"/>
    </row>
    <row r="3556" spans="3:42" s="45" customFormat="1" x14ac:dyDescent="0.2">
      <c r="C3556" s="189"/>
      <c r="F3556" s="73"/>
      <c r="M3556" s="111"/>
      <c r="N3556" s="73"/>
      <c r="O3556" s="73"/>
      <c r="P3556" s="73"/>
      <c r="Q3556" s="73"/>
      <c r="R3556" s="111"/>
      <c r="S3556" s="75"/>
      <c r="T3556" s="73"/>
      <c r="X3556" s="189"/>
      <c r="Y3556" s="189"/>
      <c r="Z3556" s="100"/>
      <c r="AC3556" s="84"/>
      <c r="AD3556" s="189"/>
      <c r="AE3556" s="189"/>
      <c r="AF3556" s="189"/>
      <c r="AG3556" s="189"/>
      <c r="AH3556" s="189"/>
      <c r="AP3556" s="238"/>
    </row>
    <row r="3557" spans="3:42" s="45" customFormat="1" x14ac:dyDescent="0.2">
      <c r="C3557" s="189"/>
      <c r="F3557" s="73"/>
      <c r="M3557" s="111"/>
      <c r="N3557" s="73"/>
      <c r="O3557" s="73"/>
      <c r="P3557" s="73"/>
      <c r="Q3557" s="73"/>
      <c r="R3557" s="111"/>
      <c r="S3557" s="75"/>
      <c r="T3557" s="73"/>
      <c r="X3557" s="189"/>
      <c r="Y3557" s="189"/>
      <c r="Z3557" s="100"/>
      <c r="AC3557" s="84"/>
      <c r="AD3557" s="189"/>
      <c r="AE3557" s="189"/>
      <c r="AF3557" s="189"/>
      <c r="AG3557" s="189"/>
      <c r="AH3557" s="189"/>
      <c r="AP3557" s="238"/>
    </row>
    <row r="3558" spans="3:42" s="45" customFormat="1" x14ac:dyDescent="0.2">
      <c r="C3558" s="189"/>
      <c r="F3558" s="73"/>
      <c r="M3558" s="111"/>
      <c r="N3558" s="73"/>
      <c r="O3558" s="73"/>
      <c r="P3558" s="73"/>
      <c r="Q3558" s="73"/>
      <c r="R3558" s="111"/>
      <c r="S3558" s="75"/>
      <c r="T3558" s="73"/>
      <c r="X3558" s="189"/>
      <c r="Y3558" s="189"/>
      <c r="Z3558" s="100"/>
      <c r="AC3558" s="84"/>
      <c r="AD3558" s="189"/>
      <c r="AE3558" s="189"/>
      <c r="AF3558" s="189"/>
      <c r="AG3558" s="189"/>
      <c r="AH3558" s="189"/>
      <c r="AP3558" s="238"/>
    </row>
    <row r="3559" spans="3:42" s="45" customFormat="1" x14ac:dyDescent="0.2">
      <c r="C3559" s="189"/>
      <c r="F3559" s="73"/>
      <c r="M3559" s="111"/>
      <c r="N3559" s="73"/>
      <c r="O3559" s="73"/>
      <c r="P3559" s="73"/>
      <c r="Q3559" s="73"/>
      <c r="R3559" s="111"/>
      <c r="S3559" s="75"/>
      <c r="T3559" s="73"/>
      <c r="X3559" s="189"/>
      <c r="Y3559" s="189"/>
      <c r="Z3559" s="100"/>
      <c r="AC3559" s="84"/>
      <c r="AD3559" s="189"/>
      <c r="AE3559" s="189"/>
      <c r="AF3559" s="189"/>
      <c r="AG3559" s="189"/>
      <c r="AH3559" s="189"/>
      <c r="AP3559" s="238"/>
    </row>
    <row r="3560" spans="3:42" s="45" customFormat="1" x14ac:dyDescent="0.2">
      <c r="C3560" s="189"/>
      <c r="F3560" s="73"/>
      <c r="M3560" s="111"/>
      <c r="N3560" s="73"/>
      <c r="O3560" s="73"/>
      <c r="P3560" s="73"/>
      <c r="Q3560" s="73"/>
      <c r="R3560" s="111"/>
      <c r="S3560" s="75"/>
      <c r="T3560" s="73"/>
      <c r="X3560" s="189"/>
      <c r="Y3560" s="189"/>
      <c r="Z3560" s="100"/>
      <c r="AC3560" s="84"/>
      <c r="AD3560" s="189"/>
      <c r="AE3560" s="189"/>
      <c r="AF3560" s="189"/>
      <c r="AG3560" s="189"/>
      <c r="AH3560" s="189"/>
      <c r="AP3560" s="238"/>
    </row>
    <row r="3561" spans="3:42" s="45" customFormat="1" x14ac:dyDescent="0.2">
      <c r="C3561" s="189"/>
      <c r="F3561" s="73"/>
      <c r="M3561" s="111"/>
      <c r="N3561" s="73"/>
      <c r="O3561" s="73"/>
      <c r="P3561" s="73"/>
      <c r="Q3561" s="73"/>
      <c r="R3561" s="111"/>
      <c r="S3561" s="75"/>
      <c r="T3561" s="73"/>
      <c r="X3561" s="189"/>
      <c r="Y3561" s="189"/>
      <c r="Z3561" s="100"/>
      <c r="AC3561" s="84"/>
      <c r="AD3561" s="189"/>
      <c r="AE3561" s="189"/>
      <c r="AF3561" s="189"/>
      <c r="AG3561" s="189"/>
      <c r="AH3561" s="189"/>
      <c r="AP3561" s="238"/>
    </row>
    <row r="3562" spans="3:42" s="45" customFormat="1" x14ac:dyDescent="0.2">
      <c r="C3562" s="189"/>
      <c r="F3562" s="73"/>
      <c r="M3562" s="111"/>
      <c r="N3562" s="73"/>
      <c r="O3562" s="73"/>
      <c r="P3562" s="73"/>
      <c r="Q3562" s="73"/>
      <c r="R3562" s="111"/>
      <c r="S3562" s="75"/>
      <c r="T3562" s="73"/>
      <c r="X3562" s="189"/>
      <c r="Y3562" s="189"/>
      <c r="Z3562" s="100"/>
      <c r="AC3562" s="84"/>
      <c r="AD3562" s="189"/>
      <c r="AE3562" s="189"/>
      <c r="AF3562" s="189"/>
      <c r="AG3562" s="189"/>
      <c r="AH3562" s="189"/>
      <c r="AP3562" s="238"/>
    </row>
    <row r="3563" spans="3:42" s="45" customFormat="1" x14ac:dyDescent="0.2">
      <c r="C3563" s="189"/>
      <c r="F3563" s="73"/>
      <c r="M3563" s="111"/>
      <c r="N3563" s="73"/>
      <c r="O3563" s="73"/>
      <c r="P3563" s="73"/>
      <c r="Q3563" s="73"/>
      <c r="R3563" s="111"/>
      <c r="S3563" s="75"/>
      <c r="T3563" s="73"/>
      <c r="X3563" s="189"/>
      <c r="Y3563" s="189"/>
      <c r="Z3563" s="100"/>
      <c r="AC3563" s="84"/>
      <c r="AD3563" s="189"/>
      <c r="AE3563" s="189"/>
      <c r="AF3563" s="189"/>
      <c r="AG3563" s="189"/>
      <c r="AH3563" s="189"/>
      <c r="AP3563" s="238"/>
    </row>
    <row r="3564" spans="3:42" s="45" customFormat="1" x14ac:dyDescent="0.2">
      <c r="C3564" s="189"/>
      <c r="F3564" s="73"/>
      <c r="M3564" s="111"/>
      <c r="N3564" s="73"/>
      <c r="O3564" s="73"/>
      <c r="P3564" s="73"/>
      <c r="Q3564" s="73"/>
      <c r="R3564" s="111"/>
      <c r="S3564" s="75"/>
      <c r="T3564" s="73"/>
      <c r="X3564" s="189"/>
      <c r="Y3564" s="189"/>
      <c r="Z3564" s="100"/>
      <c r="AC3564" s="84"/>
      <c r="AD3564" s="189"/>
      <c r="AE3564" s="189"/>
      <c r="AF3564" s="189"/>
      <c r="AG3564" s="189"/>
      <c r="AH3564" s="189"/>
      <c r="AP3564" s="238"/>
    </row>
    <row r="3565" spans="3:42" s="45" customFormat="1" x14ac:dyDescent="0.2">
      <c r="C3565" s="189"/>
      <c r="F3565" s="73"/>
      <c r="M3565" s="111"/>
      <c r="N3565" s="73"/>
      <c r="O3565" s="73"/>
      <c r="P3565" s="73"/>
      <c r="Q3565" s="73"/>
      <c r="R3565" s="111"/>
      <c r="S3565" s="75"/>
      <c r="T3565" s="73"/>
      <c r="X3565" s="189"/>
      <c r="Y3565" s="189"/>
      <c r="Z3565" s="100"/>
      <c r="AC3565" s="84"/>
      <c r="AD3565" s="189"/>
      <c r="AE3565" s="189"/>
      <c r="AF3565" s="189"/>
      <c r="AG3565" s="189"/>
      <c r="AH3565" s="189"/>
      <c r="AP3565" s="238"/>
    </row>
    <row r="3566" spans="3:42" s="45" customFormat="1" x14ac:dyDescent="0.2">
      <c r="C3566" s="189"/>
      <c r="F3566" s="73"/>
      <c r="M3566" s="111"/>
      <c r="N3566" s="73"/>
      <c r="O3566" s="73"/>
      <c r="P3566" s="73"/>
      <c r="Q3566" s="73"/>
      <c r="R3566" s="111"/>
      <c r="S3566" s="75"/>
      <c r="T3566" s="73"/>
      <c r="X3566" s="189"/>
      <c r="Y3566" s="189"/>
      <c r="Z3566" s="100"/>
      <c r="AC3566" s="84"/>
      <c r="AD3566" s="189"/>
      <c r="AE3566" s="189"/>
      <c r="AF3566" s="189"/>
      <c r="AG3566" s="189"/>
      <c r="AH3566" s="189"/>
      <c r="AP3566" s="238"/>
    </row>
    <row r="3567" spans="3:42" s="45" customFormat="1" x14ac:dyDescent="0.2">
      <c r="C3567" s="189"/>
      <c r="F3567" s="73"/>
      <c r="M3567" s="111"/>
      <c r="N3567" s="73"/>
      <c r="O3567" s="73"/>
      <c r="P3567" s="73"/>
      <c r="Q3567" s="73"/>
      <c r="R3567" s="111"/>
      <c r="S3567" s="75"/>
      <c r="T3567" s="73"/>
      <c r="X3567" s="189"/>
      <c r="Y3567" s="189"/>
      <c r="Z3567" s="100"/>
      <c r="AC3567" s="84"/>
      <c r="AD3567" s="189"/>
      <c r="AE3567" s="189"/>
      <c r="AF3567" s="189"/>
      <c r="AG3567" s="189"/>
      <c r="AH3567" s="189"/>
      <c r="AP3567" s="238"/>
    </row>
    <row r="3568" spans="3:42" s="45" customFormat="1" x14ac:dyDescent="0.2">
      <c r="C3568" s="189"/>
      <c r="F3568" s="73"/>
      <c r="M3568" s="111"/>
      <c r="N3568" s="73"/>
      <c r="O3568" s="73"/>
      <c r="P3568" s="73"/>
      <c r="Q3568" s="73"/>
      <c r="R3568" s="111"/>
      <c r="S3568" s="75"/>
      <c r="T3568" s="73"/>
      <c r="X3568" s="189"/>
      <c r="Y3568" s="189"/>
      <c r="Z3568" s="100"/>
      <c r="AC3568" s="84"/>
      <c r="AD3568" s="189"/>
      <c r="AE3568" s="189"/>
      <c r="AF3568" s="189"/>
      <c r="AG3568" s="189"/>
      <c r="AH3568" s="189"/>
      <c r="AP3568" s="238"/>
    </row>
    <row r="3569" spans="3:42" s="45" customFormat="1" x14ac:dyDescent="0.2">
      <c r="C3569" s="189"/>
      <c r="F3569" s="73"/>
      <c r="M3569" s="111"/>
      <c r="N3569" s="73"/>
      <c r="O3569" s="73"/>
      <c r="P3569" s="73"/>
      <c r="Q3569" s="73"/>
      <c r="R3569" s="111"/>
      <c r="S3569" s="75"/>
      <c r="T3569" s="73"/>
      <c r="X3569" s="189"/>
      <c r="Y3569" s="189"/>
      <c r="Z3569" s="100"/>
      <c r="AC3569" s="84"/>
      <c r="AD3569" s="189"/>
      <c r="AE3569" s="189"/>
      <c r="AF3569" s="189"/>
      <c r="AG3569" s="189"/>
      <c r="AH3569" s="189"/>
      <c r="AP3569" s="238"/>
    </row>
    <row r="3570" spans="3:42" s="45" customFormat="1" x14ac:dyDescent="0.2">
      <c r="C3570" s="189"/>
      <c r="F3570" s="73"/>
      <c r="M3570" s="111"/>
      <c r="N3570" s="73"/>
      <c r="O3570" s="73"/>
      <c r="P3570" s="73"/>
      <c r="Q3570" s="73"/>
      <c r="R3570" s="111"/>
      <c r="S3570" s="75"/>
      <c r="T3570" s="73"/>
      <c r="X3570" s="189"/>
      <c r="Y3570" s="189"/>
      <c r="Z3570" s="100"/>
      <c r="AC3570" s="84"/>
      <c r="AD3570" s="189"/>
      <c r="AE3570" s="189"/>
      <c r="AF3570" s="189"/>
      <c r="AG3570" s="189"/>
      <c r="AH3570" s="189"/>
      <c r="AP3570" s="238"/>
    </row>
    <row r="3571" spans="3:42" s="45" customFormat="1" x14ac:dyDescent="0.2">
      <c r="C3571" s="189"/>
      <c r="F3571" s="73"/>
      <c r="M3571" s="111"/>
      <c r="N3571" s="73"/>
      <c r="O3571" s="73"/>
      <c r="P3571" s="73"/>
      <c r="Q3571" s="73"/>
      <c r="R3571" s="111"/>
      <c r="S3571" s="75"/>
      <c r="T3571" s="73"/>
      <c r="X3571" s="189"/>
      <c r="Y3571" s="189"/>
      <c r="Z3571" s="100"/>
      <c r="AC3571" s="84"/>
      <c r="AD3571" s="189"/>
      <c r="AE3571" s="189"/>
      <c r="AF3571" s="189"/>
      <c r="AG3571" s="189"/>
      <c r="AH3571" s="189"/>
      <c r="AP3571" s="238"/>
    </row>
    <row r="3572" spans="3:42" s="45" customFormat="1" x14ac:dyDescent="0.2">
      <c r="C3572" s="189"/>
      <c r="F3572" s="73"/>
      <c r="M3572" s="111"/>
      <c r="N3572" s="73"/>
      <c r="O3572" s="73"/>
      <c r="P3572" s="73"/>
      <c r="Q3572" s="73"/>
      <c r="R3572" s="111"/>
      <c r="S3572" s="75"/>
      <c r="T3572" s="73"/>
      <c r="X3572" s="189"/>
      <c r="Y3572" s="189"/>
      <c r="Z3572" s="100"/>
      <c r="AC3572" s="84"/>
      <c r="AD3572" s="189"/>
      <c r="AE3572" s="189"/>
      <c r="AF3572" s="189"/>
      <c r="AG3572" s="189"/>
      <c r="AH3572" s="189"/>
      <c r="AP3572" s="238"/>
    </row>
    <row r="3573" spans="3:42" s="45" customFormat="1" x14ac:dyDescent="0.2">
      <c r="C3573" s="189"/>
      <c r="F3573" s="73"/>
      <c r="M3573" s="111"/>
      <c r="N3573" s="73"/>
      <c r="O3573" s="73"/>
      <c r="P3573" s="73"/>
      <c r="Q3573" s="73"/>
      <c r="R3573" s="111"/>
      <c r="S3573" s="75"/>
      <c r="T3573" s="73"/>
      <c r="X3573" s="189"/>
      <c r="Y3573" s="189"/>
      <c r="Z3573" s="100"/>
      <c r="AC3573" s="84"/>
      <c r="AD3573" s="189"/>
      <c r="AE3573" s="189"/>
      <c r="AF3573" s="189"/>
      <c r="AG3573" s="189"/>
      <c r="AH3573" s="189"/>
      <c r="AP3573" s="238"/>
    </row>
    <row r="3574" spans="3:42" s="45" customFormat="1" x14ac:dyDescent="0.2">
      <c r="C3574" s="189"/>
      <c r="F3574" s="73"/>
      <c r="M3574" s="111"/>
      <c r="N3574" s="73"/>
      <c r="O3574" s="73"/>
      <c r="P3574" s="73"/>
      <c r="Q3574" s="73"/>
      <c r="R3574" s="111"/>
      <c r="S3574" s="75"/>
      <c r="T3574" s="73"/>
      <c r="X3574" s="189"/>
      <c r="Y3574" s="189"/>
      <c r="Z3574" s="100"/>
      <c r="AC3574" s="84"/>
      <c r="AD3574" s="189"/>
      <c r="AE3574" s="189"/>
      <c r="AF3574" s="189"/>
      <c r="AG3574" s="189"/>
      <c r="AH3574" s="189"/>
      <c r="AP3574" s="238"/>
    </row>
    <row r="3575" spans="3:42" s="45" customFormat="1" x14ac:dyDescent="0.2">
      <c r="C3575" s="189"/>
      <c r="F3575" s="73"/>
      <c r="M3575" s="111"/>
      <c r="N3575" s="73"/>
      <c r="O3575" s="73"/>
      <c r="P3575" s="73"/>
      <c r="Q3575" s="73"/>
      <c r="R3575" s="111"/>
      <c r="S3575" s="75"/>
      <c r="T3575" s="73"/>
      <c r="X3575" s="189"/>
      <c r="Y3575" s="189"/>
      <c r="Z3575" s="100"/>
      <c r="AC3575" s="84"/>
      <c r="AD3575" s="189"/>
      <c r="AE3575" s="189"/>
      <c r="AF3575" s="189"/>
      <c r="AG3575" s="189"/>
      <c r="AH3575" s="189"/>
      <c r="AP3575" s="238"/>
    </row>
    <row r="3576" spans="3:42" s="45" customFormat="1" x14ac:dyDescent="0.2">
      <c r="C3576" s="189"/>
      <c r="F3576" s="73"/>
      <c r="M3576" s="111"/>
      <c r="N3576" s="73"/>
      <c r="O3576" s="73"/>
      <c r="P3576" s="73"/>
      <c r="Q3576" s="73"/>
      <c r="R3576" s="111"/>
      <c r="S3576" s="75"/>
      <c r="T3576" s="73"/>
      <c r="X3576" s="189"/>
      <c r="Y3576" s="189"/>
      <c r="Z3576" s="100"/>
      <c r="AC3576" s="84"/>
      <c r="AD3576" s="189"/>
      <c r="AE3576" s="189"/>
      <c r="AF3576" s="189"/>
      <c r="AG3576" s="189"/>
      <c r="AH3576" s="189"/>
      <c r="AP3576" s="238"/>
    </row>
    <row r="3577" spans="3:42" s="45" customFormat="1" x14ac:dyDescent="0.2">
      <c r="C3577" s="189"/>
      <c r="F3577" s="73"/>
      <c r="M3577" s="111"/>
      <c r="N3577" s="73"/>
      <c r="O3577" s="73"/>
      <c r="P3577" s="73"/>
      <c r="Q3577" s="73"/>
      <c r="R3577" s="111"/>
      <c r="S3577" s="75"/>
      <c r="T3577" s="73"/>
      <c r="X3577" s="189"/>
      <c r="Y3577" s="189"/>
      <c r="Z3577" s="100"/>
      <c r="AC3577" s="84"/>
      <c r="AD3577" s="189"/>
      <c r="AE3577" s="189"/>
      <c r="AF3577" s="189"/>
      <c r="AG3577" s="189"/>
      <c r="AH3577" s="189"/>
      <c r="AP3577" s="238"/>
    </row>
    <row r="3578" spans="3:42" s="45" customFormat="1" x14ac:dyDescent="0.2">
      <c r="C3578" s="189"/>
      <c r="F3578" s="73"/>
      <c r="M3578" s="111"/>
      <c r="N3578" s="73"/>
      <c r="O3578" s="73"/>
      <c r="P3578" s="73"/>
      <c r="Q3578" s="73"/>
      <c r="R3578" s="111"/>
      <c r="S3578" s="75"/>
      <c r="T3578" s="73"/>
      <c r="X3578" s="189"/>
      <c r="Y3578" s="189"/>
      <c r="Z3578" s="100"/>
      <c r="AC3578" s="84"/>
      <c r="AD3578" s="189"/>
      <c r="AE3578" s="189"/>
      <c r="AF3578" s="189"/>
      <c r="AG3578" s="189"/>
      <c r="AH3578" s="189"/>
      <c r="AP3578" s="238"/>
    </row>
    <row r="3579" spans="3:42" s="45" customFormat="1" x14ac:dyDescent="0.2">
      <c r="C3579" s="189"/>
      <c r="F3579" s="73"/>
      <c r="M3579" s="111"/>
      <c r="N3579" s="73"/>
      <c r="O3579" s="73"/>
      <c r="P3579" s="73"/>
      <c r="Q3579" s="73"/>
      <c r="R3579" s="111"/>
      <c r="S3579" s="75"/>
      <c r="T3579" s="73"/>
      <c r="X3579" s="189"/>
      <c r="Y3579" s="189"/>
      <c r="Z3579" s="100"/>
      <c r="AC3579" s="84"/>
      <c r="AD3579" s="189"/>
      <c r="AE3579" s="189"/>
      <c r="AF3579" s="189"/>
      <c r="AG3579" s="189"/>
      <c r="AH3579" s="189"/>
      <c r="AP3579" s="238"/>
    </row>
    <row r="3580" spans="3:42" s="45" customFormat="1" x14ac:dyDescent="0.2">
      <c r="C3580" s="189"/>
      <c r="F3580" s="73"/>
      <c r="M3580" s="111"/>
      <c r="N3580" s="73"/>
      <c r="O3580" s="73"/>
      <c r="P3580" s="73"/>
      <c r="Q3580" s="73"/>
      <c r="R3580" s="111"/>
      <c r="S3580" s="75"/>
      <c r="T3580" s="73"/>
      <c r="X3580" s="189"/>
      <c r="Y3580" s="189"/>
      <c r="Z3580" s="100"/>
      <c r="AC3580" s="84"/>
      <c r="AD3580" s="189"/>
      <c r="AE3580" s="189"/>
      <c r="AF3580" s="189"/>
      <c r="AG3580" s="189"/>
      <c r="AH3580" s="189"/>
      <c r="AP3580" s="238"/>
    </row>
    <row r="3581" spans="3:42" s="45" customFormat="1" x14ac:dyDescent="0.2">
      <c r="C3581" s="189"/>
      <c r="F3581" s="73"/>
      <c r="M3581" s="111"/>
      <c r="N3581" s="73"/>
      <c r="O3581" s="73"/>
      <c r="P3581" s="73"/>
      <c r="Q3581" s="73"/>
      <c r="R3581" s="111"/>
      <c r="S3581" s="75"/>
      <c r="T3581" s="73"/>
      <c r="X3581" s="189"/>
      <c r="Y3581" s="189"/>
      <c r="Z3581" s="100"/>
      <c r="AC3581" s="84"/>
      <c r="AD3581" s="189"/>
      <c r="AE3581" s="189"/>
      <c r="AF3581" s="189"/>
      <c r="AG3581" s="189"/>
      <c r="AH3581" s="189"/>
      <c r="AP3581" s="238"/>
    </row>
    <row r="3582" spans="3:42" s="45" customFormat="1" x14ac:dyDescent="0.2">
      <c r="C3582" s="189"/>
      <c r="F3582" s="73"/>
      <c r="M3582" s="111"/>
      <c r="N3582" s="73"/>
      <c r="O3582" s="73"/>
      <c r="P3582" s="73"/>
      <c r="Q3582" s="73"/>
      <c r="R3582" s="111"/>
      <c r="S3582" s="75"/>
      <c r="T3582" s="73"/>
      <c r="X3582" s="189"/>
      <c r="Y3582" s="189"/>
      <c r="Z3582" s="100"/>
      <c r="AC3582" s="84"/>
      <c r="AD3582" s="189"/>
      <c r="AE3582" s="189"/>
      <c r="AF3582" s="189"/>
      <c r="AG3582" s="189"/>
      <c r="AH3582" s="189"/>
      <c r="AP3582" s="238"/>
    </row>
    <row r="3583" spans="3:42" s="45" customFormat="1" x14ac:dyDescent="0.2">
      <c r="C3583" s="189"/>
      <c r="F3583" s="73"/>
      <c r="M3583" s="111"/>
      <c r="N3583" s="73"/>
      <c r="O3583" s="73"/>
      <c r="P3583" s="73"/>
      <c r="Q3583" s="73"/>
      <c r="R3583" s="111"/>
      <c r="S3583" s="75"/>
      <c r="T3583" s="73"/>
      <c r="X3583" s="189"/>
      <c r="Y3583" s="189"/>
      <c r="Z3583" s="100"/>
      <c r="AC3583" s="84"/>
      <c r="AD3583" s="189"/>
      <c r="AE3583" s="189"/>
      <c r="AF3583" s="189"/>
      <c r="AG3583" s="189"/>
      <c r="AH3583" s="189"/>
      <c r="AP3583" s="238"/>
    </row>
    <row r="3584" spans="3:42" s="45" customFormat="1" x14ac:dyDescent="0.2">
      <c r="C3584" s="189"/>
      <c r="F3584" s="73"/>
      <c r="M3584" s="111"/>
      <c r="N3584" s="73"/>
      <c r="O3584" s="73"/>
      <c r="P3584" s="73"/>
      <c r="Q3584" s="73"/>
      <c r="R3584" s="111"/>
      <c r="S3584" s="75"/>
      <c r="T3584" s="73"/>
      <c r="X3584" s="189"/>
      <c r="Y3584" s="189"/>
      <c r="Z3584" s="100"/>
      <c r="AC3584" s="84"/>
      <c r="AD3584" s="189"/>
      <c r="AE3584" s="189"/>
      <c r="AF3584" s="189"/>
      <c r="AG3584" s="189"/>
      <c r="AH3584" s="189"/>
      <c r="AP3584" s="238"/>
    </row>
    <row r="3585" spans="3:42" s="45" customFormat="1" x14ac:dyDescent="0.2">
      <c r="C3585" s="189"/>
      <c r="F3585" s="73"/>
      <c r="M3585" s="111"/>
      <c r="N3585" s="73"/>
      <c r="O3585" s="73"/>
      <c r="P3585" s="73"/>
      <c r="Q3585" s="73"/>
      <c r="R3585" s="111"/>
      <c r="S3585" s="75"/>
      <c r="T3585" s="73"/>
      <c r="X3585" s="189"/>
      <c r="Y3585" s="189"/>
      <c r="Z3585" s="100"/>
      <c r="AC3585" s="84"/>
      <c r="AD3585" s="189"/>
      <c r="AE3585" s="189"/>
      <c r="AF3585" s="189"/>
      <c r="AG3585" s="189"/>
      <c r="AH3585" s="189"/>
      <c r="AP3585" s="238"/>
    </row>
    <row r="3586" spans="3:42" s="45" customFormat="1" x14ac:dyDescent="0.2">
      <c r="C3586" s="189"/>
      <c r="F3586" s="73"/>
      <c r="M3586" s="111"/>
      <c r="N3586" s="73"/>
      <c r="O3586" s="73"/>
      <c r="P3586" s="73"/>
      <c r="Q3586" s="73"/>
      <c r="R3586" s="111"/>
      <c r="S3586" s="75"/>
      <c r="T3586" s="73"/>
      <c r="X3586" s="189"/>
      <c r="Y3586" s="189"/>
      <c r="Z3586" s="100"/>
      <c r="AC3586" s="84"/>
      <c r="AD3586" s="189"/>
      <c r="AE3586" s="189"/>
      <c r="AF3586" s="189"/>
      <c r="AG3586" s="189"/>
      <c r="AH3586" s="189"/>
      <c r="AP3586" s="238"/>
    </row>
    <row r="3587" spans="3:42" s="45" customFormat="1" x14ac:dyDescent="0.2">
      <c r="C3587" s="189"/>
      <c r="F3587" s="73"/>
      <c r="M3587" s="111"/>
      <c r="N3587" s="73"/>
      <c r="O3587" s="73"/>
      <c r="P3587" s="73"/>
      <c r="Q3587" s="73"/>
      <c r="R3587" s="111"/>
      <c r="S3587" s="75"/>
      <c r="T3587" s="73"/>
      <c r="X3587" s="189"/>
      <c r="Y3587" s="189"/>
      <c r="Z3587" s="100"/>
      <c r="AC3587" s="84"/>
      <c r="AD3587" s="189"/>
      <c r="AE3587" s="189"/>
      <c r="AF3587" s="189"/>
      <c r="AG3587" s="189"/>
      <c r="AH3587" s="189"/>
      <c r="AP3587" s="238"/>
    </row>
    <row r="3588" spans="3:42" s="45" customFormat="1" x14ac:dyDescent="0.2">
      <c r="C3588" s="189"/>
      <c r="F3588" s="73"/>
      <c r="M3588" s="111"/>
      <c r="N3588" s="73"/>
      <c r="O3588" s="73"/>
      <c r="P3588" s="73"/>
      <c r="Q3588" s="73"/>
      <c r="R3588" s="111"/>
      <c r="S3588" s="75"/>
      <c r="T3588" s="73"/>
      <c r="X3588" s="189"/>
      <c r="Y3588" s="189"/>
      <c r="Z3588" s="100"/>
      <c r="AC3588" s="84"/>
      <c r="AD3588" s="189"/>
      <c r="AE3588" s="189"/>
      <c r="AF3588" s="189"/>
      <c r="AG3588" s="189"/>
      <c r="AH3588" s="189"/>
      <c r="AP3588" s="238"/>
    </row>
    <row r="3589" spans="3:42" s="45" customFormat="1" x14ac:dyDescent="0.2">
      <c r="C3589" s="189"/>
      <c r="F3589" s="73"/>
      <c r="M3589" s="111"/>
      <c r="N3589" s="73"/>
      <c r="O3589" s="73"/>
      <c r="P3589" s="73"/>
      <c r="Q3589" s="73"/>
      <c r="R3589" s="111"/>
      <c r="S3589" s="75"/>
      <c r="T3589" s="73"/>
      <c r="X3589" s="189"/>
      <c r="Y3589" s="189"/>
      <c r="Z3589" s="100"/>
      <c r="AC3589" s="84"/>
      <c r="AD3589" s="189"/>
      <c r="AE3589" s="189"/>
      <c r="AF3589" s="189"/>
      <c r="AG3589" s="189"/>
      <c r="AH3589" s="189"/>
      <c r="AP3589" s="238"/>
    </row>
    <row r="3590" spans="3:42" s="45" customFormat="1" x14ac:dyDescent="0.2">
      <c r="C3590" s="189"/>
      <c r="F3590" s="73"/>
      <c r="M3590" s="111"/>
      <c r="N3590" s="73"/>
      <c r="O3590" s="73"/>
      <c r="P3590" s="73"/>
      <c r="Q3590" s="73"/>
      <c r="R3590" s="111"/>
      <c r="S3590" s="75"/>
      <c r="T3590" s="73"/>
      <c r="X3590" s="189"/>
      <c r="Y3590" s="189"/>
      <c r="Z3590" s="100"/>
      <c r="AC3590" s="84"/>
      <c r="AD3590" s="189"/>
      <c r="AE3590" s="189"/>
      <c r="AF3590" s="189"/>
      <c r="AG3590" s="189"/>
      <c r="AH3590" s="189"/>
      <c r="AP3590" s="238"/>
    </row>
    <row r="3591" spans="3:42" s="45" customFormat="1" x14ac:dyDescent="0.2">
      <c r="C3591" s="189"/>
      <c r="F3591" s="73"/>
      <c r="M3591" s="111"/>
      <c r="N3591" s="73"/>
      <c r="O3591" s="73"/>
      <c r="P3591" s="73"/>
      <c r="Q3591" s="73"/>
      <c r="R3591" s="111"/>
      <c r="S3591" s="75"/>
      <c r="T3591" s="73"/>
      <c r="X3591" s="189"/>
      <c r="Y3591" s="189"/>
      <c r="Z3591" s="100"/>
      <c r="AC3591" s="84"/>
      <c r="AD3591" s="189"/>
      <c r="AE3591" s="189"/>
      <c r="AF3591" s="189"/>
      <c r="AG3591" s="189"/>
      <c r="AH3591" s="189"/>
      <c r="AP3591" s="238"/>
    </row>
    <row r="3592" spans="3:42" s="45" customFormat="1" x14ac:dyDescent="0.2">
      <c r="C3592" s="189"/>
      <c r="F3592" s="73"/>
      <c r="M3592" s="111"/>
      <c r="N3592" s="73"/>
      <c r="O3592" s="73"/>
      <c r="P3592" s="73"/>
      <c r="Q3592" s="73"/>
      <c r="R3592" s="111"/>
      <c r="S3592" s="75"/>
      <c r="T3592" s="73"/>
      <c r="X3592" s="189"/>
      <c r="Y3592" s="189"/>
      <c r="Z3592" s="100"/>
      <c r="AC3592" s="84"/>
      <c r="AD3592" s="189"/>
      <c r="AE3592" s="189"/>
      <c r="AF3592" s="189"/>
      <c r="AG3592" s="189"/>
      <c r="AH3592" s="189"/>
      <c r="AP3592" s="238"/>
    </row>
    <row r="3593" spans="3:42" s="45" customFormat="1" x14ac:dyDescent="0.2">
      <c r="C3593" s="189"/>
      <c r="F3593" s="73"/>
      <c r="M3593" s="111"/>
      <c r="N3593" s="73"/>
      <c r="O3593" s="73"/>
      <c r="P3593" s="73"/>
      <c r="Q3593" s="73"/>
      <c r="R3593" s="111"/>
      <c r="S3593" s="75"/>
      <c r="T3593" s="73"/>
      <c r="X3593" s="189"/>
      <c r="Y3593" s="189"/>
      <c r="Z3593" s="100"/>
      <c r="AC3593" s="84"/>
      <c r="AD3593" s="189"/>
      <c r="AE3593" s="189"/>
      <c r="AF3593" s="189"/>
      <c r="AG3593" s="189"/>
      <c r="AH3593" s="189"/>
      <c r="AP3593" s="238"/>
    </row>
    <row r="3594" spans="3:42" s="45" customFormat="1" x14ac:dyDescent="0.2">
      <c r="C3594" s="189"/>
      <c r="F3594" s="73"/>
      <c r="M3594" s="111"/>
      <c r="N3594" s="73"/>
      <c r="O3594" s="73"/>
      <c r="P3594" s="73"/>
      <c r="Q3594" s="73"/>
      <c r="R3594" s="111"/>
      <c r="S3594" s="75"/>
      <c r="T3594" s="73"/>
      <c r="X3594" s="189"/>
      <c r="Y3594" s="189"/>
      <c r="Z3594" s="100"/>
      <c r="AC3594" s="84"/>
      <c r="AD3594" s="189"/>
      <c r="AE3594" s="189"/>
      <c r="AF3594" s="189"/>
      <c r="AG3594" s="189"/>
      <c r="AH3594" s="189"/>
      <c r="AP3594" s="238"/>
    </row>
    <row r="3595" spans="3:42" s="45" customFormat="1" x14ac:dyDescent="0.2">
      <c r="C3595" s="189"/>
      <c r="F3595" s="73"/>
      <c r="M3595" s="111"/>
      <c r="N3595" s="73"/>
      <c r="O3595" s="73"/>
      <c r="P3595" s="73"/>
      <c r="Q3595" s="73"/>
      <c r="R3595" s="111"/>
      <c r="S3595" s="75"/>
      <c r="T3595" s="73"/>
      <c r="X3595" s="189"/>
      <c r="Y3595" s="189"/>
      <c r="Z3595" s="100"/>
      <c r="AC3595" s="84"/>
      <c r="AD3595" s="189"/>
      <c r="AE3595" s="189"/>
      <c r="AF3595" s="189"/>
      <c r="AG3595" s="189"/>
      <c r="AH3595" s="189"/>
      <c r="AP3595" s="238"/>
    </row>
    <row r="3596" spans="3:42" s="45" customFormat="1" x14ac:dyDescent="0.2">
      <c r="C3596" s="189"/>
      <c r="F3596" s="73"/>
      <c r="M3596" s="111"/>
      <c r="N3596" s="73"/>
      <c r="O3596" s="73"/>
      <c r="P3596" s="73"/>
      <c r="Q3596" s="73"/>
      <c r="R3596" s="111"/>
      <c r="S3596" s="75"/>
      <c r="T3596" s="73"/>
      <c r="X3596" s="189"/>
      <c r="Y3596" s="189"/>
      <c r="Z3596" s="100"/>
      <c r="AC3596" s="84"/>
      <c r="AD3596" s="189"/>
      <c r="AE3596" s="189"/>
      <c r="AF3596" s="189"/>
      <c r="AG3596" s="189"/>
      <c r="AH3596" s="189"/>
      <c r="AP3596" s="238"/>
    </row>
    <row r="3597" spans="3:42" s="45" customFormat="1" x14ac:dyDescent="0.2">
      <c r="C3597" s="189"/>
      <c r="F3597" s="73"/>
      <c r="M3597" s="111"/>
      <c r="N3597" s="73"/>
      <c r="O3597" s="73"/>
      <c r="P3597" s="73"/>
      <c r="Q3597" s="73"/>
      <c r="R3597" s="111"/>
      <c r="S3597" s="75"/>
      <c r="T3597" s="73"/>
      <c r="X3597" s="189"/>
      <c r="Y3597" s="189"/>
      <c r="Z3597" s="100"/>
      <c r="AC3597" s="84"/>
      <c r="AD3597" s="189"/>
      <c r="AE3597" s="189"/>
      <c r="AF3597" s="189"/>
      <c r="AG3597" s="189"/>
      <c r="AH3597" s="189"/>
      <c r="AP3597" s="238"/>
    </row>
    <row r="3598" spans="3:42" s="45" customFormat="1" x14ac:dyDescent="0.2">
      <c r="C3598" s="189"/>
      <c r="F3598" s="73"/>
      <c r="M3598" s="111"/>
      <c r="N3598" s="73"/>
      <c r="O3598" s="73"/>
      <c r="P3598" s="73"/>
      <c r="Q3598" s="73"/>
      <c r="R3598" s="111"/>
      <c r="S3598" s="75"/>
      <c r="T3598" s="73"/>
      <c r="X3598" s="189"/>
      <c r="Y3598" s="189"/>
      <c r="Z3598" s="100"/>
      <c r="AC3598" s="84"/>
      <c r="AD3598" s="189"/>
      <c r="AE3598" s="189"/>
      <c r="AF3598" s="189"/>
      <c r="AG3598" s="189"/>
      <c r="AH3598" s="189"/>
      <c r="AP3598" s="238"/>
    </row>
    <row r="3599" spans="3:42" s="45" customFormat="1" x14ac:dyDescent="0.2">
      <c r="C3599" s="189"/>
      <c r="F3599" s="73"/>
      <c r="M3599" s="111"/>
      <c r="N3599" s="73"/>
      <c r="O3599" s="73"/>
      <c r="P3599" s="73"/>
      <c r="Q3599" s="73"/>
      <c r="R3599" s="111"/>
      <c r="S3599" s="75"/>
      <c r="T3599" s="73"/>
      <c r="X3599" s="189"/>
      <c r="Y3599" s="189"/>
      <c r="Z3599" s="100"/>
      <c r="AC3599" s="84"/>
      <c r="AD3599" s="189"/>
      <c r="AE3599" s="189"/>
      <c r="AF3599" s="189"/>
      <c r="AG3599" s="189"/>
      <c r="AH3599" s="189"/>
      <c r="AP3599" s="238"/>
    </row>
    <row r="3600" spans="3:42" s="45" customFormat="1" x14ac:dyDescent="0.2">
      <c r="C3600" s="189"/>
      <c r="F3600" s="73"/>
      <c r="M3600" s="111"/>
      <c r="N3600" s="73"/>
      <c r="O3600" s="73"/>
      <c r="P3600" s="73"/>
      <c r="Q3600" s="73"/>
      <c r="R3600" s="111"/>
      <c r="S3600" s="75"/>
      <c r="T3600" s="73"/>
      <c r="X3600" s="189"/>
      <c r="Y3600" s="189"/>
      <c r="Z3600" s="100"/>
      <c r="AC3600" s="84"/>
      <c r="AD3600" s="189"/>
      <c r="AE3600" s="189"/>
      <c r="AF3600" s="189"/>
      <c r="AG3600" s="189"/>
      <c r="AH3600" s="189"/>
      <c r="AP3600" s="238"/>
    </row>
    <row r="3601" spans="3:42" s="45" customFormat="1" x14ac:dyDescent="0.2">
      <c r="C3601" s="189"/>
      <c r="F3601" s="73"/>
      <c r="M3601" s="111"/>
      <c r="N3601" s="73"/>
      <c r="O3601" s="73"/>
      <c r="P3601" s="73"/>
      <c r="Q3601" s="73"/>
      <c r="R3601" s="111"/>
      <c r="S3601" s="75"/>
      <c r="T3601" s="73"/>
      <c r="X3601" s="189"/>
      <c r="Y3601" s="189"/>
      <c r="Z3601" s="100"/>
      <c r="AC3601" s="84"/>
      <c r="AD3601" s="189"/>
      <c r="AE3601" s="189"/>
      <c r="AF3601" s="189"/>
      <c r="AG3601" s="189"/>
      <c r="AH3601" s="189"/>
      <c r="AP3601" s="238"/>
    </row>
    <row r="3602" spans="3:42" s="45" customFormat="1" x14ac:dyDescent="0.2">
      <c r="C3602" s="189"/>
      <c r="F3602" s="73"/>
      <c r="M3602" s="111"/>
      <c r="N3602" s="73"/>
      <c r="O3602" s="73"/>
      <c r="P3602" s="73"/>
      <c r="Q3602" s="73"/>
      <c r="R3602" s="111"/>
      <c r="S3602" s="75"/>
      <c r="T3602" s="73"/>
      <c r="X3602" s="189"/>
      <c r="Y3602" s="189"/>
      <c r="Z3602" s="100"/>
      <c r="AC3602" s="84"/>
      <c r="AD3602" s="189"/>
      <c r="AE3602" s="189"/>
      <c r="AF3602" s="189"/>
      <c r="AG3602" s="189"/>
      <c r="AH3602" s="189"/>
      <c r="AP3602" s="238"/>
    </row>
    <row r="3603" spans="3:42" s="45" customFormat="1" x14ac:dyDescent="0.2">
      <c r="C3603" s="189"/>
      <c r="F3603" s="73"/>
      <c r="M3603" s="111"/>
      <c r="N3603" s="73"/>
      <c r="O3603" s="73"/>
      <c r="P3603" s="73"/>
      <c r="Q3603" s="73"/>
      <c r="R3603" s="111"/>
      <c r="S3603" s="75"/>
      <c r="T3603" s="73"/>
      <c r="X3603" s="189"/>
      <c r="Y3603" s="189"/>
      <c r="Z3603" s="100"/>
      <c r="AC3603" s="84"/>
      <c r="AD3603" s="189"/>
      <c r="AE3603" s="189"/>
      <c r="AF3603" s="189"/>
      <c r="AG3603" s="189"/>
      <c r="AH3603" s="189"/>
      <c r="AP3603" s="238"/>
    </row>
    <row r="3604" spans="3:42" s="45" customFormat="1" x14ac:dyDescent="0.2">
      <c r="C3604" s="189"/>
      <c r="F3604" s="73"/>
      <c r="M3604" s="111"/>
      <c r="N3604" s="73"/>
      <c r="O3604" s="73"/>
      <c r="P3604" s="73"/>
      <c r="Q3604" s="73"/>
      <c r="R3604" s="111"/>
      <c r="S3604" s="75"/>
      <c r="T3604" s="73"/>
      <c r="X3604" s="189"/>
      <c r="Y3604" s="189"/>
      <c r="Z3604" s="100"/>
      <c r="AC3604" s="84"/>
      <c r="AD3604" s="189"/>
      <c r="AE3604" s="189"/>
      <c r="AF3604" s="189"/>
      <c r="AG3604" s="189"/>
      <c r="AH3604" s="189"/>
      <c r="AP3604" s="238"/>
    </row>
    <row r="3605" spans="3:42" s="45" customFormat="1" x14ac:dyDescent="0.2">
      <c r="C3605" s="189"/>
      <c r="F3605" s="73"/>
      <c r="M3605" s="111"/>
      <c r="N3605" s="73"/>
      <c r="O3605" s="73"/>
      <c r="P3605" s="73"/>
      <c r="Q3605" s="73"/>
      <c r="R3605" s="111"/>
      <c r="S3605" s="75"/>
      <c r="T3605" s="73"/>
      <c r="X3605" s="189"/>
      <c r="Y3605" s="189"/>
      <c r="Z3605" s="100"/>
      <c r="AC3605" s="84"/>
      <c r="AD3605" s="189"/>
      <c r="AE3605" s="189"/>
      <c r="AF3605" s="189"/>
      <c r="AG3605" s="189"/>
      <c r="AH3605" s="189"/>
      <c r="AP3605" s="238"/>
    </row>
    <row r="3606" spans="3:42" s="45" customFormat="1" x14ac:dyDescent="0.2">
      <c r="C3606" s="189"/>
      <c r="F3606" s="73"/>
      <c r="M3606" s="111"/>
      <c r="N3606" s="73"/>
      <c r="O3606" s="73"/>
      <c r="P3606" s="73"/>
      <c r="Q3606" s="73"/>
      <c r="R3606" s="111"/>
      <c r="S3606" s="75"/>
      <c r="T3606" s="73"/>
      <c r="X3606" s="189"/>
      <c r="Y3606" s="189"/>
      <c r="Z3606" s="100"/>
      <c r="AC3606" s="84"/>
      <c r="AD3606" s="189"/>
      <c r="AE3606" s="189"/>
      <c r="AF3606" s="189"/>
      <c r="AG3606" s="189"/>
      <c r="AH3606" s="189"/>
      <c r="AP3606" s="238"/>
    </row>
    <row r="3607" spans="3:42" s="45" customFormat="1" x14ac:dyDescent="0.2">
      <c r="C3607" s="189"/>
      <c r="F3607" s="73"/>
      <c r="M3607" s="111"/>
      <c r="N3607" s="73"/>
      <c r="O3607" s="73"/>
      <c r="P3607" s="73"/>
      <c r="Q3607" s="73"/>
      <c r="R3607" s="111"/>
      <c r="S3607" s="75"/>
      <c r="T3607" s="73"/>
      <c r="X3607" s="189"/>
      <c r="Y3607" s="189"/>
      <c r="Z3607" s="100"/>
      <c r="AC3607" s="84"/>
      <c r="AD3607" s="189"/>
      <c r="AE3607" s="189"/>
      <c r="AF3607" s="189"/>
      <c r="AG3607" s="189"/>
      <c r="AH3607" s="189"/>
      <c r="AP3607" s="238"/>
    </row>
    <row r="3608" spans="3:42" s="45" customFormat="1" x14ac:dyDescent="0.2">
      <c r="C3608" s="189"/>
      <c r="F3608" s="73"/>
      <c r="M3608" s="111"/>
      <c r="N3608" s="73"/>
      <c r="O3608" s="73"/>
      <c r="P3608" s="73"/>
      <c r="Q3608" s="73"/>
      <c r="R3608" s="111"/>
      <c r="S3608" s="75"/>
      <c r="T3608" s="73"/>
      <c r="X3608" s="189"/>
      <c r="Y3608" s="189"/>
      <c r="Z3608" s="100"/>
      <c r="AC3608" s="84"/>
      <c r="AD3608" s="189"/>
      <c r="AE3608" s="189"/>
      <c r="AF3608" s="189"/>
      <c r="AG3608" s="189"/>
      <c r="AH3608" s="189"/>
      <c r="AP3608" s="238"/>
    </row>
    <row r="3609" spans="3:42" s="45" customFormat="1" x14ac:dyDescent="0.2">
      <c r="C3609" s="189"/>
      <c r="F3609" s="73"/>
      <c r="M3609" s="111"/>
      <c r="N3609" s="73"/>
      <c r="O3609" s="73"/>
      <c r="P3609" s="73"/>
      <c r="Q3609" s="73"/>
      <c r="R3609" s="111"/>
      <c r="S3609" s="75"/>
      <c r="T3609" s="73"/>
      <c r="X3609" s="189"/>
      <c r="Y3609" s="189"/>
      <c r="Z3609" s="100"/>
      <c r="AC3609" s="84"/>
      <c r="AD3609" s="189"/>
      <c r="AE3609" s="189"/>
      <c r="AF3609" s="189"/>
      <c r="AG3609" s="189"/>
      <c r="AH3609" s="189"/>
      <c r="AP3609" s="238"/>
    </row>
    <row r="3610" spans="3:42" s="45" customFormat="1" x14ac:dyDescent="0.2">
      <c r="C3610" s="189"/>
      <c r="F3610" s="73"/>
      <c r="M3610" s="111"/>
      <c r="N3610" s="73"/>
      <c r="O3610" s="73"/>
      <c r="P3610" s="73"/>
      <c r="Q3610" s="73"/>
      <c r="R3610" s="111"/>
      <c r="S3610" s="75"/>
      <c r="T3610" s="73"/>
      <c r="X3610" s="189"/>
      <c r="Y3610" s="189"/>
      <c r="Z3610" s="100"/>
      <c r="AC3610" s="84"/>
      <c r="AD3610" s="189"/>
      <c r="AE3610" s="189"/>
      <c r="AF3610" s="189"/>
      <c r="AG3610" s="189"/>
      <c r="AH3610" s="189"/>
      <c r="AP3610" s="238"/>
    </row>
    <row r="3611" spans="3:42" s="45" customFormat="1" x14ac:dyDescent="0.2">
      <c r="C3611" s="189"/>
      <c r="F3611" s="73"/>
      <c r="M3611" s="111"/>
      <c r="N3611" s="73"/>
      <c r="O3611" s="73"/>
      <c r="P3611" s="73"/>
      <c r="Q3611" s="73"/>
      <c r="R3611" s="111"/>
      <c r="S3611" s="75"/>
      <c r="T3611" s="73"/>
      <c r="X3611" s="189"/>
      <c r="Y3611" s="189"/>
      <c r="Z3611" s="100"/>
      <c r="AC3611" s="84"/>
      <c r="AD3611" s="189"/>
      <c r="AE3611" s="189"/>
      <c r="AF3611" s="189"/>
      <c r="AG3611" s="189"/>
      <c r="AH3611" s="189"/>
      <c r="AP3611" s="238"/>
    </row>
    <row r="3612" spans="3:42" s="45" customFormat="1" x14ac:dyDescent="0.2">
      <c r="C3612" s="189"/>
      <c r="F3612" s="73"/>
      <c r="M3612" s="111"/>
      <c r="N3612" s="73"/>
      <c r="O3612" s="73"/>
      <c r="P3612" s="73"/>
      <c r="Q3612" s="73"/>
      <c r="R3612" s="111"/>
      <c r="S3612" s="75"/>
      <c r="T3612" s="73"/>
      <c r="X3612" s="189"/>
      <c r="Y3612" s="189"/>
      <c r="Z3612" s="100"/>
      <c r="AC3612" s="84"/>
      <c r="AD3612" s="189"/>
      <c r="AE3612" s="189"/>
      <c r="AF3612" s="189"/>
      <c r="AG3612" s="189"/>
      <c r="AH3612" s="189"/>
      <c r="AP3612" s="238"/>
    </row>
    <row r="3613" spans="3:42" s="45" customFormat="1" x14ac:dyDescent="0.2">
      <c r="C3613" s="189"/>
      <c r="F3613" s="73"/>
      <c r="M3613" s="111"/>
      <c r="N3613" s="73"/>
      <c r="O3613" s="73"/>
      <c r="P3613" s="73"/>
      <c r="Q3613" s="73"/>
      <c r="R3613" s="111"/>
      <c r="S3613" s="75"/>
      <c r="T3613" s="73"/>
      <c r="X3613" s="189"/>
      <c r="Y3613" s="189"/>
      <c r="Z3613" s="100"/>
      <c r="AC3613" s="84"/>
      <c r="AD3613" s="189"/>
      <c r="AE3613" s="189"/>
      <c r="AF3613" s="189"/>
      <c r="AG3613" s="189"/>
      <c r="AH3613" s="189"/>
      <c r="AP3613" s="238"/>
    </row>
    <row r="3614" spans="3:42" s="45" customFormat="1" x14ac:dyDescent="0.2">
      <c r="C3614" s="189"/>
      <c r="F3614" s="73"/>
      <c r="M3614" s="111"/>
      <c r="N3614" s="73"/>
      <c r="O3614" s="73"/>
      <c r="P3614" s="73"/>
      <c r="Q3614" s="73"/>
      <c r="R3614" s="111"/>
      <c r="S3614" s="75"/>
      <c r="T3614" s="73"/>
      <c r="X3614" s="189"/>
      <c r="Y3614" s="189"/>
      <c r="Z3614" s="100"/>
      <c r="AC3614" s="84"/>
      <c r="AD3614" s="189"/>
      <c r="AE3614" s="189"/>
      <c r="AF3614" s="189"/>
      <c r="AG3614" s="189"/>
      <c r="AH3614" s="189"/>
      <c r="AP3614" s="238"/>
    </row>
    <row r="3615" spans="3:42" s="45" customFormat="1" x14ac:dyDescent="0.2">
      <c r="C3615" s="189"/>
      <c r="F3615" s="73"/>
      <c r="M3615" s="111"/>
      <c r="N3615" s="73"/>
      <c r="O3615" s="73"/>
      <c r="P3615" s="73"/>
      <c r="Q3615" s="73"/>
      <c r="R3615" s="111"/>
      <c r="S3615" s="75"/>
      <c r="T3615" s="73"/>
      <c r="X3615" s="189"/>
      <c r="Y3615" s="189"/>
      <c r="Z3615" s="100"/>
      <c r="AC3615" s="84"/>
      <c r="AD3615" s="189"/>
      <c r="AE3615" s="189"/>
      <c r="AF3615" s="189"/>
      <c r="AG3615" s="189"/>
      <c r="AH3615" s="189"/>
      <c r="AP3615" s="238"/>
    </row>
    <row r="3616" spans="3:42" s="45" customFormat="1" x14ac:dyDescent="0.2">
      <c r="C3616" s="189"/>
      <c r="F3616" s="73"/>
      <c r="M3616" s="111"/>
      <c r="N3616" s="73"/>
      <c r="O3616" s="73"/>
      <c r="P3616" s="73"/>
      <c r="Q3616" s="73"/>
      <c r="R3616" s="111"/>
      <c r="S3616" s="75"/>
      <c r="T3616" s="73"/>
      <c r="X3616" s="189"/>
      <c r="Y3616" s="189"/>
      <c r="Z3616" s="100"/>
      <c r="AC3616" s="84"/>
      <c r="AD3616" s="189"/>
      <c r="AE3616" s="189"/>
      <c r="AF3616" s="189"/>
      <c r="AG3616" s="189"/>
      <c r="AH3616" s="189"/>
      <c r="AP3616" s="238"/>
    </row>
    <row r="3617" spans="3:42" s="45" customFormat="1" x14ac:dyDescent="0.2">
      <c r="C3617" s="189"/>
      <c r="F3617" s="73"/>
      <c r="M3617" s="111"/>
      <c r="N3617" s="73"/>
      <c r="O3617" s="73"/>
      <c r="P3617" s="73"/>
      <c r="Q3617" s="73"/>
      <c r="R3617" s="111"/>
      <c r="S3617" s="75"/>
      <c r="T3617" s="73"/>
      <c r="X3617" s="189"/>
      <c r="Y3617" s="189"/>
      <c r="Z3617" s="100"/>
      <c r="AC3617" s="84"/>
      <c r="AD3617" s="189"/>
      <c r="AE3617" s="189"/>
      <c r="AF3617" s="189"/>
      <c r="AG3617" s="189"/>
      <c r="AH3617" s="189"/>
      <c r="AP3617" s="238"/>
    </row>
    <row r="3618" spans="3:42" s="45" customFormat="1" x14ac:dyDescent="0.2">
      <c r="C3618" s="189"/>
      <c r="F3618" s="73"/>
      <c r="M3618" s="111"/>
      <c r="N3618" s="73"/>
      <c r="O3618" s="73"/>
      <c r="P3618" s="73"/>
      <c r="Q3618" s="73"/>
      <c r="R3618" s="111"/>
      <c r="S3618" s="75"/>
      <c r="T3618" s="73"/>
      <c r="X3618" s="189"/>
      <c r="Y3618" s="189"/>
      <c r="Z3618" s="100"/>
      <c r="AC3618" s="84"/>
      <c r="AD3618" s="189"/>
      <c r="AE3618" s="189"/>
      <c r="AF3618" s="189"/>
      <c r="AG3618" s="189"/>
      <c r="AH3618" s="189"/>
      <c r="AP3618" s="238"/>
    </row>
    <row r="3619" spans="3:42" s="45" customFormat="1" x14ac:dyDescent="0.2">
      <c r="C3619" s="189"/>
      <c r="F3619" s="73"/>
      <c r="M3619" s="111"/>
      <c r="N3619" s="73"/>
      <c r="O3619" s="73"/>
      <c r="P3619" s="73"/>
      <c r="Q3619" s="73"/>
      <c r="R3619" s="111"/>
      <c r="S3619" s="75"/>
      <c r="T3619" s="73"/>
      <c r="X3619" s="189"/>
      <c r="Y3619" s="189"/>
      <c r="Z3619" s="100"/>
      <c r="AC3619" s="84"/>
      <c r="AD3619" s="189"/>
      <c r="AE3619" s="189"/>
      <c r="AF3619" s="189"/>
      <c r="AG3619" s="189"/>
      <c r="AH3619" s="189"/>
      <c r="AP3619" s="238"/>
    </row>
    <row r="3620" spans="3:42" s="45" customFormat="1" x14ac:dyDescent="0.2">
      <c r="C3620" s="189"/>
      <c r="F3620" s="73"/>
      <c r="M3620" s="111"/>
      <c r="N3620" s="73"/>
      <c r="O3620" s="73"/>
      <c r="P3620" s="73"/>
      <c r="Q3620" s="73"/>
      <c r="R3620" s="111"/>
      <c r="S3620" s="75"/>
      <c r="T3620" s="73"/>
      <c r="X3620" s="189"/>
      <c r="Y3620" s="189"/>
      <c r="Z3620" s="100"/>
      <c r="AC3620" s="84"/>
      <c r="AD3620" s="189"/>
      <c r="AE3620" s="189"/>
      <c r="AF3620" s="189"/>
      <c r="AG3620" s="189"/>
      <c r="AH3620" s="189"/>
      <c r="AP3620" s="238"/>
    </row>
    <row r="3621" spans="3:42" s="45" customFormat="1" x14ac:dyDescent="0.2">
      <c r="C3621" s="189"/>
      <c r="F3621" s="73"/>
      <c r="M3621" s="111"/>
      <c r="N3621" s="73"/>
      <c r="O3621" s="73"/>
      <c r="P3621" s="73"/>
      <c r="Q3621" s="73"/>
      <c r="R3621" s="111"/>
      <c r="S3621" s="75"/>
      <c r="T3621" s="73"/>
      <c r="X3621" s="189"/>
      <c r="Y3621" s="189"/>
      <c r="Z3621" s="100"/>
      <c r="AC3621" s="84"/>
      <c r="AD3621" s="189"/>
      <c r="AE3621" s="189"/>
      <c r="AF3621" s="189"/>
      <c r="AG3621" s="189"/>
      <c r="AH3621" s="189"/>
      <c r="AP3621" s="238"/>
    </row>
    <row r="3622" spans="3:42" s="45" customFormat="1" x14ac:dyDescent="0.2">
      <c r="C3622" s="189"/>
      <c r="F3622" s="73"/>
      <c r="M3622" s="111"/>
      <c r="N3622" s="73"/>
      <c r="O3622" s="73"/>
      <c r="P3622" s="73"/>
      <c r="Q3622" s="73"/>
      <c r="R3622" s="111"/>
      <c r="S3622" s="75"/>
      <c r="T3622" s="73"/>
      <c r="X3622" s="189"/>
      <c r="Y3622" s="189"/>
      <c r="Z3622" s="100"/>
      <c r="AC3622" s="84"/>
      <c r="AD3622" s="189"/>
      <c r="AE3622" s="189"/>
      <c r="AF3622" s="189"/>
      <c r="AG3622" s="189"/>
      <c r="AH3622" s="189"/>
      <c r="AP3622" s="238"/>
    </row>
    <row r="3623" spans="3:42" s="45" customFormat="1" x14ac:dyDescent="0.2">
      <c r="C3623" s="189"/>
      <c r="F3623" s="73"/>
      <c r="M3623" s="111"/>
      <c r="N3623" s="73"/>
      <c r="O3623" s="73"/>
      <c r="P3623" s="73"/>
      <c r="Q3623" s="73"/>
      <c r="R3623" s="111"/>
      <c r="S3623" s="75"/>
      <c r="T3623" s="73"/>
      <c r="X3623" s="189"/>
      <c r="Y3623" s="189"/>
      <c r="Z3623" s="100"/>
      <c r="AC3623" s="84"/>
      <c r="AD3623" s="189"/>
      <c r="AE3623" s="189"/>
      <c r="AF3623" s="189"/>
      <c r="AG3623" s="189"/>
      <c r="AH3623" s="189"/>
      <c r="AP3623" s="238"/>
    </row>
    <row r="3624" spans="3:42" s="45" customFormat="1" x14ac:dyDescent="0.2">
      <c r="C3624" s="189"/>
      <c r="F3624" s="73"/>
      <c r="M3624" s="111"/>
      <c r="N3624" s="73"/>
      <c r="O3624" s="73"/>
      <c r="P3624" s="73"/>
      <c r="Q3624" s="73"/>
      <c r="R3624" s="111"/>
      <c r="S3624" s="75"/>
      <c r="T3624" s="73"/>
      <c r="X3624" s="189"/>
      <c r="Y3624" s="189"/>
      <c r="Z3624" s="100"/>
      <c r="AC3624" s="84"/>
      <c r="AD3624" s="189"/>
      <c r="AE3624" s="189"/>
      <c r="AF3624" s="189"/>
      <c r="AG3624" s="189"/>
      <c r="AH3624" s="189"/>
      <c r="AP3624" s="238"/>
    </row>
    <row r="3625" spans="3:42" s="45" customFormat="1" x14ac:dyDescent="0.2">
      <c r="C3625" s="189"/>
      <c r="F3625" s="73"/>
      <c r="M3625" s="111"/>
      <c r="N3625" s="73"/>
      <c r="O3625" s="73"/>
      <c r="P3625" s="73"/>
      <c r="Q3625" s="73"/>
      <c r="R3625" s="111"/>
      <c r="S3625" s="75"/>
      <c r="T3625" s="73"/>
      <c r="X3625" s="189"/>
      <c r="Y3625" s="189"/>
      <c r="Z3625" s="100"/>
      <c r="AC3625" s="84"/>
      <c r="AD3625" s="189"/>
      <c r="AE3625" s="189"/>
      <c r="AF3625" s="189"/>
      <c r="AG3625" s="189"/>
      <c r="AH3625" s="189"/>
      <c r="AP3625" s="238"/>
    </row>
    <row r="3626" spans="3:42" s="45" customFormat="1" x14ac:dyDescent="0.2">
      <c r="C3626" s="189"/>
      <c r="F3626" s="73"/>
      <c r="M3626" s="111"/>
      <c r="N3626" s="73"/>
      <c r="O3626" s="73"/>
      <c r="P3626" s="73"/>
      <c r="Q3626" s="73"/>
      <c r="R3626" s="111"/>
      <c r="S3626" s="75"/>
      <c r="T3626" s="73"/>
      <c r="X3626" s="189"/>
      <c r="Y3626" s="189"/>
      <c r="Z3626" s="100"/>
      <c r="AC3626" s="84"/>
      <c r="AD3626" s="189"/>
      <c r="AE3626" s="189"/>
      <c r="AF3626" s="189"/>
      <c r="AG3626" s="189"/>
      <c r="AH3626" s="189"/>
      <c r="AP3626" s="238"/>
    </row>
    <row r="3627" spans="3:42" s="45" customFormat="1" x14ac:dyDescent="0.2">
      <c r="C3627" s="189"/>
      <c r="F3627" s="73"/>
      <c r="M3627" s="111"/>
      <c r="N3627" s="73"/>
      <c r="O3627" s="73"/>
      <c r="P3627" s="73"/>
      <c r="Q3627" s="73"/>
      <c r="R3627" s="111"/>
      <c r="S3627" s="75"/>
      <c r="T3627" s="73"/>
      <c r="X3627" s="189"/>
      <c r="Y3627" s="189"/>
      <c r="Z3627" s="100"/>
      <c r="AC3627" s="84"/>
      <c r="AD3627" s="189"/>
      <c r="AE3627" s="189"/>
      <c r="AF3627" s="189"/>
      <c r="AG3627" s="189"/>
      <c r="AH3627" s="189"/>
      <c r="AP3627" s="238"/>
    </row>
    <row r="3628" spans="3:42" s="45" customFormat="1" x14ac:dyDescent="0.2">
      <c r="C3628" s="189"/>
      <c r="F3628" s="73"/>
      <c r="M3628" s="111"/>
      <c r="N3628" s="73"/>
      <c r="O3628" s="73"/>
      <c r="P3628" s="73"/>
      <c r="Q3628" s="73"/>
      <c r="R3628" s="111"/>
      <c r="S3628" s="75"/>
      <c r="T3628" s="73"/>
      <c r="X3628" s="189"/>
      <c r="Y3628" s="189"/>
      <c r="Z3628" s="100"/>
      <c r="AC3628" s="84"/>
      <c r="AD3628" s="189"/>
      <c r="AE3628" s="189"/>
      <c r="AF3628" s="189"/>
      <c r="AG3628" s="189"/>
      <c r="AH3628" s="189"/>
      <c r="AP3628" s="238"/>
    </row>
    <row r="3629" spans="3:42" s="45" customFormat="1" x14ac:dyDescent="0.2">
      <c r="C3629" s="189"/>
      <c r="F3629" s="73"/>
      <c r="M3629" s="111"/>
      <c r="N3629" s="73"/>
      <c r="O3629" s="73"/>
      <c r="P3629" s="73"/>
      <c r="Q3629" s="73"/>
      <c r="R3629" s="111"/>
      <c r="S3629" s="75"/>
      <c r="T3629" s="73"/>
      <c r="X3629" s="189"/>
      <c r="Y3629" s="189"/>
      <c r="Z3629" s="100"/>
      <c r="AC3629" s="84"/>
      <c r="AD3629" s="189"/>
      <c r="AE3629" s="189"/>
      <c r="AF3629" s="189"/>
      <c r="AG3629" s="189"/>
      <c r="AH3629" s="189"/>
      <c r="AP3629" s="238"/>
    </row>
    <row r="3630" spans="3:42" s="45" customFormat="1" x14ac:dyDescent="0.2">
      <c r="C3630" s="189"/>
      <c r="F3630" s="73"/>
      <c r="M3630" s="111"/>
      <c r="N3630" s="73"/>
      <c r="O3630" s="73"/>
      <c r="P3630" s="73"/>
      <c r="Q3630" s="73"/>
      <c r="R3630" s="111"/>
      <c r="S3630" s="75"/>
      <c r="T3630" s="73"/>
      <c r="X3630" s="189"/>
      <c r="Y3630" s="189"/>
      <c r="Z3630" s="100"/>
      <c r="AC3630" s="84"/>
      <c r="AD3630" s="189"/>
      <c r="AE3630" s="189"/>
      <c r="AF3630" s="189"/>
      <c r="AG3630" s="189"/>
      <c r="AH3630" s="189"/>
      <c r="AP3630" s="238"/>
    </row>
    <row r="3631" spans="3:42" s="45" customFormat="1" x14ac:dyDescent="0.2">
      <c r="C3631" s="189"/>
      <c r="F3631" s="73"/>
      <c r="M3631" s="111"/>
      <c r="N3631" s="73"/>
      <c r="O3631" s="73"/>
      <c r="P3631" s="73"/>
      <c r="Q3631" s="73"/>
      <c r="R3631" s="111"/>
      <c r="S3631" s="75"/>
      <c r="T3631" s="73"/>
      <c r="X3631" s="189"/>
      <c r="Y3631" s="189"/>
      <c r="Z3631" s="100"/>
      <c r="AC3631" s="84"/>
      <c r="AD3631" s="189"/>
      <c r="AE3631" s="189"/>
      <c r="AF3631" s="189"/>
      <c r="AG3631" s="189"/>
      <c r="AH3631" s="189"/>
      <c r="AP3631" s="238"/>
    </row>
    <row r="3632" spans="3:42" s="45" customFormat="1" x14ac:dyDescent="0.2">
      <c r="C3632" s="189"/>
      <c r="F3632" s="73"/>
      <c r="M3632" s="111"/>
      <c r="N3632" s="73"/>
      <c r="O3632" s="73"/>
      <c r="P3632" s="73"/>
      <c r="Q3632" s="73"/>
      <c r="R3632" s="111"/>
      <c r="S3632" s="75"/>
      <c r="T3632" s="73"/>
      <c r="X3632" s="189"/>
      <c r="Y3632" s="189"/>
      <c r="Z3632" s="100"/>
      <c r="AC3632" s="84"/>
      <c r="AD3632" s="189"/>
      <c r="AE3632" s="189"/>
      <c r="AF3632" s="189"/>
      <c r="AG3632" s="189"/>
      <c r="AH3632" s="189"/>
      <c r="AP3632" s="238"/>
    </row>
    <row r="3633" spans="3:42" s="45" customFormat="1" x14ac:dyDescent="0.2">
      <c r="C3633" s="189"/>
      <c r="F3633" s="73"/>
      <c r="M3633" s="111"/>
      <c r="N3633" s="73"/>
      <c r="O3633" s="73"/>
      <c r="P3633" s="73"/>
      <c r="Q3633" s="73"/>
      <c r="R3633" s="111"/>
      <c r="S3633" s="75"/>
      <c r="T3633" s="73"/>
      <c r="X3633" s="189"/>
      <c r="Y3633" s="189"/>
      <c r="Z3633" s="100"/>
      <c r="AC3633" s="84"/>
      <c r="AD3633" s="189"/>
      <c r="AE3633" s="189"/>
      <c r="AF3633" s="189"/>
      <c r="AG3633" s="189"/>
      <c r="AH3633" s="189"/>
      <c r="AP3633" s="238"/>
    </row>
    <row r="3634" spans="3:42" s="45" customFormat="1" x14ac:dyDescent="0.2">
      <c r="C3634" s="189"/>
      <c r="F3634" s="73"/>
      <c r="M3634" s="111"/>
      <c r="N3634" s="73"/>
      <c r="O3634" s="73"/>
      <c r="P3634" s="73"/>
      <c r="Q3634" s="73"/>
      <c r="R3634" s="111"/>
      <c r="S3634" s="75"/>
      <c r="T3634" s="73"/>
      <c r="X3634" s="189"/>
      <c r="Y3634" s="189"/>
      <c r="Z3634" s="100"/>
      <c r="AC3634" s="84"/>
      <c r="AD3634" s="189"/>
      <c r="AE3634" s="189"/>
      <c r="AF3634" s="189"/>
      <c r="AG3634" s="189"/>
      <c r="AH3634" s="189"/>
      <c r="AP3634" s="238"/>
    </row>
    <row r="3635" spans="3:42" s="45" customFormat="1" x14ac:dyDescent="0.2">
      <c r="C3635" s="189"/>
      <c r="F3635" s="73"/>
      <c r="M3635" s="111"/>
      <c r="N3635" s="73"/>
      <c r="O3635" s="73"/>
      <c r="P3635" s="73"/>
      <c r="Q3635" s="73"/>
      <c r="R3635" s="111"/>
      <c r="S3635" s="75"/>
      <c r="T3635" s="73"/>
      <c r="X3635" s="189"/>
      <c r="Y3635" s="189"/>
      <c r="Z3635" s="100"/>
      <c r="AC3635" s="84"/>
      <c r="AD3635" s="189"/>
      <c r="AE3635" s="189"/>
      <c r="AF3635" s="189"/>
      <c r="AG3635" s="189"/>
      <c r="AH3635" s="189"/>
      <c r="AP3635" s="238"/>
    </row>
    <row r="3636" spans="3:42" s="45" customFormat="1" x14ac:dyDescent="0.2">
      <c r="C3636" s="189"/>
      <c r="F3636" s="73"/>
      <c r="M3636" s="111"/>
      <c r="N3636" s="73"/>
      <c r="O3636" s="73"/>
      <c r="P3636" s="73"/>
      <c r="Q3636" s="73"/>
      <c r="R3636" s="111"/>
      <c r="S3636" s="75"/>
      <c r="T3636" s="73"/>
      <c r="X3636" s="189"/>
      <c r="Y3636" s="189"/>
      <c r="Z3636" s="100"/>
      <c r="AC3636" s="84"/>
      <c r="AD3636" s="189"/>
      <c r="AE3636" s="189"/>
      <c r="AF3636" s="189"/>
      <c r="AG3636" s="189"/>
      <c r="AH3636" s="189"/>
      <c r="AP3636" s="238"/>
    </row>
    <row r="3637" spans="3:42" s="45" customFormat="1" x14ac:dyDescent="0.2">
      <c r="C3637" s="189"/>
      <c r="F3637" s="73"/>
      <c r="M3637" s="111"/>
      <c r="N3637" s="73"/>
      <c r="O3637" s="73"/>
      <c r="P3637" s="73"/>
      <c r="Q3637" s="73"/>
      <c r="R3637" s="111"/>
      <c r="S3637" s="75"/>
      <c r="T3637" s="73"/>
      <c r="X3637" s="189"/>
      <c r="Y3637" s="189"/>
      <c r="Z3637" s="100"/>
      <c r="AC3637" s="84"/>
      <c r="AD3637" s="189"/>
      <c r="AE3637" s="189"/>
      <c r="AF3637" s="189"/>
      <c r="AG3637" s="189"/>
      <c r="AH3637" s="189"/>
      <c r="AP3637" s="238"/>
    </row>
    <row r="3638" spans="3:42" s="45" customFormat="1" x14ac:dyDescent="0.2">
      <c r="C3638" s="189"/>
      <c r="F3638" s="73"/>
      <c r="M3638" s="111"/>
      <c r="N3638" s="73"/>
      <c r="O3638" s="73"/>
      <c r="P3638" s="73"/>
      <c r="Q3638" s="73"/>
      <c r="R3638" s="111"/>
      <c r="S3638" s="75"/>
      <c r="T3638" s="73"/>
      <c r="X3638" s="189"/>
      <c r="Y3638" s="189"/>
      <c r="Z3638" s="100"/>
      <c r="AC3638" s="84"/>
      <c r="AD3638" s="189"/>
      <c r="AE3638" s="189"/>
      <c r="AF3638" s="189"/>
      <c r="AG3638" s="189"/>
      <c r="AH3638" s="189"/>
      <c r="AP3638" s="238"/>
    </row>
    <row r="3639" spans="3:42" s="45" customFormat="1" x14ac:dyDescent="0.2">
      <c r="C3639" s="189"/>
      <c r="F3639" s="73"/>
      <c r="M3639" s="111"/>
      <c r="N3639" s="73"/>
      <c r="O3639" s="73"/>
      <c r="P3639" s="73"/>
      <c r="Q3639" s="73"/>
      <c r="R3639" s="111"/>
      <c r="S3639" s="75"/>
      <c r="T3639" s="73"/>
      <c r="X3639" s="189"/>
      <c r="Y3639" s="189"/>
      <c r="Z3639" s="100"/>
      <c r="AC3639" s="84"/>
      <c r="AD3639" s="189"/>
      <c r="AE3639" s="189"/>
      <c r="AF3639" s="189"/>
      <c r="AG3639" s="189"/>
      <c r="AH3639" s="189"/>
      <c r="AP3639" s="238"/>
    </row>
    <row r="3640" spans="3:42" s="45" customFormat="1" x14ac:dyDescent="0.2">
      <c r="C3640" s="189"/>
      <c r="F3640" s="73"/>
      <c r="M3640" s="111"/>
      <c r="N3640" s="73"/>
      <c r="O3640" s="73"/>
      <c r="P3640" s="73"/>
      <c r="Q3640" s="73"/>
      <c r="R3640" s="111"/>
      <c r="S3640" s="75"/>
      <c r="T3640" s="73"/>
      <c r="X3640" s="189"/>
      <c r="Y3640" s="189"/>
      <c r="Z3640" s="100"/>
      <c r="AC3640" s="84"/>
      <c r="AD3640" s="189"/>
      <c r="AE3640" s="189"/>
      <c r="AF3640" s="189"/>
      <c r="AG3640" s="189"/>
      <c r="AH3640" s="189"/>
      <c r="AP3640" s="238"/>
    </row>
    <row r="3641" spans="3:42" s="45" customFormat="1" x14ac:dyDescent="0.2">
      <c r="C3641" s="189"/>
      <c r="F3641" s="73"/>
      <c r="M3641" s="111"/>
      <c r="N3641" s="73"/>
      <c r="O3641" s="73"/>
      <c r="P3641" s="73"/>
      <c r="Q3641" s="73"/>
      <c r="R3641" s="111"/>
      <c r="S3641" s="75"/>
      <c r="T3641" s="73"/>
      <c r="X3641" s="189"/>
      <c r="Y3641" s="189"/>
      <c r="Z3641" s="100"/>
      <c r="AC3641" s="84"/>
      <c r="AD3641" s="189"/>
      <c r="AE3641" s="189"/>
      <c r="AF3641" s="189"/>
      <c r="AG3641" s="189"/>
      <c r="AH3641" s="189"/>
      <c r="AP3641" s="238"/>
    </row>
    <row r="3642" spans="3:42" s="45" customFormat="1" x14ac:dyDescent="0.2">
      <c r="C3642" s="189"/>
      <c r="F3642" s="73"/>
      <c r="M3642" s="111"/>
      <c r="N3642" s="73"/>
      <c r="O3642" s="73"/>
      <c r="P3642" s="73"/>
      <c r="Q3642" s="73"/>
      <c r="R3642" s="111"/>
      <c r="S3642" s="75"/>
      <c r="T3642" s="73"/>
      <c r="X3642" s="189"/>
      <c r="Y3642" s="189"/>
      <c r="Z3642" s="100"/>
      <c r="AC3642" s="84"/>
      <c r="AD3642" s="189"/>
      <c r="AE3642" s="189"/>
      <c r="AF3642" s="189"/>
      <c r="AG3642" s="189"/>
      <c r="AH3642" s="189"/>
      <c r="AP3642" s="238"/>
    </row>
    <row r="3643" spans="3:42" s="45" customFormat="1" x14ac:dyDescent="0.2">
      <c r="C3643" s="189"/>
      <c r="F3643" s="73"/>
      <c r="M3643" s="111"/>
      <c r="N3643" s="73"/>
      <c r="O3643" s="73"/>
      <c r="P3643" s="73"/>
      <c r="Q3643" s="73"/>
      <c r="R3643" s="111"/>
      <c r="S3643" s="75"/>
      <c r="T3643" s="73"/>
      <c r="X3643" s="189"/>
      <c r="Y3643" s="189"/>
      <c r="Z3643" s="100"/>
      <c r="AC3643" s="84"/>
      <c r="AD3643" s="189"/>
      <c r="AE3643" s="189"/>
      <c r="AF3643" s="189"/>
      <c r="AG3643" s="189"/>
      <c r="AH3643" s="189"/>
      <c r="AP3643" s="238"/>
    </row>
    <row r="3644" spans="3:42" s="45" customFormat="1" x14ac:dyDescent="0.2">
      <c r="C3644" s="189"/>
      <c r="F3644" s="73"/>
      <c r="M3644" s="111"/>
      <c r="N3644" s="73"/>
      <c r="O3644" s="73"/>
      <c r="P3644" s="73"/>
      <c r="Q3644" s="73"/>
      <c r="R3644" s="111"/>
      <c r="S3644" s="75"/>
      <c r="T3644" s="73"/>
      <c r="X3644" s="189"/>
      <c r="Y3644" s="189"/>
      <c r="Z3644" s="100"/>
      <c r="AC3644" s="84"/>
      <c r="AD3644" s="189"/>
      <c r="AE3644" s="189"/>
      <c r="AF3644" s="189"/>
      <c r="AG3644" s="189"/>
      <c r="AH3644" s="189"/>
      <c r="AP3644" s="238"/>
    </row>
    <row r="3645" spans="3:42" s="45" customFormat="1" x14ac:dyDescent="0.2">
      <c r="C3645" s="189"/>
      <c r="F3645" s="73"/>
      <c r="M3645" s="111"/>
      <c r="N3645" s="73"/>
      <c r="O3645" s="73"/>
      <c r="P3645" s="73"/>
      <c r="Q3645" s="73"/>
      <c r="R3645" s="111"/>
      <c r="S3645" s="75"/>
      <c r="T3645" s="73"/>
      <c r="X3645" s="189"/>
      <c r="Y3645" s="189"/>
      <c r="Z3645" s="100"/>
      <c r="AC3645" s="84"/>
      <c r="AD3645" s="189"/>
      <c r="AE3645" s="189"/>
      <c r="AF3645" s="189"/>
      <c r="AG3645" s="189"/>
      <c r="AH3645" s="189"/>
      <c r="AP3645" s="238"/>
    </row>
    <row r="3646" spans="3:42" s="45" customFormat="1" x14ac:dyDescent="0.2">
      <c r="C3646" s="189"/>
      <c r="F3646" s="73"/>
      <c r="M3646" s="111"/>
      <c r="N3646" s="73"/>
      <c r="O3646" s="73"/>
      <c r="P3646" s="73"/>
      <c r="Q3646" s="73"/>
      <c r="R3646" s="111"/>
      <c r="S3646" s="75"/>
      <c r="T3646" s="73"/>
      <c r="X3646" s="189"/>
      <c r="Y3646" s="189"/>
      <c r="Z3646" s="100"/>
      <c r="AC3646" s="84"/>
      <c r="AD3646" s="189"/>
      <c r="AE3646" s="189"/>
      <c r="AF3646" s="189"/>
      <c r="AG3646" s="189"/>
      <c r="AH3646" s="189"/>
      <c r="AP3646" s="238"/>
    </row>
    <row r="3647" spans="3:42" s="45" customFormat="1" x14ac:dyDescent="0.2">
      <c r="C3647" s="189"/>
      <c r="F3647" s="73"/>
      <c r="M3647" s="111"/>
      <c r="N3647" s="73"/>
      <c r="O3647" s="73"/>
      <c r="P3647" s="73"/>
      <c r="Q3647" s="73"/>
      <c r="R3647" s="111"/>
      <c r="S3647" s="75"/>
      <c r="T3647" s="73"/>
      <c r="X3647" s="189"/>
      <c r="Y3647" s="189"/>
      <c r="Z3647" s="100"/>
      <c r="AC3647" s="84"/>
      <c r="AD3647" s="189"/>
      <c r="AE3647" s="189"/>
      <c r="AF3647" s="189"/>
      <c r="AG3647" s="189"/>
      <c r="AH3647" s="189"/>
      <c r="AP3647" s="238"/>
    </row>
    <row r="3648" spans="3:42" s="45" customFormat="1" x14ac:dyDescent="0.2">
      <c r="C3648" s="189"/>
      <c r="F3648" s="73"/>
      <c r="M3648" s="111"/>
      <c r="N3648" s="73"/>
      <c r="O3648" s="73"/>
      <c r="P3648" s="73"/>
      <c r="Q3648" s="73"/>
      <c r="R3648" s="111"/>
      <c r="S3648" s="75"/>
      <c r="T3648" s="73"/>
      <c r="X3648" s="189"/>
      <c r="Y3648" s="189"/>
      <c r="Z3648" s="100"/>
      <c r="AC3648" s="84"/>
      <c r="AD3648" s="189"/>
      <c r="AE3648" s="189"/>
      <c r="AF3648" s="189"/>
      <c r="AG3648" s="189"/>
      <c r="AH3648" s="189"/>
      <c r="AP3648" s="238"/>
    </row>
    <row r="3649" spans="3:42" s="45" customFormat="1" x14ac:dyDescent="0.2">
      <c r="C3649" s="189"/>
      <c r="F3649" s="73"/>
      <c r="M3649" s="111"/>
      <c r="N3649" s="73"/>
      <c r="O3649" s="73"/>
      <c r="P3649" s="73"/>
      <c r="Q3649" s="73"/>
      <c r="R3649" s="111"/>
      <c r="S3649" s="75"/>
      <c r="T3649" s="73"/>
      <c r="X3649" s="189"/>
      <c r="Y3649" s="189"/>
      <c r="Z3649" s="100"/>
      <c r="AC3649" s="84"/>
      <c r="AD3649" s="189"/>
      <c r="AE3649" s="189"/>
      <c r="AF3649" s="189"/>
      <c r="AG3649" s="189"/>
      <c r="AH3649" s="189"/>
      <c r="AP3649" s="238"/>
    </row>
    <row r="3650" spans="3:42" s="45" customFormat="1" x14ac:dyDescent="0.2">
      <c r="C3650" s="189"/>
      <c r="F3650" s="73"/>
      <c r="M3650" s="111"/>
      <c r="N3650" s="73"/>
      <c r="O3650" s="73"/>
      <c r="P3650" s="73"/>
      <c r="Q3650" s="73"/>
      <c r="R3650" s="111"/>
      <c r="S3650" s="75"/>
      <c r="T3650" s="73"/>
      <c r="X3650" s="189"/>
      <c r="Y3650" s="189"/>
      <c r="Z3650" s="100"/>
      <c r="AC3650" s="84"/>
      <c r="AD3650" s="189"/>
      <c r="AE3650" s="189"/>
      <c r="AF3650" s="189"/>
      <c r="AG3650" s="189"/>
      <c r="AH3650" s="189"/>
      <c r="AP3650" s="238"/>
    </row>
    <row r="3651" spans="3:42" s="45" customFormat="1" x14ac:dyDescent="0.2">
      <c r="C3651" s="189"/>
      <c r="F3651" s="73"/>
      <c r="M3651" s="111"/>
      <c r="N3651" s="73"/>
      <c r="O3651" s="73"/>
      <c r="P3651" s="73"/>
      <c r="Q3651" s="73"/>
      <c r="R3651" s="111"/>
      <c r="S3651" s="75"/>
      <c r="T3651" s="73"/>
      <c r="X3651" s="189"/>
      <c r="Y3651" s="189"/>
      <c r="Z3651" s="100"/>
      <c r="AC3651" s="84"/>
      <c r="AD3651" s="189"/>
      <c r="AE3651" s="189"/>
      <c r="AF3651" s="189"/>
      <c r="AG3651" s="189"/>
      <c r="AH3651" s="189"/>
      <c r="AP3651" s="238"/>
    </row>
    <row r="3652" spans="3:42" s="45" customFormat="1" x14ac:dyDescent="0.2">
      <c r="C3652" s="189"/>
      <c r="F3652" s="73"/>
      <c r="M3652" s="111"/>
      <c r="N3652" s="73"/>
      <c r="O3652" s="73"/>
      <c r="P3652" s="73"/>
      <c r="Q3652" s="73"/>
      <c r="R3652" s="111"/>
      <c r="S3652" s="75"/>
      <c r="T3652" s="73"/>
      <c r="X3652" s="189"/>
      <c r="Y3652" s="189"/>
      <c r="Z3652" s="100"/>
      <c r="AC3652" s="84"/>
      <c r="AD3652" s="189"/>
      <c r="AE3652" s="189"/>
      <c r="AF3652" s="189"/>
      <c r="AG3652" s="189"/>
      <c r="AH3652" s="189"/>
      <c r="AP3652" s="238"/>
    </row>
    <row r="3653" spans="3:42" s="45" customFormat="1" x14ac:dyDescent="0.2">
      <c r="C3653" s="189"/>
      <c r="F3653" s="73"/>
      <c r="M3653" s="111"/>
      <c r="N3653" s="73"/>
      <c r="O3653" s="73"/>
      <c r="P3653" s="73"/>
      <c r="Q3653" s="73"/>
      <c r="R3653" s="111"/>
      <c r="S3653" s="75"/>
      <c r="T3653" s="73"/>
      <c r="X3653" s="189"/>
      <c r="Y3653" s="189"/>
      <c r="Z3653" s="100"/>
      <c r="AC3653" s="84"/>
      <c r="AD3653" s="189"/>
      <c r="AE3653" s="189"/>
      <c r="AF3653" s="189"/>
      <c r="AG3653" s="189"/>
      <c r="AH3653" s="189"/>
      <c r="AP3653" s="238"/>
    </row>
    <row r="3654" spans="3:42" s="45" customFormat="1" x14ac:dyDescent="0.2">
      <c r="C3654" s="189"/>
      <c r="F3654" s="73"/>
      <c r="M3654" s="111"/>
      <c r="N3654" s="73"/>
      <c r="O3654" s="73"/>
      <c r="P3654" s="73"/>
      <c r="Q3654" s="73"/>
      <c r="R3654" s="111"/>
      <c r="S3654" s="75"/>
      <c r="T3654" s="73"/>
      <c r="X3654" s="189"/>
      <c r="Y3654" s="189"/>
      <c r="Z3654" s="100"/>
      <c r="AC3654" s="84"/>
      <c r="AD3654" s="189"/>
      <c r="AE3654" s="189"/>
      <c r="AF3654" s="189"/>
      <c r="AG3654" s="189"/>
      <c r="AH3654" s="189"/>
      <c r="AP3654" s="238"/>
    </row>
    <row r="3655" spans="3:42" s="45" customFormat="1" x14ac:dyDescent="0.2">
      <c r="C3655" s="189"/>
      <c r="F3655" s="73"/>
      <c r="M3655" s="111"/>
      <c r="N3655" s="73"/>
      <c r="O3655" s="73"/>
      <c r="P3655" s="73"/>
      <c r="Q3655" s="73"/>
      <c r="R3655" s="111"/>
      <c r="S3655" s="75"/>
      <c r="T3655" s="73"/>
      <c r="X3655" s="189"/>
      <c r="Y3655" s="189"/>
      <c r="Z3655" s="100"/>
      <c r="AC3655" s="84"/>
      <c r="AD3655" s="189"/>
      <c r="AE3655" s="189"/>
      <c r="AF3655" s="189"/>
      <c r="AG3655" s="189"/>
      <c r="AH3655" s="189"/>
      <c r="AP3655" s="238"/>
    </row>
    <row r="3656" spans="3:42" s="45" customFormat="1" x14ac:dyDescent="0.2">
      <c r="C3656" s="189"/>
      <c r="F3656" s="73"/>
      <c r="M3656" s="111"/>
      <c r="N3656" s="73"/>
      <c r="O3656" s="73"/>
      <c r="P3656" s="73"/>
      <c r="Q3656" s="73"/>
      <c r="R3656" s="111"/>
      <c r="S3656" s="75"/>
      <c r="T3656" s="73"/>
      <c r="X3656" s="189"/>
      <c r="Y3656" s="189"/>
      <c r="Z3656" s="100"/>
      <c r="AC3656" s="84"/>
      <c r="AD3656" s="189"/>
      <c r="AE3656" s="189"/>
      <c r="AF3656" s="189"/>
      <c r="AG3656" s="189"/>
      <c r="AH3656" s="189"/>
      <c r="AP3656" s="238"/>
    </row>
    <row r="3657" spans="3:42" s="45" customFormat="1" x14ac:dyDescent="0.2">
      <c r="C3657" s="189"/>
      <c r="F3657" s="73"/>
      <c r="M3657" s="111"/>
      <c r="N3657" s="73"/>
      <c r="O3657" s="73"/>
      <c r="P3657" s="73"/>
      <c r="Q3657" s="73"/>
      <c r="R3657" s="111"/>
      <c r="S3657" s="75"/>
      <c r="T3657" s="73"/>
      <c r="X3657" s="189"/>
      <c r="Y3657" s="189"/>
      <c r="Z3657" s="100"/>
      <c r="AC3657" s="84"/>
      <c r="AD3657" s="189"/>
      <c r="AE3657" s="189"/>
      <c r="AF3657" s="189"/>
      <c r="AG3657" s="189"/>
      <c r="AH3657" s="189"/>
      <c r="AP3657" s="238"/>
    </row>
    <row r="3658" spans="3:42" s="45" customFormat="1" x14ac:dyDescent="0.2">
      <c r="C3658" s="189"/>
      <c r="F3658" s="73"/>
      <c r="M3658" s="111"/>
      <c r="N3658" s="73"/>
      <c r="O3658" s="73"/>
      <c r="P3658" s="73"/>
      <c r="Q3658" s="73"/>
      <c r="R3658" s="111"/>
      <c r="S3658" s="75"/>
      <c r="T3658" s="73"/>
      <c r="X3658" s="189"/>
      <c r="Y3658" s="189"/>
      <c r="Z3658" s="100"/>
      <c r="AC3658" s="84"/>
      <c r="AD3658" s="189"/>
      <c r="AE3658" s="189"/>
      <c r="AF3658" s="189"/>
      <c r="AG3658" s="189"/>
      <c r="AH3658" s="189"/>
      <c r="AP3658" s="238"/>
    </row>
    <row r="3659" spans="3:42" s="45" customFormat="1" x14ac:dyDescent="0.2">
      <c r="C3659" s="189"/>
      <c r="F3659" s="73"/>
      <c r="M3659" s="111"/>
      <c r="N3659" s="73"/>
      <c r="O3659" s="73"/>
      <c r="P3659" s="73"/>
      <c r="Q3659" s="73"/>
      <c r="R3659" s="111"/>
      <c r="S3659" s="75"/>
      <c r="T3659" s="73"/>
      <c r="X3659" s="189"/>
      <c r="Y3659" s="189"/>
      <c r="Z3659" s="100"/>
      <c r="AC3659" s="84"/>
      <c r="AD3659" s="189"/>
      <c r="AE3659" s="189"/>
      <c r="AF3659" s="189"/>
      <c r="AG3659" s="189"/>
      <c r="AH3659" s="189"/>
      <c r="AP3659" s="238"/>
    </row>
    <row r="3660" spans="3:42" s="45" customFormat="1" x14ac:dyDescent="0.2">
      <c r="C3660" s="189"/>
      <c r="F3660" s="73"/>
      <c r="M3660" s="111"/>
      <c r="N3660" s="73"/>
      <c r="O3660" s="73"/>
      <c r="P3660" s="73"/>
      <c r="Q3660" s="73"/>
      <c r="R3660" s="111"/>
      <c r="S3660" s="75"/>
      <c r="T3660" s="73"/>
      <c r="X3660" s="189"/>
      <c r="Y3660" s="189"/>
      <c r="Z3660" s="100"/>
      <c r="AC3660" s="84"/>
      <c r="AD3660" s="189"/>
      <c r="AE3660" s="189"/>
      <c r="AF3660" s="189"/>
      <c r="AG3660" s="189"/>
      <c r="AH3660" s="189"/>
      <c r="AP3660" s="238"/>
    </row>
    <row r="3661" spans="3:42" s="45" customFormat="1" x14ac:dyDescent="0.2">
      <c r="C3661" s="189"/>
      <c r="F3661" s="73"/>
      <c r="M3661" s="111"/>
      <c r="N3661" s="73"/>
      <c r="O3661" s="73"/>
      <c r="P3661" s="73"/>
      <c r="Q3661" s="73"/>
      <c r="R3661" s="111"/>
      <c r="S3661" s="75"/>
      <c r="T3661" s="73"/>
      <c r="X3661" s="189"/>
      <c r="Y3661" s="189"/>
      <c r="Z3661" s="100"/>
      <c r="AC3661" s="84"/>
      <c r="AD3661" s="189"/>
      <c r="AE3661" s="189"/>
      <c r="AF3661" s="189"/>
      <c r="AG3661" s="189"/>
      <c r="AH3661" s="189"/>
      <c r="AP3661" s="238"/>
    </row>
    <row r="3662" spans="3:42" s="45" customFormat="1" x14ac:dyDescent="0.2">
      <c r="C3662" s="189"/>
      <c r="F3662" s="73"/>
      <c r="M3662" s="111"/>
      <c r="N3662" s="73"/>
      <c r="O3662" s="73"/>
      <c r="P3662" s="73"/>
      <c r="Q3662" s="73"/>
      <c r="R3662" s="111"/>
      <c r="S3662" s="75"/>
      <c r="T3662" s="73"/>
      <c r="X3662" s="189"/>
      <c r="Y3662" s="189"/>
      <c r="Z3662" s="100"/>
      <c r="AC3662" s="84"/>
      <c r="AD3662" s="189"/>
      <c r="AE3662" s="189"/>
      <c r="AF3662" s="189"/>
      <c r="AG3662" s="189"/>
      <c r="AH3662" s="189"/>
      <c r="AP3662" s="238"/>
    </row>
    <row r="3663" spans="3:42" s="45" customFormat="1" x14ac:dyDescent="0.2">
      <c r="C3663" s="189"/>
      <c r="F3663" s="73"/>
      <c r="M3663" s="111"/>
      <c r="N3663" s="73"/>
      <c r="O3663" s="73"/>
      <c r="P3663" s="73"/>
      <c r="Q3663" s="73"/>
      <c r="R3663" s="111"/>
      <c r="S3663" s="75"/>
      <c r="T3663" s="73"/>
      <c r="X3663" s="189"/>
      <c r="Y3663" s="189"/>
      <c r="Z3663" s="100"/>
      <c r="AC3663" s="84"/>
      <c r="AD3663" s="189"/>
      <c r="AE3663" s="189"/>
      <c r="AF3663" s="189"/>
      <c r="AG3663" s="189"/>
      <c r="AH3663" s="189"/>
      <c r="AP3663" s="238"/>
    </row>
    <row r="3664" spans="3:42" s="45" customFormat="1" x14ac:dyDescent="0.2">
      <c r="C3664" s="189"/>
      <c r="F3664" s="73"/>
      <c r="M3664" s="111"/>
      <c r="N3664" s="73"/>
      <c r="O3664" s="73"/>
      <c r="P3664" s="73"/>
      <c r="Q3664" s="73"/>
      <c r="R3664" s="111"/>
      <c r="S3664" s="75"/>
      <c r="T3664" s="73"/>
      <c r="X3664" s="189"/>
      <c r="Y3664" s="189"/>
      <c r="Z3664" s="100"/>
      <c r="AC3664" s="84"/>
      <c r="AD3664" s="189"/>
      <c r="AE3664" s="189"/>
      <c r="AF3664" s="189"/>
      <c r="AG3664" s="189"/>
      <c r="AH3664" s="189"/>
      <c r="AP3664" s="238"/>
    </row>
    <row r="3665" spans="3:42" s="45" customFormat="1" x14ac:dyDescent="0.2">
      <c r="C3665" s="189"/>
      <c r="F3665" s="73"/>
      <c r="M3665" s="111"/>
      <c r="N3665" s="73"/>
      <c r="O3665" s="73"/>
      <c r="P3665" s="73"/>
      <c r="Q3665" s="73"/>
      <c r="R3665" s="111"/>
      <c r="S3665" s="75"/>
      <c r="T3665" s="73"/>
      <c r="X3665" s="189"/>
      <c r="Y3665" s="189"/>
      <c r="Z3665" s="100"/>
      <c r="AC3665" s="84"/>
      <c r="AD3665" s="189"/>
      <c r="AE3665" s="189"/>
      <c r="AF3665" s="189"/>
      <c r="AG3665" s="189"/>
      <c r="AH3665" s="189"/>
      <c r="AP3665" s="238"/>
    </row>
    <row r="3666" spans="3:42" s="45" customFormat="1" x14ac:dyDescent="0.2">
      <c r="C3666" s="189"/>
      <c r="F3666" s="73"/>
      <c r="M3666" s="111"/>
      <c r="N3666" s="73"/>
      <c r="O3666" s="73"/>
      <c r="P3666" s="73"/>
      <c r="Q3666" s="73"/>
      <c r="R3666" s="111"/>
      <c r="S3666" s="75"/>
      <c r="T3666" s="73"/>
      <c r="X3666" s="189"/>
      <c r="Y3666" s="189"/>
      <c r="Z3666" s="100"/>
      <c r="AC3666" s="84"/>
      <c r="AD3666" s="189"/>
      <c r="AE3666" s="189"/>
      <c r="AF3666" s="189"/>
      <c r="AG3666" s="189"/>
      <c r="AH3666" s="189"/>
      <c r="AP3666" s="238"/>
    </row>
    <row r="3667" spans="3:42" s="45" customFormat="1" x14ac:dyDescent="0.2">
      <c r="C3667" s="189"/>
      <c r="F3667" s="73"/>
      <c r="M3667" s="111"/>
      <c r="N3667" s="73"/>
      <c r="O3667" s="73"/>
      <c r="P3667" s="73"/>
      <c r="Q3667" s="73"/>
      <c r="R3667" s="111"/>
      <c r="S3667" s="75"/>
      <c r="T3667" s="73"/>
      <c r="X3667" s="189"/>
      <c r="Y3667" s="189"/>
      <c r="Z3667" s="100"/>
      <c r="AC3667" s="84"/>
      <c r="AD3667" s="189"/>
      <c r="AE3667" s="189"/>
      <c r="AF3667" s="189"/>
      <c r="AG3667" s="189"/>
      <c r="AH3667" s="189"/>
      <c r="AP3667" s="238"/>
    </row>
    <row r="3668" spans="3:42" s="45" customFormat="1" x14ac:dyDescent="0.2">
      <c r="C3668" s="189"/>
      <c r="F3668" s="73"/>
      <c r="M3668" s="111"/>
      <c r="N3668" s="73"/>
      <c r="O3668" s="73"/>
      <c r="P3668" s="73"/>
      <c r="Q3668" s="73"/>
      <c r="R3668" s="111"/>
      <c r="S3668" s="75"/>
      <c r="T3668" s="73"/>
      <c r="X3668" s="189"/>
      <c r="Y3668" s="189"/>
      <c r="Z3668" s="100"/>
      <c r="AC3668" s="84"/>
      <c r="AD3668" s="189"/>
      <c r="AE3668" s="189"/>
      <c r="AF3668" s="189"/>
      <c r="AG3668" s="189"/>
      <c r="AH3668" s="189"/>
      <c r="AP3668" s="238"/>
    </row>
    <row r="3669" spans="3:42" s="45" customFormat="1" x14ac:dyDescent="0.2">
      <c r="C3669" s="189"/>
      <c r="F3669" s="73"/>
      <c r="M3669" s="111"/>
      <c r="N3669" s="73"/>
      <c r="O3669" s="73"/>
      <c r="P3669" s="73"/>
      <c r="Q3669" s="73"/>
      <c r="R3669" s="111"/>
      <c r="S3669" s="75"/>
      <c r="T3669" s="73"/>
      <c r="X3669" s="189"/>
      <c r="Y3669" s="189"/>
      <c r="Z3669" s="100"/>
      <c r="AC3669" s="84"/>
      <c r="AD3669" s="189"/>
      <c r="AE3669" s="189"/>
      <c r="AF3669" s="189"/>
      <c r="AG3669" s="189"/>
      <c r="AH3669" s="189"/>
      <c r="AP3669" s="238"/>
    </row>
    <row r="3670" spans="3:42" s="45" customFormat="1" x14ac:dyDescent="0.2">
      <c r="C3670" s="189"/>
      <c r="F3670" s="73"/>
      <c r="M3670" s="111"/>
      <c r="N3670" s="73"/>
      <c r="O3670" s="73"/>
      <c r="P3670" s="73"/>
      <c r="Q3670" s="73"/>
      <c r="R3670" s="111"/>
      <c r="S3670" s="75"/>
      <c r="T3670" s="73"/>
      <c r="X3670" s="189"/>
      <c r="Y3670" s="189"/>
      <c r="Z3670" s="100"/>
      <c r="AC3670" s="84"/>
      <c r="AD3670" s="189"/>
      <c r="AE3670" s="189"/>
      <c r="AF3670" s="189"/>
      <c r="AG3670" s="189"/>
      <c r="AH3670" s="189"/>
      <c r="AP3670" s="238"/>
    </row>
    <row r="3671" spans="3:42" s="45" customFormat="1" x14ac:dyDescent="0.2">
      <c r="C3671" s="189"/>
      <c r="F3671" s="73"/>
      <c r="M3671" s="111"/>
      <c r="N3671" s="73"/>
      <c r="O3671" s="73"/>
      <c r="P3671" s="73"/>
      <c r="Q3671" s="73"/>
      <c r="R3671" s="111"/>
      <c r="S3671" s="75"/>
      <c r="T3671" s="73"/>
      <c r="X3671" s="189"/>
      <c r="Y3671" s="189"/>
      <c r="Z3671" s="100"/>
      <c r="AC3671" s="84"/>
      <c r="AD3671" s="189"/>
      <c r="AE3671" s="189"/>
      <c r="AF3671" s="189"/>
      <c r="AG3671" s="189"/>
      <c r="AH3671" s="189"/>
      <c r="AP3671" s="238"/>
    </row>
    <row r="3672" spans="3:42" s="45" customFormat="1" x14ac:dyDescent="0.2">
      <c r="C3672" s="189"/>
      <c r="F3672" s="73"/>
      <c r="M3672" s="111"/>
      <c r="N3672" s="73"/>
      <c r="O3672" s="73"/>
      <c r="P3672" s="73"/>
      <c r="Q3672" s="73"/>
      <c r="R3672" s="111"/>
      <c r="S3672" s="75"/>
      <c r="T3672" s="73"/>
      <c r="X3672" s="189"/>
      <c r="Y3672" s="189"/>
      <c r="Z3672" s="100"/>
      <c r="AC3672" s="84"/>
      <c r="AD3672" s="189"/>
      <c r="AE3672" s="189"/>
      <c r="AF3672" s="189"/>
      <c r="AG3672" s="189"/>
      <c r="AH3672" s="189"/>
      <c r="AP3672" s="238"/>
    </row>
    <row r="3673" spans="3:42" s="45" customFormat="1" x14ac:dyDescent="0.2">
      <c r="C3673" s="189"/>
      <c r="F3673" s="73"/>
      <c r="M3673" s="111"/>
      <c r="N3673" s="73"/>
      <c r="O3673" s="73"/>
      <c r="P3673" s="73"/>
      <c r="Q3673" s="73"/>
      <c r="R3673" s="111"/>
      <c r="S3673" s="75"/>
      <c r="T3673" s="73"/>
      <c r="X3673" s="189"/>
      <c r="Y3673" s="189"/>
      <c r="Z3673" s="100"/>
      <c r="AC3673" s="84"/>
      <c r="AD3673" s="189"/>
      <c r="AE3673" s="189"/>
      <c r="AF3673" s="189"/>
      <c r="AG3673" s="189"/>
      <c r="AH3673" s="189"/>
      <c r="AP3673" s="238"/>
    </row>
    <row r="3674" spans="3:42" s="45" customFormat="1" x14ac:dyDescent="0.2">
      <c r="C3674" s="189"/>
      <c r="F3674" s="73"/>
      <c r="M3674" s="111"/>
      <c r="N3674" s="73"/>
      <c r="O3674" s="73"/>
      <c r="P3674" s="73"/>
      <c r="Q3674" s="73"/>
      <c r="R3674" s="111"/>
      <c r="S3674" s="75"/>
      <c r="T3674" s="73"/>
      <c r="X3674" s="189"/>
      <c r="Y3674" s="189"/>
      <c r="Z3674" s="100"/>
      <c r="AC3674" s="84"/>
      <c r="AD3674" s="189"/>
      <c r="AE3674" s="189"/>
      <c r="AF3674" s="189"/>
      <c r="AG3674" s="189"/>
      <c r="AH3674" s="189"/>
      <c r="AP3674" s="238"/>
    </row>
    <row r="3675" spans="3:42" s="45" customFormat="1" x14ac:dyDescent="0.2">
      <c r="C3675" s="189"/>
      <c r="F3675" s="73"/>
      <c r="M3675" s="111"/>
      <c r="N3675" s="73"/>
      <c r="O3675" s="73"/>
      <c r="P3675" s="73"/>
      <c r="Q3675" s="73"/>
      <c r="R3675" s="111"/>
      <c r="S3675" s="75"/>
      <c r="T3675" s="73"/>
      <c r="X3675" s="189"/>
      <c r="Y3675" s="189"/>
      <c r="Z3675" s="100"/>
      <c r="AC3675" s="84"/>
      <c r="AD3675" s="189"/>
      <c r="AE3675" s="189"/>
      <c r="AF3675" s="189"/>
      <c r="AG3675" s="189"/>
      <c r="AH3675" s="189"/>
      <c r="AP3675" s="238"/>
    </row>
    <row r="3676" spans="3:42" s="45" customFormat="1" x14ac:dyDescent="0.2">
      <c r="C3676" s="189"/>
      <c r="F3676" s="73"/>
      <c r="M3676" s="111"/>
      <c r="N3676" s="73"/>
      <c r="O3676" s="73"/>
      <c r="P3676" s="73"/>
      <c r="Q3676" s="73"/>
      <c r="R3676" s="111"/>
      <c r="S3676" s="75"/>
      <c r="T3676" s="73"/>
      <c r="X3676" s="189"/>
      <c r="Y3676" s="189"/>
      <c r="Z3676" s="100"/>
      <c r="AC3676" s="84"/>
      <c r="AD3676" s="189"/>
      <c r="AE3676" s="189"/>
      <c r="AF3676" s="189"/>
      <c r="AG3676" s="189"/>
      <c r="AH3676" s="189"/>
      <c r="AP3676" s="238"/>
    </row>
    <row r="3677" spans="3:42" s="45" customFormat="1" x14ac:dyDescent="0.2">
      <c r="C3677" s="189"/>
      <c r="F3677" s="73"/>
      <c r="M3677" s="111"/>
      <c r="N3677" s="73"/>
      <c r="O3677" s="73"/>
      <c r="P3677" s="73"/>
      <c r="Q3677" s="73"/>
      <c r="R3677" s="111"/>
      <c r="S3677" s="75"/>
      <c r="T3677" s="73"/>
      <c r="X3677" s="189"/>
      <c r="Y3677" s="189"/>
      <c r="Z3677" s="100"/>
      <c r="AC3677" s="84"/>
      <c r="AD3677" s="189"/>
      <c r="AE3677" s="189"/>
      <c r="AF3677" s="189"/>
      <c r="AG3677" s="189"/>
      <c r="AH3677" s="189"/>
      <c r="AP3677" s="238"/>
    </row>
    <row r="3678" spans="3:42" s="45" customFormat="1" x14ac:dyDescent="0.2">
      <c r="C3678" s="189"/>
      <c r="F3678" s="73"/>
      <c r="M3678" s="111"/>
      <c r="N3678" s="73"/>
      <c r="O3678" s="73"/>
      <c r="P3678" s="73"/>
      <c r="Q3678" s="73"/>
      <c r="R3678" s="111"/>
      <c r="S3678" s="75"/>
      <c r="T3678" s="73"/>
      <c r="X3678" s="189"/>
      <c r="Y3678" s="189"/>
      <c r="Z3678" s="100"/>
      <c r="AC3678" s="84"/>
      <c r="AD3678" s="189"/>
      <c r="AE3678" s="189"/>
      <c r="AF3678" s="189"/>
      <c r="AG3678" s="189"/>
      <c r="AH3678" s="189"/>
      <c r="AP3678" s="238"/>
    </row>
    <row r="3679" spans="3:42" s="45" customFormat="1" x14ac:dyDescent="0.2">
      <c r="C3679" s="189"/>
      <c r="F3679" s="73"/>
      <c r="M3679" s="111"/>
      <c r="N3679" s="73"/>
      <c r="O3679" s="73"/>
      <c r="P3679" s="73"/>
      <c r="Q3679" s="73"/>
      <c r="R3679" s="111"/>
      <c r="S3679" s="75"/>
      <c r="T3679" s="73"/>
      <c r="X3679" s="189"/>
      <c r="Y3679" s="189"/>
      <c r="Z3679" s="100"/>
      <c r="AC3679" s="84"/>
      <c r="AD3679" s="189"/>
      <c r="AE3679" s="189"/>
      <c r="AF3679" s="189"/>
      <c r="AG3679" s="189"/>
      <c r="AH3679" s="189"/>
      <c r="AP3679" s="238"/>
    </row>
    <row r="3680" spans="3:42" s="45" customFormat="1" x14ac:dyDescent="0.2">
      <c r="C3680" s="189"/>
      <c r="F3680" s="73"/>
      <c r="M3680" s="111"/>
      <c r="N3680" s="73"/>
      <c r="O3680" s="73"/>
      <c r="P3680" s="73"/>
      <c r="Q3680" s="73"/>
      <c r="R3680" s="111"/>
      <c r="S3680" s="75"/>
      <c r="T3680" s="73"/>
      <c r="X3680" s="189"/>
      <c r="Y3680" s="189"/>
      <c r="Z3680" s="100"/>
      <c r="AC3680" s="84"/>
      <c r="AD3680" s="189"/>
      <c r="AE3680" s="189"/>
      <c r="AF3680" s="189"/>
      <c r="AG3680" s="189"/>
      <c r="AH3680" s="189"/>
      <c r="AP3680" s="238"/>
    </row>
    <row r="3681" spans="3:42" s="45" customFormat="1" x14ac:dyDescent="0.2">
      <c r="C3681" s="189"/>
      <c r="F3681" s="73"/>
      <c r="M3681" s="111"/>
      <c r="N3681" s="73"/>
      <c r="O3681" s="73"/>
      <c r="P3681" s="73"/>
      <c r="Q3681" s="73"/>
      <c r="R3681" s="111"/>
      <c r="S3681" s="75"/>
      <c r="T3681" s="73"/>
      <c r="X3681" s="189"/>
      <c r="Y3681" s="189"/>
      <c r="Z3681" s="100"/>
      <c r="AC3681" s="84"/>
      <c r="AD3681" s="189"/>
      <c r="AE3681" s="189"/>
      <c r="AF3681" s="189"/>
      <c r="AG3681" s="189"/>
      <c r="AH3681" s="189"/>
      <c r="AP3681" s="238"/>
    </row>
    <row r="3682" spans="3:42" s="45" customFormat="1" x14ac:dyDescent="0.2">
      <c r="C3682" s="189"/>
      <c r="F3682" s="73"/>
      <c r="M3682" s="111"/>
      <c r="N3682" s="73"/>
      <c r="O3682" s="73"/>
      <c r="P3682" s="73"/>
      <c r="Q3682" s="73"/>
      <c r="R3682" s="111"/>
      <c r="S3682" s="75"/>
      <c r="T3682" s="73"/>
      <c r="X3682" s="189"/>
      <c r="Y3682" s="189"/>
      <c r="Z3682" s="100"/>
      <c r="AC3682" s="84"/>
      <c r="AD3682" s="189"/>
      <c r="AE3682" s="189"/>
      <c r="AF3682" s="189"/>
      <c r="AG3682" s="189"/>
      <c r="AH3682" s="189"/>
      <c r="AP3682" s="238"/>
    </row>
    <row r="3683" spans="3:42" s="45" customFormat="1" x14ac:dyDescent="0.2">
      <c r="C3683" s="189"/>
      <c r="F3683" s="73"/>
      <c r="M3683" s="111"/>
      <c r="N3683" s="73"/>
      <c r="O3683" s="73"/>
      <c r="P3683" s="73"/>
      <c r="Q3683" s="73"/>
      <c r="R3683" s="111"/>
      <c r="S3683" s="75"/>
      <c r="T3683" s="73"/>
      <c r="X3683" s="189"/>
      <c r="Y3683" s="189"/>
      <c r="Z3683" s="100"/>
      <c r="AC3683" s="84"/>
      <c r="AD3683" s="189"/>
      <c r="AE3683" s="189"/>
      <c r="AF3683" s="189"/>
      <c r="AG3683" s="189"/>
      <c r="AH3683" s="189"/>
      <c r="AP3683" s="238"/>
    </row>
    <row r="3684" spans="3:42" s="45" customFormat="1" x14ac:dyDescent="0.2">
      <c r="C3684" s="189"/>
      <c r="F3684" s="73"/>
      <c r="M3684" s="111"/>
      <c r="N3684" s="73"/>
      <c r="O3684" s="73"/>
      <c r="P3684" s="73"/>
      <c r="Q3684" s="73"/>
      <c r="R3684" s="111"/>
      <c r="S3684" s="75"/>
      <c r="T3684" s="73"/>
      <c r="X3684" s="189"/>
      <c r="Y3684" s="189"/>
      <c r="Z3684" s="100"/>
      <c r="AC3684" s="84"/>
      <c r="AD3684" s="189"/>
      <c r="AE3684" s="189"/>
      <c r="AF3684" s="189"/>
      <c r="AG3684" s="189"/>
      <c r="AH3684" s="189"/>
      <c r="AP3684" s="238"/>
    </row>
    <row r="3685" spans="3:42" s="45" customFormat="1" x14ac:dyDescent="0.2">
      <c r="C3685" s="189"/>
      <c r="F3685" s="73"/>
      <c r="M3685" s="111"/>
      <c r="N3685" s="73"/>
      <c r="O3685" s="73"/>
      <c r="P3685" s="73"/>
      <c r="Q3685" s="73"/>
      <c r="R3685" s="111"/>
      <c r="S3685" s="75"/>
      <c r="T3685" s="73"/>
      <c r="X3685" s="189"/>
      <c r="Y3685" s="189"/>
      <c r="Z3685" s="100"/>
      <c r="AC3685" s="84"/>
      <c r="AD3685" s="189"/>
      <c r="AE3685" s="189"/>
      <c r="AF3685" s="189"/>
      <c r="AG3685" s="189"/>
      <c r="AH3685" s="189"/>
      <c r="AP3685" s="238"/>
    </row>
    <row r="3686" spans="3:42" s="45" customFormat="1" x14ac:dyDescent="0.2">
      <c r="C3686" s="189"/>
      <c r="F3686" s="73"/>
      <c r="M3686" s="111"/>
      <c r="N3686" s="73"/>
      <c r="O3686" s="73"/>
      <c r="P3686" s="73"/>
      <c r="Q3686" s="73"/>
      <c r="R3686" s="111"/>
      <c r="S3686" s="75"/>
      <c r="T3686" s="73"/>
      <c r="X3686" s="189"/>
      <c r="Y3686" s="189"/>
      <c r="Z3686" s="100"/>
      <c r="AC3686" s="84"/>
      <c r="AD3686" s="189"/>
      <c r="AE3686" s="189"/>
      <c r="AF3686" s="189"/>
      <c r="AG3686" s="189"/>
      <c r="AH3686" s="189"/>
      <c r="AP3686" s="238"/>
    </row>
    <row r="3687" spans="3:42" s="45" customFormat="1" x14ac:dyDescent="0.2">
      <c r="C3687" s="189"/>
      <c r="F3687" s="73"/>
      <c r="M3687" s="111"/>
      <c r="N3687" s="73"/>
      <c r="O3687" s="73"/>
      <c r="P3687" s="73"/>
      <c r="Q3687" s="73"/>
      <c r="R3687" s="111"/>
      <c r="S3687" s="75"/>
      <c r="T3687" s="73"/>
      <c r="X3687" s="189"/>
      <c r="Y3687" s="189"/>
      <c r="Z3687" s="100"/>
      <c r="AC3687" s="84"/>
      <c r="AD3687" s="189"/>
      <c r="AE3687" s="189"/>
      <c r="AF3687" s="189"/>
      <c r="AG3687" s="189"/>
      <c r="AH3687" s="189"/>
      <c r="AP3687" s="238"/>
    </row>
    <row r="3688" spans="3:42" s="45" customFormat="1" x14ac:dyDescent="0.2">
      <c r="C3688" s="189"/>
      <c r="F3688" s="73"/>
      <c r="M3688" s="111"/>
      <c r="N3688" s="73"/>
      <c r="O3688" s="73"/>
      <c r="P3688" s="73"/>
      <c r="Q3688" s="73"/>
      <c r="R3688" s="111"/>
      <c r="S3688" s="75"/>
      <c r="T3688" s="73"/>
      <c r="X3688" s="189"/>
      <c r="Y3688" s="189"/>
      <c r="Z3688" s="100"/>
      <c r="AC3688" s="84"/>
      <c r="AD3688" s="189"/>
      <c r="AE3688" s="189"/>
      <c r="AF3688" s="189"/>
      <c r="AG3688" s="189"/>
      <c r="AH3688" s="189"/>
      <c r="AP3688" s="238"/>
    </row>
    <row r="3689" spans="3:42" s="45" customFormat="1" x14ac:dyDescent="0.2">
      <c r="C3689" s="189"/>
      <c r="F3689" s="73"/>
      <c r="M3689" s="111"/>
      <c r="N3689" s="73"/>
      <c r="O3689" s="73"/>
      <c r="P3689" s="73"/>
      <c r="Q3689" s="73"/>
      <c r="R3689" s="111"/>
      <c r="S3689" s="75"/>
      <c r="T3689" s="73"/>
      <c r="X3689" s="189"/>
      <c r="Y3689" s="189"/>
      <c r="Z3689" s="100"/>
      <c r="AC3689" s="84"/>
      <c r="AD3689" s="189"/>
      <c r="AE3689" s="189"/>
      <c r="AF3689" s="189"/>
      <c r="AG3689" s="189"/>
      <c r="AH3689" s="189"/>
      <c r="AP3689" s="238"/>
    </row>
    <row r="3690" spans="3:42" s="45" customFormat="1" x14ac:dyDescent="0.2">
      <c r="C3690" s="189"/>
      <c r="F3690" s="73"/>
      <c r="M3690" s="111"/>
      <c r="N3690" s="73"/>
      <c r="O3690" s="73"/>
      <c r="P3690" s="73"/>
      <c r="Q3690" s="73"/>
      <c r="R3690" s="111"/>
      <c r="S3690" s="75"/>
      <c r="T3690" s="73"/>
      <c r="X3690" s="189"/>
      <c r="Y3690" s="189"/>
      <c r="Z3690" s="100"/>
      <c r="AC3690" s="84"/>
      <c r="AD3690" s="189"/>
      <c r="AE3690" s="189"/>
      <c r="AF3690" s="189"/>
      <c r="AG3690" s="189"/>
      <c r="AH3690" s="189"/>
      <c r="AP3690" s="238"/>
    </row>
    <row r="3691" spans="3:42" s="45" customFormat="1" x14ac:dyDescent="0.2">
      <c r="C3691" s="189"/>
      <c r="F3691" s="73"/>
      <c r="M3691" s="111"/>
      <c r="N3691" s="73"/>
      <c r="O3691" s="73"/>
      <c r="P3691" s="73"/>
      <c r="Q3691" s="73"/>
      <c r="R3691" s="111"/>
      <c r="S3691" s="75"/>
      <c r="T3691" s="73"/>
      <c r="X3691" s="189"/>
      <c r="Y3691" s="189"/>
      <c r="Z3691" s="100"/>
      <c r="AC3691" s="84"/>
      <c r="AD3691" s="189"/>
      <c r="AE3691" s="189"/>
      <c r="AF3691" s="189"/>
      <c r="AG3691" s="189"/>
      <c r="AH3691" s="189"/>
      <c r="AP3691" s="238"/>
    </row>
    <row r="3692" spans="3:42" s="45" customFormat="1" x14ac:dyDescent="0.2">
      <c r="C3692" s="189"/>
      <c r="F3692" s="73"/>
      <c r="M3692" s="111"/>
      <c r="N3692" s="73"/>
      <c r="O3692" s="73"/>
      <c r="P3692" s="73"/>
      <c r="Q3692" s="73"/>
      <c r="R3692" s="111"/>
      <c r="S3692" s="75"/>
      <c r="T3692" s="73"/>
      <c r="X3692" s="189"/>
      <c r="Y3692" s="189"/>
      <c r="Z3692" s="100"/>
      <c r="AC3692" s="84"/>
      <c r="AD3692" s="189"/>
      <c r="AE3692" s="189"/>
      <c r="AF3692" s="189"/>
      <c r="AG3692" s="189"/>
      <c r="AH3692" s="189"/>
      <c r="AP3692" s="238"/>
    </row>
    <row r="3693" spans="3:42" s="45" customFormat="1" x14ac:dyDescent="0.2">
      <c r="C3693" s="189"/>
      <c r="F3693" s="73"/>
      <c r="M3693" s="111"/>
      <c r="N3693" s="73"/>
      <c r="O3693" s="73"/>
      <c r="P3693" s="73"/>
      <c r="Q3693" s="73"/>
      <c r="R3693" s="111"/>
      <c r="S3693" s="75"/>
      <c r="T3693" s="73"/>
      <c r="X3693" s="189"/>
      <c r="Y3693" s="189"/>
      <c r="Z3693" s="100"/>
      <c r="AC3693" s="84"/>
      <c r="AD3693" s="189"/>
      <c r="AE3693" s="189"/>
      <c r="AF3693" s="189"/>
      <c r="AG3693" s="189"/>
      <c r="AH3693" s="189"/>
      <c r="AP3693" s="238"/>
    </row>
    <row r="3694" spans="3:42" s="45" customFormat="1" x14ac:dyDescent="0.2">
      <c r="C3694" s="189"/>
      <c r="F3694" s="73"/>
      <c r="M3694" s="111"/>
      <c r="N3694" s="73"/>
      <c r="O3694" s="73"/>
      <c r="P3694" s="73"/>
      <c r="Q3694" s="73"/>
      <c r="R3694" s="111"/>
      <c r="S3694" s="75"/>
      <c r="T3694" s="73"/>
      <c r="X3694" s="189"/>
      <c r="Y3694" s="189"/>
      <c r="Z3694" s="100"/>
      <c r="AC3694" s="84"/>
      <c r="AD3694" s="189"/>
      <c r="AE3694" s="189"/>
      <c r="AF3694" s="189"/>
      <c r="AG3694" s="189"/>
      <c r="AH3694" s="189"/>
      <c r="AP3694" s="238"/>
    </row>
    <row r="3695" spans="3:42" s="45" customFormat="1" x14ac:dyDescent="0.2">
      <c r="C3695" s="189"/>
      <c r="F3695" s="73"/>
      <c r="M3695" s="111"/>
      <c r="N3695" s="73"/>
      <c r="O3695" s="73"/>
      <c r="P3695" s="73"/>
      <c r="Q3695" s="73"/>
      <c r="R3695" s="111"/>
      <c r="S3695" s="75"/>
      <c r="T3695" s="73"/>
      <c r="X3695" s="189"/>
      <c r="Y3695" s="189"/>
      <c r="Z3695" s="100"/>
      <c r="AC3695" s="84"/>
      <c r="AD3695" s="189"/>
      <c r="AE3695" s="189"/>
      <c r="AF3695" s="189"/>
      <c r="AG3695" s="189"/>
      <c r="AH3695" s="189"/>
      <c r="AP3695" s="238"/>
    </row>
    <row r="3696" spans="3:42" s="45" customFormat="1" x14ac:dyDescent="0.2">
      <c r="C3696" s="189"/>
      <c r="F3696" s="73"/>
      <c r="M3696" s="111"/>
      <c r="N3696" s="73"/>
      <c r="O3696" s="73"/>
      <c r="P3696" s="73"/>
      <c r="Q3696" s="73"/>
      <c r="R3696" s="111"/>
      <c r="S3696" s="75"/>
      <c r="T3696" s="73"/>
      <c r="X3696" s="189"/>
      <c r="Y3696" s="189"/>
      <c r="Z3696" s="100"/>
      <c r="AC3696" s="84"/>
      <c r="AD3696" s="189"/>
      <c r="AE3696" s="189"/>
      <c r="AF3696" s="189"/>
      <c r="AG3696" s="189"/>
      <c r="AH3696" s="189"/>
      <c r="AP3696" s="238"/>
    </row>
    <row r="3697" spans="3:42" s="45" customFormat="1" x14ac:dyDescent="0.2">
      <c r="C3697" s="189"/>
      <c r="F3697" s="73"/>
      <c r="M3697" s="111"/>
      <c r="N3697" s="73"/>
      <c r="O3697" s="73"/>
      <c r="P3697" s="73"/>
      <c r="Q3697" s="73"/>
      <c r="R3697" s="111"/>
      <c r="S3697" s="75"/>
      <c r="T3697" s="73"/>
      <c r="X3697" s="189"/>
      <c r="Y3697" s="189"/>
      <c r="Z3697" s="100"/>
      <c r="AC3697" s="84"/>
      <c r="AD3697" s="189"/>
      <c r="AE3697" s="189"/>
      <c r="AF3697" s="189"/>
      <c r="AG3697" s="189"/>
      <c r="AH3697" s="189"/>
      <c r="AP3697" s="238"/>
    </row>
    <row r="3698" spans="3:42" s="45" customFormat="1" x14ac:dyDescent="0.2">
      <c r="C3698" s="189"/>
      <c r="F3698" s="73"/>
      <c r="M3698" s="111"/>
      <c r="N3698" s="73"/>
      <c r="O3698" s="73"/>
      <c r="P3698" s="73"/>
      <c r="Q3698" s="73"/>
      <c r="R3698" s="111"/>
      <c r="S3698" s="75"/>
      <c r="T3698" s="73"/>
      <c r="X3698" s="189"/>
      <c r="Y3698" s="189"/>
      <c r="Z3698" s="100"/>
      <c r="AC3698" s="84"/>
      <c r="AD3698" s="189"/>
      <c r="AE3698" s="189"/>
      <c r="AF3698" s="189"/>
      <c r="AG3698" s="189"/>
      <c r="AH3698" s="189"/>
      <c r="AP3698" s="238"/>
    </row>
    <row r="3699" spans="3:42" s="45" customFormat="1" x14ac:dyDescent="0.2">
      <c r="C3699" s="189"/>
      <c r="F3699" s="73"/>
      <c r="M3699" s="111"/>
      <c r="N3699" s="73"/>
      <c r="O3699" s="73"/>
      <c r="P3699" s="73"/>
      <c r="Q3699" s="73"/>
      <c r="R3699" s="111"/>
      <c r="S3699" s="75"/>
      <c r="T3699" s="73"/>
      <c r="X3699" s="189"/>
      <c r="Y3699" s="189"/>
      <c r="Z3699" s="100"/>
      <c r="AC3699" s="84"/>
      <c r="AD3699" s="189"/>
      <c r="AE3699" s="189"/>
      <c r="AF3699" s="189"/>
      <c r="AG3699" s="189"/>
      <c r="AH3699" s="189"/>
      <c r="AP3699" s="238"/>
    </row>
    <row r="3700" spans="3:42" s="45" customFormat="1" x14ac:dyDescent="0.2">
      <c r="C3700" s="189"/>
      <c r="F3700" s="73"/>
      <c r="M3700" s="111"/>
      <c r="N3700" s="73"/>
      <c r="O3700" s="73"/>
      <c r="P3700" s="73"/>
      <c r="Q3700" s="73"/>
      <c r="R3700" s="111"/>
      <c r="S3700" s="75"/>
      <c r="T3700" s="73"/>
      <c r="X3700" s="189"/>
      <c r="Y3700" s="189"/>
      <c r="Z3700" s="100"/>
      <c r="AC3700" s="84"/>
      <c r="AD3700" s="189"/>
      <c r="AE3700" s="189"/>
      <c r="AF3700" s="189"/>
      <c r="AG3700" s="189"/>
      <c r="AH3700" s="189"/>
      <c r="AP3700" s="238"/>
    </row>
    <row r="3701" spans="3:42" s="45" customFormat="1" x14ac:dyDescent="0.2">
      <c r="C3701" s="189"/>
      <c r="F3701" s="73"/>
      <c r="M3701" s="111"/>
      <c r="N3701" s="73"/>
      <c r="O3701" s="73"/>
      <c r="P3701" s="73"/>
      <c r="Q3701" s="73"/>
      <c r="R3701" s="111"/>
      <c r="S3701" s="75"/>
      <c r="T3701" s="73"/>
      <c r="X3701" s="189"/>
      <c r="Y3701" s="189"/>
      <c r="Z3701" s="100"/>
      <c r="AC3701" s="84"/>
      <c r="AD3701" s="189"/>
      <c r="AE3701" s="189"/>
      <c r="AF3701" s="189"/>
      <c r="AG3701" s="189"/>
      <c r="AH3701" s="189"/>
      <c r="AP3701" s="238"/>
    </row>
    <row r="3702" spans="3:42" s="45" customFormat="1" x14ac:dyDescent="0.2">
      <c r="C3702" s="189"/>
      <c r="F3702" s="73"/>
      <c r="M3702" s="111"/>
      <c r="N3702" s="73"/>
      <c r="O3702" s="73"/>
      <c r="P3702" s="73"/>
      <c r="Q3702" s="73"/>
      <c r="R3702" s="111"/>
      <c r="S3702" s="75"/>
      <c r="T3702" s="73"/>
      <c r="X3702" s="189"/>
      <c r="Y3702" s="189"/>
      <c r="Z3702" s="100"/>
      <c r="AC3702" s="84"/>
      <c r="AD3702" s="189"/>
      <c r="AE3702" s="189"/>
      <c r="AF3702" s="189"/>
      <c r="AG3702" s="189"/>
      <c r="AH3702" s="189"/>
      <c r="AP3702" s="238"/>
    </row>
    <row r="3703" spans="3:42" s="45" customFormat="1" x14ac:dyDescent="0.2">
      <c r="C3703" s="189"/>
      <c r="F3703" s="73"/>
      <c r="M3703" s="111"/>
      <c r="N3703" s="73"/>
      <c r="O3703" s="73"/>
      <c r="P3703" s="73"/>
      <c r="Q3703" s="73"/>
      <c r="R3703" s="111"/>
      <c r="S3703" s="75"/>
      <c r="T3703" s="73"/>
      <c r="X3703" s="189"/>
      <c r="Y3703" s="189"/>
      <c r="Z3703" s="100"/>
      <c r="AC3703" s="84"/>
      <c r="AD3703" s="189"/>
      <c r="AE3703" s="189"/>
      <c r="AF3703" s="189"/>
      <c r="AG3703" s="189"/>
      <c r="AH3703" s="189"/>
      <c r="AP3703" s="238"/>
    </row>
    <row r="3704" spans="3:42" s="45" customFormat="1" x14ac:dyDescent="0.2">
      <c r="C3704" s="189"/>
      <c r="F3704" s="73"/>
      <c r="M3704" s="111"/>
      <c r="N3704" s="73"/>
      <c r="O3704" s="73"/>
      <c r="P3704" s="73"/>
      <c r="Q3704" s="73"/>
      <c r="R3704" s="111"/>
      <c r="S3704" s="75"/>
      <c r="T3704" s="73"/>
      <c r="X3704" s="189"/>
      <c r="Y3704" s="189"/>
      <c r="Z3704" s="100"/>
      <c r="AC3704" s="84"/>
      <c r="AD3704" s="189"/>
      <c r="AE3704" s="189"/>
      <c r="AF3704" s="189"/>
      <c r="AG3704" s="189"/>
      <c r="AH3704" s="189"/>
      <c r="AP3704" s="238"/>
    </row>
    <row r="3705" spans="3:42" s="45" customFormat="1" x14ac:dyDescent="0.2">
      <c r="C3705" s="189"/>
      <c r="F3705" s="73"/>
      <c r="M3705" s="111"/>
      <c r="N3705" s="73"/>
      <c r="O3705" s="73"/>
      <c r="P3705" s="73"/>
      <c r="Q3705" s="73"/>
      <c r="R3705" s="111"/>
      <c r="S3705" s="75"/>
      <c r="T3705" s="73"/>
      <c r="X3705" s="189"/>
      <c r="Y3705" s="189"/>
      <c r="Z3705" s="100"/>
      <c r="AC3705" s="84"/>
      <c r="AD3705" s="189"/>
      <c r="AE3705" s="189"/>
      <c r="AF3705" s="189"/>
      <c r="AG3705" s="189"/>
      <c r="AH3705" s="189"/>
      <c r="AP3705" s="238"/>
    </row>
    <row r="3706" spans="3:42" s="45" customFormat="1" x14ac:dyDescent="0.2">
      <c r="C3706" s="189"/>
      <c r="F3706" s="73"/>
      <c r="M3706" s="111"/>
      <c r="N3706" s="73"/>
      <c r="O3706" s="73"/>
      <c r="P3706" s="73"/>
      <c r="Q3706" s="73"/>
      <c r="R3706" s="111"/>
      <c r="S3706" s="75"/>
      <c r="T3706" s="73"/>
      <c r="X3706" s="189"/>
      <c r="Y3706" s="189"/>
      <c r="Z3706" s="100"/>
      <c r="AC3706" s="84"/>
      <c r="AD3706" s="189"/>
      <c r="AE3706" s="189"/>
      <c r="AF3706" s="189"/>
      <c r="AG3706" s="189"/>
      <c r="AH3706" s="189"/>
      <c r="AP3706" s="238"/>
    </row>
    <row r="3707" spans="3:42" s="45" customFormat="1" x14ac:dyDescent="0.2">
      <c r="C3707" s="189"/>
      <c r="F3707" s="73"/>
      <c r="M3707" s="111"/>
      <c r="N3707" s="73"/>
      <c r="O3707" s="73"/>
      <c r="P3707" s="73"/>
      <c r="Q3707" s="73"/>
      <c r="R3707" s="111"/>
      <c r="S3707" s="75"/>
      <c r="T3707" s="73"/>
      <c r="X3707" s="189"/>
      <c r="Y3707" s="189"/>
      <c r="Z3707" s="100"/>
      <c r="AC3707" s="84"/>
      <c r="AD3707" s="189"/>
      <c r="AE3707" s="189"/>
      <c r="AF3707" s="189"/>
      <c r="AG3707" s="189"/>
      <c r="AH3707" s="189"/>
      <c r="AP3707" s="238"/>
    </row>
    <row r="3708" spans="3:42" s="45" customFormat="1" x14ac:dyDescent="0.2">
      <c r="C3708" s="189"/>
      <c r="F3708" s="73"/>
      <c r="M3708" s="111"/>
      <c r="N3708" s="73"/>
      <c r="O3708" s="73"/>
      <c r="P3708" s="73"/>
      <c r="Q3708" s="73"/>
      <c r="R3708" s="111"/>
      <c r="S3708" s="75"/>
      <c r="T3708" s="73"/>
      <c r="X3708" s="189"/>
      <c r="Y3708" s="189"/>
      <c r="Z3708" s="100"/>
      <c r="AC3708" s="84"/>
      <c r="AD3708" s="189"/>
      <c r="AE3708" s="189"/>
      <c r="AF3708" s="189"/>
      <c r="AG3708" s="189"/>
      <c r="AH3708" s="189"/>
      <c r="AP3708" s="238"/>
    </row>
    <row r="3709" spans="3:42" s="45" customFormat="1" x14ac:dyDescent="0.2">
      <c r="C3709" s="189"/>
      <c r="F3709" s="73"/>
      <c r="M3709" s="111"/>
      <c r="N3709" s="73"/>
      <c r="O3709" s="73"/>
      <c r="P3709" s="73"/>
      <c r="Q3709" s="73"/>
      <c r="R3709" s="111"/>
      <c r="S3709" s="75"/>
      <c r="T3709" s="73"/>
      <c r="X3709" s="189"/>
      <c r="Y3709" s="189"/>
      <c r="Z3709" s="100"/>
      <c r="AC3709" s="84"/>
      <c r="AD3709" s="189"/>
      <c r="AE3709" s="189"/>
      <c r="AF3709" s="189"/>
      <c r="AG3709" s="189"/>
      <c r="AH3709" s="189"/>
      <c r="AP3709" s="238"/>
    </row>
    <row r="3710" spans="3:42" s="45" customFormat="1" x14ac:dyDescent="0.2">
      <c r="C3710" s="189"/>
      <c r="F3710" s="73"/>
      <c r="M3710" s="111"/>
      <c r="N3710" s="73"/>
      <c r="O3710" s="73"/>
      <c r="P3710" s="73"/>
      <c r="Q3710" s="73"/>
      <c r="R3710" s="111"/>
      <c r="S3710" s="75"/>
      <c r="T3710" s="73"/>
      <c r="X3710" s="189"/>
      <c r="Y3710" s="189"/>
      <c r="Z3710" s="100"/>
      <c r="AC3710" s="84"/>
      <c r="AD3710" s="189"/>
      <c r="AE3710" s="189"/>
      <c r="AF3710" s="189"/>
      <c r="AG3710" s="189"/>
      <c r="AH3710" s="189"/>
      <c r="AP3710" s="238"/>
    </row>
    <row r="3711" spans="3:42" s="45" customFormat="1" x14ac:dyDescent="0.2">
      <c r="C3711" s="189"/>
      <c r="F3711" s="73"/>
      <c r="M3711" s="111"/>
      <c r="N3711" s="73"/>
      <c r="O3711" s="73"/>
      <c r="P3711" s="73"/>
      <c r="Q3711" s="73"/>
      <c r="R3711" s="111"/>
      <c r="S3711" s="75"/>
      <c r="T3711" s="73"/>
      <c r="X3711" s="189"/>
      <c r="Y3711" s="189"/>
      <c r="Z3711" s="100"/>
      <c r="AC3711" s="84"/>
      <c r="AD3711" s="189"/>
      <c r="AE3711" s="189"/>
      <c r="AF3711" s="189"/>
      <c r="AG3711" s="189"/>
      <c r="AH3711" s="189"/>
      <c r="AP3711" s="238"/>
    </row>
    <row r="3712" spans="3:42" s="45" customFormat="1" x14ac:dyDescent="0.2">
      <c r="C3712" s="189"/>
      <c r="F3712" s="73"/>
      <c r="M3712" s="111"/>
      <c r="N3712" s="73"/>
      <c r="O3712" s="73"/>
      <c r="P3712" s="73"/>
      <c r="Q3712" s="73"/>
      <c r="R3712" s="111"/>
      <c r="S3712" s="75"/>
      <c r="T3712" s="73"/>
      <c r="X3712" s="189"/>
      <c r="Y3712" s="189"/>
      <c r="Z3712" s="100"/>
      <c r="AC3712" s="84"/>
      <c r="AD3712" s="189"/>
      <c r="AE3712" s="189"/>
      <c r="AF3712" s="189"/>
      <c r="AG3712" s="189"/>
      <c r="AH3712" s="189"/>
      <c r="AP3712" s="238"/>
    </row>
    <row r="3713" spans="3:42" s="45" customFormat="1" x14ac:dyDescent="0.2">
      <c r="C3713" s="189"/>
      <c r="F3713" s="73"/>
      <c r="M3713" s="111"/>
      <c r="N3713" s="73"/>
      <c r="O3713" s="73"/>
      <c r="P3713" s="73"/>
      <c r="Q3713" s="73"/>
      <c r="R3713" s="111"/>
      <c r="S3713" s="75"/>
      <c r="T3713" s="73"/>
      <c r="X3713" s="189"/>
      <c r="Y3713" s="189"/>
      <c r="Z3713" s="100"/>
      <c r="AC3713" s="84"/>
      <c r="AD3713" s="189"/>
      <c r="AE3713" s="189"/>
      <c r="AF3713" s="189"/>
      <c r="AG3713" s="189"/>
      <c r="AH3713" s="189"/>
      <c r="AP3713" s="238"/>
    </row>
    <row r="3714" spans="3:42" s="45" customFormat="1" x14ac:dyDescent="0.2">
      <c r="C3714" s="189"/>
      <c r="F3714" s="73"/>
      <c r="M3714" s="111"/>
      <c r="N3714" s="73"/>
      <c r="O3714" s="73"/>
      <c r="P3714" s="73"/>
      <c r="Q3714" s="73"/>
      <c r="R3714" s="111"/>
      <c r="S3714" s="75"/>
      <c r="T3714" s="73"/>
      <c r="X3714" s="189"/>
      <c r="Y3714" s="189"/>
      <c r="Z3714" s="100"/>
      <c r="AC3714" s="84"/>
      <c r="AD3714" s="189"/>
      <c r="AE3714" s="189"/>
      <c r="AF3714" s="189"/>
      <c r="AG3714" s="189"/>
      <c r="AH3714" s="189"/>
      <c r="AP3714" s="238"/>
    </row>
    <row r="3715" spans="3:42" s="45" customFormat="1" x14ac:dyDescent="0.2">
      <c r="C3715" s="189"/>
      <c r="F3715" s="73"/>
      <c r="M3715" s="111"/>
      <c r="N3715" s="73"/>
      <c r="O3715" s="73"/>
      <c r="P3715" s="73"/>
      <c r="Q3715" s="73"/>
      <c r="R3715" s="111"/>
      <c r="S3715" s="75"/>
      <c r="T3715" s="73"/>
      <c r="X3715" s="189"/>
      <c r="Y3715" s="189"/>
      <c r="Z3715" s="100"/>
      <c r="AC3715" s="84"/>
      <c r="AD3715" s="189"/>
      <c r="AE3715" s="189"/>
      <c r="AF3715" s="189"/>
      <c r="AG3715" s="189"/>
      <c r="AH3715" s="189"/>
      <c r="AP3715" s="238"/>
    </row>
    <row r="3716" spans="3:42" s="45" customFormat="1" x14ac:dyDescent="0.2">
      <c r="C3716" s="189"/>
      <c r="F3716" s="73"/>
      <c r="M3716" s="111"/>
      <c r="N3716" s="73"/>
      <c r="O3716" s="73"/>
      <c r="P3716" s="73"/>
      <c r="Q3716" s="73"/>
      <c r="R3716" s="111"/>
      <c r="S3716" s="75"/>
      <c r="T3716" s="73"/>
      <c r="X3716" s="189"/>
      <c r="Y3716" s="189"/>
      <c r="Z3716" s="100"/>
      <c r="AC3716" s="84"/>
      <c r="AD3716" s="189"/>
      <c r="AE3716" s="189"/>
      <c r="AF3716" s="189"/>
      <c r="AG3716" s="189"/>
      <c r="AH3716" s="189"/>
      <c r="AP3716" s="238"/>
    </row>
    <row r="3717" spans="3:42" s="45" customFormat="1" x14ac:dyDescent="0.2">
      <c r="C3717" s="189"/>
      <c r="F3717" s="73"/>
      <c r="M3717" s="111"/>
      <c r="N3717" s="73"/>
      <c r="O3717" s="73"/>
      <c r="P3717" s="73"/>
      <c r="Q3717" s="73"/>
      <c r="R3717" s="111"/>
      <c r="S3717" s="75"/>
      <c r="T3717" s="73"/>
      <c r="X3717" s="189"/>
      <c r="Y3717" s="189"/>
      <c r="Z3717" s="100"/>
      <c r="AC3717" s="84"/>
      <c r="AD3717" s="189"/>
      <c r="AE3717" s="189"/>
      <c r="AF3717" s="189"/>
      <c r="AG3717" s="189"/>
      <c r="AH3717" s="189"/>
      <c r="AP3717" s="238"/>
    </row>
    <row r="3718" spans="3:42" s="45" customFormat="1" x14ac:dyDescent="0.2">
      <c r="C3718" s="189"/>
      <c r="F3718" s="73"/>
      <c r="M3718" s="111"/>
      <c r="N3718" s="73"/>
      <c r="O3718" s="73"/>
      <c r="P3718" s="73"/>
      <c r="Q3718" s="73"/>
      <c r="R3718" s="111"/>
      <c r="S3718" s="75"/>
      <c r="T3718" s="73"/>
      <c r="X3718" s="189"/>
      <c r="Y3718" s="189"/>
      <c r="Z3718" s="100"/>
      <c r="AC3718" s="84"/>
      <c r="AD3718" s="189"/>
      <c r="AE3718" s="189"/>
      <c r="AF3718" s="189"/>
      <c r="AG3718" s="189"/>
      <c r="AH3718" s="189"/>
      <c r="AP3718" s="238"/>
    </row>
    <row r="3719" spans="3:42" s="45" customFormat="1" x14ac:dyDescent="0.2">
      <c r="C3719" s="189"/>
      <c r="F3719" s="73"/>
      <c r="M3719" s="111"/>
      <c r="N3719" s="73"/>
      <c r="O3719" s="73"/>
      <c r="P3719" s="73"/>
      <c r="Q3719" s="73"/>
      <c r="R3719" s="111"/>
      <c r="S3719" s="75"/>
      <c r="T3719" s="73"/>
      <c r="X3719" s="189"/>
      <c r="Y3719" s="189"/>
      <c r="Z3719" s="100"/>
      <c r="AC3719" s="84"/>
      <c r="AD3719" s="189"/>
      <c r="AE3719" s="189"/>
      <c r="AF3719" s="189"/>
      <c r="AG3719" s="189"/>
      <c r="AH3719" s="189"/>
      <c r="AP3719" s="238"/>
    </row>
    <row r="3720" spans="3:42" s="45" customFormat="1" x14ac:dyDescent="0.2">
      <c r="C3720" s="189"/>
      <c r="F3720" s="73"/>
      <c r="M3720" s="111"/>
      <c r="N3720" s="73"/>
      <c r="O3720" s="73"/>
      <c r="P3720" s="73"/>
      <c r="Q3720" s="73"/>
      <c r="R3720" s="111"/>
      <c r="S3720" s="75"/>
      <c r="T3720" s="73"/>
      <c r="X3720" s="189"/>
      <c r="Y3720" s="189"/>
      <c r="Z3720" s="100"/>
      <c r="AC3720" s="84"/>
      <c r="AD3720" s="189"/>
      <c r="AE3720" s="189"/>
      <c r="AF3720" s="189"/>
      <c r="AG3720" s="189"/>
      <c r="AH3720" s="189"/>
      <c r="AP3720" s="238"/>
    </row>
    <row r="3721" spans="3:42" s="45" customFormat="1" x14ac:dyDescent="0.2">
      <c r="C3721" s="189"/>
      <c r="F3721" s="73"/>
      <c r="M3721" s="111"/>
      <c r="N3721" s="73"/>
      <c r="O3721" s="73"/>
      <c r="P3721" s="73"/>
      <c r="Q3721" s="73"/>
      <c r="R3721" s="111"/>
      <c r="S3721" s="75"/>
      <c r="T3721" s="73"/>
      <c r="X3721" s="189"/>
      <c r="Y3721" s="189"/>
      <c r="Z3721" s="100"/>
      <c r="AC3721" s="84"/>
      <c r="AD3721" s="189"/>
      <c r="AE3721" s="189"/>
      <c r="AF3721" s="189"/>
      <c r="AG3721" s="189"/>
      <c r="AH3721" s="189"/>
      <c r="AP3721" s="238"/>
    </row>
    <row r="3722" spans="3:42" s="45" customFormat="1" x14ac:dyDescent="0.2">
      <c r="C3722" s="189"/>
      <c r="F3722" s="73"/>
      <c r="M3722" s="111"/>
      <c r="N3722" s="73"/>
      <c r="O3722" s="73"/>
      <c r="P3722" s="73"/>
      <c r="Q3722" s="73"/>
      <c r="R3722" s="111"/>
      <c r="S3722" s="75"/>
      <c r="T3722" s="73"/>
      <c r="X3722" s="189"/>
      <c r="Y3722" s="189"/>
      <c r="Z3722" s="100"/>
      <c r="AC3722" s="84"/>
      <c r="AD3722" s="189"/>
      <c r="AE3722" s="189"/>
      <c r="AF3722" s="189"/>
      <c r="AG3722" s="189"/>
      <c r="AH3722" s="189"/>
      <c r="AP3722" s="238"/>
    </row>
    <row r="3723" spans="3:42" s="45" customFormat="1" x14ac:dyDescent="0.2">
      <c r="C3723" s="189"/>
      <c r="F3723" s="73"/>
      <c r="M3723" s="111"/>
      <c r="N3723" s="73"/>
      <c r="O3723" s="73"/>
      <c r="P3723" s="73"/>
      <c r="Q3723" s="73"/>
      <c r="R3723" s="111"/>
      <c r="S3723" s="75"/>
      <c r="T3723" s="73"/>
      <c r="X3723" s="189"/>
      <c r="Y3723" s="189"/>
      <c r="Z3723" s="100"/>
      <c r="AC3723" s="84"/>
      <c r="AD3723" s="189"/>
      <c r="AE3723" s="189"/>
      <c r="AF3723" s="189"/>
      <c r="AG3723" s="189"/>
      <c r="AH3723" s="189"/>
      <c r="AP3723" s="238"/>
    </row>
    <row r="3724" spans="3:42" s="45" customFormat="1" x14ac:dyDescent="0.2">
      <c r="C3724" s="189"/>
      <c r="F3724" s="73"/>
      <c r="M3724" s="111"/>
      <c r="N3724" s="73"/>
      <c r="O3724" s="73"/>
      <c r="P3724" s="73"/>
      <c r="Q3724" s="73"/>
      <c r="R3724" s="111"/>
      <c r="S3724" s="75"/>
      <c r="T3724" s="73"/>
      <c r="X3724" s="189"/>
      <c r="Y3724" s="189"/>
      <c r="Z3724" s="100"/>
      <c r="AC3724" s="84"/>
      <c r="AD3724" s="189"/>
      <c r="AE3724" s="189"/>
      <c r="AF3724" s="189"/>
      <c r="AG3724" s="189"/>
      <c r="AH3724" s="189"/>
      <c r="AP3724" s="238"/>
    </row>
    <row r="3725" spans="3:42" s="45" customFormat="1" x14ac:dyDescent="0.2">
      <c r="C3725" s="189"/>
      <c r="F3725" s="73"/>
      <c r="M3725" s="111"/>
      <c r="N3725" s="73"/>
      <c r="O3725" s="73"/>
      <c r="P3725" s="73"/>
      <c r="Q3725" s="73"/>
      <c r="R3725" s="111"/>
      <c r="S3725" s="75"/>
      <c r="T3725" s="73"/>
      <c r="X3725" s="189"/>
      <c r="Y3725" s="189"/>
      <c r="Z3725" s="100"/>
      <c r="AC3725" s="84"/>
      <c r="AD3725" s="189"/>
      <c r="AE3725" s="189"/>
      <c r="AF3725" s="189"/>
      <c r="AG3725" s="189"/>
      <c r="AH3725" s="189"/>
      <c r="AP3725" s="238"/>
    </row>
    <row r="3726" spans="3:42" s="45" customFormat="1" x14ac:dyDescent="0.2">
      <c r="C3726" s="189"/>
      <c r="F3726" s="73"/>
      <c r="M3726" s="111"/>
      <c r="N3726" s="73"/>
      <c r="O3726" s="73"/>
      <c r="P3726" s="73"/>
      <c r="Q3726" s="73"/>
      <c r="R3726" s="111"/>
      <c r="S3726" s="75"/>
      <c r="T3726" s="73"/>
      <c r="X3726" s="189"/>
      <c r="Y3726" s="189"/>
      <c r="Z3726" s="100"/>
      <c r="AC3726" s="84"/>
      <c r="AD3726" s="189"/>
      <c r="AE3726" s="189"/>
      <c r="AF3726" s="189"/>
      <c r="AG3726" s="189"/>
      <c r="AH3726" s="189"/>
      <c r="AP3726" s="238"/>
    </row>
    <row r="3727" spans="3:42" s="45" customFormat="1" x14ac:dyDescent="0.2">
      <c r="C3727" s="189"/>
      <c r="F3727" s="73"/>
      <c r="M3727" s="111"/>
      <c r="N3727" s="73"/>
      <c r="O3727" s="73"/>
      <c r="P3727" s="73"/>
      <c r="Q3727" s="73"/>
      <c r="R3727" s="111"/>
      <c r="S3727" s="75"/>
      <c r="T3727" s="73"/>
      <c r="X3727" s="189"/>
      <c r="Y3727" s="189"/>
      <c r="Z3727" s="100"/>
      <c r="AC3727" s="84"/>
      <c r="AD3727" s="189"/>
      <c r="AE3727" s="189"/>
      <c r="AF3727" s="189"/>
      <c r="AG3727" s="189"/>
      <c r="AH3727" s="189"/>
      <c r="AP3727" s="238"/>
    </row>
    <row r="3728" spans="3:42" s="45" customFormat="1" x14ac:dyDescent="0.2">
      <c r="C3728" s="189"/>
      <c r="F3728" s="73"/>
      <c r="M3728" s="111"/>
      <c r="N3728" s="73"/>
      <c r="O3728" s="73"/>
      <c r="P3728" s="73"/>
      <c r="Q3728" s="73"/>
      <c r="R3728" s="111"/>
      <c r="S3728" s="75"/>
      <c r="T3728" s="73"/>
      <c r="X3728" s="189"/>
      <c r="Y3728" s="189"/>
      <c r="Z3728" s="100"/>
      <c r="AC3728" s="84"/>
      <c r="AD3728" s="189"/>
      <c r="AE3728" s="189"/>
      <c r="AF3728" s="189"/>
      <c r="AG3728" s="189"/>
      <c r="AH3728" s="189"/>
      <c r="AP3728" s="238"/>
    </row>
    <row r="3729" spans="3:42" s="45" customFormat="1" x14ac:dyDescent="0.2">
      <c r="C3729" s="189"/>
      <c r="F3729" s="73"/>
      <c r="M3729" s="111"/>
      <c r="N3729" s="73"/>
      <c r="O3729" s="73"/>
      <c r="P3729" s="73"/>
      <c r="Q3729" s="73"/>
      <c r="R3729" s="111"/>
      <c r="S3729" s="75"/>
      <c r="T3729" s="73"/>
      <c r="X3729" s="189"/>
      <c r="Y3729" s="189"/>
      <c r="Z3729" s="100"/>
      <c r="AC3729" s="84"/>
      <c r="AD3729" s="189"/>
      <c r="AE3729" s="189"/>
      <c r="AF3729" s="189"/>
      <c r="AG3729" s="189"/>
      <c r="AH3729" s="189"/>
      <c r="AP3729" s="238"/>
    </row>
    <row r="3730" spans="3:42" s="45" customFormat="1" x14ac:dyDescent="0.2">
      <c r="C3730" s="189"/>
      <c r="F3730" s="73"/>
      <c r="M3730" s="111"/>
      <c r="N3730" s="73"/>
      <c r="O3730" s="73"/>
      <c r="P3730" s="73"/>
      <c r="Q3730" s="73"/>
      <c r="R3730" s="111"/>
      <c r="S3730" s="75"/>
      <c r="T3730" s="73"/>
      <c r="X3730" s="189"/>
      <c r="Y3730" s="189"/>
      <c r="Z3730" s="100"/>
      <c r="AC3730" s="84"/>
      <c r="AD3730" s="189"/>
      <c r="AE3730" s="189"/>
      <c r="AF3730" s="189"/>
      <c r="AG3730" s="189"/>
      <c r="AH3730" s="189"/>
      <c r="AP3730" s="238"/>
    </row>
    <row r="3731" spans="3:42" s="45" customFormat="1" x14ac:dyDescent="0.2">
      <c r="C3731" s="189"/>
      <c r="F3731" s="73"/>
      <c r="M3731" s="111"/>
      <c r="N3731" s="73"/>
      <c r="O3731" s="73"/>
      <c r="P3731" s="73"/>
      <c r="Q3731" s="73"/>
      <c r="R3731" s="111"/>
      <c r="S3731" s="75"/>
      <c r="T3731" s="73"/>
      <c r="X3731" s="189"/>
      <c r="Y3731" s="189"/>
      <c r="Z3731" s="100"/>
      <c r="AC3731" s="84"/>
      <c r="AD3731" s="189"/>
      <c r="AE3731" s="189"/>
      <c r="AF3731" s="189"/>
      <c r="AG3731" s="189"/>
      <c r="AH3731" s="189"/>
      <c r="AP3731" s="238"/>
    </row>
    <row r="3732" spans="3:42" s="45" customFormat="1" x14ac:dyDescent="0.2">
      <c r="C3732" s="189"/>
      <c r="F3732" s="73"/>
      <c r="M3732" s="111"/>
      <c r="N3732" s="73"/>
      <c r="O3732" s="73"/>
      <c r="P3732" s="73"/>
      <c r="Q3732" s="73"/>
      <c r="R3732" s="111"/>
      <c r="S3732" s="75"/>
      <c r="T3732" s="73"/>
      <c r="X3732" s="189"/>
      <c r="Y3732" s="189"/>
      <c r="Z3732" s="100"/>
      <c r="AC3732" s="84"/>
      <c r="AD3732" s="189"/>
      <c r="AE3732" s="189"/>
      <c r="AF3732" s="189"/>
      <c r="AG3732" s="189"/>
      <c r="AH3732" s="189"/>
      <c r="AP3732" s="238"/>
    </row>
    <row r="3733" spans="3:42" s="45" customFormat="1" x14ac:dyDescent="0.2">
      <c r="C3733" s="189"/>
      <c r="F3733" s="73"/>
      <c r="M3733" s="111"/>
      <c r="N3733" s="73"/>
      <c r="O3733" s="73"/>
      <c r="P3733" s="73"/>
      <c r="Q3733" s="73"/>
      <c r="R3733" s="111"/>
      <c r="S3733" s="75"/>
      <c r="T3733" s="73"/>
      <c r="X3733" s="189"/>
      <c r="Y3733" s="189"/>
      <c r="Z3733" s="100"/>
      <c r="AC3733" s="84"/>
      <c r="AD3733" s="189"/>
      <c r="AE3733" s="189"/>
      <c r="AF3733" s="189"/>
      <c r="AG3733" s="189"/>
      <c r="AH3733" s="189"/>
      <c r="AP3733" s="238"/>
    </row>
    <row r="3734" spans="3:42" s="45" customFormat="1" x14ac:dyDescent="0.2">
      <c r="C3734" s="189"/>
      <c r="F3734" s="73"/>
      <c r="M3734" s="111"/>
      <c r="N3734" s="73"/>
      <c r="O3734" s="73"/>
      <c r="P3734" s="73"/>
      <c r="Q3734" s="73"/>
      <c r="R3734" s="111"/>
      <c r="S3734" s="75"/>
      <c r="T3734" s="73"/>
      <c r="X3734" s="189"/>
      <c r="Y3734" s="189"/>
      <c r="Z3734" s="100"/>
      <c r="AC3734" s="84"/>
      <c r="AD3734" s="189"/>
      <c r="AE3734" s="189"/>
      <c r="AF3734" s="189"/>
      <c r="AG3734" s="189"/>
      <c r="AH3734" s="189"/>
      <c r="AP3734" s="238"/>
    </row>
    <row r="3735" spans="3:42" s="45" customFormat="1" x14ac:dyDescent="0.2">
      <c r="C3735" s="189"/>
      <c r="F3735" s="73"/>
      <c r="M3735" s="111"/>
      <c r="N3735" s="73"/>
      <c r="O3735" s="73"/>
      <c r="P3735" s="73"/>
      <c r="Q3735" s="73"/>
      <c r="R3735" s="111"/>
      <c r="S3735" s="75"/>
      <c r="T3735" s="73"/>
      <c r="X3735" s="189"/>
      <c r="Y3735" s="189"/>
      <c r="Z3735" s="100"/>
      <c r="AC3735" s="84"/>
      <c r="AD3735" s="189"/>
      <c r="AE3735" s="189"/>
      <c r="AF3735" s="189"/>
      <c r="AG3735" s="189"/>
      <c r="AH3735" s="189"/>
      <c r="AP3735" s="238"/>
    </row>
    <row r="3736" spans="3:42" s="45" customFormat="1" x14ac:dyDescent="0.2">
      <c r="C3736" s="189"/>
      <c r="F3736" s="73"/>
      <c r="M3736" s="111"/>
      <c r="N3736" s="73"/>
      <c r="O3736" s="73"/>
      <c r="P3736" s="73"/>
      <c r="Q3736" s="73"/>
      <c r="R3736" s="111"/>
      <c r="S3736" s="75"/>
      <c r="T3736" s="73"/>
      <c r="X3736" s="189"/>
      <c r="Y3736" s="189"/>
      <c r="Z3736" s="100"/>
      <c r="AC3736" s="84"/>
      <c r="AD3736" s="189"/>
      <c r="AE3736" s="189"/>
      <c r="AF3736" s="189"/>
      <c r="AG3736" s="189"/>
      <c r="AH3736" s="189"/>
      <c r="AP3736" s="238"/>
    </row>
    <row r="3737" spans="3:42" s="45" customFormat="1" x14ac:dyDescent="0.2">
      <c r="C3737" s="189"/>
      <c r="F3737" s="73"/>
      <c r="M3737" s="111"/>
      <c r="N3737" s="73"/>
      <c r="O3737" s="73"/>
      <c r="P3737" s="73"/>
      <c r="Q3737" s="73"/>
      <c r="R3737" s="111"/>
      <c r="S3737" s="75"/>
      <c r="T3737" s="73"/>
      <c r="X3737" s="189"/>
      <c r="Y3737" s="189"/>
      <c r="Z3737" s="100"/>
      <c r="AC3737" s="84"/>
      <c r="AD3737" s="189"/>
      <c r="AE3737" s="189"/>
      <c r="AF3737" s="189"/>
      <c r="AG3737" s="189"/>
      <c r="AH3737" s="189"/>
      <c r="AP3737" s="238"/>
    </row>
    <row r="3738" spans="3:42" s="45" customFormat="1" x14ac:dyDescent="0.2">
      <c r="C3738" s="189"/>
      <c r="F3738" s="73"/>
      <c r="M3738" s="111"/>
      <c r="N3738" s="73"/>
      <c r="O3738" s="73"/>
      <c r="P3738" s="73"/>
      <c r="Q3738" s="73"/>
      <c r="R3738" s="111"/>
      <c r="S3738" s="75"/>
      <c r="T3738" s="73"/>
      <c r="X3738" s="189"/>
      <c r="Y3738" s="189"/>
      <c r="Z3738" s="100"/>
      <c r="AC3738" s="84"/>
      <c r="AD3738" s="189"/>
      <c r="AE3738" s="189"/>
      <c r="AF3738" s="189"/>
      <c r="AG3738" s="189"/>
      <c r="AH3738" s="189"/>
      <c r="AP3738" s="238"/>
    </row>
    <row r="3739" spans="3:42" s="45" customFormat="1" x14ac:dyDescent="0.2">
      <c r="C3739" s="189"/>
      <c r="F3739" s="73"/>
      <c r="M3739" s="111"/>
      <c r="N3739" s="73"/>
      <c r="O3739" s="73"/>
      <c r="P3739" s="73"/>
      <c r="Q3739" s="73"/>
      <c r="R3739" s="111"/>
      <c r="S3739" s="75"/>
      <c r="T3739" s="73"/>
      <c r="X3739" s="189"/>
      <c r="Y3739" s="189"/>
      <c r="Z3739" s="100"/>
      <c r="AC3739" s="84"/>
      <c r="AD3739" s="189"/>
      <c r="AE3739" s="189"/>
      <c r="AF3739" s="189"/>
      <c r="AG3739" s="189"/>
      <c r="AH3739" s="189"/>
      <c r="AP3739" s="238"/>
    </row>
    <row r="3740" spans="3:42" s="45" customFormat="1" x14ac:dyDescent="0.2">
      <c r="C3740" s="189"/>
      <c r="F3740" s="73"/>
      <c r="M3740" s="111"/>
      <c r="N3740" s="73"/>
      <c r="O3740" s="73"/>
      <c r="P3740" s="73"/>
      <c r="Q3740" s="73"/>
      <c r="R3740" s="111"/>
      <c r="S3740" s="75"/>
      <c r="T3740" s="73"/>
      <c r="X3740" s="189"/>
      <c r="Y3740" s="189"/>
      <c r="Z3740" s="100"/>
      <c r="AC3740" s="84"/>
      <c r="AD3740" s="189"/>
      <c r="AE3740" s="189"/>
      <c r="AF3740" s="189"/>
      <c r="AG3740" s="189"/>
      <c r="AH3740" s="189"/>
      <c r="AP3740" s="238"/>
    </row>
    <row r="3741" spans="3:42" s="45" customFormat="1" x14ac:dyDescent="0.2">
      <c r="C3741" s="189"/>
      <c r="F3741" s="73"/>
      <c r="M3741" s="111"/>
      <c r="N3741" s="73"/>
      <c r="O3741" s="73"/>
      <c r="P3741" s="73"/>
      <c r="Q3741" s="73"/>
      <c r="R3741" s="111"/>
      <c r="S3741" s="75"/>
      <c r="T3741" s="73"/>
      <c r="X3741" s="189"/>
      <c r="Y3741" s="189"/>
      <c r="Z3741" s="100"/>
      <c r="AC3741" s="84"/>
      <c r="AD3741" s="189"/>
      <c r="AE3741" s="189"/>
      <c r="AF3741" s="189"/>
      <c r="AG3741" s="189"/>
      <c r="AH3741" s="189"/>
      <c r="AP3741" s="238"/>
    </row>
    <row r="3742" spans="3:42" s="45" customFormat="1" x14ac:dyDescent="0.2">
      <c r="C3742" s="189"/>
      <c r="F3742" s="73"/>
      <c r="M3742" s="111"/>
      <c r="N3742" s="73"/>
      <c r="O3742" s="73"/>
      <c r="P3742" s="73"/>
      <c r="Q3742" s="73"/>
      <c r="R3742" s="111"/>
      <c r="S3742" s="75"/>
      <c r="T3742" s="73"/>
      <c r="X3742" s="189"/>
      <c r="Y3742" s="189"/>
      <c r="Z3742" s="100"/>
      <c r="AC3742" s="84"/>
      <c r="AD3742" s="189"/>
      <c r="AE3742" s="189"/>
      <c r="AF3742" s="189"/>
      <c r="AG3742" s="189"/>
      <c r="AH3742" s="189"/>
      <c r="AP3742" s="238"/>
    </row>
    <row r="3743" spans="3:42" s="45" customFormat="1" x14ac:dyDescent="0.2">
      <c r="C3743" s="189"/>
      <c r="F3743" s="73"/>
      <c r="M3743" s="111"/>
      <c r="N3743" s="73"/>
      <c r="O3743" s="73"/>
      <c r="P3743" s="73"/>
      <c r="Q3743" s="73"/>
      <c r="R3743" s="111"/>
      <c r="S3743" s="75"/>
      <c r="T3743" s="73"/>
      <c r="X3743" s="189"/>
      <c r="Y3743" s="189"/>
      <c r="Z3743" s="100"/>
      <c r="AC3743" s="84"/>
      <c r="AD3743" s="189"/>
      <c r="AE3743" s="189"/>
      <c r="AF3743" s="189"/>
      <c r="AG3743" s="189"/>
      <c r="AH3743" s="189"/>
      <c r="AP3743" s="238"/>
    </row>
    <row r="3744" spans="3:42" s="45" customFormat="1" x14ac:dyDescent="0.2">
      <c r="C3744" s="189"/>
      <c r="F3744" s="73"/>
      <c r="M3744" s="111"/>
      <c r="N3744" s="73"/>
      <c r="O3744" s="73"/>
      <c r="P3744" s="73"/>
      <c r="Q3744" s="73"/>
      <c r="R3744" s="111"/>
      <c r="S3744" s="75"/>
      <c r="T3744" s="73"/>
      <c r="X3744" s="189"/>
      <c r="Y3744" s="189"/>
      <c r="Z3744" s="100"/>
      <c r="AC3744" s="84"/>
      <c r="AD3744" s="189"/>
      <c r="AE3744" s="189"/>
      <c r="AF3744" s="189"/>
      <c r="AG3744" s="189"/>
      <c r="AH3744" s="189"/>
      <c r="AP3744" s="238"/>
    </row>
    <row r="3745" spans="3:42" s="45" customFormat="1" x14ac:dyDescent="0.2">
      <c r="C3745" s="189"/>
      <c r="F3745" s="73"/>
      <c r="M3745" s="111"/>
      <c r="N3745" s="73"/>
      <c r="O3745" s="73"/>
      <c r="P3745" s="73"/>
      <c r="Q3745" s="73"/>
      <c r="R3745" s="111"/>
      <c r="S3745" s="75"/>
      <c r="T3745" s="73"/>
      <c r="X3745" s="189"/>
      <c r="Y3745" s="189"/>
      <c r="Z3745" s="100"/>
      <c r="AC3745" s="84"/>
      <c r="AD3745" s="189"/>
      <c r="AE3745" s="189"/>
      <c r="AF3745" s="189"/>
      <c r="AG3745" s="189"/>
      <c r="AH3745" s="189"/>
      <c r="AP3745" s="238"/>
    </row>
    <row r="3746" spans="3:42" s="45" customFormat="1" x14ac:dyDescent="0.2">
      <c r="C3746" s="189"/>
      <c r="F3746" s="73"/>
      <c r="M3746" s="111"/>
      <c r="N3746" s="73"/>
      <c r="O3746" s="73"/>
      <c r="P3746" s="73"/>
      <c r="Q3746" s="73"/>
      <c r="R3746" s="111"/>
      <c r="S3746" s="75"/>
      <c r="T3746" s="73"/>
      <c r="X3746" s="189"/>
      <c r="Y3746" s="189"/>
      <c r="Z3746" s="100"/>
      <c r="AC3746" s="84"/>
      <c r="AD3746" s="189"/>
      <c r="AE3746" s="189"/>
      <c r="AF3746" s="189"/>
      <c r="AG3746" s="189"/>
      <c r="AH3746" s="189"/>
      <c r="AP3746" s="238"/>
    </row>
    <row r="3747" spans="3:42" s="45" customFormat="1" x14ac:dyDescent="0.2">
      <c r="C3747" s="189"/>
      <c r="F3747" s="73"/>
      <c r="M3747" s="111"/>
      <c r="N3747" s="73"/>
      <c r="O3747" s="73"/>
      <c r="P3747" s="73"/>
      <c r="Q3747" s="73"/>
      <c r="R3747" s="111"/>
      <c r="S3747" s="75"/>
      <c r="T3747" s="73"/>
      <c r="X3747" s="189"/>
      <c r="Y3747" s="189"/>
      <c r="Z3747" s="100"/>
      <c r="AC3747" s="84"/>
      <c r="AD3747" s="189"/>
      <c r="AE3747" s="189"/>
      <c r="AF3747" s="189"/>
      <c r="AG3747" s="189"/>
      <c r="AH3747" s="189"/>
      <c r="AP3747" s="238"/>
    </row>
    <row r="3748" spans="3:42" s="45" customFormat="1" x14ac:dyDescent="0.2">
      <c r="C3748" s="189"/>
      <c r="F3748" s="73"/>
      <c r="M3748" s="111"/>
      <c r="N3748" s="73"/>
      <c r="O3748" s="73"/>
      <c r="P3748" s="73"/>
      <c r="Q3748" s="73"/>
      <c r="R3748" s="111"/>
      <c r="S3748" s="75"/>
      <c r="T3748" s="73"/>
      <c r="X3748" s="189"/>
      <c r="Y3748" s="189"/>
      <c r="Z3748" s="100"/>
      <c r="AC3748" s="84"/>
      <c r="AD3748" s="189"/>
      <c r="AE3748" s="189"/>
      <c r="AF3748" s="189"/>
      <c r="AG3748" s="189"/>
      <c r="AH3748" s="189"/>
      <c r="AP3748" s="238"/>
    </row>
    <row r="3749" spans="3:42" s="45" customFormat="1" x14ac:dyDescent="0.2">
      <c r="C3749" s="189"/>
      <c r="F3749" s="73"/>
      <c r="M3749" s="111"/>
      <c r="N3749" s="73"/>
      <c r="O3749" s="73"/>
      <c r="P3749" s="73"/>
      <c r="Q3749" s="73"/>
      <c r="R3749" s="111"/>
      <c r="S3749" s="75"/>
      <c r="T3749" s="73"/>
      <c r="X3749" s="189"/>
      <c r="Y3749" s="189"/>
      <c r="Z3749" s="100"/>
      <c r="AC3749" s="84"/>
      <c r="AD3749" s="189"/>
      <c r="AE3749" s="189"/>
      <c r="AF3749" s="189"/>
      <c r="AG3749" s="189"/>
      <c r="AH3749" s="189"/>
      <c r="AP3749" s="238"/>
    </row>
    <row r="3750" spans="3:42" s="45" customFormat="1" x14ac:dyDescent="0.2">
      <c r="C3750" s="189"/>
      <c r="F3750" s="73"/>
      <c r="M3750" s="111"/>
      <c r="N3750" s="73"/>
      <c r="O3750" s="73"/>
      <c r="P3750" s="73"/>
      <c r="Q3750" s="73"/>
      <c r="R3750" s="111"/>
      <c r="S3750" s="75"/>
      <c r="T3750" s="73"/>
      <c r="X3750" s="189"/>
      <c r="Y3750" s="189"/>
      <c r="Z3750" s="100"/>
      <c r="AC3750" s="84"/>
      <c r="AD3750" s="189"/>
      <c r="AE3750" s="189"/>
      <c r="AF3750" s="189"/>
      <c r="AG3750" s="189"/>
      <c r="AH3750" s="189"/>
      <c r="AP3750" s="238"/>
    </row>
    <row r="3751" spans="3:42" s="45" customFormat="1" x14ac:dyDescent="0.2">
      <c r="C3751" s="189"/>
      <c r="F3751" s="73"/>
      <c r="M3751" s="111"/>
      <c r="N3751" s="73"/>
      <c r="O3751" s="73"/>
      <c r="P3751" s="73"/>
      <c r="Q3751" s="73"/>
      <c r="R3751" s="111"/>
      <c r="S3751" s="75"/>
      <c r="T3751" s="73"/>
      <c r="X3751" s="189"/>
      <c r="Y3751" s="189"/>
      <c r="Z3751" s="100"/>
      <c r="AC3751" s="84"/>
      <c r="AD3751" s="189"/>
      <c r="AE3751" s="189"/>
      <c r="AF3751" s="189"/>
      <c r="AG3751" s="189"/>
      <c r="AH3751" s="189"/>
      <c r="AP3751" s="238"/>
    </row>
    <row r="3752" spans="3:42" s="45" customFormat="1" x14ac:dyDescent="0.2">
      <c r="C3752" s="189"/>
      <c r="F3752" s="73"/>
      <c r="M3752" s="111"/>
      <c r="N3752" s="73"/>
      <c r="O3752" s="73"/>
      <c r="P3752" s="73"/>
      <c r="Q3752" s="73"/>
      <c r="R3752" s="111"/>
      <c r="S3752" s="75"/>
      <c r="T3752" s="73"/>
      <c r="X3752" s="189"/>
      <c r="Y3752" s="189"/>
      <c r="Z3752" s="100"/>
      <c r="AC3752" s="84"/>
      <c r="AD3752" s="189"/>
      <c r="AE3752" s="189"/>
      <c r="AF3752" s="189"/>
      <c r="AG3752" s="189"/>
      <c r="AH3752" s="189"/>
      <c r="AP3752" s="238"/>
    </row>
    <row r="3753" spans="3:42" s="45" customFormat="1" x14ac:dyDescent="0.2">
      <c r="C3753" s="189"/>
      <c r="F3753" s="73"/>
      <c r="M3753" s="111"/>
      <c r="N3753" s="73"/>
      <c r="O3753" s="73"/>
      <c r="P3753" s="73"/>
      <c r="Q3753" s="73"/>
      <c r="R3753" s="111"/>
      <c r="S3753" s="75"/>
      <c r="T3753" s="73"/>
      <c r="X3753" s="189"/>
      <c r="Y3753" s="189"/>
      <c r="Z3753" s="100"/>
      <c r="AC3753" s="84"/>
      <c r="AD3753" s="189"/>
      <c r="AE3753" s="189"/>
      <c r="AF3753" s="189"/>
      <c r="AG3753" s="189"/>
      <c r="AH3753" s="189"/>
      <c r="AP3753" s="238"/>
    </row>
    <row r="3754" spans="3:42" s="45" customFormat="1" x14ac:dyDescent="0.2">
      <c r="C3754" s="189"/>
      <c r="F3754" s="73"/>
      <c r="M3754" s="111"/>
      <c r="N3754" s="73"/>
      <c r="O3754" s="73"/>
      <c r="P3754" s="73"/>
      <c r="Q3754" s="73"/>
      <c r="R3754" s="111"/>
      <c r="S3754" s="75"/>
      <c r="T3754" s="73"/>
      <c r="X3754" s="189"/>
      <c r="Y3754" s="189"/>
      <c r="Z3754" s="100"/>
      <c r="AC3754" s="84"/>
      <c r="AD3754" s="189"/>
      <c r="AE3754" s="189"/>
      <c r="AF3754" s="189"/>
      <c r="AG3754" s="189"/>
      <c r="AH3754" s="189"/>
      <c r="AP3754" s="238"/>
    </row>
    <row r="3755" spans="3:42" s="45" customFormat="1" x14ac:dyDescent="0.2">
      <c r="C3755" s="189"/>
      <c r="F3755" s="73"/>
      <c r="M3755" s="111"/>
      <c r="N3755" s="73"/>
      <c r="O3755" s="73"/>
      <c r="P3755" s="73"/>
      <c r="Q3755" s="73"/>
      <c r="R3755" s="111"/>
      <c r="S3755" s="75"/>
      <c r="T3755" s="73"/>
      <c r="X3755" s="189"/>
      <c r="Y3755" s="189"/>
      <c r="Z3755" s="100"/>
      <c r="AC3755" s="84"/>
      <c r="AD3755" s="189"/>
      <c r="AE3755" s="189"/>
      <c r="AF3755" s="189"/>
      <c r="AG3755" s="189"/>
      <c r="AH3755" s="189"/>
      <c r="AP3755" s="238"/>
    </row>
    <row r="3756" spans="3:42" s="45" customFormat="1" x14ac:dyDescent="0.2">
      <c r="C3756" s="189"/>
      <c r="F3756" s="73"/>
      <c r="M3756" s="111"/>
      <c r="N3756" s="73"/>
      <c r="O3756" s="73"/>
      <c r="P3756" s="73"/>
      <c r="Q3756" s="73"/>
      <c r="R3756" s="111"/>
      <c r="S3756" s="75"/>
      <c r="T3756" s="73"/>
      <c r="X3756" s="189"/>
      <c r="Y3756" s="189"/>
      <c r="Z3756" s="100"/>
      <c r="AC3756" s="84"/>
      <c r="AD3756" s="189"/>
      <c r="AE3756" s="189"/>
      <c r="AF3756" s="189"/>
      <c r="AG3756" s="189"/>
      <c r="AH3756" s="189"/>
      <c r="AP3756" s="238"/>
    </row>
    <row r="3757" spans="3:42" s="45" customFormat="1" x14ac:dyDescent="0.2">
      <c r="C3757" s="189"/>
      <c r="F3757" s="73"/>
      <c r="M3757" s="111"/>
      <c r="N3757" s="73"/>
      <c r="O3757" s="73"/>
      <c r="P3757" s="73"/>
      <c r="Q3757" s="73"/>
      <c r="R3757" s="111"/>
      <c r="S3757" s="75"/>
      <c r="T3757" s="73"/>
      <c r="X3757" s="189"/>
      <c r="Y3757" s="189"/>
      <c r="Z3757" s="100"/>
      <c r="AC3757" s="84"/>
      <c r="AD3757" s="189"/>
      <c r="AE3757" s="189"/>
      <c r="AF3757" s="189"/>
      <c r="AG3757" s="189"/>
      <c r="AH3757" s="189"/>
      <c r="AP3757" s="238"/>
    </row>
    <row r="3758" spans="3:42" s="45" customFormat="1" x14ac:dyDescent="0.2">
      <c r="C3758" s="189"/>
      <c r="F3758" s="73"/>
      <c r="M3758" s="111"/>
      <c r="N3758" s="73"/>
      <c r="O3758" s="73"/>
      <c r="P3758" s="73"/>
      <c r="Q3758" s="73"/>
      <c r="R3758" s="111"/>
      <c r="S3758" s="75"/>
      <c r="T3758" s="73"/>
      <c r="X3758" s="189"/>
      <c r="Y3758" s="189"/>
      <c r="Z3758" s="100"/>
      <c r="AC3758" s="84"/>
      <c r="AD3758" s="189"/>
      <c r="AE3758" s="189"/>
      <c r="AF3758" s="189"/>
      <c r="AG3758" s="189"/>
      <c r="AH3758" s="189"/>
      <c r="AP3758" s="238"/>
    </row>
    <row r="3759" spans="3:42" s="45" customFormat="1" x14ac:dyDescent="0.2">
      <c r="C3759" s="189"/>
      <c r="F3759" s="73"/>
      <c r="M3759" s="111"/>
      <c r="N3759" s="73"/>
      <c r="O3759" s="73"/>
      <c r="P3759" s="73"/>
      <c r="Q3759" s="73"/>
      <c r="R3759" s="111"/>
      <c r="S3759" s="75"/>
      <c r="T3759" s="73"/>
      <c r="X3759" s="189"/>
      <c r="Y3759" s="189"/>
      <c r="Z3759" s="100"/>
      <c r="AC3759" s="84"/>
      <c r="AD3759" s="189"/>
      <c r="AE3759" s="189"/>
      <c r="AF3759" s="189"/>
      <c r="AG3759" s="189"/>
      <c r="AH3759" s="189"/>
      <c r="AP3759" s="238"/>
    </row>
    <row r="3760" spans="3:42" s="45" customFormat="1" x14ac:dyDescent="0.2">
      <c r="C3760" s="189"/>
      <c r="F3760" s="73"/>
      <c r="M3760" s="111"/>
      <c r="N3760" s="73"/>
      <c r="O3760" s="73"/>
      <c r="P3760" s="73"/>
      <c r="Q3760" s="73"/>
      <c r="R3760" s="111"/>
      <c r="S3760" s="75"/>
      <c r="T3760" s="73"/>
      <c r="X3760" s="189"/>
      <c r="Y3760" s="189"/>
      <c r="Z3760" s="100"/>
      <c r="AC3760" s="84"/>
      <c r="AD3760" s="189"/>
      <c r="AE3760" s="189"/>
      <c r="AF3760" s="189"/>
      <c r="AG3760" s="189"/>
      <c r="AH3760" s="189"/>
      <c r="AP3760" s="238"/>
    </row>
    <row r="3761" spans="3:42" s="45" customFormat="1" x14ac:dyDescent="0.2">
      <c r="C3761" s="189"/>
      <c r="F3761" s="73"/>
      <c r="M3761" s="111"/>
      <c r="N3761" s="73"/>
      <c r="O3761" s="73"/>
      <c r="P3761" s="73"/>
      <c r="Q3761" s="73"/>
      <c r="R3761" s="111"/>
      <c r="S3761" s="75"/>
      <c r="T3761" s="73"/>
      <c r="X3761" s="189"/>
      <c r="Y3761" s="189"/>
      <c r="Z3761" s="100"/>
      <c r="AC3761" s="84"/>
      <c r="AD3761" s="189"/>
      <c r="AE3761" s="189"/>
      <c r="AF3761" s="189"/>
      <c r="AG3761" s="189"/>
      <c r="AH3761" s="189"/>
      <c r="AP3761" s="238"/>
    </row>
    <row r="3762" spans="3:42" s="45" customFormat="1" x14ac:dyDescent="0.2">
      <c r="C3762" s="189"/>
      <c r="F3762" s="73"/>
      <c r="M3762" s="111"/>
      <c r="N3762" s="73"/>
      <c r="O3762" s="73"/>
      <c r="P3762" s="73"/>
      <c r="Q3762" s="73"/>
      <c r="R3762" s="111"/>
      <c r="S3762" s="75"/>
      <c r="T3762" s="73"/>
      <c r="X3762" s="189"/>
      <c r="Y3762" s="189"/>
      <c r="Z3762" s="100"/>
      <c r="AC3762" s="84"/>
      <c r="AD3762" s="189"/>
      <c r="AE3762" s="189"/>
      <c r="AF3762" s="189"/>
      <c r="AG3762" s="189"/>
      <c r="AH3762" s="189"/>
      <c r="AP3762" s="238"/>
    </row>
    <row r="3763" spans="3:42" s="45" customFormat="1" x14ac:dyDescent="0.2">
      <c r="C3763" s="189"/>
      <c r="F3763" s="73"/>
      <c r="M3763" s="111"/>
      <c r="N3763" s="73"/>
      <c r="O3763" s="73"/>
      <c r="P3763" s="73"/>
      <c r="Q3763" s="73"/>
      <c r="R3763" s="111"/>
      <c r="S3763" s="75"/>
      <c r="T3763" s="73"/>
      <c r="X3763" s="189"/>
      <c r="Y3763" s="189"/>
      <c r="Z3763" s="100"/>
      <c r="AC3763" s="84"/>
      <c r="AD3763" s="189"/>
      <c r="AE3763" s="189"/>
      <c r="AF3763" s="189"/>
      <c r="AG3763" s="189"/>
      <c r="AH3763" s="189"/>
      <c r="AP3763" s="238"/>
    </row>
    <row r="3764" spans="3:42" s="45" customFormat="1" x14ac:dyDescent="0.2">
      <c r="C3764" s="189"/>
      <c r="F3764" s="73"/>
      <c r="M3764" s="111"/>
      <c r="N3764" s="73"/>
      <c r="O3764" s="73"/>
      <c r="P3764" s="73"/>
      <c r="Q3764" s="73"/>
      <c r="R3764" s="111"/>
      <c r="S3764" s="75"/>
      <c r="T3764" s="73"/>
      <c r="X3764" s="189"/>
      <c r="Y3764" s="189"/>
      <c r="Z3764" s="100"/>
      <c r="AC3764" s="84"/>
      <c r="AD3764" s="189"/>
      <c r="AE3764" s="189"/>
      <c r="AF3764" s="189"/>
      <c r="AG3764" s="189"/>
      <c r="AH3764" s="189"/>
      <c r="AP3764" s="238"/>
    </row>
    <row r="3765" spans="3:42" s="45" customFormat="1" x14ac:dyDescent="0.2">
      <c r="C3765" s="189"/>
      <c r="F3765" s="73"/>
      <c r="M3765" s="111"/>
      <c r="N3765" s="73"/>
      <c r="O3765" s="73"/>
      <c r="P3765" s="73"/>
      <c r="Q3765" s="73"/>
      <c r="R3765" s="111"/>
      <c r="S3765" s="75"/>
      <c r="T3765" s="73"/>
      <c r="X3765" s="189"/>
      <c r="Y3765" s="189"/>
      <c r="Z3765" s="100"/>
      <c r="AC3765" s="84"/>
      <c r="AD3765" s="189"/>
      <c r="AE3765" s="189"/>
      <c r="AF3765" s="189"/>
      <c r="AG3765" s="189"/>
      <c r="AH3765" s="189"/>
      <c r="AP3765" s="238"/>
    </row>
    <row r="3766" spans="3:42" s="45" customFormat="1" x14ac:dyDescent="0.2">
      <c r="C3766" s="189"/>
      <c r="F3766" s="73"/>
      <c r="M3766" s="111"/>
      <c r="N3766" s="73"/>
      <c r="O3766" s="73"/>
      <c r="P3766" s="73"/>
      <c r="Q3766" s="73"/>
      <c r="R3766" s="111"/>
      <c r="S3766" s="75"/>
      <c r="T3766" s="73"/>
      <c r="X3766" s="189"/>
      <c r="Y3766" s="189"/>
      <c r="Z3766" s="100"/>
      <c r="AC3766" s="84"/>
      <c r="AD3766" s="189"/>
      <c r="AE3766" s="189"/>
      <c r="AF3766" s="189"/>
      <c r="AG3766" s="189"/>
      <c r="AH3766" s="189"/>
      <c r="AP3766" s="238"/>
    </row>
    <row r="3767" spans="3:42" s="45" customFormat="1" x14ac:dyDescent="0.2">
      <c r="C3767" s="189"/>
      <c r="F3767" s="73"/>
      <c r="M3767" s="111"/>
      <c r="N3767" s="73"/>
      <c r="O3767" s="73"/>
      <c r="P3767" s="73"/>
      <c r="Q3767" s="73"/>
      <c r="R3767" s="111"/>
      <c r="S3767" s="75"/>
      <c r="T3767" s="73"/>
      <c r="X3767" s="189"/>
      <c r="Y3767" s="189"/>
      <c r="Z3767" s="100"/>
      <c r="AC3767" s="84"/>
      <c r="AD3767" s="189"/>
      <c r="AE3767" s="189"/>
      <c r="AF3767" s="189"/>
      <c r="AG3767" s="189"/>
      <c r="AH3767" s="189"/>
      <c r="AP3767" s="238"/>
    </row>
    <row r="3768" spans="3:42" s="45" customFormat="1" x14ac:dyDescent="0.2">
      <c r="C3768" s="189"/>
      <c r="F3768" s="73"/>
      <c r="M3768" s="111"/>
      <c r="N3768" s="73"/>
      <c r="O3768" s="73"/>
      <c r="P3768" s="73"/>
      <c r="Q3768" s="73"/>
      <c r="R3768" s="111"/>
      <c r="S3768" s="75"/>
      <c r="T3768" s="73"/>
      <c r="X3768" s="189"/>
      <c r="Y3768" s="189"/>
      <c r="Z3768" s="100"/>
      <c r="AC3768" s="84"/>
      <c r="AD3768" s="189"/>
      <c r="AE3768" s="189"/>
      <c r="AF3768" s="189"/>
      <c r="AG3768" s="189"/>
      <c r="AH3768" s="189"/>
      <c r="AP3768" s="238"/>
    </row>
    <row r="3769" spans="3:42" s="45" customFormat="1" x14ac:dyDescent="0.2">
      <c r="C3769" s="189"/>
      <c r="F3769" s="73"/>
      <c r="M3769" s="111"/>
      <c r="N3769" s="73"/>
      <c r="O3769" s="73"/>
      <c r="P3769" s="73"/>
      <c r="Q3769" s="73"/>
      <c r="R3769" s="111"/>
      <c r="S3769" s="75"/>
      <c r="T3769" s="73"/>
      <c r="X3769" s="189"/>
      <c r="Y3769" s="189"/>
      <c r="Z3769" s="100"/>
      <c r="AC3769" s="84"/>
      <c r="AD3769" s="189"/>
      <c r="AE3769" s="189"/>
      <c r="AF3769" s="189"/>
      <c r="AG3769" s="189"/>
      <c r="AH3769" s="189"/>
      <c r="AP3769" s="238"/>
    </row>
    <row r="3770" spans="3:42" s="45" customFormat="1" x14ac:dyDescent="0.2">
      <c r="C3770" s="189"/>
      <c r="F3770" s="73"/>
      <c r="M3770" s="111"/>
      <c r="N3770" s="73"/>
      <c r="O3770" s="73"/>
      <c r="P3770" s="73"/>
      <c r="Q3770" s="73"/>
      <c r="R3770" s="111"/>
      <c r="S3770" s="75"/>
      <c r="T3770" s="73"/>
      <c r="X3770" s="189"/>
      <c r="Y3770" s="189"/>
      <c r="Z3770" s="100"/>
      <c r="AC3770" s="84"/>
      <c r="AD3770" s="189"/>
      <c r="AE3770" s="189"/>
      <c r="AF3770" s="189"/>
      <c r="AG3770" s="189"/>
      <c r="AH3770" s="189"/>
      <c r="AP3770" s="238"/>
    </row>
    <row r="3771" spans="3:42" s="45" customFormat="1" x14ac:dyDescent="0.2">
      <c r="C3771" s="189"/>
      <c r="F3771" s="73"/>
      <c r="M3771" s="111"/>
      <c r="N3771" s="73"/>
      <c r="O3771" s="73"/>
      <c r="P3771" s="73"/>
      <c r="Q3771" s="73"/>
      <c r="R3771" s="111"/>
      <c r="S3771" s="75"/>
      <c r="T3771" s="73"/>
      <c r="X3771" s="189"/>
      <c r="Y3771" s="189"/>
      <c r="Z3771" s="100"/>
      <c r="AC3771" s="84"/>
      <c r="AD3771" s="189"/>
      <c r="AE3771" s="189"/>
      <c r="AF3771" s="189"/>
      <c r="AG3771" s="189"/>
      <c r="AH3771" s="189"/>
      <c r="AP3771" s="238"/>
    </row>
    <row r="3772" spans="3:42" s="45" customFormat="1" x14ac:dyDescent="0.2">
      <c r="C3772" s="189"/>
      <c r="F3772" s="73"/>
      <c r="M3772" s="111"/>
      <c r="N3772" s="73"/>
      <c r="O3772" s="73"/>
      <c r="P3772" s="73"/>
      <c r="Q3772" s="73"/>
      <c r="R3772" s="111"/>
      <c r="S3772" s="75"/>
      <c r="T3772" s="73"/>
      <c r="X3772" s="189"/>
      <c r="Y3772" s="189"/>
      <c r="Z3772" s="100"/>
      <c r="AC3772" s="84"/>
      <c r="AD3772" s="189"/>
      <c r="AE3772" s="189"/>
      <c r="AF3772" s="189"/>
      <c r="AG3772" s="189"/>
      <c r="AH3772" s="189"/>
      <c r="AP3772" s="238"/>
    </row>
    <row r="3773" spans="3:42" s="45" customFormat="1" x14ac:dyDescent="0.2">
      <c r="C3773" s="189"/>
      <c r="F3773" s="73"/>
      <c r="M3773" s="111"/>
      <c r="N3773" s="73"/>
      <c r="O3773" s="73"/>
      <c r="P3773" s="73"/>
      <c r="Q3773" s="73"/>
      <c r="R3773" s="111"/>
      <c r="S3773" s="75"/>
      <c r="T3773" s="73"/>
      <c r="X3773" s="189"/>
      <c r="Y3773" s="189"/>
      <c r="Z3773" s="100"/>
      <c r="AC3773" s="84"/>
      <c r="AD3773" s="189"/>
      <c r="AE3773" s="189"/>
      <c r="AF3773" s="189"/>
      <c r="AG3773" s="189"/>
      <c r="AH3773" s="189"/>
      <c r="AP3773" s="238"/>
    </row>
    <row r="3774" spans="3:42" s="45" customFormat="1" x14ac:dyDescent="0.2">
      <c r="C3774" s="189"/>
      <c r="F3774" s="73"/>
      <c r="M3774" s="111"/>
      <c r="N3774" s="73"/>
      <c r="O3774" s="73"/>
      <c r="P3774" s="73"/>
      <c r="Q3774" s="73"/>
      <c r="R3774" s="111"/>
      <c r="S3774" s="75"/>
      <c r="T3774" s="73"/>
      <c r="X3774" s="189"/>
      <c r="Y3774" s="189"/>
      <c r="Z3774" s="100"/>
      <c r="AC3774" s="84"/>
      <c r="AD3774" s="189"/>
      <c r="AE3774" s="189"/>
      <c r="AF3774" s="189"/>
      <c r="AG3774" s="189"/>
      <c r="AH3774" s="189"/>
      <c r="AP3774" s="238"/>
    </row>
    <row r="3775" spans="3:42" s="45" customFormat="1" x14ac:dyDescent="0.2">
      <c r="C3775" s="189"/>
      <c r="F3775" s="73"/>
      <c r="M3775" s="111"/>
      <c r="N3775" s="73"/>
      <c r="O3775" s="73"/>
      <c r="P3775" s="73"/>
      <c r="Q3775" s="73"/>
      <c r="R3775" s="111"/>
      <c r="S3775" s="75"/>
      <c r="T3775" s="73"/>
      <c r="X3775" s="189"/>
      <c r="Y3775" s="189"/>
      <c r="Z3775" s="100"/>
      <c r="AC3775" s="84"/>
      <c r="AD3775" s="189"/>
      <c r="AE3775" s="189"/>
      <c r="AF3775" s="189"/>
      <c r="AG3775" s="189"/>
      <c r="AH3775" s="189"/>
      <c r="AP3775" s="238"/>
    </row>
    <row r="3776" spans="3:42" s="45" customFormat="1" x14ac:dyDescent="0.2">
      <c r="C3776" s="189"/>
      <c r="F3776" s="73"/>
      <c r="M3776" s="111"/>
      <c r="N3776" s="73"/>
      <c r="O3776" s="73"/>
      <c r="P3776" s="73"/>
      <c r="Q3776" s="73"/>
      <c r="R3776" s="111"/>
      <c r="S3776" s="75"/>
      <c r="T3776" s="73"/>
      <c r="X3776" s="189"/>
      <c r="Y3776" s="189"/>
      <c r="Z3776" s="100"/>
      <c r="AC3776" s="84"/>
      <c r="AD3776" s="189"/>
      <c r="AE3776" s="189"/>
      <c r="AF3776" s="189"/>
      <c r="AG3776" s="189"/>
      <c r="AH3776" s="189"/>
      <c r="AP3776" s="238"/>
    </row>
    <row r="3777" spans="3:42" s="45" customFormat="1" x14ac:dyDescent="0.2">
      <c r="C3777" s="189"/>
      <c r="F3777" s="73"/>
      <c r="M3777" s="111"/>
      <c r="N3777" s="73"/>
      <c r="O3777" s="73"/>
      <c r="P3777" s="73"/>
      <c r="Q3777" s="73"/>
      <c r="R3777" s="111"/>
      <c r="S3777" s="75"/>
      <c r="T3777" s="73"/>
      <c r="X3777" s="189"/>
      <c r="Y3777" s="189"/>
      <c r="Z3777" s="100"/>
      <c r="AC3777" s="84"/>
      <c r="AD3777" s="189"/>
      <c r="AE3777" s="189"/>
      <c r="AF3777" s="189"/>
      <c r="AG3777" s="189"/>
      <c r="AH3777" s="189"/>
      <c r="AP3777" s="238"/>
    </row>
    <row r="3778" spans="3:42" s="45" customFormat="1" x14ac:dyDescent="0.2">
      <c r="C3778" s="189"/>
      <c r="F3778" s="73"/>
      <c r="M3778" s="111"/>
      <c r="N3778" s="73"/>
      <c r="O3778" s="73"/>
      <c r="P3778" s="73"/>
      <c r="Q3778" s="73"/>
      <c r="R3778" s="111"/>
      <c r="S3778" s="75"/>
      <c r="T3778" s="73"/>
      <c r="X3778" s="189"/>
      <c r="Y3778" s="189"/>
      <c r="Z3778" s="100"/>
      <c r="AC3778" s="84"/>
      <c r="AD3778" s="189"/>
      <c r="AE3778" s="189"/>
      <c r="AF3778" s="189"/>
      <c r="AG3778" s="189"/>
      <c r="AH3778" s="189"/>
      <c r="AP3778" s="238"/>
    </row>
    <row r="3779" spans="3:42" s="45" customFormat="1" x14ac:dyDescent="0.2">
      <c r="C3779" s="189"/>
      <c r="F3779" s="73"/>
      <c r="M3779" s="111"/>
      <c r="N3779" s="73"/>
      <c r="O3779" s="73"/>
      <c r="P3779" s="73"/>
      <c r="Q3779" s="73"/>
      <c r="R3779" s="111"/>
      <c r="S3779" s="75"/>
      <c r="T3779" s="73"/>
      <c r="X3779" s="189"/>
      <c r="Y3779" s="189"/>
      <c r="Z3779" s="100"/>
      <c r="AC3779" s="84"/>
      <c r="AD3779" s="189"/>
      <c r="AE3779" s="189"/>
      <c r="AF3779" s="189"/>
      <c r="AG3779" s="189"/>
      <c r="AH3779" s="189"/>
      <c r="AP3779" s="238"/>
    </row>
    <row r="3780" spans="3:42" s="45" customFormat="1" x14ac:dyDescent="0.2">
      <c r="C3780" s="189"/>
      <c r="F3780" s="73"/>
      <c r="M3780" s="111"/>
      <c r="N3780" s="73"/>
      <c r="O3780" s="73"/>
      <c r="P3780" s="73"/>
      <c r="Q3780" s="73"/>
      <c r="R3780" s="111"/>
      <c r="S3780" s="75"/>
      <c r="T3780" s="73"/>
      <c r="X3780" s="189"/>
      <c r="Y3780" s="189"/>
      <c r="Z3780" s="100"/>
      <c r="AC3780" s="84"/>
      <c r="AD3780" s="189"/>
      <c r="AE3780" s="189"/>
      <c r="AF3780" s="189"/>
      <c r="AG3780" s="189"/>
      <c r="AH3780" s="189"/>
      <c r="AP3780" s="238"/>
    </row>
    <row r="3781" spans="3:42" s="45" customFormat="1" x14ac:dyDescent="0.2">
      <c r="C3781" s="189"/>
      <c r="F3781" s="73"/>
      <c r="M3781" s="111"/>
      <c r="N3781" s="73"/>
      <c r="O3781" s="73"/>
      <c r="P3781" s="73"/>
      <c r="Q3781" s="73"/>
      <c r="R3781" s="111"/>
      <c r="S3781" s="75"/>
      <c r="T3781" s="73"/>
      <c r="X3781" s="189"/>
      <c r="Y3781" s="189"/>
      <c r="Z3781" s="100"/>
      <c r="AC3781" s="84"/>
      <c r="AD3781" s="189"/>
      <c r="AE3781" s="189"/>
      <c r="AF3781" s="189"/>
      <c r="AG3781" s="189"/>
      <c r="AH3781" s="189"/>
      <c r="AP3781" s="238"/>
    </row>
    <row r="3782" spans="3:42" s="45" customFormat="1" x14ac:dyDescent="0.2">
      <c r="C3782" s="189"/>
      <c r="F3782" s="73"/>
      <c r="M3782" s="111"/>
      <c r="N3782" s="73"/>
      <c r="O3782" s="73"/>
      <c r="P3782" s="73"/>
      <c r="Q3782" s="73"/>
      <c r="R3782" s="111"/>
      <c r="S3782" s="75"/>
      <c r="T3782" s="73"/>
      <c r="X3782" s="189"/>
      <c r="Y3782" s="189"/>
      <c r="Z3782" s="100"/>
      <c r="AC3782" s="84"/>
      <c r="AD3782" s="189"/>
      <c r="AE3782" s="189"/>
      <c r="AF3782" s="189"/>
      <c r="AG3782" s="189"/>
      <c r="AH3782" s="189"/>
      <c r="AP3782" s="238"/>
    </row>
    <row r="3783" spans="3:42" s="45" customFormat="1" x14ac:dyDescent="0.2">
      <c r="C3783" s="189"/>
      <c r="F3783" s="73"/>
      <c r="M3783" s="111"/>
      <c r="N3783" s="73"/>
      <c r="O3783" s="73"/>
      <c r="P3783" s="73"/>
      <c r="Q3783" s="73"/>
      <c r="R3783" s="111"/>
      <c r="S3783" s="75"/>
      <c r="T3783" s="73"/>
      <c r="X3783" s="189"/>
      <c r="Y3783" s="189"/>
      <c r="Z3783" s="100"/>
      <c r="AC3783" s="84"/>
      <c r="AD3783" s="189"/>
      <c r="AE3783" s="189"/>
      <c r="AF3783" s="189"/>
      <c r="AG3783" s="189"/>
      <c r="AH3783" s="189"/>
      <c r="AP3783" s="238"/>
    </row>
    <row r="3784" spans="3:42" s="45" customFormat="1" x14ac:dyDescent="0.2">
      <c r="C3784" s="189"/>
      <c r="F3784" s="73"/>
      <c r="M3784" s="111"/>
      <c r="N3784" s="73"/>
      <c r="O3784" s="73"/>
      <c r="P3784" s="73"/>
      <c r="Q3784" s="73"/>
      <c r="R3784" s="111"/>
      <c r="S3784" s="75"/>
      <c r="T3784" s="73"/>
      <c r="X3784" s="189"/>
      <c r="Y3784" s="189"/>
      <c r="Z3784" s="100"/>
      <c r="AC3784" s="84"/>
      <c r="AD3784" s="189"/>
      <c r="AE3784" s="189"/>
      <c r="AF3784" s="189"/>
      <c r="AG3784" s="189"/>
      <c r="AH3784" s="189"/>
      <c r="AP3784" s="238"/>
    </row>
    <row r="3785" spans="3:42" s="45" customFormat="1" x14ac:dyDescent="0.2">
      <c r="C3785" s="189"/>
      <c r="F3785" s="73"/>
      <c r="M3785" s="111"/>
      <c r="N3785" s="73"/>
      <c r="O3785" s="73"/>
      <c r="P3785" s="73"/>
      <c r="Q3785" s="73"/>
      <c r="R3785" s="111"/>
      <c r="S3785" s="75"/>
      <c r="T3785" s="73"/>
      <c r="X3785" s="189"/>
      <c r="Y3785" s="189"/>
      <c r="Z3785" s="100"/>
      <c r="AC3785" s="84"/>
      <c r="AD3785" s="189"/>
      <c r="AE3785" s="189"/>
      <c r="AF3785" s="189"/>
      <c r="AG3785" s="189"/>
      <c r="AH3785" s="189"/>
      <c r="AP3785" s="238"/>
    </row>
    <row r="3786" spans="3:42" s="45" customFormat="1" x14ac:dyDescent="0.2">
      <c r="C3786" s="189"/>
      <c r="F3786" s="73"/>
      <c r="M3786" s="111"/>
      <c r="N3786" s="73"/>
      <c r="O3786" s="73"/>
      <c r="P3786" s="73"/>
      <c r="Q3786" s="73"/>
      <c r="R3786" s="111"/>
      <c r="S3786" s="75"/>
      <c r="T3786" s="73"/>
      <c r="X3786" s="189"/>
      <c r="Y3786" s="189"/>
      <c r="Z3786" s="100"/>
      <c r="AC3786" s="84"/>
      <c r="AD3786" s="189"/>
      <c r="AE3786" s="189"/>
      <c r="AF3786" s="189"/>
      <c r="AG3786" s="189"/>
      <c r="AH3786" s="189"/>
      <c r="AP3786" s="238"/>
    </row>
    <row r="3787" spans="3:42" s="45" customFormat="1" x14ac:dyDescent="0.2">
      <c r="C3787" s="189"/>
      <c r="F3787" s="73"/>
      <c r="M3787" s="111"/>
      <c r="N3787" s="73"/>
      <c r="O3787" s="73"/>
      <c r="P3787" s="73"/>
      <c r="Q3787" s="73"/>
      <c r="R3787" s="111"/>
      <c r="S3787" s="75"/>
      <c r="T3787" s="73"/>
      <c r="X3787" s="189"/>
      <c r="Y3787" s="189"/>
      <c r="Z3787" s="100"/>
      <c r="AC3787" s="84"/>
      <c r="AD3787" s="189"/>
      <c r="AE3787" s="189"/>
      <c r="AF3787" s="189"/>
      <c r="AG3787" s="189"/>
      <c r="AH3787" s="189"/>
      <c r="AP3787" s="238"/>
    </row>
    <row r="3788" spans="3:42" s="45" customFormat="1" x14ac:dyDescent="0.2">
      <c r="C3788" s="189"/>
      <c r="F3788" s="73"/>
      <c r="M3788" s="111"/>
      <c r="N3788" s="73"/>
      <c r="O3788" s="73"/>
      <c r="P3788" s="73"/>
      <c r="Q3788" s="73"/>
      <c r="R3788" s="111"/>
      <c r="S3788" s="75"/>
      <c r="T3788" s="73"/>
      <c r="X3788" s="189"/>
      <c r="Y3788" s="189"/>
      <c r="Z3788" s="100"/>
      <c r="AC3788" s="84"/>
      <c r="AD3788" s="189"/>
      <c r="AE3788" s="189"/>
      <c r="AF3788" s="189"/>
      <c r="AG3788" s="189"/>
      <c r="AH3788" s="189"/>
      <c r="AP3788" s="238"/>
    </row>
    <row r="3789" spans="3:42" s="45" customFormat="1" x14ac:dyDescent="0.2">
      <c r="C3789" s="189"/>
      <c r="F3789" s="73"/>
      <c r="M3789" s="111"/>
      <c r="N3789" s="73"/>
      <c r="O3789" s="73"/>
      <c r="P3789" s="73"/>
      <c r="Q3789" s="73"/>
      <c r="R3789" s="111"/>
      <c r="S3789" s="75"/>
      <c r="T3789" s="73"/>
      <c r="X3789" s="189"/>
      <c r="Y3789" s="189"/>
      <c r="Z3789" s="100"/>
      <c r="AC3789" s="84"/>
      <c r="AD3789" s="189"/>
      <c r="AE3789" s="189"/>
      <c r="AF3789" s="189"/>
      <c r="AG3789" s="189"/>
      <c r="AH3789" s="189"/>
      <c r="AP3789" s="238"/>
    </row>
    <row r="3790" spans="3:42" s="45" customFormat="1" x14ac:dyDescent="0.2">
      <c r="C3790" s="189"/>
      <c r="F3790" s="73"/>
      <c r="M3790" s="111"/>
      <c r="N3790" s="73"/>
      <c r="O3790" s="73"/>
      <c r="P3790" s="73"/>
      <c r="Q3790" s="73"/>
      <c r="R3790" s="111"/>
      <c r="S3790" s="75"/>
      <c r="T3790" s="73"/>
      <c r="X3790" s="189"/>
      <c r="Y3790" s="189"/>
      <c r="Z3790" s="100"/>
      <c r="AC3790" s="84"/>
      <c r="AD3790" s="189"/>
      <c r="AE3790" s="189"/>
      <c r="AF3790" s="189"/>
      <c r="AG3790" s="189"/>
      <c r="AH3790" s="189"/>
      <c r="AP3790" s="238"/>
    </row>
    <row r="3791" spans="3:42" s="45" customFormat="1" x14ac:dyDescent="0.2">
      <c r="C3791" s="189"/>
      <c r="F3791" s="73"/>
      <c r="M3791" s="111"/>
      <c r="N3791" s="73"/>
      <c r="O3791" s="73"/>
      <c r="P3791" s="73"/>
      <c r="Q3791" s="73"/>
      <c r="R3791" s="111"/>
      <c r="S3791" s="75"/>
      <c r="T3791" s="73"/>
      <c r="X3791" s="189"/>
      <c r="Y3791" s="189"/>
      <c r="Z3791" s="100"/>
      <c r="AC3791" s="84"/>
      <c r="AD3791" s="189"/>
      <c r="AE3791" s="189"/>
      <c r="AF3791" s="189"/>
      <c r="AG3791" s="189"/>
      <c r="AH3791" s="189"/>
      <c r="AP3791" s="238"/>
    </row>
    <row r="3792" spans="3:42" s="45" customFormat="1" x14ac:dyDescent="0.2">
      <c r="C3792" s="189"/>
      <c r="F3792" s="73"/>
      <c r="M3792" s="111"/>
      <c r="N3792" s="73"/>
      <c r="O3792" s="73"/>
      <c r="P3792" s="73"/>
      <c r="Q3792" s="73"/>
      <c r="R3792" s="111"/>
      <c r="S3792" s="75"/>
      <c r="T3792" s="73"/>
      <c r="X3792" s="189"/>
      <c r="Y3792" s="189"/>
      <c r="Z3792" s="100"/>
      <c r="AC3792" s="84"/>
      <c r="AD3792" s="189"/>
      <c r="AE3792" s="189"/>
      <c r="AF3792" s="189"/>
      <c r="AG3792" s="189"/>
      <c r="AH3792" s="189"/>
      <c r="AP3792" s="238"/>
    </row>
    <row r="3793" spans="3:42" s="45" customFormat="1" x14ac:dyDescent="0.2">
      <c r="C3793" s="189"/>
      <c r="F3793" s="73"/>
      <c r="M3793" s="111"/>
      <c r="N3793" s="73"/>
      <c r="O3793" s="73"/>
      <c r="P3793" s="73"/>
      <c r="Q3793" s="73"/>
      <c r="R3793" s="111"/>
      <c r="S3793" s="75"/>
      <c r="T3793" s="73"/>
      <c r="X3793" s="189"/>
      <c r="Y3793" s="189"/>
      <c r="Z3793" s="100"/>
      <c r="AC3793" s="84"/>
      <c r="AD3793" s="189"/>
      <c r="AE3793" s="189"/>
      <c r="AF3793" s="189"/>
      <c r="AG3793" s="189"/>
      <c r="AH3793" s="189"/>
      <c r="AP3793" s="238"/>
    </row>
    <row r="3794" spans="3:42" s="45" customFormat="1" x14ac:dyDescent="0.2">
      <c r="C3794" s="189"/>
      <c r="F3794" s="73"/>
      <c r="M3794" s="111"/>
      <c r="N3794" s="73"/>
      <c r="O3794" s="73"/>
      <c r="P3794" s="73"/>
      <c r="Q3794" s="73"/>
      <c r="R3794" s="111"/>
      <c r="S3794" s="75"/>
      <c r="T3794" s="73"/>
      <c r="X3794" s="189"/>
      <c r="Y3794" s="189"/>
      <c r="Z3794" s="100"/>
      <c r="AC3794" s="84"/>
      <c r="AD3794" s="189"/>
      <c r="AE3794" s="189"/>
      <c r="AF3794" s="189"/>
      <c r="AG3794" s="189"/>
      <c r="AH3794" s="189"/>
      <c r="AP3794" s="238"/>
    </row>
    <row r="3795" spans="3:42" s="45" customFormat="1" x14ac:dyDescent="0.2">
      <c r="C3795" s="189"/>
      <c r="F3795" s="73"/>
      <c r="M3795" s="111"/>
      <c r="N3795" s="73"/>
      <c r="O3795" s="73"/>
      <c r="P3795" s="73"/>
      <c r="Q3795" s="73"/>
      <c r="R3795" s="111"/>
      <c r="S3795" s="75"/>
      <c r="T3795" s="73"/>
      <c r="X3795" s="189"/>
      <c r="Y3795" s="189"/>
      <c r="Z3795" s="100"/>
      <c r="AC3795" s="84"/>
      <c r="AD3795" s="189"/>
      <c r="AE3795" s="189"/>
      <c r="AF3795" s="189"/>
      <c r="AG3795" s="189"/>
      <c r="AH3795" s="189"/>
      <c r="AP3795" s="238"/>
    </row>
    <row r="3796" spans="3:42" s="45" customFormat="1" x14ac:dyDescent="0.2">
      <c r="C3796" s="189"/>
      <c r="F3796" s="73"/>
      <c r="M3796" s="111"/>
      <c r="N3796" s="73"/>
      <c r="O3796" s="73"/>
      <c r="P3796" s="73"/>
      <c r="Q3796" s="73"/>
      <c r="R3796" s="111"/>
      <c r="S3796" s="75"/>
      <c r="T3796" s="73"/>
      <c r="X3796" s="189"/>
      <c r="Y3796" s="189"/>
      <c r="Z3796" s="100"/>
      <c r="AC3796" s="84"/>
      <c r="AD3796" s="189"/>
      <c r="AE3796" s="189"/>
      <c r="AF3796" s="189"/>
      <c r="AG3796" s="189"/>
      <c r="AH3796" s="189"/>
      <c r="AP3796" s="238"/>
    </row>
    <row r="3797" spans="3:42" s="45" customFormat="1" x14ac:dyDescent="0.2">
      <c r="C3797" s="189"/>
      <c r="F3797" s="73"/>
      <c r="M3797" s="111"/>
      <c r="N3797" s="73"/>
      <c r="O3797" s="73"/>
      <c r="P3797" s="73"/>
      <c r="Q3797" s="73"/>
      <c r="R3797" s="111"/>
      <c r="S3797" s="75"/>
      <c r="T3797" s="73"/>
      <c r="X3797" s="189"/>
      <c r="Y3797" s="189"/>
      <c r="Z3797" s="100"/>
      <c r="AC3797" s="84"/>
      <c r="AD3797" s="189"/>
      <c r="AE3797" s="189"/>
      <c r="AF3797" s="189"/>
      <c r="AG3797" s="189"/>
      <c r="AH3797" s="189"/>
      <c r="AP3797" s="238"/>
    </row>
    <row r="3798" spans="3:42" s="45" customFormat="1" x14ac:dyDescent="0.2">
      <c r="C3798" s="189"/>
      <c r="F3798" s="73"/>
      <c r="M3798" s="111"/>
      <c r="N3798" s="73"/>
      <c r="O3798" s="73"/>
      <c r="P3798" s="73"/>
      <c r="Q3798" s="73"/>
      <c r="R3798" s="111"/>
      <c r="S3798" s="75"/>
      <c r="T3798" s="73"/>
      <c r="X3798" s="189"/>
      <c r="Y3798" s="189"/>
      <c r="Z3798" s="100"/>
      <c r="AC3798" s="84"/>
      <c r="AD3798" s="189"/>
      <c r="AE3798" s="189"/>
      <c r="AF3798" s="189"/>
      <c r="AG3798" s="189"/>
      <c r="AH3798" s="189"/>
      <c r="AP3798" s="238"/>
    </row>
    <row r="3799" spans="3:42" s="45" customFormat="1" x14ac:dyDescent="0.2">
      <c r="C3799" s="189"/>
      <c r="F3799" s="73"/>
      <c r="M3799" s="111"/>
      <c r="N3799" s="73"/>
      <c r="O3799" s="73"/>
      <c r="P3799" s="73"/>
      <c r="Q3799" s="73"/>
      <c r="R3799" s="111"/>
      <c r="S3799" s="75"/>
      <c r="T3799" s="73"/>
      <c r="X3799" s="189"/>
      <c r="Y3799" s="189"/>
      <c r="Z3799" s="100"/>
      <c r="AC3799" s="84"/>
      <c r="AD3799" s="189"/>
      <c r="AE3799" s="189"/>
      <c r="AF3799" s="189"/>
      <c r="AG3799" s="189"/>
      <c r="AH3799" s="189"/>
      <c r="AP3799" s="238"/>
    </row>
    <row r="3800" spans="3:42" s="45" customFormat="1" x14ac:dyDescent="0.2">
      <c r="C3800" s="189"/>
      <c r="F3800" s="73"/>
      <c r="M3800" s="111"/>
      <c r="N3800" s="73"/>
      <c r="O3800" s="73"/>
      <c r="P3800" s="73"/>
      <c r="Q3800" s="73"/>
      <c r="R3800" s="111"/>
      <c r="S3800" s="75"/>
      <c r="T3800" s="73"/>
      <c r="X3800" s="189"/>
      <c r="Y3800" s="189"/>
      <c r="Z3800" s="100"/>
      <c r="AC3800" s="84"/>
      <c r="AD3800" s="189"/>
      <c r="AE3800" s="189"/>
      <c r="AF3800" s="189"/>
      <c r="AG3800" s="189"/>
      <c r="AH3800" s="189"/>
      <c r="AP3800" s="238"/>
    </row>
    <row r="3801" spans="3:42" s="45" customFormat="1" x14ac:dyDescent="0.2">
      <c r="C3801" s="189"/>
      <c r="F3801" s="73"/>
      <c r="M3801" s="111"/>
      <c r="N3801" s="73"/>
      <c r="O3801" s="73"/>
      <c r="P3801" s="73"/>
      <c r="Q3801" s="73"/>
      <c r="R3801" s="111"/>
      <c r="S3801" s="75"/>
      <c r="T3801" s="73"/>
      <c r="X3801" s="189"/>
      <c r="Y3801" s="189"/>
      <c r="Z3801" s="100"/>
      <c r="AC3801" s="84"/>
      <c r="AD3801" s="189"/>
      <c r="AE3801" s="189"/>
      <c r="AF3801" s="189"/>
      <c r="AG3801" s="189"/>
      <c r="AH3801" s="189"/>
      <c r="AP3801" s="238"/>
    </row>
    <row r="3802" spans="3:42" s="45" customFormat="1" x14ac:dyDescent="0.2">
      <c r="C3802" s="189"/>
      <c r="F3802" s="73"/>
      <c r="M3802" s="111"/>
      <c r="N3802" s="73"/>
      <c r="O3802" s="73"/>
      <c r="P3802" s="73"/>
      <c r="Q3802" s="73"/>
      <c r="R3802" s="111"/>
      <c r="S3802" s="75"/>
      <c r="T3802" s="73"/>
      <c r="X3802" s="189"/>
      <c r="Y3802" s="189"/>
      <c r="Z3802" s="100"/>
      <c r="AC3802" s="84"/>
      <c r="AD3802" s="189"/>
      <c r="AE3802" s="189"/>
      <c r="AF3802" s="189"/>
      <c r="AG3802" s="189"/>
      <c r="AH3802" s="189"/>
      <c r="AP3802" s="238"/>
    </row>
    <row r="3803" spans="3:42" s="45" customFormat="1" x14ac:dyDescent="0.2">
      <c r="C3803" s="189"/>
      <c r="F3803" s="73"/>
      <c r="M3803" s="111"/>
      <c r="N3803" s="73"/>
      <c r="O3803" s="73"/>
      <c r="P3803" s="73"/>
      <c r="Q3803" s="73"/>
      <c r="R3803" s="111"/>
      <c r="S3803" s="75"/>
      <c r="T3803" s="73"/>
      <c r="X3803" s="189"/>
      <c r="Y3803" s="189"/>
      <c r="Z3803" s="100"/>
      <c r="AC3803" s="84"/>
      <c r="AD3803" s="189"/>
      <c r="AE3803" s="189"/>
      <c r="AF3803" s="189"/>
      <c r="AG3803" s="189"/>
      <c r="AH3803" s="189"/>
      <c r="AP3803" s="238"/>
    </row>
    <row r="3804" spans="3:42" s="45" customFormat="1" x14ac:dyDescent="0.2">
      <c r="C3804" s="189"/>
      <c r="F3804" s="73"/>
      <c r="M3804" s="111"/>
      <c r="N3804" s="73"/>
      <c r="O3804" s="73"/>
      <c r="P3804" s="73"/>
      <c r="Q3804" s="73"/>
      <c r="R3804" s="111"/>
      <c r="S3804" s="75"/>
      <c r="T3804" s="73"/>
      <c r="X3804" s="189"/>
      <c r="Y3804" s="189"/>
      <c r="Z3804" s="100"/>
      <c r="AC3804" s="84"/>
      <c r="AD3804" s="189"/>
      <c r="AE3804" s="189"/>
      <c r="AF3804" s="189"/>
      <c r="AG3804" s="189"/>
      <c r="AH3804" s="189"/>
      <c r="AP3804" s="238"/>
    </row>
    <row r="3805" spans="3:42" s="45" customFormat="1" x14ac:dyDescent="0.2">
      <c r="C3805" s="189"/>
      <c r="F3805" s="73"/>
      <c r="M3805" s="111"/>
      <c r="N3805" s="73"/>
      <c r="O3805" s="73"/>
      <c r="P3805" s="73"/>
      <c r="Q3805" s="73"/>
      <c r="R3805" s="111"/>
      <c r="S3805" s="75"/>
      <c r="T3805" s="73"/>
      <c r="X3805" s="189"/>
      <c r="Y3805" s="189"/>
      <c r="Z3805" s="100"/>
      <c r="AC3805" s="84"/>
      <c r="AD3805" s="189"/>
      <c r="AE3805" s="189"/>
      <c r="AF3805" s="189"/>
      <c r="AG3805" s="189"/>
      <c r="AH3805" s="189"/>
      <c r="AP3805" s="238"/>
    </row>
    <row r="3806" spans="3:42" s="45" customFormat="1" x14ac:dyDescent="0.2">
      <c r="C3806" s="189"/>
      <c r="F3806" s="73"/>
      <c r="M3806" s="111"/>
      <c r="N3806" s="73"/>
      <c r="O3806" s="73"/>
      <c r="P3806" s="73"/>
      <c r="Q3806" s="73"/>
      <c r="R3806" s="111"/>
      <c r="S3806" s="75"/>
      <c r="T3806" s="73"/>
      <c r="X3806" s="189"/>
      <c r="Y3806" s="189"/>
      <c r="Z3806" s="100"/>
      <c r="AC3806" s="84"/>
      <c r="AD3806" s="189"/>
      <c r="AE3806" s="189"/>
      <c r="AF3806" s="189"/>
      <c r="AG3806" s="189"/>
      <c r="AH3806" s="189"/>
      <c r="AP3806" s="238"/>
    </row>
    <row r="3807" spans="3:42" s="45" customFormat="1" x14ac:dyDescent="0.2">
      <c r="C3807" s="189"/>
      <c r="F3807" s="73"/>
      <c r="M3807" s="111"/>
      <c r="N3807" s="73"/>
      <c r="O3807" s="73"/>
      <c r="P3807" s="73"/>
      <c r="Q3807" s="73"/>
      <c r="R3807" s="111"/>
      <c r="S3807" s="75"/>
      <c r="T3807" s="73"/>
      <c r="X3807" s="189"/>
      <c r="Y3807" s="189"/>
      <c r="Z3807" s="100"/>
      <c r="AC3807" s="84"/>
      <c r="AD3807" s="189"/>
      <c r="AE3807" s="189"/>
      <c r="AF3807" s="189"/>
      <c r="AG3807" s="189"/>
      <c r="AH3807" s="189"/>
      <c r="AP3807" s="238"/>
    </row>
    <row r="3808" spans="3:42" s="45" customFormat="1" x14ac:dyDescent="0.2">
      <c r="C3808" s="189"/>
      <c r="F3808" s="73"/>
      <c r="M3808" s="111"/>
      <c r="N3808" s="73"/>
      <c r="O3808" s="73"/>
      <c r="P3808" s="73"/>
      <c r="Q3808" s="73"/>
      <c r="R3808" s="111"/>
      <c r="S3808" s="75"/>
      <c r="T3808" s="73"/>
      <c r="X3808" s="189"/>
      <c r="Y3808" s="189"/>
      <c r="Z3808" s="100"/>
      <c r="AC3808" s="84"/>
      <c r="AD3808" s="189"/>
      <c r="AE3808" s="189"/>
      <c r="AF3808" s="189"/>
      <c r="AG3808" s="189"/>
      <c r="AH3808" s="189"/>
      <c r="AP3808" s="238"/>
    </row>
    <row r="3809" spans="3:42" s="45" customFormat="1" x14ac:dyDescent="0.2">
      <c r="C3809" s="189"/>
      <c r="F3809" s="73"/>
      <c r="M3809" s="111"/>
      <c r="N3809" s="73"/>
      <c r="O3809" s="73"/>
      <c r="P3809" s="73"/>
      <c r="Q3809" s="73"/>
      <c r="R3809" s="111"/>
      <c r="S3809" s="75"/>
      <c r="T3809" s="73"/>
      <c r="X3809" s="189"/>
      <c r="Y3809" s="189"/>
      <c r="Z3809" s="100"/>
      <c r="AC3809" s="84"/>
      <c r="AD3809" s="189"/>
      <c r="AE3809" s="189"/>
      <c r="AF3809" s="189"/>
      <c r="AG3809" s="189"/>
      <c r="AH3809" s="189"/>
      <c r="AP3809" s="238"/>
    </row>
    <row r="3810" spans="3:42" s="45" customFormat="1" x14ac:dyDescent="0.2">
      <c r="C3810" s="189"/>
      <c r="F3810" s="73"/>
      <c r="M3810" s="111"/>
      <c r="N3810" s="73"/>
      <c r="O3810" s="73"/>
      <c r="P3810" s="73"/>
      <c r="Q3810" s="73"/>
      <c r="R3810" s="111"/>
      <c r="S3810" s="75"/>
      <c r="T3810" s="73"/>
      <c r="X3810" s="189"/>
      <c r="Y3810" s="189"/>
      <c r="Z3810" s="100"/>
      <c r="AC3810" s="84"/>
      <c r="AD3810" s="189"/>
      <c r="AE3810" s="189"/>
      <c r="AF3810" s="189"/>
      <c r="AG3810" s="189"/>
      <c r="AH3810" s="189"/>
      <c r="AP3810" s="238"/>
    </row>
    <row r="3811" spans="3:42" s="45" customFormat="1" x14ac:dyDescent="0.2">
      <c r="C3811" s="189"/>
      <c r="F3811" s="73"/>
      <c r="M3811" s="111"/>
      <c r="N3811" s="73"/>
      <c r="O3811" s="73"/>
      <c r="P3811" s="73"/>
      <c r="Q3811" s="73"/>
      <c r="R3811" s="111"/>
      <c r="S3811" s="75"/>
      <c r="T3811" s="73"/>
      <c r="X3811" s="189"/>
      <c r="Y3811" s="189"/>
      <c r="Z3811" s="100"/>
      <c r="AC3811" s="84"/>
      <c r="AD3811" s="189"/>
      <c r="AE3811" s="189"/>
      <c r="AF3811" s="189"/>
      <c r="AG3811" s="189"/>
      <c r="AH3811" s="189"/>
      <c r="AP3811" s="238"/>
    </row>
    <row r="3812" spans="3:42" s="45" customFormat="1" x14ac:dyDescent="0.2">
      <c r="C3812" s="189"/>
      <c r="F3812" s="73"/>
      <c r="M3812" s="111"/>
      <c r="N3812" s="73"/>
      <c r="O3812" s="73"/>
      <c r="P3812" s="73"/>
      <c r="Q3812" s="73"/>
      <c r="R3812" s="111"/>
      <c r="S3812" s="75"/>
      <c r="T3812" s="73"/>
      <c r="X3812" s="189"/>
      <c r="Y3812" s="189"/>
      <c r="Z3812" s="100"/>
      <c r="AC3812" s="84"/>
      <c r="AD3812" s="189"/>
      <c r="AE3812" s="189"/>
      <c r="AF3812" s="189"/>
      <c r="AG3812" s="189"/>
      <c r="AH3812" s="189"/>
      <c r="AP3812" s="238"/>
    </row>
    <row r="3813" spans="3:42" s="45" customFormat="1" x14ac:dyDescent="0.2">
      <c r="C3813" s="189"/>
      <c r="F3813" s="73"/>
      <c r="M3813" s="111"/>
      <c r="N3813" s="73"/>
      <c r="O3813" s="73"/>
      <c r="P3813" s="73"/>
      <c r="Q3813" s="73"/>
      <c r="R3813" s="111"/>
      <c r="S3813" s="75"/>
      <c r="T3813" s="73"/>
      <c r="X3813" s="189"/>
      <c r="Y3813" s="189"/>
      <c r="Z3813" s="100"/>
      <c r="AC3813" s="84"/>
      <c r="AD3813" s="189"/>
      <c r="AE3813" s="189"/>
      <c r="AF3813" s="189"/>
      <c r="AG3813" s="189"/>
      <c r="AH3813" s="189"/>
      <c r="AP3813" s="238"/>
    </row>
    <row r="3814" spans="3:42" s="45" customFormat="1" x14ac:dyDescent="0.2">
      <c r="C3814" s="189"/>
      <c r="F3814" s="73"/>
      <c r="M3814" s="111"/>
      <c r="N3814" s="73"/>
      <c r="O3814" s="73"/>
      <c r="P3814" s="73"/>
      <c r="Q3814" s="73"/>
      <c r="R3814" s="111"/>
      <c r="S3814" s="75"/>
      <c r="T3814" s="73"/>
      <c r="X3814" s="189"/>
      <c r="Y3814" s="189"/>
      <c r="Z3814" s="100"/>
      <c r="AC3814" s="84"/>
      <c r="AD3814" s="189"/>
      <c r="AE3814" s="189"/>
      <c r="AF3814" s="189"/>
      <c r="AG3814" s="189"/>
      <c r="AH3814" s="189"/>
      <c r="AP3814" s="238"/>
    </row>
    <row r="3815" spans="3:42" s="45" customFormat="1" x14ac:dyDescent="0.2">
      <c r="C3815" s="189"/>
      <c r="F3815" s="73"/>
      <c r="M3815" s="111"/>
      <c r="N3815" s="73"/>
      <c r="O3815" s="73"/>
      <c r="P3815" s="73"/>
      <c r="Q3815" s="73"/>
      <c r="R3815" s="111"/>
      <c r="S3815" s="75"/>
      <c r="T3815" s="73"/>
      <c r="X3815" s="189"/>
      <c r="Y3815" s="189"/>
      <c r="Z3815" s="100"/>
      <c r="AC3815" s="84"/>
      <c r="AD3815" s="189"/>
      <c r="AE3815" s="189"/>
      <c r="AF3815" s="189"/>
      <c r="AG3815" s="189"/>
      <c r="AH3815" s="189"/>
      <c r="AP3815" s="238"/>
    </row>
    <row r="3816" spans="3:42" s="45" customFormat="1" x14ac:dyDescent="0.2">
      <c r="C3816" s="189"/>
      <c r="F3816" s="73"/>
      <c r="M3816" s="111"/>
      <c r="N3816" s="73"/>
      <c r="O3816" s="73"/>
      <c r="P3816" s="73"/>
      <c r="Q3816" s="73"/>
      <c r="R3816" s="111"/>
      <c r="S3816" s="75"/>
      <c r="T3816" s="73"/>
      <c r="X3816" s="189"/>
      <c r="Y3816" s="189"/>
      <c r="Z3816" s="100"/>
      <c r="AC3816" s="84"/>
      <c r="AD3816" s="189"/>
      <c r="AE3816" s="189"/>
      <c r="AF3816" s="189"/>
      <c r="AG3816" s="189"/>
      <c r="AH3816" s="189"/>
      <c r="AP3816" s="238"/>
    </row>
    <row r="3817" spans="3:42" s="45" customFormat="1" x14ac:dyDescent="0.2">
      <c r="C3817" s="189"/>
      <c r="F3817" s="73"/>
      <c r="M3817" s="111"/>
      <c r="N3817" s="73"/>
      <c r="O3817" s="73"/>
      <c r="P3817" s="73"/>
      <c r="Q3817" s="73"/>
      <c r="R3817" s="111"/>
      <c r="S3817" s="75"/>
      <c r="T3817" s="73"/>
      <c r="X3817" s="189"/>
      <c r="Y3817" s="189"/>
      <c r="Z3817" s="100"/>
      <c r="AC3817" s="84"/>
      <c r="AD3817" s="189"/>
      <c r="AE3817" s="189"/>
      <c r="AF3817" s="189"/>
      <c r="AG3817" s="189"/>
      <c r="AH3817" s="189"/>
      <c r="AP3817" s="238"/>
    </row>
    <row r="3818" spans="3:42" s="45" customFormat="1" x14ac:dyDescent="0.2">
      <c r="C3818" s="189"/>
      <c r="F3818" s="73"/>
      <c r="M3818" s="111"/>
      <c r="N3818" s="73"/>
      <c r="O3818" s="73"/>
      <c r="P3818" s="73"/>
      <c r="Q3818" s="73"/>
      <c r="R3818" s="111"/>
      <c r="S3818" s="75"/>
      <c r="T3818" s="73"/>
      <c r="X3818" s="189"/>
      <c r="Y3818" s="189"/>
      <c r="Z3818" s="100"/>
      <c r="AC3818" s="84"/>
      <c r="AD3818" s="189"/>
      <c r="AE3818" s="189"/>
      <c r="AF3818" s="189"/>
      <c r="AG3818" s="189"/>
      <c r="AH3818" s="189"/>
      <c r="AP3818" s="238"/>
    </row>
    <row r="3819" spans="3:42" s="45" customFormat="1" x14ac:dyDescent="0.2">
      <c r="C3819" s="189"/>
      <c r="F3819" s="73"/>
      <c r="M3819" s="111"/>
      <c r="N3819" s="73"/>
      <c r="O3819" s="73"/>
      <c r="P3819" s="73"/>
      <c r="Q3819" s="73"/>
      <c r="R3819" s="111"/>
      <c r="S3819" s="75"/>
      <c r="T3819" s="73"/>
      <c r="X3819" s="189"/>
      <c r="Y3819" s="189"/>
      <c r="Z3819" s="100"/>
      <c r="AC3819" s="84"/>
      <c r="AD3819" s="189"/>
      <c r="AE3819" s="189"/>
      <c r="AF3819" s="189"/>
      <c r="AG3819" s="189"/>
      <c r="AH3819" s="189"/>
      <c r="AP3819" s="238"/>
    </row>
    <row r="3820" spans="3:42" s="45" customFormat="1" x14ac:dyDescent="0.2">
      <c r="C3820" s="189"/>
      <c r="F3820" s="73"/>
      <c r="M3820" s="111"/>
      <c r="N3820" s="73"/>
      <c r="O3820" s="73"/>
      <c r="P3820" s="73"/>
      <c r="Q3820" s="73"/>
      <c r="R3820" s="111"/>
      <c r="S3820" s="75"/>
      <c r="T3820" s="73"/>
      <c r="X3820" s="189"/>
      <c r="Y3820" s="189"/>
      <c r="Z3820" s="100"/>
      <c r="AC3820" s="84"/>
      <c r="AD3820" s="189"/>
      <c r="AE3820" s="189"/>
      <c r="AF3820" s="189"/>
      <c r="AG3820" s="189"/>
      <c r="AH3820" s="189"/>
      <c r="AP3820" s="238"/>
    </row>
    <row r="3821" spans="3:42" s="45" customFormat="1" x14ac:dyDescent="0.2">
      <c r="C3821" s="189"/>
      <c r="F3821" s="73"/>
      <c r="M3821" s="111"/>
      <c r="N3821" s="73"/>
      <c r="O3821" s="73"/>
      <c r="P3821" s="73"/>
      <c r="Q3821" s="73"/>
      <c r="R3821" s="111"/>
      <c r="S3821" s="75"/>
      <c r="T3821" s="73"/>
      <c r="X3821" s="189"/>
      <c r="Y3821" s="189"/>
      <c r="Z3821" s="100"/>
      <c r="AC3821" s="84"/>
      <c r="AD3821" s="189"/>
      <c r="AE3821" s="189"/>
      <c r="AF3821" s="189"/>
      <c r="AG3821" s="189"/>
      <c r="AH3821" s="189"/>
      <c r="AP3821" s="238"/>
    </row>
    <row r="3822" spans="3:42" s="45" customFormat="1" x14ac:dyDescent="0.2">
      <c r="C3822" s="189"/>
      <c r="F3822" s="73"/>
      <c r="M3822" s="111"/>
      <c r="N3822" s="73"/>
      <c r="O3822" s="73"/>
      <c r="P3822" s="73"/>
      <c r="Q3822" s="73"/>
      <c r="R3822" s="111"/>
      <c r="S3822" s="75"/>
      <c r="T3822" s="73"/>
      <c r="X3822" s="189"/>
      <c r="Y3822" s="189"/>
      <c r="Z3822" s="100"/>
      <c r="AC3822" s="84"/>
      <c r="AD3822" s="189"/>
      <c r="AE3822" s="189"/>
      <c r="AF3822" s="189"/>
      <c r="AG3822" s="189"/>
      <c r="AH3822" s="189"/>
      <c r="AP3822" s="238"/>
    </row>
    <row r="3823" spans="3:42" s="45" customFormat="1" x14ac:dyDescent="0.2">
      <c r="C3823" s="189"/>
      <c r="F3823" s="73"/>
      <c r="M3823" s="111"/>
      <c r="N3823" s="73"/>
      <c r="O3823" s="73"/>
      <c r="P3823" s="73"/>
      <c r="Q3823" s="73"/>
      <c r="R3823" s="111"/>
      <c r="S3823" s="75"/>
      <c r="T3823" s="73"/>
      <c r="X3823" s="189"/>
      <c r="Y3823" s="189"/>
      <c r="Z3823" s="100"/>
      <c r="AC3823" s="84"/>
      <c r="AD3823" s="189"/>
      <c r="AE3823" s="189"/>
      <c r="AF3823" s="189"/>
      <c r="AG3823" s="189"/>
      <c r="AH3823" s="189"/>
      <c r="AP3823" s="238"/>
    </row>
    <row r="3824" spans="3:42" s="45" customFormat="1" x14ac:dyDescent="0.2">
      <c r="C3824" s="189"/>
      <c r="F3824" s="73"/>
      <c r="M3824" s="111"/>
      <c r="N3824" s="73"/>
      <c r="O3824" s="73"/>
      <c r="P3824" s="73"/>
      <c r="Q3824" s="73"/>
      <c r="R3824" s="111"/>
      <c r="S3824" s="75"/>
      <c r="T3824" s="73"/>
      <c r="X3824" s="189"/>
      <c r="Y3824" s="189"/>
      <c r="Z3824" s="100"/>
      <c r="AC3824" s="84"/>
      <c r="AD3824" s="189"/>
      <c r="AE3824" s="189"/>
      <c r="AF3824" s="189"/>
      <c r="AG3824" s="189"/>
      <c r="AH3824" s="189"/>
      <c r="AP3824" s="238"/>
    </row>
    <row r="3825" spans="3:42" s="45" customFormat="1" x14ac:dyDescent="0.2">
      <c r="C3825" s="189"/>
      <c r="F3825" s="73"/>
      <c r="M3825" s="111"/>
      <c r="N3825" s="73"/>
      <c r="O3825" s="73"/>
      <c r="P3825" s="73"/>
      <c r="Q3825" s="73"/>
      <c r="R3825" s="111"/>
      <c r="S3825" s="75"/>
      <c r="T3825" s="73"/>
      <c r="X3825" s="189"/>
      <c r="Y3825" s="189"/>
      <c r="Z3825" s="100"/>
      <c r="AC3825" s="84"/>
      <c r="AD3825" s="189"/>
      <c r="AE3825" s="189"/>
      <c r="AF3825" s="189"/>
      <c r="AG3825" s="189"/>
      <c r="AH3825" s="189"/>
      <c r="AP3825" s="238"/>
    </row>
    <row r="3826" spans="3:42" s="45" customFormat="1" x14ac:dyDescent="0.2">
      <c r="C3826" s="189"/>
      <c r="F3826" s="73"/>
      <c r="M3826" s="111"/>
      <c r="N3826" s="73"/>
      <c r="O3826" s="73"/>
      <c r="P3826" s="73"/>
      <c r="Q3826" s="73"/>
      <c r="R3826" s="111"/>
      <c r="S3826" s="75"/>
      <c r="T3826" s="73"/>
      <c r="X3826" s="189"/>
      <c r="Y3826" s="189"/>
      <c r="Z3826" s="100"/>
      <c r="AC3826" s="84"/>
      <c r="AD3826" s="189"/>
      <c r="AE3826" s="189"/>
      <c r="AF3826" s="189"/>
      <c r="AG3826" s="189"/>
      <c r="AH3826" s="189"/>
      <c r="AP3826" s="238"/>
    </row>
    <row r="3827" spans="3:42" s="45" customFormat="1" x14ac:dyDescent="0.2">
      <c r="C3827" s="189"/>
      <c r="F3827" s="73"/>
      <c r="M3827" s="111"/>
      <c r="N3827" s="73"/>
      <c r="O3827" s="73"/>
      <c r="P3827" s="73"/>
      <c r="Q3827" s="73"/>
      <c r="R3827" s="111"/>
      <c r="S3827" s="75"/>
      <c r="T3827" s="73"/>
      <c r="X3827" s="189"/>
      <c r="Y3827" s="189"/>
      <c r="Z3827" s="100"/>
      <c r="AC3827" s="84"/>
      <c r="AD3827" s="189"/>
      <c r="AE3827" s="189"/>
      <c r="AF3827" s="189"/>
      <c r="AG3827" s="189"/>
      <c r="AH3827" s="189"/>
      <c r="AP3827" s="238"/>
    </row>
    <row r="3828" spans="3:42" s="45" customFormat="1" x14ac:dyDescent="0.2">
      <c r="C3828" s="189"/>
      <c r="F3828" s="73"/>
      <c r="M3828" s="111"/>
      <c r="N3828" s="73"/>
      <c r="O3828" s="73"/>
      <c r="P3828" s="73"/>
      <c r="Q3828" s="73"/>
      <c r="R3828" s="111"/>
      <c r="S3828" s="75"/>
      <c r="T3828" s="73"/>
      <c r="X3828" s="189"/>
      <c r="Y3828" s="189"/>
      <c r="Z3828" s="100"/>
      <c r="AC3828" s="84"/>
      <c r="AD3828" s="189"/>
      <c r="AE3828" s="189"/>
      <c r="AF3828" s="189"/>
      <c r="AG3828" s="189"/>
      <c r="AH3828" s="189"/>
      <c r="AP3828" s="238"/>
    </row>
    <row r="3829" spans="3:42" s="45" customFormat="1" x14ac:dyDescent="0.2">
      <c r="C3829" s="189"/>
      <c r="F3829" s="73"/>
      <c r="M3829" s="111"/>
      <c r="N3829" s="73"/>
      <c r="O3829" s="73"/>
      <c r="P3829" s="73"/>
      <c r="Q3829" s="73"/>
      <c r="R3829" s="111"/>
      <c r="S3829" s="75"/>
      <c r="T3829" s="73"/>
      <c r="X3829" s="189"/>
      <c r="Y3829" s="189"/>
      <c r="Z3829" s="100"/>
      <c r="AC3829" s="84"/>
      <c r="AD3829" s="189"/>
      <c r="AE3829" s="189"/>
      <c r="AF3829" s="189"/>
      <c r="AG3829" s="189"/>
      <c r="AH3829" s="189"/>
      <c r="AP3829" s="238"/>
    </row>
    <row r="3830" spans="3:42" s="45" customFormat="1" x14ac:dyDescent="0.2">
      <c r="C3830" s="189"/>
      <c r="F3830" s="73"/>
      <c r="M3830" s="111"/>
      <c r="N3830" s="73"/>
      <c r="O3830" s="73"/>
      <c r="P3830" s="73"/>
      <c r="Q3830" s="73"/>
      <c r="R3830" s="111"/>
      <c r="S3830" s="75"/>
      <c r="T3830" s="73"/>
      <c r="X3830" s="189"/>
      <c r="Y3830" s="189"/>
      <c r="Z3830" s="100"/>
      <c r="AC3830" s="84"/>
      <c r="AD3830" s="189"/>
      <c r="AE3830" s="189"/>
      <c r="AF3830" s="189"/>
      <c r="AG3830" s="189"/>
      <c r="AH3830" s="189"/>
      <c r="AP3830" s="238"/>
    </row>
    <row r="3831" spans="3:42" s="45" customFormat="1" x14ac:dyDescent="0.2">
      <c r="C3831" s="189"/>
      <c r="F3831" s="73"/>
      <c r="M3831" s="111"/>
      <c r="N3831" s="73"/>
      <c r="O3831" s="73"/>
      <c r="P3831" s="73"/>
      <c r="Q3831" s="73"/>
      <c r="R3831" s="111"/>
      <c r="S3831" s="75"/>
      <c r="T3831" s="73"/>
      <c r="X3831" s="189"/>
      <c r="Y3831" s="189"/>
      <c r="Z3831" s="100"/>
      <c r="AC3831" s="84"/>
      <c r="AD3831" s="189"/>
      <c r="AE3831" s="189"/>
      <c r="AF3831" s="189"/>
      <c r="AG3831" s="189"/>
      <c r="AH3831" s="189"/>
      <c r="AP3831" s="238"/>
    </row>
    <row r="3832" spans="3:42" s="45" customFormat="1" x14ac:dyDescent="0.2">
      <c r="C3832" s="189"/>
      <c r="F3832" s="73"/>
      <c r="M3832" s="111"/>
      <c r="N3832" s="73"/>
      <c r="O3832" s="73"/>
      <c r="P3832" s="73"/>
      <c r="Q3832" s="73"/>
      <c r="R3832" s="111"/>
      <c r="S3832" s="75"/>
      <c r="T3832" s="73"/>
      <c r="X3832" s="189"/>
      <c r="Y3832" s="189"/>
      <c r="Z3832" s="100"/>
      <c r="AC3832" s="84"/>
      <c r="AD3832" s="189"/>
      <c r="AE3832" s="189"/>
      <c r="AF3832" s="189"/>
      <c r="AG3832" s="189"/>
      <c r="AH3832" s="189"/>
      <c r="AP3832" s="238"/>
    </row>
    <row r="3833" spans="3:42" s="45" customFormat="1" x14ac:dyDescent="0.2">
      <c r="C3833" s="189"/>
      <c r="F3833" s="73"/>
      <c r="M3833" s="111"/>
      <c r="N3833" s="73"/>
      <c r="O3833" s="73"/>
      <c r="P3833" s="73"/>
      <c r="Q3833" s="73"/>
      <c r="R3833" s="111"/>
      <c r="S3833" s="75"/>
      <c r="T3833" s="73"/>
      <c r="X3833" s="189"/>
      <c r="Y3833" s="189"/>
      <c r="Z3833" s="100"/>
      <c r="AC3833" s="84"/>
      <c r="AD3833" s="189"/>
      <c r="AE3833" s="189"/>
      <c r="AF3833" s="189"/>
      <c r="AG3833" s="189"/>
      <c r="AH3833" s="189"/>
      <c r="AP3833" s="238"/>
    </row>
    <row r="3834" spans="3:42" s="45" customFormat="1" x14ac:dyDescent="0.2">
      <c r="C3834" s="189"/>
      <c r="F3834" s="73"/>
      <c r="M3834" s="111"/>
      <c r="N3834" s="73"/>
      <c r="O3834" s="73"/>
      <c r="P3834" s="73"/>
      <c r="Q3834" s="73"/>
      <c r="R3834" s="111"/>
      <c r="S3834" s="75"/>
      <c r="T3834" s="73"/>
      <c r="X3834" s="189"/>
      <c r="Y3834" s="189"/>
      <c r="Z3834" s="100"/>
      <c r="AC3834" s="84"/>
      <c r="AD3834" s="189"/>
      <c r="AE3834" s="189"/>
      <c r="AF3834" s="189"/>
      <c r="AG3834" s="189"/>
      <c r="AH3834" s="189"/>
      <c r="AP3834" s="238"/>
    </row>
    <row r="3835" spans="3:42" s="45" customFormat="1" x14ac:dyDescent="0.2">
      <c r="C3835" s="189"/>
      <c r="F3835" s="73"/>
      <c r="M3835" s="111"/>
      <c r="N3835" s="73"/>
      <c r="O3835" s="73"/>
      <c r="P3835" s="73"/>
      <c r="Q3835" s="73"/>
      <c r="R3835" s="111"/>
      <c r="S3835" s="75"/>
      <c r="T3835" s="73"/>
      <c r="X3835" s="189"/>
      <c r="Y3835" s="189"/>
      <c r="Z3835" s="100"/>
      <c r="AC3835" s="84"/>
      <c r="AD3835" s="189"/>
      <c r="AE3835" s="189"/>
      <c r="AF3835" s="189"/>
      <c r="AG3835" s="189"/>
      <c r="AH3835" s="189"/>
      <c r="AP3835" s="238"/>
    </row>
    <row r="3836" spans="3:42" s="45" customFormat="1" x14ac:dyDescent="0.2">
      <c r="C3836" s="189"/>
      <c r="F3836" s="73"/>
      <c r="M3836" s="111"/>
      <c r="N3836" s="73"/>
      <c r="O3836" s="73"/>
      <c r="P3836" s="73"/>
      <c r="Q3836" s="73"/>
      <c r="R3836" s="111"/>
      <c r="S3836" s="75"/>
      <c r="T3836" s="73"/>
      <c r="X3836" s="189"/>
      <c r="Y3836" s="189"/>
      <c r="Z3836" s="100"/>
      <c r="AC3836" s="84"/>
      <c r="AD3836" s="189"/>
      <c r="AE3836" s="189"/>
      <c r="AF3836" s="189"/>
      <c r="AG3836" s="189"/>
      <c r="AH3836" s="189"/>
      <c r="AP3836" s="238"/>
    </row>
    <row r="3837" spans="3:42" s="45" customFormat="1" x14ac:dyDescent="0.2">
      <c r="C3837" s="189"/>
      <c r="F3837" s="73"/>
      <c r="M3837" s="111"/>
      <c r="N3837" s="73"/>
      <c r="O3837" s="73"/>
      <c r="P3837" s="73"/>
      <c r="Q3837" s="73"/>
      <c r="R3837" s="111"/>
      <c r="S3837" s="75"/>
      <c r="T3837" s="73"/>
      <c r="X3837" s="189"/>
      <c r="Y3837" s="189"/>
      <c r="Z3837" s="100"/>
      <c r="AC3837" s="84"/>
      <c r="AD3837" s="189"/>
      <c r="AE3837" s="189"/>
      <c r="AF3837" s="189"/>
      <c r="AG3837" s="189"/>
      <c r="AH3837" s="189"/>
      <c r="AP3837" s="238"/>
    </row>
    <row r="3838" spans="3:42" s="45" customFormat="1" x14ac:dyDescent="0.2">
      <c r="C3838" s="189"/>
      <c r="F3838" s="73"/>
      <c r="M3838" s="111"/>
      <c r="N3838" s="73"/>
      <c r="O3838" s="73"/>
      <c r="P3838" s="73"/>
      <c r="Q3838" s="73"/>
      <c r="R3838" s="111"/>
      <c r="S3838" s="75"/>
      <c r="T3838" s="73"/>
      <c r="X3838" s="189"/>
      <c r="Y3838" s="189"/>
      <c r="Z3838" s="100"/>
      <c r="AC3838" s="84"/>
      <c r="AD3838" s="189"/>
      <c r="AE3838" s="189"/>
      <c r="AF3838" s="189"/>
      <c r="AG3838" s="189"/>
      <c r="AH3838" s="189"/>
      <c r="AP3838" s="238"/>
    </row>
    <row r="3839" spans="3:42" s="45" customFormat="1" x14ac:dyDescent="0.2">
      <c r="C3839" s="189"/>
      <c r="F3839" s="73"/>
      <c r="M3839" s="111"/>
      <c r="N3839" s="73"/>
      <c r="O3839" s="73"/>
      <c r="P3839" s="73"/>
      <c r="Q3839" s="73"/>
      <c r="R3839" s="111"/>
      <c r="S3839" s="75"/>
      <c r="T3839" s="73"/>
      <c r="X3839" s="189"/>
      <c r="Y3839" s="189"/>
      <c r="Z3839" s="100"/>
      <c r="AC3839" s="84"/>
      <c r="AD3839" s="189"/>
      <c r="AE3839" s="189"/>
      <c r="AF3839" s="189"/>
      <c r="AG3839" s="189"/>
      <c r="AH3839" s="189"/>
      <c r="AP3839" s="238"/>
    </row>
    <row r="3840" spans="3:42" s="45" customFormat="1" x14ac:dyDescent="0.2">
      <c r="C3840" s="189"/>
      <c r="F3840" s="73"/>
      <c r="M3840" s="111"/>
      <c r="N3840" s="73"/>
      <c r="O3840" s="73"/>
      <c r="P3840" s="73"/>
      <c r="Q3840" s="73"/>
      <c r="R3840" s="111"/>
      <c r="S3840" s="75"/>
      <c r="T3840" s="73"/>
      <c r="X3840" s="189"/>
      <c r="Y3840" s="189"/>
      <c r="Z3840" s="100"/>
      <c r="AC3840" s="84"/>
      <c r="AD3840" s="189"/>
      <c r="AE3840" s="189"/>
      <c r="AF3840" s="189"/>
      <c r="AG3840" s="189"/>
      <c r="AH3840" s="189"/>
      <c r="AP3840" s="238"/>
    </row>
    <row r="3841" spans="3:42" s="45" customFormat="1" x14ac:dyDescent="0.2">
      <c r="C3841" s="189"/>
      <c r="F3841" s="73"/>
      <c r="M3841" s="111"/>
      <c r="N3841" s="73"/>
      <c r="O3841" s="73"/>
      <c r="P3841" s="73"/>
      <c r="Q3841" s="73"/>
      <c r="R3841" s="111"/>
      <c r="S3841" s="75"/>
      <c r="T3841" s="73"/>
      <c r="X3841" s="189"/>
      <c r="Y3841" s="189"/>
      <c r="Z3841" s="100"/>
      <c r="AC3841" s="84"/>
      <c r="AD3841" s="189"/>
      <c r="AE3841" s="189"/>
      <c r="AF3841" s="189"/>
      <c r="AG3841" s="189"/>
      <c r="AH3841" s="189"/>
      <c r="AP3841" s="238"/>
    </row>
    <row r="3842" spans="3:42" s="45" customFormat="1" x14ac:dyDescent="0.2">
      <c r="C3842" s="189"/>
      <c r="F3842" s="73"/>
      <c r="M3842" s="111"/>
      <c r="N3842" s="73"/>
      <c r="O3842" s="73"/>
      <c r="P3842" s="73"/>
      <c r="Q3842" s="73"/>
      <c r="R3842" s="111"/>
      <c r="S3842" s="75"/>
      <c r="T3842" s="73"/>
      <c r="X3842" s="189"/>
      <c r="Y3842" s="189"/>
      <c r="Z3842" s="100"/>
      <c r="AC3842" s="84"/>
      <c r="AD3842" s="189"/>
      <c r="AE3842" s="189"/>
      <c r="AF3842" s="189"/>
      <c r="AG3842" s="189"/>
      <c r="AH3842" s="189"/>
      <c r="AP3842" s="238"/>
    </row>
    <row r="3843" spans="3:42" s="45" customFormat="1" x14ac:dyDescent="0.2">
      <c r="C3843" s="189"/>
      <c r="F3843" s="73"/>
      <c r="M3843" s="111"/>
      <c r="N3843" s="73"/>
      <c r="O3843" s="73"/>
      <c r="P3843" s="73"/>
      <c r="Q3843" s="73"/>
      <c r="R3843" s="111"/>
      <c r="S3843" s="75"/>
      <c r="T3843" s="73"/>
      <c r="X3843" s="189"/>
      <c r="Y3843" s="189"/>
      <c r="Z3843" s="100"/>
      <c r="AC3843" s="84"/>
      <c r="AD3843" s="189"/>
      <c r="AE3843" s="189"/>
      <c r="AF3843" s="189"/>
      <c r="AG3843" s="189"/>
      <c r="AH3843" s="189"/>
      <c r="AP3843" s="238"/>
    </row>
    <row r="3844" spans="3:42" s="45" customFormat="1" x14ac:dyDescent="0.2">
      <c r="C3844" s="189"/>
      <c r="F3844" s="73"/>
      <c r="M3844" s="111"/>
      <c r="N3844" s="73"/>
      <c r="O3844" s="73"/>
      <c r="P3844" s="73"/>
      <c r="Q3844" s="73"/>
      <c r="R3844" s="111"/>
      <c r="S3844" s="75"/>
      <c r="T3844" s="73"/>
      <c r="X3844" s="189"/>
      <c r="Y3844" s="189"/>
      <c r="Z3844" s="100"/>
      <c r="AC3844" s="84"/>
      <c r="AD3844" s="189"/>
      <c r="AE3844" s="189"/>
      <c r="AF3844" s="189"/>
      <c r="AG3844" s="189"/>
      <c r="AH3844" s="189"/>
      <c r="AP3844" s="238"/>
    </row>
    <row r="3845" spans="3:42" s="45" customFormat="1" x14ac:dyDescent="0.2">
      <c r="C3845" s="189"/>
      <c r="F3845" s="73"/>
      <c r="M3845" s="111"/>
      <c r="N3845" s="73"/>
      <c r="O3845" s="73"/>
      <c r="P3845" s="73"/>
      <c r="Q3845" s="73"/>
      <c r="R3845" s="111"/>
      <c r="S3845" s="75"/>
      <c r="T3845" s="73"/>
      <c r="X3845" s="189"/>
      <c r="Y3845" s="189"/>
      <c r="Z3845" s="100"/>
      <c r="AC3845" s="84"/>
      <c r="AD3845" s="189"/>
      <c r="AE3845" s="189"/>
      <c r="AF3845" s="189"/>
      <c r="AG3845" s="189"/>
      <c r="AH3845" s="189"/>
      <c r="AP3845" s="238"/>
    </row>
    <row r="3846" spans="3:42" s="45" customFormat="1" x14ac:dyDescent="0.2">
      <c r="C3846" s="189"/>
      <c r="F3846" s="73"/>
      <c r="M3846" s="111"/>
      <c r="N3846" s="73"/>
      <c r="O3846" s="73"/>
      <c r="P3846" s="73"/>
      <c r="Q3846" s="73"/>
      <c r="R3846" s="111"/>
      <c r="S3846" s="75"/>
      <c r="T3846" s="73"/>
      <c r="X3846" s="189"/>
      <c r="Y3846" s="189"/>
      <c r="Z3846" s="100"/>
      <c r="AC3846" s="84"/>
      <c r="AD3846" s="189"/>
      <c r="AE3846" s="189"/>
      <c r="AF3846" s="189"/>
      <c r="AG3846" s="189"/>
      <c r="AH3846" s="189"/>
      <c r="AP3846" s="238"/>
    </row>
    <row r="3847" spans="3:42" s="45" customFormat="1" x14ac:dyDescent="0.2">
      <c r="C3847" s="189"/>
      <c r="F3847" s="73"/>
      <c r="M3847" s="111"/>
      <c r="N3847" s="73"/>
      <c r="O3847" s="73"/>
      <c r="P3847" s="73"/>
      <c r="Q3847" s="73"/>
      <c r="R3847" s="111"/>
      <c r="S3847" s="75"/>
      <c r="T3847" s="73"/>
      <c r="X3847" s="189"/>
      <c r="Y3847" s="189"/>
      <c r="Z3847" s="100"/>
      <c r="AC3847" s="84"/>
      <c r="AD3847" s="189"/>
      <c r="AE3847" s="189"/>
      <c r="AF3847" s="189"/>
      <c r="AG3847" s="189"/>
      <c r="AH3847" s="189"/>
      <c r="AP3847" s="238"/>
    </row>
    <row r="3848" spans="3:42" s="45" customFormat="1" x14ac:dyDescent="0.2">
      <c r="C3848" s="189"/>
      <c r="F3848" s="73"/>
      <c r="M3848" s="111"/>
      <c r="N3848" s="73"/>
      <c r="O3848" s="73"/>
      <c r="P3848" s="73"/>
      <c r="Q3848" s="73"/>
      <c r="R3848" s="111"/>
      <c r="S3848" s="75"/>
      <c r="T3848" s="73"/>
      <c r="X3848" s="189"/>
      <c r="Y3848" s="189"/>
      <c r="Z3848" s="100"/>
      <c r="AC3848" s="84"/>
      <c r="AD3848" s="189"/>
      <c r="AE3848" s="189"/>
      <c r="AF3848" s="189"/>
      <c r="AG3848" s="189"/>
      <c r="AH3848" s="189"/>
      <c r="AP3848" s="238"/>
    </row>
    <row r="3849" spans="3:42" s="45" customFormat="1" x14ac:dyDescent="0.2">
      <c r="C3849" s="189"/>
      <c r="F3849" s="73"/>
      <c r="M3849" s="111"/>
      <c r="N3849" s="73"/>
      <c r="O3849" s="73"/>
      <c r="P3849" s="73"/>
      <c r="Q3849" s="73"/>
      <c r="R3849" s="111"/>
      <c r="S3849" s="75"/>
      <c r="T3849" s="73"/>
      <c r="X3849" s="189"/>
      <c r="Y3849" s="189"/>
      <c r="Z3849" s="100"/>
      <c r="AC3849" s="84"/>
      <c r="AD3849" s="189"/>
      <c r="AE3849" s="189"/>
      <c r="AF3849" s="189"/>
      <c r="AG3849" s="189"/>
      <c r="AH3849" s="189"/>
      <c r="AP3849" s="238"/>
    </row>
    <row r="3850" spans="3:42" s="45" customFormat="1" x14ac:dyDescent="0.2">
      <c r="C3850" s="189"/>
      <c r="F3850" s="73"/>
      <c r="M3850" s="111"/>
      <c r="N3850" s="73"/>
      <c r="O3850" s="73"/>
      <c r="P3850" s="73"/>
      <c r="Q3850" s="73"/>
      <c r="R3850" s="111"/>
      <c r="S3850" s="75"/>
      <c r="T3850" s="73"/>
      <c r="X3850" s="189"/>
      <c r="Y3850" s="189"/>
      <c r="Z3850" s="100"/>
      <c r="AC3850" s="84"/>
      <c r="AD3850" s="189"/>
      <c r="AE3850" s="189"/>
      <c r="AF3850" s="189"/>
      <c r="AG3850" s="189"/>
      <c r="AH3850" s="189"/>
      <c r="AP3850" s="238"/>
    </row>
    <row r="3851" spans="3:42" s="45" customFormat="1" x14ac:dyDescent="0.2">
      <c r="C3851" s="189"/>
      <c r="F3851" s="73"/>
      <c r="M3851" s="111"/>
      <c r="N3851" s="73"/>
      <c r="O3851" s="73"/>
      <c r="P3851" s="73"/>
      <c r="Q3851" s="73"/>
      <c r="R3851" s="111"/>
      <c r="S3851" s="75"/>
      <c r="T3851" s="73"/>
      <c r="X3851" s="189"/>
      <c r="Y3851" s="189"/>
      <c r="Z3851" s="100"/>
      <c r="AC3851" s="84"/>
      <c r="AD3851" s="189"/>
      <c r="AE3851" s="189"/>
      <c r="AF3851" s="189"/>
      <c r="AG3851" s="189"/>
      <c r="AH3851" s="189"/>
      <c r="AP3851" s="238"/>
    </row>
    <row r="3852" spans="3:42" s="45" customFormat="1" x14ac:dyDescent="0.2">
      <c r="C3852" s="189"/>
      <c r="F3852" s="73"/>
      <c r="M3852" s="111"/>
      <c r="N3852" s="73"/>
      <c r="O3852" s="73"/>
      <c r="P3852" s="73"/>
      <c r="Q3852" s="73"/>
      <c r="R3852" s="111"/>
      <c r="S3852" s="75"/>
      <c r="T3852" s="73"/>
      <c r="X3852" s="189"/>
      <c r="Y3852" s="189"/>
      <c r="Z3852" s="100"/>
      <c r="AC3852" s="84"/>
      <c r="AD3852" s="189"/>
      <c r="AE3852" s="189"/>
      <c r="AF3852" s="189"/>
      <c r="AG3852" s="189"/>
      <c r="AH3852" s="189"/>
      <c r="AP3852" s="238"/>
    </row>
    <row r="3853" spans="3:42" s="45" customFormat="1" x14ac:dyDescent="0.2">
      <c r="C3853" s="189"/>
      <c r="F3853" s="73"/>
      <c r="M3853" s="111"/>
      <c r="N3853" s="73"/>
      <c r="O3853" s="73"/>
      <c r="P3853" s="73"/>
      <c r="Q3853" s="73"/>
      <c r="R3853" s="111"/>
      <c r="S3853" s="75"/>
      <c r="T3853" s="73"/>
      <c r="X3853" s="189"/>
      <c r="Y3853" s="189"/>
      <c r="Z3853" s="100"/>
      <c r="AC3853" s="84"/>
      <c r="AD3853" s="189"/>
      <c r="AE3853" s="189"/>
      <c r="AF3853" s="189"/>
      <c r="AG3853" s="189"/>
      <c r="AH3853" s="189"/>
      <c r="AP3853" s="238"/>
    </row>
    <row r="3854" spans="3:42" s="45" customFormat="1" x14ac:dyDescent="0.2">
      <c r="C3854" s="189"/>
      <c r="F3854" s="73"/>
      <c r="M3854" s="111"/>
      <c r="N3854" s="73"/>
      <c r="O3854" s="73"/>
      <c r="P3854" s="73"/>
      <c r="Q3854" s="73"/>
      <c r="R3854" s="111"/>
      <c r="S3854" s="75"/>
      <c r="T3854" s="73"/>
      <c r="X3854" s="189"/>
      <c r="Y3854" s="189"/>
      <c r="Z3854" s="100"/>
      <c r="AC3854" s="84"/>
      <c r="AD3854" s="189"/>
      <c r="AE3854" s="189"/>
      <c r="AF3854" s="189"/>
      <c r="AG3854" s="189"/>
      <c r="AH3854" s="189"/>
      <c r="AP3854" s="238"/>
    </row>
    <row r="3855" spans="3:42" s="45" customFormat="1" x14ac:dyDescent="0.2">
      <c r="C3855" s="189"/>
      <c r="F3855" s="73"/>
      <c r="M3855" s="111"/>
      <c r="N3855" s="73"/>
      <c r="O3855" s="73"/>
      <c r="P3855" s="73"/>
      <c r="Q3855" s="73"/>
      <c r="R3855" s="111"/>
      <c r="S3855" s="75"/>
      <c r="T3855" s="73"/>
      <c r="X3855" s="189"/>
      <c r="Y3855" s="189"/>
      <c r="Z3855" s="100"/>
      <c r="AC3855" s="84"/>
      <c r="AD3855" s="189"/>
      <c r="AE3855" s="189"/>
      <c r="AF3855" s="189"/>
      <c r="AG3855" s="189"/>
      <c r="AH3855" s="189"/>
      <c r="AP3855" s="238"/>
    </row>
    <row r="3856" spans="3:42" s="45" customFormat="1" x14ac:dyDescent="0.2">
      <c r="C3856" s="189"/>
      <c r="F3856" s="73"/>
      <c r="M3856" s="111"/>
      <c r="N3856" s="73"/>
      <c r="O3856" s="73"/>
      <c r="P3856" s="73"/>
      <c r="Q3856" s="73"/>
      <c r="R3856" s="111"/>
      <c r="S3856" s="75"/>
      <c r="T3856" s="73"/>
      <c r="X3856" s="189"/>
      <c r="Y3856" s="189"/>
      <c r="Z3856" s="100"/>
      <c r="AC3856" s="84"/>
      <c r="AD3856" s="189"/>
      <c r="AE3856" s="189"/>
      <c r="AF3856" s="189"/>
      <c r="AG3856" s="189"/>
      <c r="AH3856" s="189"/>
      <c r="AP3856" s="238"/>
    </row>
    <row r="3857" spans="3:42" s="45" customFormat="1" x14ac:dyDescent="0.2">
      <c r="C3857" s="189"/>
      <c r="F3857" s="73"/>
      <c r="M3857" s="111"/>
      <c r="N3857" s="73"/>
      <c r="O3857" s="73"/>
      <c r="P3857" s="73"/>
      <c r="Q3857" s="73"/>
      <c r="R3857" s="111"/>
      <c r="S3857" s="75"/>
      <c r="T3857" s="73"/>
      <c r="X3857" s="189"/>
      <c r="Y3857" s="189"/>
      <c r="Z3857" s="100"/>
      <c r="AC3857" s="84"/>
      <c r="AD3857" s="189"/>
      <c r="AE3857" s="189"/>
      <c r="AF3857" s="189"/>
      <c r="AG3857" s="189"/>
      <c r="AH3857" s="189"/>
      <c r="AP3857" s="238"/>
    </row>
    <row r="3858" spans="3:42" s="45" customFormat="1" x14ac:dyDescent="0.2">
      <c r="C3858" s="189"/>
      <c r="F3858" s="73"/>
      <c r="M3858" s="111"/>
      <c r="N3858" s="73"/>
      <c r="O3858" s="73"/>
      <c r="P3858" s="73"/>
      <c r="Q3858" s="73"/>
      <c r="R3858" s="111"/>
      <c r="S3858" s="75"/>
      <c r="T3858" s="73"/>
      <c r="X3858" s="189"/>
      <c r="Y3858" s="189"/>
      <c r="Z3858" s="100"/>
      <c r="AC3858" s="84"/>
      <c r="AD3858" s="189"/>
      <c r="AE3858" s="189"/>
      <c r="AF3858" s="189"/>
      <c r="AG3858" s="189"/>
      <c r="AH3858" s="189"/>
      <c r="AP3858" s="238"/>
    </row>
    <row r="3859" spans="3:42" s="45" customFormat="1" x14ac:dyDescent="0.2">
      <c r="C3859" s="189"/>
      <c r="F3859" s="73"/>
      <c r="M3859" s="111"/>
      <c r="N3859" s="73"/>
      <c r="O3859" s="73"/>
      <c r="P3859" s="73"/>
      <c r="Q3859" s="73"/>
      <c r="R3859" s="111"/>
      <c r="S3859" s="75"/>
      <c r="T3859" s="73"/>
      <c r="X3859" s="189"/>
      <c r="Y3859" s="189"/>
      <c r="Z3859" s="100"/>
      <c r="AC3859" s="84"/>
      <c r="AD3859" s="189"/>
      <c r="AE3859" s="189"/>
      <c r="AF3859" s="189"/>
      <c r="AG3859" s="189"/>
      <c r="AH3859" s="189"/>
      <c r="AP3859" s="238"/>
    </row>
    <row r="3860" spans="3:42" s="45" customFormat="1" x14ac:dyDescent="0.2">
      <c r="C3860" s="189"/>
      <c r="F3860" s="73"/>
      <c r="M3860" s="111"/>
      <c r="N3860" s="73"/>
      <c r="O3860" s="73"/>
      <c r="P3860" s="73"/>
      <c r="Q3860" s="73"/>
      <c r="R3860" s="111"/>
      <c r="S3860" s="75"/>
      <c r="T3860" s="73"/>
      <c r="X3860" s="189"/>
      <c r="Y3860" s="189"/>
      <c r="Z3860" s="100"/>
      <c r="AC3860" s="84"/>
      <c r="AD3860" s="189"/>
      <c r="AE3860" s="189"/>
      <c r="AF3860" s="189"/>
      <c r="AG3860" s="189"/>
      <c r="AH3860" s="189"/>
      <c r="AP3860" s="238"/>
    </row>
    <row r="3861" spans="3:42" s="45" customFormat="1" x14ac:dyDescent="0.2">
      <c r="C3861" s="189"/>
      <c r="F3861" s="73"/>
      <c r="M3861" s="111"/>
      <c r="N3861" s="73"/>
      <c r="O3861" s="73"/>
      <c r="P3861" s="73"/>
      <c r="Q3861" s="73"/>
      <c r="R3861" s="111"/>
      <c r="S3861" s="75"/>
      <c r="T3861" s="73"/>
      <c r="X3861" s="189"/>
      <c r="Y3861" s="189"/>
      <c r="Z3861" s="100"/>
      <c r="AC3861" s="84"/>
      <c r="AD3861" s="189"/>
      <c r="AE3861" s="189"/>
      <c r="AF3861" s="189"/>
      <c r="AG3861" s="189"/>
      <c r="AH3861" s="189"/>
      <c r="AP3861" s="238"/>
    </row>
    <row r="3862" spans="3:42" s="45" customFormat="1" x14ac:dyDescent="0.2">
      <c r="C3862" s="189"/>
      <c r="F3862" s="73"/>
      <c r="M3862" s="111"/>
      <c r="N3862" s="73"/>
      <c r="O3862" s="73"/>
      <c r="P3862" s="73"/>
      <c r="Q3862" s="73"/>
      <c r="R3862" s="111"/>
      <c r="S3862" s="75"/>
      <c r="T3862" s="73"/>
      <c r="X3862" s="189"/>
      <c r="Y3862" s="189"/>
      <c r="Z3862" s="100"/>
      <c r="AC3862" s="84"/>
      <c r="AD3862" s="189"/>
      <c r="AE3862" s="189"/>
      <c r="AF3862" s="189"/>
      <c r="AG3862" s="189"/>
      <c r="AH3862" s="189"/>
      <c r="AP3862" s="238"/>
    </row>
    <row r="3863" spans="3:42" s="45" customFormat="1" x14ac:dyDescent="0.2">
      <c r="C3863" s="189"/>
      <c r="F3863" s="73"/>
      <c r="M3863" s="111"/>
      <c r="N3863" s="73"/>
      <c r="O3863" s="73"/>
      <c r="P3863" s="73"/>
      <c r="Q3863" s="73"/>
      <c r="R3863" s="111"/>
      <c r="S3863" s="75"/>
      <c r="T3863" s="73"/>
      <c r="X3863" s="189"/>
      <c r="Y3863" s="189"/>
      <c r="Z3863" s="100"/>
      <c r="AC3863" s="84"/>
      <c r="AD3863" s="189"/>
      <c r="AE3863" s="189"/>
      <c r="AF3863" s="189"/>
      <c r="AG3863" s="189"/>
      <c r="AH3863" s="189"/>
      <c r="AP3863" s="238"/>
    </row>
    <row r="3864" spans="3:42" s="45" customFormat="1" x14ac:dyDescent="0.2">
      <c r="C3864" s="189"/>
      <c r="F3864" s="73"/>
      <c r="M3864" s="111"/>
      <c r="N3864" s="73"/>
      <c r="O3864" s="73"/>
      <c r="P3864" s="73"/>
      <c r="Q3864" s="73"/>
      <c r="R3864" s="111"/>
      <c r="S3864" s="75"/>
      <c r="T3864" s="73"/>
      <c r="X3864" s="189"/>
      <c r="Y3864" s="189"/>
      <c r="Z3864" s="100"/>
      <c r="AC3864" s="84"/>
      <c r="AD3864" s="189"/>
      <c r="AE3864" s="189"/>
      <c r="AF3864" s="189"/>
      <c r="AG3864" s="189"/>
      <c r="AH3864" s="189"/>
      <c r="AP3864" s="238"/>
    </row>
    <row r="3865" spans="3:42" s="45" customFormat="1" x14ac:dyDescent="0.2">
      <c r="C3865" s="189"/>
      <c r="F3865" s="73"/>
      <c r="M3865" s="111"/>
      <c r="N3865" s="73"/>
      <c r="O3865" s="73"/>
      <c r="P3865" s="73"/>
      <c r="Q3865" s="73"/>
      <c r="R3865" s="111"/>
      <c r="S3865" s="75"/>
      <c r="T3865" s="73"/>
      <c r="X3865" s="189"/>
      <c r="Y3865" s="189"/>
      <c r="Z3865" s="100"/>
      <c r="AC3865" s="84"/>
      <c r="AD3865" s="189"/>
      <c r="AE3865" s="189"/>
      <c r="AF3865" s="189"/>
      <c r="AG3865" s="189"/>
      <c r="AH3865" s="189"/>
      <c r="AP3865" s="238"/>
    </row>
    <row r="3866" spans="3:42" s="45" customFormat="1" x14ac:dyDescent="0.2">
      <c r="C3866" s="189"/>
      <c r="F3866" s="73"/>
      <c r="M3866" s="111"/>
      <c r="N3866" s="73"/>
      <c r="O3866" s="73"/>
      <c r="P3866" s="73"/>
      <c r="Q3866" s="73"/>
      <c r="R3866" s="111"/>
      <c r="S3866" s="75"/>
      <c r="T3866" s="73"/>
      <c r="X3866" s="189"/>
      <c r="Y3866" s="189"/>
      <c r="Z3866" s="100"/>
      <c r="AC3866" s="84"/>
      <c r="AD3866" s="189"/>
      <c r="AE3866" s="189"/>
      <c r="AF3866" s="189"/>
      <c r="AG3866" s="189"/>
      <c r="AH3866" s="189"/>
      <c r="AP3866" s="238"/>
    </row>
    <row r="3867" spans="3:42" s="45" customFormat="1" x14ac:dyDescent="0.2">
      <c r="C3867" s="189"/>
      <c r="F3867" s="73"/>
      <c r="M3867" s="111"/>
      <c r="N3867" s="73"/>
      <c r="O3867" s="73"/>
      <c r="P3867" s="73"/>
      <c r="Q3867" s="73"/>
      <c r="R3867" s="111"/>
      <c r="S3867" s="75"/>
      <c r="T3867" s="73"/>
      <c r="X3867" s="189"/>
      <c r="Y3867" s="189"/>
      <c r="Z3867" s="100"/>
      <c r="AC3867" s="84"/>
      <c r="AD3867" s="189"/>
      <c r="AE3867" s="189"/>
      <c r="AF3867" s="189"/>
      <c r="AG3867" s="189"/>
      <c r="AH3867" s="189"/>
      <c r="AP3867" s="238"/>
    </row>
    <row r="3868" spans="3:42" s="45" customFormat="1" x14ac:dyDescent="0.2">
      <c r="C3868" s="189"/>
      <c r="F3868" s="73"/>
      <c r="M3868" s="111"/>
      <c r="N3868" s="73"/>
      <c r="O3868" s="73"/>
      <c r="P3868" s="73"/>
      <c r="Q3868" s="73"/>
      <c r="R3868" s="111"/>
      <c r="S3868" s="75"/>
      <c r="T3868" s="73"/>
      <c r="X3868" s="189"/>
      <c r="Y3868" s="189"/>
      <c r="Z3868" s="100"/>
      <c r="AC3868" s="84"/>
      <c r="AD3868" s="189"/>
      <c r="AE3868" s="189"/>
      <c r="AF3868" s="189"/>
      <c r="AG3868" s="189"/>
      <c r="AH3868" s="189"/>
      <c r="AP3868" s="238"/>
    </row>
    <row r="3869" spans="3:42" s="45" customFormat="1" x14ac:dyDescent="0.2">
      <c r="C3869" s="189"/>
      <c r="F3869" s="73"/>
      <c r="M3869" s="111"/>
      <c r="N3869" s="73"/>
      <c r="O3869" s="73"/>
      <c r="P3869" s="73"/>
      <c r="Q3869" s="73"/>
      <c r="R3869" s="111"/>
      <c r="S3869" s="75"/>
      <c r="T3869" s="73"/>
      <c r="X3869" s="189"/>
      <c r="Y3869" s="189"/>
      <c r="Z3869" s="100"/>
      <c r="AC3869" s="84"/>
      <c r="AD3869" s="189"/>
      <c r="AE3869" s="189"/>
      <c r="AF3869" s="189"/>
      <c r="AG3869" s="189"/>
      <c r="AH3869" s="189"/>
      <c r="AP3869" s="238"/>
    </row>
    <row r="3870" spans="3:42" s="45" customFormat="1" x14ac:dyDescent="0.2">
      <c r="C3870" s="189"/>
      <c r="F3870" s="73"/>
      <c r="M3870" s="111"/>
      <c r="N3870" s="73"/>
      <c r="O3870" s="73"/>
      <c r="P3870" s="73"/>
      <c r="Q3870" s="73"/>
      <c r="R3870" s="111"/>
      <c r="S3870" s="75"/>
      <c r="T3870" s="73"/>
      <c r="X3870" s="189"/>
      <c r="Y3870" s="189"/>
      <c r="Z3870" s="100"/>
      <c r="AC3870" s="84"/>
      <c r="AD3870" s="189"/>
      <c r="AE3870" s="189"/>
      <c r="AF3870" s="189"/>
      <c r="AG3870" s="189"/>
      <c r="AH3870" s="189"/>
      <c r="AP3870" s="238"/>
    </row>
    <row r="3871" spans="3:42" s="45" customFormat="1" x14ac:dyDescent="0.2">
      <c r="C3871" s="189"/>
      <c r="F3871" s="73"/>
      <c r="M3871" s="111"/>
      <c r="N3871" s="73"/>
      <c r="O3871" s="73"/>
      <c r="P3871" s="73"/>
      <c r="Q3871" s="73"/>
      <c r="R3871" s="111"/>
      <c r="S3871" s="75"/>
      <c r="T3871" s="73"/>
      <c r="X3871" s="189"/>
      <c r="Y3871" s="189"/>
      <c r="Z3871" s="100"/>
      <c r="AC3871" s="84"/>
      <c r="AD3871" s="189"/>
      <c r="AE3871" s="189"/>
      <c r="AF3871" s="189"/>
      <c r="AG3871" s="189"/>
      <c r="AH3871" s="189"/>
      <c r="AP3871" s="238"/>
    </row>
    <row r="3872" spans="3:42" s="45" customFormat="1" x14ac:dyDescent="0.2">
      <c r="C3872" s="189"/>
      <c r="F3872" s="73"/>
      <c r="M3872" s="111"/>
      <c r="N3872" s="73"/>
      <c r="O3872" s="73"/>
      <c r="P3872" s="73"/>
      <c r="Q3872" s="73"/>
      <c r="R3872" s="111"/>
      <c r="S3872" s="75"/>
      <c r="T3872" s="73"/>
      <c r="X3872" s="189"/>
      <c r="Y3872" s="189"/>
      <c r="Z3872" s="100"/>
      <c r="AC3872" s="84"/>
      <c r="AD3872" s="189"/>
      <c r="AE3872" s="189"/>
      <c r="AF3872" s="189"/>
      <c r="AG3872" s="189"/>
      <c r="AH3872" s="189"/>
      <c r="AP3872" s="238"/>
    </row>
    <row r="3873" spans="3:42" s="45" customFormat="1" x14ac:dyDescent="0.2">
      <c r="C3873" s="189"/>
      <c r="F3873" s="73"/>
      <c r="M3873" s="111"/>
      <c r="N3873" s="73"/>
      <c r="O3873" s="73"/>
      <c r="P3873" s="73"/>
      <c r="Q3873" s="73"/>
      <c r="R3873" s="111"/>
      <c r="S3873" s="75"/>
      <c r="T3873" s="73"/>
      <c r="X3873" s="189"/>
      <c r="Y3873" s="189"/>
      <c r="Z3873" s="100"/>
      <c r="AC3873" s="84"/>
      <c r="AD3873" s="189"/>
      <c r="AE3873" s="189"/>
      <c r="AF3873" s="189"/>
      <c r="AG3873" s="189"/>
      <c r="AH3873" s="189"/>
      <c r="AP3873" s="238"/>
    </row>
    <row r="3874" spans="3:42" s="45" customFormat="1" x14ac:dyDescent="0.2">
      <c r="C3874" s="189"/>
      <c r="F3874" s="73"/>
      <c r="M3874" s="111"/>
      <c r="N3874" s="73"/>
      <c r="O3874" s="73"/>
      <c r="P3874" s="73"/>
      <c r="Q3874" s="73"/>
      <c r="R3874" s="111"/>
      <c r="S3874" s="75"/>
      <c r="T3874" s="73"/>
      <c r="X3874" s="189"/>
      <c r="Y3874" s="189"/>
      <c r="Z3874" s="100"/>
      <c r="AC3874" s="84"/>
      <c r="AD3874" s="189"/>
      <c r="AE3874" s="189"/>
      <c r="AF3874" s="189"/>
      <c r="AG3874" s="189"/>
      <c r="AH3874" s="189"/>
      <c r="AP3874" s="238"/>
    </row>
    <row r="3875" spans="3:42" s="45" customFormat="1" x14ac:dyDescent="0.2">
      <c r="C3875" s="189"/>
      <c r="F3875" s="73"/>
      <c r="M3875" s="111"/>
      <c r="N3875" s="73"/>
      <c r="O3875" s="73"/>
      <c r="P3875" s="73"/>
      <c r="Q3875" s="73"/>
      <c r="R3875" s="111"/>
      <c r="S3875" s="75"/>
      <c r="T3875" s="73"/>
      <c r="X3875" s="189"/>
      <c r="Y3875" s="189"/>
      <c r="Z3875" s="100"/>
      <c r="AC3875" s="84"/>
      <c r="AD3875" s="189"/>
      <c r="AE3875" s="189"/>
      <c r="AF3875" s="189"/>
      <c r="AG3875" s="189"/>
      <c r="AH3875" s="189"/>
      <c r="AP3875" s="238"/>
    </row>
    <row r="3876" spans="3:42" s="45" customFormat="1" x14ac:dyDescent="0.2">
      <c r="C3876" s="189"/>
      <c r="F3876" s="73"/>
      <c r="M3876" s="111"/>
      <c r="N3876" s="73"/>
      <c r="O3876" s="73"/>
      <c r="P3876" s="73"/>
      <c r="Q3876" s="73"/>
      <c r="R3876" s="111"/>
      <c r="S3876" s="75"/>
      <c r="T3876" s="73"/>
      <c r="X3876" s="189"/>
      <c r="Y3876" s="189"/>
      <c r="Z3876" s="100"/>
      <c r="AC3876" s="84"/>
      <c r="AD3876" s="189"/>
      <c r="AE3876" s="189"/>
      <c r="AF3876" s="189"/>
      <c r="AG3876" s="189"/>
      <c r="AH3876" s="189"/>
      <c r="AP3876" s="238"/>
    </row>
    <row r="3877" spans="3:42" s="45" customFormat="1" x14ac:dyDescent="0.2">
      <c r="C3877" s="189"/>
      <c r="F3877" s="73"/>
      <c r="M3877" s="111"/>
      <c r="N3877" s="73"/>
      <c r="O3877" s="73"/>
      <c r="P3877" s="73"/>
      <c r="Q3877" s="73"/>
      <c r="R3877" s="111"/>
      <c r="S3877" s="75"/>
      <c r="T3877" s="73"/>
      <c r="X3877" s="189"/>
      <c r="Y3877" s="189"/>
      <c r="Z3877" s="100"/>
      <c r="AC3877" s="84"/>
      <c r="AD3877" s="189"/>
      <c r="AE3877" s="189"/>
      <c r="AF3877" s="189"/>
      <c r="AG3877" s="189"/>
      <c r="AH3877" s="189"/>
      <c r="AP3877" s="238"/>
    </row>
    <row r="3878" spans="3:42" s="45" customFormat="1" x14ac:dyDescent="0.2">
      <c r="C3878" s="189"/>
      <c r="F3878" s="73"/>
      <c r="M3878" s="111"/>
      <c r="N3878" s="73"/>
      <c r="O3878" s="73"/>
      <c r="P3878" s="73"/>
      <c r="Q3878" s="73"/>
      <c r="R3878" s="111"/>
      <c r="S3878" s="75"/>
      <c r="T3878" s="73"/>
      <c r="X3878" s="189"/>
      <c r="Y3878" s="189"/>
      <c r="Z3878" s="100"/>
      <c r="AC3878" s="84"/>
      <c r="AD3878" s="189"/>
      <c r="AE3878" s="189"/>
      <c r="AF3878" s="189"/>
      <c r="AG3878" s="189"/>
      <c r="AH3878" s="189"/>
      <c r="AP3878" s="238"/>
    </row>
    <row r="3879" spans="3:42" s="45" customFormat="1" x14ac:dyDescent="0.2">
      <c r="C3879" s="189"/>
      <c r="F3879" s="73"/>
      <c r="M3879" s="111"/>
      <c r="N3879" s="73"/>
      <c r="O3879" s="73"/>
      <c r="P3879" s="73"/>
      <c r="Q3879" s="73"/>
      <c r="R3879" s="111"/>
      <c r="S3879" s="75"/>
      <c r="T3879" s="73"/>
      <c r="X3879" s="189"/>
      <c r="Y3879" s="189"/>
      <c r="Z3879" s="100"/>
      <c r="AC3879" s="84"/>
      <c r="AD3879" s="189"/>
      <c r="AE3879" s="189"/>
      <c r="AF3879" s="189"/>
      <c r="AG3879" s="189"/>
      <c r="AH3879" s="189"/>
      <c r="AP3879" s="238"/>
    </row>
    <row r="3880" spans="3:42" s="45" customFormat="1" x14ac:dyDescent="0.2">
      <c r="C3880" s="189"/>
      <c r="F3880" s="73"/>
      <c r="M3880" s="111"/>
      <c r="N3880" s="73"/>
      <c r="O3880" s="73"/>
      <c r="P3880" s="73"/>
      <c r="Q3880" s="73"/>
      <c r="R3880" s="111"/>
      <c r="S3880" s="75"/>
      <c r="T3880" s="73"/>
      <c r="X3880" s="189"/>
      <c r="Y3880" s="189"/>
      <c r="Z3880" s="100"/>
      <c r="AC3880" s="84"/>
      <c r="AD3880" s="189"/>
      <c r="AE3880" s="189"/>
      <c r="AF3880" s="189"/>
      <c r="AG3880" s="189"/>
      <c r="AH3880" s="189"/>
      <c r="AP3880" s="238"/>
    </row>
    <row r="3881" spans="3:42" s="45" customFormat="1" x14ac:dyDescent="0.2">
      <c r="C3881" s="189"/>
      <c r="F3881" s="73"/>
      <c r="M3881" s="111"/>
      <c r="N3881" s="73"/>
      <c r="O3881" s="73"/>
      <c r="P3881" s="73"/>
      <c r="Q3881" s="73"/>
      <c r="R3881" s="111"/>
      <c r="S3881" s="75"/>
      <c r="T3881" s="73"/>
      <c r="X3881" s="189"/>
      <c r="Y3881" s="189"/>
      <c r="Z3881" s="100"/>
      <c r="AC3881" s="84"/>
      <c r="AD3881" s="189"/>
      <c r="AE3881" s="189"/>
      <c r="AF3881" s="189"/>
      <c r="AG3881" s="189"/>
      <c r="AH3881" s="189"/>
      <c r="AP3881" s="238"/>
    </row>
    <row r="3882" spans="3:42" s="45" customFormat="1" x14ac:dyDescent="0.2">
      <c r="C3882" s="189"/>
      <c r="F3882" s="73"/>
      <c r="M3882" s="111"/>
      <c r="N3882" s="73"/>
      <c r="O3882" s="73"/>
      <c r="P3882" s="73"/>
      <c r="Q3882" s="73"/>
      <c r="R3882" s="111"/>
      <c r="S3882" s="75"/>
      <c r="T3882" s="73"/>
      <c r="X3882" s="189"/>
      <c r="Y3882" s="189"/>
      <c r="Z3882" s="100"/>
      <c r="AC3882" s="84"/>
      <c r="AD3882" s="189"/>
      <c r="AE3882" s="189"/>
      <c r="AF3882" s="189"/>
      <c r="AG3882" s="189"/>
      <c r="AH3882" s="189"/>
      <c r="AP3882" s="238"/>
    </row>
    <row r="3883" spans="3:42" s="45" customFormat="1" x14ac:dyDescent="0.2">
      <c r="C3883" s="189"/>
      <c r="F3883" s="73"/>
      <c r="M3883" s="111"/>
      <c r="N3883" s="73"/>
      <c r="O3883" s="73"/>
      <c r="P3883" s="73"/>
      <c r="Q3883" s="73"/>
      <c r="R3883" s="111"/>
      <c r="S3883" s="75"/>
      <c r="T3883" s="73"/>
      <c r="X3883" s="189"/>
      <c r="Y3883" s="189"/>
      <c r="Z3883" s="100"/>
      <c r="AC3883" s="84"/>
      <c r="AD3883" s="189"/>
      <c r="AE3883" s="189"/>
      <c r="AF3883" s="189"/>
      <c r="AG3883" s="189"/>
      <c r="AH3883" s="189"/>
      <c r="AP3883" s="238"/>
    </row>
    <row r="3884" spans="3:42" s="45" customFormat="1" x14ac:dyDescent="0.2">
      <c r="C3884" s="189"/>
      <c r="F3884" s="73"/>
      <c r="M3884" s="111"/>
      <c r="N3884" s="73"/>
      <c r="O3884" s="73"/>
      <c r="P3884" s="73"/>
      <c r="Q3884" s="73"/>
      <c r="R3884" s="111"/>
      <c r="S3884" s="75"/>
      <c r="T3884" s="73"/>
      <c r="X3884" s="189"/>
      <c r="Y3884" s="189"/>
      <c r="Z3884" s="100"/>
      <c r="AC3884" s="84"/>
      <c r="AD3884" s="189"/>
      <c r="AE3884" s="189"/>
      <c r="AF3884" s="189"/>
      <c r="AG3884" s="189"/>
      <c r="AH3884" s="189"/>
      <c r="AP3884" s="238"/>
    </row>
    <row r="3885" spans="3:42" s="45" customFormat="1" x14ac:dyDescent="0.2">
      <c r="C3885" s="189"/>
      <c r="F3885" s="73"/>
      <c r="M3885" s="111"/>
      <c r="N3885" s="73"/>
      <c r="O3885" s="73"/>
      <c r="P3885" s="73"/>
      <c r="Q3885" s="73"/>
      <c r="R3885" s="111"/>
      <c r="S3885" s="75"/>
      <c r="T3885" s="73"/>
      <c r="X3885" s="189"/>
      <c r="Y3885" s="189"/>
      <c r="Z3885" s="100"/>
      <c r="AC3885" s="84"/>
      <c r="AD3885" s="189"/>
      <c r="AE3885" s="189"/>
      <c r="AF3885" s="189"/>
      <c r="AG3885" s="189"/>
      <c r="AH3885" s="189"/>
      <c r="AP3885" s="238"/>
    </row>
    <row r="3886" spans="3:42" s="45" customFormat="1" x14ac:dyDescent="0.2">
      <c r="C3886" s="189"/>
      <c r="F3886" s="73"/>
      <c r="M3886" s="111"/>
      <c r="N3886" s="73"/>
      <c r="O3886" s="73"/>
      <c r="P3886" s="73"/>
      <c r="Q3886" s="73"/>
      <c r="R3886" s="111"/>
      <c r="S3886" s="75"/>
      <c r="T3886" s="73"/>
      <c r="X3886" s="189"/>
      <c r="Y3886" s="189"/>
      <c r="Z3886" s="100"/>
      <c r="AC3886" s="84"/>
      <c r="AD3886" s="189"/>
      <c r="AE3886" s="189"/>
      <c r="AF3886" s="189"/>
      <c r="AG3886" s="189"/>
      <c r="AH3886" s="189"/>
      <c r="AP3886" s="238"/>
    </row>
    <row r="3887" spans="3:42" s="45" customFormat="1" x14ac:dyDescent="0.2">
      <c r="C3887" s="189"/>
      <c r="F3887" s="73"/>
      <c r="M3887" s="111"/>
      <c r="N3887" s="73"/>
      <c r="O3887" s="73"/>
      <c r="P3887" s="73"/>
      <c r="Q3887" s="73"/>
      <c r="R3887" s="111"/>
      <c r="S3887" s="75"/>
      <c r="T3887" s="73"/>
      <c r="X3887" s="189"/>
      <c r="Y3887" s="189"/>
      <c r="Z3887" s="100"/>
      <c r="AC3887" s="84"/>
      <c r="AD3887" s="189"/>
      <c r="AE3887" s="189"/>
      <c r="AF3887" s="189"/>
      <c r="AG3887" s="189"/>
      <c r="AH3887" s="189"/>
      <c r="AP3887" s="238"/>
    </row>
    <row r="3888" spans="3:42" s="45" customFormat="1" x14ac:dyDescent="0.2">
      <c r="C3888" s="189"/>
      <c r="F3888" s="73"/>
      <c r="M3888" s="111"/>
      <c r="N3888" s="73"/>
      <c r="O3888" s="73"/>
      <c r="P3888" s="73"/>
      <c r="Q3888" s="73"/>
      <c r="R3888" s="111"/>
      <c r="S3888" s="75"/>
      <c r="T3888" s="73"/>
      <c r="X3888" s="189"/>
      <c r="Y3888" s="189"/>
      <c r="Z3888" s="100"/>
      <c r="AC3888" s="84"/>
      <c r="AD3888" s="189"/>
      <c r="AE3888" s="189"/>
      <c r="AF3888" s="189"/>
      <c r="AG3888" s="189"/>
      <c r="AH3888" s="189"/>
      <c r="AP3888" s="238"/>
    </row>
    <row r="3889" spans="3:42" s="45" customFormat="1" x14ac:dyDescent="0.2">
      <c r="C3889" s="189"/>
      <c r="F3889" s="73"/>
      <c r="M3889" s="111"/>
      <c r="N3889" s="73"/>
      <c r="O3889" s="73"/>
      <c r="P3889" s="73"/>
      <c r="Q3889" s="73"/>
      <c r="R3889" s="111"/>
      <c r="S3889" s="75"/>
      <c r="T3889" s="73"/>
      <c r="X3889" s="189"/>
      <c r="Y3889" s="189"/>
      <c r="Z3889" s="100"/>
      <c r="AC3889" s="84"/>
      <c r="AD3889" s="189"/>
      <c r="AE3889" s="189"/>
      <c r="AF3889" s="189"/>
      <c r="AG3889" s="189"/>
      <c r="AH3889" s="189"/>
      <c r="AP3889" s="238"/>
    </row>
    <row r="3890" spans="3:42" s="45" customFormat="1" x14ac:dyDescent="0.2">
      <c r="C3890" s="189"/>
      <c r="F3890" s="73"/>
      <c r="M3890" s="111"/>
      <c r="N3890" s="73"/>
      <c r="O3890" s="73"/>
      <c r="P3890" s="73"/>
      <c r="Q3890" s="73"/>
      <c r="R3890" s="111"/>
      <c r="S3890" s="75"/>
      <c r="T3890" s="73"/>
      <c r="X3890" s="189"/>
      <c r="Y3890" s="189"/>
      <c r="Z3890" s="100"/>
      <c r="AC3890" s="84"/>
      <c r="AD3890" s="189"/>
      <c r="AE3890" s="189"/>
      <c r="AF3890" s="189"/>
      <c r="AG3890" s="189"/>
      <c r="AH3890" s="189"/>
      <c r="AP3890" s="238"/>
    </row>
    <row r="3891" spans="3:42" s="45" customFormat="1" x14ac:dyDescent="0.2">
      <c r="C3891" s="189"/>
      <c r="F3891" s="73"/>
      <c r="M3891" s="111"/>
      <c r="N3891" s="73"/>
      <c r="O3891" s="73"/>
      <c r="P3891" s="73"/>
      <c r="Q3891" s="73"/>
      <c r="R3891" s="111"/>
      <c r="S3891" s="75"/>
      <c r="T3891" s="73"/>
      <c r="X3891" s="189"/>
      <c r="Y3891" s="189"/>
      <c r="Z3891" s="100"/>
      <c r="AC3891" s="84"/>
      <c r="AD3891" s="189"/>
      <c r="AE3891" s="189"/>
      <c r="AF3891" s="189"/>
      <c r="AG3891" s="189"/>
      <c r="AH3891" s="189"/>
      <c r="AP3891" s="238"/>
    </row>
    <row r="3892" spans="3:42" s="45" customFormat="1" x14ac:dyDescent="0.2">
      <c r="C3892" s="189"/>
      <c r="F3892" s="73"/>
      <c r="M3892" s="111"/>
      <c r="N3892" s="73"/>
      <c r="O3892" s="73"/>
      <c r="P3892" s="73"/>
      <c r="Q3892" s="73"/>
      <c r="R3892" s="111"/>
      <c r="S3892" s="75"/>
      <c r="T3892" s="73"/>
      <c r="X3892" s="189"/>
      <c r="Y3892" s="189"/>
      <c r="Z3892" s="100"/>
      <c r="AC3892" s="84"/>
      <c r="AD3892" s="189"/>
      <c r="AE3892" s="189"/>
      <c r="AF3892" s="189"/>
      <c r="AG3892" s="189"/>
      <c r="AH3892" s="189"/>
      <c r="AP3892" s="238"/>
    </row>
    <row r="3893" spans="3:42" s="45" customFormat="1" x14ac:dyDescent="0.2">
      <c r="C3893" s="189"/>
      <c r="F3893" s="73"/>
      <c r="M3893" s="111"/>
      <c r="N3893" s="73"/>
      <c r="O3893" s="73"/>
      <c r="P3893" s="73"/>
      <c r="Q3893" s="73"/>
      <c r="R3893" s="111"/>
      <c r="S3893" s="75"/>
      <c r="T3893" s="73"/>
      <c r="X3893" s="189"/>
      <c r="Y3893" s="189"/>
      <c r="Z3893" s="100"/>
      <c r="AC3893" s="84"/>
      <c r="AD3893" s="189"/>
      <c r="AE3893" s="189"/>
      <c r="AF3893" s="189"/>
      <c r="AG3893" s="189"/>
      <c r="AH3893" s="189"/>
      <c r="AP3893" s="238"/>
    </row>
    <row r="3894" spans="3:42" s="45" customFormat="1" x14ac:dyDescent="0.2">
      <c r="C3894" s="189"/>
      <c r="F3894" s="73"/>
      <c r="M3894" s="111"/>
      <c r="N3894" s="73"/>
      <c r="O3894" s="73"/>
      <c r="P3894" s="73"/>
      <c r="Q3894" s="73"/>
      <c r="R3894" s="111"/>
      <c r="S3894" s="75"/>
      <c r="T3894" s="73"/>
      <c r="X3894" s="189"/>
      <c r="Y3894" s="189"/>
      <c r="Z3894" s="100"/>
      <c r="AC3894" s="84"/>
      <c r="AD3894" s="189"/>
      <c r="AE3894" s="189"/>
      <c r="AF3894" s="189"/>
      <c r="AG3894" s="189"/>
      <c r="AH3894" s="189"/>
      <c r="AP3894" s="238"/>
    </row>
    <row r="3895" spans="3:42" s="45" customFormat="1" x14ac:dyDescent="0.2">
      <c r="C3895" s="189"/>
      <c r="F3895" s="73"/>
      <c r="M3895" s="111"/>
      <c r="N3895" s="73"/>
      <c r="O3895" s="73"/>
      <c r="P3895" s="73"/>
      <c r="Q3895" s="73"/>
      <c r="R3895" s="111"/>
      <c r="S3895" s="75"/>
      <c r="T3895" s="73"/>
      <c r="X3895" s="189"/>
      <c r="Y3895" s="189"/>
      <c r="Z3895" s="100"/>
      <c r="AC3895" s="84"/>
      <c r="AD3895" s="189"/>
      <c r="AE3895" s="189"/>
      <c r="AF3895" s="189"/>
      <c r="AG3895" s="189"/>
      <c r="AH3895" s="189"/>
      <c r="AP3895" s="238"/>
    </row>
    <row r="3896" spans="3:42" s="45" customFormat="1" x14ac:dyDescent="0.2">
      <c r="C3896" s="189"/>
      <c r="F3896" s="73"/>
      <c r="M3896" s="111"/>
      <c r="N3896" s="73"/>
      <c r="O3896" s="73"/>
      <c r="P3896" s="73"/>
      <c r="Q3896" s="73"/>
      <c r="R3896" s="111"/>
      <c r="S3896" s="75"/>
      <c r="T3896" s="73"/>
      <c r="X3896" s="189"/>
      <c r="Y3896" s="189"/>
      <c r="Z3896" s="100"/>
      <c r="AC3896" s="84"/>
      <c r="AD3896" s="189"/>
      <c r="AE3896" s="189"/>
      <c r="AF3896" s="189"/>
      <c r="AG3896" s="189"/>
      <c r="AH3896" s="189"/>
      <c r="AP3896" s="238"/>
    </row>
    <row r="3897" spans="3:42" s="45" customFormat="1" x14ac:dyDescent="0.2">
      <c r="C3897" s="189"/>
      <c r="F3897" s="73"/>
      <c r="M3897" s="111"/>
      <c r="N3897" s="73"/>
      <c r="O3897" s="73"/>
      <c r="P3897" s="73"/>
      <c r="Q3897" s="73"/>
      <c r="R3897" s="111"/>
      <c r="S3897" s="75"/>
      <c r="T3897" s="73"/>
      <c r="X3897" s="189"/>
      <c r="Y3897" s="189"/>
      <c r="Z3897" s="100"/>
      <c r="AC3897" s="84"/>
      <c r="AD3897" s="189"/>
      <c r="AE3897" s="189"/>
      <c r="AF3897" s="189"/>
      <c r="AG3897" s="189"/>
      <c r="AH3897" s="189"/>
      <c r="AP3897" s="238"/>
    </row>
    <row r="3898" spans="3:42" s="45" customFormat="1" x14ac:dyDescent="0.2">
      <c r="C3898" s="189"/>
      <c r="F3898" s="73"/>
      <c r="M3898" s="111"/>
      <c r="N3898" s="73"/>
      <c r="O3898" s="73"/>
      <c r="P3898" s="73"/>
      <c r="Q3898" s="73"/>
      <c r="R3898" s="111"/>
      <c r="S3898" s="75"/>
      <c r="T3898" s="73"/>
      <c r="X3898" s="189"/>
      <c r="Y3898" s="189"/>
      <c r="Z3898" s="100"/>
      <c r="AC3898" s="84"/>
      <c r="AD3898" s="189"/>
      <c r="AE3898" s="189"/>
      <c r="AF3898" s="189"/>
      <c r="AG3898" s="189"/>
      <c r="AH3898" s="189"/>
      <c r="AP3898" s="238"/>
    </row>
    <row r="3899" spans="3:42" s="45" customFormat="1" x14ac:dyDescent="0.2">
      <c r="C3899" s="189"/>
      <c r="F3899" s="73"/>
      <c r="M3899" s="111"/>
      <c r="N3899" s="73"/>
      <c r="O3899" s="73"/>
      <c r="P3899" s="73"/>
      <c r="Q3899" s="73"/>
      <c r="R3899" s="111"/>
      <c r="S3899" s="75"/>
      <c r="T3899" s="73"/>
      <c r="X3899" s="189"/>
      <c r="Y3899" s="189"/>
      <c r="Z3899" s="100"/>
      <c r="AC3899" s="84"/>
      <c r="AD3899" s="189"/>
      <c r="AE3899" s="189"/>
      <c r="AF3899" s="189"/>
      <c r="AG3899" s="189"/>
      <c r="AH3899" s="189"/>
      <c r="AP3899" s="238"/>
    </row>
    <row r="3900" spans="3:42" s="45" customFormat="1" x14ac:dyDescent="0.2">
      <c r="C3900" s="189"/>
      <c r="F3900" s="73"/>
      <c r="M3900" s="111"/>
      <c r="N3900" s="73"/>
      <c r="O3900" s="73"/>
      <c r="P3900" s="73"/>
      <c r="Q3900" s="73"/>
      <c r="R3900" s="111"/>
      <c r="S3900" s="75"/>
      <c r="T3900" s="73"/>
      <c r="X3900" s="189"/>
      <c r="Y3900" s="189"/>
      <c r="Z3900" s="100"/>
      <c r="AC3900" s="84"/>
      <c r="AD3900" s="189"/>
      <c r="AE3900" s="189"/>
      <c r="AF3900" s="189"/>
      <c r="AG3900" s="189"/>
      <c r="AH3900" s="189"/>
      <c r="AP3900" s="238"/>
    </row>
    <row r="3901" spans="3:42" s="45" customFormat="1" x14ac:dyDescent="0.2">
      <c r="C3901" s="189"/>
      <c r="F3901" s="73"/>
      <c r="M3901" s="111"/>
      <c r="N3901" s="73"/>
      <c r="O3901" s="73"/>
      <c r="P3901" s="73"/>
      <c r="Q3901" s="73"/>
      <c r="R3901" s="111"/>
      <c r="S3901" s="75"/>
      <c r="T3901" s="73"/>
      <c r="X3901" s="189"/>
      <c r="Y3901" s="189"/>
      <c r="Z3901" s="100"/>
      <c r="AC3901" s="84"/>
      <c r="AD3901" s="189"/>
      <c r="AE3901" s="189"/>
      <c r="AF3901" s="189"/>
      <c r="AG3901" s="189"/>
      <c r="AH3901" s="189"/>
      <c r="AP3901" s="238"/>
    </row>
    <row r="3902" spans="3:42" s="45" customFormat="1" x14ac:dyDescent="0.2">
      <c r="C3902" s="189"/>
      <c r="F3902" s="73"/>
      <c r="M3902" s="111"/>
      <c r="N3902" s="73"/>
      <c r="O3902" s="73"/>
      <c r="P3902" s="73"/>
      <c r="Q3902" s="73"/>
      <c r="R3902" s="111"/>
      <c r="S3902" s="75"/>
      <c r="T3902" s="73"/>
      <c r="X3902" s="189"/>
      <c r="Y3902" s="189"/>
      <c r="Z3902" s="100"/>
      <c r="AC3902" s="84"/>
      <c r="AD3902" s="189"/>
      <c r="AE3902" s="189"/>
      <c r="AF3902" s="189"/>
      <c r="AG3902" s="189"/>
      <c r="AH3902" s="189"/>
      <c r="AP3902" s="238"/>
    </row>
    <row r="3903" spans="3:42" s="45" customFormat="1" x14ac:dyDescent="0.2">
      <c r="C3903" s="189"/>
      <c r="F3903" s="73"/>
      <c r="M3903" s="111"/>
      <c r="N3903" s="73"/>
      <c r="O3903" s="73"/>
      <c r="P3903" s="73"/>
      <c r="Q3903" s="73"/>
      <c r="R3903" s="111"/>
      <c r="S3903" s="75"/>
      <c r="T3903" s="73"/>
      <c r="X3903" s="189"/>
      <c r="Y3903" s="189"/>
      <c r="Z3903" s="100"/>
      <c r="AC3903" s="84"/>
      <c r="AD3903" s="189"/>
      <c r="AE3903" s="189"/>
      <c r="AF3903" s="189"/>
      <c r="AG3903" s="189"/>
      <c r="AH3903" s="189"/>
      <c r="AP3903" s="238"/>
    </row>
    <row r="3904" spans="3:42" s="45" customFormat="1" x14ac:dyDescent="0.2">
      <c r="C3904" s="189"/>
      <c r="F3904" s="73"/>
      <c r="M3904" s="111"/>
      <c r="N3904" s="73"/>
      <c r="O3904" s="73"/>
      <c r="P3904" s="73"/>
      <c r="Q3904" s="73"/>
      <c r="R3904" s="111"/>
      <c r="S3904" s="75"/>
      <c r="T3904" s="73"/>
      <c r="X3904" s="189"/>
      <c r="Y3904" s="189"/>
      <c r="Z3904" s="100"/>
      <c r="AC3904" s="84"/>
      <c r="AD3904" s="189"/>
      <c r="AE3904" s="189"/>
      <c r="AF3904" s="189"/>
      <c r="AG3904" s="189"/>
      <c r="AH3904" s="189"/>
      <c r="AP3904" s="238"/>
    </row>
    <row r="3905" spans="3:42" s="45" customFormat="1" x14ac:dyDescent="0.2">
      <c r="C3905" s="189"/>
      <c r="F3905" s="73"/>
      <c r="M3905" s="111"/>
      <c r="N3905" s="73"/>
      <c r="O3905" s="73"/>
      <c r="P3905" s="73"/>
      <c r="Q3905" s="73"/>
      <c r="R3905" s="111"/>
      <c r="S3905" s="75"/>
      <c r="T3905" s="73"/>
      <c r="X3905" s="189"/>
      <c r="Y3905" s="189"/>
      <c r="Z3905" s="100"/>
      <c r="AC3905" s="84"/>
      <c r="AD3905" s="189"/>
      <c r="AE3905" s="189"/>
      <c r="AF3905" s="189"/>
      <c r="AG3905" s="189"/>
      <c r="AH3905" s="189"/>
      <c r="AP3905" s="238"/>
    </row>
    <row r="3906" spans="3:42" s="45" customFormat="1" x14ac:dyDescent="0.2">
      <c r="C3906" s="189"/>
      <c r="F3906" s="73"/>
      <c r="M3906" s="111"/>
      <c r="N3906" s="73"/>
      <c r="O3906" s="73"/>
      <c r="P3906" s="73"/>
      <c r="Q3906" s="73"/>
      <c r="R3906" s="111"/>
      <c r="S3906" s="75"/>
      <c r="T3906" s="73"/>
      <c r="X3906" s="189"/>
      <c r="Y3906" s="189"/>
      <c r="Z3906" s="100"/>
      <c r="AC3906" s="84"/>
      <c r="AD3906" s="189"/>
      <c r="AE3906" s="189"/>
      <c r="AF3906" s="189"/>
      <c r="AG3906" s="189"/>
      <c r="AH3906" s="189"/>
      <c r="AP3906" s="238"/>
    </row>
    <row r="3907" spans="3:42" s="45" customFormat="1" x14ac:dyDescent="0.2">
      <c r="C3907" s="189"/>
      <c r="F3907" s="73"/>
      <c r="M3907" s="111"/>
      <c r="N3907" s="73"/>
      <c r="O3907" s="73"/>
      <c r="P3907" s="73"/>
      <c r="Q3907" s="73"/>
      <c r="R3907" s="111"/>
      <c r="S3907" s="75"/>
      <c r="T3907" s="73"/>
      <c r="X3907" s="189"/>
      <c r="Y3907" s="189"/>
      <c r="Z3907" s="100"/>
      <c r="AC3907" s="84"/>
      <c r="AD3907" s="189"/>
      <c r="AE3907" s="189"/>
      <c r="AF3907" s="189"/>
      <c r="AG3907" s="189"/>
      <c r="AH3907" s="189"/>
      <c r="AP3907" s="238"/>
    </row>
    <row r="3908" spans="3:42" s="45" customFormat="1" x14ac:dyDescent="0.2">
      <c r="C3908" s="189"/>
      <c r="F3908" s="73"/>
      <c r="M3908" s="111"/>
      <c r="N3908" s="73"/>
      <c r="O3908" s="73"/>
      <c r="P3908" s="73"/>
      <c r="Q3908" s="73"/>
      <c r="R3908" s="111"/>
      <c r="S3908" s="75"/>
      <c r="T3908" s="73"/>
      <c r="X3908" s="189"/>
      <c r="Y3908" s="189"/>
      <c r="Z3908" s="100"/>
      <c r="AC3908" s="84"/>
      <c r="AD3908" s="189"/>
      <c r="AE3908" s="189"/>
      <c r="AF3908" s="189"/>
      <c r="AG3908" s="189"/>
      <c r="AH3908" s="189"/>
      <c r="AP3908" s="238"/>
    </row>
    <row r="3909" spans="3:42" s="45" customFormat="1" x14ac:dyDescent="0.2">
      <c r="C3909" s="189"/>
      <c r="F3909" s="73"/>
      <c r="M3909" s="111"/>
      <c r="N3909" s="73"/>
      <c r="O3909" s="73"/>
      <c r="P3909" s="73"/>
      <c r="Q3909" s="73"/>
      <c r="R3909" s="111"/>
      <c r="S3909" s="75"/>
      <c r="T3909" s="73"/>
      <c r="X3909" s="189"/>
      <c r="Y3909" s="189"/>
      <c r="Z3909" s="100"/>
      <c r="AC3909" s="84"/>
      <c r="AD3909" s="189"/>
      <c r="AE3909" s="189"/>
      <c r="AF3909" s="189"/>
      <c r="AG3909" s="189"/>
      <c r="AH3909" s="189"/>
      <c r="AP3909" s="238"/>
    </row>
    <row r="3910" spans="3:42" s="45" customFormat="1" x14ac:dyDescent="0.2">
      <c r="C3910" s="189"/>
      <c r="F3910" s="73"/>
      <c r="M3910" s="111"/>
      <c r="N3910" s="73"/>
      <c r="O3910" s="73"/>
      <c r="P3910" s="73"/>
      <c r="Q3910" s="73"/>
      <c r="R3910" s="111"/>
      <c r="S3910" s="75"/>
      <c r="T3910" s="73"/>
      <c r="X3910" s="189"/>
      <c r="Y3910" s="189"/>
      <c r="Z3910" s="100"/>
      <c r="AC3910" s="84"/>
      <c r="AD3910" s="189"/>
      <c r="AE3910" s="189"/>
      <c r="AF3910" s="189"/>
      <c r="AG3910" s="189"/>
      <c r="AH3910" s="189"/>
      <c r="AP3910" s="238"/>
    </row>
    <row r="3911" spans="3:42" s="45" customFormat="1" x14ac:dyDescent="0.2">
      <c r="C3911" s="189"/>
      <c r="F3911" s="73"/>
      <c r="M3911" s="111"/>
      <c r="N3911" s="73"/>
      <c r="O3911" s="73"/>
      <c r="P3911" s="73"/>
      <c r="Q3911" s="73"/>
      <c r="R3911" s="111"/>
      <c r="S3911" s="75"/>
      <c r="T3911" s="73"/>
      <c r="X3911" s="189"/>
      <c r="Y3911" s="189"/>
      <c r="Z3911" s="100"/>
      <c r="AC3911" s="84"/>
      <c r="AD3911" s="189"/>
      <c r="AE3911" s="189"/>
      <c r="AF3911" s="189"/>
      <c r="AG3911" s="189"/>
      <c r="AH3911" s="189"/>
      <c r="AP3911" s="238"/>
    </row>
    <row r="3912" spans="3:42" s="45" customFormat="1" x14ac:dyDescent="0.2">
      <c r="C3912" s="189"/>
      <c r="F3912" s="73"/>
      <c r="M3912" s="111"/>
      <c r="N3912" s="73"/>
      <c r="O3912" s="73"/>
      <c r="P3912" s="73"/>
      <c r="Q3912" s="73"/>
      <c r="R3912" s="111"/>
      <c r="S3912" s="75"/>
      <c r="T3912" s="73"/>
      <c r="X3912" s="189"/>
      <c r="Y3912" s="189"/>
      <c r="Z3912" s="100"/>
      <c r="AC3912" s="84"/>
      <c r="AD3912" s="189"/>
      <c r="AE3912" s="189"/>
      <c r="AF3912" s="189"/>
      <c r="AG3912" s="189"/>
      <c r="AH3912" s="189"/>
      <c r="AP3912" s="238"/>
    </row>
    <row r="3913" spans="3:42" s="45" customFormat="1" x14ac:dyDescent="0.2">
      <c r="C3913" s="189"/>
      <c r="F3913" s="73"/>
      <c r="M3913" s="111"/>
      <c r="N3913" s="73"/>
      <c r="O3913" s="73"/>
      <c r="P3913" s="73"/>
      <c r="Q3913" s="73"/>
      <c r="R3913" s="111"/>
      <c r="S3913" s="75"/>
      <c r="T3913" s="73"/>
      <c r="X3913" s="189"/>
      <c r="Y3913" s="189"/>
      <c r="Z3913" s="100"/>
      <c r="AC3913" s="84"/>
      <c r="AD3913" s="189"/>
      <c r="AE3913" s="189"/>
      <c r="AF3913" s="189"/>
      <c r="AG3913" s="189"/>
      <c r="AH3913" s="189"/>
      <c r="AP3913" s="238"/>
    </row>
    <row r="3914" spans="3:42" s="45" customFormat="1" x14ac:dyDescent="0.2">
      <c r="C3914" s="189"/>
      <c r="F3914" s="73"/>
      <c r="M3914" s="111"/>
      <c r="N3914" s="73"/>
      <c r="O3914" s="73"/>
      <c r="P3914" s="73"/>
      <c r="Q3914" s="73"/>
      <c r="R3914" s="111"/>
      <c r="S3914" s="75"/>
      <c r="T3914" s="73"/>
      <c r="X3914" s="189"/>
      <c r="Y3914" s="189"/>
      <c r="Z3914" s="100"/>
      <c r="AC3914" s="84"/>
      <c r="AD3914" s="189"/>
      <c r="AE3914" s="189"/>
      <c r="AF3914" s="189"/>
      <c r="AG3914" s="189"/>
      <c r="AH3914" s="189"/>
      <c r="AP3914" s="238"/>
    </row>
    <row r="3915" spans="3:42" s="45" customFormat="1" x14ac:dyDescent="0.2">
      <c r="C3915" s="189"/>
      <c r="F3915" s="73"/>
      <c r="M3915" s="111"/>
      <c r="N3915" s="73"/>
      <c r="O3915" s="73"/>
      <c r="P3915" s="73"/>
      <c r="Q3915" s="73"/>
      <c r="R3915" s="111"/>
      <c r="S3915" s="75"/>
      <c r="T3915" s="73"/>
      <c r="X3915" s="189"/>
      <c r="Y3915" s="189"/>
      <c r="Z3915" s="100"/>
      <c r="AC3915" s="84"/>
      <c r="AD3915" s="189"/>
      <c r="AE3915" s="189"/>
      <c r="AF3915" s="189"/>
      <c r="AG3915" s="189"/>
      <c r="AH3915" s="189"/>
      <c r="AP3915" s="238"/>
    </row>
    <row r="3916" spans="3:42" s="45" customFormat="1" x14ac:dyDescent="0.2">
      <c r="C3916" s="189"/>
      <c r="F3916" s="73"/>
      <c r="M3916" s="111"/>
      <c r="N3916" s="73"/>
      <c r="O3916" s="73"/>
      <c r="P3916" s="73"/>
      <c r="Q3916" s="73"/>
      <c r="R3916" s="111"/>
      <c r="S3916" s="75"/>
      <c r="T3916" s="73"/>
      <c r="X3916" s="189"/>
      <c r="Y3916" s="189"/>
      <c r="Z3916" s="100"/>
      <c r="AC3916" s="84"/>
      <c r="AD3916" s="189"/>
      <c r="AE3916" s="189"/>
      <c r="AF3916" s="189"/>
      <c r="AG3916" s="189"/>
      <c r="AH3916" s="189"/>
      <c r="AP3916" s="238"/>
    </row>
    <row r="3917" spans="3:42" s="45" customFormat="1" x14ac:dyDescent="0.2">
      <c r="C3917" s="189"/>
      <c r="F3917" s="73"/>
      <c r="M3917" s="111"/>
      <c r="N3917" s="73"/>
      <c r="O3917" s="73"/>
      <c r="P3917" s="73"/>
      <c r="Q3917" s="73"/>
      <c r="R3917" s="111"/>
      <c r="S3917" s="75"/>
      <c r="T3917" s="73"/>
      <c r="X3917" s="189"/>
      <c r="Y3917" s="189"/>
      <c r="Z3917" s="100"/>
      <c r="AC3917" s="84"/>
      <c r="AD3917" s="189"/>
      <c r="AE3917" s="189"/>
      <c r="AF3917" s="189"/>
      <c r="AG3917" s="189"/>
      <c r="AH3917" s="189"/>
      <c r="AP3917" s="238"/>
    </row>
    <row r="3918" spans="3:42" s="45" customFormat="1" x14ac:dyDescent="0.2">
      <c r="C3918" s="189"/>
      <c r="F3918" s="73"/>
      <c r="M3918" s="111"/>
      <c r="N3918" s="73"/>
      <c r="O3918" s="73"/>
      <c r="P3918" s="73"/>
      <c r="Q3918" s="73"/>
      <c r="R3918" s="111"/>
      <c r="S3918" s="75"/>
      <c r="T3918" s="73"/>
      <c r="X3918" s="189"/>
      <c r="Y3918" s="189"/>
      <c r="Z3918" s="100"/>
      <c r="AC3918" s="84"/>
      <c r="AD3918" s="189"/>
      <c r="AE3918" s="189"/>
      <c r="AF3918" s="189"/>
      <c r="AG3918" s="189"/>
      <c r="AH3918" s="189"/>
      <c r="AP3918" s="238"/>
    </row>
    <row r="3919" spans="3:42" s="45" customFormat="1" x14ac:dyDescent="0.2">
      <c r="C3919" s="189"/>
      <c r="F3919" s="73"/>
      <c r="M3919" s="111"/>
      <c r="N3919" s="73"/>
      <c r="O3919" s="73"/>
      <c r="P3919" s="73"/>
      <c r="Q3919" s="73"/>
      <c r="R3919" s="111"/>
      <c r="S3919" s="75"/>
      <c r="T3919" s="73"/>
      <c r="X3919" s="189"/>
      <c r="Y3919" s="189"/>
      <c r="Z3919" s="100"/>
      <c r="AC3919" s="84"/>
      <c r="AD3919" s="189"/>
      <c r="AE3919" s="189"/>
      <c r="AF3919" s="189"/>
      <c r="AG3919" s="189"/>
      <c r="AH3919" s="189"/>
      <c r="AP3919" s="238"/>
    </row>
    <row r="3920" spans="3:42" s="45" customFormat="1" x14ac:dyDescent="0.2">
      <c r="C3920" s="189"/>
      <c r="F3920" s="73"/>
      <c r="M3920" s="111"/>
      <c r="N3920" s="73"/>
      <c r="O3920" s="73"/>
      <c r="P3920" s="73"/>
      <c r="Q3920" s="73"/>
      <c r="R3920" s="111"/>
      <c r="S3920" s="75"/>
      <c r="T3920" s="73"/>
      <c r="X3920" s="189"/>
      <c r="Y3920" s="189"/>
      <c r="Z3920" s="100"/>
      <c r="AC3920" s="84"/>
      <c r="AD3920" s="189"/>
      <c r="AE3920" s="189"/>
      <c r="AF3920" s="189"/>
      <c r="AG3920" s="189"/>
      <c r="AH3920" s="189"/>
      <c r="AP3920" s="238"/>
    </row>
    <row r="3921" spans="3:42" s="45" customFormat="1" x14ac:dyDescent="0.2">
      <c r="C3921" s="189"/>
      <c r="F3921" s="73"/>
      <c r="M3921" s="111"/>
      <c r="N3921" s="73"/>
      <c r="O3921" s="73"/>
      <c r="P3921" s="73"/>
      <c r="Q3921" s="73"/>
      <c r="R3921" s="111"/>
      <c r="S3921" s="75"/>
      <c r="T3921" s="73"/>
      <c r="X3921" s="189"/>
      <c r="Y3921" s="189"/>
      <c r="Z3921" s="100"/>
      <c r="AC3921" s="84"/>
      <c r="AD3921" s="189"/>
      <c r="AE3921" s="189"/>
      <c r="AF3921" s="189"/>
      <c r="AG3921" s="189"/>
      <c r="AH3921" s="189"/>
      <c r="AP3921" s="238"/>
    </row>
    <row r="3922" spans="3:42" s="45" customFormat="1" x14ac:dyDescent="0.2">
      <c r="C3922" s="189"/>
      <c r="F3922" s="73"/>
      <c r="M3922" s="111"/>
      <c r="N3922" s="73"/>
      <c r="O3922" s="73"/>
      <c r="P3922" s="73"/>
      <c r="Q3922" s="73"/>
      <c r="R3922" s="111"/>
      <c r="S3922" s="75"/>
      <c r="T3922" s="73"/>
      <c r="X3922" s="189"/>
      <c r="Y3922" s="189"/>
      <c r="Z3922" s="100"/>
      <c r="AC3922" s="84"/>
      <c r="AD3922" s="189"/>
      <c r="AE3922" s="189"/>
      <c r="AF3922" s="189"/>
      <c r="AG3922" s="189"/>
      <c r="AH3922" s="189"/>
      <c r="AP3922" s="238"/>
    </row>
    <row r="3923" spans="3:42" s="45" customFormat="1" x14ac:dyDescent="0.2">
      <c r="C3923" s="189"/>
      <c r="F3923" s="73"/>
      <c r="M3923" s="111"/>
      <c r="N3923" s="73"/>
      <c r="O3923" s="73"/>
      <c r="P3923" s="73"/>
      <c r="Q3923" s="73"/>
      <c r="R3923" s="111"/>
      <c r="S3923" s="75"/>
      <c r="T3923" s="73"/>
      <c r="X3923" s="189"/>
      <c r="Y3923" s="189"/>
      <c r="Z3923" s="100"/>
      <c r="AC3923" s="84"/>
      <c r="AD3923" s="189"/>
      <c r="AE3923" s="189"/>
      <c r="AF3923" s="189"/>
      <c r="AG3923" s="189"/>
      <c r="AH3923" s="189"/>
      <c r="AP3923" s="238"/>
    </row>
    <row r="3924" spans="3:42" s="45" customFormat="1" x14ac:dyDescent="0.2">
      <c r="C3924" s="189"/>
      <c r="F3924" s="73"/>
      <c r="M3924" s="111"/>
      <c r="N3924" s="73"/>
      <c r="O3924" s="73"/>
      <c r="P3924" s="73"/>
      <c r="Q3924" s="73"/>
      <c r="R3924" s="111"/>
      <c r="S3924" s="75"/>
      <c r="T3924" s="73"/>
      <c r="X3924" s="189"/>
      <c r="Y3924" s="189"/>
      <c r="Z3924" s="100"/>
      <c r="AC3924" s="84"/>
      <c r="AD3924" s="189"/>
      <c r="AE3924" s="189"/>
      <c r="AF3924" s="189"/>
      <c r="AG3924" s="189"/>
      <c r="AH3924" s="189"/>
      <c r="AP3924" s="238"/>
    </row>
    <row r="3925" spans="3:42" s="45" customFormat="1" x14ac:dyDescent="0.2">
      <c r="C3925" s="189"/>
      <c r="F3925" s="73"/>
      <c r="M3925" s="111"/>
      <c r="N3925" s="73"/>
      <c r="O3925" s="73"/>
      <c r="P3925" s="73"/>
      <c r="Q3925" s="73"/>
      <c r="R3925" s="111"/>
      <c r="S3925" s="75"/>
      <c r="T3925" s="73"/>
      <c r="X3925" s="189"/>
      <c r="Y3925" s="189"/>
      <c r="Z3925" s="100"/>
      <c r="AC3925" s="84"/>
      <c r="AD3925" s="189"/>
      <c r="AE3925" s="189"/>
      <c r="AF3925" s="189"/>
      <c r="AG3925" s="189"/>
      <c r="AH3925" s="189"/>
      <c r="AP3925" s="238"/>
    </row>
    <row r="3926" spans="3:42" s="45" customFormat="1" x14ac:dyDescent="0.2">
      <c r="C3926" s="189"/>
      <c r="F3926" s="73"/>
      <c r="M3926" s="111"/>
      <c r="N3926" s="73"/>
      <c r="O3926" s="73"/>
      <c r="P3926" s="73"/>
      <c r="Q3926" s="73"/>
      <c r="R3926" s="111"/>
      <c r="S3926" s="75"/>
      <c r="T3926" s="73"/>
      <c r="X3926" s="189"/>
      <c r="Y3926" s="189"/>
      <c r="Z3926" s="100"/>
      <c r="AC3926" s="84"/>
      <c r="AD3926" s="189"/>
      <c r="AE3926" s="189"/>
      <c r="AF3926" s="189"/>
      <c r="AG3926" s="189"/>
      <c r="AH3926" s="189"/>
      <c r="AP3926" s="238"/>
    </row>
    <row r="3927" spans="3:42" s="45" customFormat="1" x14ac:dyDescent="0.2">
      <c r="C3927" s="189"/>
      <c r="F3927" s="73"/>
      <c r="M3927" s="111"/>
      <c r="N3927" s="73"/>
      <c r="O3927" s="73"/>
      <c r="P3927" s="73"/>
      <c r="Q3927" s="73"/>
      <c r="R3927" s="111"/>
      <c r="S3927" s="75"/>
      <c r="T3927" s="73"/>
      <c r="X3927" s="189"/>
      <c r="Y3927" s="189"/>
      <c r="Z3927" s="100"/>
      <c r="AC3927" s="84"/>
      <c r="AD3927" s="189"/>
      <c r="AE3927" s="189"/>
      <c r="AF3927" s="189"/>
      <c r="AG3927" s="189"/>
      <c r="AH3927" s="189"/>
      <c r="AP3927" s="238"/>
    </row>
    <row r="3928" spans="3:42" s="45" customFormat="1" x14ac:dyDescent="0.2">
      <c r="C3928" s="189"/>
      <c r="F3928" s="73"/>
      <c r="M3928" s="111"/>
      <c r="N3928" s="73"/>
      <c r="O3928" s="73"/>
      <c r="P3928" s="73"/>
      <c r="Q3928" s="73"/>
      <c r="R3928" s="111"/>
      <c r="S3928" s="75"/>
      <c r="T3928" s="73"/>
      <c r="X3928" s="189"/>
      <c r="Y3928" s="189"/>
      <c r="Z3928" s="100"/>
      <c r="AC3928" s="84"/>
      <c r="AD3928" s="189"/>
      <c r="AE3928" s="189"/>
      <c r="AF3928" s="189"/>
      <c r="AG3928" s="189"/>
      <c r="AH3928" s="189"/>
      <c r="AP3928" s="238"/>
    </row>
    <row r="3929" spans="3:42" s="45" customFormat="1" x14ac:dyDescent="0.2">
      <c r="C3929" s="189"/>
      <c r="F3929" s="73"/>
      <c r="M3929" s="111"/>
      <c r="N3929" s="73"/>
      <c r="O3929" s="73"/>
      <c r="P3929" s="73"/>
      <c r="Q3929" s="73"/>
      <c r="R3929" s="111"/>
      <c r="S3929" s="75"/>
      <c r="T3929" s="73"/>
      <c r="X3929" s="189"/>
      <c r="Y3929" s="189"/>
      <c r="Z3929" s="100"/>
      <c r="AC3929" s="84"/>
      <c r="AD3929" s="189"/>
      <c r="AE3929" s="189"/>
      <c r="AF3929" s="189"/>
      <c r="AG3929" s="189"/>
      <c r="AH3929" s="189"/>
      <c r="AP3929" s="238"/>
    </row>
    <row r="3930" spans="3:42" s="45" customFormat="1" x14ac:dyDescent="0.2">
      <c r="C3930" s="189"/>
      <c r="F3930" s="73"/>
      <c r="M3930" s="111"/>
      <c r="N3930" s="73"/>
      <c r="O3930" s="73"/>
      <c r="P3930" s="73"/>
      <c r="Q3930" s="73"/>
      <c r="R3930" s="111"/>
      <c r="S3930" s="75"/>
      <c r="T3930" s="73"/>
      <c r="X3930" s="189"/>
      <c r="Y3930" s="189"/>
      <c r="Z3930" s="100"/>
      <c r="AC3930" s="84"/>
      <c r="AD3930" s="189"/>
      <c r="AE3930" s="189"/>
      <c r="AF3930" s="189"/>
      <c r="AG3930" s="189"/>
      <c r="AH3930" s="189"/>
      <c r="AP3930" s="238"/>
    </row>
    <row r="3931" spans="3:42" s="45" customFormat="1" x14ac:dyDescent="0.2">
      <c r="C3931" s="189"/>
      <c r="F3931" s="73"/>
      <c r="M3931" s="111"/>
      <c r="N3931" s="73"/>
      <c r="O3931" s="73"/>
      <c r="P3931" s="73"/>
      <c r="Q3931" s="73"/>
      <c r="R3931" s="111"/>
      <c r="S3931" s="75"/>
      <c r="T3931" s="73"/>
      <c r="X3931" s="189"/>
      <c r="Y3931" s="189"/>
      <c r="Z3931" s="100"/>
      <c r="AC3931" s="84"/>
      <c r="AD3931" s="189"/>
      <c r="AE3931" s="189"/>
      <c r="AF3931" s="189"/>
      <c r="AG3931" s="189"/>
      <c r="AH3931" s="189"/>
      <c r="AP3931" s="238"/>
    </row>
    <row r="3932" spans="3:42" s="45" customFormat="1" x14ac:dyDescent="0.2">
      <c r="C3932" s="189"/>
      <c r="F3932" s="73"/>
      <c r="M3932" s="111"/>
      <c r="N3932" s="73"/>
      <c r="O3932" s="73"/>
      <c r="P3932" s="73"/>
      <c r="Q3932" s="73"/>
      <c r="R3932" s="111"/>
      <c r="S3932" s="75"/>
      <c r="T3932" s="73"/>
      <c r="X3932" s="189"/>
      <c r="Y3932" s="189"/>
      <c r="Z3932" s="100"/>
      <c r="AC3932" s="84"/>
      <c r="AD3932" s="189"/>
      <c r="AE3932" s="189"/>
      <c r="AF3932" s="189"/>
      <c r="AG3932" s="189"/>
      <c r="AH3932" s="189"/>
      <c r="AP3932" s="238"/>
    </row>
    <row r="3933" spans="3:42" s="45" customFormat="1" x14ac:dyDescent="0.2">
      <c r="C3933" s="189"/>
      <c r="F3933" s="73"/>
      <c r="M3933" s="111"/>
      <c r="N3933" s="73"/>
      <c r="O3933" s="73"/>
      <c r="P3933" s="73"/>
      <c r="Q3933" s="73"/>
      <c r="R3933" s="111"/>
      <c r="S3933" s="75"/>
      <c r="T3933" s="73"/>
      <c r="X3933" s="189"/>
      <c r="Y3933" s="189"/>
      <c r="Z3933" s="100"/>
      <c r="AC3933" s="84"/>
      <c r="AD3933" s="189"/>
      <c r="AE3933" s="189"/>
      <c r="AF3933" s="189"/>
      <c r="AG3933" s="189"/>
      <c r="AH3933" s="189"/>
      <c r="AP3933" s="238"/>
    </row>
    <row r="3934" spans="3:42" s="45" customFormat="1" x14ac:dyDescent="0.2">
      <c r="C3934" s="189"/>
      <c r="F3934" s="73"/>
      <c r="M3934" s="111"/>
      <c r="N3934" s="73"/>
      <c r="O3934" s="73"/>
      <c r="P3934" s="73"/>
      <c r="Q3934" s="73"/>
      <c r="R3934" s="111"/>
      <c r="S3934" s="75"/>
      <c r="T3934" s="73"/>
      <c r="X3934" s="189"/>
      <c r="Y3934" s="189"/>
      <c r="Z3934" s="100"/>
      <c r="AC3934" s="84"/>
      <c r="AD3934" s="189"/>
      <c r="AE3934" s="189"/>
      <c r="AF3934" s="189"/>
      <c r="AG3934" s="189"/>
      <c r="AH3934" s="189"/>
      <c r="AP3934" s="238"/>
    </row>
    <row r="3935" spans="3:42" s="45" customFormat="1" x14ac:dyDescent="0.2">
      <c r="C3935" s="189"/>
      <c r="F3935" s="73"/>
      <c r="M3935" s="111"/>
      <c r="N3935" s="73"/>
      <c r="O3935" s="73"/>
      <c r="P3935" s="73"/>
      <c r="Q3935" s="73"/>
      <c r="R3935" s="111"/>
      <c r="S3935" s="75"/>
      <c r="T3935" s="73"/>
      <c r="X3935" s="189"/>
      <c r="Y3935" s="189"/>
      <c r="Z3935" s="100"/>
      <c r="AC3935" s="84"/>
      <c r="AD3935" s="189"/>
      <c r="AE3935" s="189"/>
      <c r="AF3935" s="189"/>
      <c r="AG3935" s="189"/>
      <c r="AH3935" s="189"/>
      <c r="AP3935" s="238"/>
    </row>
    <row r="3936" spans="3:42" s="45" customFormat="1" x14ac:dyDescent="0.2">
      <c r="C3936" s="189"/>
      <c r="F3936" s="73"/>
      <c r="M3936" s="111"/>
      <c r="N3936" s="73"/>
      <c r="O3936" s="73"/>
      <c r="P3936" s="73"/>
      <c r="Q3936" s="73"/>
      <c r="R3936" s="111"/>
      <c r="S3936" s="75"/>
      <c r="T3936" s="73"/>
      <c r="X3936" s="189"/>
      <c r="Y3936" s="189"/>
      <c r="Z3936" s="100"/>
      <c r="AC3936" s="84"/>
      <c r="AD3936" s="189"/>
      <c r="AE3936" s="189"/>
      <c r="AF3936" s="189"/>
      <c r="AG3936" s="189"/>
      <c r="AH3936" s="189"/>
      <c r="AP3936" s="238"/>
    </row>
    <row r="3937" spans="3:42" s="45" customFormat="1" x14ac:dyDescent="0.2">
      <c r="C3937" s="189"/>
      <c r="F3937" s="73"/>
      <c r="M3937" s="111"/>
      <c r="N3937" s="73"/>
      <c r="O3937" s="73"/>
      <c r="P3937" s="73"/>
      <c r="Q3937" s="73"/>
      <c r="R3937" s="111"/>
      <c r="S3937" s="75"/>
      <c r="T3937" s="73"/>
      <c r="X3937" s="189"/>
      <c r="Y3937" s="189"/>
      <c r="Z3937" s="100"/>
      <c r="AC3937" s="84"/>
      <c r="AD3937" s="189"/>
      <c r="AE3937" s="189"/>
      <c r="AF3937" s="189"/>
      <c r="AG3937" s="189"/>
      <c r="AH3937" s="189"/>
      <c r="AP3937" s="238"/>
    </row>
    <row r="3938" spans="3:42" s="45" customFormat="1" x14ac:dyDescent="0.2">
      <c r="C3938" s="189"/>
      <c r="F3938" s="73"/>
      <c r="M3938" s="111"/>
      <c r="N3938" s="73"/>
      <c r="O3938" s="73"/>
      <c r="P3938" s="73"/>
      <c r="Q3938" s="73"/>
      <c r="R3938" s="111"/>
      <c r="S3938" s="75"/>
      <c r="T3938" s="73"/>
      <c r="X3938" s="189"/>
      <c r="Y3938" s="189"/>
      <c r="Z3938" s="100"/>
      <c r="AC3938" s="84"/>
      <c r="AD3938" s="189"/>
      <c r="AE3938" s="189"/>
      <c r="AF3938" s="189"/>
      <c r="AG3938" s="189"/>
      <c r="AH3938" s="189"/>
      <c r="AP3938" s="238"/>
    </row>
    <row r="3939" spans="3:42" s="45" customFormat="1" x14ac:dyDescent="0.2">
      <c r="C3939" s="189"/>
      <c r="F3939" s="73"/>
      <c r="M3939" s="111"/>
      <c r="N3939" s="73"/>
      <c r="O3939" s="73"/>
      <c r="P3939" s="73"/>
      <c r="Q3939" s="73"/>
      <c r="R3939" s="111"/>
      <c r="S3939" s="75"/>
      <c r="T3939" s="73"/>
      <c r="X3939" s="189"/>
      <c r="Y3939" s="189"/>
      <c r="Z3939" s="100"/>
      <c r="AC3939" s="84"/>
      <c r="AD3939" s="189"/>
      <c r="AE3939" s="189"/>
      <c r="AF3939" s="189"/>
      <c r="AG3939" s="189"/>
      <c r="AH3939" s="189"/>
      <c r="AP3939" s="238"/>
    </row>
    <row r="3940" spans="3:42" s="45" customFormat="1" x14ac:dyDescent="0.2">
      <c r="C3940" s="189"/>
      <c r="F3940" s="73"/>
      <c r="M3940" s="111"/>
      <c r="N3940" s="73"/>
      <c r="O3940" s="73"/>
      <c r="P3940" s="73"/>
      <c r="Q3940" s="73"/>
      <c r="R3940" s="111"/>
      <c r="S3940" s="75"/>
      <c r="T3940" s="73"/>
      <c r="X3940" s="189"/>
      <c r="Y3940" s="189"/>
      <c r="Z3940" s="100"/>
      <c r="AC3940" s="84"/>
      <c r="AD3940" s="189"/>
      <c r="AE3940" s="189"/>
      <c r="AF3940" s="189"/>
      <c r="AG3940" s="189"/>
      <c r="AH3940" s="189"/>
      <c r="AP3940" s="238"/>
    </row>
    <row r="3941" spans="3:42" s="45" customFormat="1" x14ac:dyDescent="0.2">
      <c r="C3941" s="189"/>
      <c r="F3941" s="73"/>
      <c r="M3941" s="111"/>
      <c r="N3941" s="73"/>
      <c r="O3941" s="73"/>
      <c r="P3941" s="73"/>
      <c r="Q3941" s="73"/>
      <c r="R3941" s="111"/>
      <c r="S3941" s="75"/>
      <c r="T3941" s="73"/>
      <c r="X3941" s="189"/>
      <c r="Y3941" s="189"/>
      <c r="Z3941" s="100"/>
      <c r="AC3941" s="84"/>
      <c r="AD3941" s="189"/>
      <c r="AE3941" s="189"/>
      <c r="AF3941" s="189"/>
      <c r="AG3941" s="189"/>
      <c r="AH3941" s="189"/>
      <c r="AP3941" s="238"/>
    </row>
    <row r="3942" spans="3:42" s="45" customFormat="1" x14ac:dyDescent="0.2">
      <c r="C3942" s="189"/>
      <c r="F3942" s="73"/>
      <c r="M3942" s="111"/>
      <c r="N3942" s="73"/>
      <c r="O3942" s="73"/>
      <c r="P3942" s="73"/>
      <c r="Q3942" s="73"/>
      <c r="R3942" s="111"/>
      <c r="S3942" s="75"/>
      <c r="T3942" s="73"/>
      <c r="X3942" s="189"/>
      <c r="Y3942" s="189"/>
      <c r="Z3942" s="100"/>
      <c r="AC3942" s="84"/>
      <c r="AD3942" s="189"/>
      <c r="AE3942" s="189"/>
      <c r="AF3942" s="189"/>
      <c r="AG3942" s="189"/>
      <c r="AH3942" s="189"/>
      <c r="AP3942" s="238"/>
    </row>
    <row r="3943" spans="3:42" s="45" customFormat="1" x14ac:dyDescent="0.2">
      <c r="C3943" s="189"/>
      <c r="F3943" s="73"/>
      <c r="M3943" s="111"/>
      <c r="N3943" s="73"/>
      <c r="O3943" s="73"/>
      <c r="P3943" s="73"/>
      <c r="Q3943" s="73"/>
      <c r="R3943" s="111"/>
      <c r="S3943" s="75"/>
      <c r="T3943" s="73"/>
      <c r="X3943" s="189"/>
      <c r="Y3943" s="189"/>
      <c r="Z3943" s="100"/>
      <c r="AC3943" s="84"/>
      <c r="AD3943" s="189"/>
      <c r="AE3943" s="189"/>
      <c r="AF3943" s="189"/>
      <c r="AG3943" s="189"/>
      <c r="AH3943" s="189"/>
      <c r="AP3943" s="238"/>
    </row>
    <row r="3944" spans="3:42" s="45" customFormat="1" x14ac:dyDescent="0.2">
      <c r="C3944" s="189"/>
      <c r="F3944" s="73"/>
      <c r="M3944" s="111"/>
      <c r="N3944" s="73"/>
      <c r="O3944" s="73"/>
      <c r="P3944" s="73"/>
      <c r="Q3944" s="73"/>
      <c r="R3944" s="111"/>
      <c r="S3944" s="75"/>
      <c r="T3944" s="73"/>
      <c r="X3944" s="189"/>
      <c r="Y3944" s="189"/>
      <c r="Z3944" s="100"/>
      <c r="AC3944" s="84"/>
      <c r="AD3944" s="189"/>
      <c r="AE3944" s="189"/>
      <c r="AF3944" s="189"/>
      <c r="AG3944" s="189"/>
      <c r="AH3944" s="189"/>
      <c r="AP3944" s="238"/>
    </row>
    <row r="3945" spans="3:42" s="45" customFormat="1" x14ac:dyDescent="0.2">
      <c r="C3945" s="189"/>
      <c r="F3945" s="73"/>
      <c r="M3945" s="111"/>
      <c r="N3945" s="73"/>
      <c r="O3945" s="73"/>
      <c r="P3945" s="73"/>
      <c r="Q3945" s="73"/>
      <c r="R3945" s="111"/>
      <c r="S3945" s="75"/>
      <c r="T3945" s="73"/>
      <c r="X3945" s="189"/>
      <c r="Y3945" s="189"/>
      <c r="Z3945" s="100"/>
      <c r="AC3945" s="84"/>
      <c r="AD3945" s="189"/>
      <c r="AE3945" s="189"/>
      <c r="AF3945" s="189"/>
      <c r="AG3945" s="189"/>
      <c r="AH3945" s="189"/>
      <c r="AP3945" s="238"/>
    </row>
    <row r="3946" spans="3:42" s="45" customFormat="1" x14ac:dyDescent="0.2">
      <c r="C3946" s="189"/>
      <c r="F3946" s="73"/>
      <c r="M3946" s="111"/>
      <c r="N3946" s="73"/>
      <c r="O3946" s="73"/>
      <c r="P3946" s="73"/>
      <c r="Q3946" s="73"/>
      <c r="R3946" s="111"/>
      <c r="S3946" s="75"/>
      <c r="T3946" s="73"/>
      <c r="X3946" s="189"/>
      <c r="Y3946" s="189"/>
      <c r="Z3946" s="100"/>
      <c r="AC3946" s="84"/>
      <c r="AD3946" s="189"/>
      <c r="AE3946" s="189"/>
      <c r="AF3946" s="189"/>
      <c r="AG3946" s="189"/>
      <c r="AH3946" s="189"/>
      <c r="AP3946" s="238"/>
    </row>
    <row r="3947" spans="3:42" s="45" customFormat="1" x14ac:dyDescent="0.2">
      <c r="C3947" s="189"/>
      <c r="F3947" s="73"/>
      <c r="M3947" s="111"/>
      <c r="N3947" s="73"/>
      <c r="O3947" s="73"/>
      <c r="P3947" s="73"/>
      <c r="Q3947" s="73"/>
      <c r="R3947" s="111"/>
      <c r="S3947" s="75"/>
      <c r="T3947" s="73"/>
      <c r="X3947" s="189"/>
      <c r="Y3947" s="189"/>
      <c r="Z3947" s="100"/>
      <c r="AC3947" s="84"/>
      <c r="AD3947" s="189"/>
      <c r="AE3947" s="189"/>
      <c r="AF3947" s="189"/>
      <c r="AG3947" s="189"/>
      <c r="AH3947" s="189"/>
      <c r="AP3947" s="238"/>
    </row>
    <row r="3948" spans="3:42" s="45" customFormat="1" x14ac:dyDescent="0.2">
      <c r="C3948" s="189"/>
      <c r="F3948" s="73"/>
      <c r="M3948" s="111"/>
      <c r="N3948" s="73"/>
      <c r="O3948" s="73"/>
      <c r="P3948" s="73"/>
      <c r="Q3948" s="73"/>
      <c r="R3948" s="111"/>
      <c r="S3948" s="75"/>
      <c r="T3948" s="73"/>
      <c r="X3948" s="189"/>
      <c r="Y3948" s="189"/>
      <c r="Z3948" s="100"/>
      <c r="AC3948" s="84"/>
      <c r="AD3948" s="189"/>
      <c r="AE3948" s="189"/>
      <c r="AF3948" s="189"/>
      <c r="AG3948" s="189"/>
      <c r="AH3948" s="189"/>
      <c r="AP3948" s="238"/>
    </row>
    <row r="3949" spans="3:42" s="45" customFormat="1" x14ac:dyDescent="0.2">
      <c r="C3949" s="189"/>
      <c r="F3949" s="73"/>
      <c r="M3949" s="111"/>
      <c r="N3949" s="73"/>
      <c r="O3949" s="73"/>
      <c r="P3949" s="73"/>
      <c r="Q3949" s="73"/>
      <c r="R3949" s="111"/>
      <c r="S3949" s="75"/>
      <c r="T3949" s="73"/>
      <c r="X3949" s="189"/>
      <c r="Y3949" s="189"/>
      <c r="Z3949" s="100"/>
      <c r="AC3949" s="84"/>
      <c r="AD3949" s="189"/>
      <c r="AE3949" s="189"/>
      <c r="AF3949" s="189"/>
      <c r="AG3949" s="189"/>
      <c r="AH3949" s="189"/>
      <c r="AP3949" s="238"/>
    </row>
    <row r="3950" spans="3:42" s="45" customFormat="1" x14ac:dyDescent="0.2">
      <c r="C3950" s="189"/>
      <c r="F3950" s="73"/>
      <c r="M3950" s="111"/>
      <c r="N3950" s="73"/>
      <c r="O3950" s="73"/>
      <c r="P3950" s="73"/>
      <c r="Q3950" s="73"/>
      <c r="R3950" s="111"/>
      <c r="S3950" s="75"/>
      <c r="T3950" s="73"/>
      <c r="X3950" s="189"/>
      <c r="Y3950" s="189"/>
      <c r="Z3950" s="100"/>
      <c r="AC3950" s="84"/>
      <c r="AD3950" s="189"/>
      <c r="AE3950" s="189"/>
      <c r="AF3950" s="189"/>
      <c r="AG3950" s="189"/>
      <c r="AH3950" s="189"/>
      <c r="AP3950" s="238"/>
    </row>
    <row r="3951" spans="3:42" s="45" customFormat="1" x14ac:dyDescent="0.2">
      <c r="C3951" s="189"/>
      <c r="F3951" s="73"/>
      <c r="M3951" s="111"/>
      <c r="N3951" s="73"/>
      <c r="O3951" s="73"/>
      <c r="P3951" s="73"/>
      <c r="Q3951" s="73"/>
      <c r="R3951" s="111"/>
      <c r="S3951" s="75"/>
      <c r="T3951" s="73"/>
      <c r="X3951" s="189"/>
      <c r="Y3951" s="189"/>
      <c r="Z3951" s="100"/>
      <c r="AC3951" s="84"/>
      <c r="AD3951" s="189"/>
      <c r="AE3951" s="189"/>
      <c r="AF3951" s="189"/>
      <c r="AG3951" s="189"/>
      <c r="AH3951" s="189"/>
      <c r="AP3951" s="238"/>
    </row>
    <row r="3952" spans="3:42" s="45" customFormat="1" x14ac:dyDescent="0.2">
      <c r="C3952" s="189"/>
      <c r="F3952" s="73"/>
      <c r="M3952" s="111"/>
      <c r="N3952" s="73"/>
      <c r="O3952" s="73"/>
      <c r="P3952" s="73"/>
      <c r="Q3952" s="73"/>
      <c r="R3952" s="111"/>
      <c r="S3952" s="75"/>
      <c r="T3952" s="73"/>
      <c r="X3952" s="189"/>
      <c r="Y3952" s="189"/>
      <c r="Z3952" s="100"/>
      <c r="AC3952" s="84"/>
      <c r="AD3952" s="189"/>
      <c r="AE3952" s="189"/>
      <c r="AF3952" s="189"/>
      <c r="AG3952" s="189"/>
      <c r="AH3952" s="189"/>
      <c r="AP3952" s="238"/>
    </row>
    <row r="3953" spans="3:42" s="45" customFormat="1" x14ac:dyDescent="0.2">
      <c r="C3953" s="189"/>
      <c r="F3953" s="73"/>
      <c r="M3953" s="111"/>
      <c r="N3953" s="73"/>
      <c r="O3953" s="73"/>
      <c r="P3953" s="73"/>
      <c r="Q3953" s="73"/>
      <c r="R3953" s="111"/>
      <c r="S3953" s="75"/>
      <c r="T3953" s="73"/>
      <c r="X3953" s="189"/>
      <c r="Y3953" s="189"/>
      <c r="Z3953" s="100"/>
      <c r="AC3953" s="84"/>
      <c r="AD3953" s="189"/>
      <c r="AE3953" s="189"/>
      <c r="AF3953" s="189"/>
      <c r="AG3953" s="189"/>
      <c r="AH3953" s="189"/>
      <c r="AP3953" s="238"/>
    </row>
    <row r="3954" spans="3:42" s="45" customFormat="1" x14ac:dyDescent="0.2">
      <c r="C3954" s="189"/>
      <c r="F3954" s="73"/>
      <c r="M3954" s="111"/>
      <c r="N3954" s="73"/>
      <c r="O3954" s="73"/>
      <c r="P3954" s="73"/>
      <c r="Q3954" s="73"/>
      <c r="R3954" s="111"/>
      <c r="S3954" s="75"/>
      <c r="T3954" s="73"/>
      <c r="X3954" s="189"/>
      <c r="Y3954" s="189"/>
      <c r="Z3954" s="100"/>
      <c r="AC3954" s="84"/>
      <c r="AD3954" s="189"/>
      <c r="AE3954" s="189"/>
      <c r="AF3954" s="189"/>
      <c r="AG3954" s="189"/>
      <c r="AH3954" s="189"/>
      <c r="AP3954" s="238"/>
    </row>
    <row r="3955" spans="3:42" s="45" customFormat="1" x14ac:dyDescent="0.2">
      <c r="C3955" s="189"/>
      <c r="F3955" s="73"/>
      <c r="M3955" s="111"/>
      <c r="N3955" s="73"/>
      <c r="O3955" s="73"/>
      <c r="P3955" s="73"/>
      <c r="Q3955" s="73"/>
      <c r="R3955" s="111"/>
      <c r="S3955" s="75"/>
      <c r="T3955" s="73"/>
      <c r="X3955" s="189"/>
      <c r="Y3955" s="189"/>
      <c r="Z3955" s="100"/>
      <c r="AC3955" s="84"/>
      <c r="AD3955" s="189"/>
      <c r="AE3955" s="189"/>
      <c r="AF3955" s="189"/>
      <c r="AG3955" s="189"/>
      <c r="AH3955" s="189"/>
      <c r="AP3955" s="238"/>
    </row>
    <row r="3956" spans="3:42" s="45" customFormat="1" x14ac:dyDescent="0.2">
      <c r="C3956" s="189"/>
      <c r="F3956" s="73"/>
      <c r="M3956" s="111"/>
      <c r="N3956" s="73"/>
      <c r="O3956" s="73"/>
      <c r="P3956" s="73"/>
      <c r="Q3956" s="73"/>
      <c r="R3956" s="111"/>
      <c r="S3956" s="75"/>
      <c r="T3956" s="73"/>
      <c r="X3956" s="189"/>
      <c r="Y3956" s="189"/>
      <c r="Z3956" s="100"/>
      <c r="AC3956" s="84"/>
      <c r="AD3956" s="189"/>
      <c r="AE3956" s="189"/>
      <c r="AF3956" s="189"/>
      <c r="AG3956" s="189"/>
      <c r="AH3956" s="189"/>
      <c r="AP3956" s="238"/>
    </row>
    <row r="3957" spans="3:42" s="45" customFormat="1" x14ac:dyDescent="0.2">
      <c r="C3957" s="189"/>
      <c r="F3957" s="73"/>
      <c r="M3957" s="111"/>
      <c r="N3957" s="73"/>
      <c r="O3957" s="73"/>
      <c r="P3957" s="73"/>
      <c r="Q3957" s="73"/>
      <c r="R3957" s="111"/>
      <c r="S3957" s="75"/>
      <c r="T3957" s="73"/>
      <c r="X3957" s="189"/>
      <c r="Y3957" s="189"/>
      <c r="Z3957" s="100"/>
      <c r="AC3957" s="84"/>
      <c r="AD3957" s="189"/>
      <c r="AE3957" s="189"/>
      <c r="AF3957" s="189"/>
      <c r="AG3957" s="189"/>
      <c r="AH3957" s="189"/>
      <c r="AP3957" s="238"/>
    </row>
    <row r="3958" spans="3:42" s="45" customFormat="1" x14ac:dyDescent="0.2">
      <c r="C3958" s="189"/>
      <c r="F3958" s="73"/>
      <c r="M3958" s="111"/>
      <c r="N3958" s="73"/>
      <c r="O3958" s="73"/>
      <c r="P3958" s="73"/>
      <c r="Q3958" s="73"/>
      <c r="R3958" s="111"/>
      <c r="S3958" s="75"/>
      <c r="T3958" s="73"/>
      <c r="X3958" s="189"/>
      <c r="Y3958" s="189"/>
      <c r="Z3958" s="100"/>
      <c r="AC3958" s="84"/>
      <c r="AD3958" s="189"/>
      <c r="AE3958" s="189"/>
      <c r="AF3958" s="189"/>
      <c r="AG3958" s="189"/>
      <c r="AH3958" s="189"/>
      <c r="AP3958" s="238"/>
    </row>
    <row r="3959" spans="3:42" s="45" customFormat="1" x14ac:dyDescent="0.2">
      <c r="C3959" s="189"/>
      <c r="F3959" s="73"/>
      <c r="M3959" s="111"/>
      <c r="N3959" s="73"/>
      <c r="O3959" s="73"/>
      <c r="P3959" s="73"/>
      <c r="Q3959" s="73"/>
      <c r="R3959" s="111"/>
      <c r="S3959" s="75"/>
      <c r="T3959" s="73"/>
      <c r="X3959" s="189"/>
      <c r="Y3959" s="189"/>
      <c r="Z3959" s="100"/>
      <c r="AC3959" s="84"/>
      <c r="AD3959" s="189"/>
      <c r="AE3959" s="189"/>
      <c r="AF3959" s="189"/>
      <c r="AG3959" s="189"/>
      <c r="AH3959" s="189"/>
      <c r="AP3959" s="238"/>
    </row>
    <row r="3960" spans="3:42" s="45" customFormat="1" x14ac:dyDescent="0.2">
      <c r="C3960" s="189"/>
      <c r="F3960" s="73"/>
      <c r="M3960" s="111"/>
      <c r="N3960" s="73"/>
      <c r="O3960" s="73"/>
      <c r="P3960" s="73"/>
      <c r="Q3960" s="73"/>
      <c r="R3960" s="111"/>
      <c r="S3960" s="75"/>
      <c r="T3960" s="73"/>
      <c r="X3960" s="189"/>
      <c r="Y3960" s="189"/>
      <c r="Z3960" s="100"/>
      <c r="AC3960" s="84"/>
      <c r="AD3960" s="189"/>
      <c r="AE3960" s="189"/>
      <c r="AF3960" s="189"/>
      <c r="AG3960" s="189"/>
      <c r="AH3960" s="189"/>
      <c r="AP3960" s="238"/>
    </row>
    <row r="3961" spans="3:42" s="45" customFormat="1" x14ac:dyDescent="0.2">
      <c r="C3961" s="189"/>
      <c r="F3961" s="73"/>
      <c r="M3961" s="111"/>
      <c r="N3961" s="73"/>
      <c r="O3961" s="73"/>
      <c r="P3961" s="73"/>
      <c r="Q3961" s="73"/>
      <c r="R3961" s="111"/>
      <c r="S3961" s="75"/>
      <c r="T3961" s="73"/>
      <c r="X3961" s="189"/>
      <c r="Y3961" s="189"/>
      <c r="Z3961" s="100"/>
      <c r="AC3961" s="84"/>
      <c r="AD3961" s="189"/>
      <c r="AE3961" s="189"/>
      <c r="AF3961" s="189"/>
      <c r="AG3961" s="189"/>
      <c r="AH3961" s="189"/>
      <c r="AP3961" s="238"/>
    </row>
    <row r="3962" spans="3:42" s="45" customFormat="1" x14ac:dyDescent="0.2">
      <c r="C3962" s="189"/>
      <c r="F3962" s="73"/>
      <c r="M3962" s="111"/>
      <c r="N3962" s="73"/>
      <c r="O3962" s="73"/>
      <c r="P3962" s="73"/>
      <c r="Q3962" s="73"/>
      <c r="R3962" s="111"/>
      <c r="S3962" s="75"/>
      <c r="T3962" s="73"/>
      <c r="X3962" s="189"/>
      <c r="Y3962" s="189"/>
      <c r="Z3962" s="100"/>
      <c r="AC3962" s="84"/>
      <c r="AD3962" s="189"/>
      <c r="AE3962" s="189"/>
      <c r="AF3962" s="189"/>
      <c r="AG3962" s="189"/>
      <c r="AH3962" s="189"/>
      <c r="AP3962" s="238"/>
    </row>
    <row r="3963" spans="3:42" s="45" customFormat="1" x14ac:dyDescent="0.2">
      <c r="C3963" s="189"/>
      <c r="F3963" s="73"/>
      <c r="M3963" s="111"/>
      <c r="N3963" s="73"/>
      <c r="O3963" s="73"/>
      <c r="P3963" s="73"/>
      <c r="Q3963" s="73"/>
      <c r="R3963" s="111"/>
      <c r="S3963" s="75"/>
      <c r="T3963" s="73"/>
      <c r="X3963" s="189"/>
      <c r="Y3963" s="189"/>
      <c r="Z3963" s="100"/>
      <c r="AC3963" s="84"/>
      <c r="AD3963" s="189"/>
      <c r="AE3963" s="189"/>
      <c r="AF3963" s="189"/>
      <c r="AG3963" s="189"/>
      <c r="AH3963" s="189"/>
      <c r="AP3963" s="238"/>
    </row>
    <row r="3964" spans="3:42" s="45" customFormat="1" x14ac:dyDescent="0.2">
      <c r="C3964" s="189"/>
      <c r="F3964" s="73"/>
      <c r="M3964" s="111"/>
      <c r="N3964" s="73"/>
      <c r="O3964" s="73"/>
      <c r="P3964" s="73"/>
      <c r="Q3964" s="73"/>
      <c r="R3964" s="111"/>
      <c r="S3964" s="75"/>
      <c r="T3964" s="73"/>
      <c r="X3964" s="189"/>
      <c r="Y3964" s="189"/>
      <c r="Z3964" s="100"/>
      <c r="AC3964" s="84"/>
      <c r="AD3964" s="189"/>
      <c r="AE3964" s="189"/>
      <c r="AF3964" s="189"/>
      <c r="AG3964" s="189"/>
      <c r="AH3964" s="189"/>
      <c r="AP3964" s="238"/>
    </row>
    <row r="3965" spans="3:42" s="45" customFormat="1" x14ac:dyDescent="0.2">
      <c r="C3965" s="189"/>
      <c r="F3965" s="73"/>
      <c r="M3965" s="111"/>
      <c r="N3965" s="73"/>
      <c r="O3965" s="73"/>
      <c r="P3965" s="73"/>
      <c r="Q3965" s="73"/>
      <c r="R3965" s="111"/>
      <c r="S3965" s="75"/>
      <c r="T3965" s="73"/>
      <c r="X3965" s="189"/>
      <c r="Y3965" s="189"/>
      <c r="Z3965" s="100"/>
      <c r="AC3965" s="84"/>
      <c r="AD3965" s="189"/>
      <c r="AE3965" s="189"/>
      <c r="AF3965" s="189"/>
      <c r="AG3965" s="189"/>
      <c r="AH3965" s="189"/>
      <c r="AP3965" s="238"/>
    </row>
    <row r="3966" spans="3:42" s="45" customFormat="1" x14ac:dyDescent="0.2">
      <c r="C3966" s="189"/>
      <c r="F3966" s="73"/>
      <c r="M3966" s="111"/>
      <c r="N3966" s="73"/>
      <c r="O3966" s="73"/>
      <c r="P3966" s="73"/>
      <c r="Q3966" s="73"/>
      <c r="R3966" s="111"/>
      <c r="S3966" s="75"/>
      <c r="T3966" s="73"/>
      <c r="X3966" s="189"/>
      <c r="Y3966" s="189"/>
      <c r="Z3966" s="100"/>
      <c r="AC3966" s="84"/>
      <c r="AD3966" s="189"/>
      <c r="AE3966" s="189"/>
      <c r="AF3966" s="189"/>
      <c r="AG3966" s="189"/>
      <c r="AH3966" s="189"/>
      <c r="AP3966" s="238"/>
    </row>
    <row r="3967" spans="3:42" s="45" customFormat="1" x14ac:dyDescent="0.2">
      <c r="C3967" s="189"/>
      <c r="F3967" s="73"/>
      <c r="M3967" s="111"/>
      <c r="N3967" s="73"/>
      <c r="O3967" s="73"/>
      <c r="P3967" s="73"/>
      <c r="Q3967" s="73"/>
      <c r="R3967" s="111"/>
      <c r="S3967" s="75"/>
      <c r="T3967" s="73"/>
      <c r="X3967" s="189"/>
      <c r="Y3967" s="189"/>
      <c r="Z3967" s="100"/>
      <c r="AC3967" s="84"/>
      <c r="AD3967" s="189"/>
      <c r="AE3967" s="189"/>
      <c r="AF3967" s="189"/>
      <c r="AG3967" s="189"/>
      <c r="AH3967" s="189"/>
      <c r="AP3967" s="238"/>
    </row>
    <row r="3968" spans="3:42" s="45" customFormat="1" x14ac:dyDescent="0.2">
      <c r="C3968" s="189"/>
      <c r="F3968" s="73"/>
      <c r="M3968" s="111"/>
      <c r="N3968" s="73"/>
      <c r="O3968" s="73"/>
      <c r="P3968" s="73"/>
      <c r="Q3968" s="73"/>
      <c r="R3968" s="111"/>
      <c r="S3968" s="75"/>
      <c r="T3968" s="73"/>
      <c r="X3968" s="189"/>
      <c r="Y3968" s="189"/>
      <c r="Z3968" s="100"/>
      <c r="AC3968" s="84"/>
      <c r="AD3968" s="189"/>
      <c r="AE3968" s="189"/>
      <c r="AF3968" s="189"/>
      <c r="AG3968" s="189"/>
      <c r="AH3968" s="189"/>
      <c r="AP3968" s="238"/>
    </row>
    <row r="3969" spans="3:42" s="45" customFormat="1" x14ac:dyDescent="0.2">
      <c r="C3969" s="189"/>
      <c r="F3969" s="73"/>
      <c r="M3969" s="111"/>
      <c r="N3969" s="73"/>
      <c r="O3969" s="73"/>
      <c r="P3969" s="73"/>
      <c r="Q3969" s="73"/>
      <c r="R3969" s="111"/>
      <c r="S3969" s="75"/>
      <c r="T3969" s="73"/>
      <c r="X3969" s="189"/>
      <c r="Y3969" s="189"/>
      <c r="Z3969" s="100"/>
      <c r="AC3969" s="84"/>
      <c r="AD3969" s="189"/>
      <c r="AE3969" s="189"/>
      <c r="AF3969" s="189"/>
      <c r="AG3969" s="189"/>
      <c r="AH3969" s="189"/>
      <c r="AP3969" s="238"/>
    </row>
    <row r="3970" spans="3:42" s="45" customFormat="1" x14ac:dyDescent="0.2">
      <c r="C3970" s="189"/>
      <c r="F3970" s="73"/>
      <c r="M3970" s="111"/>
      <c r="N3970" s="73"/>
      <c r="O3970" s="73"/>
      <c r="P3970" s="73"/>
      <c r="Q3970" s="73"/>
      <c r="R3970" s="111"/>
      <c r="S3970" s="75"/>
      <c r="T3970" s="73"/>
      <c r="X3970" s="189"/>
      <c r="Y3970" s="189"/>
      <c r="Z3970" s="100"/>
      <c r="AC3970" s="84"/>
      <c r="AD3970" s="189"/>
      <c r="AE3970" s="189"/>
      <c r="AF3970" s="189"/>
      <c r="AG3970" s="189"/>
      <c r="AH3970" s="189"/>
      <c r="AP3970" s="238"/>
    </row>
    <row r="3971" spans="3:42" s="45" customFormat="1" x14ac:dyDescent="0.2">
      <c r="C3971" s="189"/>
      <c r="F3971" s="73"/>
      <c r="M3971" s="111"/>
      <c r="N3971" s="73"/>
      <c r="O3971" s="73"/>
      <c r="P3971" s="73"/>
      <c r="Q3971" s="73"/>
      <c r="R3971" s="111"/>
      <c r="S3971" s="75"/>
      <c r="T3971" s="73"/>
      <c r="X3971" s="189"/>
      <c r="Y3971" s="189"/>
      <c r="Z3971" s="100"/>
      <c r="AC3971" s="84"/>
      <c r="AD3971" s="189"/>
      <c r="AE3971" s="189"/>
      <c r="AF3971" s="189"/>
      <c r="AG3971" s="189"/>
      <c r="AH3971" s="189"/>
      <c r="AP3971" s="238"/>
    </row>
    <row r="3972" spans="3:42" s="45" customFormat="1" x14ac:dyDescent="0.2">
      <c r="C3972" s="189"/>
      <c r="F3972" s="73"/>
      <c r="M3972" s="111"/>
      <c r="N3972" s="73"/>
      <c r="O3972" s="73"/>
      <c r="P3972" s="73"/>
      <c r="Q3972" s="73"/>
      <c r="R3972" s="111"/>
      <c r="S3972" s="75"/>
      <c r="T3972" s="73"/>
      <c r="X3972" s="189"/>
      <c r="Y3972" s="189"/>
      <c r="Z3972" s="100"/>
      <c r="AC3972" s="84"/>
      <c r="AD3972" s="189"/>
      <c r="AE3972" s="189"/>
      <c r="AF3972" s="189"/>
      <c r="AG3972" s="189"/>
      <c r="AH3972" s="189"/>
      <c r="AP3972" s="238"/>
    </row>
    <row r="3973" spans="3:42" s="45" customFormat="1" x14ac:dyDescent="0.2">
      <c r="C3973" s="189"/>
      <c r="F3973" s="73"/>
      <c r="M3973" s="111"/>
      <c r="N3973" s="73"/>
      <c r="O3973" s="73"/>
      <c r="P3973" s="73"/>
      <c r="Q3973" s="73"/>
      <c r="R3973" s="111"/>
      <c r="S3973" s="75"/>
      <c r="T3973" s="73"/>
      <c r="X3973" s="189"/>
      <c r="Y3973" s="189"/>
      <c r="Z3973" s="100"/>
      <c r="AC3973" s="84"/>
      <c r="AD3973" s="189"/>
      <c r="AE3973" s="189"/>
      <c r="AF3973" s="189"/>
      <c r="AG3973" s="189"/>
      <c r="AH3973" s="189"/>
      <c r="AP3973" s="238"/>
    </row>
    <row r="3974" spans="3:42" s="45" customFormat="1" x14ac:dyDescent="0.2">
      <c r="C3974" s="189"/>
      <c r="F3974" s="73"/>
      <c r="M3974" s="111"/>
      <c r="N3974" s="73"/>
      <c r="O3974" s="73"/>
      <c r="P3974" s="73"/>
      <c r="Q3974" s="73"/>
      <c r="R3974" s="111"/>
      <c r="S3974" s="75"/>
      <c r="T3974" s="73"/>
      <c r="X3974" s="189"/>
      <c r="Y3974" s="189"/>
      <c r="Z3974" s="100"/>
      <c r="AC3974" s="84"/>
      <c r="AD3974" s="189"/>
      <c r="AE3974" s="189"/>
      <c r="AF3974" s="189"/>
      <c r="AG3974" s="189"/>
      <c r="AH3974" s="189"/>
      <c r="AP3974" s="238"/>
    </row>
    <row r="3975" spans="3:42" s="45" customFormat="1" x14ac:dyDescent="0.2">
      <c r="C3975" s="189"/>
      <c r="F3975" s="73"/>
      <c r="M3975" s="111"/>
      <c r="N3975" s="73"/>
      <c r="O3975" s="73"/>
      <c r="P3975" s="73"/>
      <c r="Q3975" s="73"/>
      <c r="R3975" s="111"/>
      <c r="S3975" s="75"/>
      <c r="T3975" s="73"/>
      <c r="X3975" s="189"/>
      <c r="Y3975" s="189"/>
      <c r="Z3975" s="100"/>
      <c r="AC3975" s="84"/>
      <c r="AD3975" s="189"/>
      <c r="AE3975" s="189"/>
      <c r="AF3975" s="189"/>
      <c r="AG3975" s="189"/>
      <c r="AH3975" s="189"/>
      <c r="AP3975" s="238"/>
    </row>
    <row r="3976" spans="3:42" s="45" customFormat="1" x14ac:dyDescent="0.2">
      <c r="C3976" s="189"/>
      <c r="F3976" s="73"/>
      <c r="M3976" s="111"/>
      <c r="N3976" s="73"/>
      <c r="O3976" s="73"/>
      <c r="P3976" s="73"/>
      <c r="Q3976" s="73"/>
      <c r="R3976" s="111"/>
      <c r="S3976" s="75"/>
      <c r="T3976" s="73"/>
      <c r="X3976" s="189"/>
      <c r="Y3976" s="189"/>
      <c r="Z3976" s="100"/>
      <c r="AC3976" s="84"/>
      <c r="AD3976" s="189"/>
      <c r="AE3976" s="189"/>
      <c r="AF3976" s="189"/>
      <c r="AG3976" s="189"/>
      <c r="AH3976" s="189"/>
      <c r="AP3976" s="238"/>
    </row>
    <row r="3977" spans="3:42" s="45" customFormat="1" x14ac:dyDescent="0.2">
      <c r="C3977" s="189"/>
      <c r="F3977" s="73"/>
      <c r="M3977" s="111"/>
      <c r="N3977" s="73"/>
      <c r="O3977" s="73"/>
      <c r="P3977" s="73"/>
      <c r="Q3977" s="73"/>
      <c r="R3977" s="111"/>
      <c r="S3977" s="75"/>
      <c r="T3977" s="73"/>
      <c r="X3977" s="189"/>
      <c r="Y3977" s="189"/>
      <c r="Z3977" s="100"/>
      <c r="AC3977" s="84"/>
      <c r="AD3977" s="189"/>
      <c r="AE3977" s="189"/>
      <c r="AF3977" s="189"/>
      <c r="AG3977" s="189"/>
      <c r="AH3977" s="189"/>
      <c r="AP3977" s="238"/>
    </row>
    <row r="3978" spans="3:42" s="45" customFormat="1" x14ac:dyDescent="0.2">
      <c r="C3978" s="189"/>
      <c r="F3978" s="73"/>
      <c r="M3978" s="111"/>
      <c r="N3978" s="73"/>
      <c r="O3978" s="73"/>
      <c r="P3978" s="73"/>
      <c r="Q3978" s="73"/>
      <c r="R3978" s="111"/>
      <c r="S3978" s="75"/>
      <c r="T3978" s="73"/>
      <c r="X3978" s="189"/>
      <c r="Y3978" s="189"/>
      <c r="Z3978" s="100"/>
      <c r="AC3978" s="84"/>
      <c r="AD3978" s="189"/>
      <c r="AE3978" s="189"/>
      <c r="AF3978" s="189"/>
      <c r="AG3978" s="189"/>
      <c r="AH3978" s="189"/>
      <c r="AP3978" s="238"/>
    </row>
    <row r="3979" spans="3:42" s="45" customFormat="1" x14ac:dyDescent="0.2">
      <c r="C3979" s="189"/>
      <c r="F3979" s="73"/>
      <c r="M3979" s="111"/>
      <c r="N3979" s="73"/>
      <c r="O3979" s="73"/>
      <c r="P3979" s="73"/>
      <c r="Q3979" s="73"/>
      <c r="R3979" s="111"/>
      <c r="S3979" s="75"/>
      <c r="T3979" s="73"/>
      <c r="X3979" s="189"/>
      <c r="Y3979" s="189"/>
      <c r="Z3979" s="100"/>
      <c r="AC3979" s="84"/>
      <c r="AD3979" s="189"/>
      <c r="AE3979" s="189"/>
      <c r="AF3979" s="189"/>
      <c r="AG3979" s="189"/>
      <c r="AH3979" s="189"/>
      <c r="AP3979" s="238"/>
    </row>
    <row r="3980" spans="3:42" s="45" customFormat="1" x14ac:dyDescent="0.2">
      <c r="C3980" s="189"/>
      <c r="F3980" s="73"/>
      <c r="M3980" s="111"/>
      <c r="N3980" s="73"/>
      <c r="O3980" s="73"/>
      <c r="P3980" s="73"/>
      <c r="Q3980" s="73"/>
      <c r="R3980" s="111"/>
      <c r="S3980" s="75"/>
      <c r="T3980" s="73"/>
      <c r="X3980" s="189"/>
      <c r="Y3980" s="189"/>
      <c r="Z3980" s="100"/>
      <c r="AC3980" s="84"/>
      <c r="AD3980" s="189"/>
      <c r="AE3980" s="189"/>
      <c r="AF3980" s="189"/>
      <c r="AG3980" s="189"/>
      <c r="AH3980" s="189"/>
      <c r="AP3980" s="238"/>
    </row>
    <row r="3981" spans="3:42" s="45" customFormat="1" x14ac:dyDescent="0.2">
      <c r="C3981" s="189"/>
      <c r="F3981" s="73"/>
      <c r="M3981" s="111"/>
      <c r="N3981" s="73"/>
      <c r="O3981" s="73"/>
      <c r="P3981" s="73"/>
      <c r="Q3981" s="73"/>
      <c r="R3981" s="111"/>
      <c r="S3981" s="75"/>
      <c r="T3981" s="73"/>
      <c r="X3981" s="189"/>
      <c r="Y3981" s="189"/>
      <c r="Z3981" s="100"/>
      <c r="AC3981" s="84"/>
      <c r="AD3981" s="189"/>
      <c r="AE3981" s="189"/>
      <c r="AF3981" s="189"/>
      <c r="AG3981" s="189"/>
      <c r="AH3981" s="189"/>
      <c r="AP3981" s="238"/>
    </row>
    <row r="3982" spans="3:42" s="45" customFormat="1" x14ac:dyDescent="0.2">
      <c r="C3982" s="189"/>
      <c r="F3982" s="73"/>
      <c r="M3982" s="111"/>
      <c r="N3982" s="73"/>
      <c r="O3982" s="73"/>
      <c r="P3982" s="73"/>
      <c r="Q3982" s="73"/>
      <c r="R3982" s="111"/>
      <c r="S3982" s="75"/>
      <c r="T3982" s="73"/>
      <c r="X3982" s="189"/>
      <c r="Y3982" s="189"/>
      <c r="Z3982" s="100"/>
      <c r="AC3982" s="84"/>
      <c r="AD3982" s="189"/>
      <c r="AE3982" s="189"/>
      <c r="AF3982" s="189"/>
      <c r="AG3982" s="189"/>
      <c r="AH3982" s="189"/>
      <c r="AP3982" s="238"/>
    </row>
    <row r="3983" spans="3:42" s="45" customFormat="1" x14ac:dyDescent="0.2">
      <c r="C3983" s="189"/>
      <c r="F3983" s="73"/>
      <c r="M3983" s="111"/>
      <c r="N3983" s="73"/>
      <c r="O3983" s="73"/>
      <c r="P3983" s="73"/>
      <c r="Q3983" s="73"/>
      <c r="R3983" s="111"/>
      <c r="S3983" s="75"/>
      <c r="T3983" s="73"/>
      <c r="X3983" s="189"/>
      <c r="Y3983" s="189"/>
      <c r="Z3983" s="100"/>
      <c r="AC3983" s="84"/>
      <c r="AD3983" s="189"/>
      <c r="AE3983" s="189"/>
      <c r="AF3983" s="189"/>
      <c r="AG3983" s="189"/>
      <c r="AH3983" s="189"/>
      <c r="AP3983" s="238"/>
    </row>
    <row r="3984" spans="3:42" s="45" customFormat="1" x14ac:dyDescent="0.2">
      <c r="C3984" s="189"/>
      <c r="F3984" s="73"/>
      <c r="M3984" s="111"/>
      <c r="N3984" s="73"/>
      <c r="O3984" s="73"/>
      <c r="P3984" s="73"/>
      <c r="Q3984" s="73"/>
      <c r="R3984" s="111"/>
      <c r="S3984" s="75"/>
      <c r="T3984" s="73"/>
      <c r="X3984" s="189"/>
      <c r="Y3984" s="189"/>
      <c r="Z3984" s="100"/>
      <c r="AC3984" s="84"/>
      <c r="AD3984" s="189"/>
      <c r="AE3984" s="189"/>
      <c r="AF3984" s="189"/>
      <c r="AG3984" s="189"/>
      <c r="AH3984" s="189"/>
      <c r="AP3984" s="238"/>
    </row>
    <row r="3985" spans="3:42" s="45" customFormat="1" x14ac:dyDescent="0.2">
      <c r="C3985" s="189"/>
      <c r="F3985" s="73"/>
      <c r="M3985" s="111"/>
      <c r="N3985" s="73"/>
      <c r="O3985" s="73"/>
      <c r="P3985" s="73"/>
      <c r="Q3985" s="73"/>
      <c r="R3985" s="111"/>
      <c r="S3985" s="75"/>
      <c r="T3985" s="73"/>
      <c r="X3985" s="189"/>
      <c r="Y3985" s="189"/>
      <c r="Z3985" s="100"/>
      <c r="AC3985" s="84"/>
      <c r="AD3985" s="189"/>
      <c r="AE3985" s="189"/>
      <c r="AF3985" s="189"/>
      <c r="AG3985" s="189"/>
      <c r="AH3985" s="189"/>
      <c r="AP3985" s="238"/>
    </row>
    <row r="3986" spans="3:42" s="45" customFormat="1" x14ac:dyDescent="0.2">
      <c r="C3986" s="189"/>
      <c r="F3986" s="73"/>
      <c r="M3986" s="111"/>
      <c r="N3986" s="73"/>
      <c r="O3986" s="73"/>
      <c r="P3986" s="73"/>
      <c r="Q3986" s="73"/>
      <c r="R3986" s="111"/>
      <c r="S3986" s="75"/>
      <c r="T3986" s="73"/>
      <c r="X3986" s="189"/>
      <c r="Y3986" s="189"/>
      <c r="Z3986" s="100"/>
      <c r="AC3986" s="84"/>
      <c r="AD3986" s="189"/>
      <c r="AE3986" s="189"/>
      <c r="AF3986" s="189"/>
      <c r="AG3986" s="189"/>
      <c r="AH3986" s="189"/>
      <c r="AP3986" s="238"/>
    </row>
    <row r="3987" spans="3:42" s="45" customFormat="1" x14ac:dyDescent="0.2">
      <c r="C3987" s="189"/>
      <c r="F3987" s="73"/>
      <c r="M3987" s="111"/>
      <c r="N3987" s="73"/>
      <c r="O3987" s="73"/>
      <c r="P3987" s="73"/>
      <c r="Q3987" s="73"/>
      <c r="R3987" s="111"/>
      <c r="S3987" s="75"/>
      <c r="T3987" s="73"/>
      <c r="X3987" s="189"/>
      <c r="Y3987" s="189"/>
      <c r="Z3987" s="100"/>
      <c r="AC3987" s="84"/>
      <c r="AD3987" s="189"/>
      <c r="AE3987" s="189"/>
      <c r="AF3987" s="189"/>
      <c r="AG3987" s="189"/>
      <c r="AH3987" s="189"/>
      <c r="AP3987" s="238"/>
    </row>
    <row r="3988" spans="3:42" s="45" customFormat="1" x14ac:dyDescent="0.2">
      <c r="C3988" s="189"/>
      <c r="F3988" s="73"/>
      <c r="M3988" s="111"/>
      <c r="N3988" s="73"/>
      <c r="O3988" s="73"/>
      <c r="P3988" s="73"/>
      <c r="Q3988" s="73"/>
      <c r="R3988" s="111"/>
      <c r="S3988" s="75"/>
      <c r="T3988" s="73"/>
      <c r="X3988" s="189"/>
      <c r="Y3988" s="189"/>
      <c r="Z3988" s="100"/>
      <c r="AC3988" s="84"/>
      <c r="AD3988" s="189"/>
      <c r="AE3988" s="189"/>
      <c r="AF3988" s="189"/>
      <c r="AG3988" s="189"/>
      <c r="AH3988" s="189"/>
      <c r="AP3988" s="238"/>
    </row>
    <row r="3989" spans="3:42" s="45" customFormat="1" x14ac:dyDescent="0.2">
      <c r="C3989" s="189"/>
      <c r="F3989" s="73"/>
      <c r="M3989" s="111"/>
      <c r="N3989" s="73"/>
      <c r="O3989" s="73"/>
      <c r="P3989" s="73"/>
      <c r="Q3989" s="73"/>
      <c r="R3989" s="111"/>
      <c r="S3989" s="75"/>
      <c r="T3989" s="73"/>
      <c r="X3989" s="189"/>
      <c r="Y3989" s="189"/>
      <c r="Z3989" s="100"/>
      <c r="AC3989" s="84"/>
      <c r="AD3989" s="189"/>
      <c r="AE3989" s="189"/>
      <c r="AF3989" s="189"/>
      <c r="AG3989" s="189"/>
      <c r="AH3989" s="189"/>
      <c r="AP3989" s="238"/>
    </row>
    <row r="3990" spans="3:42" s="45" customFormat="1" x14ac:dyDescent="0.2">
      <c r="C3990" s="189"/>
      <c r="F3990" s="73"/>
      <c r="M3990" s="111"/>
      <c r="N3990" s="73"/>
      <c r="O3990" s="73"/>
      <c r="P3990" s="73"/>
      <c r="Q3990" s="73"/>
      <c r="R3990" s="111"/>
      <c r="S3990" s="75"/>
      <c r="T3990" s="73"/>
      <c r="X3990" s="189"/>
      <c r="Y3990" s="189"/>
      <c r="Z3990" s="100"/>
      <c r="AC3990" s="84"/>
      <c r="AD3990" s="189"/>
      <c r="AE3990" s="189"/>
      <c r="AF3990" s="189"/>
      <c r="AG3990" s="189"/>
      <c r="AH3990" s="189"/>
      <c r="AP3990" s="238"/>
    </row>
    <row r="3991" spans="3:42" s="45" customFormat="1" x14ac:dyDescent="0.2">
      <c r="C3991" s="189"/>
      <c r="F3991" s="73"/>
      <c r="M3991" s="111"/>
      <c r="N3991" s="73"/>
      <c r="O3991" s="73"/>
      <c r="P3991" s="73"/>
      <c r="Q3991" s="73"/>
      <c r="R3991" s="111"/>
      <c r="S3991" s="75"/>
      <c r="T3991" s="73"/>
      <c r="X3991" s="189"/>
      <c r="Y3991" s="189"/>
      <c r="Z3991" s="100"/>
      <c r="AC3991" s="84"/>
      <c r="AD3991" s="189"/>
      <c r="AE3991" s="189"/>
      <c r="AF3991" s="189"/>
      <c r="AG3991" s="189"/>
      <c r="AH3991" s="189"/>
      <c r="AP3991" s="238"/>
    </row>
    <row r="3992" spans="3:42" s="45" customFormat="1" x14ac:dyDescent="0.2">
      <c r="C3992" s="189"/>
      <c r="F3992" s="73"/>
      <c r="M3992" s="111"/>
      <c r="N3992" s="73"/>
      <c r="O3992" s="73"/>
      <c r="P3992" s="73"/>
      <c r="Q3992" s="73"/>
      <c r="R3992" s="111"/>
      <c r="S3992" s="75"/>
      <c r="T3992" s="73"/>
      <c r="X3992" s="189"/>
      <c r="Y3992" s="189"/>
      <c r="Z3992" s="100"/>
      <c r="AC3992" s="84"/>
      <c r="AD3992" s="189"/>
      <c r="AE3992" s="189"/>
      <c r="AF3992" s="189"/>
      <c r="AG3992" s="189"/>
      <c r="AH3992" s="189"/>
      <c r="AP3992" s="238"/>
    </row>
    <row r="3993" spans="3:42" s="45" customFormat="1" x14ac:dyDescent="0.2">
      <c r="C3993" s="189"/>
      <c r="F3993" s="73"/>
      <c r="M3993" s="111"/>
      <c r="N3993" s="73"/>
      <c r="O3993" s="73"/>
      <c r="P3993" s="73"/>
      <c r="Q3993" s="73"/>
      <c r="R3993" s="111"/>
      <c r="S3993" s="75"/>
      <c r="T3993" s="73"/>
      <c r="X3993" s="189"/>
      <c r="Y3993" s="189"/>
      <c r="Z3993" s="100"/>
      <c r="AC3993" s="84"/>
      <c r="AD3993" s="189"/>
      <c r="AE3993" s="189"/>
      <c r="AF3993" s="189"/>
      <c r="AG3993" s="189"/>
      <c r="AH3993" s="189"/>
      <c r="AP3993" s="238"/>
    </row>
    <row r="3994" spans="3:42" s="45" customFormat="1" x14ac:dyDescent="0.2">
      <c r="C3994" s="189"/>
      <c r="F3994" s="73"/>
      <c r="M3994" s="111"/>
      <c r="N3994" s="73"/>
      <c r="O3994" s="73"/>
      <c r="P3994" s="73"/>
      <c r="Q3994" s="73"/>
      <c r="R3994" s="111"/>
      <c r="S3994" s="75"/>
      <c r="T3994" s="73"/>
      <c r="X3994" s="189"/>
      <c r="Y3994" s="189"/>
      <c r="Z3994" s="100"/>
      <c r="AC3994" s="84"/>
      <c r="AD3994" s="189"/>
      <c r="AE3994" s="189"/>
      <c r="AF3994" s="189"/>
      <c r="AG3994" s="189"/>
      <c r="AH3994" s="189"/>
      <c r="AP3994" s="238"/>
    </row>
    <row r="3995" spans="3:42" s="45" customFormat="1" x14ac:dyDescent="0.2">
      <c r="C3995" s="189"/>
      <c r="F3995" s="73"/>
      <c r="M3995" s="111"/>
      <c r="N3995" s="73"/>
      <c r="O3995" s="73"/>
      <c r="P3995" s="73"/>
      <c r="Q3995" s="73"/>
      <c r="R3995" s="111"/>
      <c r="S3995" s="75"/>
      <c r="T3995" s="73"/>
      <c r="X3995" s="189"/>
      <c r="Y3995" s="189"/>
      <c r="Z3995" s="100"/>
      <c r="AC3995" s="84"/>
      <c r="AD3995" s="189"/>
      <c r="AE3995" s="189"/>
      <c r="AF3995" s="189"/>
      <c r="AG3995" s="189"/>
      <c r="AH3995" s="189"/>
      <c r="AP3995" s="238"/>
    </row>
    <row r="3996" spans="3:42" s="45" customFormat="1" x14ac:dyDescent="0.2">
      <c r="C3996" s="189"/>
      <c r="F3996" s="73"/>
      <c r="M3996" s="111"/>
      <c r="N3996" s="73"/>
      <c r="O3996" s="73"/>
      <c r="P3996" s="73"/>
      <c r="Q3996" s="73"/>
      <c r="R3996" s="111"/>
      <c r="S3996" s="75"/>
      <c r="T3996" s="73"/>
      <c r="X3996" s="189"/>
      <c r="Y3996" s="189"/>
      <c r="Z3996" s="100"/>
      <c r="AC3996" s="84"/>
      <c r="AD3996" s="189"/>
      <c r="AE3996" s="189"/>
      <c r="AF3996" s="189"/>
      <c r="AG3996" s="189"/>
      <c r="AH3996" s="189"/>
      <c r="AP3996" s="238"/>
    </row>
    <row r="3997" spans="3:42" s="45" customFormat="1" x14ac:dyDescent="0.2">
      <c r="C3997" s="189"/>
      <c r="F3997" s="73"/>
      <c r="M3997" s="111"/>
      <c r="N3997" s="73"/>
      <c r="O3997" s="73"/>
      <c r="P3997" s="73"/>
      <c r="Q3997" s="73"/>
      <c r="R3997" s="111"/>
      <c r="S3997" s="75"/>
      <c r="T3997" s="73"/>
      <c r="X3997" s="189"/>
      <c r="Y3997" s="189"/>
      <c r="Z3997" s="100"/>
      <c r="AC3997" s="84"/>
      <c r="AD3997" s="189"/>
      <c r="AE3997" s="189"/>
      <c r="AF3997" s="189"/>
      <c r="AG3997" s="189"/>
      <c r="AH3997" s="189"/>
      <c r="AP3997" s="238"/>
    </row>
    <row r="3998" spans="3:42" s="45" customFormat="1" x14ac:dyDescent="0.2">
      <c r="C3998" s="189"/>
      <c r="F3998" s="73"/>
      <c r="M3998" s="111"/>
      <c r="N3998" s="73"/>
      <c r="O3998" s="73"/>
      <c r="P3998" s="73"/>
      <c r="Q3998" s="73"/>
      <c r="R3998" s="111"/>
      <c r="S3998" s="75"/>
      <c r="T3998" s="73"/>
      <c r="X3998" s="189"/>
      <c r="Y3998" s="189"/>
      <c r="Z3998" s="100"/>
      <c r="AC3998" s="84"/>
      <c r="AD3998" s="189"/>
      <c r="AE3998" s="189"/>
      <c r="AF3998" s="189"/>
      <c r="AG3998" s="189"/>
      <c r="AH3998" s="189"/>
      <c r="AP3998" s="238"/>
    </row>
    <row r="3999" spans="3:42" s="45" customFormat="1" x14ac:dyDescent="0.2">
      <c r="C3999" s="189"/>
      <c r="F3999" s="73"/>
      <c r="M3999" s="111"/>
      <c r="N3999" s="73"/>
      <c r="O3999" s="73"/>
      <c r="P3999" s="73"/>
      <c r="Q3999" s="73"/>
      <c r="R3999" s="111"/>
      <c r="S3999" s="75"/>
      <c r="T3999" s="73"/>
      <c r="X3999" s="189"/>
      <c r="Y3999" s="189"/>
      <c r="Z3999" s="100"/>
      <c r="AC3999" s="84"/>
      <c r="AD3999" s="189"/>
      <c r="AE3999" s="189"/>
      <c r="AF3999" s="189"/>
      <c r="AG3999" s="189"/>
      <c r="AH3999" s="189"/>
      <c r="AP3999" s="238"/>
    </row>
    <row r="4000" spans="3:42" s="45" customFormat="1" x14ac:dyDescent="0.2">
      <c r="C4000" s="189"/>
      <c r="F4000" s="73"/>
      <c r="M4000" s="111"/>
      <c r="N4000" s="73"/>
      <c r="O4000" s="73"/>
      <c r="P4000" s="73"/>
      <c r="Q4000" s="73"/>
      <c r="R4000" s="111"/>
      <c r="S4000" s="75"/>
      <c r="T4000" s="73"/>
      <c r="X4000" s="189"/>
      <c r="Y4000" s="189"/>
      <c r="Z4000" s="100"/>
      <c r="AC4000" s="84"/>
      <c r="AD4000" s="189"/>
      <c r="AE4000" s="189"/>
      <c r="AF4000" s="189"/>
      <c r="AG4000" s="189"/>
      <c r="AH4000" s="189"/>
      <c r="AP4000" s="238"/>
    </row>
    <row r="4001" spans="3:42" s="45" customFormat="1" x14ac:dyDescent="0.2">
      <c r="C4001" s="189"/>
      <c r="F4001" s="73"/>
      <c r="M4001" s="111"/>
      <c r="N4001" s="73"/>
      <c r="O4001" s="73"/>
      <c r="P4001" s="73"/>
      <c r="Q4001" s="73"/>
      <c r="R4001" s="111"/>
      <c r="S4001" s="75"/>
      <c r="T4001" s="73"/>
      <c r="X4001" s="189"/>
      <c r="Y4001" s="189"/>
      <c r="Z4001" s="100"/>
      <c r="AC4001" s="84"/>
      <c r="AD4001" s="189"/>
      <c r="AE4001" s="189"/>
      <c r="AF4001" s="189"/>
      <c r="AG4001" s="189"/>
      <c r="AH4001" s="189"/>
      <c r="AP4001" s="238"/>
    </row>
    <row r="4002" spans="3:42" s="45" customFormat="1" x14ac:dyDescent="0.2">
      <c r="C4002" s="189"/>
      <c r="F4002" s="73"/>
      <c r="M4002" s="111"/>
      <c r="N4002" s="73"/>
      <c r="O4002" s="73"/>
      <c r="P4002" s="73"/>
      <c r="Q4002" s="73"/>
      <c r="R4002" s="111"/>
      <c r="S4002" s="75"/>
      <c r="T4002" s="73"/>
      <c r="X4002" s="189"/>
      <c r="Y4002" s="189"/>
      <c r="Z4002" s="100"/>
      <c r="AC4002" s="84"/>
      <c r="AD4002" s="189"/>
      <c r="AE4002" s="189"/>
      <c r="AF4002" s="189"/>
      <c r="AG4002" s="189"/>
      <c r="AH4002" s="189"/>
      <c r="AP4002" s="238"/>
    </row>
    <row r="4003" spans="3:42" s="45" customFormat="1" x14ac:dyDescent="0.2">
      <c r="C4003" s="189"/>
      <c r="F4003" s="73"/>
      <c r="M4003" s="111"/>
      <c r="N4003" s="73"/>
      <c r="O4003" s="73"/>
      <c r="P4003" s="73"/>
      <c r="Q4003" s="73"/>
      <c r="R4003" s="111"/>
      <c r="S4003" s="75"/>
      <c r="T4003" s="73"/>
      <c r="X4003" s="189"/>
      <c r="Y4003" s="189"/>
      <c r="Z4003" s="100"/>
      <c r="AC4003" s="84"/>
      <c r="AD4003" s="189"/>
      <c r="AE4003" s="189"/>
      <c r="AF4003" s="189"/>
      <c r="AG4003" s="189"/>
      <c r="AH4003" s="189"/>
      <c r="AP4003" s="238"/>
    </row>
    <row r="4004" spans="3:42" s="45" customFormat="1" x14ac:dyDescent="0.2">
      <c r="C4004" s="189"/>
      <c r="F4004" s="73"/>
      <c r="M4004" s="111"/>
      <c r="N4004" s="73"/>
      <c r="O4004" s="73"/>
      <c r="P4004" s="73"/>
      <c r="Q4004" s="73"/>
      <c r="R4004" s="111"/>
      <c r="S4004" s="75"/>
      <c r="T4004" s="73"/>
      <c r="X4004" s="189"/>
      <c r="Y4004" s="189"/>
      <c r="Z4004" s="100"/>
      <c r="AC4004" s="84"/>
      <c r="AD4004" s="189"/>
      <c r="AE4004" s="189"/>
      <c r="AF4004" s="189"/>
      <c r="AG4004" s="189"/>
      <c r="AH4004" s="189"/>
      <c r="AP4004" s="238"/>
    </row>
    <row r="4005" spans="3:42" s="45" customFormat="1" x14ac:dyDescent="0.2">
      <c r="C4005" s="189"/>
      <c r="F4005" s="73"/>
      <c r="M4005" s="111"/>
      <c r="N4005" s="73"/>
      <c r="O4005" s="73"/>
      <c r="P4005" s="73"/>
      <c r="Q4005" s="73"/>
      <c r="R4005" s="111"/>
      <c r="S4005" s="75"/>
      <c r="T4005" s="73"/>
      <c r="X4005" s="189"/>
      <c r="Y4005" s="189"/>
      <c r="Z4005" s="100"/>
      <c r="AC4005" s="84"/>
      <c r="AD4005" s="189"/>
      <c r="AE4005" s="189"/>
      <c r="AF4005" s="189"/>
      <c r="AG4005" s="189"/>
      <c r="AH4005" s="189"/>
      <c r="AP4005" s="238"/>
    </row>
    <row r="4006" spans="3:42" s="45" customFormat="1" x14ac:dyDescent="0.2">
      <c r="C4006" s="189"/>
      <c r="F4006" s="73"/>
      <c r="M4006" s="111"/>
      <c r="N4006" s="73"/>
      <c r="O4006" s="73"/>
      <c r="P4006" s="73"/>
      <c r="Q4006" s="73"/>
      <c r="R4006" s="111"/>
      <c r="S4006" s="75"/>
      <c r="T4006" s="73"/>
      <c r="X4006" s="189"/>
      <c r="Y4006" s="189"/>
      <c r="Z4006" s="100"/>
      <c r="AC4006" s="84"/>
      <c r="AD4006" s="189"/>
      <c r="AE4006" s="189"/>
      <c r="AF4006" s="189"/>
      <c r="AG4006" s="189"/>
      <c r="AH4006" s="189"/>
      <c r="AP4006" s="238"/>
    </row>
    <row r="4007" spans="3:42" s="45" customFormat="1" x14ac:dyDescent="0.2">
      <c r="C4007" s="189"/>
      <c r="F4007" s="73"/>
      <c r="M4007" s="111"/>
      <c r="N4007" s="73"/>
      <c r="O4007" s="73"/>
      <c r="P4007" s="73"/>
      <c r="Q4007" s="73"/>
      <c r="R4007" s="111"/>
      <c r="S4007" s="75"/>
      <c r="T4007" s="73"/>
      <c r="X4007" s="189"/>
      <c r="Y4007" s="189"/>
      <c r="Z4007" s="100"/>
      <c r="AC4007" s="84"/>
      <c r="AD4007" s="189"/>
      <c r="AE4007" s="189"/>
      <c r="AF4007" s="189"/>
      <c r="AG4007" s="189"/>
      <c r="AH4007" s="189"/>
      <c r="AP4007" s="238"/>
    </row>
    <row r="4008" spans="3:42" s="45" customFormat="1" x14ac:dyDescent="0.2">
      <c r="C4008" s="189"/>
      <c r="F4008" s="73"/>
      <c r="M4008" s="111"/>
      <c r="N4008" s="73"/>
      <c r="O4008" s="73"/>
      <c r="P4008" s="73"/>
      <c r="Q4008" s="73"/>
      <c r="R4008" s="111"/>
      <c r="S4008" s="75"/>
      <c r="T4008" s="73"/>
      <c r="X4008" s="189"/>
      <c r="Y4008" s="189"/>
      <c r="Z4008" s="100"/>
      <c r="AC4008" s="84"/>
      <c r="AD4008" s="189"/>
      <c r="AE4008" s="189"/>
      <c r="AF4008" s="189"/>
      <c r="AG4008" s="189"/>
      <c r="AH4008" s="189"/>
      <c r="AP4008" s="238"/>
    </row>
    <row r="4009" spans="3:42" s="45" customFormat="1" x14ac:dyDescent="0.2">
      <c r="C4009" s="189"/>
      <c r="F4009" s="73"/>
      <c r="M4009" s="111"/>
      <c r="N4009" s="73"/>
      <c r="O4009" s="73"/>
      <c r="P4009" s="73"/>
      <c r="Q4009" s="73"/>
      <c r="R4009" s="111"/>
      <c r="S4009" s="75"/>
      <c r="T4009" s="73"/>
      <c r="X4009" s="189"/>
      <c r="Y4009" s="189"/>
      <c r="Z4009" s="100"/>
      <c r="AC4009" s="84"/>
      <c r="AD4009" s="189"/>
      <c r="AE4009" s="189"/>
      <c r="AF4009" s="189"/>
      <c r="AG4009" s="189"/>
      <c r="AH4009" s="189"/>
      <c r="AP4009" s="238"/>
    </row>
    <row r="4010" spans="3:42" s="45" customFormat="1" x14ac:dyDescent="0.2">
      <c r="C4010" s="189"/>
      <c r="F4010" s="73"/>
      <c r="M4010" s="111"/>
      <c r="N4010" s="73"/>
      <c r="O4010" s="73"/>
      <c r="P4010" s="73"/>
      <c r="Q4010" s="73"/>
      <c r="R4010" s="111"/>
      <c r="S4010" s="75"/>
      <c r="T4010" s="73"/>
      <c r="X4010" s="189"/>
      <c r="Y4010" s="189"/>
      <c r="Z4010" s="100"/>
      <c r="AC4010" s="84"/>
      <c r="AD4010" s="189"/>
      <c r="AE4010" s="189"/>
      <c r="AF4010" s="189"/>
      <c r="AG4010" s="189"/>
      <c r="AH4010" s="189"/>
      <c r="AP4010" s="238"/>
    </row>
    <row r="4011" spans="3:42" s="45" customFormat="1" x14ac:dyDescent="0.2">
      <c r="C4011" s="189"/>
      <c r="F4011" s="73"/>
      <c r="M4011" s="111"/>
      <c r="N4011" s="73"/>
      <c r="O4011" s="73"/>
      <c r="P4011" s="73"/>
      <c r="Q4011" s="73"/>
      <c r="R4011" s="111"/>
      <c r="S4011" s="75"/>
      <c r="T4011" s="73"/>
      <c r="X4011" s="189"/>
      <c r="Y4011" s="189"/>
      <c r="Z4011" s="100"/>
      <c r="AC4011" s="84"/>
      <c r="AD4011" s="189"/>
      <c r="AE4011" s="189"/>
      <c r="AF4011" s="189"/>
      <c r="AG4011" s="189"/>
      <c r="AH4011" s="189"/>
      <c r="AP4011" s="238"/>
    </row>
    <row r="4012" spans="3:42" s="45" customFormat="1" x14ac:dyDescent="0.2">
      <c r="C4012" s="189"/>
      <c r="F4012" s="73"/>
      <c r="M4012" s="111"/>
      <c r="N4012" s="73"/>
      <c r="O4012" s="73"/>
      <c r="P4012" s="73"/>
      <c r="Q4012" s="73"/>
      <c r="R4012" s="111"/>
      <c r="S4012" s="75"/>
      <c r="T4012" s="73"/>
      <c r="X4012" s="189"/>
      <c r="Y4012" s="189"/>
      <c r="Z4012" s="100"/>
      <c r="AC4012" s="84"/>
      <c r="AD4012" s="189"/>
      <c r="AE4012" s="189"/>
      <c r="AF4012" s="189"/>
      <c r="AG4012" s="189"/>
      <c r="AH4012" s="189"/>
      <c r="AP4012" s="238"/>
    </row>
    <row r="4013" spans="3:42" s="45" customFormat="1" x14ac:dyDescent="0.2">
      <c r="C4013" s="189"/>
      <c r="F4013" s="73"/>
      <c r="M4013" s="111"/>
      <c r="N4013" s="73"/>
      <c r="O4013" s="73"/>
      <c r="P4013" s="73"/>
      <c r="Q4013" s="73"/>
      <c r="R4013" s="111"/>
      <c r="S4013" s="75"/>
      <c r="T4013" s="73"/>
      <c r="X4013" s="189"/>
      <c r="Y4013" s="189"/>
      <c r="Z4013" s="100"/>
      <c r="AC4013" s="84"/>
      <c r="AD4013" s="189"/>
      <c r="AE4013" s="189"/>
      <c r="AF4013" s="189"/>
      <c r="AG4013" s="189"/>
      <c r="AH4013" s="189"/>
      <c r="AP4013" s="238"/>
    </row>
    <row r="4014" spans="3:42" s="45" customFormat="1" x14ac:dyDescent="0.2">
      <c r="C4014" s="189"/>
      <c r="F4014" s="73"/>
      <c r="M4014" s="111"/>
      <c r="N4014" s="73"/>
      <c r="O4014" s="73"/>
      <c r="P4014" s="73"/>
      <c r="Q4014" s="73"/>
      <c r="R4014" s="111"/>
      <c r="S4014" s="75"/>
      <c r="T4014" s="73"/>
      <c r="X4014" s="189"/>
      <c r="Y4014" s="189"/>
      <c r="Z4014" s="100"/>
      <c r="AC4014" s="84"/>
      <c r="AD4014" s="189"/>
      <c r="AE4014" s="189"/>
      <c r="AF4014" s="189"/>
      <c r="AG4014" s="189"/>
      <c r="AH4014" s="189"/>
      <c r="AP4014" s="238"/>
    </row>
    <row r="4015" spans="3:42" s="45" customFormat="1" x14ac:dyDescent="0.2">
      <c r="C4015" s="189"/>
      <c r="F4015" s="73"/>
      <c r="M4015" s="111"/>
      <c r="N4015" s="73"/>
      <c r="O4015" s="73"/>
      <c r="P4015" s="73"/>
      <c r="Q4015" s="73"/>
      <c r="R4015" s="111"/>
      <c r="S4015" s="75"/>
      <c r="T4015" s="73"/>
      <c r="X4015" s="189"/>
      <c r="Y4015" s="189"/>
      <c r="Z4015" s="100"/>
      <c r="AC4015" s="84"/>
      <c r="AD4015" s="189"/>
      <c r="AE4015" s="189"/>
      <c r="AF4015" s="189"/>
      <c r="AG4015" s="189"/>
      <c r="AH4015" s="189"/>
      <c r="AP4015" s="238"/>
    </row>
    <row r="4016" spans="3:42" s="45" customFormat="1" x14ac:dyDescent="0.2">
      <c r="C4016" s="189"/>
      <c r="F4016" s="73"/>
      <c r="M4016" s="111"/>
      <c r="N4016" s="73"/>
      <c r="O4016" s="73"/>
      <c r="P4016" s="73"/>
      <c r="Q4016" s="73"/>
      <c r="R4016" s="111"/>
      <c r="S4016" s="75"/>
      <c r="T4016" s="73"/>
      <c r="X4016" s="189"/>
      <c r="Y4016" s="189"/>
      <c r="Z4016" s="100"/>
      <c r="AC4016" s="84"/>
      <c r="AD4016" s="189"/>
      <c r="AE4016" s="189"/>
      <c r="AF4016" s="189"/>
      <c r="AG4016" s="189"/>
      <c r="AH4016" s="189"/>
      <c r="AP4016" s="238"/>
    </row>
    <row r="4017" spans="3:42" s="45" customFormat="1" x14ac:dyDescent="0.2">
      <c r="C4017" s="189"/>
      <c r="F4017" s="73"/>
      <c r="M4017" s="111"/>
      <c r="N4017" s="73"/>
      <c r="O4017" s="73"/>
      <c r="P4017" s="73"/>
      <c r="Q4017" s="73"/>
      <c r="R4017" s="111"/>
      <c r="S4017" s="75"/>
      <c r="T4017" s="73"/>
      <c r="X4017" s="189"/>
      <c r="Y4017" s="189"/>
      <c r="Z4017" s="100"/>
      <c r="AC4017" s="84"/>
      <c r="AD4017" s="189"/>
      <c r="AE4017" s="189"/>
      <c r="AF4017" s="189"/>
      <c r="AG4017" s="189"/>
      <c r="AH4017" s="189"/>
      <c r="AP4017" s="238"/>
    </row>
    <row r="4018" spans="3:42" s="45" customFormat="1" x14ac:dyDescent="0.2">
      <c r="C4018" s="189"/>
      <c r="F4018" s="73"/>
      <c r="M4018" s="111"/>
      <c r="N4018" s="73"/>
      <c r="O4018" s="73"/>
      <c r="P4018" s="73"/>
      <c r="Q4018" s="73"/>
      <c r="R4018" s="111"/>
      <c r="S4018" s="75"/>
      <c r="T4018" s="73"/>
      <c r="X4018" s="189"/>
      <c r="Y4018" s="189"/>
      <c r="Z4018" s="100"/>
      <c r="AC4018" s="84"/>
      <c r="AD4018" s="189"/>
      <c r="AE4018" s="189"/>
      <c r="AF4018" s="189"/>
      <c r="AG4018" s="189"/>
      <c r="AH4018" s="189"/>
      <c r="AP4018" s="238"/>
    </row>
    <row r="4019" spans="3:42" s="45" customFormat="1" x14ac:dyDescent="0.2">
      <c r="C4019" s="189"/>
      <c r="F4019" s="73"/>
      <c r="M4019" s="111"/>
      <c r="N4019" s="73"/>
      <c r="O4019" s="73"/>
      <c r="P4019" s="73"/>
      <c r="Q4019" s="73"/>
      <c r="R4019" s="111"/>
      <c r="S4019" s="75"/>
      <c r="T4019" s="73"/>
      <c r="X4019" s="189"/>
      <c r="Y4019" s="189"/>
      <c r="Z4019" s="100"/>
      <c r="AC4019" s="84"/>
      <c r="AD4019" s="189"/>
      <c r="AE4019" s="189"/>
      <c r="AF4019" s="189"/>
      <c r="AG4019" s="189"/>
      <c r="AH4019" s="189"/>
      <c r="AP4019" s="238"/>
    </row>
    <row r="4020" spans="3:42" s="45" customFormat="1" x14ac:dyDescent="0.2">
      <c r="C4020" s="189"/>
      <c r="F4020" s="73"/>
      <c r="M4020" s="111"/>
      <c r="N4020" s="73"/>
      <c r="O4020" s="73"/>
      <c r="P4020" s="73"/>
      <c r="Q4020" s="73"/>
      <c r="R4020" s="111"/>
      <c r="S4020" s="75"/>
      <c r="T4020" s="73"/>
      <c r="X4020" s="189"/>
      <c r="Y4020" s="189"/>
      <c r="Z4020" s="100"/>
      <c r="AC4020" s="84"/>
      <c r="AD4020" s="189"/>
      <c r="AE4020" s="189"/>
      <c r="AF4020" s="189"/>
      <c r="AG4020" s="189"/>
      <c r="AH4020" s="189"/>
      <c r="AP4020" s="238"/>
    </row>
    <row r="4021" spans="3:42" s="45" customFormat="1" x14ac:dyDescent="0.2">
      <c r="C4021" s="189"/>
      <c r="F4021" s="73"/>
      <c r="M4021" s="111"/>
      <c r="N4021" s="73"/>
      <c r="O4021" s="73"/>
      <c r="P4021" s="73"/>
      <c r="Q4021" s="73"/>
      <c r="R4021" s="111"/>
      <c r="S4021" s="75"/>
      <c r="T4021" s="73"/>
      <c r="X4021" s="189"/>
      <c r="Y4021" s="189"/>
      <c r="Z4021" s="100"/>
      <c r="AC4021" s="84"/>
      <c r="AD4021" s="189"/>
      <c r="AE4021" s="189"/>
      <c r="AF4021" s="189"/>
      <c r="AG4021" s="189"/>
      <c r="AH4021" s="189"/>
      <c r="AP4021" s="238"/>
    </row>
    <row r="4022" spans="3:42" s="45" customFormat="1" x14ac:dyDescent="0.2">
      <c r="C4022" s="189"/>
      <c r="F4022" s="73"/>
      <c r="M4022" s="111"/>
      <c r="N4022" s="73"/>
      <c r="O4022" s="73"/>
      <c r="P4022" s="73"/>
      <c r="Q4022" s="73"/>
      <c r="R4022" s="111"/>
      <c r="S4022" s="75"/>
      <c r="T4022" s="73"/>
      <c r="X4022" s="189"/>
      <c r="Y4022" s="189"/>
      <c r="Z4022" s="100"/>
      <c r="AC4022" s="84"/>
      <c r="AD4022" s="189"/>
      <c r="AE4022" s="189"/>
      <c r="AF4022" s="189"/>
      <c r="AG4022" s="189"/>
      <c r="AH4022" s="189"/>
      <c r="AP4022" s="238"/>
    </row>
    <row r="4023" spans="3:42" s="45" customFormat="1" x14ac:dyDescent="0.2">
      <c r="C4023" s="189"/>
      <c r="F4023" s="73"/>
      <c r="M4023" s="111"/>
      <c r="N4023" s="73"/>
      <c r="O4023" s="73"/>
      <c r="P4023" s="73"/>
      <c r="Q4023" s="73"/>
      <c r="R4023" s="111"/>
      <c r="S4023" s="75"/>
      <c r="T4023" s="73"/>
      <c r="X4023" s="189"/>
      <c r="Y4023" s="189"/>
      <c r="Z4023" s="100"/>
      <c r="AC4023" s="84"/>
      <c r="AD4023" s="189"/>
      <c r="AE4023" s="189"/>
      <c r="AF4023" s="189"/>
      <c r="AG4023" s="189"/>
      <c r="AH4023" s="189"/>
      <c r="AP4023" s="238"/>
    </row>
    <row r="4024" spans="3:42" s="45" customFormat="1" x14ac:dyDescent="0.2">
      <c r="C4024" s="189"/>
      <c r="F4024" s="73"/>
      <c r="M4024" s="111"/>
      <c r="N4024" s="73"/>
      <c r="O4024" s="73"/>
      <c r="P4024" s="73"/>
      <c r="Q4024" s="73"/>
      <c r="R4024" s="111"/>
      <c r="S4024" s="75"/>
      <c r="T4024" s="73"/>
      <c r="X4024" s="189"/>
      <c r="Y4024" s="189"/>
      <c r="Z4024" s="100"/>
      <c r="AC4024" s="84"/>
      <c r="AD4024" s="189"/>
      <c r="AE4024" s="189"/>
      <c r="AF4024" s="189"/>
      <c r="AG4024" s="189"/>
      <c r="AH4024" s="189"/>
      <c r="AP4024" s="238"/>
    </row>
    <row r="4025" spans="3:42" s="45" customFormat="1" x14ac:dyDescent="0.2">
      <c r="C4025" s="189"/>
      <c r="F4025" s="73"/>
      <c r="M4025" s="111"/>
      <c r="N4025" s="73"/>
      <c r="O4025" s="73"/>
      <c r="P4025" s="73"/>
      <c r="Q4025" s="73"/>
      <c r="R4025" s="111"/>
      <c r="S4025" s="75"/>
      <c r="T4025" s="73"/>
      <c r="X4025" s="189"/>
      <c r="Y4025" s="189"/>
      <c r="Z4025" s="100"/>
      <c r="AC4025" s="84"/>
      <c r="AD4025" s="189"/>
      <c r="AE4025" s="189"/>
      <c r="AF4025" s="189"/>
      <c r="AG4025" s="189"/>
      <c r="AH4025" s="189"/>
      <c r="AP4025" s="238"/>
    </row>
    <row r="4026" spans="3:42" s="45" customFormat="1" x14ac:dyDescent="0.2">
      <c r="C4026" s="189"/>
      <c r="F4026" s="73"/>
      <c r="M4026" s="111"/>
      <c r="N4026" s="73"/>
      <c r="O4026" s="73"/>
      <c r="P4026" s="73"/>
      <c r="Q4026" s="73"/>
      <c r="R4026" s="111"/>
      <c r="S4026" s="75"/>
      <c r="T4026" s="73"/>
      <c r="X4026" s="189"/>
      <c r="Y4026" s="189"/>
      <c r="Z4026" s="100"/>
      <c r="AC4026" s="84"/>
      <c r="AD4026" s="189"/>
      <c r="AE4026" s="189"/>
      <c r="AF4026" s="189"/>
      <c r="AG4026" s="189"/>
      <c r="AH4026" s="189"/>
      <c r="AP4026" s="238"/>
    </row>
    <row r="4027" spans="3:42" s="45" customFormat="1" x14ac:dyDescent="0.2">
      <c r="C4027" s="189"/>
      <c r="F4027" s="73"/>
      <c r="M4027" s="111"/>
      <c r="N4027" s="73"/>
      <c r="O4027" s="73"/>
      <c r="P4027" s="73"/>
      <c r="Q4027" s="73"/>
      <c r="R4027" s="111"/>
      <c r="S4027" s="75"/>
      <c r="T4027" s="73"/>
      <c r="X4027" s="189"/>
      <c r="Y4027" s="189"/>
      <c r="Z4027" s="100"/>
      <c r="AC4027" s="84"/>
      <c r="AD4027" s="189"/>
      <c r="AE4027" s="189"/>
      <c r="AF4027" s="189"/>
      <c r="AG4027" s="189"/>
      <c r="AH4027" s="189"/>
      <c r="AP4027" s="238"/>
    </row>
    <row r="4028" spans="3:42" s="45" customFormat="1" x14ac:dyDescent="0.2">
      <c r="C4028" s="189"/>
      <c r="F4028" s="73"/>
      <c r="M4028" s="111"/>
      <c r="N4028" s="73"/>
      <c r="O4028" s="73"/>
      <c r="P4028" s="73"/>
      <c r="Q4028" s="73"/>
      <c r="R4028" s="111"/>
      <c r="S4028" s="75"/>
      <c r="T4028" s="73"/>
      <c r="X4028" s="189"/>
      <c r="Y4028" s="189"/>
      <c r="Z4028" s="100"/>
      <c r="AC4028" s="84"/>
      <c r="AD4028" s="189"/>
      <c r="AE4028" s="189"/>
      <c r="AF4028" s="189"/>
      <c r="AG4028" s="189"/>
      <c r="AH4028" s="189"/>
      <c r="AP4028" s="238"/>
    </row>
    <row r="4029" spans="3:42" s="45" customFormat="1" x14ac:dyDescent="0.2">
      <c r="C4029" s="189"/>
      <c r="F4029" s="73"/>
      <c r="M4029" s="111"/>
      <c r="N4029" s="73"/>
      <c r="O4029" s="73"/>
      <c r="P4029" s="73"/>
      <c r="Q4029" s="73"/>
      <c r="R4029" s="111"/>
      <c r="S4029" s="75"/>
      <c r="T4029" s="73"/>
      <c r="X4029" s="189"/>
      <c r="Y4029" s="189"/>
      <c r="Z4029" s="100"/>
      <c r="AC4029" s="84"/>
      <c r="AD4029" s="189"/>
      <c r="AE4029" s="189"/>
      <c r="AF4029" s="189"/>
      <c r="AG4029" s="189"/>
      <c r="AH4029" s="189"/>
      <c r="AP4029" s="238"/>
    </row>
    <row r="4030" spans="3:42" s="45" customFormat="1" x14ac:dyDescent="0.2">
      <c r="C4030" s="189"/>
      <c r="F4030" s="73"/>
      <c r="M4030" s="111"/>
      <c r="N4030" s="73"/>
      <c r="O4030" s="73"/>
      <c r="P4030" s="73"/>
      <c r="Q4030" s="73"/>
      <c r="R4030" s="111"/>
      <c r="S4030" s="75"/>
      <c r="T4030" s="73"/>
      <c r="X4030" s="189"/>
      <c r="Y4030" s="189"/>
      <c r="Z4030" s="100"/>
      <c r="AC4030" s="84"/>
      <c r="AD4030" s="189"/>
      <c r="AE4030" s="189"/>
      <c r="AF4030" s="189"/>
      <c r="AG4030" s="189"/>
      <c r="AH4030" s="189"/>
      <c r="AP4030" s="238"/>
    </row>
    <row r="4031" spans="3:42" s="45" customFormat="1" x14ac:dyDescent="0.2">
      <c r="C4031" s="189"/>
      <c r="F4031" s="73"/>
      <c r="M4031" s="111"/>
      <c r="N4031" s="73"/>
      <c r="O4031" s="73"/>
      <c r="P4031" s="73"/>
      <c r="Q4031" s="73"/>
      <c r="R4031" s="111"/>
      <c r="S4031" s="75"/>
      <c r="T4031" s="73"/>
      <c r="X4031" s="189"/>
      <c r="Y4031" s="189"/>
      <c r="Z4031" s="100"/>
      <c r="AC4031" s="84"/>
      <c r="AD4031" s="189"/>
      <c r="AE4031" s="189"/>
      <c r="AF4031" s="189"/>
      <c r="AG4031" s="189"/>
      <c r="AH4031" s="189"/>
      <c r="AP4031" s="238"/>
    </row>
    <row r="4032" spans="3:42" s="45" customFormat="1" x14ac:dyDescent="0.2">
      <c r="C4032" s="189"/>
      <c r="F4032" s="73"/>
      <c r="M4032" s="111"/>
      <c r="N4032" s="73"/>
      <c r="O4032" s="73"/>
      <c r="P4032" s="73"/>
      <c r="Q4032" s="73"/>
      <c r="R4032" s="111"/>
      <c r="S4032" s="75"/>
      <c r="T4032" s="73"/>
      <c r="X4032" s="189"/>
      <c r="Y4032" s="189"/>
      <c r="Z4032" s="100"/>
      <c r="AC4032" s="84"/>
      <c r="AD4032" s="189"/>
      <c r="AE4032" s="189"/>
      <c r="AF4032" s="189"/>
      <c r="AG4032" s="189"/>
      <c r="AH4032" s="189"/>
      <c r="AP4032" s="238"/>
    </row>
    <row r="4033" spans="3:42" s="45" customFormat="1" x14ac:dyDescent="0.2">
      <c r="C4033" s="189"/>
      <c r="F4033" s="73"/>
      <c r="M4033" s="111"/>
      <c r="N4033" s="73"/>
      <c r="O4033" s="73"/>
      <c r="P4033" s="73"/>
      <c r="Q4033" s="73"/>
      <c r="R4033" s="111"/>
      <c r="S4033" s="75"/>
      <c r="T4033" s="73"/>
      <c r="X4033" s="189"/>
      <c r="Y4033" s="189"/>
      <c r="Z4033" s="100"/>
      <c r="AC4033" s="84"/>
      <c r="AD4033" s="189"/>
      <c r="AE4033" s="189"/>
      <c r="AF4033" s="189"/>
      <c r="AG4033" s="189"/>
      <c r="AH4033" s="189"/>
      <c r="AP4033" s="238"/>
    </row>
    <row r="4034" spans="3:42" s="45" customFormat="1" x14ac:dyDescent="0.2">
      <c r="C4034" s="189"/>
      <c r="F4034" s="73"/>
      <c r="M4034" s="111"/>
      <c r="N4034" s="73"/>
      <c r="O4034" s="73"/>
      <c r="P4034" s="73"/>
      <c r="Q4034" s="73"/>
      <c r="R4034" s="111"/>
      <c r="S4034" s="75"/>
      <c r="T4034" s="73"/>
      <c r="X4034" s="189"/>
      <c r="Y4034" s="189"/>
      <c r="Z4034" s="100"/>
      <c r="AC4034" s="84"/>
      <c r="AD4034" s="189"/>
      <c r="AE4034" s="189"/>
      <c r="AF4034" s="189"/>
      <c r="AG4034" s="189"/>
      <c r="AH4034" s="189"/>
      <c r="AP4034" s="238"/>
    </row>
    <row r="4035" spans="3:42" s="45" customFormat="1" x14ac:dyDescent="0.2">
      <c r="C4035" s="189"/>
      <c r="F4035" s="73"/>
      <c r="M4035" s="111"/>
      <c r="N4035" s="73"/>
      <c r="O4035" s="73"/>
      <c r="P4035" s="73"/>
      <c r="Q4035" s="73"/>
      <c r="R4035" s="111"/>
      <c r="S4035" s="75"/>
      <c r="T4035" s="73"/>
      <c r="X4035" s="189"/>
      <c r="Y4035" s="189"/>
      <c r="Z4035" s="100"/>
      <c r="AC4035" s="84"/>
      <c r="AD4035" s="189"/>
      <c r="AE4035" s="189"/>
      <c r="AF4035" s="189"/>
      <c r="AG4035" s="189"/>
      <c r="AH4035" s="189"/>
      <c r="AP4035" s="238"/>
    </row>
    <row r="4036" spans="3:42" s="45" customFormat="1" x14ac:dyDescent="0.2">
      <c r="C4036" s="189"/>
      <c r="F4036" s="73"/>
      <c r="M4036" s="111"/>
      <c r="N4036" s="73"/>
      <c r="O4036" s="73"/>
      <c r="P4036" s="73"/>
      <c r="Q4036" s="73"/>
      <c r="R4036" s="111"/>
      <c r="S4036" s="75"/>
      <c r="T4036" s="73"/>
      <c r="X4036" s="189"/>
      <c r="Y4036" s="189"/>
      <c r="Z4036" s="100"/>
      <c r="AC4036" s="84"/>
      <c r="AD4036" s="189"/>
      <c r="AE4036" s="189"/>
      <c r="AF4036" s="189"/>
      <c r="AG4036" s="189"/>
      <c r="AH4036" s="189"/>
      <c r="AP4036" s="238"/>
    </row>
    <row r="4037" spans="3:42" s="45" customFormat="1" x14ac:dyDescent="0.2">
      <c r="C4037" s="189"/>
      <c r="F4037" s="73"/>
      <c r="M4037" s="111"/>
      <c r="N4037" s="73"/>
      <c r="O4037" s="73"/>
      <c r="P4037" s="73"/>
      <c r="Q4037" s="73"/>
      <c r="R4037" s="111"/>
      <c r="S4037" s="75"/>
      <c r="T4037" s="73"/>
      <c r="X4037" s="189"/>
      <c r="Y4037" s="189"/>
      <c r="Z4037" s="100"/>
      <c r="AC4037" s="84"/>
      <c r="AD4037" s="189"/>
      <c r="AE4037" s="189"/>
      <c r="AF4037" s="189"/>
      <c r="AG4037" s="189"/>
      <c r="AH4037" s="189"/>
      <c r="AP4037" s="238"/>
    </row>
    <row r="4038" spans="3:42" s="45" customFormat="1" x14ac:dyDescent="0.2">
      <c r="C4038" s="189"/>
      <c r="F4038" s="73"/>
      <c r="M4038" s="111"/>
      <c r="N4038" s="73"/>
      <c r="O4038" s="73"/>
      <c r="P4038" s="73"/>
      <c r="Q4038" s="73"/>
      <c r="R4038" s="111"/>
      <c r="S4038" s="75"/>
      <c r="T4038" s="73"/>
      <c r="X4038" s="189"/>
      <c r="Y4038" s="189"/>
      <c r="Z4038" s="100"/>
      <c r="AC4038" s="84"/>
      <c r="AD4038" s="189"/>
      <c r="AE4038" s="189"/>
      <c r="AF4038" s="189"/>
      <c r="AG4038" s="189"/>
      <c r="AH4038" s="189"/>
      <c r="AP4038" s="238"/>
    </row>
    <row r="4039" spans="3:42" s="45" customFormat="1" x14ac:dyDescent="0.2">
      <c r="C4039" s="189"/>
      <c r="F4039" s="73"/>
      <c r="M4039" s="111"/>
      <c r="N4039" s="73"/>
      <c r="O4039" s="73"/>
      <c r="P4039" s="73"/>
      <c r="Q4039" s="73"/>
      <c r="R4039" s="111"/>
      <c r="S4039" s="75"/>
      <c r="T4039" s="73"/>
      <c r="X4039" s="189"/>
      <c r="Y4039" s="189"/>
      <c r="Z4039" s="100"/>
      <c r="AC4039" s="84"/>
      <c r="AD4039" s="189"/>
      <c r="AE4039" s="189"/>
      <c r="AF4039" s="189"/>
      <c r="AG4039" s="189"/>
      <c r="AH4039" s="189"/>
      <c r="AP4039" s="238"/>
    </row>
    <row r="4040" spans="3:42" s="45" customFormat="1" x14ac:dyDescent="0.2">
      <c r="C4040" s="189"/>
      <c r="F4040" s="73"/>
      <c r="M4040" s="111"/>
      <c r="N4040" s="73"/>
      <c r="O4040" s="73"/>
      <c r="P4040" s="73"/>
      <c r="Q4040" s="73"/>
      <c r="R4040" s="111"/>
      <c r="S4040" s="75"/>
      <c r="T4040" s="73"/>
      <c r="X4040" s="189"/>
      <c r="Y4040" s="189"/>
      <c r="Z4040" s="100"/>
      <c r="AC4040" s="84"/>
      <c r="AD4040" s="189"/>
      <c r="AE4040" s="189"/>
      <c r="AF4040" s="189"/>
      <c r="AG4040" s="189"/>
      <c r="AH4040" s="189"/>
      <c r="AP4040" s="238"/>
    </row>
    <row r="4041" spans="3:42" s="45" customFormat="1" x14ac:dyDescent="0.2">
      <c r="C4041" s="189"/>
      <c r="F4041" s="73"/>
      <c r="M4041" s="111"/>
      <c r="N4041" s="73"/>
      <c r="O4041" s="73"/>
      <c r="P4041" s="73"/>
      <c r="Q4041" s="73"/>
      <c r="R4041" s="111"/>
      <c r="S4041" s="75"/>
      <c r="T4041" s="73"/>
      <c r="X4041" s="189"/>
      <c r="Y4041" s="189"/>
      <c r="Z4041" s="100"/>
      <c r="AC4041" s="84"/>
      <c r="AD4041" s="189"/>
      <c r="AE4041" s="189"/>
      <c r="AF4041" s="189"/>
      <c r="AG4041" s="189"/>
      <c r="AH4041" s="189"/>
      <c r="AP4041" s="238"/>
    </row>
    <row r="4042" spans="3:42" s="45" customFormat="1" x14ac:dyDescent="0.2">
      <c r="C4042" s="189"/>
      <c r="F4042" s="73"/>
      <c r="M4042" s="111"/>
      <c r="N4042" s="73"/>
      <c r="O4042" s="73"/>
      <c r="P4042" s="73"/>
      <c r="Q4042" s="73"/>
      <c r="R4042" s="111"/>
      <c r="S4042" s="75"/>
      <c r="T4042" s="73"/>
      <c r="X4042" s="189"/>
      <c r="Y4042" s="189"/>
      <c r="Z4042" s="100"/>
      <c r="AC4042" s="84"/>
      <c r="AD4042" s="189"/>
      <c r="AE4042" s="189"/>
      <c r="AF4042" s="189"/>
      <c r="AG4042" s="189"/>
      <c r="AH4042" s="189"/>
      <c r="AP4042" s="238"/>
    </row>
    <row r="4043" spans="3:42" s="45" customFormat="1" x14ac:dyDescent="0.2">
      <c r="C4043" s="189"/>
      <c r="F4043" s="73"/>
      <c r="M4043" s="111"/>
      <c r="N4043" s="73"/>
      <c r="O4043" s="73"/>
      <c r="P4043" s="73"/>
      <c r="Q4043" s="73"/>
      <c r="R4043" s="111"/>
      <c r="S4043" s="75"/>
      <c r="T4043" s="73"/>
      <c r="X4043" s="189"/>
      <c r="Y4043" s="189"/>
      <c r="Z4043" s="100"/>
      <c r="AC4043" s="84"/>
      <c r="AD4043" s="189"/>
      <c r="AE4043" s="189"/>
      <c r="AF4043" s="189"/>
      <c r="AG4043" s="189"/>
      <c r="AH4043" s="189"/>
      <c r="AP4043" s="238"/>
    </row>
    <row r="4044" spans="3:42" s="45" customFormat="1" x14ac:dyDescent="0.2">
      <c r="C4044" s="189"/>
      <c r="F4044" s="73"/>
      <c r="M4044" s="111"/>
      <c r="N4044" s="73"/>
      <c r="O4044" s="73"/>
      <c r="P4044" s="73"/>
      <c r="Q4044" s="73"/>
      <c r="R4044" s="111"/>
      <c r="S4044" s="75"/>
      <c r="T4044" s="73"/>
      <c r="X4044" s="189"/>
      <c r="Y4044" s="189"/>
      <c r="Z4044" s="100"/>
      <c r="AC4044" s="84"/>
      <c r="AD4044" s="189"/>
      <c r="AE4044" s="189"/>
      <c r="AF4044" s="189"/>
      <c r="AG4044" s="189"/>
      <c r="AH4044" s="189"/>
      <c r="AP4044" s="238"/>
    </row>
    <row r="4045" spans="3:42" s="45" customFormat="1" x14ac:dyDescent="0.2">
      <c r="C4045" s="189"/>
      <c r="F4045" s="73"/>
      <c r="M4045" s="111"/>
      <c r="N4045" s="73"/>
      <c r="O4045" s="73"/>
      <c r="P4045" s="73"/>
      <c r="Q4045" s="73"/>
      <c r="R4045" s="111"/>
      <c r="S4045" s="75"/>
      <c r="T4045" s="73"/>
      <c r="X4045" s="189"/>
      <c r="Y4045" s="189"/>
      <c r="Z4045" s="100"/>
      <c r="AC4045" s="84"/>
      <c r="AD4045" s="189"/>
      <c r="AE4045" s="189"/>
      <c r="AF4045" s="189"/>
      <c r="AG4045" s="189"/>
      <c r="AH4045" s="189"/>
      <c r="AP4045" s="238"/>
    </row>
    <row r="4046" spans="3:42" s="45" customFormat="1" x14ac:dyDescent="0.2">
      <c r="C4046" s="189"/>
      <c r="F4046" s="73"/>
      <c r="M4046" s="111"/>
      <c r="N4046" s="73"/>
      <c r="O4046" s="73"/>
      <c r="P4046" s="73"/>
      <c r="Q4046" s="73"/>
      <c r="R4046" s="111"/>
      <c r="S4046" s="75"/>
      <c r="T4046" s="73"/>
      <c r="X4046" s="189"/>
      <c r="Y4046" s="189"/>
      <c r="Z4046" s="100"/>
      <c r="AC4046" s="84"/>
      <c r="AD4046" s="189"/>
      <c r="AE4046" s="189"/>
      <c r="AF4046" s="189"/>
      <c r="AG4046" s="189"/>
      <c r="AH4046" s="189"/>
      <c r="AP4046" s="238"/>
    </row>
    <row r="4047" spans="3:42" s="45" customFormat="1" x14ac:dyDescent="0.2">
      <c r="C4047" s="189"/>
      <c r="F4047" s="73"/>
      <c r="M4047" s="111"/>
      <c r="N4047" s="73"/>
      <c r="O4047" s="73"/>
      <c r="P4047" s="73"/>
      <c r="Q4047" s="73"/>
      <c r="R4047" s="111"/>
      <c r="S4047" s="75"/>
      <c r="T4047" s="73"/>
      <c r="X4047" s="189"/>
      <c r="Y4047" s="189"/>
      <c r="Z4047" s="100"/>
      <c r="AC4047" s="84"/>
      <c r="AD4047" s="189"/>
      <c r="AE4047" s="189"/>
      <c r="AF4047" s="189"/>
      <c r="AG4047" s="189"/>
      <c r="AH4047" s="189"/>
      <c r="AP4047" s="238"/>
    </row>
    <row r="4048" spans="3:42" s="45" customFormat="1" x14ac:dyDescent="0.2">
      <c r="C4048" s="189"/>
      <c r="F4048" s="73"/>
      <c r="M4048" s="111"/>
      <c r="N4048" s="73"/>
      <c r="O4048" s="73"/>
      <c r="P4048" s="73"/>
      <c r="Q4048" s="73"/>
      <c r="R4048" s="111"/>
      <c r="S4048" s="75"/>
      <c r="T4048" s="73"/>
      <c r="X4048" s="189"/>
      <c r="Y4048" s="189"/>
      <c r="Z4048" s="100"/>
      <c r="AC4048" s="84"/>
      <c r="AD4048" s="189"/>
      <c r="AE4048" s="189"/>
      <c r="AF4048" s="189"/>
      <c r="AG4048" s="189"/>
      <c r="AH4048" s="189"/>
      <c r="AP4048" s="238"/>
    </row>
    <row r="4049" spans="3:42" s="45" customFormat="1" x14ac:dyDescent="0.2">
      <c r="C4049" s="189"/>
      <c r="F4049" s="73"/>
      <c r="M4049" s="111"/>
      <c r="N4049" s="73"/>
      <c r="O4049" s="73"/>
      <c r="P4049" s="73"/>
      <c r="Q4049" s="73"/>
      <c r="R4049" s="111"/>
      <c r="S4049" s="75"/>
      <c r="T4049" s="73"/>
      <c r="X4049" s="189"/>
      <c r="Y4049" s="189"/>
      <c r="Z4049" s="100"/>
      <c r="AC4049" s="84"/>
      <c r="AD4049" s="189"/>
      <c r="AE4049" s="189"/>
      <c r="AF4049" s="189"/>
      <c r="AG4049" s="189"/>
      <c r="AH4049" s="189"/>
      <c r="AP4049" s="238"/>
    </row>
    <row r="4050" spans="3:42" s="45" customFormat="1" x14ac:dyDescent="0.2">
      <c r="C4050" s="189"/>
      <c r="F4050" s="73"/>
      <c r="M4050" s="111"/>
      <c r="N4050" s="73"/>
      <c r="O4050" s="73"/>
      <c r="P4050" s="73"/>
      <c r="Q4050" s="73"/>
      <c r="R4050" s="111"/>
      <c r="S4050" s="75"/>
      <c r="T4050" s="73"/>
      <c r="X4050" s="189"/>
      <c r="Y4050" s="189"/>
      <c r="Z4050" s="100"/>
      <c r="AC4050" s="84"/>
      <c r="AD4050" s="189"/>
      <c r="AE4050" s="189"/>
      <c r="AF4050" s="189"/>
      <c r="AG4050" s="189"/>
      <c r="AH4050" s="189"/>
      <c r="AP4050" s="238"/>
    </row>
    <row r="4051" spans="3:42" s="45" customFormat="1" x14ac:dyDescent="0.2">
      <c r="C4051" s="189"/>
      <c r="F4051" s="73"/>
      <c r="M4051" s="111"/>
      <c r="N4051" s="73"/>
      <c r="O4051" s="73"/>
      <c r="P4051" s="73"/>
      <c r="Q4051" s="73"/>
      <c r="R4051" s="111"/>
      <c r="S4051" s="75"/>
      <c r="T4051" s="73"/>
      <c r="X4051" s="189"/>
      <c r="Y4051" s="189"/>
      <c r="Z4051" s="100"/>
      <c r="AC4051" s="84"/>
      <c r="AD4051" s="189"/>
      <c r="AE4051" s="189"/>
      <c r="AF4051" s="189"/>
      <c r="AG4051" s="189"/>
      <c r="AH4051" s="189"/>
      <c r="AP4051" s="238"/>
    </row>
    <row r="4052" spans="3:42" s="45" customFormat="1" x14ac:dyDescent="0.2">
      <c r="C4052" s="189"/>
      <c r="F4052" s="73"/>
      <c r="M4052" s="111"/>
      <c r="N4052" s="73"/>
      <c r="O4052" s="73"/>
      <c r="P4052" s="73"/>
      <c r="Q4052" s="73"/>
      <c r="R4052" s="111"/>
      <c r="S4052" s="75"/>
      <c r="T4052" s="73"/>
      <c r="X4052" s="189"/>
      <c r="Y4052" s="189"/>
      <c r="Z4052" s="100"/>
      <c r="AC4052" s="84"/>
      <c r="AD4052" s="189"/>
      <c r="AE4052" s="189"/>
      <c r="AF4052" s="189"/>
      <c r="AG4052" s="189"/>
      <c r="AH4052" s="189"/>
      <c r="AP4052" s="238"/>
    </row>
    <row r="4053" spans="3:42" s="45" customFormat="1" x14ac:dyDescent="0.2">
      <c r="C4053" s="189"/>
      <c r="F4053" s="73"/>
      <c r="M4053" s="111"/>
      <c r="N4053" s="73"/>
      <c r="O4053" s="73"/>
      <c r="P4053" s="73"/>
      <c r="Q4053" s="73"/>
      <c r="R4053" s="111"/>
      <c r="S4053" s="75"/>
      <c r="T4053" s="73"/>
      <c r="X4053" s="189"/>
      <c r="Y4053" s="189"/>
      <c r="Z4053" s="100"/>
      <c r="AC4053" s="84"/>
      <c r="AD4053" s="189"/>
      <c r="AE4053" s="189"/>
      <c r="AF4053" s="189"/>
      <c r="AG4053" s="189"/>
      <c r="AH4053" s="189"/>
      <c r="AP4053" s="238"/>
    </row>
    <row r="4054" spans="3:42" s="45" customFormat="1" x14ac:dyDescent="0.2">
      <c r="C4054" s="189"/>
      <c r="F4054" s="73"/>
      <c r="M4054" s="111"/>
      <c r="N4054" s="73"/>
      <c r="O4054" s="73"/>
      <c r="P4054" s="73"/>
      <c r="Q4054" s="73"/>
      <c r="R4054" s="111"/>
      <c r="S4054" s="75"/>
      <c r="T4054" s="73"/>
      <c r="X4054" s="189"/>
      <c r="Y4054" s="189"/>
      <c r="Z4054" s="100"/>
      <c r="AC4054" s="84"/>
      <c r="AD4054" s="189"/>
      <c r="AE4054" s="189"/>
      <c r="AF4054" s="189"/>
      <c r="AG4054" s="189"/>
      <c r="AH4054" s="189"/>
      <c r="AP4054" s="238"/>
    </row>
    <row r="4055" spans="3:42" s="45" customFormat="1" x14ac:dyDescent="0.2">
      <c r="C4055" s="189"/>
      <c r="F4055" s="73"/>
      <c r="M4055" s="111"/>
      <c r="N4055" s="73"/>
      <c r="O4055" s="73"/>
      <c r="P4055" s="73"/>
      <c r="Q4055" s="73"/>
      <c r="R4055" s="111"/>
      <c r="S4055" s="75"/>
      <c r="T4055" s="73"/>
      <c r="X4055" s="189"/>
      <c r="Y4055" s="189"/>
      <c r="Z4055" s="100"/>
      <c r="AC4055" s="84"/>
      <c r="AD4055" s="189"/>
      <c r="AE4055" s="189"/>
      <c r="AF4055" s="189"/>
      <c r="AG4055" s="189"/>
      <c r="AH4055" s="189"/>
      <c r="AP4055" s="238"/>
    </row>
    <row r="4056" spans="3:42" s="45" customFormat="1" x14ac:dyDescent="0.2">
      <c r="C4056" s="189"/>
      <c r="F4056" s="73"/>
      <c r="M4056" s="111"/>
      <c r="N4056" s="73"/>
      <c r="O4056" s="73"/>
      <c r="P4056" s="73"/>
      <c r="Q4056" s="73"/>
      <c r="R4056" s="111"/>
      <c r="S4056" s="75"/>
      <c r="T4056" s="73"/>
      <c r="X4056" s="189"/>
      <c r="Y4056" s="189"/>
      <c r="Z4056" s="100"/>
      <c r="AC4056" s="84"/>
      <c r="AD4056" s="189"/>
      <c r="AE4056" s="189"/>
      <c r="AF4056" s="189"/>
      <c r="AG4056" s="189"/>
      <c r="AH4056" s="189"/>
      <c r="AP4056" s="238"/>
    </row>
    <row r="4057" spans="3:42" s="45" customFormat="1" x14ac:dyDescent="0.2">
      <c r="C4057" s="189"/>
      <c r="F4057" s="73"/>
      <c r="M4057" s="111"/>
      <c r="N4057" s="73"/>
      <c r="O4057" s="73"/>
      <c r="P4057" s="73"/>
      <c r="Q4057" s="73"/>
      <c r="R4057" s="111"/>
      <c r="S4057" s="75"/>
      <c r="T4057" s="73"/>
      <c r="X4057" s="189"/>
      <c r="Y4057" s="189"/>
      <c r="Z4057" s="100"/>
      <c r="AC4057" s="84"/>
      <c r="AD4057" s="189"/>
      <c r="AE4057" s="189"/>
      <c r="AF4057" s="189"/>
      <c r="AG4057" s="189"/>
      <c r="AH4057" s="189"/>
      <c r="AP4057" s="238"/>
    </row>
    <row r="4058" spans="3:42" s="45" customFormat="1" x14ac:dyDescent="0.2">
      <c r="C4058" s="189"/>
      <c r="F4058" s="73"/>
      <c r="M4058" s="111"/>
      <c r="N4058" s="73"/>
      <c r="O4058" s="73"/>
      <c r="P4058" s="73"/>
      <c r="Q4058" s="73"/>
      <c r="R4058" s="111"/>
      <c r="S4058" s="75"/>
      <c r="T4058" s="73"/>
      <c r="X4058" s="189"/>
      <c r="Y4058" s="189"/>
      <c r="Z4058" s="100"/>
      <c r="AC4058" s="84"/>
      <c r="AD4058" s="189"/>
      <c r="AE4058" s="189"/>
      <c r="AF4058" s="189"/>
      <c r="AG4058" s="189"/>
      <c r="AH4058" s="189"/>
      <c r="AP4058" s="238"/>
    </row>
    <row r="4059" spans="3:42" s="45" customFormat="1" x14ac:dyDescent="0.2">
      <c r="C4059" s="189"/>
      <c r="F4059" s="73"/>
      <c r="M4059" s="111"/>
      <c r="N4059" s="73"/>
      <c r="O4059" s="73"/>
      <c r="P4059" s="73"/>
      <c r="Q4059" s="73"/>
      <c r="R4059" s="111"/>
      <c r="S4059" s="75"/>
      <c r="T4059" s="73"/>
      <c r="X4059" s="189"/>
      <c r="Y4059" s="189"/>
      <c r="Z4059" s="100"/>
      <c r="AC4059" s="84"/>
      <c r="AD4059" s="189"/>
      <c r="AE4059" s="189"/>
      <c r="AF4059" s="189"/>
      <c r="AG4059" s="189"/>
      <c r="AH4059" s="189"/>
      <c r="AP4059" s="238"/>
    </row>
    <row r="4060" spans="3:42" s="45" customFormat="1" x14ac:dyDescent="0.2">
      <c r="C4060" s="189"/>
      <c r="F4060" s="73"/>
      <c r="M4060" s="111"/>
      <c r="N4060" s="73"/>
      <c r="O4060" s="73"/>
      <c r="P4060" s="73"/>
      <c r="Q4060" s="73"/>
      <c r="R4060" s="111"/>
      <c r="S4060" s="75"/>
      <c r="T4060" s="73"/>
      <c r="X4060" s="189"/>
      <c r="Y4060" s="189"/>
      <c r="Z4060" s="100"/>
      <c r="AC4060" s="84"/>
      <c r="AD4060" s="189"/>
      <c r="AE4060" s="189"/>
      <c r="AF4060" s="189"/>
      <c r="AG4060" s="189"/>
      <c r="AH4060" s="189"/>
      <c r="AP4060" s="238"/>
    </row>
    <row r="4061" spans="3:42" s="45" customFormat="1" x14ac:dyDescent="0.2">
      <c r="C4061" s="189"/>
      <c r="F4061" s="73"/>
      <c r="M4061" s="111"/>
      <c r="N4061" s="73"/>
      <c r="O4061" s="73"/>
      <c r="P4061" s="73"/>
      <c r="Q4061" s="73"/>
      <c r="R4061" s="111"/>
      <c r="S4061" s="75"/>
      <c r="T4061" s="73"/>
      <c r="X4061" s="189"/>
      <c r="Y4061" s="189"/>
      <c r="Z4061" s="100"/>
      <c r="AC4061" s="84"/>
      <c r="AD4061" s="189"/>
      <c r="AE4061" s="189"/>
      <c r="AF4061" s="189"/>
      <c r="AG4061" s="189"/>
      <c r="AH4061" s="189"/>
      <c r="AP4061" s="238"/>
    </row>
    <row r="4062" spans="3:42" s="45" customFormat="1" x14ac:dyDescent="0.2">
      <c r="C4062" s="189"/>
      <c r="F4062" s="73"/>
      <c r="M4062" s="111"/>
      <c r="N4062" s="73"/>
      <c r="O4062" s="73"/>
      <c r="P4062" s="73"/>
      <c r="Q4062" s="73"/>
      <c r="R4062" s="111"/>
      <c r="S4062" s="75"/>
      <c r="T4062" s="73"/>
      <c r="X4062" s="189"/>
      <c r="Y4062" s="189"/>
      <c r="Z4062" s="100"/>
      <c r="AC4062" s="84"/>
      <c r="AD4062" s="189"/>
      <c r="AE4062" s="189"/>
      <c r="AF4062" s="189"/>
      <c r="AG4062" s="189"/>
      <c r="AH4062" s="189"/>
      <c r="AP4062" s="238"/>
    </row>
    <row r="4063" spans="3:42" s="45" customFormat="1" x14ac:dyDescent="0.2">
      <c r="C4063" s="189"/>
      <c r="F4063" s="73"/>
      <c r="M4063" s="111"/>
      <c r="N4063" s="73"/>
      <c r="O4063" s="73"/>
      <c r="P4063" s="73"/>
      <c r="Q4063" s="73"/>
      <c r="R4063" s="111"/>
      <c r="S4063" s="75"/>
      <c r="T4063" s="73"/>
      <c r="X4063" s="189"/>
      <c r="Y4063" s="189"/>
      <c r="Z4063" s="100"/>
      <c r="AC4063" s="84"/>
      <c r="AD4063" s="189"/>
      <c r="AE4063" s="189"/>
      <c r="AF4063" s="189"/>
      <c r="AG4063" s="189"/>
      <c r="AH4063" s="189"/>
      <c r="AP4063" s="238"/>
    </row>
    <row r="4064" spans="3:42" s="45" customFormat="1" x14ac:dyDescent="0.2">
      <c r="C4064" s="189"/>
      <c r="F4064" s="73"/>
      <c r="M4064" s="111"/>
      <c r="N4064" s="73"/>
      <c r="O4064" s="73"/>
      <c r="P4064" s="73"/>
      <c r="Q4064" s="73"/>
      <c r="R4064" s="111"/>
      <c r="S4064" s="75"/>
      <c r="T4064" s="73"/>
      <c r="X4064" s="189"/>
      <c r="Y4064" s="189"/>
      <c r="Z4064" s="100"/>
      <c r="AC4064" s="84"/>
      <c r="AD4064" s="189"/>
      <c r="AE4064" s="189"/>
      <c r="AF4064" s="189"/>
      <c r="AG4064" s="189"/>
      <c r="AH4064" s="189"/>
      <c r="AP4064" s="238"/>
    </row>
    <row r="4065" spans="3:42" s="45" customFormat="1" x14ac:dyDescent="0.2">
      <c r="C4065" s="189"/>
      <c r="F4065" s="73"/>
      <c r="M4065" s="111"/>
      <c r="N4065" s="73"/>
      <c r="O4065" s="73"/>
      <c r="P4065" s="73"/>
      <c r="Q4065" s="73"/>
      <c r="R4065" s="111"/>
      <c r="S4065" s="75"/>
      <c r="T4065" s="73"/>
      <c r="X4065" s="189"/>
      <c r="Y4065" s="189"/>
      <c r="Z4065" s="100"/>
      <c r="AC4065" s="84"/>
      <c r="AD4065" s="189"/>
      <c r="AE4065" s="189"/>
      <c r="AF4065" s="189"/>
      <c r="AG4065" s="189"/>
      <c r="AH4065" s="189"/>
      <c r="AP4065" s="238"/>
    </row>
    <row r="4066" spans="3:42" s="45" customFormat="1" x14ac:dyDescent="0.2">
      <c r="C4066" s="189"/>
      <c r="F4066" s="73"/>
      <c r="M4066" s="111"/>
      <c r="N4066" s="73"/>
      <c r="O4066" s="73"/>
      <c r="P4066" s="73"/>
      <c r="Q4066" s="73"/>
      <c r="R4066" s="111"/>
      <c r="S4066" s="75"/>
      <c r="T4066" s="73"/>
      <c r="X4066" s="189"/>
      <c r="Y4066" s="189"/>
      <c r="Z4066" s="100"/>
      <c r="AC4066" s="84"/>
      <c r="AD4066" s="189"/>
      <c r="AE4066" s="189"/>
      <c r="AF4066" s="189"/>
      <c r="AG4066" s="189"/>
      <c r="AH4066" s="189"/>
      <c r="AP4066" s="238"/>
    </row>
    <row r="4067" spans="3:42" s="45" customFormat="1" x14ac:dyDescent="0.2">
      <c r="C4067" s="189"/>
      <c r="F4067" s="73"/>
      <c r="M4067" s="111"/>
      <c r="N4067" s="73"/>
      <c r="O4067" s="73"/>
      <c r="P4067" s="73"/>
      <c r="Q4067" s="73"/>
      <c r="R4067" s="111"/>
      <c r="S4067" s="75"/>
      <c r="T4067" s="73"/>
      <c r="X4067" s="189"/>
      <c r="Y4067" s="189"/>
      <c r="Z4067" s="100"/>
      <c r="AC4067" s="84"/>
      <c r="AD4067" s="189"/>
      <c r="AE4067" s="189"/>
      <c r="AF4067" s="189"/>
      <c r="AG4067" s="189"/>
      <c r="AH4067" s="189"/>
      <c r="AP4067" s="238"/>
    </row>
    <row r="4068" spans="3:42" s="45" customFormat="1" x14ac:dyDescent="0.2">
      <c r="C4068" s="189"/>
      <c r="F4068" s="73"/>
      <c r="M4068" s="111"/>
      <c r="N4068" s="73"/>
      <c r="O4068" s="73"/>
      <c r="P4068" s="73"/>
      <c r="Q4068" s="73"/>
      <c r="R4068" s="111"/>
      <c r="S4068" s="75"/>
      <c r="T4068" s="73"/>
      <c r="X4068" s="189"/>
      <c r="Y4068" s="189"/>
      <c r="Z4068" s="100"/>
      <c r="AC4068" s="84"/>
      <c r="AD4068" s="189"/>
      <c r="AE4068" s="189"/>
      <c r="AF4068" s="189"/>
      <c r="AG4068" s="189"/>
      <c r="AH4068" s="189"/>
      <c r="AP4068" s="238"/>
    </row>
    <row r="4069" spans="3:42" s="45" customFormat="1" x14ac:dyDescent="0.2">
      <c r="C4069" s="189"/>
      <c r="F4069" s="73"/>
      <c r="M4069" s="111"/>
      <c r="N4069" s="73"/>
      <c r="O4069" s="73"/>
      <c r="P4069" s="73"/>
      <c r="Q4069" s="73"/>
      <c r="R4069" s="111"/>
      <c r="S4069" s="75"/>
      <c r="T4069" s="73"/>
      <c r="X4069" s="189"/>
      <c r="Y4069" s="189"/>
      <c r="Z4069" s="100"/>
      <c r="AC4069" s="84"/>
      <c r="AD4069" s="189"/>
      <c r="AE4069" s="189"/>
      <c r="AF4069" s="189"/>
      <c r="AG4069" s="189"/>
      <c r="AH4069" s="189"/>
      <c r="AP4069" s="238"/>
    </row>
    <row r="4070" spans="3:42" s="45" customFormat="1" x14ac:dyDescent="0.2">
      <c r="C4070" s="189"/>
      <c r="F4070" s="73"/>
      <c r="M4070" s="111"/>
      <c r="N4070" s="73"/>
      <c r="O4070" s="73"/>
      <c r="P4070" s="73"/>
      <c r="Q4070" s="73"/>
      <c r="R4070" s="111"/>
      <c r="S4070" s="75"/>
      <c r="T4070" s="73"/>
      <c r="X4070" s="189"/>
      <c r="Y4070" s="189"/>
      <c r="Z4070" s="100"/>
      <c r="AC4070" s="84"/>
      <c r="AD4070" s="189"/>
      <c r="AE4070" s="189"/>
      <c r="AF4070" s="189"/>
      <c r="AG4070" s="189"/>
      <c r="AH4070" s="189"/>
      <c r="AP4070" s="238"/>
    </row>
    <row r="4071" spans="3:42" s="45" customFormat="1" x14ac:dyDescent="0.2">
      <c r="C4071" s="189"/>
      <c r="F4071" s="73"/>
      <c r="M4071" s="111"/>
      <c r="N4071" s="73"/>
      <c r="O4071" s="73"/>
      <c r="P4071" s="73"/>
      <c r="Q4071" s="73"/>
      <c r="R4071" s="111"/>
      <c r="S4071" s="75"/>
      <c r="T4071" s="73"/>
      <c r="X4071" s="189"/>
      <c r="Y4071" s="189"/>
      <c r="Z4071" s="100"/>
      <c r="AC4071" s="84"/>
      <c r="AD4071" s="189"/>
      <c r="AE4071" s="189"/>
      <c r="AF4071" s="189"/>
      <c r="AG4071" s="189"/>
      <c r="AH4071" s="189"/>
      <c r="AP4071" s="238"/>
    </row>
    <row r="4072" spans="3:42" s="45" customFormat="1" x14ac:dyDescent="0.2">
      <c r="C4072" s="189"/>
      <c r="F4072" s="73"/>
      <c r="M4072" s="111"/>
      <c r="N4072" s="73"/>
      <c r="O4072" s="73"/>
      <c r="P4072" s="73"/>
      <c r="Q4072" s="73"/>
      <c r="R4072" s="111"/>
      <c r="S4072" s="75"/>
      <c r="T4072" s="73"/>
      <c r="X4072" s="189"/>
      <c r="Y4072" s="189"/>
      <c r="Z4072" s="100"/>
      <c r="AC4072" s="84"/>
      <c r="AD4072" s="189"/>
      <c r="AE4072" s="189"/>
      <c r="AF4072" s="189"/>
      <c r="AG4072" s="189"/>
      <c r="AH4072" s="189"/>
      <c r="AP4072" s="238"/>
    </row>
    <row r="4073" spans="3:42" s="45" customFormat="1" x14ac:dyDescent="0.2">
      <c r="C4073" s="189"/>
      <c r="F4073" s="73"/>
      <c r="M4073" s="111"/>
      <c r="N4073" s="73"/>
      <c r="O4073" s="73"/>
      <c r="P4073" s="73"/>
      <c r="Q4073" s="73"/>
      <c r="R4073" s="111"/>
      <c r="S4073" s="75"/>
      <c r="T4073" s="73"/>
      <c r="X4073" s="189"/>
      <c r="Y4073" s="189"/>
      <c r="Z4073" s="100"/>
      <c r="AC4073" s="84"/>
      <c r="AD4073" s="189"/>
      <c r="AE4073" s="189"/>
      <c r="AF4073" s="189"/>
      <c r="AG4073" s="189"/>
      <c r="AH4073" s="189"/>
      <c r="AP4073" s="238"/>
    </row>
    <row r="4074" spans="3:42" s="45" customFormat="1" x14ac:dyDescent="0.2">
      <c r="C4074" s="189"/>
      <c r="F4074" s="73"/>
      <c r="M4074" s="111"/>
      <c r="N4074" s="73"/>
      <c r="O4074" s="73"/>
      <c r="P4074" s="73"/>
      <c r="Q4074" s="73"/>
      <c r="R4074" s="111"/>
      <c r="S4074" s="75"/>
      <c r="T4074" s="73"/>
      <c r="X4074" s="189"/>
      <c r="Y4074" s="189"/>
      <c r="Z4074" s="100"/>
      <c r="AC4074" s="84"/>
      <c r="AD4074" s="189"/>
      <c r="AE4074" s="189"/>
      <c r="AF4074" s="189"/>
      <c r="AG4074" s="189"/>
      <c r="AH4074" s="189"/>
      <c r="AP4074" s="238"/>
    </row>
    <row r="4075" spans="3:42" s="45" customFormat="1" x14ac:dyDescent="0.2">
      <c r="C4075" s="189"/>
      <c r="F4075" s="73"/>
      <c r="M4075" s="111"/>
      <c r="N4075" s="73"/>
      <c r="O4075" s="73"/>
      <c r="P4075" s="73"/>
      <c r="Q4075" s="73"/>
      <c r="R4075" s="111"/>
      <c r="S4075" s="75"/>
      <c r="T4075" s="73"/>
      <c r="X4075" s="189"/>
      <c r="Y4075" s="189"/>
      <c r="Z4075" s="100"/>
      <c r="AC4075" s="84"/>
      <c r="AD4075" s="189"/>
      <c r="AE4075" s="189"/>
      <c r="AF4075" s="189"/>
      <c r="AG4075" s="189"/>
      <c r="AH4075" s="189"/>
      <c r="AP4075" s="238"/>
    </row>
    <row r="4076" spans="3:42" s="45" customFormat="1" x14ac:dyDescent="0.2">
      <c r="C4076" s="189"/>
      <c r="F4076" s="73"/>
      <c r="M4076" s="111"/>
      <c r="N4076" s="73"/>
      <c r="O4076" s="73"/>
      <c r="P4076" s="73"/>
      <c r="Q4076" s="73"/>
      <c r="R4076" s="111"/>
      <c r="S4076" s="75"/>
      <c r="T4076" s="73"/>
      <c r="X4076" s="189"/>
      <c r="Y4076" s="189"/>
      <c r="Z4076" s="100"/>
      <c r="AC4076" s="84"/>
      <c r="AD4076" s="189"/>
      <c r="AE4076" s="189"/>
      <c r="AF4076" s="189"/>
      <c r="AG4076" s="189"/>
      <c r="AH4076" s="189"/>
      <c r="AP4076" s="238"/>
    </row>
    <row r="4077" spans="3:42" s="45" customFormat="1" x14ac:dyDescent="0.2">
      <c r="C4077" s="189"/>
      <c r="F4077" s="73"/>
      <c r="M4077" s="111"/>
      <c r="N4077" s="73"/>
      <c r="O4077" s="73"/>
      <c r="P4077" s="73"/>
      <c r="Q4077" s="73"/>
      <c r="R4077" s="111"/>
      <c r="S4077" s="75"/>
      <c r="T4077" s="73"/>
      <c r="X4077" s="189"/>
      <c r="Y4077" s="189"/>
      <c r="Z4077" s="100"/>
      <c r="AC4077" s="84"/>
      <c r="AD4077" s="189"/>
      <c r="AE4077" s="189"/>
      <c r="AF4077" s="189"/>
      <c r="AG4077" s="189"/>
      <c r="AH4077" s="189"/>
      <c r="AP4077" s="238"/>
    </row>
    <row r="4078" spans="3:42" s="45" customFormat="1" x14ac:dyDescent="0.2">
      <c r="C4078" s="189"/>
      <c r="F4078" s="73"/>
      <c r="M4078" s="111"/>
      <c r="N4078" s="73"/>
      <c r="O4078" s="73"/>
      <c r="P4078" s="73"/>
      <c r="Q4078" s="73"/>
      <c r="R4078" s="111"/>
      <c r="S4078" s="75"/>
      <c r="T4078" s="73"/>
      <c r="X4078" s="189"/>
      <c r="Y4078" s="189"/>
      <c r="Z4078" s="100"/>
      <c r="AC4078" s="84"/>
      <c r="AD4078" s="189"/>
      <c r="AE4078" s="189"/>
      <c r="AF4078" s="189"/>
      <c r="AG4078" s="189"/>
      <c r="AH4078" s="189"/>
      <c r="AP4078" s="238"/>
    </row>
    <row r="4079" spans="3:42" s="45" customFormat="1" x14ac:dyDescent="0.2">
      <c r="C4079" s="189"/>
      <c r="F4079" s="73"/>
      <c r="M4079" s="111"/>
      <c r="N4079" s="73"/>
      <c r="O4079" s="73"/>
      <c r="P4079" s="73"/>
      <c r="Q4079" s="73"/>
      <c r="R4079" s="111"/>
      <c r="S4079" s="75"/>
      <c r="T4079" s="73"/>
      <c r="X4079" s="189"/>
      <c r="Y4079" s="189"/>
      <c r="Z4079" s="100"/>
      <c r="AC4079" s="84"/>
      <c r="AD4079" s="189"/>
      <c r="AE4079" s="189"/>
      <c r="AF4079" s="189"/>
      <c r="AG4079" s="189"/>
      <c r="AH4079" s="189"/>
      <c r="AP4079" s="238"/>
    </row>
    <row r="4080" spans="3:42" s="45" customFormat="1" x14ac:dyDescent="0.2">
      <c r="C4080" s="189"/>
      <c r="F4080" s="73"/>
      <c r="M4080" s="111"/>
      <c r="N4080" s="73"/>
      <c r="O4080" s="73"/>
      <c r="P4080" s="73"/>
      <c r="Q4080" s="73"/>
      <c r="R4080" s="111"/>
      <c r="S4080" s="75"/>
      <c r="T4080" s="73"/>
      <c r="X4080" s="189"/>
      <c r="Y4080" s="189"/>
      <c r="Z4080" s="100"/>
      <c r="AC4080" s="84"/>
      <c r="AD4080" s="189"/>
      <c r="AE4080" s="189"/>
      <c r="AF4080" s="189"/>
      <c r="AG4080" s="189"/>
      <c r="AH4080" s="189"/>
      <c r="AP4080" s="238"/>
    </row>
    <row r="4081" spans="3:42" s="45" customFormat="1" x14ac:dyDescent="0.2">
      <c r="C4081" s="189"/>
      <c r="F4081" s="73"/>
      <c r="M4081" s="111"/>
      <c r="N4081" s="73"/>
      <c r="O4081" s="73"/>
      <c r="P4081" s="73"/>
      <c r="Q4081" s="73"/>
      <c r="R4081" s="111"/>
      <c r="S4081" s="75"/>
      <c r="T4081" s="73"/>
      <c r="X4081" s="189"/>
      <c r="Y4081" s="189"/>
      <c r="Z4081" s="100"/>
      <c r="AC4081" s="84"/>
      <c r="AD4081" s="189"/>
      <c r="AE4081" s="189"/>
      <c r="AF4081" s="189"/>
      <c r="AG4081" s="189"/>
      <c r="AH4081" s="189"/>
      <c r="AP4081" s="238"/>
    </row>
    <row r="4082" spans="3:42" s="45" customFormat="1" x14ac:dyDescent="0.2">
      <c r="C4082" s="189"/>
      <c r="F4082" s="73"/>
      <c r="M4082" s="111"/>
      <c r="N4082" s="73"/>
      <c r="O4082" s="73"/>
      <c r="P4082" s="73"/>
      <c r="Q4082" s="73"/>
      <c r="R4082" s="111"/>
      <c r="S4082" s="75"/>
      <c r="T4082" s="73"/>
      <c r="X4082" s="189"/>
      <c r="Y4082" s="189"/>
      <c r="Z4082" s="100"/>
      <c r="AC4082" s="84"/>
      <c r="AD4082" s="189"/>
      <c r="AE4082" s="189"/>
      <c r="AF4082" s="189"/>
      <c r="AG4082" s="189"/>
      <c r="AH4082" s="189"/>
      <c r="AP4082" s="238"/>
    </row>
    <row r="4083" spans="3:42" s="45" customFormat="1" x14ac:dyDescent="0.2">
      <c r="C4083" s="189"/>
      <c r="F4083" s="73"/>
      <c r="M4083" s="111"/>
      <c r="N4083" s="73"/>
      <c r="O4083" s="73"/>
      <c r="P4083" s="73"/>
      <c r="Q4083" s="73"/>
      <c r="R4083" s="111"/>
      <c r="S4083" s="75"/>
      <c r="T4083" s="73"/>
      <c r="X4083" s="189"/>
      <c r="Y4083" s="189"/>
      <c r="Z4083" s="100"/>
      <c r="AC4083" s="84"/>
      <c r="AD4083" s="189"/>
      <c r="AE4083" s="189"/>
      <c r="AF4083" s="189"/>
      <c r="AG4083" s="189"/>
      <c r="AH4083" s="189"/>
      <c r="AP4083" s="238"/>
    </row>
    <row r="4084" spans="3:42" s="45" customFormat="1" x14ac:dyDescent="0.2">
      <c r="C4084" s="189"/>
      <c r="F4084" s="73"/>
      <c r="M4084" s="111"/>
      <c r="N4084" s="73"/>
      <c r="O4084" s="73"/>
      <c r="P4084" s="73"/>
      <c r="Q4084" s="73"/>
      <c r="R4084" s="111"/>
      <c r="S4084" s="75"/>
      <c r="T4084" s="73"/>
      <c r="X4084" s="189"/>
      <c r="Y4084" s="189"/>
      <c r="Z4084" s="100"/>
      <c r="AC4084" s="84"/>
      <c r="AD4084" s="189"/>
      <c r="AE4084" s="189"/>
      <c r="AF4084" s="189"/>
      <c r="AG4084" s="189"/>
      <c r="AH4084" s="189"/>
      <c r="AP4084" s="238"/>
    </row>
    <row r="4085" spans="3:42" s="45" customFormat="1" x14ac:dyDescent="0.2">
      <c r="C4085" s="189"/>
      <c r="F4085" s="73"/>
      <c r="M4085" s="111"/>
      <c r="N4085" s="73"/>
      <c r="O4085" s="73"/>
      <c r="P4085" s="73"/>
      <c r="Q4085" s="73"/>
      <c r="R4085" s="111"/>
      <c r="S4085" s="75"/>
      <c r="T4085" s="73"/>
      <c r="X4085" s="189"/>
      <c r="Y4085" s="189"/>
      <c r="Z4085" s="100"/>
      <c r="AC4085" s="84"/>
      <c r="AD4085" s="189"/>
      <c r="AE4085" s="189"/>
      <c r="AF4085" s="189"/>
      <c r="AG4085" s="189"/>
      <c r="AH4085" s="189"/>
      <c r="AP4085" s="238"/>
    </row>
    <row r="4086" spans="3:42" s="45" customFormat="1" x14ac:dyDescent="0.2">
      <c r="C4086" s="189"/>
      <c r="F4086" s="73"/>
      <c r="M4086" s="111"/>
      <c r="N4086" s="73"/>
      <c r="O4086" s="73"/>
      <c r="P4086" s="73"/>
      <c r="Q4086" s="73"/>
      <c r="R4086" s="111"/>
      <c r="S4086" s="75"/>
      <c r="T4086" s="73"/>
      <c r="X4086" s="189"/>
      <c r="Y4086" s="189"/>
      <c r="Z4086" s="100"/>
      <c r="AC4086" s="84"/>
      <c r="AD4086" s="189"/>
      <c r="AE4086" s="189"/>
      <c r="AF4086" s="189"/>
      <c r="AG4086" s="189"/>
      <c r="AH4086" s="189"/>
      <c r="AP4086" s="238"/>
    </row>
    <row r="4087" spans="3:42" s="45" customFormat="1" x14ac:dyDescent="0.2">
      <c r="C4087" s="189"/>
      <c r="F4087" s="73"/>
      <c r="M4087" s="111"/>
      <c r="N4087" s="73"/>
      <c r="O4087" s="73"/>
      <c r="P4087" s="73"/>
      <c r="Q4087" s="73"/>
      <c r="R4087" s="111"/>
      <c r="S4087" s="75"/>
      <c r="T4087" s="73"/>
      <c r="X4087" s="189"/>
      <c r="Y4087" s="189"/>
      <c r="Z4087" s="100"/>
      <c r="AC4087" s="84"/>
      <c r="AD4087" s="189"/>
      <c r="AE4087" s="189"/>
      <c r="AF4087" s="189"/>
      <c r="AG4087" s="189"/>
      <c r="AH4087" s="189"/>
      <c r="AP4087" s="238"/>
    </row>
    <row r="4088" spans="3:42" s="45" customFormat="1" x14ac:dyDescent="0.2">
      <c r="C4088" s="189"/>
      <c r="F4088" s="73"/>
      <c r="M4088" s="111"/>
      <c r="N4088" s="73"/>
      <c r="O4088" s="73"/>
      <c r="P4088" s="73"/>
      <c r="Q4088" s="73"/>
      <c r="R4088" s="111"/>
      <c r="S4088" s="75"/>
      <c r="T4088" s="73"/>
      <c r="X4088" s="189"/>
      <c r="Y4088" s="189"/>
      <c r="Z4088" s="100"/>
      <c r="AC4088" s="84"/>
      <c r="AD4088" s="189"/>
      <c r="AE4088" s="189"/>
      <c r="AF4088" s="189"/>
      <c r="AG4088" s="189"/>
      <c r="AH4088" s="189"/>
      <c r="AP4088" s="238"/>
    </row>
    <row r="4089" spans="3:42" s="45" customFormat="1" x14ac:dyDescent="0.2">
      <c r="C4089" s="189"/>
      <c r="F4089" s="73"/>
      <c r="M4089" s="111"/>
      <c r="N4089" s="73"/>
      <c r="O4089" s="73"/>
      <c r="P4089" s="73"/>
      <c r="Q4089" s="73"/>
      <c r="R4089" s="111"/>
      <c r="S4089" s="75"/>
      <c r="T4089" s="73"/>
      <c r="X4089" s="189"/>
      <c r="Y4089" s="189"/>
      <c r="Z4089" s="100"/>
      <c r="AC4089" s="84"/>
      <c r="AD4089" s="189"/>
      <c r="AE4089" s="189"/>
      <c r="AF4089" s="189"/>
      <c r="AG4089" s="189"/>
      <c r="AH4089" s="189"/>
      <c r="AP4089" s="238"/>
    </row>
    <row r="4090" spans="3:42" s="45" customFormat="1" x14ac:dyDescent="0.2">
      <c r="C4090" s="189"/>
      <c r="F4090" s="73"/>
      <c r="M4090" s="111"/>
      <c r="N4090" s="73"/>
      <c r="O4090" s="73"/>
      <c r="P4090" s="73"/>
      <c r="Q4090" s="73"/>
      <c r="R4090" s="111"/>
      <c r="S4090" s="75"/>
      <c r="T4090" s="73"/>
      <c r="X4090" s="189"/>
      <c r="Y4090" s="189"/>
      <c r="Z4090" s="100"/>
      <c r="AC4090" s="84"/>
      <c r="AD4090" s="189"/>
      <c r="AE4090" s="189"/>
      <c r="AF4090" s="189"/>
      <c r="AG4090" s="189"/>
      <c r="AH4090" s="189"/>
      <c r="AP4090" s="238"/>
    </row>
    <row r="4091" spans="3:42" s="45" customFormat="1" x14ac:dyDescent="0.2">
      <c r="C4091" s="189"/>
      <c r="F4091" s="73"/>
      <c r="M4091" s="111"/>
      <c r="N4091" s="73"/>
      <c r="O4091" s="73"/>
      <c r="P4091" s="73"/>
      <c r="Q4091" s="73"/>
      <c r="R4091" s="111"/>
      <c r="S4091" s="75"/>
      <c r="T4091" s="73"/>
      <c r="X4091" s="189"/>
      <c r="Y4091" s="189"/>
      <c r="Z4091" s="100"/>
      <c r="AC4091" s="84"/>
      <c r="AD4091" s="189"/>
      <c r="AE4091" s="189"/>
      <c r="AF4091" s="189"/>
      <c r="AG4091" s="189"/>
      <c r="AH4091" s="189"/>
      <c r="AP4091" s="238"/>
    </row>
    <row r="4092" spans="3:42" s="45" customFormat="1" x14ac:dyDescent="0.2">
      <c r="C4092" s="189"/>
      <c r="F4092" s="73"/>
      <c r="M4092" s="111"/>
      <c r="N4092" s="73"/>
      <c r="O4092" s="73"/>
      <c r="P4092" s="73"/>
      <c r="Q4092" s="73"/>
      <c r="R4092" s="111"/>
      <c r="S4092" s="75"/>
      <c r="T4092" s="73"/>
      <c r="X4092" s="189"/>
      <c r="Y4092" s="189"/>
      <c r="Z4092" s="100"/>
      <c r="AC4092" s="84"/>
      <c r="AD4092" s="189"/>
      <c r="AE4092" s="189"/>
      <c r="AF4092" s="189"/>
      <c r="AG4092" s="189"/>
      <c r="AH4092" s="189"/>
      <c r="AP4092" s="238"/>
    </row>
    <row r="4093" spans="3:42" s="45" customFormat="1" x14ac:dyDescent="0.2">
      <c r="C4093" s="189"/>
      <c r="F4093" s="73"/>
      <c r="M4093" s="111"/>
      <c r="N4093" s="73"/>
      <c r="O4093" s="73"/>
      <c r="P4093" s="73"/>
      <c r="Q4093" s="73"/>
      <c r="R4093" s="111"/>
      <c r="S4093" s="75"/>
      <c r="T4093" s="73"/>
      <c r="X4093" s="189"/>
      <c r="Y4093" s="189"/>
      <c r="Z4093" s="100"/>
      <c r="AC4093" s="84"/>
      <c r="AD4093" s="189"/>
      <c r="AE4093" s="189"/>
      <c r="AF4093" s="189"/>
      <c r="AG4093" s="189"/>
      <c r="AH4093" s="189"/>
      <c r="AP4093" s="238"/>
    </row>
    <row r="4094" spans="3:42" s="45" customFormat="1" x14ac:dyDescent="0.2">
      <c r="C4094" s="189"/>
      <c r="F4094" s="73"/>
      <c r="M4094" s="111"/>
      <c r="N4094" s="73"/>
      <c r="O4094" s="73"/>
      <c r="P4094" s="73"/>
      <c r="Q4094" s="73"/>
      <c r="R4094" s="111"/>
      <c r="S4094" s="75"/>
      <c r="T4094" s="73"/>
      <c r="X4094" s="189"/>
      <c r="Y4094" s="189"/>
      <c r="Z4094" s="100"/>
      <c r="AC4094" s="84"/>
      <c r="AD4094" s="189"/>
      <c r="AE4094" s="189"/>
      <c r="AF4094" s="189"/>
      <c r="AG4094" s="189"/>
      <c r="AH4094" s="189"/>
      <c r="AP4094" s="238"/>
    </row>
    <row r="4095" spans="3:42" s="45" customFormat="1" x14ac:dyDescent="0.2">
      <c r="C4095" s="189"/>
      <c r="F4095" s="73"/>
      <c r="M4095" s="111"/>
      <c r="N4095" s="73"/>
      <c r="O4095" s="73"/>
      <c r="P4095" s="73"/>
      <c r="Q4095" s="73"/>
      <c r="R4095" s="111"/>
      <c r="S4095" s="75"/>
      <c r="T4095" s="73"/>
      <c r="X4095" s="189"/>
      <c r="Y4095" s="189"/>
      <c r="Z4095" s="100"/>
      <c r="AC4095" s="84"/>
      <c r="AD4095" s="189"/>
      <c r="AE4095" s="189"/>
      <c r="AF4095" s="189"/>
      <c r="AG4095" s="189"/>
      <c r="AH4095" s="189"/>
      <c r="AP4095" s="238"/>
    </row>
    <row r="4096" spans="3:42" s="45" customFormat="1" x14ac:dyDescent="0.2">
      <c r="C4096" s="189"/>
      <c r="F4096" s="73"/>
      <c r="M4096" s="111"/>
      <c r="N4096" s="73"/>
      <c r="O4096" s="73"/>
      <c r="P4096" s="73"/>
      <c r="Q4096" s="73"/>
      <c r="R4096" s="111"/>
      <c r="S4096" s="75"/>
      <c r="T4096" s="73"/>
      <c r="X4096" s="189"/>
      <c r="Y4096" s="189"/>
      <c r="Z4096" s="100"/>
      <c r="AC4096" s="84"/>
      <c r="AD4096" s="189"/>
      <c r="AE4096" s="189"/>
      <c r="AF4096" s="189"/>
      <c r="AG4096" s="189"/>
      <c r="AH4096" s="189"/>
      <c r="AP4096" s="238"/>
    </row>
    <row r="4097" spans="3:42" s="45" customFormat="1" x14ac:dyDescent="0.2">
      <c r="C4097" s="189"/>
      <c r="F4097" s="73"/>
      <c r="M4097" s="111"/>
      <c r="N4097" s="73"/>
      <c r="O4097" s="73"/>
      <c r="P4097" s="73"/>
      <c r="Q4097" s="73"/>
      <c r="R4097" s="111"/>
      <c r="S4097" s="75"/>
      <c r="T4097" s="73"/>
      <c r="X4097" s="189"/>
      <c r="Y4097" s="189"/>
      <c r="Z4097" s="100"/>
      <c r="AC4097" s="84"/>
      <c r="AD4097" s="189"/>
      <c r="AE4097" s="189"/>
      <c r="AF4097" s="189"/>
      <c r="AG4097" s="189"/>
      <c r="AH4097" s="189"/>
      <c r="AP4097" s="238"/>
    </row>
    <row r="4098" spans="3:42" s="45" customFormat="1" x14ac:dyDescent="0.2">
      <c r="C4098" s="189"/>
      <c r="F4098" s="73"/>
      <c r="M4098" s="111"/>
      <c r="N4098" s="73"/>
      <c r="O4098" s="73"/>
      <c r="P4098" s="73"/>
      <c r="Q4098" s="73"/>
      <c r="R4098" s="111"/>
      <c r="S4098" s="75"/>
      <c r="T4098" s="73"/>
      <c r="X4098" s="189"/>
      <c r="Y4098" s="189"/>
      <c r="Z4098" s="100"/>
      <c r="AC4098" s="84"/>
      <c r="AD4098" s="189"/>
      <c r="AE4098" s="189"/>
      <c r="AF4098" s="189"/>
      <c r="AG4098" s="189"/>
      <c r="AH4098" s="189"/>
      <c r="AP4098" s="238"/>
    </row>
    <row r="4099" spans="3:42" s="45" customFormat="1" x14ac:dyDescent="0.2">
      <c r="C4099" s="189"/>
      <c r="F4099" s="73"/>
      <c r="M4099" s="111"/>
      <c r="N4099" s="73"/>
      <c r="O4099" s="73"/>
      <c r="P4099" s="73"/>
      <c r="Q4099" s="73"/>
      <c r="R4099" s="111"/>
      <c r="S4099" s="75"/>
      <c r="T4099" s="73"/>
      <c r="X4099" s="189"/>
      <c r="Y4099" s="189"/>
      <c r="Z4099" s="100"/>
      <c r="AC4099" s="84"/>
      <c r="AD4099" s="189"/>
      <c r="AE4099" s="189"/>
      <c r="AF4099" s="189"/>
      <c r="AG4099" s="189"/>
      <c r="AH4099" s="189"/>
      <c r="AP4099" s="238"/>
    </row>
    <row r="4100" spans="3:42" s="45" customFormat="1" x14ac:dyDescent="0.2">
      <c r="C4100" s="189"/>
      <c r="F4100" s="73"/>
      <c r="M4100" s="111"/>
      <c r="N4100" s="73"/>
      <c r="O4100" s="73"/>
      <c r="P4100" s="73"/>
      <c r="Q4100" s="73"/>
      <c r="R4100" s="111"/>
      <c r="S4100" s="75"/>
      <c r="T4100" s="73"/>
      <c r="X4100" s="189"/>
      <c r="Y4100" s="189"/>
      <c r="Z4100" s="100"/>
      <c r="AC4100" s="84"/>
      <c r="AD4100" s="189"/>
      <c r="AE4100" s="189"/>
      <c r="AF4100" s="189"/>
      <c r="AG4100" s="189"/>
      <c r="AH4100" s="189"/>
      <c r="AP4100" s="238"/>
    </row>
    <row r="4101" spans="3:42" s="45" customFormat="1" x14ac:dyDescent="0.2">
      <c r="C4101" s="189"/>
      <c r="F4101" s="73"/>
      <c r="M4101" s="111"/>
      <c r="N4101" s="73"/>
      <c r="O4101" s="73"/>
      <c r="P4101" s="73"/>
      <c r="Q4101" s="73"/>
      <c r="R4101" s="111"/>
      <c r="S4101" s="75"/>
      <c r="T4101" s="73"/>
      <c r="X4101" s="189"/>
      <c r="Y4101" s="189"/>
      <c r="Z4101" s="100"/>
      <c r="AC4101" s="84"/>
      <c r="AD4101" s="189"/>
      <c r="AE4101" s="189"/>
      <c r="AF4101" s="189"/>
      <c r="AG4101" s="189"/>
      <c r="AH4101" s="189"/>
      <c r="AP4101" s="238"/>
    </row>
    <row r="4102" spans="3:42" s="45" customFormat="1" x14ac:dyDescent="0.2">
      <c r="C4102" s="189"/>
      <c r="F4102" s="73"/>
      <c r="M4102" s="111"/>
      <c r="N4102" s="73"/>
      <c r="O4102" s="73"/>
      <c r="P4102" s="73"/>
      <c r="Q4102" s="73"/>
      <c r="R4102" s="111"/>
      <c r="S4102" s="75"/>
      <c r="T4102" s="73"/>
      <c r="X4102" s="189"/>
      <c r="Y4102" s="189"/>
      <c r="Z4102" s="100"/>
      <c r="AC4102" s="84"/>
      <c r="AD4102" s="189"/>
      <c r="AE4102" s="189"/>
      <c r="AF4102" s="189"/>
      <c r="AG4102" s="189"/>
      <c r="AH4102" s="189"/>
      <c r="AP4102" s="238"/>
    </row>
    <row r="4103" spans="3:42" s="45" customFormat="1" x14ac:dyDescent="0.2">
      <c r="C4103" s="189"/>
      <c r="F4103" s="73"/>
      <c r="M4103" s="111"/>
      <c r="N4103" s="73"/>
      <c r="O4103" s="73"/>
      <c r="P4103" s="73"/>
      <c r="Q4103" s="73"/>
      <c r="R4103" s="111"/>
      <c r="S4103" s="75"/>
      <c r="T4103" s="73"/>
      <c r="X4103" s="189"/>
      <c r="Y4103" s="189"/>
      <c r="Z4103" s="100"/>
      <c r="AC4103" s="84"/>
      <c r="AD4103" s="189"/>
      <c r="AE4103" s="189"/>
      <c r="AF4103" s="189"/>
      <c r="AG4103" s="189"/>
      <c r="AH4103" s="189"/>
      <c r="AP4103" s="238"/>
    </row>
    <row r="4104" spans="3:42" s="45" customFormat="1" x14ac:dyDescent="0.2">
      <c r="C4104" s="189"/>
      <c r="F4104" s="73"/>
      <c r="M4104" s="111"/>
      <c r="N4104" s="73"/>
      <c r="O4104" s="73"/>
      <c r="P4104" s="73"/>
      <c r="Q4104" s="73"/>
      <c r="R4104" s="111"/>
      <c r="S4104" s="75"/>
      <c r="T4104" s="73"/>
      <c r="X4104" s="189"/>
      <c r="Y4104" s="189"/>
      <c r="Z4104" s="100"/>
      <c r="AC4104" s="84"/>
      <c r="AD4104" s="189"/>
      <c r="AE4104" s="189"/>
      <c r="AF4104" s="189"/>
      <c r="AG4104" s="189"/>
      <c r="AH4104" s="189"/>
      <c r="AP4104" s="238"/>
    </row>
    <row r="4105" spans="3:42" s="45" customFormat="1" x14ac:dyDescent="0.2">
      <c r="C4105" s="189"/>
      <c r="F4105" s="73"/>
      <c r="M4105" s="111"/>
      <c r="N4105" s="73"/>
      <c r="O4105" s="73"/>
      <c r="P4105" s="73"/>
      <c r="Q4105" s="73"/>
      <c r="R4105" s="111"/>
      <c r="S4105" s="75"/>
      <c r="T4105" s="73"/>
      <c r="X4105" s="189"/>
      <c r="Y4105" s="189"/>
      <c r="Z4105" s="100"/>
      <c r="AC4105" s="84"/>
      <c r="AD4105" s="189"/>
      <c r="AE4105" s="189"/>
      <c r="AF4105" s="189"/>
      <c r="AG4105" s="189"/>
      <c r="AH4105" s="189"/>
      <c r="AP4105" s="238"/>
    </row>
    <row r="4106" spans="3:42" s="45" customFormat="1" x14ac:dyDescent="0.2">
      <c r="C4106" s="189"/>
      <c r="F4106" s="73"/>
      <c r="M4106" s="111"/>
      <c r="N4106" s="73"/>
      <c r="O4106" s="73"/>
      <c r="P4106" s="73"/>
      <c r="Q4106" s="73"/>
      <c r="R4106" s="111"/>
      <c r="S4106" s="75"/>
      <c r="T4106" s="73"/>
      <c r="X4106" s="189"/>
      <c r="Y4106" s="189"/>
      <c r="Z4106" s="100"/>
      <c r="AC4106" s="84"/>
      <c r="AD4106" s="189"/>
      <c r="AE4106" s="189"/>
      <c r="AF4106" s="189"/>
      <c r="AG4106" s="189"/>
      <c r="AH4106" s="189"/>
      <c r="AP4106" s="238"/>
    </row>
    <row r="4107" spans="3:42" s="45" customFormat="1" x14ac:dyDescent="0.2">
      <c r="C4107" s="189"/>
      <c r="F4107" s="73"/>
      <c r="M4107" s="111"/>
      <c r="N4107" s="73"/>
      <c r="O4107" s="73"/>
      <c r="P4107" s="73"/>
      <c r="Q4107" s="73"/>
      <c r="R4107" s="111"/>
      <c r="S4107" s="75"/>
      <c r="T4107" s="73"/>
      <c r="X4107" s="189"/>
      <c r="Y4107" s="189"/>
      <c r="Z4107" s="100"/>
      <c r="AC4107" s="84"/>
      <c r="AD4107" s="189"/>
      <c r="AE4107" s="189"/>
      <c r="AF4107" s="189"/>
      <c r="AG4107" s="189"/>
      <c r="AH4107" s="189"/>
      <c r="AP4107" s="238"/>
    </row>
    <row r="4108" spans="3:42" s="45" customFormat="1" x14ac:dyDescent="0.2">
      <c r="C4108" s="189"/>
      <c r="F4108" s="73"/>
      <c r="M4108" s="111"/>
      <c r="N4108" s="73"/>
      <c r="O4108" s="73"/>
      <c r="P4108" s="73"/>
      <c r="Q4108" s="73"/>
      <c r="R4108" s="111"/>
      <c r="S4108" s="75"/>
      <c r="T4108" s="73"/>
      <c r="X4108" s="189"/>
      <c r="Y4108" s="189"/>
      <c r="Z4108" s="100"/>
      <c r="AC4108" s="84"/>
      <c r="AD4108" s="189"/>
      <c r="AE4108" s="189"/>
      <c r="AF4108" s="189"/>
      <c r="AG4108" s="189"/>
      <c r="AH4108" s="189"/>
      <c r="AP4108" s="238"/>
    </row>
    <row r="4109" spans="3:42" s="45" customFormat="1" x14ac:dyDescent="0.2">
      <c r="C4109" s="189"/>
      <c r="F4109" s="73"/>
      <c r="M4109" s="111"/>
      <c r="N4109" s="73"/>
      <c r="O4109" s="73"/>
      <c r="P4109" s="73"/>
      <c r="Q4109" s="73"/>
      <c r="R4109" s="111"/>
      <c r="S4109" s="75"/>
      <c r="T4109" s="73"/>
      <c r="X4109" s="189"/>
      <c r="Y4109" s="189"/>
      <c r="Z4109" s="100"/>
      <c r="AC4109" s="84"/>
      <c r="AD4109" s="189"/>
      <c r="AE4109" s="189"/>
      <c r="AF4109" s="189"/>
      <c r="AG4109" s="189"/>
      <c r="AH4109" s="189"/>
      <c r="AP4109" s="238"/>
    </row>
    <row r="4110" spans="3:42" s="45" customFormat="1" x14ac:dyDescent="0.2">
      <c r="C4110" s="189"/>
      <c r="F4110" s="73"/>
      <c r="M4110" s="111"/>
      <c r="N4110" s="73"/>
      <c r="O4110" s="73"/>
      <c r="P4110" s="73"/>
      <c r="Q4110" s="73"/>
      <c r="R4110" s="111"/>
      <c r="S4110" s="75"/>
      <c r="T4110" s="73"/>
      <c r="X4110" s="189"/>
      <c r="Y4110" s="189"/>
      <c r="Z4110" s="100"/>
      <c r="AC4110" s="84"/>
      <c r="AD4110" s="189"/>
      <c r="AE4110" s="189"/>
      <c r="AF4110" s="189"/>
      <c r="AG4110" s="189"/>
      <c r="AH4110" s="189"/>
      <c r="AP4110" s="238"/>
    </row>
    <row r="4111" spans="3:42" s="45" customFormat="1" x14ac:dyDescent="0.2">
      <c r="C4111" s="189"/>
      <c r="F4111" s="73"/>
      <c r="M4111" s="111"/>
      <c r="N4111" s="73"/>
      <c r="O4111" s="73"/>
      <c r="P4111" s="73"/>
      <c r="Q4111" s="73"/>
      <c r="R4111" s="111"/>
      <c r="S4111" s="75"/>
      <c r="T4111" s="73"/>
      <c r="X4111" s="189"/>
      <c r="Y4111" s="189"/>
      <c r="Z4111" s="100"/>
      <c r="AC4111" s="84"/>
      <c r="AD4111" s="189"/>
      <c r="AE4111" s="189"/>
      <c r="AF4111" s="189"/>
      <c r="AG4111" s="189"/>
      <c r="AH4111" s="189"/>
      <c r="AP4111" s="238"/>
    </row>
    <row r="4112" spans="3:42" s="45" customFormat="1" x14ac:dyDescent="0.2">
      <c r="C4112" s="189"/>
      <c r="F4112" s="73"/>
      <c r="M4112" s="111"/>
      <c r="N4112" s="73"/>
      <c r="O4112" s="73"/>
      <c r="P4112" s="73"/>
      <c r="Q4112" s="73"/>
      <c r="R4112" s="111"/>
      <c r="S4112" s="75"/>
      <c r="T4112" s="73"/>
      <c r="X4112" s="189"/>
      <c r="Y4112" s="189"/>
      <c r="Z4112" s="100"/>
      <c r="AC4112" s="84"/>
      <c r="AD4112" s="189"/>
      <c r="AE4112" s="189"/>
      <c r="AF4112" s="189"/>
      <c r="AG4112" s="189"/>
      <c r="AH4112" s="189"/>
      <c r="AP4112" s="238"/>
    </row>
    <row r="4113" spans="3:42" s="45" customFormat="1" x14ac:dyDescent="0.2">
      <c r="C4113" s="189"/>
      <c r="F4113" s="73"/>
      <c r="M4113" s="111"/>
      <c r="N4113" s="73"/>
      <c r="O4113" s="73"/>
      <c r="P4113" s="73"/>
      <c r="Q4113" s="73"/>
      <c r="R4113" s="111"/>
      <c r="S4113" s="75"/>
      <c r="T4113" s="73"/>
      <c r="X4113" s="189"/>
      <c r="Y4113" s="189"/>
      <c r="Z4113" s="100"/>
      <c r="AC4113" s="84"/>
      <c r="AD4113" s="189"/>
      <c r="AE4113" s="189"/>
      <c r="AF4113" s="189"/>
      <c r="AG4113" s="189"/>
      <c r="AH4113" s="189"/>
      <c r="AP4113" s="238"/>
    </row>
    <row r="4114" spans="3:42" s="45" customFormat="1" x14ac:dyDescent="0.2">
      <c r="C4114" s="189"/>
      <c r="F4114" s="73"/>
      <c r="M4114" s="111"/>
      <c r="N4114" s="73"/>
      <c r="O4114" s="73"/>
      <c r="P4114" s="73"/>
      <c r="Q4114" s="73"/>
      <c r="R4114" s="111"/>
      <c r="S4114" s="75"/>
      <c r="T4114" s="73"/>
      <c r="X4114" s="189"/>
      <c r="Y4114" s="189"/>
      <c r="Z4114" s="100"/>
      <c r="AC4114" s="84"/>
      <c r="AD4114" s="189"/>
      <c r="AE4114" s="189"/>
      <c r="AF4114" s="189"/>
      <c r="AG4114" s="189"/>
      <c r="AH4114" s="189"/>
      <c r="AP4114" s="238"/>
    </row>
    <row r="4115" spans="3:42" s="45" customFormat="1" x14ac:dyDescent="0.2">
      <c r="C4115" s="189"/>
      <c r="F4115" s="73"/>
      <c r="M4115" s="111"/>
      <c r="N4115" s="73"/>
      <c r="O4115" s="73"/>
      <c r="P4115" s="73"/>
      <c r="Q4115" s="73"/>
      <c r="R4115" s="111"/>
      <c r="S4115" s="75"/>
      <c r="T4115" s="73"/>
      <c r="X4115" s="189"/>
      <c r="Y4115" s="189"/>
      <c r="Z4115" s="100"/>
      <c r="AC4115" s="84"/>
      <c r="AD4115" s="189"/>
      <c r="AE4115" s="189"/>
      <c r="AF4115" s="189"/>
      <c r="AG4115" s="189"/>
      <c r="AH4115" s="189"/>
      <c r="AP4115" s="238"/>
    </row>
    <row r="4116" spans="3:42" s="45" customFormat="1" x14ac:dyDescent="0.2">
      <c r="C4116" s="189"/>
      <c r="F4116" s="73"/>
      <c r="M4116" s="111"/>
      <c r="N4116" s="73"/>
      <c r="O4116" s="73"/>
      <c r="P4116" s="73"/>
      <c r="Q4116" s="73"/>
      <c r="R4116" s="111"/>
      <c r="S4116" s="75"/>
      <c r="T4116" s="73"/>
      <c r="X4116" s="189"/>
      <c r="Y4116" s="189"/>
      <c r="Z4116" s="100"/>
      <c r="AC4116" s="84"/>
      <c r="AD4116" s="189"/>
      <c r="AE4116" s="189"/>
      <c r="AF4116" s="189"/>
      <c r="AG4116" s="189"/>
      <c r="AH4116" s="189"/>
      <c r="AP4116" s="238"/>
    </row>
    <row r="4117" spans="3:42" s="45" customFormat="1" x14ac:dyDescent="0.2">
      <c r="C4117" s="189"/>
      <c r="F4117" s="73"/>
      <c r="M4117" s="111"/>
      <c r="N4117" s="73"/>
      <c r="O4117" s="73"/>
      <c r="P4117" s="73"/>
      <c r="Q4117" s="73"/>
      <c r="R4117" s="111"/>
      <c r="S4117" s="75"/>
      <c r="T4117" s="73"/>
      <c r="X4117" s="189"/>
      <c r="Y4117" s="189"/>
      <c r="Z4117" s="100"/>
      <c r="AC4117" s="84"/>
      <c r="AD4117" s="189"/>
      <c r="AE4117" s="189"/>
      <c r="AF4117" s="189"/>
      <c r="AG4117" s="189"/>
      <c r="AH4117" s="189"/>
      <c r="AP4117" s="238"/>
    </row>
    <row r="4118" spans="3:42" s="45" customFormat="1" x14ac:dyDescent="0.2">
      <c r="C4118" s="189"/>
      <c r="F4118" s="73"/>
      <c r="M4118" s="111"/>
      <c r="N4118" s="73"/>
      <c r="O4118" s="73"/>
      <c r="P4118" s="73"/>
      <c r="Q4118" s="73"/>
      <c r="R4118" s="111"/>
      <c r="S4118" s="75"/>
      <c r="T4118" s="73"/>
      <c r="X4118" s="189"/>
      <c r="Y4118" s="189"/>
      <c r="Z4118" s="100"/>
      <c r="AC4118" s="84"/>
      <c r="AD4118" s="189"/>
      <c r="AE4118" s="189"/>
      <c r="AF4118" s="189"/>
      <c r="AG4118" s="189"/>
      <c r="AH4118" s="189"/>
      <c r="AP4118" s="238"/>
    </row>
    <row r="4119" spans="3:42" s="45" customFormat="1" x14ac:dyDescent="0.2">
      <c r="C4119" s="189"/>
      <c r="F4119" s="73"/>
      <c r="M4119" s="111"/>
      <c r="N4119" s="73"/>
      <c r="O4119" s="73"/>
      <c r="P4119" s="73"/>
      <c r="Q4119" s="73"/>
      <c r="R4119" s="111"/>
      <c r="S4119" s="75"/>
      <c r="T4119" s="73"/>
      <c r="X4119" s="189"/>
      <c r="Y4119" s="189"/>
      <c r="Z4119" s="100"/>
      <c r="AC4119" s="84"/>
      <c r="AD4119" s="189"/>
      <c r="AE4119" s="189"/>
      <c r="AF4119" s="189"/>
      <c r="AG4119" s="189"/>
      <c r="AH4119" s="189"/>
      <c r="AP4119" s="238"/>
    </row>
    <row r="4120" spans="3:42" s="45" customFormat="1" x14ac:dyDescent="0.2">
      <c r="C4120" s="189"/>
      <c r="F4120" s="73"/>
      <c r="M4120" s="111"/>
      <c r="N4120" s="73"/>
      <c r="O4120" s="73"/>
      <c r="P4120" s="73"/>
      <c r="Q4120" s="73"/>
      <c r="R4120" s="111"/>
      <c r="S4120" s="75"/>
      <c r="T4120" s="73"/>
      <c r="X4120" s="189"/>
      <c r="Y4120" s="189"/>
      <c r="Z4120" s="100"/>
      <c r="AC4120" s="84"/>
      <c r="AD4120" s="189"/>
      <c r="AE4120" s="189"/>
      <c r="AF4120" s="189"/>
      <c r="AG4120" s="189"/>
      <c r="AH4120" s="189"/>
      <c r="AP4120" s="238"/>
    </row>
    <row r="4121" spans="3:42" s="45" customFormat="1" x14ac:dyDescent="0.2">
      <c r="C4121" s="189"/>
      <c r="F4121" s="73"/>
      <c r="M4121" s="111"/>
      <c r="N4121" s="73"/>
      <c r="O4121" s="73"/>
      <c r="P4121" s="73"/>
      <c r="Q4121" s="73"/>
      <c r="R4121" s="111"/>
      <c r="S4121" s="75"/>
      <c r="T4121" s="73"/>
      <c r="X4121" s="189"/>
      <c r="Y4121" s="189"/>
      <c r="Z4121" s="100"/>
      <c r="AC4121" s="84"/>
      <c r="AD4121" s="189"/>
      <c r="AE4121" s="189"/>
      <c r="AF4121" s="189"/>
      <c r="AG4121" s="189"/>
      <c r="AH4121" s="189"/>
      <c r="AP4121" s="238"/>
    </row>
    <row r="4122" spans="3:42" s="45" customFormat="1" x14ac:dyDescent="0.2">
      <c r="C4122" s="189"/>
      <c r="F4122" s="73"/>
      <c r="M4122" s="111"/>
      <c r="N4122" s="73"/>
      <c r="O4122" s="73"/>
      <c r="P4122" s="73"/>
      <c r="Q4122" s="73"/>
      <c r="R4122" s="111"/>
      <c r="S4122" s="75"/>
      <c r="T4122" s="73"/>
      <c r="X4122" s="189"/>
      <c r="Y4122" s="189"/>
      <c r="Z4122" s="100"/>
      <c r="AC4122" s="84"/>
      <c r="AD4122" s="189"/>
      <c r="AE4122" s="189"/>
      <c r="AF4122" s="189"/>
      <c r="AG4122" s="189"/>
      <c r="AH4122" s="189"/>
      <c r="AP4122" s="238"/>
    </row>
    <row r="4123" spans="3:42" s="45" customFormat="1" x14ac:dyDescent="0.2">
      <c r="C4123" s="189"/>
      <c r="F4123" s="73"/>
      <c r="M4123" s="111"/>
      <c r="N4123" s="73"/>
      <c r="O4123" s="73"/>
      <c r="P4123" s="73"/>
      <c r="Q4123" s="73"/>
      <c r="R4123" s="111"/>
      <c r="S4123" s="75"/>
      <c r="T4123" s="73"/>
      <c r="X4123" s="189"/>
      <c r="Y4123" s="189"/>
      <c r="Z4123" s="100"/>
      <c r="AC4123" s="84"/>
      <c r="AD4123" s="189"/>
      <c r="AE4123" s="189"/>
      <c r="AF4123" s="189"/>
      <c r="AG4123" s="189"/>
      <c r="AH4123" s="189"/>
      <c r="AP4123" s="238"/>
    </row>
    <row r="4124" spans="3:42" s="45" customFormat="1" x14ac:dyDescent="0.2">
      <c r="C4124" s="189"/>
      <c r="F4124" s="73"/>
      <c r="M4124" s="111"/>
      <c r="N4124" s="73"/>
      <c r="O4124" s="73"/>
      <c r="P4124" s="73"/>
      <c r="Q4124" s="73"/>
      <c r="R4124" s="111"/>
      <c r="S4124" s="75"/>
      <c r="T4124" s="73"/>
      <c r="X4124" s="189"/>
      <c r="Y4124" s="189"/>
      <c r="Z4124" s="100"/>
      <c r="AC4124" s="84"/>
      <c r="AD4124" s="189"/>
      <c r="AE4124" s="189"/>
      <c r="AF4124" s="189"/>
      <c r="AG4124" s="189"/>
      <c r="AH4124" s="189"/>
      <c r="AP4124" s="238"/>
    </row>
    <row r="4125" spans="3:42" s="45" customFormat="1" x14ac:dyDescent="0.2">
      <c r="C4125" s="189"/>
      <c r="F4125" s="73"/>
      <c r="M4125" s="111"/>
      <c r="N4125" s="73"/>
      <c r="O4125" s="73"/>
      <c r="P4125" s="73"/>
      <c r="Q4125" s="73"/>
      <c r="R4125" s="111"/>
      <c r="S4125" s="75"/>
      <c r="T4125" s="73"/>
      <c r="X4125" s="189"/>
      <c r="Y4125" s="189"/>
      <c r="Z4125" s="100"/>
      <c r="AC4125" s="84"/>
      <c r="AD4125" s="189"/>
      <c r="AE4125" s="189"/>
      <c r="AF4125" s="189"/>
      <c r="AG4125" s="189"/>
      <c r="AH4125" s="189"/>
      <c r="AP4125" s="238"/>
    </row>
    <row r="4126" spans="3:42" s="45" customFormat="1" x14ac:dyDescent="0.2">
      <c r="C4126" s="189"/>
      <c r="F4126" s="73"/>
      <c r="M4126" s="111"/>
      <c r="N4126" s="73"/>
      <c r="O4126" s="73"/>
      <c r="P4126" s="73"/>
      <c r="Q4126" s="73"/>
      <c r="R4126" s="111"/>
      <c r="S4126" s="75"/>
      <c r="T4126" s="73"/>
      <c r="X4126" s="189"/>
      <c r="Y4126" s="189"/>
      <c r="Z4126" s="100"/>
      <c r="AC4126" s="84"/>
      <c r="AD4126" s="189"/>
      <c r="AE4126" s="189"/>
      <c r="AF4126" s="189"/>
      <c r="AG4126" s="189"/>
      <c r="AH4126" s="189"/>
      <c r="AP4126" s="238"/>
    </row>
    <row r="4127" spans="3:42" s="45" customFormat="1" x14ac:dyDescent="0.2">
      <c r="C4127" s="189"/>
      <c r="F4127" s="73"/>
      <c r="M4127" s="111"/>
      <c r="N4127" s="73"/>
      <c r="O4127" s="73"/>
      <c r="P4127" s="73"/>
      <c r="Q4127" s="73"/>
      <c r="R4127" s="111"/>
      <c r="S4127" s="75"/>
      <c r="T4127" s="73"/>
      <c r="X4127" s="189"/>
      <c r="Y4127" s="189"/>
      <c r="Z4127" s="100"/>
      <c r="AC4127" s="84"/>
      <c r="AD4127" s="189"/>
      <c r="AE4127" s="189"/>
      <c r="AF4127" s="189"/>
      <c r="AG4127" s="189"/>
      <c r="AH4127" s="189"/>
      <c r="AP4127" s="238"/>
    </row>
    <row r="4128" spans="3:42" s="45" customFormat="1" x14ac:dyDescent="0.2">
      <c r="C4128" s="189"/>
      <c r="F4128" s="73"/>
      <c r="M4128" s="111"/>
      <c r="N4128" s="73"/>
      <c r="O4128" s="73"/>
      <c r="P4128" s="73"/>
      <c r="Q4128" s="73"/>
      <c r="R4128" s="111"/>
      <c r="S4128" s="75"/>
      <c r="T4128" s="73"/>
      <c r="X4128" s="189"/>
      <c r="Y4128" s="189"/>
      <c r="Z4128" s="100"/>
      <c r="AC4128" s="84"/>
      <c r="AD4128" s="189"/>
      <c r="AE4128" s="189"/>
      <c r="AF4128" s="189"/>
      <c r="AG4128" s="189"/>
      <c r="AH4128" s="189"/>
      <c r="AP4128" s="238"/>
    </row>
    <row r="4129" spans="3:42" s="45" customFormat="1" x14ac:dyDescent="0.2">
      <c r="C4129" s="189"/>
      <c r="F4129" s="73"/>
      <c r="M4129" s="111"/>
      <c r="N4129" s="73"/>
      <c r="O4129" s="73"/>
      <c r="P4129" s="73"/>
      <c r="Q4129" s="73"/>
      <c r="R4129" s="111"/>
      <c r="S4129" s="75"/>
      <c r="T4129" s="73"/>
      <c r="X4129" s="189"/>
      <c r="Y4129" s="189"/>
      <c r="Z4129" s="100"/>
      <c r="AC4129" s="84"/>
      <c r="AD4129" s="189"/>
      <c r="AE4129" s="189"/>
      <c r="AF4129" s="189"/>
      <c r="AG4129" s="189"/>
      <c r="AH4129" s="189"/>
      <c r="AP4129" s="238"/>
    </row>
    <row r="4130" spans="3:42" s="45" customFormat="1" x14ac:dyDescent="0.2">
      <c r="C4130" s="189"/>
      <c r="F4130" s="73"/>
      <c r="M4130" s="111"/>
      <c r="N4130" s="73"/>
      <c r="O4130" s="73"/>
      <c r="P4130" s="73"/>
      <c r="Q4130" s="73"/>
      <c r="R4130" s="111"/>
      <c r="S4130" s="75"/>
      <c r="T4130" s="73"/>
      <c r="X4130" s="189"/>
      <c r="Y4130" s="189"/>
      <c r="Z4130" s="100"/>
      <c r="AC4130" s="84"/>
      <c r="AD4130" s="189"/>
      <c r="AE4130" s="189"/>
      <c r="AF4130" s="189"/>
      <c r="AG4130" s="189"/>
      <c r="AH4130" s="189"/>
      <c r="AP4130" s="238"/>
    </row>
    <row r="4131" spans="3:42" s="45" customFormat="1" x14ac:dyDescent="0.2">
      <c r="C4131" s="189"/>
      <c r="F4131" s="73"/>
      <c r="M4131" s="111"/>
      <c r="N4131" s="73"/>
      <c r="O4131" s="73"/>
      <c r="P4131" s="73"/>
      <c r="Q4131" s="73"/>
      <c r="R4131" s="111"/>
      <c r="S4131" s="75"/>
      <c r="T4131" s="73"/>
      <c r="X4131" s="189"/>
      <c r="Y4131" s="189"/>
      <c r="Z4131" s="100"/>
      <c r="AC4131" s="84"/>
      <c r="AD4131" s="189"/>
      <c r="AE4131" s="189"/>
      <c r="AF4131" s="189"/>
      <c r="AG4131" s="189"/>
      <c r="AH4131" s="189"/>
      <c r="AP4131" s="238"/>
    </row>
    <row r="4132" spans="3:42" s="45" customFormat="1" x14ac:dyDescent="0.2">
      <c r="C4132" s="189"/>
      <c r="F4132" s="73"/>
      <c r="M4132" s="111"/>
      <c r="N4132" s="73"/>
      <c r="O4132" s="73"/>
      <c r="P4132" s="73"/>
      <c r="Q4132" s="73"/>
      <c r="R4132" s="111"/>
      <c r="S4132" s="75"/>
      <c r="T4132" s="73"/>
      <c r="X4132" s="189"/>
      <c r="Y4132" s="189"/>
      <c r="Z4132" s="100"/>
      <c r="AC4132" s="84"/>
      <c r="AD4132" s="189"/>
      <c r="AE4132" s="189"/>
      <c r="AF4132" s="189"/>
      <c r="AG4132" s="189"/>
      <c r="AH4132" s="189"/>
      <c r="AP4132" s="238"/>
    </row>
    <row r="4133" spans="3:42" s="45" customFormat="1" x14ac:dyDescent="0.2">
      <c r="C4133" s="189"/>
      <c r="F4133" s="73"/>
      <c r="M4133" s="111"/>
      <c r="N4133" s="73"/>
      <c r="O4133" s="73"/>
      <c r="P4133" s="73"/>
      <c r="Q4133" s="73"/>
      <c r="R4133" s="111"/>
      <c r="S4133" s="75"/>
      <c r="T4133" s="73"/>
      <c r="X4133" s="189"/>
      <c r="Y4133" s="189"/>
      <c r="Z4133" s="100"/>
      <c r="AC4133" s="84"/>
      <c r="AD4133" s="189"/>
      <c r="AE4133" s="189"/>
      <c r="AF4133" s="189"/>
      <c r="AG4133" s="189"/>
      <c r="AH4133" s="189"/>
      <c r="AP4133" s="238"/>
    </row>
    <row r="4134" spans="3:42" s="45" customFormat="1" x14ac:dyDescent="0.2">
      <c r="C4134" s="189"/>
      <c r="F4134" s="73"/>
      <c r="M4134" s="111"/>
      <c r="N4134" s="73"/>
      <c r="O4134" s="73"/>
      <c r="P4134" s="73"/>
      <c r="Q4134" s="73"/>
      <c r="R4134" s="111"/>
      <c r="S4134" s="75"/>
      <c r="T4134" s="73"/>
      <c r="X4134" s="189"/>
      <c r="Y4134" s="189"/>
      <c r="Z4134" s="100"/>
      <c r="AC4134" s="84"/>
      <c r="AD4134" s="189"/>
      <c r="AE4134" s="189"/>
      <c r="AF4134" s="189"/>
      <c r="AG4134" s="189"/>
      <c r="AH4134" s="189"/>
      <c r="AP4134" s="238"/>
    </row>
    <row r="4135" spans="3:42" s="45" customFormat="1" x14ac:dyDescent="0.2">
      <c r="C4135" s="189"/>
      <c r="F4135" s="73"/>
      <c r="M4135" s="111"/>
      <c r="N4135" s="73"/>
      <c r="O4135" s="73"/>
      <c r="P4135" s="73"/>
      <c r="Q4135" s="73"/>
      <c r="R4135" s="111"/>
      <c r="S4135" s="75"/>
      <c r="T4135" s="73"/>
      <c r="X4135" s="189"/>
      <c r="Y4135" s="189"/>
      <c r="Z4135" s="100"/>
      <c r="AC4135" s="84"/>
      <c r="AD4135" s="189"/>
      <c r="AE4135" s="189"/>
      <c r="AF4135" s="189"/>
      <c r="AG4135" s="189"/>
      <c r="AH4135" s="189"/>
      <c r="AP4135" s="238"/>
    </row>
    <row r="4136" spans="3:42" s="45" customFormat="1" x14ac:dyDescent="0.2">
      <c r="C4136" s="189"/>
      <c r="F4136" s="73"/>
      <c r="M4136" s="111"/>
      <c r="N4136" s="73"/>
      <c r="O4136" s="73"/>
      <c r="P4136" s="73"/>
      <c r="Q4136" s="73"/>
      <c r="R4136" s="111"/>
      <c r="S4136" s="75"/>
      <c r="T4136" s="73"/>
      <c r="X4136" s="189"/>
      <c r="Y4136" s="189"/>
      <c r="Z4136" s="100"/>
      <c r="AC4136" s="84"/>
      <c r="AD4136" s="189"/>
      <c r="AE4136" s="189"/>
      <c r="AF4136" s="189"/>
      <c r="AG4136" s="189"/>
      <c r="AH4136" s="189"/>
      <c r="AP4136" s="238"/>
    </row>
    <row r="4137" spans="3:42" s="45" customFormat="1" x14ac:dyDescent="0.2">
      <c r="C4137" s="189"/>
      <c r="F4137" s="73"/>
      <c r="M4137" s="111"/>
      <c r="N4137" s="73"/>
      <c r="O4137" s="73"/>
      <c r="P4137" s="73"/>
      <c r="Q4137" s="73"/>
      <c r="R4137" s="111"/>
      <c r="S4137" s="75"/>
      <c r="T4137" s="73"/>
      <c r="X4137" s="189"/>
      <c r="Y4137" s="189"/>
      <c r="Z4137" s="100"/>
      <c r="AC4137" s="84"/>
      <c r="AD4137" s="189"/>
      <c r="AE4137" s="189"/>
      <c r="AF4137" s="189"/>
      <c r="AG4137" s="189"/>
      <c r="AH4137" s="189"/>
      <c r="AP4137" s="238"/>
    </row>
    <row r="4138" spans="3:42" s="45" customFormat="1" x14ac:dyDescent="0.2">
      <c r="C4138" s="189"/>
      <c r="F4138" s="73"/>
      <c r="M4138" s="111"/>
      <c r="N4138" s="73"/>
      <c r="O4138" s="73"/>
      <c r="P4138" s="73"/>
      <c r="Q4138" s="73"/>
      <c r="R4138" s="111"/>
      <c r="S4138" s="75"/>
      <c r="T4138" s="73"/>
      <c r="X4138" s="189"/>
      <c r="Y4138" s="189"/>
      <c r="Z4138" s="100"/>
      <c r="AC4138" s="84"/>
      <c r="AD4138" s="189"/>
      <c r="AE4138" s="189"/>
      <c r="AF4138" s="189"/>
      <c r="AG4138" s="189"/>
      <c r="AH4138" s="189"/>
      <c r="AP4138" s="238"/>
    </row>
    <row r="4139" spans="3:42" s="45" customFormat="1" x14ac:dyDescent="0.2">
      <c r="C4139" s="189"/>
      <c r="F4139" s="73"/>
      <c r="M4139" s="111"/>
      <c r="N4139" s="73"/>
      <c r="O4139" s="73"/>
      <c r="P4139" s="73"/>
      <c r="Q4139" s="73"/>
      <c r="R4139" s="111"/>
      <c r="S4139" s="75"/>
      <c r="T4139" s="73"/>
      <c r="X4139" s="189"/>
      <c r="Y4139" s="189"/>
      <c r="Z4139" s="100"/>
      <c r="AC4139" s="84"/>
      <c r="AD4139" s="189"/>
      <c r="AE4139" s="189"/>
      <c r="AF4139" s="189"/>
      <c r="AG4139" s="189"/>
      <c r="AH4139" s="189"/>
      <c r="AP4139" s="238"/>
    </row>
    <row r="4140" spans="3:42" s="45" customFormat="1" x14ac:dyDescent="0.2">
      <c r="C4140" s="189"/>
      <c r="F4140" s="73"/>
      <c r="M4140" s="111"/>
      <c r="N4140" s="73"/>
      <c r="O4140" s="73"/>
      <c r="P4140" s="73"/>
      <c r="Q4140" s="73"/>
      <c r="R4140" s="111"/>
      <c r="S4140" s="75"/>
      <c r="T4140" s="73"/>
      <c r="X4140" s="189"/>
      <c r="Y4140" s="189"/>
      <c r="Z4140" s="100"/>
      <c r="AC4140" s="84"/>
      <c r="AD4140" s="189"/>
      <c r="AE4140" s="189"/>
      <c r="AF4140" s="189"/>
      <c r="AG4140" s="189"/>
      <c r="AH4140" s="189"/>
      <c r="AP4140" s="238"/>
    </row>
    <row r="4141" spans="3:42" s="45" customFormat="1" x14ac:dyDescent="0.2">
      <c r="C4141" s="189"/>
      <c r="F4141" s="73"/>
      <c r="M4141" s="111"/>
      <c r="N4141" s="73"/>
      <c r="O4141" s="73"/>
      <c r="P4141" s="73"/>
      <c r="Q4141" s="73"/>
      <c r="R4141" s="111"/>
      <c r="S4141" s="75"/>
      <c r="T4141" s="73"/>
      <c r="X4141" s="189"/>
      <c r="Y4141" s="189"/>
      <c r="Z4141" s="100"/>
      <c r="AC4141" s="84"/>
      <c r="AD4141" s="189"/>
      <c r="AE4141" s="189"/>
      <c r="AF4141" s="189"/>
      <c r="AG4141" s="189"/>
      <c r="AH4141" s="189"/>
      <c r="AP4141" s="238"/>
    </row>
    <row r="4142" spans="3:42" s="45" customFormat="1" x14ac:dyDescent="0.2">
      <c r="C4142" s="189"/>
      <c r="F4142" s="73"/>
      <c r="M4142" s="111"/>
      <c r="N4142" s="73"/>
      <c r="O4142" s="73"/>
      <c r="P4142" s="73"/>
      <c r="Q4142" s="73"/>
      <c r="R4142" s="111"/>
      <c r="S4142" s="75"/>
      <c r="T4142" s="73"/>
      <c r="X4142" s="189"/>
      <c r="Y4142" s="189"/>
      <c r="Z4142" s="100"/>
      <c r="AC4142" s="84"/>
      <c r="AD4142" s="189"/>
      <c r="AE4142" s="189"/>
      <c r="AF4142" s="189"/>
      <c r="AG4142" s="189"/>
      <c r="AH4142" s="189"/>
      <c r="AP4142" s="238"/>
    </row>
    <row r="4143" spans="3:42" s="45" customFormat="1" x14ac:dyDescent="0.2">
      <c r="C4143" s="189"/>
      <c r="F4143" s="73"/>
      <c r="M4143" s="111"/>
      <c r="N4143" s="73"/>
      <c r="O4143" s="73"/>
      <c r="P4143" s="73"/>
      <c r="Q4143" s="73"/>
      <c r="R4143" s="111"/>
      <c r="S4143" s="75"/>
      <c r="T4143" s="73"/>
      <c r="X4143" s="189"/>
      <c r="Y4143" s="189"/>
      <c r="Z4143" s="100"/>
      <c r="AC4143" s="84"/>
      <c r="AD4143" s="189"/>
      <c r="AE4143" s="189"/>
      <c r="AF4143" s="189"/>
      <c r="AG4143" s="189"/>
      <c r="AH4143" s="189"/>
      <c r="AP4143" s="238"/>
    </row>
    <row r="4144" spans="3:42" s="45" customFormat="1" x14ac:dyDescent="0.2">
      <c r="C4144" s="189"/>
      <c r="F4144" s="73"/>
      <c r="M4144" s="111"/>
      <c r="N4144" s="73"/>
      <c r="O4144" s="73"/>
      <c r="P4144" s="73"/>
      <c r="Q4144" s="73"/>
      <c r="R4144" s="111"/>
      <c r="S4144" s="75"/>
      <c r="T4144" s="73"/>
      <c r="X4144" s="189"/>
      <c r="Y4144" s="189"/>
      <c r="Z4144" s="100"/>
      <c r="AC4144" s="84"/>
      <c r="AD4144" s="189"/>
      <c r="AE4144" s="189"/>
      <c r="AF4144" s="189"/>
      <c r="AG4144" s="189"/>
      <c r="AH4144" s="189"/>
      <c r="AP4144" s="238"/>
    </row>
    <row r="4145" spans="3:42" s="45" customFormat="1" x14ac:dyDescent="0.2">
      <c r="C4145" s="189"/>
      <c r="F4145" s="73"/>
      <c r="M4145" s="111"/>
      <c r="N4145" s="73"/>
      <c r="O4145" s="73"/>
      <c r="P4145" s="73"/>
      <c r="Q4145" s="73"/>
      <c r="R4145" s="111"/>
      <c r="S4145" s="75"/>
      <c r="T4145" s="73"/>
      <c r="X4145" s="189"/>
      <c r="Y4145" s="189"/>
      <c r="Z4145" s="100"/>
      <c r="AC4145" s="84"/>
      <c r="AD4145" s="189"/>
      <c r="AE4145" s="189"/>
      <c r="AF4145" s="189"/>
      <c r="AG4145" s="189"/>
      <c r="AH4145" s="189"/>
      <c r="AP4145" s="238"/>
    </row>
    <row r="4146" spans="3:42" s="45" customFormat="1" x14ac:dyDescent="0.2">
      <c r="C4146" s="189"/>
      <c r="F4146" s="73"/>
      <c r="M4146" s="111"/>
      <c r="N4146" s="73"/>
      <c r="O4146" s="73"/>
      <c r="P4146" s="73"/>
      <c r="Q4146" s="73"/>
      <c r="R4146" s="111"/>
      <c r="S4146" s="75"/>
      <c r="T4146" s="73"/>
      <c r="X4146" s="189"/>
      <c r="Y4146" s="189"/>
      <c r="Z4146" s="100"/>
      <c r="AC4146" s="84"/>
      <c r="AD4146" s="189"/>
      <c r="AE4146" s="189"/>
      <c r="AF4146" s="189"/>
      <c r="AG4146" s="189"/>
      <c r="AH4146" s="189"/>
      <c r="AP4146" s="238"/>
    </row>
    <row r="4147" spans="3:42" s="45" customFormat="1" x14ac:dyDescent="0.2">
      <c r="C4147" s="189"/>
      <c r="F4147" s="73"/>
      <c r="M4147" s="111"/>
      <c r="N4147" s="73"/>
      <c r="O4147" s="73"/>
      <c r="P4147" s="73"/>
      <c r="Q4147" s="73"/>
      <c r="R4147" s="111"/>
      <c r="S4147" s="75"/>
      <c r="T4147" s="73"/>
      <c r="X4147" s="189"/>
      <c r="Y4147" s="189"/>
      <c r="Z4147" s="100"/>
      <c r="AC4147" s="84"/>
      <c r="AD4147" s="189"/>
      <c r="AE4147" s="189"/>
      <c r="AF4147" s="189"/>
      <c r="AG4147" s="189"/>
      <c r="AH4147" s="189"/>
      <c r="AP4147" s="238"/>
    </row>
    <row r="4148" spans="3:42" s="45" customFormat="1" x14ac:dyDescent="0.2">
      <c r="C4148" s="189"/>
      <c r="F4148" s="73"/>
      <c r="M4148" s="111"/>
      <c r="N4148" s="73"/>
      <c r="O4148" s="73"/>
      <c r="P4148" s="73"/>
      <c r="Q4148" s="73"/>
      <c r="R4148" s="111"/>
      <c r="S4148" s="75"/>
      <c r="T4148" s="73"/>
      <c r="X4148" s="189"/>
      <c r="Y4148" s="189"/>
      <c r="Z4148" s="100"/>
      <c r="AC4148" s="84"/>
      <c r="AD4148" s="189"/>
      <c r="AE4148" s="189"/>
      <c r="AF4148" s="189"/>
      <c r="AG4148" s="189"/>
      <c r="AH4148" s="189"/>
      <c r="AP4148" s="238"/>
    </row>
    <row r="4149" spans="3:42" s="45" customFormat="1" x14ac:dyDescent="0.2">
      <c r="C4149" s="189"/>
      <c r="F4149" s="73"/>
      <c r="M4149" s="111"/>
      <c r="N4149" s="73"/>
      <c r="O4149" s="73"/>
      <c r="P4149" s="73"/>
      <c r="Q4149" s="73"/>
      <c r="R4149" s="111"/>
      <c r="S4149" s="75"/>
      <c r="T4149" s="73"/>
      <c r="X4149" s="189"/>
      <c r="Y4149" s="189"/>
      <c r="Z4149" s="100"/>
      <c r="AC4149" s="84"/>
      <c r="AD4149" s="189"/>
      <c r="AE4149" s="189"/>
      <c r="AF4149" s="189"/>
      <c r="AG4149" s="189"/>
      <c r="AH4149" s="189"/>
      <c r="AP4149" s="238"/>
    </row>
    <row r="4150" spans="3:42" s="45" customFormat="1" x14ac:dyDescent="0.2">
      <c r="C4150" s="189"/>
      <c r="F4150" s="73"/>
      <c r="M4150" s="111"/>
      <c r="N4150" s="73"/>
      <c r="O4150" s="73"/>
      <c r="P4150" s="73"/>
      <c r="Q4150" s="73"/>
      <c r="R4150" s="111"/>
      <c r="S4150" s="75"/>
      <c r="T4150" s="73"/>
      <c r="X4150" s="189"/>
      <c r="Y4150" s="189"/>
      <c r="Z4150" s="100"/>
      <c r="AC4150" s="84"/>
      <c r="AD4150" s="189"/>
      <c r="AE4150" s="189"/>
      <c r="AF4150" s="189"/>
      <c r="AG4150" s="189"/>
      <c r="AH4150" s="189"/>
      <c r="AP4150" s="238"/>
    </row>
    <row r="4151" spans="3:42" s="45" customFormat="1" x14ac:dyDescent="0.2">
      <c r="C4151" s="189"/>
      <c r="F4151" s="73"/>
      <c r="M4151" s="111"/>
      <c r="N4151" s="73"/>
      <c r="O4151" s="73"/>
      <c r="P4151" s="73"/>
      <c r="Q4151" s="73"/>
      <c r="R4151" s="111"/>
      <c r="S4151" s="75"/>
      <c r="T4151" s="73"/>
      <c r="X4151" s="189"/>
      <c r="Y4151" s="189"/>
      <c r="Z4151" s="100"/>
      <c r="AC4151" s="84"/>
      <c r="AD4151" s="189"/>
      <c r="AE4151" s="189"/>
      <c r="AF4151" s="189"/>
      <c r="AG4151" s="189"/>
      <c r="AH4151" s="189"/>
      <c r="AP4151" s="238"/>
    </row>
    <row r="4152" spans="3:42" s="45" customFormat="1" x14ac:dyDescent="0.2">
      <c r="C4152" s="189"/>
      <c r="F4152" s="73"/>
      <c r="M4152" s="111"/>
      <c r="N4152" s="73"/>
      <c r="O4152" s="73"/>
      <c r="P4152" s="73"/>
      <c r="Q4152" s="73"/>
      <c r="R4152" s="111"/>
      <c r="S4152" s="75"/>
      <c r="T4152" s="73"/>
      <c r="X4152" s="189"/>
      <c r="Y4152" s="189"/>
      <c r="Z4152" s="100"/>
      <c r="AC4152" s="84"/>
      <c r="AD4152" s="189"/>
      <c r="AE4152" s="189"/>
      <c r="AF4152" s="189"/>
      <c r="AG4152" s="189"/>
      <c r="AH4152" s="189"/>
      <c r="AP4152" s="238"/>
    </row>
    <row r="4153" spans="3:42" s="45" customFormat="1" x14ac:dyDescent="0.2">
      <c r="C4153" s="189"/>
      <c r="F4153" s="73"/>
      <c r="M4153" s="111"/>
      <c r="N4153" s="73"/>
      <c r="O4153" s="73"/>
      <c r="P4153" s="73"/>
      <c r="Q4153" s="73"/>
      <c r="R4153" s="111"/>
      <c r="S4153" s="75"/>
      <c r="T4153" s="73"/>
      <c r="X4153" s="189"/>
      <c r="Y4153" s="189"/>
      <c r="Z4153" s="100"/>
      <c r="AC4153" s="84"/>
      <c r="AD4153" s="189"/>
      <c r="AE4153" s="189"/>
      <c r="AF4153" s="189"/>
      <c r="AG4153" s="189"/>
      <c r="AH4153" s="189"/>
      <c r="AP4153" s="238"/>
    </row>
    <row r="4154" spans="3:42" s="45" customFormat="1" x14ac:dyDescent="0.2">
      <c r="C4154" s="189"/>
      <c r="F4154" s="73"/>
      <c r="M4154" s="111"/>
      <c r="N4154" s="73"/>
      <c r="O4154" s="73"/>
      <c r="P4154" s="73"/>
      <c r="Q4154" s="73"/>
      <c r="R4154" s="111"/>
      <c r="S4154" s="75"/>
      <c r="T4154" s="73"/>
      <c r="X4154" s="189"/>
      <c r="Y4154" s="189"/>
      <c r="Z4154" s="100"/>
      <c r="AC4154" s="84"/>
      <c r="AD4154" s="189"/>
      <c r="AE4154" s="189"/>
      <c r="AF4154" s="189"/>
      <c r="AG4154" s="189"/>
      <c r="AH4154" s="189"/>
      <c r="AP4154" s="238"/>
    </row>
    <row r="4155" spans="3:42" s="45" customFormat="1" x14ac:dyDescent="0.2">
      <c r="C4155" s="189"/>
      <c r="F4155" s="73"/>
      <c r="M4155" s="111"/>
      <c r="N4155" s="73"/>
      <c r="O4155" s="73"/>
      <c r="P4155" s="73"/>
      <c r="Q4155" s="73"/>
      <c r="R4155" s="111"/>
      <c r="S4155" s="75"/>
      <c r="T4155" s="73"/>
      <c r="X4155" s="189"/>
      <c r="Y4155" s="189"/>
      <c r="Z4155" s="100"/>
      <c r="AC4155" s="84"/>
      <c r="AD4155" s="189"/>
      <c r="AE4155" s="189"/>
      <c r="AF4155" s="189"/>
      <c r="AG4155" s="189"/>
      <c r="AH4155" s="189"/>
      <c r="AP4155" s="238"/>
    </row>
    <row r="4156" spans="3:42" s="45" customFormat="1" x14ac:dyDescent="0.2">
      <c r="C4156" s="189"/>
      <c r="F4156" s="73"/>
      <c r="M4156" s="111"/>
      <c r="N4156" s="73"/>
      <c r="O4156" s="73"/>
      <c r="P4156" s="73"/>
      <c r="Q4156" s="73"/>
      <c r="R4156" s="111"/>
      <c r="S4156" s="75"/>
      <c r="T4156" s="73"/>
      <c r="X4156" s="189"/>
      <c r="Y4156" s="189"/>
      <c r="Z4156" s="100"/>
      <c r="AC4156" s="84"/>
      <c r="AD4156" s="189"/>
      <c r="AE4156" s="189"/>
      <c r="AF4156" s="189"/>
      <c r="AG4156" s="189"/>
      <c r="AH4156" s="189"/>
      <c r="AP4156" s="238"/>
    </row>
    <row r="4157" spans="3:42" s="45" customFormat="1" x14ac:dyDescent="0.2">
      <c r="C4157" s="189"/>
      <c r="F4157" s="73"/>
      <c r="M4157" s="111"/>
      <c r="N4157" s="73"/>
      <c r="O4157" s="73"/>
      <c r="P4157" s="73"/>
      <c r="Q4157" s="73"/>
      <c r="R4157" s="111"/>
      <c r="S4157" s="75"/>
      <c r="T4157" s="73"/>
      <c r="X4157" s="189"/>
      <c r="Y4157" s="189"/>
      <c r="Z4157" s="100"/>
      <c r="AC4157" s="84"/>
      <c r="AD4157" s="189"/>
      <c r="AE4157" s="189"/>
      <c r="AF4157" s="189"/>
      <c r="AG4157" s="189"/>
      <c r="AH4157" s="189"/>
      <c r="AP4157" s="238"/>
    </row>
    <row r="4158" spans="3:42" s="45" customFormat="1" x14ac:dyDescent="0.2">
      <c r="C4158" s="189"/>
      <c r="F4158" s="73"/>
      <c r="M4158" s="111"/>
      <c r="N4158" s="73"/>
      <c r="O4158" s="73"/>
      <c r="P4158" s="73"/>
      <c r="Q4158" s="73"/>
      <c r="R4158" s="111"/>
      <c r="S4158" s="75"/>
      <c r="T4158" s="73"/>
      <c r="X4158" s="189"/>
      <c r="Y4158" s="189"/>
      <c r="Z4158" s="100"/>
      <c r="AC4158" s="84"/>
      <c r="AD4158" s="189"/>
      <c r="AE4158" s="189"/>
      <c r="AF4158" s="189"/>
      <c r="AG4158" s="189"/>
      <c r="AH4158" s="189"/>
      <c r="AP4158" s="238"/>
    </row>
    <row r="4159" spans="3:42" s="45" customFormat="1" x14ac:dyDescent="0.2">
      <c r="C4159" s="189"/>
      <c r="F4159" s="73"/>
      <c r="M4159" s="111"/>
      <c r="N4159" s="73"/>
      <c r="O4159" s="73"/>
      <c r="P4159" s="73"/>
      <c r="Q4159" s="73"/>
      <c r="R4159" s="111"/>
      <c r="S4159" s="75"/>
      <c r="T4159" s="73"/>
      <c r="X4159" s="189"/>
      <c r="Y4159" s="189"/>
      <c r="Z4159" s="100"/>
      <c r="AC4159" s="84"/>
      <c r="AD4159" s="189"/>
      <c r="AE4159" s="189"/>
      <c r="AF4159" s="189"/>
      <c r="AG4159" s="189"/>
      <c r="AH4159" s="189"/>
      <c r="AP4159" s="238"/>
    </row>
    <row r="4160" spans="3:42" s="45" customFormat="1" x14ac:dyDescent="0.2">
      <c r="C4160" s="189"/>
      <c r="F4160" s="73"/>
      <c r="M4160" s="111"/>
      <c r="N4160" s="73"/>
      <c r="O4160" s="73"/>
      <c r="P4160" s="73"/>
      <c r="Q4160" s="73"/>
      <c r="R4160" s="111"/>
      <c r="S4160" s="75"/>
      <c r="T4160" s="73"/>
      <c r="X4160" s="189"/>
      <c r="Y4160" s="189"/>
      <c r="Z4160" s="100"/>
      <c r="AC4160" s="84"/>
      <c r="AD4160" s="189"/>
      <c r="AE4160" s="189"/>
      <c r="AF4160" s="189"/>
      <c r="AG4160" s="189"/>
      <c r="AH4160" s="189"/>
      <c r="AP4160" s="238"/>
    </row>
    <row r="4161" spans="3:42" s="45" customFormat="1" x14ac:dyDescent="0.2">
      <c r="C4161" s="189"/>
      <c r="F4161" s="73"/>
      <c r="M4161" s="111"/>
      <c r="N4161" s="73"/>
      <c r="O4161" s="73"/>
      <c r="P4161" s="73"/>
      <c r="Q4161" s="73"/>
      <c r="R4161" s="111"/>
      <c r="S4161" s="75"/>
      <c r="T4161" s="73"/>
      <c r="X4161" s="189"/>
      <c r="Y4161" s="189"/>
      <c r="Z4161" s="100"/>
      <c r="AC4161" s="84"/>
      <c r="AD4161" s="189"/>
      <c r="AE4161" s="189"/>
      <c r="AF4161" s="189"/>
      <c r="AG4161" s="189"/>
      <c r="AH4161" s="189"/>
      <c r="AP4161" s="238"/>
    </row>
    <row r="4162" spans="3:42" s="45" customFormat="1" x14ac:dyDescent="0.2">
      <c r="C4162" s="189"/>
      <c r="F4162" s="73"/>
      <c r="M4162" s="111"/>
      <c r="N4162" s="73"/>
      <c r="O4162" s="73"/>
      <c r="P4162" s="73"/>
      <c r="Q4162" s="73"/>
      <c r="R4162" s="111"/>
      <c r="S4162" s="75"/>
      <c r="T4162" s="73"/>
      <c r="X4162" s="189"/>
      <c r="Y4162" s="189"/>
      <c r="Z4162" s="100"/>
      <c r="AC4162" s="84"/>
      <c r="AD4162" s="189"/>
      <c r="AE4162" s="189"/>
      <c r="AF4162" s="189"/>
      <c r="AG4162" s="189"/>
      <c r="AH4162" s="189"/>
      <c r="AP4162" s="238"/>
    </row>
    <row r="4163" spans="3:42" s="45" customFormat="1" x14ac:dyDescent="0.2">
      <c r="C4163" s="189"/>
      <c r="F4163" s="73"/>
      <c r="M4163" s="111"/>
      <c r="N4163" s="73"/>
      <c r="O4163" s="73"/>
      <c r="P4163" s="73"/>
      <c r="Q4163" s="73"/>
      <c r="R4163" s="111"/>
      <c r="S4163" s="75"/>
      <c r="T4163" s="73"/>
      <c r="X4163" s="189"/>
      <c r="Y4163" s="189"/>
      <c r="Z4163" s="100"/>
      <c r="AC4163" s="84"/>
      <c r="AD4163" s="189"/>
      <c r="AE4163" s="189"/>
      <c r="AF4163" s="189"/>
      <c r="AG4163" s="189"/>
      <c r="AH4163" s="189"/>
      <c r="AP4163" s="238"/>
    </row>
    <row r="4164" spans="3:42" s="45" customFormat="1" x14ac:dyDescent="0.2">
      <c r="C4164" s="189"/>
      <c r="F4164" s="73"/>
      <c r="M4164" s="111"/>
      <c r="N4164" s="73"/>
      <c r="O4164" s="73"/>
      <c r="P4164" s="73"/>
      <c r="Q4164" s="73"/>
      <c r="R4164" s="111"/>
      <c r="S4164" s="75"/>
      <c r="T4164" s="73"/>
      <c r="X4164" s="189"/>
      <c r="Y4164" s="189"/>
      <c r="Z4164" s="100"/>
      <c r="AC4164" s="84"/>
      <c r="AD4164" s="189"/>
      <c r="AE4164" s="189"/>
      <c r="AF4164" s="189"/>
      <c r="AG4164" s="189"/>
      <c r="AH4164" s="189"/>
      <c r="AP4164" s="238"/>
    </row>
    <row r="4165" spans="3:42" s="45" customFormat="1" x14ac:dyDescent="0.2">
      <c r="C4165" s="189"/>
      <c r="F4165" s="73"/>
      <c r="M4165" s="111"/>
      <c r="N4165" s="73"/>
      <c r="O4165" s="73"/>
      <c r="P4165" s="73"/>
      <c r="Q4165" s="73"/>
      <c r="R4165" s="111"/>
      <c r="S4165" s="75"/>
      <c r="T4165" s="73"/>
      <c r="X4165" s="189"/>
      <c r="Y4165" s="189"/>
      <c r="Z4165" s="100"/>
      <c r="AC4165" s="84"/>
      <c r="AD4165" s="189"/>
      <c r="AE4165" s="189"/>
      <c r="AF4165" s="189"/>
      <c r="AG4165" s="189"/>
      <c r="AH4165" s="189"/>
      <c r="AP4165" s="238"/>
    </row>
    <row r="4166" spans="3:42" s="45" customFormat="1" x14ac:dyDescent="0.2">
      <c r="C4166" s="189"/>
      <c r="F4166" s="73"/>
      <c r="M4166" s="111"/>
      <c r="N4166" s="73"/>
      <c r="O4166" s="73"/>
      <c r="P4166" s="73"/>
      <c r="Q4166" s="73"/>
      <c r="R4166" s="111"/>
      <c r="S4166" s="75"/>
      <c r="T4166" s="73"/>
      <c r="X4166" s="189"/>
      <c r="Y4166" s="189"/>
      <c r="Z4166" s="100"/>
      <c r="AC4166" s="84"/>
      <c r="AD4166" s="189"/>
      <c r="AE4166" s="189"/>
      <c r="AF4166" s="189"/>
      <c r="AG4166" s="189"/>
      <c r="AH4166" s="189"/>
      <c r="AP4166" s="238"/>
    </row>
    <row r="4167" spans="3:42" s="45" customFormat="1" x14ac:dyDescent="0.2">
      <c r="C4167" s="189"/>
      <c r="F4167" s="73"/>
      <c r="M4167" s="111"/>
      <c r="N4167" s="73"/>
      <c r="O4167" s="73"/>
      <c r="P4167" s="73"/>
      <c r="Q4167" s="73"/>
      <c r="R4167" s="111"/>
      <c r="S4167" s="75"/>
      <c r="T4167" s="73"/>
      <c r="X4167" s="189"/>
      <c r="Y4167" s="189"/>
      <c r="Z4167" s="100"/>
      <c r="AC4167" s="84"/>
      <c r="AD4167" s="189"/>
      <c r="AE4167" s="189"/>
      <c r="AF4167" s="189"/>
      <c r="AG4167" s="189"/>
      <c r="AH4167" s="189"/>
      <c r="AP4167" s="238"/>
    </row>
    <row r="4168" spans="3:42" s="45" customFormat="1" x14ac:dyDescent="0.2">
      <c r="C4168" s="189"/>
      <c r="F4168" s="73"/>
      <c r="M4168" s="111"/>
      <c r="N4168" s="73"/>
      <c r="O4168" s="73"/>
      <c r="P4168" s="73"/>
      <c r="Q4168" s="73"/>
      <c r="R4168" s="111"/>
      <c r="S4168" s="75"/>
      <c r="T4168" s="73"/>
      <c r="X4168" s="189"/>
      <c r="Y4168" s="189"/>
      <c r="Z4168" s="100"/>
      <c r="AC4168" s="84"/>
      <c r="AD4168" s="189"/>
      <c r="AE4168" s="189"/>
      <c r="AF4168" s="189"/>
      <c r="AG4168" s="189"/>
      <c r="AH4168" s="189"/>
      <c r="AP4168" s="238"/>
    </row>
    <row r="4169" spans="3:42" s="45" customFormat="1" x14ac:dyDescent="0.2">
      <c r="C4169" s="189"/>
      <c r="F4169" s="73"/>
      <c r="M4169" s="111"/>
      <c r="N4169" s="73"/>
      <c r="O4169" s="73"/>
      <c r="P4169" s="73"/>
      <c r="Q4169" s="73"/>
      <c r="R4169" s="111"/>
      <c r="S4169" s="75"/>
      <c r="T4169" s="73"/>
      <c r="X4169" s="189"/>
      <c r="Y4169" s="189"/>
      <c r="Z4169" s="100"/>
      <c r="AC4169" s="84"/>
      <c r="AD4169" s="189"/>
      <c r="AE4169" s="189"/>
      <c r="AF4169" s="189"/>
      <c r="AG4169" s="189"/>
      <c r="AH4169" s="189"/>
      <c r="AP4169" s="238"/>
    </row>
    <row r="4170" spans="3:42" s="45" customFormat="1" x14ac:dyDescent="0.2">
      <c r="C4170" s="189"/>
      <c r="F4170" s="73"/>
      <c r="M4170" s="111"/>
      <c r="N4170" s="73"/>
      <c r="O4170" s="73"/>
      <c r="P4170" s="73"/>
      <c r="Q4170" s="73"/>
      <c r="R4170" s="111"/>
      <c r="S4170" s="75"/>
      <c r="T4170" s="73"/>
      <c r="X4170" s="189"/>
      <c r="Y4170" s="189"/>
      <c r="Z4170" s="100"/>
      <c r="AC4170" s="84"/>
      <c r="AD4170" s="189"/>
      <c r="AE4170" s="189"/>
      <c r="AF4170" s="189"/>
      <c r="AG4170" s="189"/>
      <c r="AH4170" s="189"/>
      <c r="AP4170" s="238"/>
    </row>
    <row r="4171" spans="3:42" s="45" customFormat="1" x14ac:dyDescent="0.2">
      <c r="C4171" s="189"/>
      <c r="F4171" s="73"/>
      <c r="M4171" s="111"/>
      <c r="N4171" s="73"/>
      <c r="O4171" s="73"/>
      <c r="P4171" s="73"/>
      <c r="Q4171" s="73"/>
      <c r="R4171" s="111"/>
      <c r="S4171" s="75"/>
      <c r="T4171" s="73"/>
      <c r="X4171" s="189"/>
      <c r="Y4171" s="189"/>
      <c r="Z4171" s="100"/>
      <c r="AC4171" s="84"/>
      <c r="AD4171" s="189"/>
      <c r="AE4171" s="189"/>
      <c r="AF4171" s="189"/>
      <c r="AG4171" s="189"/>
      <c r="AH4171" s="189"/>
      <c r="AP4171" s="238"/>
    </row>
    <row r="4172" spans="3:42" s="45" customFormat="1" x14ac:dyDescent="0.2">
      <c r="C4172" s="189"/>
      <c r="F4172" s="73"/>
      <c r="M4172" s="111"/>
      <c r="N4172" s="73"/>
      <c r="O4172" s="73"/>
      <c r="P4172" s="73"/>
      <c r="Q4172" s="73"/>
      <c r="R4172" s="111"/>
      <c r="S4172" s="75"/>
      <c r="T4172" s="73"/>
      <c r="X4172" s="189"/>
      <c r="Y4172" s="189"/>
      <c r="Z4172" s="100"/>
      <c r="AC4172" s="84"/>
      <c r="AD4172" s="189"/>
      <c r="AE4172" s="189"/>
      <c r="AF4172" s="189"/>
      <c r="AG4172" s="189"/>
      <c r="AH4172" s="189"/>
      <c r="AP4172" s="238"/>
    </row>
    <row r="4173" spans="3:42" s="45" customFormat="1" x14ac:dyDescent="0.2">
      <c r="C4173" s="189"/>
      <c r="F4173" s="73"/>
      <c r="M4173" s="111"/>
      <c r="N4173" s="73"/>
      <c r="O4173" s="73"/>
      <c r="P4173" s="73"/>
      <c r="Q4173" s="73"/>
      <c r="R4173" s="111"/>
      <c r="S4173" s="75"/>
      <c r="T4173" s="73"/>
      <c r="X4173" s="189"/>
      <c r="Y4173" s="189"/>
      <c r="Z4173" s="100"/>
      <c r="AC4173" s="84"/>
      <c r="AD4173" s="189"/>
      <c r="AE4173" s="189"/>
      <c r="AF4173" s="189"/>
      <c r="AG4173" s="189"/>
      <c r="AH4173" s="189"/>
      <c r="AP4173" s="238"/>
    </row>
    <row r="4174" spans="3:42" s="45" customFormat="1" x14ac:dyDescent="0.2">
      <c r="C4174" s="189"/>
      <c r="F4174" s="73"/>
      <c r="M4174" s="111"/>
      <c r="N4174" s="73"/>
      <c r="O4174" s="73"/>
      <c r="P4174" s="73"/>
      <c r="Q4174" s="73"/>
      <c r="R4174" s="111"/>
      <c r="S4174" s="75"/>
      <c r="T4174" s="73"/>
      <c r="X4174" s="189"/>
      <c r="Y4174" s="189"/>
      <c r="Z4174" s="100"/>
      <c r="AC4174" s="84"/>
      <c r="AD4174" s="189"/>
      <c r="AE4174" s="189"/>
      <c r="AF4174" s="189"/>
      <c r="AG4174" s="189"/>
      <c r="AH4174" s="189"/>
      <c r="AP4174" s="238"/>
    </row>
    <row r="4175" spans="3:42" s="45" customFormat="1" x14ac:dyDescent="0.2">
      <c r="C4175" s="189"/>
      <c r="F4175" s="73"/>
      <c r="M4175" s="111"/>
      <c r="N4175" s="73"/>
      <c r="O4175" s="73"/>
      <c r="P4175" s="73"/>
      <c r="Q4175" s="73"/>
      <c r="R4175" s="111"/>
      <c r="S4175" s="75"/>
      <c r="T4175" s="73"/>
      <c r="X4175" s="189"/>
      <c r="Y4175" s="189"/>
      <c r="Z4175" s="100"/>
      <c r="AC4175" s="84"/>
      <c r="AD4175" s="189"/>
      <c r="AE4175" s="189"/>
      <c r="AF4175" s="189"/>
      <c r="AG4175" s="189"/>
      <c r="AH4175" s="189"/>
      <c r="AP4175" s="238"/>
    </row>
    <row r="4176" spans="3:42" s="45" customFormat="1" x14ac:dyDescent="0.2">
      <c r="C4176" s="189"/>
      <c r="F4176" s="73"/>
      <c r="M4176" s="111"/>
      <c r="N4176" s="73"/>
      <c r="O4176" s="73"/>
      <c r="P4176" s="73"/>
      <c r="Q4176" s="73"/>
      <c r="R4176" s="111"/>
      <c r="S4176" s="75"/>
      <c r="T4176" s="73"/>
      <c r="X4176" s="189"/>
      <c r="Y4176" s="189"/>
      <c r="Z4176" s="100"/>
      <c r="AC4176" s="84"/>
      <c r="AD4176" s="189"/>
      <c r="AE4176" s="189"/>
      <c r="AF4176" s="189"/>
      <c r="AG4176" s="189"/>
      <c r="AH4176" s="189"/>
      <c r="AP4176" s="238"/>
    </row>
    <row r="4177" spans="3:42" s="45" customFormat="1" x14ac:dyDescent="0.2">
      <c r="C4177" s="189"/>
      <c r="F4177" s="73"/>
      <c r="M4177" s="111"/>
      <c r="N4177" s="73"/>
      <c r="O4177" s="73"/>
      <c r="P4177" s="73"/>
      <c r="Q4177" s="73"/>
      <c r="R4177" s="111"/>
      <c r="S4177" s="75"/>
      <c r="T4177" s="73"/>
      <c r="X4177" s="189"/>
      <c r="Y4177" s="189"/>
      <c r="Z4177" s="100"/>
      <c r="AC4177" s="84"/>
      <c r="AD4177" s="189"/>
      <c r="AE4177" s="189"/>
      <c r="AF4177" s="189"/>
      <c r="AG4177" s="189"/>
      <c r="AH4177" s="189"/>
      <c r="AP4177" s="238"/>
    </row>
    <row r="4178" spans="3:42" s="45" customFormat="1" x14ac:dyDescent="0.2">
      <c r="C4178" s="189"/>
      <c r="F4178" s="73"/>
      <c r="M4178" s="111"/>
      <c r="N4178" s="73"/>
      <c r="O4178" s="73"/>
      <c r="P4178" s="73"/>
      <c r="Q4178" s="73"/>
      <c r="R4178" s="111"/>
      <c r="S4178" s="75"/>
      <c r="T4178" s="73"/>
      <c r="X4178" s="189"/>
      <c r="Y4178" s="189"/>
      <c r="Z4178" s="100"/>
      <c r="AC4178" s="84"/>
      <c r="AD4178" s="189"/>
      <c r="AE4178" s="189"/>
      <c r="AF4178" s="189"/>
      <c r="AG4178" s="189"/>
      <c r="AH4178" s="189"/>
      <c r="AP4178" s="238"/>
    </row>
    <row r="4179" spans="3:42" s="45" customFormat="1" x14ac:dyDescent="0.2">
      <c r="C4179" s="189"/>
      <c r="F4179" s="73"/>
      <c r="M4179" s="111"/>
      <c r="N4179" s="73"/>
      <c r="O4179" s="73"/>
      <c r="P4179" s="73"/>
      <c r="Q4179" s="73"/>
      <c r="R4179" s="111"/>
      <c r="S4179" s="75"/>
      <c r="T4179" s="73"/>
      <c r="X4179" s="189"/>
      <c r="Y4179" s="189"/>
      <c r="Z4179" s="100"/>
      <c r="AC4179" s="84"/>
      <c r="AD4179" s="189"/>
      <c r="AE4179" s="189"/>
      <c r="AF4179" s="189"/>
      <c r="AG4179" s="189"/>
      <c r="AH4179" s="189"/>
      <c r="AP4179" s="238"/>
    </row>
    <row r="4180" spans="3:42" s="45" customFormat="1" x14ac:dyDescent="0.2">
      <c r="C4180" s="189"/>
      <c r="F4180" s="73"/>
      <c r="M4180" s="111"/>
      <c r="N4180" s="73"/>
      <c r="O4180" s="73"/>
      <c r="P4180" s="73"/>
      <c r="Q4180" s="73"/>
      <c r="R4180" s="111"/>
      <c r="S4180" s="75"/>
      <c r="T4180" s="73"/>
      <c r="X4180" s="189"/>
      <c r="Y4180" s="189"/>
      <c r="Z4180" s="100"/>
      <c r="AC4180" s="84"/>
      <c r="AD4180" s="189"/>
      <c r="AE4180" s="189"/>
      <c r="AF4180" s="189"/>
      <c r="AG4180" s="189"/>
      <c r="AH4180" s="189"/>
      <c r="AP4180" s="238"/>
    </row>
    <row r="4181" spans="3:42" s="45" customFormat="1" x14ac:dyDescent="0.2">
      <c r="C4181" s="189"/>
      <c r="F4181" s="73"/>
      <c r="M4181" s="111"/>
      <c r="N4181" s="73"/>
      <c r="O4181" s="73"/>
      <c r="P4181" s="73"/>
      <c r="Q4181" s="73"/>
      <c r="R4181" s="111"/>
      <c r="S4181" s="75"/>
      <c r="T4181" s="73"/>
      <c r="X4181" s="189"/>
      <c r="Y4181" s="189"/>
      <c r="Z4181" s="100"/>
      <c r="AC4181" s="84"/>
      <c r="AD4181" s="189"/>
      <c r="AE4181" s="189"/>
      <c r="AF4181" s="189"/>
      <c r="AG4181" s="189"/>
      <c r="AH4181" s="189"/>
      <c r="AP4181" s="238"/>
    </row>
    <row r="4182" spans="3:42" s="45" customFormat="1" x14ac:dyDescent="0.2">
      <c r="C4182" s="189"/>
      <c r="F4182" s="73"/>
      <c r="M4182" s="111"/>
      <c r="N4182" s="73"/>
      <c r="O4182" s="73"/>
      <c r="P4182" s="73"/>
      <c r="Q4182" s="73"/>
      <c r="R4182" s="111"/>
      <c r="S4182" s="75"/>
      <c r="T4182" s="73"/>
      <c r="X4182" s="189"/>
      <c r="Y4182" s="189"/>
      <c r="Z4182" s="100"/>
      <c r="AC4182" s="84"/>
      <c r="AD4182" s="189"/>
      <c r="AE4182" s="189"/>
      <c r="AF4182" s="189"/>
      <c r="AG4182" s="189"/>
      <c r="AH4182" s="189"/>
      <c r="AP4182" s="238"/>
    </row>
    <row r="4183" spans="3:42" s="45" customFormat="1" x14ac:dyDescent="0.2">
      <c r="C4183" s="189"/>
      <c r="F4183" s="73"/>
      <c r="M4183" s="111"/>
      <c r="N4183" s="73"/>
      <c r="O4183" s="73"/>
      <c r="P4183" s="73"/>
      <c r="Q4183" s="73"/>
      <c r="R4183" s="111"/>
      <c r="S4183" s="75"/>
      <c r="T4183" s="73"/>
      <c r="X4183" s="189"/>
      <c r="Y4183" s="189"/>
      <c r="Z4183" s="100"/>
      <c r="AC4183" s="84"/>
      <c r="AD4183" s="189"/>
      <c r="AE4183" s="189"/>
      <c r="AF4183" s="189"/>
      <c r="AG4183" s="189"/>
      <c r="AH4183" s="189"/>
      <c r="AP4183" s="238"/>
    </row>
    <row r="4184" spans="3:42" s="45" customFormat="1" x14ac:dyDescent="0.2">
      <c r="C4184" s="189"/>
      <c r="F4184" s="73"/>
      <c r="M4184" s="111"/>
      <c r="N4184" s="73"/>
      <c r="O4184" s="73"/>
      <c r="P4184" s="73"/>
      <c r="Q4184" s="73"/>
      <c r="R4184" s="111"/>
      <c r="S4184" s="75"/>
      <c r="T4184" s="73"/>
      <c r="X4184" s="189"/>
      <c r="Y4184" s="189"/>
      <c r="Z4184" s="100"/>
      <c r="AC4184" s="84"/>
      <c r="AD4184" s="189"/>
      <c r="AE4184" s="189"/>
      <c r="AF4184" s="189"/>
      <c r="AG4184" s="189"/>
      <c r="AH4184" s="189"/>
      <c r="AP4184" s="238"/>
    </row>
    <row r="4185" spans="3:42" s="45" customFormat="1" x14ac:dyDescent="0.2">
      <c r="C4185" s="189"/>
      <c r="F4185" s="73"/>
      <c r="M4185" s="111"/>
      <c r="N4185" s="73"/>
      <c r="O4185" s="73"/>
      <c r="P4185" s="73"/>
      <c r="Q4185" s="73"/>
      <c r="R4185" s="111"/>
      <c r="S4185" s="75"/>
      <c r="T4185" s="73"/>
      <c r="X4185" s="189"/>
      <c r="Y4185" s="189"/>
      <c r="Z4185" s="100"/>
      <c r="AC4185" s="84"/>
      <c r="AD4185" s="189"/>
      <c r="AE4185" s="189"/>
      <c r="AF4185" s="189"/>
      <c r="AG4185" s="189"/>
      <c r="AH4185" s="189"/>
      <c r="AP4185" s="238"/>
    </row>
    <row r="4186" spans="3:42" s="45" customFormat="1" x14ac:dyDescent="0.2">
      <c r="C4186" s="189"/>
      <c r="F4186" s="73"/>
      <c r="M4186" s="111"/>
      <c r="N4186" s="73"/>
      <c r="O4186" s="73"/>
      <c r="P4186" s="73"/>
      <c r="Q4186" s="73"/>
      <c r="R4186" s="111"/>
      <c r="S4186" s="75"/>
      <c r="T4186" s="73"/>
      <c r="X4186" s="189"/>
      <c r="Y4186" s="189"/>
      <c r="Z4186" s="100"/>
      <c r="AC4186" s="84"/>
      <c r="AD4186" s="189"/>
      <c r="AE4186" s="189"/>
      <c r="AF4186" s="189"/>
      <c r="AG4186" s="189"/>
      <c r="AH4186" s="189"/>
      <c r="AP4186" s="238"/>
    </row>
    <row r="4187" spans="3:42" s="45" customFormat="1" x14ac:dyDescent="0.2">
      <c r="C4187" s="189"/>
      <c r="F4187" s="73"/>
      <c r="M4187" s="111"/>
      <c r="N4187" s="73"/>
      <c r="O4187" s="73"/>
      <c r="P4187" s="73"/>
      <c r="Q4187" s="73"/>
      <c r="R4187" s="111"/>
      <c r="S4187" s="75"/>
      <c r="T4187" s="73"/>
      <c r="X4187" s="189"/>
      <c r="Y4187" s="189"/>
      <c r="Z4187" s="100"/>
      <c r="AC4187" s="84"/>
      <c r="AD4187" s="189"/>
      <c r="AE4187" s="189"/>
      <c r="AF4187" s="189"/>
      <c r="AG4187" s="189"/>
      <c r="AH4187" s="189"/>
      <c r="AP4187" s="238"/>
    </row>
    <row r="4188" spans="3:42" s="45" customFormat="1" x14ac:dyDescent="0.2">
      <c r="C4188" s="189"/>
      <c r="F4188" s="73"/>
      <c r="M4188" s="111"/>
      <c r="N4188" s="73"/>
      <c r="O4188" s="73"/>
      <c r="P4188" s="73"/>
      <c r="Q4188" s="73"/>
      <c r="R4188" s="111"/>
      <c r="S4188" s="75"/>
      <c r="T4188" s="73"/>
      <c r="X4188" s="189"/>
      <c r="Y4188" s="189"/>
      <c r="Z4188" s="100"/>
      <c r="AC4188" s="84"/>
      <c r="AD4188" s="189"/>
      <c r="AE4188" s="189"/>
      <c r="AF4188" s="189"/>
      <c r="AG4188" s="189"/>
      <c r="AH4188" s="189"/>
      <c r="AP4188" s="238"/>
    </row>
    <row r="4189" spans="3:42" s="45" customFormat="1" x14ac:dyDescent="0.2">
      <c r="C4189" s="189"/>
      <c r="F4189" s="73"/>
      <c r="M4189" s="111"/>
      <c r="N4189" s="73"/>
      <c r="O4189" s="73"/>
      <c r="P4189" s="73"/>
      <c r="Q4189" s="73"/>
      <c r="R4189" s="111"/>
      <c r="S4189" s="75"/>
      <c r="T4189" s="73"/>
      <c r="X4189" s="189"/>
      <c r="Y4189" s="189"/>
      <c r="Z4189" s="100"/>
      <c r="AC4189" s="84"/>
      <c r="AD4189" s="189"/>
      <c r="AE4189" s="189"/>
      <c r="AF4189" s="189"/>
      <c r="AG4189" s="189"/>
      <c r="AH4189" s="189"/>
      <c r="AP4189" s="238"/>
    </row>
    <row r="4190" spans="3:42" s="45" customFormat="1" x14ac:dyDescent="0.2">
      <c r="C4190" s="189"/>
      <c r="F4190" s="73"/>
      <c r="M4190" s="111"/>
      <c r="N4190" s="73"/>
      <c r="O4190" s="73"/>
      <c r="P4190" s="73"/>
      <c r="Q4190" s="73"/>
      <c r="R4190" s="111"/>
      <c r="S4190" s="75"/>
      <c r="T4190" s="73"/>
      <c r="X4190" s="189"/>
      <c r="Y4190" s="189"/>
      <c r="Z4190" s="100"/>
      <c r="AC4190" s="84"/>
      <c r="AD4190" s="189"/>
      <c r="AE4190" s="189"/>
      <c r="AF4190" s="189"/>
      <c r="AG4190" s="189"/>
      <c r="AH4190" s="189"/>
      <c r="AP4190" s="238"/>
    </row>
    <row r="4191" spans="3:42" s="45" customFormat="1" x14ac:dyDescent="0.2">
      <c r="C4191" s="189"/>
      <c r="F4191" s="73"/>
      <c r="M4191" s="111"/>
      <c r="N4191" s="73"/>
      <c r="O4191" s="73"/>
      <c r="P4191" s="73"/>
      <c r="Q4191" s="73"/>
      <c r="R4191" s="111"/>
      <c r="S4191" s="75"/>
      <c r="T4191" s="73"/>
      <c r="X4191" s="189"/>
      <c r="Y4191" s="189"/>
      <c r="Z4191" s="100"/>
      <c r="AC4191" s="84"/>
      <c r="AD4191" s="189"/>
      <c r="AE4191" s="189"/>
      <c r="AF4191" s="189"/>
      <c r="AG4191" s="189"/>
      <c r="AH4191" s="189"/>
      <c r="AP4191" s="238"/>
    </row>
    <row r="4192" spans="3:42" s="45" customFormat="1" x14ac:dyDescent="0.2">
      <c r="C4192" s="189"/>
      <c r="F4192" s="73"/>
      <c r="M4192" s="111"/>
      <c r="N4192" s="73"/>
      <c r="O4192" s="73"/>
      <c r="P4192" s="73"/>
      <c r="Q4192" s="73"/>
      <c r="R4192" s="111"/>
      <c r="S4192" s="75"/>
      <c r="T4192" s="73"/>
      <c r="X4192" s="189"/>
      <c r="Y4192" s="189"/>
      <c r="Z4192" s="100"/>
      <c r="AC4192" s="84"/>
      <c r="AD4192" s="189"/>
      <c r="AE4192" s="189"/>
      <c r="AF4192" s="189"/>
      <c r="AG4192" s="189"/>
      <c r="AH4192" s="189"/>
      <c r="AP4192" s="238"/>
    </row>
    <row r="4193" spans="3:42" s="45" customFormat="1" x14ac:dyDescent="0.2">
      <c r="C4193" s="189"/>
      <c r="F4193" s="73"/>
      <c r="M4193" s="111"/>
      <c r="N4193" s="73"/>
      <c r="O4193" s="73"/>
      <c r="P4193" s="73"/>
      <c r="Q4193" s="73"/>
      <c r="R4193" s="111"/>
      <c r="S4193" s="75"/>
      <c r="T4193" s="73"/>
      <c r="X4193" s="189"/>
      <c r="Y4193" s="189"/>
      <c r="Z4193" s="100"/>
      <c r="AC4193" s="84"/>
      <c r="AD4193" s="189"/>
      <c r="AE4193" s="189"/>
      <c r="AF4193" s="189"/>
      <c r="AG4193" s="189"/>
      <c r="AH4193" s="189"/>
      <c r="AP4193" s="238"/>
    </row>
    <row r="4194" spans="3:42" s="45" customFormat="1" x14ac:dyDescent="0.2">
      <c r="C4194" s="189"/>
      <c r="F4194" s="73"/>
      <c r="M4194" s="111"/>
      <c r="N4194" s="73"/>
      <c r="O4194" s="73"/>
      <c r="P4194" s="73"/>
      <c r="Q4194" s="73"/>
      <c r="R4194" s="111"/>
      <c r="S4194" s="75"/>
      <c r="T4194" s="73"/>
      <c r="X4194" s="189"/>
      <c r="Y4194" s="189"/>
      <c r="Z4194" s="100"/>
      <c r="AC4194" s="84"/>
      <c r="AD4194" s="189"/>
      <c r="AE4194" s="189"/>
      <c r="AF4194" s="189"/>
      <c r="AG4194" s="189"/>
      <c r="AH4194" s="189"/>
      <c r="AP4194" s="238"/>
    </row>
    <row r="4195" spans="3:42" s="45" customFormat="1" x14ac:dyDescent="0.2">
      <c r="C4195" s="189"/>
      <c r="F4195" s="73"/>
      <c r="M4195" s="111"/>
      <c r="N4195" s="73"/>
      <c r="O4195" s="73"/>
      <c r="P4195" s="73"/>
      <c r="Q4195" s="73"/>
      <c r="R4195" s="111"/>
      <c r="S4195" s="75"/>
      <c r="T4195" s="73"/>
      <c r="X4195" s="189"/>
      <c r="Y4195" s="189"/>
      <c r="Z4195" s="100"/>
      <c r="AC4195" s="84"/>
      <c r="AD4195" s="189"/>
      <c r="AE4195" s="189"/>
      <c r="AF4195" s="189"/>
      <c r="AG4195" s="189"/>
      <c r="AH4195" s="189"/>
      <c r="AP4195" s="238"/>
    </row>
    <row r="4196" spans="3:42" s="45" customFormat="1" x14ac:dyDescent="0.2">
      <c r="C4196" s="189"/>
      <c r="F4196" s="73"/>
      <c r="M4196" s="111"/>
      <c r="N4196" s="73"/>
      <c r="O4196" s="73"/>
      <c r="P4196" s="73"/>
      <c r="Q4196" s="73"/>
      <c r="R4196" s="111"/>
      <c r="S4196" s="75"/>
      <c r="T4196" s="73"/>
      <c r="X4196" s="189"/>
      <c r="Y4196" s="189"/>
      <c r="Z4196" s="100"/>
      <c r="AC4196" s="84"/>
      <c r="AD4196" s="189"/>
      <c r="AE4196" s="189"/>
      <c r="AF4196" s="189"/>
      <c r="AG4196" s="189"/>
      <c r="AH4196" s="189"/>
      <c r="AP4196" s="238"/>
    </row>
    <row r="4197" spans="3:42" s="45" customFormat="1" x14ac:dyDescent="0.2">
      <c r="C4197" s="189"/>
      <c r="F4197" s="73"/>
      <c r="M4197" s="111"/>
      <c r="N4197" s="73"/>
      <c r="O4197" s="73"/>
      <c r="P4197" s="73"/>
      <c r="Q4197" s="73"/>
      <c r="R4197" s="111"/>
      <c r="S4197" s="75"/>
      <c r="T4197" s="73"/>
      <c r="X4197" s="189"/>
      <c r="Y4197" s="189"/>
      <c r="Z4197" s="100"/>
      <c r="AC4197" s="84"/>
      <c r="AD4197" s="189"/>
      <c r="AE4197" s="189"/>
      <c r="AF4197" s="189"/>
      <c r="AG4197" s="189"/>
      <c r="AH4197" s="189"/>
      <c r="AP4197" s="238"/>
    </row>
    <row r="4198" spans="3:42" s="45" customFormat="1" x14ac:dyDescent="0.2">
      <c r="C4198" s="189"/>
      <c r="F4198" s="73"/>
      <c r="M4198" s="111"/>
      <c r="N4198" s="73"/>
      <c r="O4198" s="73"/>
      <c r="P4198" s="73"/>
      <c r="Q4198" s="73"/>
      <c r="R4198" s="111"/>
      <c r="S4198" s="75"/>
      <c r="T4198" s="73"/>
      <c r="X4198" s="189"/>
      <c r="Y4198" s="189"/>
      <c r="Z4198" s="100"/>
      <c r="AC4198" s="84"/>
      <c r="AD4198" s="189"/>
      <c r="AE4198" s="189"/>
      <c r="AF4198" s="189"/>
      <c r="AG4198" s="189"/>
      <c r="AH4198" s="189"/>
      <c r="AP4198" s="238"/>
    </row>
    <row r="4199" spans="3:42" s="45" customFormat="1" x14ac:dyDescent="0.2">
      <c r="C4199" s="189"/>
      <c r="F4199" s="73"/>
      <c r="M4199" s="111"/>
      <c r="N4199" s="73"/>
      <c r="O4199" s="73"/>
      <c r="P4199" s="73"/>
      <c r="Q4199" s="73"/>
      <c r="R4199" s="111"/>
      <c r="S4199" s="75"/>
      <c r="T4199" s="73"/>
      <c r="X4199" s="189"/>
      <c r="Y4199" s="189"/>
      <c r="Z4199" s="100"/>
      <c r="AC4199" s="84"/>
      <c r="AD4199" s="189"/>
      <c r="AE4199" s="189"/>
      <c r="AF4199" s="189"/>
      <c r="AG4199" s="189"/>
      <c r="AH4199" s="189"/>
      <c r="AP4199" s="238"/>
    </row>
    <row r="4200" spans="3:42" s="45" customFormat="1" x14ac:dyDescent="0.2">
      <c r="C4200" s="189"/>
      <c r="F4200" s="73"/>
      <c r="M4200" s="111"/>
      <c r="N4200" s="73"/>
      <c r="O4200" s="73"/>
      <c r="P4200" s="73"/>
      <c r="Q4200" s="73"/>
      <c r="R4200" s="111"/>
      <c r="S4200" s="75"/>
      <c r="T4200" s="73"/>
      <c r="X4200" s="189"/>
      <c r="Y4200" s="189"/>
      <c r="Z4200" s="100"/>
      <c r="AC4200" s="84"/>
      <c r="AD4200" s="189"/>
      <c r="AE4200" s="189"/>
      <c r="AF4200" s="189"/>
      <c r="AG4200" s="189"/>
      <c r="AH4200" s="189"/>
      <c r="AP4200" s="238"/>
    </row>
    <row r="4201" spans="3:42" s="45" customFormat="1" x14ac:dyDescent="0.2">
      <c r="C4201" s="189"/>
      <c r="F4201" s="73"/>
      <c r="M4201" s="111"/>
      <c r="N4201" s="73"/>
      <c r="O4201" s="73"/>
      <c r="P4201" s="73"/>
      <c r="Q4201" s="73"/>
      <c r="R4201" s="111"/>
      <c r="S4201" s="75"/>
      <c r="T4201" s="73"/>
      <c r="X4201" s="189"/>
      <c r="Y4201" s="189"/>
      <c r="Z4201" s="100"/>
      <c r="AC4201" s="84"/>
      <c r="AD4201" s="189"/>
      <c r="AE4201" s="189"/>
      <c r="AF4201" s="189"/>
      <c r="AG4201" s="189"/>
      <c r="AH4201" s="189"/>
      <c r="AP4201" s="238"/>
    </row>
    <row r="4202" spans="3:42" s="45" customFormat="1" x14ac:dyDescent="0.2">
      <c r="C4202" s="189"/>
      <c r="F4202" s="73"/>
      <c r="M4202" s="111"/>
      <c r="N4202" s="73"/>
      <c r="O4202" s="73"/>
      <c r="P4202" s="73"/>
      <c r="Q4202" s="73"/>
      <c r="R4202" s="111"/>
      <c r="S4202" s="75"/>
      <c r="T4202" s="73"/>
      <c r="X4202" s="189"/>
      <c r="Y4202" s="189"/>
      <c r="Z4202" s="100"/>
      <c r="AC4202" s="84"/>
      <c r="AD4202" s="189"/>
      <c r="AE4202" s="189"/>
      <c r="AF4202" s="189"/>
      <c r="AG4202" s="189"/>
      <c r="AH4202" s="189"/>
      <c r="AP4202" s="238"/>
    </row>
    <row r="4203" spans="3:42" s="45" customFormat="1" x14ac:dyDescent="0.2">
      <c r="C4203" s="189"/>
      <c r="F4203" s="73"/>
      <c r="M4203" s="111"/>
      <c r="N4203" s="73"/>
      <c r="O4203" s="73"/>
      <c r="P4203" s="73"/>
      <c r="Q4203" s="73"/>
      <c r="R4203" s="111"/>
      <c r="S4203" s="75"/>
      <c r="T4203" s="73"/>
      <c r="X4203" s="189"/>
      <c r="Y4203" s="189"/>
      <c r="Z4203" s="100"/>
      <c r="AC4203" s="84"/>
      <c r="AD4203" s="189"/>
      <c r="AE4203" s="189"/>
      <c r="AF4203" s="189"/>
      <c r="AG4203" s="189"/>
      <c r="AH4203" s="189"/>
      <c r="AP4203" s="238"/>
    </row>
    <row r="4204" spans="3:42" s="45" customFormat="1" x14ac:dyDescent="0.2">
      <c r="C4204" s="189"/>
      <c r="F4204" s="73"/>
      <c r="M4204" s="111"/>
      <c r="N4204" s="73"/>
      <c r="O4204" s="73"/>
      <c r="P4204" s="73"/>
      <c r="Q4204" s="73"/>
      <c r="R4204" s="111"/>
      <c r="S4204" s="75"/>
      <c r="T4204" s="73"/>
      <c r="X4204" s="189"/>
      <c r="Y4204" s="189"/>
      <c r="Z4204" s="100"/>
      <c r="AC4204" s="84"/>
      <c r="AD4204" s="189"/>
      <c r="AE4204" s="189"/>
      <c r="AF4204" s="189"/>
      <c r="AG4204" s="189"/>
      <c r="AH4204" s="189"/>
      <c r="AP4204" s="238"/>
    </row>
    <row r="4205" spans="3:42" s="45" customFormat="1" x14ac:dyDescent="0.2">
      <c r="C4205" s="189"/>
      <c r="F4205" s="73"/>
      <c r="M4205" s="111"/>
      <c r="N4205" s="73"/>
      <c r="O4205" s="73"/>
      <c r="P4205" s="73"/>
      <c r="Q4205" s="73"/>
      <c r="R4205" s="111"/>
      <c r="S4205" s="75"/>
      <c r="T4205" s="73"/>
      <c r="X4205" s="189"/>
      <c r="Y4205" s="189"/>
      <c r="Z4205" s="100"/>
      <c r="AC4205" s="84"/>
      <c r="AD4205" s="189"/>
      <c r="AE4205" s="189"/>
      <c r="AF4205" s="189"/>
      <c r="AG4205" s="189"/>
      <c r="AH4205" s="189"/>
      <c r="AP4205" s="238"/>
    </row>
    <row r="4206" spans="3:42" s="45" customFormat="1" x14ac:dyDescent="0.2">
      <c r="C4206" s="189"/>
      <c r="F4206" s="73"/>
      <c r="M4206" s="111"/>
      <c r="N4206" s="73"/>
      <c r="O4206" s="73"/>
      <c r="P4206" s="73"/>
      <c r="Q4206" s="73"/>
      <c r="R4206" s="111"/>
      <c r="S4206" s="75"/>
      <c r="T4206" s="73"/>
      <c r="X4206" s="189"/>
      <c r="Y4206" s="189"/>
      <c r="Z4206" s="100"/>
      <c r="AC4206" s="84"/>
      <c r="AD4206" s="189"/>
      <c r="AE4206" s="189"/>
      <c r="AF4206" s="189"/>
      <c r="AG4206" s="189"/>
      <c r="AH4206" s="189"/>
      <c r="AP4206" s="238"/>
    </row>
    <row r="4207" spans="3:42" s="45" customFormat="1" x14ac:dyDescent="0.2">
      <c r="C4207" s="189"/>
      <c r="F4207" s="73"/>
      <c r="M4207" s="111"/>
      <c r="N4207" s="73"/>
      <c r="O4207" s="73"/>
      <c r="P4207" s="73"/>
      <c r="Q4207" s="73"/>
      <c r="R4207" s="111"/>
      <c r="S4207" s="75"/>
      <c r="T4207" s="73"/>
      <c r="X4207" s="189"/>
      <c r="Y4207" s="189"/>
      <c r="Z4207" s="100"/>
      <c r="AC4207" s="84"/>
      <c r="AD4207" s="189"/>
      <c r="AE4207" s="189"/>
      <c r="AF4207" s="189"/>
      <c r="AG4207" s="189"/>
      <c r="AH4207" s="189"/>
      <c r="AP4207" s="238"/>
    </row>
    <row r="4208" spans="3:42" s="45" customFormat="1" x14ac:dyDescent="0.2">
      <c r="C4208" s="189"/>
      <c r="F4208" s="73"/>
      <c r="M4208" s="111"/>
      <c r="N4208" s="73"/>
      <c r="O4208" s="73"/>
      <c r="P4208" s="73"/>
      <c r="Q4208" s="73"/>
      <c r="R4208" s="111"/>
      <c r="S4208" s="75"/>
      <c r="T4208" s="73"/>
      <c r="X4208" s="189"/>
      <c r="Y4208" s="189"/>
      <c r="Z4208" s="100"/>
      <c r="AC4208" s="84"/>
      <c r="AD4208" s="189"/>
      <c r="AE4208" s="189"/>
      <c r="AF4208" s="189"/>
      <c r="AG4208" s="189"/>
      <c r="AH4208" s="189"/>
      <c r="AP4208" s="238"/>
    </row>
    <row r="4209" spans="3:42" s="45" customFormat="1" x14ac:dyDescent="0.2">
      <c r="C4209" s="189"/>
      <c r="F4209" s="73"/>
      <c r="M4209" s="111"/>
      <c r="N4209" s="73"/>
      <c r="O4209" s="73"/>
      <c r="P4209" s="73"/>
      <c r="Q4209" s="73"/>
      <c r="R4209" s="111"/>
      <c r="S4209" s="75"/>
      <c r="T4209" s="73"/>
      <c r="X4209" s="189"/>
      <c r="Y4209" s="189"/>
      <c r="Z4209" s="100"/>
      <c r="AC4209" s="84"/>
      <c r="AD4209" s="189"/>
      <c r="AE4209" s="189"/>
      <c r="AF4209" s="189"/>
      <c r="AG4209" s="189"/>
      <c r="AH4209" s="189"/>
      <c r="AP4209" s="238"/>
    </row>
    <row r="4210" spans="3:42" s="45" customFormat="1" x14ac:dyDescent="0.2">
      <c r="C4210" s="189"/>
      <c r="F4210" s="73"/>
      <c r="M4210" s="111"/>
      <c r="N4210" s="73"/>
      <c r="O4210" s="73"/>
      <c r="P4210" s="73"/>
      <c r="Q4210" s="73"/>
      <c r="R4210" s="111"/>
      <c r="S4210" s="75"/>
      <c r="T4210" s="73"/>
      <c r="X4210" s="189"/>
      <c r="Y4210" s="189"/>
      <c r="Z4210" s="100"/>
      <c r="AC4210" s="84"/>
      <c r="AD4210" s="189"/>
      <c r="AE4210" s="189"/>
      <c r="AF4210" s="189"/>
      <c r="AG4210" s="189"/>
      <c r="AH4210" s="189"/>
      <c r="AP4210" s="238"/>
    </row>
    <row r="4211" spans="3:42" s="45" customFormat="1" x14ac:dyDescent="0.2">
      <c r="C4211" s="189"/>
      <c r="F4211" s="73"/>
      <c r="M4211" s="111"/>
      <c r="N4211" s="73"/>
      <c r="O4211" s="73"/>
      <c r="P4211" s="73"/>
      <c r="Q4211" s="73"/>
      <c r="R4211" s="111"/>
      <c r="S4211" s="75"/>
      <c r="T4211" s="73"/>
      <c r="X4211" s="189"/>
      <c r="Y4211" s="189"/>
      <c r="Z4211" s="100"/>
      <c r="AC4211" s="84"/>
      <c r="AD4211" s="189"/>
      <c r="AE4211" s="189"/>
      <c r="AF4211" s="189"/>
      <c r="AG4211" s="189"/>
      <c r="AH4211" s="189"/>
      <c r="AP4211" s="238"/>
    </row>
    <row r="4212" spans="3:42" s="45" customFormat="1" x14ac:dyDescent="0.2">
      <c r="C4212" s="189"/>
      <c r="F4212" s="73"/>
      <c r="M4212" s="111"/>
      <c r="N4212" s="73"/>
      <c r="O4212" s="73"/>
      <c r="P4212" s="73"/>
      <c r="Q4212" s="73"/>
      <c r="R4212" s="111"/>
      <c r="S4212" s="75"/>
      <c r="T4212" s="73"/>
      <c r="X4212" s="189"/>
      <c r="Y4212" s="189"/>
      <c r="Z4212" s="100"/>
      <c r="AC4212" s="84"/>
      <c r="AD4212" s="189"/>
      <c r="AE4212" s="189"/>
      <c r="AF4212" s="189"/>
      <c r="AG4212" s="189"/>
      <c r="AH4212" s="189"/>
      <c r="AP4212" s="238"/>
    </row>
    <row r="4213" spans="3:42" s="45" customFormat="1" x14ac:dyDescent="0.2">
      <c r="C4213" s="189"/>
      <c r="F4213" s="73"/>
      <c r="M4213" s="111"/>
      <c r="N4213" s="73"/>
      <c r="O4213" s="73"/>
      <c r="P4213" s="73"/>
      <c r="Q4213" s="73"/>
      <c r="R4213" s="111"/>
      <c r="S4213" s="75"/>
      <c r="T4213" s="73"/>
      <c r="X4213" s="189"/>
      <c r="Y4213" s="189"/>
      <c r="Z4213" s="100"/>
      <c r="AC4213" s="84"/>
      <c r="AD4213" s="189"/>
      <c r="AE4213" s="189"/>
      <c r="AF4213" s="189"/>
      <c r="AG4213" s="189"/>
      <c r="AH4213" s="189"/>
      <c r="AP4213" s="238"/>
    </row>
    <row r="4214" spans="3:42" s="45" customFormat="1" x14ac:dyDescent="0.2">
      <c r="C4214" s="189"/>
      <c r="F4214" s="73"/>
      <c r="M4214" s="111"/>
      <c r="N4214" s="73"/>
      <c r="O4214" s="73"/>
      <c r="P4214" s="73"/>
      <c r="Q4214" s="73"/>
      <c r="R4214" s="111"/>
      <c r="S4214" s="75"/>
      <c r="T4214" s="73"/>
      <c r="X4214" s="189"/>
      <c r="Y4214" s="189"/>
      <c r="Z4214" s="100"/>
      <c r="AC4214" s="84"/>
      <c r="AD4214" s="189"/>
      <c r="AE4214" s="189"/>
      <c r="AF4214" s="189"/>
      <c r="AG4214" s="189"/>
      <c r="AH4214" s="189"/>
      <c r="AP4214" s="238"/>
    </row>
    <row r="4215" spans="3:42" s="45" customFormat="1" x14ac:dyDescent="0.2">
      <c r="C4215" s="189"/>
      <c r="F4215" s="73"/>
      <c r="M4215" s="111"/>
      <c r="N4215" s="73"/>
      <c r="O4215" s="73"/>
      <c r="P4215" s="73"/>
      <c r="Q4215" s="73"/>
      <c r="R4215" s="111"/>
      <c r="S4215" s="75"/>
      <c r="T4215" s="73"/>
      <c r="X4215" s="189"/>
      <c r="Y4215" s="189"/>
      <c r="Z4215" s="100"/>
      <c r="AC4215" s="84"/>
      <c r="AD4215" s="189"/>
      <c r="AE4215" s="189"/>
      <c r="AF4215" s="189"/>
      <c r="AG4215" s="189"/>
      <c r="AH4215" s="189"/>
      <c r="AP4215" s="238"/>
    </row>
    <row r="4216" spans="3:42" s="45" customFormat="1" x14ac:dyDescent="0.2">
      <c r="C4216" s="189"/>
      <c r="F4216" s="73"/>
      <c r="M4216" s="111"/>
      <c r="N4216" s="73"/>
      <c r="O4216" s="73"/>
      <c r="P4216" s="73"/>
      <c r="Q4216" s="73"/>
      <c r="R4216" s="111"/>
      <c r="S4216" s="75"/>
      <c r="T4216" s="73"/>
      <c r="X4216" s="189"/>
      <c r="Y4216" s="189"/>
      <c r="Z4216" s="100"/>
      <c r="AC4216" s="84"/>
      <c r="AD4216" s="189"/>
      <c r="AE4216" s="189"/>
      <c r="AF4216" s="189"/>
      <c r="AG4216" s="189"/>
      <c r="AH4216" s="189"/>
      <c r="AP4216" s="238"/>
    </row>
    <row r="4217" spans="3:42" s="45" customFormat="1" x14ac:dyDescent="0.2">
      <c r="C4217" s="189"/>
      <c r="F4217" s="73"/>
      <c r="M4217" s="111"/>
      <c r="N4217" s="73"/>
      <c r="O4217" s="73"/>
      <c r="P4217" s="73"/>
      <c r="Q4217" s="73"/>
      <c r="R4217" s="111"/>
      <c r="S4217" s="75"/>
      <c r="T4217" s="73"/>
      <c r="X4217" s="189"/>
      <c r="Y4217" s="189"/>
      <c r="Z4217" s="100"/>
      <c r="AC4217" s="84"/>
      <c r="AD4217" s="189"/>
      <c r="AE4217" s="189"/>
      <c r="AF4217" s="189"/>
      <c r="AG4217" s="189"/>
      <c r="AH4217" s="189"/>
      <c r="AP4217" s="238"/>
    </row>
    <row r="4218" spans="3:42" s="45" customFormat="1" x14ac:dyDescent="0.2">
      <c r="C4218" s="189"/>
      <c r="F4218" s="73"/>
      <c r="M4218" s="111"/>
      <c r="N4218" s="73"/>
      <c r="O4218" s="73"/>
      <c r="P4218" s="73"/>
      <c r="Q4218" s="73"/>
      <c r="R4218" s="111"/>
      <c r="S4218" s="75"/>
      <c r="T4218" s="73"/>
      <c r="X4218" s="189"/>
      <c r="Y4218" s="189"/>
      <c r="Z4218" s="100"/>
      <c r="AC4218" s="84"/>
      <c r="AD4218" s="189"/>
      <c r="AE4218" s="189"/>
      <c r="AF4218" s="189"/>
      <c r="AG4218" s="189"/>
      <c r="AH4218" s="189"/>
      <c r="AP4218" s="238"/>
    </row>
    <row r="4219" spans="3:42" s="45" customFormat="1" x14ac:dyDescent="0.2">
      <c r="C4219" s="189"/>
      <c r="F4219" s="73"/>
      <c r="M4219" s="111"/>
      <c r="N4219" s="73"/>
      <c r="O4219" s="73"/>
      <c r="P4219" s="73"/>
      <c r="Q4219" s="73"/>
      <c r="R4219" s="111"/>
      <c r="S4219" s="75"/>
      <c r="T4219" s="73"/>
      <c r="X4219" s="189"/>
      <c r="Y4219" s="189"/>
      <c r="Z4219" s="100"/>
      <c r="AC4219" s="84"/>
      <c r="AD4219" s="189"/>
      <c r="AE4219" s="189"/>
      <c r="AF4219" s="189"/>
      <c r="AG4219" s="189"/>
      <c r="AH4219" s="189"/>
      <c r="AP4219" s="238"/>
    </row>
    <row r="4220" spans="3:42" s="45" customFormat="1" x14ac:dyDescent="0.2">
      <c r="C4220" s="189"/>
      <c r="F4220" s="73"/>
      <c r="M4220" s="111"/>
      <c r="N4220" s="73"/>
      <c r="O4220" s="73"/>
      <c r="P4220" s="73"/>
      <c r="Q4220" s="73"/>
      <c r="R4220" s="111"/>
      <c r="S4220" s="75"/>
      <c r="T4220" s="73"/>
      <c r="X4220" s="189"/>
      <c r="Y4220" s="189"/>
      <c r="Z4220" s="100"/>
      <c r="AC4220" s="84"/>
      <c r="AD4220" s="189"/>
      <c r="AE4220" s="189"/>
      <c r="AF4220" s="189"/>
      <c r="AG4220" s="189"/>
      <c r="AH4220" s="189"/>
      <c r="AP4220" s="238"/>
    </row>
    <row r="4221" spans="3:42" s="45" customFormat="1" x14ac:dyDescent="0.2">
      <c r="C4221" s="189"/>
      <c r="F4221" s="73"/>
      <c r="M4221" s="111"/>
      <c r="N4221" s="73"/>
      <c r="O4221" s="73"/>
      <c r="P4221" s="73"/>
      <c r="Q4221" s="73"/>
      <c r="R4221" s="111"/>
      <c r="S4221" s="75"/>
      <c r="T4221" s="73"/>
      <c r="X4221" s="189"/>
      <c r="Y4221" s="189"/>
      <c r="Z4221" s="100"/>
      <c r="AC4221" s="84"/>
      <c r="AD4221" s="189"/>
      <c r="AE4221" s="189"/>
      <c r="AF4221" s="189"/>
      <c r="AG4221" s="189"/>
      <c r="AH4221" s="189"/>
      <c r="AP4221" s="238"/>
    </row>
    <row r="4222" spans="3:42" s="45" customFormat="1" x14ac:dyDescent="0.2">
      <c r="C4222" s="189"/>
      <c r="F4222" s="73"/>
      <c r="M4222" s="111"/>
      <c r="N4222" s="73"/>
      <c r="O4222" s="73"/>
      <c r="P4222" s="73"/>
      <c r="Q4222" s="73"/>
      <c r="R4222" s="111"/>
      <c r="S4222" s="75"/>
      <c r="T4222" s="73"/>
      <c r="X4222" s="189"/>
      <c r="Y4222" s="189"/>
      <c r="Z4222" s="100"/>
      <c r="AC4222" s="84"/>
      <c r="AD4222" s="189"/>
      <c r="AE4222" s="189"/>
      <c r="AF4222" s="189"/>
      <c r="AG4222" s="189"/>
      <c r="AH4222" s="189"/>
      <c r="AP4222" s="238"/>
    </row>
    <row r="4223" spans="3:42" s="45" customFormat="1" x14ac:dyDescent="0.2">
      <c r="C4223" s="189"/>
      <c r="F4223" s="73"/>
      <c r="M4223" s="111"/>
      <c r="N4223" s="73"/>
      <c r="O4223" s="73"/>
      <c r="P4223" s="73"/>
      <c r="Q4223" s="73"/>
      <c r="R4223" s="111"/>
      <c r="S4223" s="75"/>
      <c r="T4223" s="73"/>
      <c r="X4223" s="189"/>
      <c r="Y4223" s="189"/>
      <c r="Z4223" s="100"/>
      <c r="AC4223" s="84"/>
      <c r="AD4223" s="189"/>
      <c r="AE4223" s="189"/>
      <c r="AF4223" s="189"/>
      <c r="AG4223" s="189"/>
      <c r="AH4223" s="189"/>
      <c r="AP4223" s="238"/>
    </row>
    <row r="4224" spans="3:42" s="45" customFormat="1" x14ac:dyDescent="0.2">
      <c r="C4224" s="189"/>
      <c r="F4224" s="73"/>
      <c r="M4224" s="111"/>
      <c r="N4224" s="73"/>
      <c r="O4224" s="73"/>
      <c r="P4224" s="73"/>
      <c r="Q4224" s="73"/>
      <c r="R4224" s="111"/>
      <c r="S4224" s="75"/>
      <c r="T4224" s="73"/>
      <c r="X4224" s="189"/>
      <c r="Y4224" s="189"/>
      <c r="Z4224" s="100"/>
      <c r="AC4224" s="84"/>
      <c r="AD4224" s="189"/>
      <c r="AE4224" s="189"/>
      <c r="AF4224" s="189"/>
      <c r="AG4224" s="189"/>
      <c r="AH4224" s="189"/>
      <c r="AP4224" s="238"/>
    </row>
    <row r="4225" spans="3:42" s="45" customFormat="1" x14ac:dyDescent="0.2">
      <c r="C4225" s="189"/>
      <c r="F4225" s="73"/>
      <c r="M4225" s="111"/>
      <c r="N4225" s="73"/>
      <c r="O4225" s="73"/>
      <c r="P4225" s="73"/>
      <c r="Q4225" s="73"/>
      <c r="R4225" s="111"/>
      <c r="S4225" s="75"/>
      <c r="T4225" s="73"/>
      <c r="X4225" s="189"/>
      <c r="Y4225" s="189"/>
      <c r="Z4225" s="100"/>
      <c r="AC4225" s="84"/>
      <c r="AD4225" s="189"/>
      <c r="AE4225" s="189"/>
      <c r="AF4225" s="189"/>
      <c r="AG4225" s="189"/>
      <c r="AH4225" s="189"/>
      <c r="AP4225" s="238"/>
    </row>
    <row r="4226" spans="3:42" s="45" customFormat="1" x14ac:dyDescent="0.2">
      <c r="C4226" s="189"/>
      <c r="F4226" s="73"/>
      <c r="M4226" s="111"/>
      <c r="N4226" s="73"/>
      <c r="O4226" s="73"/>
      <c r="P4226" s="73"/>
      <c r="Q4226" s="73"/>
      <c r="R4226" s="111"/>
      <c r="S4226" s="75"/>
      <c r="T4226" s="73"/>
      <c r="X4226" s="189"/>
      <c r="Y4226" s="189"/>
      <c r="Z4226" s="100"/>
      <c r="AC4226" s="84"/>
      <c r="AD4226" s="189"/>
      <c r="AE4226" s="189"/>
      <c r="AF4226" s="189"/>
      <c r="AG4226" s="189"/>
      <c r="AH4226" s="189"/>
      <c r="AP4226" s="238"/>
    </row>
    <row r="4227" spans="3:42" s="45" customFormat="1" x14ac:dyDescent="0.2">
      <c r="C4227" s="189"/>
      <c r="F4227" s="73"/>
      <c r="M4227" s="111"/>
      <c r="N4227" s="73"/>
      <c r="O4227" s="73"/>
      <c r="P4227" s="73"/>
      <c r="Q4227" s="73"/>
      <c r="R4227" s="111"/>
      <c r="S4227" s="75"/>
      <c r="T4227" s="73"/>
      <c r="X4227" s="189"/>
      <c r="Y4227" s="189"/>
      <c r="Z4227" s="100"/>
      <c r="AC4227" s="84"/>
      <c r="AD4227" s="189"/>
      <c r="AE4227" s="189"/>
      <c r="AF4227" s="189"/>
      <c r="AG4227" s="189"/>
      <c r="AH4227" s="189"/>
      <c r="AP4227" s="238"/>
    </row>
    <row r="4228" spans="3:42" s="45" customFormat="1" x14ac:dyDescent="0.2">
      <c r="C4228" s="189"/>
      <c r="F4228" s="73"/>
      <c r="M4228" s="111"/>
      <c r="N4228" s="73"/>
      <c r="O4228" s="73"/>
      <c r="P4228" s="73"/>
      <c r="Q4228" s="73"/>
      <c r="R4228" s="111"/>
      <c r="S4228" s="75"/>
      <c r="T4228" s="73"/>
      <c r="X4228" s="189"/>
      <c r="Y4228" s="189"/>
      <c r="Z4228" s="100"/>
      <c r="AC4228" s="84"/>
      <c r="AD4228" s="189"/>
      <c r="AE4228" s="189"/>
      <c r="AF4228" s="189"/>
      <c r="AG4228" s="189"/>
      <c r="AH4228" s="189"/>
      <c r="AP4228" s="238"/>
    </row>
    <row r="4229" spans="3:42" s="45" customFormat="1" x14ac:dyDescent="0.2">
      <c r="C4229" s="189"/>
      <c r="F4229" s="73"/>
      <c r="M4229" s="111"/>
      <c r="N4229" s="73"/>
      <c r="O4229" s="73"/>
      <c r="P4229" s="73"/>
      <c r="Q4229" s="73"/>
      <c r="R4229" s="111"/>
      <c r="S4229" s="75"/>
      <c r="T4229" s="73"/>
      <c r="X4229" s="189"/>
      <c r="Y4229" s="189"/>
      <c r="Z4229" s="100"/>
      <c r="AC4229" s="84"/>
      <c r="AD4229" s="189"/>
      <c r="AE4229" s="189"/>
      <c r="AF4229" s="189"/>
      <c r="AG4229" s="189"/>
      <c r="AH4229" s="189"/>
      <c r="AP4229" s="238"/>
    </row>
    <row r="4230" spans="3:42" s="45" customFormat="1" x14ac:dyDescent="0.2">
      <c r="C4230" s="189"/>
      <c r="F4230" s="73"/>
      <c r="M4230" s="111"/>
      <c r="N4230" s="73"/>
      <c r="O4230" s="73"/>
      <c r="P4230" s="73"/>
      <c r="Q4230" s="73"/>
      <c r="R4230" s="111"/>
      <c r="S4230" s="75"/>
      <c r="T4230" s="73"/>
      <c r="X4230" s="189"/>
      <c r="Y4230" s="189"/>
      <c r="Z4230" s="100"/>
      <c r="AC4230" s="84"/>
      <c r="AD4230" s="189"/>
      <c r="AE4230" s="189"/>
      <c r="AF4230" s="189"/>
      <c r="AG4230" s="189"/>
      <c r="AH4230" s="189"/>
      <c r="AP4230" s="238"/>
    </row>
    <row r="4231" spans="3:42" s="45" customFormat="1" x14ac:dyDescent="0.2">
      <c r="C4231" s="189"/>
      <c r="F4231" s="73"/>
      <c r="M4231" s="111"/>
      <c r="N4231" s="73"/>
      <c r="O4231" s="73"/>
      <c r="P4231" s="73"/>
      <c r="Q4231" s="73"/>
      <c r="R4231" s="111"/>
      <c r="S4231" s="75"/>
      <c r="T4231" s="73"/>
      <c r="X4231" s="189"/>
      <c r="Y4231" s="189"/>
      <c r="Z4231" s="100"/>
      <c r="AC4231" s="84"/>
      <c r="AD4231" s="189"/>
      <c r="AE4231" s="189"/>
      <c r="AF4231" s="189"/>
      <c r="AG4231" s="189"/>
      <c r="AH4231" s="189"/>
      <c r="AP4231" s="238"/>
    </row>
    <row r="4232" spans="3:42" s="45" customFormat="1" x14ac:dyDescent="0.2">
      <c r="C4232" s="189"/>
      <c r="F4232" s="73"/>
      <c r="M4232" s="111"/>
      <c r="N4232" s="73"/>
      <c r="O4232" s="73"/>
      <c r="P4232" s="73"/>
      <c r="Q4232" s="73"/>
      <c r="R4232" s="111"/>
      <c r="S4232" s="75"/>
      <c r="T4232" s="73"/>
      <c r="X4232" s="189"/>
      <c r="Y4232" s="189"/>
      <c r="Z4232" s="100"/>
      <c r="AC4232" s="84"/>
      <c r="AD4232" s="189"/>
      <c r="AE4232" s="189"/>
      <c r="AF4232" s="189"/>
      <c r="AG4232" s="189"/>
      <c r="AH4232" s="189"/>
      <c r="AP4232" s="238"/>
    </row>
    <row r="4233" spans="3:42" s="45" customFormat="1" x14ac:dyDescent="0.2">
      <c r="C4233" s="189"/>
      <c r="F4233" s="73"/>
      <c r="M4233" s="111"/>
      <c r="N4233" s="73"/>
      <c r="O4233" s="73"/>
      <c r="P4233" s="73"/>
      <c r="Q4233" s="73"/>
      <c r="R4233" s="111"/>
      <c r="S4233" s="75"/>
      <c r="T4233" s="73"/>
      <c r="X4233" s="189"/>
      <c r="Y4233" s="189"/>
      <c r="Z4233" s="100"/>
      <c r="AC4233" s="84"/>
      <c r="AD4233" s="189"/>
      <c r="AE4233" s="189"/>
      <c r="AF4233" s="189"/>
      <c r="AG4233" s="189"/>
      <c r="AH4233" s="189"/>
      <c r="AP4233" s="238"/>
    </row>
    <row r="4234" spans="3:42" s="45" customFormat="1" x14ac:dyDescent="0.2">
      <c r="C4234" s="189"/>
      <c r="F4234" s="73"/>
      <c r="M4234" s="111"/>
      <c r="N4234" s="73"/>
      <c r="O4234" s="73"/>
      <c r="P4234" s="73"/>
      <c r="Q4234" s="73"/>
      <c r="R4234" s="111"/>
      <c r="S4234" s="75"/>
      <c r="T4234" s="73"/>
      <c r="X4234" s="189"/>
      <c r="Y4234" s="189"/>
      <c r="Z4234" s="100"/>
      <c r="AC4234" s="84"/>
      <c r="AD4234" s="189"/>
      <c r="AE4234" s="189"/>
      <c r="AF4234" s="189"/>
      <c r="AG4234" s="189"/>
      <c r="AH4234" s="189"/>
      <c r="AP4234" s="238"/>
    </row>
    <row r="4235" spans="3:42" s="45" customFormat="1" x14ac:dyDescent="0.2">
      <c r="C4235" s="189"/>
      <c r="F4235" s="73"/>
      <c r="M4235" s="111"/>
      <c r="N4235" s="73"/>
      <c r="O4235" s="73"/>
      <c r="P4235" s="73"/>
      <c r="Q4235" s="73"/>
      <c r="R4235" s="111"/>
      <c r="S4235" s="75"/>
      <c r="T4235" s="73"/>
      <c r="X4235" s="189"/>
      <c r="Y4235" s="189"/>
      <c r="Z4235" s="100"/>
      <c r="AC4235" s="84"/>
      <c r="AD4235" s="189"/>
      <c r="AE4235" s="189"/>
      <c r="AF4235" s="189"/>
      <c r="AG4235" s="189"/>
      <c r="AH4235" s="189"/>
      <c r="AP4235" s="238"/>
    </row>
    <row r="4236" spans="3:42" s="45" customFormat="1" x14ac:dyDescent="0.2">
      <c r="C4236" s="189"/>
      <c r="F4236" s="73"/>
      <c r="M4236" s="111"/>
      <c r="N4236" s="73"/>
      <c r="O4236" s="73"/>
      <c r="P4236" s="73"/>
      <c r="Q4236" s="73"/>
      <c r="R4236" s="111"/>
      <c r="S4236" s="75"/>
      <c r="T4236" s="73"/>
      <c r="X4236" s="189"/>
      <c r="Y4236" s="189"/>
      <c r="Z4236" s="100"/>
      <c r="AC4236" s="84"/>
      <c r="AD4236" s="189"/>
      <c r="AE4236" s="189"/>
      <c r="AF4236" s="189"/>
      <c r="AG4236" s="189"/>
      <c r="AH4236" s="189"/>
      <c r="AP4236" s="238"/>
    </row>
    <row r="4237" spans="3:42" s="45" customFormat="1" x14ac:dyDescent="0.2">
      <c r="C4237" s="189"/>
      <c r="F4237" s="73"/>
      <c r="M4237" s="111"/>
      <c r="N4237" s="73"/>
      <c r="O4237" s="73"/>
      <c r="P4237" s="73"/>
      <c r="Q4237" s="73"/>
      <c r="R4237" s="111"/>
      <c r="S4237" s="75"/>
      <c r="T4237" s="73"/>
      <c r="X4237" s="189"/>
      <c r="Y4237" s="189"/>
      <c r="Z4237" s="100"/>
      <c r="AC4237" s="84"/>
      <c r="AD4237" s="189"/>
      <c r="AE4237" s="189"/>
      <c r="AF4237" s="189"/>
      <c r="AG4237" s="189"/>
      <c r="AH4237" s="189"/>
      <c r="AP4237" s="238"/>
    </row>
    <row r="4238" spans="3:42" s="45" customFormat="1" x14ac:dyDescent="0.2">
      <c r="C4238" s="189"/>
      <c r="F4238" s="73"/>
      <c r="M4238" s="111"/>
      <c r="N4238" s="73"/>
      <c r="O4238" s="73"/>
      <c r="P4238" s="73"/>
      <c r="Q4238" s="73"/>
      <c r="R4238" s="111"/>
      <c r="S4238" s="75"/>
      <c r="T4238" s="73"/>
      <c r="X4238" s="189"/>
      <c r="Y4238" s="189"/>
      <c r="Z4238" s="100"/>
      <c r="AC4238" s="84"/>
      <c r="AD4238" s="189"/>
      <c r="AE4238" s="189"/>
      <c r="AF4238" s="189"/>
      <c r="AG4238" s="189"/>
      <c r="AH4238" s="189"/>
      <c r="AP4238" s="238"/>
    </row>
    <row r="4239" spans="3:42" s="45" customFormat="1" x14ac:dyDescent="0.2">
      <c r="C4239" s="189"/>
      <c r="F4239" s="73"/>
      <c r="M4239" s="111"/>
      <c r="N4239" s="73"/>
      <c r="O4239" s="73"/>
      <c r="P4239" s="73"/>
      <c r="Q4239" s="73"/>
      <c r="R4239" s="111"/>
      <c r="S4239" s="75"/>
      <c r="T4239" s="73"/>
      <c r="X4239" s="189"/>
      <c r="Y4239" s="189"/>
      <c r="Z4239" s="100"/>
      <c r="AC4239" s="84"/>
      <c r="AD4239" s="189"/>
      <c r="AE4239" s="189"/>
      <c r="AF4239" s="189"/>
      <c r="AG4239" s="189"/>
      <c r="AH4239" s="189"/>
      <c r="AP4239" s="238"/>
    </row>
    <row r="4240" spans="3:42" s="45" customFormat="1" x14ac:dyDescent="0.2">
      <c r="C4240" s="189"/>
      <c r="F4240" s="73"/>
      <c r="M4240" s="111"/>
      <c r="N4240" s="73"/>
      <c r="O4240" s="73"/>
      <c r="P4240" s="73"/>
      <c r="Q4240" s="73"/>
      <c r="R4240" s="111"/>
      <c r="S4240" s="75"/>
      <c r="T4240" s="73"/>
      <c r="X4240" s="189"/>
      <c r="Y4240" s="189"/>
      <c r="Z4240" s="100"/>
      <c r="AC4240" s="84"/>
      <c r="AD4240" s="189"/>
      <c r="AE4240" s="189"/>
      <c r="AF4240" s="189"/>
      <c r="AG4240" s="189"/>
      <c r="AH4240" s="189"/>
      <c r="AP4240" s="238"/>
    </row>
    <row r="4241" spans="3:42" s="45" customFormat="1" x14ac:dyDescent="0.2">
      <c r="C4241" s="189"/>
      <c r="F4241" s="73"/>
      <c r="M4241" s="111"/>
      <c r="N4241" s="73"/>
      <c r="O4241" s="73"/>
      <c r="P4241" s="73"/>
      <c r="Q4241" s="73"/>
      <c r="R4241" s="111"/>
      <c r="S4241" s="75"/>
      <c r="T4241" s="73"/>
      <c r="X4241" s="189"/>
      <c r="Y4241" s="189"/>
      <c r="Z4241" s="100"/>
      <c r="AC4241" s="84"/>
      <c r="AD4241" s="189"/>
      <c r="AE4241" s="189"/>
      <c r="AF4241" s="189"/>
      <c r="AG4241" s="189"/>
      <c r="AH4241" s="189"/>
      <c r="AP4241" s="238"/>
    </row>
    <row r="4242" spans="3:42" s="45" customFormat="1" x14ac:dyDescent="0.2">
      <c r="C4242" s="189"/>
      <c r="F4242" s="73"/>
      <c r="M4242" s="111"/>
      <c r="N4242" s="73"/>
      <c r="O4242" s="73"/>
      <c r="P4242" s="73"/>
      <c r="Q4242" s="73"/>
      <c r="R4242" s="111"/>
      <c r="S4242" s="75"/>
      <c r="T4242" s="73"/>
      <c r="X4242" s="189"/>
      <c r="Y4242" s="189"/>
      <c r="Z4242" s="100"/>
      <c r="AC4242" s="84"/>
      <c r="AD4242" s="189"/>
      <c r="AE4242" s="189"/>
      <c r="AF4242" s="189"/>
      <c r="AG4242" s="189"/>
      <c r="AH4242" s="189"/>
      <c r="AP4242" s="238"/>
    </row>
    <row r="4243" spans="3:42" s="45" customFormat="1" x14ac:dyDescent="0.2">
      <c r="C4243" s="189"/>
      <c r="F4243" s="73"/>
      <c r="M4243" s="111"/>
      <c r="N4243" s="73"/>
      <c r="O4243" s="73"/>
      <c r="P4243" s="73"/>
      <c r="Q4243" s="73"/>
      <c r="R4243" s="111"/>
      <c r="S4243" s="75"/>
      <c r="T4243" s="73"/>
      <c r="X4243" s="189"/>
      <c r="Y4243" s="189"/>
      <c r="Z4243" s="100"/>
      <c r="AC4243" s="84"/>
      <c r="AD4243" s="189"/>
      <c r="AE4243" s="189"/>
      <c r="AF4243" s="189"/>
      <c r="AG4243" s="189"/>
      <c r="AH4243" s="189"/>
      <c r="AP4243" s="238"/>
    </row>
    <row r="4244" spans="3:42" s="45" customFormat="1" x14ac:dyDescent="0.2">
      <c r="C4244" s="189"/>
      <c r="F4244" s="73"/>
      <c r="M4244" s="111"/>
      <c r="N4244" s="73"/>
      <c r="O4244" s="73"/>
      <c r="P4244" s="73"/>
      <c r="Q4244" s="73"/>
      <c r="R4244" s="111"/>
      <c r="S4244" s="75"/>
      <c r="T4244" s="73"/>
      <c r="X4244" s="189"/>
      <c r="Y4244" s="189"/>
      <c r="Z4244" s="100"/>
      <c r="AC4244" s="84"/>
      <c r="AD4244" s="189"/>
      <c r="AE4244" s="189"/>
      <c r="AF4244" s="189"/>
      <c r="AG4244" s="189"/>
      <c r="AH4244" s="189"/>
      <c r="AP4244" s="238"/>
    </row>
    <row r="4245" spans="3:42" s="45" customFormat="1" x14ac:dyDescent="0.2">
      <c r="C4245" s="189"/>
      <c r="F4245" s="73"/>
      <c r="M4245" s="111"/>
      <c r="N4245" s="73"/>
      <c r="O4245" s="73"/>
      <c r="P4245" s="73"/>
      <c r="Q4245" s="73"/>
      <c r="R4245" s="111"/>
      <c r="S4245" s="75"/>
      <c r="T4245" s="73"/>
      <c r="X4245" s="189"/>
      <c r="Y4245" s="189"/>
      <c r="Z4245" s="100"/>
      <c r="AC4245" s="84"/>
      <c r="AD4245" s="189"/>
      <c r="AE4245" s="189"/>
      <c r="AF4245" s="189"/>
      <c r="AG4245" s="189"/>
      <c r="AH4245" s="189"/>
      <c r="AP4245" s="238"/>
    </row>
    <row r="4246" spans="3:42" s="45" customFormat="1" x14ac:dyDescent="0.2">
      <c r="C4246" s="189"/>
      <c r="F4246" s="73"/>
      <c r="M4246" s="111"/>
      <c r="N4246" s="73"/>
      <c r="O4246" s="73"/>
      <c r="P4246" s="73"/>
      <c r="Q4246" s="73"/>
      <c r="R4246" s="111"/>
      <c r="S4246" s="75"/>
      <c r="T4246" s="73"/>
      <c r="X4246" s="189"/>
      <c r="Y4246" s="189"/>
      <c r="Z4246" s="100"/>
      <c r="AC4246" s="84"/>
      <c r="AD4246" s="189"/>
      <c r="AE4246" s="189"/>
      <c r="AF4246" s="189"/>
      <c r="AG4246" s="189"/>
      <c r="AH4246" s="189"/>
      <c r="AP4246" s="238"/>
    </row>
    <row r="4247" spans="3:42" s="45" customFormat="1" x14ac:dyDescent="0.2">
      <c r="C4247" s="189"/>
      <c r="F4247" s="73"/>
      <c r="M4247" s="111"/>
      <c r="N4247" s="73"/>
      <c r="O4247" s="73"/>
      <c r="P4247" s="73"/>
      <c r="Q4247" s="73"/>
      <c r="R4247" s="111"/>
      <c r="S4247" s="75"/>
      <c r="T4247" s="73"/>
      <c r="X4247" s="189"/>
      <c r="Y4247" s="189"/>
      <c r="Z4247" s="100"/>
      <c r="AC4247" s="84"/>
      <c r="AD4247" s="189"/>
      <c r="AE4247" s="189"/>
      <c r="AF4247" s="189"/>
      <c r="AG4247" s="189"/>
      <c r="AH4247" s="189"/>
      <c r="AP4247" s="238"/>
    </row>
    <row r="4248" spans="3:42" s="45" customFormat="1" x14ac:dyDescent="0.2">
      <c r="C4248" s="189"/>
      <c r="F4248" s="73"/>
      <c r="M4248" s="111"/>
      <c r="N4248" s="73"/>
      <c r="O4248" s="73"/>
      <c r="P4248" s="73"/>
      <c r="Q4248" s="73"/>
      <c r="R4248" s="111"/>
      <c r="S4248" s="75"/>
      <c r="T4248" s="73"/>
      <c r="X4248" s="189"/>
      <c r="Y4248" s="189"/>
      <c r="Z4248" s="100"/>
      <c r="AC4248" s="84"/>
      <c r="AD4248" s="189"/>
      <c r="AE4248" s="189"/>
      <c r="AF4248" s="189"/>
      <c r="AG4248" s="189"/>
      <c r="AH4248" s="189"/>
      <c r="AP4248" s="238"/>
    </row>
    <row r="4249" spans="3:42" s="45" customFormat="1" x14ac:dyDescent="0.2">
      <c r="C4249" s="189"/>
      <c r="F4249" s="73"/>
      <c r="M4249" s="111"/>
      <c r="N4249" s="73"/>
      <c r="O4249" s="73"/>
      <c r="P4249" s="73"/>
      <c r="Q4249" s="73"/>
      <c r="R4249" s="111"/>
      <c r="S4249" s="75"/>
      <c r="T4249" s="73"/>
      <c r="X4249" s="189"/>
      <c r="Y4249" s="189"/>
      <c r="Z4249" s="100"/>
      <c r="AC4249" s="84"/>
      <c r="AD4249" s="189"/>
      <c r="AE4249" s="189"/>
      <c r="AF4249" s="189"/>
      <c r="AG4249" s="189"/>
      <c r="AH4249" s="189"/>
      <c r="AP4249" s="238"/>
    </row>
    <row r="4250" spans="3:42" s="45" customFormat="1" x14ac:dyDescent="0.2">
      <c r="C4250" s="189"/>
      <c r="F4250" s="73"/>
      <c r="M4250" s="111"/>
      <c r="N4250" s="73"/>
      <c r="O4250" s="73"/>
      <c r="P4250" s="73"/>
      <c r="Q4250" s="73"/>
      <c r="R4250" s="111"/>
      <c r="S4250" s="75"/>
      <c r="T4250" s="73"/>
      <c r="X4250" s="189"/>
      <c r="Y4250" s="189"/>
      <c r="Z4250" s="100"/>
      <c r="AC4250" s="84"/>
      <c r="AD4250" s="189"/>
      <c r="AE4250" s="189"/>
      <c r="AF4250" s="189"/>
      <c r="AG4250" s="189"/>
      <c r="AH4250" s="189"/>
      <c r="AP4250" s="238"/>
    </row>
    <row r="4251" spans="3:42" s="45" customFormat="1" x14ac:dyDescent="0.2">
      <c r="C4251" s="189"/>
      <c r="F4251" s="73"/>
      <c r="M4251" s="111"/>
      <c r="N4251" s="73"/>
      <c r="O4251" s="73"/>
      <c r="P4251" s="73"/>
      <c r="Q4251" s="73"/>
      <c r="R4251" s="111"/>
      <c r="S4251" s="75"/>
      <c r="T4251" s="73"/>
      <c r="X4251" s="189"/>
      <c r="Y4251" s="189"/>
      <c r="Z4251" s="100"/>
      <c r="AC4251" s="84"/>
      <c r="AD4251" s="189"/>
      <c r="AE4251" s="189"/>
      <c r="AF4251" s="189"/>
      <c r="AG4251" s="189"/>
      <c r="AH4251" s="189"/>
      <c r="AP4251" s="238"/>
    </row>
    <row r="4252" spans="3:42" s="45" customFormat="1" x14ac:dyDescent="0.2">
      <c r="C4252" s="189"/>
      <c r="F4252" s="73"/>
      <c r="M4252" s="111"/>
      <c r="N4252" s="73"/>
      <c r="O4252" s="73"/>
      <c r="P4252" s="73"/>
      <c r="Q4252" s="73"/>
      <c r="R4252" s="111"/>
      <c r="S4252" s="75"/>
      <c r="T4252" s="73"/>
      <c r="X4252" s="189"/>
      <c r="Y4252" s="189"/>
      <c r="Z4252" s="100"/>
      <c r="AC4252" s="84"/>
      <c r="AD4252" s="189"/>
      <c r="AE4252" s="189"/>
      <c r="AF4252" s="189"/>
      <c r="AG4252" s="189"/>
      <c r="AH4252" s="189"/>
      <c r="AP4252" s="238"/>
    </row>
    <row r="4253" spans="3:42" s="45" customFormat="1" x14ac:dyDescent="0.2">
      <c r="C4253" s="189"/>
      <c r="F4253" s="73"/>
      <c r="M4253" s="111"/>
      <c r="N4253" s="73"/>
      <c r="O4253" s="73"/>
      <c r="P4253" s="73"/>
      <c r="Q4253" s="73"/>
      <c r="R4253" s="111"/>
      <c r="S4253" s="75"/>
      <c r="T4253" s="73"/>
      <c r="X4253" s="189"/>
      <c r="Y4253" s="189"/>
      <c r="Z4253" s="100"/>
      <c r="AC4253" s="84"/>
      <c r="AD4253" s="189"/>
      <c r="AE4253" s="189"/>
      <c r="AF4253" s="189"/>
      <c r="AG4253" s="189"/>
      <c r="AH4253" s="189"/>
      <c r="AP4253" s="238"/>
    </row>
    <row r="4254" spans="3:42" s="45" customFormat="1" x14ac:dyDescent="0.2">
      <c r="C4254" s="189"/>
      <c r="F4254" s="73"/>
      <c r="M4254" s="111"/>
      <c r="N4254" s="73"/>
      <c r="O4254" s="73"/>
      <c r="P4254" s="73"/>
      <c r="Q4254" s="73"/>
      <c r="R4254" s="111"/>
      <c r="S4254" s="75"/>
      <c r="T4254" s="73"/>
      <c r="X4254" s="189"/>
      <c r="Y4254" s="189"/>
      <c r="Z4254" s="100"/>
      <c r="AC4254" s="84"/>
      <c r="AD4254" s="189"/>
      <c r="AE4254" s="189"/>
      <c r="AF4254" s="189"/>
      <c r="AG4254" s="189"/>
      <c r="AH4254" s="189"/>
      <c r="AP4254" s="238"/>
    </row>
    <row r="4255" spans="3:42" s="45" customFormat="1" x14ac:dyDescent="0.2">
      <c r="C4255" s="189"/>
      <c r="F4255" s="73"/>
      <c r="M4255" s="111"/>
      <c r="N4255" s="73"/>
      <c r="O4255" s="73"/>
      <c r="P4255" s="73"/>
      <c r="Q4255" s="73"/>
      <c r="R4255" s="111"/>
      <c r="S4255" s="75"/>
      <c r="T4255" s="73"/>
      <c r="X4255" s="189"/>
      <c r="Y4255" s="189"/>
      <c r="Z4255" s="100"/>
      <c r="AC4255" s="84"/>
      <c r="AD4255" s="189"/>
      <c r="AE4255" s="189"/>
      <c r="AF4255" s="189"/>
      <c r="AG4255" s="189"/>
      <c r="AH4255" s="189"/>
      <c r="AP4255" s="238"/>
    </row>
    <row r="4256" spans="3:42" s="45" customFormat="1" x14ac:dyDescent="0.2">
      <c r="C4256" s="189"/>
      <c r="F4256" s="73"/>
      <c r="M4256" s="111"/>
      <c r="N4256" s="73"/>
      <c r="O4256" s="73"/>
      <c r="P4256" s="73"/>
      <c r="Q4256" s="73"/>
      <c r="R4256" s="111"/>
      <c r="S4256" s="75"/>
      <c r="T4256" s="73"/>
      <c r="X4256" s="189"/>
      <c r="Y4256" s="189"/>
      <c r="Z4256" s="100"/>
      <c r="AC4256" s="84"/>
      <c r="AD4256" s="189"/>
      <c r="AE4256" s="189"/>
      <c r="AF4256" s="189"/>
      <c r="AG4256" s="189"/>
      <c r="AH4256" s="189"/>
      <c r="AP4256" s="238"/>
    </row>
    <row r="4257" spans="3:42" s="45" customFormat="1" x14ac:dyDescent="0.2">
      <c r="C4257" s="189"/>
      <c r="F4257" s="73"/>
      <c r="M4257" s="111"/>
      <c r="N4257" s="73"/>
      <c r="O4257" s="73"/>
      <c r="P4257" s="73"/>
      <c r="Q4257" s="73"/>
      <c r="R4257" s="111"/>
      <c r="S4257" s="75"/>
      <c r="T4257" s="73"/>
      <c r="X4257" s="189"/>
      <c r="Y4257" s="189"/>
      <c r="Z4257" s="100"/>
      <c r="AC4257" s="84"/>
      <c r="AD4257" s="189"/>
      <c r="AE4257" s="189"/>
      <c r="AF4257" s="189"/>
      <c r="AG4257" s="189"/>
      <c r="AH4257" s="189"/>
      <c r="AP4257" s="238"/>
    </row>
    <row r="4258" spans="3:42" s="45" customFormat="1" x14ac:dyDescent="0.2">
      <c r="C4258" s="189"/>
      <c r="F4258" s="73"/>
      <c r="M4258" s="111"/>
      <c r="N4258" s="73"/>
      <c r="O4258" s="73"/>
      <c r="P4258" s="73"/>
      <c r="Q4258" s="73"/>
      <c r="R4258" s="111"/>
      <c r="S4258" s="75"/>
      <c r="T4258" s="73"/>
      <c r="X4258" s="189"/>
      <c r="Y4258" s="189"/>
      <c r="Z4258" s="100"/>
      <c r="AC4258" s="84"/>
      <c r="AD4258" s="189"/>
      <c r="AE4258" s="189"/>
      <c r="AF4258" s="189"/>
      <c r="AG4258" s="189"/>
      <c r="AH4258" s="189"/>
      <c r="AP4258" s="238"/>
    </row>
    <row r="4259" spans="3:42" s="45" customFormat="1" x14ac:dyDescent="0.2">
      <c r="C4259" s="189"/>
      <c r="F4259" s="73"/>
      <c r="M4259" s="111"/>
      <c r="N4259" s="73"/>
      <c r="O4259" s="73"/>
      <c r="P4259" s="73"/>
      <c r="Q4259" s="73"/>
      <c r="R4259" s="111"/>
      <c r="S4259" s="75"/>
      <c r="T4259" s="73"/>
      <c r="X4259" s="189"/>
      <c r="Y4259" s="189"/>
      <c r="Z4259" s="100"/>
      <c r="AC4259" s="84"/>
      <c r="AD4259" s="189"/>
      <c r="AE4259" s="189"/>
      <c r="AF4259" s="189"/>
      <c r="AG4259" s="189"/>
      <c r="AH4259" s="189"/>
      <c r="AP4259" s="238"/>
    </row>
    <row r="4260" spans="3:42" s="45" customFormat="1" x14ac:dyDescent="0.2">
      <c r="C4260" s="189"/>
      <c r="F4260" s="73"/>
      <c r="M4260" s="111"/>
      <c r="N4260" s="73"/>
      <c r="O4260" s="73"/>
      <c r="P4260" s="73"/>
      <c r="Q4260" s="73"/>
      <c r="R4260" s="111"/>
      <c r="S4260" s="75"/>
      <c r="T4260" s="73"/>
      <c r="X4260" s="189"/>
      <c r="Y4260" s="189"/>
      <c r="Z4260" s="100"/>
      <c r="AC4260" s="84"/>
      <c r="AD4260" s="189"/>
      <c r="AE4260" s="189"/>
      <c r="AF4260" s="189"/>
      <c r="AG4260" s="189"/>
      <c r="AH4260" s="189"/>
      <c r="AP4260" s="238"/>
    </row>
    <row r="4261" spans="3:42" s="45" customFormat="1" x14ac:dyDescent="0.2">
      <c r="C4261" s="189"/>
      <c r="F4261" s="73"/>
      <c r="M4261" s="111"/>
      <c r="N4261" s="73"/>
      <c r="O4261" s="73"/>
      <c r="P4261" s="73"/>
      <c r="Q4261" s="73"/>
      <c r="R4261" s="111"/>
      <c r="S4261" s="75"/>
      <c r="T4261" s="73"/>
      <c r="X4261" s="189"/>
      <c r="Y4261" s="189"/>
      <c r="Z4261" s="100"/>
      <c r="AC4261" s="84"/>
      <c r="AD4261" s="189"/>
      <c r="AE4261" s="189"/>
      <c r="AF4261" s="189"/>
      <c r="AG4261" s="189"/>
      <c r="AH4261" s="189"/>
      <c r="AP4261" s="238"/>
    </row>
    <row r="4262" spans="3:42" s="45" customFormat="1" x14ac:dyDescent="0.2">
      <c r="C4262" s="189"/>
      <c r="F4262" s="73"/>
      <c r="M4262" s="111"/>
      <c r="N4262" s="73"/>
      <c r="O4262" s="73"/>
      <c r="P4262" s="73"/>
      <c r="Q4262" s="73"/>
      <c r="R4262" s="111"/>
      <c r="S4262" s="75"/>
      <c r="T4262" s="73"/>
      <c r="X4262" s="189"/>
      <c r="Y4262" s="189"/>
      <c r="Z4262" s="100"/>
      <c r="AC4262" s="84"/>
      <c r="AD4262" s="189"/>
      <c r="AE4262" s="189"/>
      <c r="AF4262" s="189"/>
      <c r="AG4262" s="189"/>
      <c r="AH4262" s="189"/>
      <c r="AP4262" s="238"/>
    </row>
    <row r="4263" spans="3:42" s="45" customFormat="1" x14ac:dyDescent="0.2">
      <c r="C4263" s="189"/>
      <c r="F4263" s="73"/>
      <c r="M4263" s="111"/>
      <c r="N4263" s="73"/>
      <c r="O4263" s="73"/>
      <c r="P4263" s="73"/>
      <c r="Q4263" s="73"/>
      <c r="R4263" s="111"/>
      <c r="S4263" s="75"/>
      <c r="T4263" s="73"/>
      <c r="X4263" s="189"/>
      <c r="Y4263" s="189"/>
      <c r="Z4263" s="100"/>
      <c r="AC4263" s="84"/>
      <c r="AD4263" s="189"/>
      <c r="AE4263" s="189"/>
      <c r="AF4263" s="189"/>
      <c r="AG4263" s="189"/>
      <c r="AH4263" s="189"/>
      <c r="AP4263" s="238"/>
    </row>
    <row r="4264" spans="3:42" s="45" customFormat="1" x14ac:dyDescent="0.2">
      <c r="C4264" s="189"/>
      <c r="F4264" s="73"/>
      <c r="M4264" s="111"/>
      <c r="N4264" s="73"/>
      <c r="O4264" s="73"/>
      <c r="P4264" s="73"/>
      <c r="Q4264" s="73"/>
      <c r="R4264" s="111"/>
      <c r="S4264" s="75"/>
      <c r="T4264" s="73"/>
      <c r="X4264" s="189"/>
      <c r="Y4264" s="189"/>
      <c r="Z4264" s="100"/>
      <c r="AC4264" s="84"/>
      <c r="AD4264" s="189"/>
      <c r="AE4264" s="189"/>
      <c r="AF4264" s="189"/>
      <c r="AG4264" s="189"/>
      <c r="AH4264" s="189"/>
      <c r="AP4264" s="238"/>
    </row>
    <row r="4265" spans="3:42" s="45" customFormat="1" x14ac:dyDescent="0.2">
      <c r="C4265" s="189"/>
      <c r="F4265" s="73"/>
      <c r="M4265" s="111"/>
      <c r="N4265" s="73"/>
      <c r="O4265" s="73"/>
      <c r="P4265" s="73"/>
      <c r="Q4265" s="73"/>
      <c r="R4265" s="111"/>
      <c r="S4265" s="75"/>
      <c r="T4265" s="73"/>
      <c r="X4265" s="189"/>
      <c r="Y4265" s="189"/>
      <c r="Z4265" s="100"/>
      <c r="AC4265" s="84"/>
      <c r="AD4265" s="189"/>
      <c r="AE4265" s="189"/>
      <c r="AF4265" s="189"/>
      <c r="AG4265" s="189"/>
      <c r="AH4265" s="189"/>
      <c r="AP4265" s="238"/>
    </row>
    <row r="4266" spans="3:42" s="45" customFormat="1" x14ac:dyDescent="0.2">
      <c r="C4266" s="189"/>
      <c r="F4266" s="73"/>
      <c r="M4266" s="111"/>
      <c r="N4266" s="73"/>
      <c r="O4266" s="73"/>
      <c r="P4266" s="73"/>
      <c r="Q4266" s="73"/>
      <c r="R4266" s="111"/>
      <c r="S4266" s="75"/>
      <c r="T4266" s="73"/>
      <c r="X4266" s="189"/>
      <c r="Y4266" s="189"/>
      <c r="Z4266" s="100"/>
      <c r="AC4266" s="84"/>
      <c r="AD4266" s="189"/>
      <c r="AE4266" s="189"/>
      <c r="AF4266" s="189"/>
      <c r="AG4266" s="189"/>
      <c r="AH4266" s="189"/>
      <c r="AP4266" s="238"/>
    </row>
    <row r="4267" spans="3:42" s="45" customFormat="1" x14ac:dyDescent="0.2">
      <c r="C4267" s="189"/>
      <c r="F4267" s="73"/>
      <c r="M4267" s="111"/>
      <c r="N4267" s="73"/>
      <c r="O4267" s="73"/>
      <c r="P4267" s="73"/>
      <c r="Q4267" s="73"/>
      <c r="R4267" s="111"/>
      <c r="S4267" s="75"/>
      <c r="T4267" s="73"/>
      <c r="X4267" s="189"/>
      <c r="Y4267" s="189"/>
      <c r="Z4267" s="100"/>
      <c r="AC4267" s="84"/>
      <c r="AD4267" s="189"/>
      <c r="AE4267" s="189"/>
      <c r="AF4267" s="189"/>
      <c r="AG4267" s="189"/>
      <c r="AH4267" s="189"/>
      <c r="AP4267" s="238"/>
    </row>
    <row r="4268" spans="3:42" s="45" customFormat="1" x14ac:dyDescent="0.2">
      <c r="C4268" s="189"/>
      <c r="F4268" s="73"/>
      <c r="M4268" s="111"/>
      <c r="N4268" s="73"/>
      <c r="O4268" s="73"/>
      <c r="P4268" s="73"/>
      <c r="Q4268" s="73"/>
      <c r="R4268" s="111"/>
      <c r="S4268" s="75"/>
      <c r="T4268" s="73"/>
      <c r="X4268" s="189"/>
      <c r="Y4268" s="189"/>
      <c r="Z4268" s="100"/>
      <c r="AC4268" s="84"/>
      <c r="AD4268" s="189"/>
      <c r="AE4268" s="189"/>
      <c r="AF4268" s="189"/>
      <c r="AG4268" s="189"/>
      <c r="AH4268" s="189"/>
      <c r="AP4268" s="238"/>
    </row>
    <row r="4269" spans="3:42" s="45" customFormat="1" x14ac:dyDescent="0.2">
      <c r="C4269" s="189"/>
      <c r="F4269" s="73"/>
      <c r="M4269" s="111"/>
      <c r="N4269" s="73"/>
      <c r="O4269" s="73"/>
      <c r="P4269" s="73"/>
      <c r="Q4269" s="73"/>
      <c r="R4269" s="111"/>
      <c r="S4269" s="75"/>
      <c r="T4269" s="73"/>
      <c r="X4269" s="189"/>
      <c r="Y4269" s="189"/>
      <c r="Z4269" s="100"/>
      <c r="AC4269" s="84"/>
      <c r="AD4269" s="189"/>
      <c r="AE4269" s="189"/>
      <c r="AF4269" s="189"/>
      <c r="AG4269" s="189"/>
      <c r="AH4269" s="189"/>
      <c r="AP4269" s="238"/>
    </row>
    <row r="4270" spans="3:42" s="45" customFormat="1" x14ac:dyDescent="0.2">
      <c r="C4270" s="189"/>
      <c r="F4270" s="73"/>
      <c r="M4270" s="111"/>
      <c r="N4270" s="73"/>
      <c r="O4270" s="73"/>
      <c r="P4270" s="73"/>
      <c r="Q4270" s="73"/>
      <c r="R4270" s="111"/>
      <c r="S4270" s="75"/>
      <c r="T4270" s="73"/>
      <c r="X4270" s="189"/>
      <c r="Y4270" s="189"/>
      <c r="Z4270" s="100"/>
      <c r="AC4270" s="84"/>
      <c r="AD4270" s="189"/>
      <c r="AE4270" s="189"/>
      <c r="AF4270" s="189"/>
      <c r="AG4270" s="189"/>
      <c r="AH4270" s="189"/>
      <c r="AP4270" s="238"/>
    </row>
    <row r="4271" spans="3:42" s="45" customFormat="1" x14ac:dyDescent="0.2">
      <c r="C4271" s="189"/>
      <c r="F4271" s="73"/>
      <c r="M4271" s="111"/>
      <c r="N4271" s="73"/>
      <c r="O4271" s="73"/>
      <c r="P4271" s="73"/>
      <c r="Q4271" s="73"/>
      <c r="R4271" s="111"/>
      <c r="S4271" s="75"/>
      <c r="T4271" s="73"/>
      <c r="X4271" s="189"/>
      <c r="Y4271" s="189"/>
      <c r="Z4271" s="100"/>
      <c r="AC4271" s="84"/>
      <c r="AD4271" s="189"/>
      <c r="AE4271" s="189"/>
      <c r="AF4271" s="189"/>
      <c r="AG4271" s="189"/>
      <c r="AH4271" s="189"/>
      <c r="AP4271" s="238"/>
    </row>
    <row r="4272" spans="3:42" s="45" customFormat="1" x14ac:dyDescent="0.2">
      <c r="C4272" s="189"/>
      <c r="F4272" s="73"/>
      <c r="M4272" s="111"/>
      <c r="N4272" s="73"/>
      <c r="O4272" s="73"/>
      <c r="P4272" s="73"/>
      <c r="Q4272" s="73"/>
      <c r="R4272" s="111"/>
      <c r="S4272" s="75"/>
      <c r="T4272" s="73"/>
      <c r="X4272" s="189"/>
      <c r="Y4272" s="189"/>
      <c r="Z4272" s="100"/>
      <c r="AC4272" s="84"/>
      <c r="AD4272" s="189"/>
      <c r="AE4272" s="189"/>
      <c r="AF4272" s="189"/>
      <c r="AG4272" s="189"/>
      <c r="AH4272" s="189"/>
      <c r="AP4272" s="238"/>
    </row>
    <row r="4273" spans="3:42" s="45" customFormat="1" x14ac:dyDescent="0.2">
      <c r="C4273" s="189"/>
      <c r="F4273" s="73"/>
      <c r="M4273" s="111"/>
      <c r="N4273" s="73"/>
      <c r="O4273" s="73"/>
      <c r="P4273" s="73"/>
      <c r="Q4273" s="73"/>
      <c r="R4273" s="111"/>
      <c r="S4273" s="75"/>
      <c r="T4273" s="73"/>
      <c r="X4273" s="189"/>
      <c r="Y4273" s="189"/>
      <c r="Z4273" s="100"/>
      <c r="AC4273" s="84"/>
      <c r="AD4273" s="189"/>
      <c r="AE4273" s="189"/>
      <c r="AF4273" s="189"/>
      <c r="AG4273" s="189"/>
      <c r="AH4273" s="189"/>
      <c r="AP4273" s="238"/>
    </row>
    <row r="4274" spans="3:42" s="45" customFormat="1" x14ac:dyDescent="0.2">
      <c r="C4274" s="189"/>
      <c r="F4274" s="73"/>
      <c r="M4274" s="111"/>
      <c r="N4274" s="73"/>
      <c r="O4274" s="73"/>
      <c r="P4274" s="73"/>
      <c r="Q4274" s="73"/>
      <c r="R4274" s="111"/>
      <c r="S4274" s="75"/>
      <c r="T4274" s="73"/>
      <c r="X4274" s="189"/>
      <c r="Y4274" s="189"/>
      <c r="Z4274" s="100"/>
      <c r="AC4274" s="84"/>
      <c r="AD4274" s="189"/>
      <c r="AE4274" s="189"/>
      <c r="AF4274" s="189"/>
      <c r="AG4274" s="189"/>
      <c r="AH4274" s="189"/>
      <c r="AP4274" s="238"/>
    </row>
    <row r="4275" spans="3:42" s="45" customFormat="1" x14ac:dyDescent="0.2">
      <c r="C4275" s="189"/>
      <c r="F4275" s="73"/>
      <c r="M4275" s="111"/>
      <c r="N4275" s="73"/>
      <c r="O4275" s="73"/>
      <c r="P4275" s="73"/>
      <c r="Q4275" s="73"/>
      <c r="R4275" s="111"/>
      <c r="S4275" s="75"/>
      <c r="T4275" s="73"/>
      <c r="X4275" s="189"/>
      <c r="Y4275" s="189"/>
      <c r="Z4275" s="100"/>
      <c r="AC4275" s="84"/>
      <c r="AD4275" s="189"/>
      <c r="AE4275" s="189"/>
      <c r="AF4275" s="189"/>
      <c r="AG4275" s="189"/>
      <c r="AH4275" s="189"/>
      <c r="AP4275" s="238"/>
    </row>
    <row r="4276" spans="3:42" s="45" customFormat="1" x14ac:dyDescent="0.2">
      <c r="C4276" s="189"/>
      <c r="F4276" s="73"/>
      <c r="M4276" s="111"/>
      <c r="N4276" s="73"/>
      <c r="O4276" s="73"/>
      <c r="P4276" s="73"/>
      <c r="Q4276" s="73"/>
      <c r="R4276" s="111"/>
      <c r="S4276" s="75"/>
      <c r="T4276" s="73"/>
      <c r="X4276" s="189"/>
      <c r="Y4276" s="189"/>
      <c r="Z4276" s="100"/>
      <c r="AC4276" s="84"/>
      <c r="AD4276" s="189"/>
      <c r="AE4276" s="189"/>
      <c r="AF4276" s="189"/>
      <c r="AG4276" s="189"/>
      <c r="AH4276" s="189"/>
      <c r="AP4276" s="238"/>
    </row>
    <row r="4277" spans="3:42" s="45" customFormat="1" x14ac:dyDescent="0.2">
      <c r="C4277" s="189"/>
      <c r="F4277" s="73"/>
      <c r="M4277" s="111"/>
      <c r="N4277" s="73"/>
      <c r="O4277" s="73"/>
      <c r="P4277" s="73"/>
      <c r="Q4277" s="73"/>
      <c r="R4277" s="111"/>
      <c r="S4277" s="75"/>
      <c r="T4277" s="73"/>
      <c r="X4277" s="189"/>
      <c r="Y4277" s="189"/>
      <c r="Z4277" s="100"/>
      <c r="AC4277" s="84"/>
      <c r="AD4277" s="189"/>
      <c r="AE4277" s="189"/>
      <c r="AF4277" s="189"/>
      <c r="AG4277" s="189"/>
      <c r="AH4277" s="189"/>
      <c r="AP4277" s="238"/>
    </row>
    <row r="4278" spans="3:42" s="45" customFormat="1" x14ac:dyDescent="0.2">
      <c r="C4278" s="189"/>
      <c r="F4278" s="73"/>
      <c r="M4278" s="111"/>
      <c r="N4278" s="73"/>
      <c r="O4278" s="73"/>
      <c r="P4278" s="73"/>
      <c r="Q4278" s="73"/>
      <c r="R4278" s="111"/>
      <c r="S4278" s="75"/>
      <c r="T4278" s="73"/>
      <c r="X4278" s="189"/>
      <c r="Y4278" s="189"/>
      <c r="Z4278" s="100"/>
      <c r="AC4278" s="84"/>
      <c r="AD4278" s="189"/>
      <c r="AE4278" s="189"/>
      <c r="AF4278" s="189"/>
      <c r="AG4278" s="189"/>
      <c r="AH4278" s="189"/>
      <c r="AP4278" s="238"/>
    </row>
    <row r="4279" spans="3:42" s="45" customFormat="1" x14ac:dyDescent="0.2">
      <c r="C4279" s="189"/>
      <c r="F4279" s="73"/>
      <c r="M4279" s="111"/>
      <c r="N4279" s="73"/>
      <c r="O4279" s="73"/>
      <c r="P4279" s="73"/>
      <c r="Q4279" s="73"/>
      <c r="R4279" s="111"/>
      <c r="S4279" s="75"/>
      <c r="T4279" s="73"/>
      <c r="X4279" s="189"/>
      <c r="Y4279" s="189"/>
      <c r="Z4279" s="100"/>
      <c r="AC4279" s="84"/>
      <c r="AD4279" s="189"/>
      <c r="AE4279" s="189"/>
      <c r="AF4279" s="189"/>
      <c r="AG4279" s="189"/>
      <c r="AH4279" s="189"/>
      <c r="AP4279" s="238"/>
    </row>
    <row r="4280" spans="3:42" s="45" customFormat="1" x14ac:dyDescent="0.2">
      <c r="C4280" s="189"/>
      <c r="F4280" s="73"/>
      <c r="M4280" s="111"/>
      <c r="N4280" s="73"/>
      <c r="O4280" s="73"/>
      <c r="P4280" s="73"/>
      <c r="Q4280" s="73"/>
      <c r="R4280" s="111"/>
      <c r="S4280" s="75"/>
      <c r="T4280" s="73"/>
      <c r="X4280" s="189"/>
      <c r="Y4280" s="189"/>
      <c r="Z4280" s="100"/>
      <c r="AC4280" s="84"/>
      <c r="AD4280" s="189"/>
      <c r="AE4280" s="189"/>
      <c r="AF4280" s="189"/>
      <c r="AG4280" s="189"/>
      <c r="AH4280" s="189"/>
      <c r="AP4280" s="238"/>
    </row>
    <row r="4281" spans="3:42" s="45" customFormat="1" x14ac:dyDescent="0.2">
      <c r="C4281" s="189"/>
      <c r="F4281" s="73"/>
      <c r="M4281" s="111"/>
      <c r="N4281" s="73"/>
      <c r="O4281" s="73"/>
      <c r="P4281" s="73"/>
      <c r="Q4281" s="73"/>
      <c r="R4281" s="111"/>
      <c r="S4281" s="75"/>
      <c r="T4281" s="73"/>
      <c r="X4281" s="189"/>
      <c r="Y4281" s="189"/>
      <c r="Z4281" s="100"/>
      <c r="AC4281" s="84"/>
      <c r="AD4281" s="189"/>
      <c r="AE4281" s="189"/>
      <c r="AF4281" s="189"/>
      <c r="AG4281" s="189"/>
      <c r="AH4281" s="189"/>
      <c r="AP4281" s="238"/>
    </row>
    <row r="4282" spans="3:42" s="45" customFormat="1" x14ac:dyDescent="0.2">
      <c r="C4282" s="189"/>
      <c r="F4282" s="73"/>
      <c r="M4282" s="111"/>
      <c r="N4282" s="73"/>
      <c r="O4282" s="73"/>
      <c r="P4282" s="73"/>
      <c r="Q4282" s="73"/>
      <c r="R4282" s="111"/>
      <c r="S4282" s="75"/>
      <c r="T4282" s="73"/>
      <c r="X4282" s="189"/>
      <c r="Y4282" s="189"/>
      <c r="Z4282" s="100"/>
      <c r="AC4282" s="84"/>
      <c r="AD4282" s="189"/>
      <c r="AE4282" s="189"/>
      <c r="AF4282" s="189"/>
      <c r="AG4282" s="189"/>
      <c r="AH4282" s="189"/>
      <c r="AP4282" s="238"/>
    </row>
    <row r="4283" spans="3:42" s="45" customFormat="1" x14ac:dyDescent="0.2">
      <c r="C4283" s="189"/>
      <c r="F4283" s="73"/>
      <c r="M4283" s="111"/>
      <c r="N4283" s="73"/>
      <c r="O4283" s="73"/>
      <c r="P4283" s="73"/>
      <c r="Q4283" s="73"/>
      <c r="R4283" s="111"/>
      <c r="S4283" s="75"/>
      <c r="T4283" s="73"/>
      <c r="X4283" s="189"/>
      <c r="Y4283" s="189"/>
      <c r="Z4283" s="100"/>
      <c r="AC4283" s="84"/>
      <c r="AD4283" s="189"/>
      <c r="AE4283" s="189"/>
      <c r="AF4283" s="189"/>
      <c r="AG4283" s="189"/>
      <c r="AH4283" s="189"/>
      <c r="AP4283" s="238"/>
    </row>
    <row r="4284" spans="3:42" s="45" customFormat="1" x14ac:dyDescent="0.2">
      <c r="C4284" s="189"/>
      <c r="F4284" s="73"/>
      <c r="M4284" s="111"/>
      <c r="N4284" s="73"/>
      <c r="O4284" s="73"/>
      <c r="P4284" s="73"/>
      <c r="Q4284" s="73"/>
      <c r="R4284" s="111"/>
      <c r="S4284" s="75"/>
      <c r="T4284" s="73"/>
      <c r="X4284" s="189"/>
      <c r="Y4284" s="189"/>
      <c r="Z4284" s="100"/>
      <c r="AC4284" s="84"/>
      <c r="AD4284" s="189"/>
      <c r="AE4284" s="189"/>
      <c r="AF4284" s="189"/>
      <c r="AG4284" s="189"/>
      <c r="AH4284" s="189"/>
      <c r="AP4284" s="238"/>
    </row>
    <row r="4285" spans="3:42" s="45" customFormat="1" x14ac:dyDescent="0.2">
      <c r="C4285" s="189"/>
      <c r="F4285" s="73"/>
      <c r="M4285" s="111"/>
      <c r="N4285" s="73"/>
      <c r="O4285" s="73"/>
      <c r="P4285" s="73"/>
      <c r="Q4285" s="73"/>
      <c r="R4285" s="111"/>
      <c r="S4285" s="75"/>
      <c r="T4285" s="73"/>
      <c r="X4285" s="189"/>
      <c r="Y4285" s="189"/>
      <c r="Z4285" s="100"/>
      <c r="AC4285" s="84"/>
      <c r="AD4285" s="189"/>
      <c r="AE4285" s="189"/>
      <c r="AF4285" s="189"/>
      <c r="AG4285" s="189"/>
      <c r="AH4285" s="189"/>
      <c r="AP4285" s="238"/>
    </row>
    <row r="4286" spans="3:42" s="45" customFormat="1" x14ac:dyDescent="0.2">
      <c r="C4286" s="189"/>
      <c r="F4286" s="73"/>
      <c r="M4286" s="111"/>
      <c r="N4286" s="73"/>
      <c r="O4286" s="73"/>
      <c r="P4286" s="73"/>
      <c r="Q4286" s="73"/>
      <c r="R4286" s="111"/>
      <c r="S4286" s="75"/>
      <c r="T4286" s="73"/>
      <c r="X4286" s="189"/>
      <c r="Y4286" s="189"/>
      <c r="Z4286" s="100"/>
      <c r="AC4286" s="84"/>
      <c r="AD4286" s="189"/>
      <c r="AE4286" s="189"/>
      <c r="AF4286" s="189"/>
      <c r="AG4286" s="189"/>
      <c r="AH4286" s="189"/>
      <c r="AP4286" s="238"/>
    </row>
    <row r="4287" spans="3:42" s="45" customFormat="1" x14ac:dyDescent="0.2">
      <c r="C4287" s="189"/>
      <c r="F4287" s="73"/>
      <c r="M4287" s="111"/>
      <c r="N4287" s="73"/>
      <c r="O4287" s="73"/>
      <c r="P4287" s="73"/>
      <c r="Q4287" s="73"/>
      <c r="R4287" s="111"/>
      <c r="S4287" s="75"/>
      <c r="T4287" s="73"/>
      <c r="X4287" s="189"/>
      <c r="Y4287" s="189"/>
      <c r="Z4287" s="100"/>
      <c r="AC4287" s="84"/>
      <c r="AD4287" s="189"/>
      <c r="AE4287" s="189"/>
      <c r="AF4287" s="189"/>
      <c r="AG4287" s="189"/>
      <c r="AH4287" s="189"/>
      <c r="AP4287" s="238"/>
    </row>
    <row r="4288" spans="3:42" s="45" customFormat="1" x14ac:dyDescent="0.2">
      <c r="C4288" s="189"/>
      <c r="F4288" s="73"/>
      <c r="M4288" s="111"/>
      <c r="N4288" s="73"/>
      <c r="O4288" s="73"/>
      <c r="P4288" s="73"/>
      <c r="Q4288" s="73"/>
      <c r="R4288" s="111"/>
      <c r="S4288" s="75"/>
      <c r="T4288" s="73"/>
      <c r="X4288" s="189"/>
      <c r="Y4288" s="189"/>
      <c r="Z4288" s="100"/>
      <c r="AC4288" s="84"/>
      <c r="AD4288" s="189"/>
      <c r="AE4288" s="189"/>
      <c r="AF4288" s="189"/>
      <c r="AG4288" s="189"/>
      <c r="AH4288" s="189"/>
      <c r="AP4288" s="238"/>
    </row>
    <row r="4289" spans="3:42" s="45" customFormat="1" x14ac:dyDescent="0.2">
      <c r="C4289" s="189"/>
      <c r="F4289" s="73"/>
      <c r="M4289" s="111"/>
      <c r="N4289" s="73"/>
      <c r="O4289" s="73"/>
      <c r="P4289" s="73"/>
      <c r="Q4289" s="73"/>
      <c r="R4289" s="111"/>
      <c r="S4289" s="75"/>
      <c r="T4289" s="73"/>
      <c r="X4289" s="189"/>
      <c r="Y4289" s="189"/>
      <c r="Z4289" s="100"/>
      <c r="AC4289" s="84"/>
      <c r="AD4289" s="189"/>
      <c r="AE4289" s="189"/>
      <c r="AF4289" s="189"/>
      <c r="AG4289" s="189"/>
      <c r="AH4289" s="189"/>
      <c r="AP4289" s="238"/>
    </row>
    <row r="4290" spans="3:42" s="45" customFormat="1" x14ac:dyDescent="0.2">
      <c r="C4290" s="189"/>
      <c r="F4290" s="73"/>
      <c r="M4290" s="111"/>
      <c r="N4290" s="73"/>
      <c r="O4290" s="73"/>
      <c r="P4290" s="73"/>
      <c r="Q4290" s="73"/>
      <c r="R4290" s="111"/>
      <c r="S4290" s="75"/>
      <c r="T4290" s="73"/>
      <c r="X4290" s="189"/>
      <c r="Y4290" s="189"/>
      <c r="Z4290" s="100"/>
      <c r="AC4290" s="84"/>
      <c r="AD4290" s="189"/>
      <c r="AE4290" s="189"/>
      <c r="AF4290" s="189"/>
      <c r="AG4290" s="189"/>
      <c r="AH4290" s="189"/>
      <c r="AP4290" s="238"/>
    </row>
    <row r="4291" spans="3:42" s="45" customFormat="1" x14ac:dyDescent="0.2">
      <c r="C4291" s="189"/>
      <c r="F4291" s="73"/>
      <c r="M4291" s="111"/>
      <c r="N4291" s="73"/>
      <c r="O4291" s="73"/>
      <c r="P4291" s="73"/>
      <c r="Q4291" s="73"/>
      <c r="R4291" s="111"/>
      <c r="S4291" s="75"/>
      <c r="T4291" s="73"/>
      <c r="X4291" s="189"/>
      <c r="Y4291" s="189"/>
      <c r="Z4291" s="100"/>
      <c r="AC4291" s="84"/>
      <c r="AD4291" s="189"/>
      <c r="AE4291" s="189"/>
      <c r="AF4291" s="189"/>
      <c r="AG4291" s="189"/>
      <c r="AH4291" s="189"/>
      <c r="AP4291" s="238"/>
    </row>
    <row r="4292" spans="3:42" s="45" customFormat="1" x14ac:dyDescent="0.2">
      <c r="C4292" s="189"/>
      <c r="F4292" s="73"/>
      <c r="M4292" s="111"/>
      <c r="N4292" s="73"/>
      <c r="O4292" s="73"/>
      <c r="P4292" s="73"/>
      <c r="Q4292" s="73"/>
      <c r="R4292" s="111"/>
      <c r="S4292" s="75"/>
      <c r="T4292" s="73"/>
      <c r="X4292" s="189"/>
      <c r="Y4292" s="189"/>
      <c r="Z4292" s="100"/>
      <c r="AC4292" s="84"/>
      <c r="AD4292" s="189"/>
      <c r="AE4292" s="189"/>
      <c r="AF4292" s="189"/>
      <c r="AG4292" s="189"/>
      <c r="AH4292" s="189"/>
      <c r="AP4292" s="238"/>
    </row>
    <row r="4293" spans="3:42" s="45" customFormat="1" x14ac:dyDescent="0.2">
      <c r="C4293" s="189"/>
      <c r="F4293" s="73"/>
      <c r="M4293" s="111"/>
      <c r="N4293" s="73"/>
      <c r="O4293" s="73"/>
      <c r="P4293" s="73"/>
      <c r="Q4293" s="73"/>
      <c r="R4293" s="111"/>
      <c r="S4293" s="75"/>
      <c r="T4293" s="73"/>
      <c r="X4293" s="189"/>
      <c r="Y4293" s="189"/>
      <c r="Z4293" s="100"/>
      <c r="AC4293" s="84"/>
      <c r="AD4293" s="189"/>
      <c r="AE4293" s="189"/>
      <c r="AF4293" s="189"/>
      <c r="AG4293" s="189"/>
      <c r="AH4293" s="189"/>
      <c r="AP4293" s="238"/>
    </row>
    <row r="4294" spans="3:42" s="45" customFormat="1" x14ac:dyDescent="0.2">
      <c r="C4294" s="189"/>
      <c r="F4294" s="73"/>
      <c r="M4294" s="111"/>
      <c r="N4294" s="73"/>
      <c r="O4294" s="73"/>
      <c r="P4294" s="73"/>
      <c r="Q4294" s="73"/>
      <c r="R4294" s="111"/>
      <c r="S4294" s="75"/>
      <c r="T4294" s="73"/>
      <c r="X4294" s="189"/>
      <c r="Y4294" s="189"/>
      <c r="Z4294" s="100"/>
      <c r="AC4294" s="84"/>
      <c r="AD4294" s="189"/>
      <c r="AE4294" s="189"/>
      <c r="AF4294" s="189"/>
      <c r="AG4294" s="189"/>
      <c r="AH4294" s="189"/>
      <c r="AP4294" s="238"/>
    </row>
    <row r="4295" spans="3:42" s="45" customFormat="1" x14ac:dyDescent="0.2">
      <c r="C4295" s="189"/>
      <c r="F4295" s="73"/>
      <c r="M4295" s="111"/>
      <c r="N4295" s="73"/>
      <c r="O4295" s="73"/>
      <c r="P4295" s="73"/>
      <c r="Q4295" s="73"/>
      <c r="R4295" s="111"/>
      <c r="S4295" s="75"/>
      <c r="T4295" s="73"/>
      <c r="X4295" s="189"/>
      <c r="Y4295" s="189"/>
      <c r="Z4295" s="100"/>
      <c r="AC4295" s="84"/>
      <c r="AD4295" s="189"/>
      <c r="AE4295" s="189"/>
      <c r="AF4295" s="189"/>
      <c r="AG4295" s="189"/>
      <c r="AH4295" s="189"/>
      <c r="AP4295" s="238"/>
    </row>
    <row r="4296" spans="3:42" s="45" customFormat="1" x14ac:dyDescent="0.2">
      <c r="C4296" s="189"/>
      <c r="F4296" s="73"/>
      <c r="M4296" s="111"/>
      <c r="N4296" s="73"/>
      <c r="O4296" s="73"/>
      <c r="P4296" s="73"/>
      <c r="Q4296" s="73"/>
      <c r="R4296" s="111"/>
      <c r="S4296" s="75"/>
      <c r="T4296" s="73"/>
      <c r="X4296" s="189"/>
      <c r="Y4296" s="189"/>
      <c r="Z4296" s="100"/>
      <c r="AC4296" s="84"/>
      <c r="AD4296" s="189"/>
      <c r="AE4296" s="189"/>
      <c r="AF4296" s="189"/>
      <c r="AG4296" s="189"/>
      <c r="AH4296" s="189"/>
      <c r="AP4296" s="238"/>
    </row>
    <row r="4297" spans="3:42" s="45" customFormat="1" x14ac:dyDescent="0.2">
      <c r="C4297" s="189"/>
      <c r="F4297" s="73"/>
      <c r="M4297" s="111"/>
      <c r="N4297" s="73"/>
      <c r="O4297" s="73"/>
      <c r="P4297" s="73"/>
      <c r="Q4297" s="73"/>
      <c r="R4297" s="111"/>
      <c r="S4297" s="75"/>
      <c r="T4297" s="73"/>
      <c r="X4297" s="189"/>
      <c r="Y4297" s="189"/>
      <c r="Z4297" s="100"/>
      <c r="AC4297" s="84"/>
      <c r="AD4297" s="189"/>
      <c r="AE4297" s="189"/>
      <c r="AF4297" s="189"/>
      <c r="AG4297" s="189"/>
      <c r="AH4297" s="189"/>
      <c r="AP4297" s="238"/>
    </row>
    <row r="4298" spans="3:42" s="45" customFormat="1" x14ac:dyDescent="0.2">
      <c r="C4298" s="189"/>
      <c r="F4298" s="73"/>
      <c r="M4298" s="111"/>
      <c r="N4298" s="73"/>
      <c r="O4298" s="73"/>
      <c r="P4298" s="73"/>
      <c r="Q4298" s="73"/>
      <c r="R4298" s="111"/>
      <c r="S4298" s="75"/>
      <c r="T4298" s="73"/>
      <c r="X4298" s="189"/>
      <c r="Y4298" s="189"/>
      <c r="Z4298" s="100"/>
      <c r="AC4298" s="84"/>
      <c r="AD4298" s="189"/>
      <c r="AE4298" s="189"/>
      <c r="AF4298" s="189"/>
      <c r="AG4298" s="189"/>
      <c r="AH4298" s="189"/>
      <c r="AP4298" s="238"/>
    </row>
    <row r="4299" spans="3:42" s="45" customFormat="1" x14ac:dyDescent="0.2">
      <c r="C4299" s="189"/>
      <c r="F4299" s="73"/>
      <c r="M4299" s="111"/>
      <c r="N4299" s="73"/>
      <c r="O4299" s="73"/>
      <c r="P4299" s="73"/>
      <c r="Q4299" s="73"/>
      <c r="R4299" s="111"/>
      <c r="S4299" s="75"/>
      <c r="T4299" s="73"/>
      <c r="X4299" s="189"/>
      <c r="Y4299" s="189"/>
      <c r="Z4299" s="100"/>
      <c r="AC4299" s="84"/>
      <c r="AD4299" s="189"/>
      <c r="AE4299" s="189"/>
      <c r="AF4299" s="189"/>
      <c r="AG4299" s="189"/>
      <c r="AH4299" s="189"/>
      <c r="AP4299" s="238"/>
    </row>
    <row r="4300" spans="3:42" s="45" customFormat="1" x14ac:dyDescent="0.2">
      <c r="C4300" s="189"/>
      <c r="F4300" s="73"/>
      <c r="M4300" s="111"/>
      <c r="N4300" s="73"/>
      <c r="O4300" s="73"/>
      <c r="P4300" s="73"/>
      <c r="Q4300" s="73"/>
      <c r="R4300" s="111"/>
      <c r="S4300" s="75"/>
      <c r="T4300" s="73"/>
      <c r="X4300" s="189"/>
      <c r="Y4300" s="189"/>
      <c r="Z4300" s="100"/>
      <c r="AC4300" s="84"/>
      <c r="AD4300" s="189"/>
      <c r="AE4300" s="189"/>
      <c r="AF4300" s="189"/>
      <c r="AG4300" s="189"/>
      <c r="AH4300" s="189"/>
      <c r="AP4300" s="238"/>
    </row>
    <row r="4301" spans="3:42" s="45" customFormat="1" x14ac:dyDescent="0.2">
      <c r="C4301" s="189"/>
      <c r="F4301" s="73"/>
      <c r="M4301" s="111"/>
      <c r="N4301" s="73"/>
      <c r="O4301" s="73"/>
      <c r="P4301" s="73"/>
      <c r="Q4301" s="73"/>
      <c r="R4301" s="111"/>
      <c r="S4301" s="75"/>
      <c r="T4301" s="73"/>
      <c r="X4301" s="189"/>
      <c r="Y4301" s="189"/>
      <c r="Z4301" s="100"/>
      <c r="AC4301" s="84"/>
      <c r="AD4301" s="189"/>
      <c r="AE4301" s="189"/>
      <c r="AF4301" s="189"/>
      <c r="AG4301" s="189"/>
      <c r="AH4301" s="189"/>
      <c r="AP4301" s="238"/>
    </row>
    <row r="4302" spans="3:42" s="45" customFormat="1" x14ac:dyDescent="0.2">
      <c r="C4302" s="189"/>
      <c r="F4302" s="73"/>
      <c r="M4302" s="111"/>
      <c r="N4302" s="73"/>
      <c r="O4302" s="73"/>
      <c r="P4302" s="73"/>
      <c r="Q4302" s="73"/>
      <c r="R4302" s="111"/>
      <c r="S4302" s="75"/>
      <c r="T4302" s="73"/>
      <c r="X4302" s="189"/>
      <c r="Y4302" s="189"/>
      <c r="Z4302" s="100"/>
      <c r="AC4302" s="84"/>
      <c r="AD4302" s="189"/>
      <c r="AE4302" s="189"/>
      <c r="AF4302" s="189"/>
      <c r="AG4302" s="189"/>
      <c r="AH4302" s="189"/>
      <c r="AP4302" s="238"/>
    </row>
    <row r="4303" spans="3:42" s="45" customFormat="1" x14ac:dyDescent="0.2">
      <c r="C4303" s="189"/>
      <c r="F4303" s="73"/>
      <c r="M4303" s="111"/>
      <c r="N4303" s="73"/>
      <c r="O4303" s="73"/>
      <c r="P4303" s="73"/>
      <c r="Q4303" s="73"/>
      <c r="R4303" s="111"/>
      <c r="S4303" s="75"/>
      <c r="T4303" s="73"/>
      <c r="X4303" s="189"/>
      <c r="Y4303" s="189"/>
      <c r="Z4303" s="100"/>
      <c r="AC4303" s="84"/>
      <c r="AD4303" s="189"/>
      <c r="AE4303" s="189"/>
      <c r="AF4303" s="189"/>
      <c r="AG4303" s="189"/>
      <c r="AH4303" s="189"/>
      <c r="AP4303" s="238"/>
    </row>
    <row r="4304" spans="3:42" s="45" customFormat="1" x14ac:dyDescent="0.2">
      <c r="C4304" s="189"/>
      <c r="F4304" s="73"/>
      <c r="M4304" s="111"/>
      <c r="N4304" s="73"/>
      <c r="O4304" s="73"/>
      <c r="P4304" s="73"/>
      <c r="Q4304" s="73"/>
      <c r="R4304" s="111"/>
      <c r="S4304" s="75"/>
      <c r="T4304" s="73"/>
      <c r="X4304" s="189"/>
      <c r="Y4304" s="189"/>
      <c r="Z4304" s="100"/>
      <c r="AC4304" s="84"/>
      <c r="AD4304" s="189"/>
      <c r="AE4304" s="189"/>
      <c r="AF4304" s="189"/>
      <c r="AG4304" s="189"/>
      <c r="AH4304" s="189"/>
      <c r="AP4304" s="238"/>
    </row>
    <row r="4305" spans="3:42" s="45" customFormat="1" x14ac:dyDescent="0.2">
      <c r="C4305" s="189"/>
      <c r="F4305" s="73"/>
      <c r="M4305" s="111"/>
      <c r="N4305" s="73"/>
      <c r="O4305" s="73"/>
      <c r="P4305" s="73"/>
      <c r="Q4305" s="73"/>
      <c r="R4305" s="111"/>
      <c r="S4305" s="75"/>
      <c r="T4305" s="73"/>
      <c r="X4305" s="189"/>
      <c r="Y4305" s="189"/>
      <c r="Z4305" s="100"/>
      <c r="AC4305" s="84"/>
      <c r="AD4305" s="189"/>
      <c r="AE4305" s="189"/>
      <c r="AF4305" s="189"/>
      <c r="AG4305" s="189"/>
      <c r="AH4305" s="189"/>
      <c r="AP4305" s="238"/>
    </row>
    <row r="4306" spans="3:42" s="45" customFormat="1" x14ac:dyDescent="0.2">
      <c r="C4306" s="189"/>
      <c r="F4306" s="73"/>
      <c r="M4306" s="111"/>
      <c r="N4306" s="73"/>
      <c r="O4306" s="73"/>
      <c r="P4306" s="73"/>
      <c r="Q4306" s="73"/>
      <c r="R4306" s="111"/>
      <c r="S4306" s="75"/>
      <c r="T4306" s="73"/>
      <c r="X4306" s="189"/>
      <c r="Y4306" s="189"/>
      <c r="Z4306" s="100"/>
      <c r="AC4306" s="84"/>
      <c r="AD4306" s="189"/>
      <c r="AE4306" s="189"/>
      <c r="AF4306" s="189"/>
      <c r="AG4306" s="189"/>
      <c r="AH4306" s="189"/>
      <c r="AP4306" s="238"/>
    </row>
    <row r="4307" spans="3:42" s="45" customFormat="1" x14ac:dyDescent="0.2">
      <c r="C4307" s="189"/>
      <c r="F4307" s="73"/>
      <c r="M4307" s="111"/>
      <c r="N4307" s="73"/>
      <c r="O4307" s="73"/>
      <c r="P4307" s="73"/>
      <c r="Q4307" s="73"/>
      <c r="R4307" s="111"/>
      <c r="S4307" s="75"/>
      <c r="T4307" s="73"/>
      <c r="X4307" s="189"/>
      <c r="Y4307" s="189"/>
      <c r="Z4307" s="100"/>
      <c r="AC4307" s="84"/>
      <c r="AD4307" s="189"/>
      <c r="AE4307" s="189"/>
      <c r="AF4307" s="189"/>
      <c r="AG4307" s="189"/>
      <c r="AH4307" s="189"/>
      <c r="AP4307" s="238"/>
    </row>
    <row r="4308" spans="3:42" s="45" customFormat="1" x14ac:dyDescent="0.2">
      <c r="C4308" s="189"/>
      <c r="F4308" s="73"/>
      <c r="M4308" s="111"/>
      <c r="N4308" s="73"/>
      <c r="O4308" s="73"/>
      <c r="P4308" s="73"/>
      <c r="Q4308" s="73"/>
      <c r="R4308" s="111"/>
      <c r="S4308" s="75"/>
      <c r="T4308" s="73"/>
      <c r="X4308" s="189"/>
      <c r="Y4308" s="189"/>
      <c r="Z4308" s="100"/>
      <c r="AC4308" s="84"/>
      <c r="AD4308" s="189"/>
      <c r="AE4308" s="189"/>
      <c r="AF4308" s="189"/>
      <c r="AG4308" s="189"/>
      <c r="AH4308" s="189"/>
      <c r="AP4308" s="238"/>
    </row>
    <row r="4309" spans="3:42" s="45" customFormat="1" x14ac:dyDescent="0.2">
      <c r="C4309" s="189"/>
      <c r="F4309" s="73"/>
      <c r="M4309" s="111"/>
      <c r="N4309" s="73"/>
      <c r="O4309" s="73"/>
      <c r="P4309" s="73"/>
      <c r="Q4309" s="73"/>
      <c r="R4309" s="111"/>
      <c r="S4309" s="75"/>
      <c r="T4309" s="73"/>
      <c r="X4309" s="189"/>
      <c r="Y4309" s="189"/>
      <c r="Z4309" s="100"/>
      <c r="AC4309" s="84"/>
      <c r="AD4309" s="189"/>
      <c r="AE4309" s="189"/>
      <c r="AF4309" s="189"/>
      <c r="AG4309" s="189"/>
      <c r="AH4309" s="189"/>
      <c r="AP4309" s="238"/>
    </row>
    <row r="4310" spans="3:42" s="45" customFormat="1" x14ac:dyDescent="0.2">
      <c r="C4310" s="189"/>
      <c r="F4310" s="73"/>
      <c r="M4310" s="111"/>
      <c r="N4310" s="73"/>
      <c r="O4310" s="73"/>
      <c r="P4310" s="73"/>
      <c r="Q4310" s="73"/>
      <c r="R4310" s="111"/>
      <c r="S4310" s="75"/>
      <c r="T4310" s="73"/>
      <c r="X4310" s="189"/>
      <c r="Y4310" s="189"/>
      <c r="Z4310" s="100"/>
      <c r="AC4310" s="84"/>
      <c r="AD4310" s="189"/>
      <c r="AE4310" s="189"/>
      <c r="AF4310" s="189"/>
      <c r="AG4310" s="189"/>
      <c r="AH4310" s="189"/>
      <c r="AP4310" s="238"/>
    </row>
    <row r="4311" spans="3:42" s="45" customFormat="1" x14ac:dyDescent="0.2">
      <c r="C4311" s="189"/>
      <c r="F4311" s="73"/>
      <c r="M4311" s="111"/>
      <c r="N4311" s="73"/>
      <c r="O4311" s="73"/>
      <c r="P4311" s="73"/>
      <c r="Q4311" s="73"/>
      <c r="R4311" s="111"/>
      <c r="S4311" s="75"/>
      <c r="T4311" s="73"/>
      <c r="X4311" s="189"/>
      <c r="Y4311" s="189"/>
      <c r="Z4311" s="100"/>
      <c r="AC4311" s="84"/>
      <c r="AD4311" s="189"/>
      <c r="AE4311" s="189"/>
      <c r="AF4311" s="189"/>
      <c r="AG4311" s="189"/>
      <c r="AH4311" s="189"/>
      <c r="AP4311" s="238"/>
    </row>
    <row r="4312" spans="3:42" s="45" customFormat="1" x14ac:dyDescent="0.2">
      <c r="C4312" s="189"/>
      <c r="F4312" s="73"/>
      <c r="M4312" s="111"/>
      <c r="N4312" s="73"/>
      <c r="O4312" s="73"/>
      <c r="P4312" s="73"/>
      <c r="Q4312" s="73"/>
      <c r="R4312" s="111"/>
      <c r="S4312" s="75"/>
      <c r="T4312" s="73"/>
      <c r="X4312" s="189"/>
      <c r="Y4312" s="189"/>
      <c r="Z4312" s="100"/>
      <c r="AC4312" s="84"/>
      <c r="AD4312" s="189"/>
      <c r="AE4312" s="189"/>
      <c r="AF4312" s="189"/>
      <c r="AG4312" s="189"/>
      <c r="AH4312" s="189"/>
      <c r="AP4312" s="238"/>
    </row>
    <row r="4313" spans="3:42" s="45" customFormat="1" x14ac:dyDescent="0.2">
      <c r="C4313" s="189"/>
      <c r="F4313" s="73"/>
      <c r="M4313" s="111"/>
      <c r="N4313" s="73"/>
      <c r="O4313" s="73"/>
      <c r="P4313" s="73"/>
      <c r="Q4313" s="73"/>
      <c r="R4313" s="111"/>
      <c r="S4313" s="75"/>
      <c r="T4313" s="73"/>
      <c r="X4313" s="189"/>
      <c r="Y4313" s="189"/>
      <c r="Z4313" s="100"/>
      <c r="AC4313" s="84"/>
      <c r="AD4313" s="189"/>
      <c r="AE4313" s="189"/>
      <c r="AF4313" s="189"/>
      <c r="AG4313" s="189"/>
      <c r="AH4313" s="189"/>
      <c r="AP4313" s="238"/>
    </row>
    <row r="4314" spans="3:42" s="45" customFormat="1" x14ac:dyDescent="0.2">
      <c r="C4314" s="189"/>
      <c r="F4314" s="73"/>
      <c r="M4314" s="111"/>
      <c r="N4314" s="73"/>
      <c r="O4314" s="73"/>
      <c r="P4314" s="73"/>
      <c r="Q4314" s="73"/>
      <c r="R4314" s="111"/>
      <c r="S4314" s="75"/>
      <c r="T4314" s="73"/>
      <c r="X4314" s="189"/>
      <c r="Y4314" s="189"/>
      <c r="Z4314" s="100"/>
      <c r="AC4314" s="84"/>
      <c r="AD4314" s="189"/>
      <c r="AE4314" s="189"/>
      <c r="AF4314" s="189"/>
      <c r="AG4314" s="189"/>
      <c r="AH4314" s="189"/>
      <c r="AP4314" s="238"/>
    </row>
    <row r="4315" spans="3:42" s="45" customFormat="1" x14ac:dyDescent="0.2">
      <c r="C4315" s="189"/>
      <c r="F4315" s="73"/>
      <c r="M4315" s="111"/>
      <c r="N4315" s="73"/>
      <c r="O4315" s="73"/>
      <c r="P4315" s="73"/>
      <c r="Q4315" s="73"/>
      <c r="R4315" s="111"/>
      <c r="S4315" s="75"/>
      <c r="T4315" s="73"/>
      <c r="X4315" s="189"/>
      <c r="Y4315" s="189"/>
      <c r="Z4315" s="100"/>
      <c r="AC4315" s="84"/>
      <c r="AD4315" s="189"/>
      <c r="AE4315" s="189"/>
      <c r="AF4315" s="189"/>
      <c r="AG4315" s="189"/>
      <c r="AH4315" s="189"/>
      <c r="AP4315" s="238"/>
    </row>
    <row r="4316" spans="3:42" s="45" customFormat="1" x14ac:dyDescent="0.2">
      <c r="C4316" s="189"/>
      <c r="F4316" s="73"/>
      <c r="M4316" s="111"/>
      <c r="N4316" s="73"/>
      <c r="O4316" s="73"/>
      <c r="P4316" s="73"/>
      <c r="Q4316" s="73"/>
      <c r="R4316" s="111"/>
      <c r="S4316" s="75"/>
      <c r="T4316" s="73"/>
      <c r="X4316" s="189"/>
      <c r="Y4316" s="189"/>
      <c r="Z4316" s="100"/>
      <c r="AC4316" s="84"/>
      <c r="AD4316" s="189"/>
      <c r="AE4316" s="189"/>
      <c r="AF4316" s="189"/>
      <c r="AG4316" s="189"/>
      <c r="AH4316" s="189"/>
      <c r="AP4316" s="238"/>
    </row>
    <row r="4317" spans="3:42" s="45" customFormat="1" x14ac:dyDescent="0.2">
      <c r="C4317" s="189"/>
      <c r="F4317" s="73"/>
      <c r="M4317" s="111"/>
      <c r="N4317" s="73"/>
      <c r="O4317" s="73"/>
      <c r="P4317" s="73"/>
      <c r="Q4317" s="73"/>
      <c r="R4317" s="111"/>
      <c r="S4317" s="75"/>
      <c r="T4317" s="73"/>
      <c r="X4317" s="189"/>
      <c r="Y4317" s="189"/>
      <c r="Z4317" s="100"/>
      <c r="AC4317" s="84"/>
      <c r="AD4317" s="189"/>
      <c r="AE4317" s="189"/>
      <c r="AF4317" s="189"/>
      <c r="AG4317" s="189"/>
      <c r="AH4317" s="189"/>
      <c r="AP4317" s="238"/>
    </row>
    <row r="4318" spans="3:42" s="45" customFormat="1" x14ac:dyDescent="0.2">
      <c r="C4318" s="189"/>
      <c r="F4318" s="73"/>
      <c r="M4318" s="111"/>
      <c r="N4318" s="73"/>
      <c r="O4318" s="73"/>
      <c r="P4318" s="73"/>
      <c r="Q4318" s="73"/>
      <c r="R4318" s="111"/>
      <c r="S4318" s="75"/>
      <c r="T4318" s="73"/>
      <c r="X4318" s="189"/>
      <c r="Y4318" s="189"/>
      <c r="Z4318" s="100"/>
      <c r="AC4318" s="84"/>
      <c r="AD4318" s="189"/>
      <c r="AE4318" s="189"/>
      <c r="AF4318" s="189"/>
      <c r="AG4318" s="189"/>
      <c r="AH4318" s="189"/>
      <c r="AP4318" s="238"/>
    </row>
    <row r="4319" spans="3:42" s="45" customFormat="1" x14ac:dyDescent="0.2">
      <c r="C4319" s="189"/>
      <c r="F4319" s="73"/>
      <c r="M4319" s="111"/>
      <c r="N4319" s="73"/>
      <c r="O4319" s="73"/>
      <c r="P4319" s="73"/>
      <c r="Q4319" s="73"/>
      <c r="R4319" s="111"/>
      <c r="S4319" s="75"/>
      <c r="T4319" s="73"/>
      <c r="X4319" s="189"/>
      <c r="Y4319" s="189"/>
      <c r="Z4319" s="100"/>
      <c r="AC4319" s="84"/>
      <c r="AD4319" s="189"/>
      <c r="AE4319" s="189"/>
      <c r="AF4319" s="189"/>
      <c r="AG4319" s="189"/>
      <c r="AH4319" s="189"/>
      <c r="AP4319" s="238"/>
    </row>
    <row r="4320" spans="3:42" s="45" customFormat="1" x14ac:dyDescent="0.2">
      <c r="C4320" s="189"/>
      <c r="F4320" s="73"/>
      <c r="M4320" s="111"/>
      <c r="N4320" s="73"/>
      <c r="O4320" s="73"/>
      <c r="P4320" s="73"/>
      <c r="Q4320" s="73"/>
      <c r="R4320" s="111"/>
      <c r="S4320" s="75"/>
      <c r="T4320" s="73"/>
      <c r="X4320" s="189"/>
      <c r="Y4320" s="189"/>
      <c r="Z4320" s="100"/>
      <c r="AC4320" s="84"/>
      <c r="AD4320" s="189"/>
      <c r="AE4320" s="189"/>
      <c r="AF4320" s="189"/>
      <c r="AG4320" s="189"/>
      <c r="AH4320" s="189"/>
      <c r="AP4320" s="238"/>
    </row>
    <row r="4321" spans="3:42" s="45" customFormat="1" x14ac:dyDescent="0.2">
      <c r="C4321" s="189"/>
      <c r="F4321" s="73"/>
      <c r="M4321" s="111"/>
      <c r="N4321" s="73"/>
      <c r="O4321" s="73"/>
      <c r="P4321" s="73"/>
      <c r="Q4321" s="73"/>
      <c r="R4321" s="111"/>
      <c r="S4321" s="75"/>
      <c r="T4321" s="73"/>
      <c r="X4321" s="189"/>
      <c r="Y4321" s="189"/>
      <c r="Z4321" s="100"/>
      <c r="AC4321" s="84"/>
      <c r="AD4321" s="189"/>
      <c r="AE4321" s="189"/>
      <c r="AF4321" s="189"/>
      <c r="AG4321" s="189"/>
      <c r="AH4321" s="189"/>
      <c r="AP4321" s="238"/>
    </row>
    <row r="4322" spans="3:42" s="45" customFormat="1" x14ac:dyDescent="0.2">
      <c r="C4322" s="189"/>
      <c r="F4322" s="73"/>
      <c r="M4322" s="111"/>
      <c r="N4322" s="73"/>
      <c r="O4322" s="73"/>
      <c r="P4322" s="73"/>
      <c r="Q4322" s="73"/>
      <c r="R4322" s="111"/>
      <c r="S4322" s="75"/>
      <c r="T4322" s="73"/>
      <c r="X4322" s="189"/>
      <c r="Y4322" s="189"/>
      <c r="Z4322" s="100"/>
      <c r="AC4322" s="84"/>
      <c r="AD4322" s="189"/>
      <c r="AE4322" s="189"/>
      <c r="AF4322" s="189"/>
      <c r="AG4322" s="189"/>
      <c r="AH4322" s="189"/>
      <c r="AP4322" s="238"/>
    </row>
    <row r="4323" spans="3:42" s="45" customFormat="1" x14ac:dyDescent="0.2">
      <c r="C4323" s="189"/>
      <c r="F4323" s="73"/>
      <c r="M4323" s="111"/>
      <c r="N4323" s="73"/>
      <c r="O4323" s="73"/>
      <c r="P4323" s="73"/>
      <c r="Q4323" s="73"/>
      <c r="R4323" s="111"/>
      <c r="S4323" s="75"/>
      <c r="T4323" s="73"/>
      <c r="X4323" s="189"/>
      <c r="Y4323" s="189"/>
      <c r="Z4323" s="100"/>
      <c r="AC4323" s="84"/>
      <c r="AD4323" s="189"/>
      <c r="AE4323" s="189"/>
      <c r="AF4323" s="189"/>
      <c r="AG4323" s="189"/>
      <c r="AH4323" s="189"/>
      <c r="AP4323" s="238"/>
    </row>
    <row r="4324" spans="3:42" s="45" customFormat="1" x14ac:dyDescent="0.2">
      <c r="C4324" s="189"/>
      <c r="F4324" s="73"/>
      <c r="M4324" s="111"/>
      <c r="N4324" s="73"/>
      <c r="O4324" s="73"/>
      <c r="P4324" s="73"/>
      <c r="Q4324" s="73"/>
      <c r="R4324" s="111"/>
      <c r="S4324" s="75"/>
      <c r="T4324" s="73"/>
      <c r="X4324" s="189"/>
      <c r="Y4324" s="189"/>
      <c r="Z4324" s="100"/>
      <c r="AC4324" s="84"/>
      <c r="AD4324" s="189"/>
      <c r="AE4324" s="189"/>
      <c r="AF4324" s="189"/>
      <c r="AG4324" s="189"/>
      <c r="AH4324" s="189"/>
      <c r="AP4324" s="238"/>
    </row>
    <row r="4325" spans="3:42" s="45" customFormat="1" x14ac:dyDescent="0.2">
      <c r="C4325" s="189"/>
      <c r="F4325" s="73"/>
      <c r="M4325" s="111"/>
      <c r="N4325" s="73"/>
      <c r="O4325" s="73"/>
      <c r="P4325" s="73"/>
      <c r="Q4325" s="73"/>
      <c r="R4325" s="111"/>
      <c r="S4325" s="75"/>
      <c r="T4325" s="73"/>
      <c r="X4325" s="189"/>
      <c r="Y4325" s="189"/>
      <c r="Z4325" s="100"/>
      <c r="AC4325" s="84"/>
      <c r="AD4325" s="189"/>
      <c r="AE4325" s="189"/>
      <c r="AF4325" s="189"/>
      <c r="AG4325" s="189"/>
      <c r="AH4325" s="189"/>
      <c r="AP4325" s="238"/>
    </row>
    <row r="4326" spans="3:42" s="45" customFormat="1" x14ac:dyDescent="0.2">
      <c r="C4326" s="189"/>
      <c r="F4326" s="73"/>
      <c r="M4326" s="111"/>
      <c r="N4326" s="73"/>
      <c r="O4326" s="73"/>
      <c r="P4326" s="73"/>
      <c r="Q4326" s="73"/>
      <c r="R4326" s="111"/>
      <c r="S4326" s="75"/>
      <c r="T4326" s="73"/>
      <c r="X4326" s="189"/>
      <c r="Y4326" s="189"/>
      <c r="Z4326" s="100"/>
      <c r="AC4326" s="84"/>
      <c r="AD4326" s="189"/>
      <c r="AE4326" s="189"/>
      <c r="AF4326" s="189"/>
      <c r="AG4326" s="189"/>
      <c r="AH4326" s="189"/>
      <c r="AP4326" s="238"/>
    </row>
    <row r="4327" spans="3:42" s="45" customFormat="1" x14ac:dyDescent="0.2">
      <c r="C4327" s="189"/>
      <c r="F4327" s="73"/>
      <c r="M4327" s="111"/>
      <c r="N4327" s="73"/>
      <c r="O4327" s="73"/>
      <c r="P4327" s="73"/>
      <c r="Q4327" s="73"/>
      <c r="R4327" s="111"/>
      <c r="S4327" s="75"/>
      <c r="T4327" s="73"/>
      <c r="X4327" s="189"/>
      <c r="Y4327" s="189"/>
      <c r="Z4327" s="100"/>
      <c r="AC4327" s="84"/>
      <c r="AD4327" s="189"/>
      <c r="AE4327" s="189"/>
      <c r="AF4327" s="189"/>
      <c r="AG4327" s="189"/>
      <c r="AH4327" s="189"/>
      <c r="AP4327" s="238"/>
    </row>
    <row r="4328" spans="3:42" s="45" customFormat="1" x14ac:dyDescent="0.2">
      <c r="C4328" s="189"/>
      <c r="F4328" s="73"/>
      <c r="M4328" s="111"/>
      <c r="N4328" s="73"/>
      <c r="O4328" s="73"/>
      <c r="P4328" s="73"/>
      <c r="Q4328" s="73"/>
      <c r="R4328" s="111"/>
      <c r="S4328" s="75"/>
      <c r="T4328" s="73"/>
      <c r="X4328" s="189"/>
      <c r="Y4328" s="189"/>
      <c r="Z4328" s="100"/>
      <c r="AC4328" s="84"/>
      <c r="AD4328" s="189"/>
      <c r="AE4328" s="189"/>
      <c r="AF4328" s="189"/>
      <c r="AG4328" s="189"/>
      <c r="AH4328" s="189"/>
      <c r="AP4328" s="238"/>
    </row>
    <row r="4329" spans="3:42" s="45" customFormat="1" x14ac:dyDescent="0.2">
      <c r="C4329" s="189"/>
      <c r="F4329" s="73"/>
      <c r="M4329" s="111"/>
      <c r="N4329" s="73"/>
      <c r="O4329" s="73"/>
      <c r="P4329" s="73"/>
      <c r="Q4329" s="73"/>
      <c r="R4329" s="111"/>
      <c r="S4329" s="75"/>
      <c r="T4329" s="73"/>
      <c r="X4329" s="189"/>
      <c r="Y4329" s="189"/>
      <c r="Z4329" s="100"/>
      <c r="AC4329" s="84"/>
      <c r="AD4329" s="189"/>
      <c r="AE4329" s="189"/>
      <c r="AF4329" s="189"/>
      <c r="AG4329" s="189"/>
      <c r="AH4329" s="189"/>
      <c r="AP4329" s="238"/>
    </row>
    <row r="4330" spans="3:42" s="45" customFormat="1" x14ac:dyDescent="0.2">
      <c r="C4330" s="189"/>
      <c r="F4330" s="73"/>
      <c r="M4330" s="111"/>
      <c r="N4330" s="73"/>
      <c r="O4330" s="73"/>
      <c r="P4330" s="73"/>
      <c r="Q4330" s="73"/>
      <c r="R4330" s="111"/>
      <c r="S4330" s="75"/>
      <c r="T4330" s="73"/>
      <c r="X4330" s="189"/>
      <c r="Y4330" s="189"/>
      <c r="Z4330" s="100"/>
      <c r="AC4330" s="84"/>
      <c r="AD4330" s="189"/>
      <c r="AE4330" s="189"/>
      <c r="AF4330" s="189"/>
      <c r="AG4330" s="189"/>
      <c r="AH4330" s="189"/>
      <c r="AP4330" s="238"/>
    </row>
    <row r="4331" spans="3:42" s="45" customFormat="1" x14ac:dyDescent="0.2">
      <c r="C4331" s="189"/>
      <c r="F4331" s="73"/>
      <c r="M4331" s="111"/>
      <c r="N4331" s="73"/>
      <c r="O4331" s="73"/>
      <c r="P4331" s="73"/>
      <c r="Q4331" s="73"/>
      <c r="R4331" s="111"/>
      <c r="S4331" s="75"/>
      <c r="T4331" s="73"/>
      <c r="X4331" s="189"/>
      <c r="Y4331" s="189"/>
      <c r="Z4331" s="100"/>
      <c r="AC4331" s="84"/>
      <c r="AD4331" s="189"/>
      <c r="AE4331" s="189"/>
      <c r="AF4331" s="189"/>
      <c r="AG4331" s="189"/>
      <c r="AH4331" s="189"/>
      <c r="AP4331" s="238"/>
    </row>
    <row r="4332" spans="3:42" s="45" customFormat="1" x14ac:dyDescent="0.2">
      <c r="C4332" s="189"/>
      <c r="F4332" s="73"/>
      <c r="M4332" s="111"/>
      <c r="N4332" s="73"/>
      <c r="O4332" s="73"/>
      <c r="P4332" s="73"/>
      <c r="Q4332" s="73"/>
      <c r="R4332" s="111"/>
      <c r="S4332" s="75"/>
      <c r="T4332" s="73"/>
      <c r="X4332" s="189"/>
      <c r="Y4332" s="189"/>
      <c r="Z4332" s="100"/>
      <c r="AC4332" s="84"/>
      <c r="AD4332" s="189"/>
      <c r="AE4332" s="189"/>
      <c r="AF4332" s="189"/>
      <c r="AG4332" s="189"/>
      <c r="AH4332" s="189"/>
      <c r="AP4332" s="238"/>
    </row>
    <row r="4333" spans="3:42" s="45" customFormat="1" x14ac:dyDescent="0.2">
      <c r="C4333" s="189"/>
      <c r="F4333" s="73"/>
      <c r="M4333" s="111"/>
      <c r="N4333" s="73"/>
      <c r="O4333" s="73"/>
      <c r="P4333" s="73"/>
      <c r="Q4333" s="73"/>
      <c r="R4333" s="111"/>
      <c r="S4333" s="75"/>
      <c r="T4333" s="73"/>
      <c r="X4333" s="189"/>
      <c r="Y4333" s="189"/>
      <c r="Z4333" s="100"/>
      <c r="AC4333" s="84"/>
      <c r="AD4333" s="189"/>
      <c r="AE4333" s="189"/>
      <c r="AF4333" s="189"/>
      <c r="AG4333" s="189"/>
      <c r="AH4333" s="189"/>
      <c r="AP4333" s="238"/>
    </row>
    <row r="4334" spans="3:42" s="45" customFormat="1" x14ac:dyDescent="0.2">
      <c r="C4334" s="189"/>
      <c r="F4334" s="73"/>
      <c r="M4334" s="111"/>
      <c r="N4334" s="73"/>
      <c r="O4334" s="73"/>
      <c r="P4334" s="73"/>
      <c r="Q4334" s="73"/>
      <c r="R4334" s="111"/>
      <c r="S4334" s="75"/>
      <c r="T4334" s="73"/>
      <c r="X4334" s="189"/>
      <c r="Y4334" s="189"/>
      <c r="Z4334" s="100"/>
      <c r="AC4334" s="84"/>
      <c r="AD4334" s="189"/>
      <c r="AE4334" s="189"/>
      <c r="AF4334" s="189"/>
      <c r="AG4334" s="189"/>
      <c r="AH4334" s="189"/>
      <c r="AP4334" s="238"/>
    </row>
    <row r="4335" spans="3:42" s="45" customFormat="1" x14ac:dyDescent="0.2">
      <c r="C4335" s="189"/>
      <c r="F4335" s="73"/>
      <c r="M4335" s="111"/>
      <c r="N4335" s="73"/>
      <c r="O4335" s="73"/>
      <c r="P4335" s="73"/>
      <c r="Q4335" s="73"/>
      <c r="R4335" s="111"/>
      <c r="S4335" s="75"/>
      <c r="T4335" s="73"/>
      <c r="X4335" s="189"/>
      <c r="Y4335" s="189"/>
      <c r="Z4335" s="100"/>
      <c r="AC4335" s="84"/>
      <c r="AD4335" s="189"/>
      <c r="AE4335" s="189"/>
      <c r="AF4335" s="189"/>
      <c r="AG4335" s="189"/>
      <c r="AH4335" s="189"/>
      <c r="AP4335" s="238"/>
    </row>
    <row r="4336" spans="3:42" s="45" customFormat="1" x14ac:dyDescent="0.2">
      <c r="C4336" s="189"/>
      <c r="F4336" s="73"/>
      <c r="M4336" s="111"/>
      <c r="N4336" s="73"/>
      <c r="O4336" s="73"/>
      <c r="P4336" s="73"/>
      <c r="Q4336" s="73"/>
      <c r="R4336" s="111"/>
      <c r="S4336" s="75"/>
      <c r="T4336" s="73"/>
      <c r="X4336" s="189"/>
      <c r="Y4336" s="189"/>
      <c r="Z4336" s="100"/>
      <c r="AC4336" s="84"/>
      <c r="AD4336" s="189"/>
      <c r="AE4336" s="189"/>
      <c r="AF4336" s="189"/>
      <c r="AG4336" s="189"/>
      <c r="AH4336" s="189"/>
      <c r="AP4336" s="238"/>
    </row>
    <row r="4337" spans="3:42" s="45" customFormat="1" x14ac:dyDescent="0.2">
      <c r="C4337" s="189"/>
      <c r="F4337" s="73"/>
      <c r="M4337" s="111"/>
      <c r="N4337" s="73"/>
      <c r="O4337" s="73"/>
      <c r="P4337" s="73"/>
      <c r="Q4337" s="73"/>
      <c r="R4337" s="111"/>
      <c r="S4337" s="75"/>
      <c r="T4337" s="73"/>
      <c r="X4337" s="189"/>
      <c r="Y4337" s="189"/>
      <c r="Z4337" s="100"/>
      <c r="AC4337" s="84"/>
      <c r="AD4337" s="189"/>
      <c r="AE4337" s="189"/>
      <c r="AF4337" s="189"/>
      <c r="AG4337" s="189"/>
      <c r="AH4337" s="189"/>
      <c r="AP4337" s="238"/>
    </row>
    <row r="4338" spans="3:42" s="45" customFormat="1" x14ac:dyDescent="0.2">
      <c r="C4338" s="189"/>
      <c r="F4338" s="73"/>
      <c r="M4338" s="111"/>
      <c r="N4338" s="73"/>
      <c r="O4338" s="73"/>
      <c r="P4338" s="73"/>
      <c r="Q4338" s="73"/>
      <c r="R4338" s="111"/>
      <c r="S4338" s="75"/>
      <c r="T4338" s="73"/>
      <c r="X4338" s="189"/>
      <c r="Y4338" s="189"/>
      <c r="Z4338" s="100"/>
      <c r="AC4338" s="84"/>
      <c r="AD4338" s="189"/>
      <c r="AE4338" s="189"/>
      <c r="AF4338" s="189"/>
      <c r="AG4338" s="189"/>
      <c r="AH4338" s="189"/>
      <c r="AP4338" s="238"/>
    </row>
    <row r="4339" spans="3:42" s="45" customFormat="1" x14ac:dyDescent="0.2">
      <c r="C4339" s="189"/>
      <c r="F4339" s="73"/>
      <c r="M4339" s="111"/>
      <c r="N4339" s="73"/>
      <c r="O4339" s="73"/>
      <c r="P4339" s="73"/>
      <c r="Q4339" s="73"/>
      <c r="R4339" s="111"/>
      <c r="S4339" s="75"/>
      <c r="T4339" s="73"/>
      <c r="X4339" s="189"/>
      <c r="Y4339" s="189"/>
      <c r="Z4339" s="100"/>
      <c r="AC4339" s="84"/>
      <c r="AD4339" s="189"/>
      <c r="AE4339" s="189"/>
      <c r="AF4339" s="189"/>
      <c r="AG4339" s="189"/>
      <c r="AH4339" s="189"/>
      <c r="AP4339" s="238"/>
    </row>
    <row r="4340" spans="3:42" s="45" customFormat="1" x14ac:dyDescent="0.2">
      <c r="C4340" s="189"/>
      <c r="F4340" s="73"/>
      <c r="M4340" s="111"/>
      <c r="N4340" s="73"/>
      <c r="O4340" s="73"/>
      <c r="P4340" s="73"/>
      <c r="Q4340" s="73"/>
      <c r="R4340" s="111"/>
      <c r="S4340" s="75"/>
      <c r="T4340" s="73"/>
      <c r="X4340" s="189"/>
      <c r="Y4340" s="189"/>
      <c r="Z4340" s="100"/>
      <c r="AC4340" s="84"/>
      <c r="AD4340" s="189"/>
      <c r="AE4340" s="189"/>
      <c r="AF4340" s="189"/>
      <c r="AG4340" s="189"/>
      <c r="AH4340" s="189"/>
      <c r="AP4340" s="238"/>
    </row>
    <row r="4341" spans="3:42" s="45" customFormat="1" x14ac:dyDescent="0.2">
      <c r="C4341" s="189"/>
      <c r="F4341" s="73"/>
      <c r="M4341" s="111"/>
      <c r="N4341" s="73"/>
      <c r="O4341" s="73"/>
      <c r="P4341" s="73"/>
      <c r="Q4341" s="73"/>
      <c r="R4341" s="111"/>
      <c r="S4341" s="75"/>
      <c r="T4341" s="73"/>
      <c r="X4341" s="189"/>
      <c r="Y4341" s="189"/>
      <c r="Z4341" s="100"/>
      <c r="AC4341" s="84"/>
      <c r="AD4341" s="189"/>
      <c r="AE4341" s="189"/>
      <c r="AF4341" s="189"/>
      <c r="AG4341" s="189"/>
      <c r="AH4341" s="189"/>
      <c r="AP4341" s="238"/>
    </row>
    <row r="4342" spans="3:42" s="45" customFormat="1" x14ac:dyDescent="0.2">
      <c r="C4342" s="189"/>
      <c r="F4342" s="73"/>
      <c r="M4342" s="111"/>
      <c r="N4342" s="73"/>
      <c r="O4342" s="73"/>
      <c r="P4342" s="73"/>
      <c r="Q4342" s="73"/>
      <c r="R4342" s="111"/>
      <c r="S4342" s="75"/>
      <c r="T4342" s="73"/>
      <c r="X4342" s="189"/>
      <c r="Y4342" s="189"/>
      <c r="Z4342" s="100"/>
      <c r="AC4342" s="84"/>
      <c r="AD4342" s="189"/>
      <c r="AE4342" s="189"/>
      <c r="AF4342" s="189"/>
      <c r="AG4342" s="189"/>
      <c r="AH4342" s="189"/>
      <c r="AP4342" s="238"/>
    </row>
    <row r="4343" spans="3:42" s="45" customFormat="1" x14ac:dyDescent="0.2">
      <c r="C4343" s="189"/>
      <c r="F4343" s="73"/>
      <c r="M4343" s="111"/>
      <c r="N4343" s="73"/>
      <c r="O4343" s="73"/>
      <c r="P4343" s="73"/>
      <c r="Q4343" s="73"/>
      <c r="R4343" s="111"/>
      <c r="S4343" s="75"/>
      <c r="T4343" s="73"/>
      <c r="X4343" s="189"/>
      <c r="Y4343" s="189"/>
      <c r="Z4343" s="100"/>
      <c r="AC4343" s="84"/>
      <c r="AD4343" s="189"/>
      <c r="AE4343" s="189"/>
      <c r="AF4343" s="189"/>
      <c r="AG4343" s="189"/>
      <c r="AH4343" s="189"/>
      <c r="AP4343" s="238"/>
    </row>
    <row r="4344" spans="3:42" s="45" customFormat="1" x14ac:dyDescent="0.2">
      <c r="C4344" s="189"/>
      <c r="F4344" s="73"/>
      <c r="M4344" s="111"/>
      <c r="N4344" s="73"/>
      <c r="O4344" s="73"/>
      <c r="P4344" s="73"/>
      <c r="Q4344" s="73"/>
      <c r="R4344" s="111"/>
      <c r="S4344" s="75"/>
      <c r="T4344" s="73"/>
      <c r="X4344" s="189"/>
      <c r="Y4344" s="189"/>
      <c r="Z4344" s="100"/>
      <c r="AC4344" s="84"/>
      <c r="AD4344" s="189"/>
      <c r="AE4344" s="189"/>
      <c r="AF4344" s="189"/>
      <c r="AG4344" s="189"/>
      <c r="AH4344" s="189"/>
      <c r="AP4344" s="238"/>
    </row>
    <row r="4345" spans="3:42" s="45" customFormat="1" x14ac:dyDescent="0.2">
      <c r="C4345" s="189"/>
      <c r="F4345" s="73"/>
      <c r="M4345" s="111"/>
      <c r="N4345" s="73"/>
      <c r="O4345" s="73"/>
      <c r="P4345" s="73"/>
      <c r="Q4345" s="73"/>
      <c r="R4345" s="111"/>
      <c r="S4345" s="75"/>
      <c r="T4345" s="73"/>
      <c r="X4345" s="189"/>
      <c r="Y4345" s="189"/>
      <c r="Z4345" s="100"/>
      <c r="AC4345" s="84"/>
      <c r="AD4345" s="189"/>
      <c r="AE4345" s="189"/>
      <c r="AF4345" s="189"/>
      <c r="AG4345" s="189"/>
      <c r="AH4345" s="189"/>
      <c r="AP4345" s="238"/>
    </row>
    <row r="4346" spans="3:42" s="45" customFormat="1" x14ac:dyDescent="0.2">
      <c r="C4346" s="189"/>
      <c r="F4346" s="73"/>
      <c r="M4346" s="111"/>
      <c r="N4346" s="73"/>
      <c r="O4346" s="73"/>
      <c r="P4346" s="73"/>
      <c r="Q4346" s="73"/>
      <c r="R4346" s="111"/>
      <c r="S4346" s="75"/>
      <c r="T4346" s="73"/>
      <c r="X4346" s="189"/>
      <c r="Y4346" s="189"/>
      <c r="Z4346" s="100"/>
      <c r="AC4346" s="84"/>
      <c r="AD4346" s="189"/>
      <c r="AE4346" s="189"/>
      <c r="AF4346" s="189"/>
      <c r="AG4346" s="189"/>
      <c r="AH4346" s="189"/>
      <c r="AP4346" s="238"/>
    </row>
    <row r="4347" spans="3:42" s="45" customFormat="1" x14ac:dyDescent="0.2">
      <c r="C4347" s="189"/>
      <c r="F4347" s="73"/>
      <c r="M4347" s="111"/>
      <c r="N4347" s="73"/>
      <c r="O4347" s="73"/>
      <c r="P4347" s="73"/>
      <c r="Q4347" s="73"/>
      <c r="R4347" s="111"/>
      <c r="S4347" s="75"/>
      <c r="T4347" s="73"/>
      <c r="X4347" s="189"/>
      <c r="Y4347" s="189"/>
      <c r="Z4347" s="100"/>
      <c r="AC4347" s="84"/>
      <c r="AD4347" s="189"/>
      <c r="AE4347" s="189"/>
      <c r="AF4347" s="189"/>
      <c r="AG4347" s="189"/>
      <c r="AH4347" s="189"/>
      <c r="AP4347" s="238"/>
    </row>
    <row r="4348" spans="3:42" s="45" customFormat="1" x14ac:dyDescent="0.2">
      <c r="C4348" s="189"/>
      <c r="F4348" s="73"/>
      <c r="M4348" s="111"/>
      <c r="N4348" s="73"/>
      <c r="O4348" s="73"/>
      <c r="P4348" s="73"/>
      <c r="Q4348" s="73"/>
      <c r="R4348" s="111"/>
      <c r="S4348" s="75"/>
      <c r="T4348" s="73"/>
      <c r="X4348" s="189"/>
      <c r="Y4348" s="189"/>
      <c r="Z4348" s="100"/>
      <c r="AC4348" s="84"/>
      <c r="AD4348" s="189"/>
      <c r="AE4348" s="189"/>
      <c r="AF4348" s="189"/>
      <c r="AG4348" s="189"/>
      <c r="AH4348" s="189"/>
      <c r="AP4348" s="238"/>
    </row>
    <row r="4349" spans="3:42" s="45" customFormat="1" x14ac:dyDescent="0.2">
      <c r="C4349" s="189"/>
      <c r="F4349" s="73"/>
      <c r="M4349" s="111"/>
      <c r="N4349" s="73"/>
      <c r="O4349" s="73"/>
      <c r="P4349" s="73"/>
      <c r="Q4349" s="73"/>
      <c r="R4349" s="111"/>
      <c r="S4349" s="75"/>
      <c r="T4349" s="73"/>
      <c r="X4349" s="189"/>
      <c r="Y4349" s="189"/>
      <c r="Z4349" s="100"/>
      <c r="AC4349" s="84"/>
      <c r="AD4349" s="189"/>
      <c r="AE4349" s="189"/>
      <c r="AF4349" s="189"/>
      <c r="AG4349" s="189"/>
      <c r="AH4349" s="189"/>
      <c r="AP4349" s="238"/>
    </row>
    <row r="4350" spans="3:42" s="45" customFormat="1" x14ac:dyDescent="0.2">
      <c r="C4350" s="189"/>
      <c r="F4350" s="73"/>
      <c r="M4350" s="111"/>
      <c r="N4350" s="73"/>
      <c r="O4350" s="73"/>
      <c r="P4350" s="73"/>
      <c r="Q4350" s="73"/>
      <c r="R4350" s="111"/>
      <c r="S4350" s="75"/>
      <c r="T4350" s="73"/>
      <c r="X4350" s="189"/>
      <c r="Y4350" s="189"/>
      <c r="Z4350" s="100"/>
      <c r="AC4350" s="84"/>
      <c r="AD4350" s="189"/>
      <c r="AE4350" s="189"/>
      <c r="AF4350" s="189"/>
      <c r="AG4350" s="189"/>
      <c r="AH4350" s="189"/>
      <c r="AP4350" s="238"/>
    </row>
    <row r="4351" spans="3:42" s="45" customFormat="1" x14ac:dyDescent="0.2">
      <c r="C4351" s="189"/>
      <c r="F4351" s="73"/>
      <c r="M4351" s="111"/>
      <c r="N4351" s="73"/>
      <c r="O4351" s="73"/>
      <c r="P4351" s="73"/>
      <c r="Q4351" s="73"/>
      <c r="R4351" s="111"/>
      <c r="S4351" s="75"/>
      <c r="T4351" s="73"/>
      <c r="X4351" s="189"/>
      <c r="Y4351" s="189"/>
      <c r="Z4351" s="100"/>
      <c r="AC4351" s="84"/>
      <c r="AD4351" s="189"/>
      <c r="AE4351" s="189"/>
      <c r="AF4351" s="189"/>
      <c r="AG4351" s="189"/>
      <c r="AH4351" s="189"/>
      <c r="AP4351" s="238"/>
    </row>
    <row r="4352" spans="3:42" s="45" customFormat="1" x14ac:dyDescent="0.2">
      <c r="C4352" s="189"/>
      <c r="F4352" s="73"/>
      <c r="M4352" s="111"/>
      <c r="N4352" s="73"/>
      <c r="O4352" s="73"/>
      <c r="P4352" s="73"/>
      <c r="Q4352" s="73"/>
      <c r="R4352" s="111"/>
      <c r="S4352" s="75"/>
      <c r="T4352" s="73"/>
      <c r="X4352" s="189"/>
      <c r="Y4352" s="189"/>
      <c r="Z4352" s="100"/>
      <c r="AC4352" s="84"/>
      <c r="AD4352" s="189"/>
      <c r="AE4352" s="189"/>
      <c r="AF4352" s="189"/>
      <c r="AG4352" s="189"/>
      <c r="AH4352" s="189"/>
      <c r="AP4352" s="238"/>
    </row>
    <row r="4353" spans="3:42" s="45" customFormat="1" x14ac:dyDescent="0.2">
      <c r="C4353" s="189"/>
      <c r="F4353" s="73"/>
      <c r="M4353" s="111"/>
      <c r="N4353" s="73"/>
      <c r="O4353" s="73"/>
      <c r="P4353" s="73"/>
      <c r="Q4353" s="73"/>
      <c r="R4353" s="111"/>
      <c r="S4353" s="75"/>
      <c r="T4353" s="73"/>
      <c r="X4353" s="189"/>
      <c r="Y4353" s="189"/>
      <c r="Z4353" s="100"/>
      <c r="AC4353" s="84"/>
      <c r="AD4353" s="189"/>
      <c r="AE4353" s="189"/>
      <c r="AF4353" s="189"/>
      <c r="AG4353" s="189"/>
      <c r="AH4353" s="189"/>
      <c r="AP4353" s="238"/>
    </row>
    <row r="4354" spans="3:42" s="45" customFormat="1" x14ac:dyDescent="0.2">
      <c r="C4354" s="189"/>
      <c r="F4354" s="73"/>
      <c r="M4354" s="111"/>
      <c r="N4354" s="73"/>
      <c r="O4354" s="73"/>
      <c r="P4354" s="73"/>
      <c r="Q4354" s="73"/>
      <c r="R4354" s="111"/>
      <c r="S4354" s="75"/>
      <c r="T4354" s="73"/>
      <c r="X4354" s="189"/>
      <c r="Y4354" s="189"/>
      <c r="Z4354" s="100"/>
      <c r="AC4354" s="84"/>
      <c r="AD4354" s="189"/>
      <c r="AE4354" s="189"/>
      <c r="AF4354" s="189"/>
      <c r="AG4354" s="189"/>
      <c r="AH4354" s="189"/>
      <c r="AP4354" s="238"/>
    </row>
    <row r="4355" spans="3:42" s="45" customFormat="1" x14ac:dyDescent="0.2">
      <c r="C4355" s="189"/>
      <c r="F4355" s="73"/>
      <c r="M4355" s="111"/>
      <c r="N4355" s="73"/>
      <c r="O4355" s="73"/>
      <c r="P4355" s="73"/>
      <c r="Q4355" s="73"/>
      <c r="R4355" s="111"/>
      <c r="S4355" s="75"/>
      <c r="T4355" s="73"/>
      <c r="X4355" s="189"/>
      <c r="Y4355" s="189"/>
      <c r="Z4355" s="100"/>
      <c r="AC4355" s="84"/>
      <c r="AD4355" s="189"/>
      <c r="AE4355" s="189"/>
      <c r="AF4355" s="189"/>
      <c r="AG4355" s="189"/>
      <c r="AH4355" s="189"/>
      <c r="AP4355" s="238"/>
    </row>
    <row r="4356" spans="3:42" s="45" customFormat="1" x14ac:dyDescent="0.2">
      <c r="C4356" s="189"/>
      <c r="F4356" s="73"/>
      <c r="M4356" s="111"/>
      <c r="N4356" s="73"/>
      <c r="O4356" s="73"/>
      <c r="P4356" s="73"/>
      <c r="Q4356" s="73"/>
      <c r="R4356" s="111"/>
      <c r="S4356" s="75"/>
      <c r="T4356" s="73"/>
      <c r="X4356" s="189"/>
      <c r="Y4356" s="189"/>
      <c r="Z4356" s="100"/>
      <c r="AC4356" s="84"/>
      <c r="AD4356" s="189"/>
      <c r="AE4356" s="189"/>
      <c r="AF4356" s="189"/>
      <c r="AG4356" s="189"/>
      <c r="AH4356" s="189"/>
      <c r="AP4356" s="238"/>
    </row>
    <row r="4357" spans="3:42" s="45" customFormat="1" x14ac:dyDescent="0.2">
      <c r="C4357" s="189"/>
      <c r="F4357" s="73"/>
      <c r="M4357" s="111"/>
      <c r="N4357" s="73"/>
      <c r="O4357" s="73"/>
      <c r="P4357" s="73"/>
      <c r="Q4357" s="73"/>
      <c r="R4357" s="111"/>
      <c r="S4357" s="75"/>
      <c r="T4357" s="73"/>
      <c r="X4357" s="189"/>
      <c r="Y4357" s="189"/>
      <c r="Z4357" s="100"/>
      <c r="AC4357" s="84"/>
      <c r="AD4357" s="189"/>
      <c r="AE4357" s="189"/>
      <c r="AF4357" s="189"/>
      <c r="AG4357" s="189"/>
      <c r="AH4357" s="189"/>
      <c r="AP4357" s="238"/>
    </row>
    <row r="4358" spans="3:42" s="45" customFormat="1" x14ac:dyDescent="0.2">
      <c r="C4358" s="189"/>
      <c r="F4358" s="73"/>
      <c r="M4358" s="111"/>
      <c r="N4358" s="73"/>
      <c r="O4358" s="73"/>
      <c r="P4358" s="73"/>
      <c r="Q4358" s="73"/>
      <c r="R4358" s="111"/>
      <c r="S4358" s="75"/>
      <c r="T4358" s="73"/>
      <c r="X4358" s="189"/>
      <c r="Y4358" s="189"/>
      <c r="Z4358" s="100"/>
      <c r="AC4358" s="84"/>
      <c r="AD4358" s="189"/>
      <c r="AE4358" s="189"/>
      <c r="AF4358" s="189"/>
      <c r="AG4358" s="189"/>
      <c r="AH4358" s="189"/>
      <c r="AP4358" s="238"/>
    </row>
    <row r="4359" spans="3:42" s="45" customFormat="1" x14ac:dyDescent="0.2">
      <c r="C4359" s="189"/>
      <c r="F4359" s="73"/>
      <c r="M4359" s="111"/>
      <c r="N4359" s="73"/>
      <c r="O4359" s="73"/>
      <c r="P4359" s="73"/>
      <c r="Q4359" s="73"/>
      <c r="R4359" s="111"/>
      <c r="S4359" s="75"/>
      <c r="T4359" s="73"/>
      <c r="X4359" s="189"/>
      <c r="Y4359" s="189"/>
      <c r="Z4359" s="100"/>
      <c r="AC4359" s="84"/>
      <c r="AD4359" s="189"/>
      <c r="AE4359" s="189"/>
      <c r="AF4359" s="189"/>
      <c r="AG4359" s="189"/>
      <c r="AH4359" s="189"/>
      <c r="AP4359" s="238"/>
    </row>
    <row r="4360" spans="3:42" s="45" customFormat="1" x14ac:dyDescent="0.2">
      <c r="C4360" s="189"/>
      <c r="F4360" s="73"/>
      <c r="M4360" s="111"/>
      <c r="N4360" s="73"/>
      <c r="O4360" s="73"/>
      <c r="P4360" s="73"/>
      <c r="Q4360" s="73"/>
      <c r="R4360" s="111"/>
      <c r="S4360" s="75"/>
      <c r="T4360" s="73"/>
      <c r="X4360" s="189"/>
      <c r="Y4360" s="189"/>
      <c r="Z4360" s="100"/>
      <c r="AC4360" s="84"/>
      <c r="AD4360" s="189"/>
      <c r="AE4360" s="189"/>
      <c r="AF4360" s="189"/>
      <c r="AG4360" s="189"/>
      <c r="AH4360" s="189"/>
      <c r="AP4360" s="238"/>
    </row>
    <row r="4361" spans="3:42" s="45" customFormat="1" x14ac:dyDescent="0.2">
      <c r="C4361" s="189"/>
      <c r="F4361" s="73"/>
      <c r="M4361" s="111"/>
      <c r="N4361" s="73"/>
      <c r="O4361" s="73"/>
      <c r="P4361" s="73"/>
      <c r="Q4361" s="73"/>
      <c r="R4361" s="111"/>
      <c r="S4361" s="75"/>
      <c r="T4361" s="73"/>
      <c r="X4361" s="189"/>
      <c r="Y4361" s="189"/>
      <c r="Z4361" s="100"/>
      <c r="AC4361" s="84"/>
      <c r="AD4361" s="189"/>
      <c r="AE4361" s="189"/>
      <c r="AF4361" s="189"/>
      <c r="AG4361" s="189"/>
      <c r="AH4361" s="189"/>
      <c r="AP4361" s="238"/>
    </row>
    <row r="4362" spans="3:42" s="45" customFormat="1" x14ac:dyDescent="0.2">
      <c r="C4362" s="189"/>
      <c r="F4362" s="73"/>
      <c r="M4362" s="111"/>
      <c r="N4362" s="73"/>
      <c r="O4362" s="73"/>
      <c r="P4362" s="73"/>
      <c r="Q4362" s="73"/>
      <c r="R4362" s="111"/>
      <c r="S4362" s="75"/>
      <c r="T4362" s="73"/>
      <c r="X4362" s="189"/>
      <c r="Y4362" s="189"/>
      <c r="Z4362" s="100"/>
      <c r="AC4362" s="84"/>
      <c r="AD4362" s="189"/>
      <c r="AE4362" s="189"/>
      <c r="AF4362" s="189"/>
      <c r="AG4362" s="189"/>
      <c r="AH4362" s="189"/>
      <c r="AP4362" s="238"/>
    </row>
    <row r="4363" spans="3:42" s="45" customFormat="1" x14ac:dyDescent="0.2">
      <c r="C4363" s="189"/>
      <c r="F4363" s="73"/>
      <c r="M4363" s="111"/>
      <c r="N4363" s="73"/>
      <c r="O4363" s="73"/>
      <c r="P4363" s="73"/>
      <c r="Q4363" s="73"/>
      <c r="R4363" s="111"/>
      <c r="S4363" s="75"/>
      <c r="T4363" s="73"/>
      <c r="X4363" s="189"/>
      <c r="Y4363" s="189"/>
      <c r="Z4363" s="100"/>
      <c r="AC4363" s="84"/>
      <c r="AD4363" s="189"/>
      <c r="AE4363" s="189"/>
      <c r="AF4363" s="189"/>
      <c r="AG4363" s="189"/>
      <c r="AH4363" s="189"/>
      <c r="AP4363" s="238"/>
    </row>
    <row r="4364" spans="3:42" s="45" customFormat="1" x14ac:dyDescent="0.2">
      <c r="C4364" s="189"/>
      <c r="F4364" s="73"/>
      <c r="M4364" s="111"/>
      <c r="N4364" s="73"/>
      <c r="O4364" s="73"/>
      <c r="P4364" s="73"/>
      <c r="Q4364" s="73"/>
      <c r="R4364" s="111"/>
      <c r="S4364" s="75"/>
      <c r="T4364" s="73"/>
      <c r="X4364" s="189"/>
      <c r="Y4364" s="189"/>
      <c r="Z4364" s="100"/>
      <c r="AC4364" s="84"/>
      <c r="AD4364" s="189"/>
      <c r="AE4364" s="189"/>
      <c r="AF4364" s="189"/>
      <c r="AG4364" s="189"/>
      <c r="AH4364" s="189"/>
      <c r="AP4364" s="238"/>
    </row>
    <row r="4365" spans="3:42" s="45" customFormat="1" x14ac:dyDescent="0.2">
      <c r="C4365" s="189"/>
      <c r="F4365" s="73"/>
      <c r="M4365" s="111"/>
      <c r="N4365" s="73"/>
      <c r="O4365" s="73"/>
      <c r="P4365" s="73"/>
      <c r="Q4365" s="73"/>
      <c r="R4365" s="111"/>
      <c r="S4365" s="75"/>
      <c r="T4365" s="73"/>
      <c r="X4365" s="189"/>
      <c r="Y4365" s="189"/>
      <c r="Z4365" s="100"/>
      <c r="AC4365" s="84"/>
      <c r="AD4365" s="189"/>
      <c r="AE4365" s="189"/>
      <c r="AF4365" s="189"/>
      <c r="AG4365" s="189"/>
      <c r="AH4365" s="189"/>
      <c r="AP4365" s="238"/>
    </row>
    <row r="4366" spans="3:42" s="45" customFormat="1" x14ac:dyDescent="0.2">
      <c r="C4366" s="189"/>
      <c r="F4366" s="73"/>
      <c r="M4366" s="111"/>
      <c r="N4366" s="73"/>
      <c r="O4366" s="73"/>
      <c r="P4366" s="73"/>
      <c r="Q4366" s="73"/>
      <c r="R4366" s="111"/>
      <c r="S4366" s="75"/>
      <c r="T4366" s="73"/>
      <c r="X4366" s="189"/>
      <c r="Y4366" s="189"/>
      <c r="Z4366" s="100"/>
      <c r="AC4366" s="84"/>
      <c r="AD4366" s="189"/>
      <c r="AE4366" s="189"/>
      <c r="AF4366" s="189"/>
      <c r="AG4366" s="189"/>
      <c r="AH4366" s="189"/>
      <c r="AP4366" s="238"/>
    </row>
    <row r="4367" spans="3:42" s="45" customFormat="1" x14ac:dyDescent="0.2">
      <c r="C4367" s="189"/>
      <c r="F4367" s="73"/>
      <c r="M4367" s="111"/>
      <c r="N4367" s="73"/>
      <c r="O4367" s="73"/>
      <c r="P4367" s="73"/>
      <c r="Q4367" s="73"/>
      <c r="R4367" s="111"/>
      <c r="S4367" s="75"/>
      <c r="T4367" s="73"/>
      <c r="X4367" s="189"/>
      <c r="Y4367" s="189"/>
      <c r="Z4367" s="100"/>
      <c r="AC4367" s="84"/>
      <c r="AD4367" s="189"/>
      <c r="AE4367" s="189"/>
      <c r="AF4367" s="189"/>
      <c r="AG4367" s="189"/>
      <c r="AH4367" s="189"/>
      <c r="AP4367" s="238"/>
    </row>
    <row r="4368" spans="3:42" s="45" customFormat="1" x14ac:dyDescent="0.2">
      <c r="C4368" s="189"/>
      <c r="F4368" s="73"/>
      <c r="M4368" s="111"/>
      <c r="N4368" s="73"/>
      <c r="O4368" s="73"/>
      <c r="P4368" s="73"/>
      <c r="Q4368" s="73"/>
      <c r="R4368" s="111"/>
      <c r="S4368" s="75"/>
      <c r="T4368" s="73"/>
      <c r="X4368" s="189"/>
      <c r="Y4368" s="189"/>
      <c r="Z4368" s="100"/>
      <c r="AC4368" s="84"/>
      <c r="AD4368" s="189"/>
      <c r="AE4368" s="189"/>
      <c r="AF4368" s="189"/>
      <c r="AG4368" s="189"/>
      <c r="AH4368" s="189"/>
      <c r="AP4368" s="238"/>
    </row>
    <row r="4369" spans="3:42" s="45" customFormat="1" x14ac:dyDescent="0.2">
      <c r="C4369" s="189"/>
      <c r="F4369" s="73"/>
      <c r="M4369" s="111"/>
      <c r="N4369" s="73"/>
      <c r="O4369" s="73"/>
      <c r="P4369" s="73"/>
      <c r="Q4369" s="73"/>
      <c r="R4369" s="111"/>
      <c r="S4369" s="75"/>
      <c r="T4369" s="73"/>
      <c r="X4369" s="189"/>
      <c r="Y4369" s="189"/>
      <c r="Z4369" s="100"/>
      <c r="AC4369" s="84"/>
      <c r="AD4369" s="189"/>
      <c r="AE4369" s="189"/>
      <c r="AF4369" s="189"/>
      <c r="AG4369" s="189"/>
      <c r="AH4369" s="189"/>
      <c r="AP4369" s="238"/>
    </row>
    <row r="4370" spans="3:42" s="45" customFormat="1" x14ac:dyDescent="0.2">
      <c r="C4370" s="189"/>
      <c r="F4370" s="73"/>
      <c r="M4370" s="111"/>
      <c r="N4370" s="73"/>
      <c r="O4370" s="73"/>
      <c r="P4370" s="73"/>
      <c r="Q4370" s="73"/>
      <c r="R4370" s="111"/>
      <c r="S4370" s="75"/>
      <c r="T4370" s="73"/>
      <c r="X4370" s="189"/>
      <c r="Y4370" s="189"/>
      <c r="Z4370" s="100"/>
      <c r="AC4370" s="84"/>
      <c r="AD4370" s="189"/>
      <c r="AE4370" s="189"/>
      <c r="AF4370" s="189"/>
      <c r="AG4370" s="189"/>
      <c r="AH4370" s="189"/>
      <c r="AP4370" s="238"/>
    </row>
    <row r="4371" spans="3:42" s="45" customFormat="1" x14ac:dyDescent="0.2">
      <c r="C4371" s="189"/>
      <c r="F4371" s="73"/>
      <c r="M4371" s="111"/>
      <c r="N4371" s="73"/>
      <c r="O4371" s="73"/>
      <c r="P4371" s="73"/>
      <c r="Q4371" s="73"/>
      <c r="R4371" s="111"/>
      <c r="S4371" s="75"/>
      <c r="T4371" s="73"/>
      <c r="X4371" s="189"/>
      <c r="Y4371" s="189"/>
      <c r="Z4371" s="100"/>
      <c r="AC4371" s="84"/>
      <c r="AD4371" s="189"/>
      <c r="AE4371" s="189"/>
      <c r="AF4371" s="189"/>
      <c r="AG4371" s="189"/>
      <c r="AH4371" s="189"/>
      <c r="AP4371" s="238"/>
    </row>
    <row r="4372" spans="3:42" s="45" customFormat="1" x14ac:dyDescent="0.2">
      <c r="C4372" s="189"/>
      <c r="F4372" s="73"/>
      <c r="M4372" s="111"/>
      <c r="N4372" s="73"/>
      <c r="O4372" s="73"/>
      <c r="P4372" s="73"/>
      <c r="Q4372" s="73"/>
      <c r="R4372" s="111"/>
      <c r="S4372" s="75"/>
      <c r="T4372" s="73"/>
      <c r="X4372" s="189"/>
      <c r="Y4372" s="189"/>
      <c r="Z4372" s="100"/>
      <c r="AC4372" s="84"/>
      <c r="AD4372" s="189"/>
      <c r="AE4372" s="189"/>
      <c r="AF4372" s="189"/>
      <c r="AG4372" s="189"/>
      <c r="AH4372" s="189"/>
      <c r="AP4372" s="238"/>
    </row>
    <row r="4373" spans="3:42" s="45" customFormat="1" x14ac:dyDescent="0.2">
      <c r="C4373" s="189"/>
      <c r="F4373" s="73"/>
      <c r="M4373" s="111"/>
      <c r="N4373" s="73"/>
      <c r="O4373" s="73"/>
      <c r="P4373" s="73"/>
      <c r="Q4373" s="73"/>
      <c r="R4373" s="111"/>
      <c r="S4373" s="75"/>
      <c r="T4373" s="73"/>
      <c r="X4373" s="189"/>
      <c r="Y4373" s="189"/>
      <c r="Z4373" s="100"/>
      <c r="AC4373" s="84"/>
      <c r="AD4373" s="189"/>
      <c r="AE4373" s="189"/>
      <c r="AF4373" s="189"/>
      <c r="AG4373" s="189"/>
      <c r="AH4373" s="189"/>
      <c r="AP4373" s="238"/>
    </row>
    <row r="4374" spans="3:42" s="45" customFormat="1" x14ac:dyDescent="0.2">
      <c r="C4374" s="189"/>
      <c r="F4374" s="73"/>
      <c r="M4374" s="111"/>
      <c r="N4374" s="73"/>
      <c r="O4374" s="73"/>
      <c r="P4374" s="73"/>
      <c r="Q4374" s="73"/>
      <c r="R4374" s="111"/>
      <c r="S4374" s="75"/>
      <c r="T4374" s="73"/>
      <c r="X4374" s="189"/>
      <c r="Y4374" s="189"/>
      <c r="Z4374" s="100"/>
      <c r="AC4374" s="84"/>
      <c r="AD4374" s="189"/>
      <c r="AE4374" s="189"/>
      <c r="AF4374" s="189"/>
      <c r="AG4374" s="189"/>
      <c r="AH4374" s="189"/>
      <c r="AP4374" s="238"/>
    </row>
    <row r="4375" spans="3:42" s="45" customFormat="1" x14ac:dyDescent="0.2">
      <c r="C4375" s="189"/>
      <c r="F4375" s="73"/>
      <c r="M4375" s="111"/>
      <c r="N4375" s="73"/>
      <c r="O4375" s="73"/>
      <c r="P4375" s="73"/>
      <c r="Q4375" s="73"/>
      <c r="R4375" s="111"/>
      <c r="S4375" s="75"/>
      <c r="T4375" s="73"/>
      <c r="X4375" s="189"/>
      <c r="Y4375" s="189"/>
      <c r="Z4375" s="100"/>
      <c r="AC4375" s="84"/>
      <c r="AD4375" s="189"/>
      <c r="AE4375" s="189"/>
      <c r="AF4375" s="189"/>
      <c r="AG4375" s="189"/>
      <c r="AH4375" s="189"/>
      <c r="AP4375" s="238"/>
    </row>
    <row r="4376" spans="3:42" s="45" customFormat="1" x14ac:dyDescent="0.2">
      <c r="C4376" s="189"/>
      <c r="F4376" s="73"/>
      <c r="M4376" s="111"/>
      <c r="N4376" s="73"/>
      <c r="O4376" s="73"/>
      <c r="P4376" s="73"/>
      <c r="Q4376" s="73"/>
      <c r="R4376" s="111"/>
      <c r="S4376" s="75"/>
      <c r="T4376" s="73"/>
      <c r="X4376" s="189"/>
      <c r="Y4376" s="189"/>
      <c r="Z4376" s="100"/>
      <c r="AC4376" s="84"/>
      <c r="AD4376" s="189"/>
      <c r="AE4376" s="189"/>
      <c r="AF4376" s="189"/>
      <c r="AG4376" s="189"/>
      <c r="AH4376" s="189"/>
      <c r="AP4376" s="238"/>
    </row>
    <row r="4377" spans="3:42" s="45" customFormat="1" x14ac:dyDescent="0.2">
      <c r="C4377" s="189"/>
      <c r="F4377" s="73"/>
      <c r="M4377" s="111"/>
      <c r="N4377" s="73"/>
      <c r="O4377" s="73"/>
      <c r="P4377" s="73"/>
      <c r="Q4377" s="73"/>
      <c r="R4377" s="111"/>
      <c r="S4377" s="75"/>
      <c r="T4377" s="73"/>
      <c r="X4377" s="189"/>
      <c r="Y4377" s="189"/>
      <c r="Z4377" s="100"/>
      <c r="AC4377" s="84"/>
      <c r="AD4377" s="189"/>
      <c r="AE4377" s="189"/>
      <c r="AF4377" s="189"/>
      <c r="AG4377" s="189"/>
      <c r="AH4377" s="189"/>
      <c r="AP4377" s="238"/>
    </row>
    <row r="4378" spans="3:42" s="45" customFormat="1" x14ac:dyDescent="0.2">
      <c r="C4378" s="189"/>
      <c r="F4378" s="73"/>
      <c r="M4378" s="111"/>
      <c r="N4378" s="73"/>
      <c r="O4378" s="73"/>
      <c r="P4378" s="73"/>
      <c r="Q4378" s="73"/>
      <c r="R4378" s="111"/>
      <c r="S4378" s="75"/>
      <c r="T4378" s="73"/>
      <c r="X4378" s="189"/>
      <c r="Y4378" s="189"/>
      <c r="Z4378" s="100"/>
      <c r="AC4378" s="84"/>
      <c r="AD4378" s="189"/>
      <c r="AE4378" s="189"/>
      <c r="AF4378" s="189"/>
      <c r="AG4378" s="189"/>
      <c r="AH4378" s="189"/>
      <c r="AP4378" s="238"/>
    </row>
    <row r="4379" spans="3:42" s="45" customFormat="1" x14ac:dyDescent="0.2">
      <c r="C4379" s="189"/>
      <c r="F4379" s="73"/>
      <c r="M4379" s="111"/>
      <c r="N4379" s="73"/>
      <c r="O4379" s="73"/>
      <c r="P4379" s="73"/>
      <c r="Q4379" s="73"/>
      <c r="R4379" s="111"/>
      <c r="S4379" s="75"/>
      <c r="T4379" s="73"/>
      <c r="X4379" s="189"/>
      <c r="Y4379" s="189"/>
      <c r="Z4379" s="100"/>
      <c r="AC4379" s="84"/>
      <c r="AD4379" s="189"/>
      <c r="AE4379" s="189"/>
      <c r="AF4379" s="189"/>
      <c r="AG4379" s="189"/>
      <c r="AH4379" s="189"/>
      <c r="AP4379" s="238"/>
    </row>
    <row r="4380" spans="3:42" s="45" customFormat="1" x14ac:dyDescent="0.2">
      <c r="C4380" s="189"/>
      <c r="F4380" s="73"/>
      <c r="M4380" s="111"/>
      <c r="N4380" s="73"/>
      <c r="O4380" s="73"/>
      <c r="P4380" s="73"/>
      <c r="Q4380" s="73"/>
      <c r="R4380" s="111"/>
      <c r="S4380" s="75"/>
      <c r="T4380" s="73"/>
      <c r="X4380" s="189"/>
      <c r="Y4380" s="189"/>
      <c r="Z4380" s="100"/>
      <c r="AC4380" s="84"/>
      <c r="AD4380" s="189"/>
      <c r="AE4380" s="189"/>
      <c r="AF4380" s="189"/>
      <c r="AG4380" s="189"/>
      <c r="AH4380" s="189"/>
      <c r="AP4380" s="238"/>
    </row>
    <row r="4381" spans="3:42" s="45" customFormat="1" x14ac:dyDescent="0.2">
      <c r="C4381" s="189"/>
      <c r="F4381" s="73"/>
      <c r="M4381" s="111"/>
      <c r="N4381" s="73"/>
      <c r="O4381" s="73"/>
      <c r="P4381" s="73"/>
      <c r="Q4381" s="73"/>
      <c r="R4381" s="111"/>
      <c r="S4381" s="75"/>
      <c r="T4381" s="73"/>
      <c r="X4381" s="189"/>
      <c r="Y4381" s="189"/>
      <c r="Z4381" s="100"/>
      <c r="AC4381" s="84"/>
      <c r="AD4381" s="189"/>
      <c r="AE4381" s="189"/>
      <c r="AF4381" s="189"/>
      <c r="AG4381" s="189"/>
      <c r="AH4381" s="189"/>
      <c r="AP4381" s="238"/>
    </row>
    <row r="4382" spans="3:42" s="45" customFormat="1" x14ac:dyDescent="0.2">
      <c r="C4382" s="189"/>
      <c r="F4382" s="73"/>
      <c r="M4382" s="111"/>
      <c r="N4382" s="73"/>
      <c r="O4382" s="73"/>
      <c r="P4382" s="73"/>
      <c r="Q4382" s="73"/>
      <c r="R4382" s="111"/>
      <c r="S4382" s="75"/>
      <c r="T4382" s="73"/>
      <c r="X4382" s="189"/>
      <c r="Y4382" s="189"/>
      <c r="Z4382" s="100"/>
      <c r="AC4382" s="84"/>
      <c r="AD4382" s="189"/>
      <c r="AE4382" s="189"/>
      <c r="AF4382" s="189"/>
      <c r="AG4382" s="189"/>
      <c r="AH4382" s="189"/>
      <c r="AP4382" s="238"/>
    </row>
    <row r="4383" spans="3:42" s="45" customFormat="1" x14ac:dyDescent="0.2">
      <c r="C4383" s="189"/>
      <c r="F4383" s="73"/>
      <c r="M4383" s="111"/>
      <c r="N4383" s="73"/>
      <c r="O4383" s="73"/>
      <c r="P4383" s="73"/>
      <c r="Q4383" s="73"/>
      <c r="R4383" s="111"/>
      <c r="S4383" s="75"/>
      <c r="T4383" s="73"/>
      <c r="X4383" s="189"/>
      <c r="Y4383" s="189"/>
      <c r="Z4383" s="100"/>
      <c r="AC4383" s="84"/>
      <c r="AD4383" s="189"/>
      <c r="AE4383" s="189"/>
      <c r="AF4383" s="189"/>
      <c r="AG4383" s="189"/>
      <c r="AH4383" s="189"/>
      <c r="AP4383" s="238"/>
    </row>
    <row r="4384" spans="3:42" s="45" customFormat="1" x14ac:dyDescent="0.2">
      <c r="C4384" s="189"/>
      <c r="F4384" s="73"/>
      <c r="M4384" s="111"/>
      <c r="N4384" s="73"/>
      <c r="O4384" s="73"/>
      <c r="P4384" s="73"/>
      <c r="Q4384" s="73"/>
      <c r="R4384" s="111"/>
      <c r="S4384" s="75"/>
      <c r="T4384" s="73"/>
      <c r="X4384" s="189"/>
      <c r="Y4384" s="189"/>
      <c r="Z4384" s="100"/>
      <c r="AC4384" s="84"/>
      <c r="AD4384" s="189"/>
      <c r="AE4384" s="189"/>
      <c r="AF4384" s="189"/>
      <c r="AG4384" s="189"/>
      <c r="AH4384" s="189"/>
      <c r="AP4384" s="238"/>
    </row>
    <row r="4385" spans="3:42" s="45" customFormat="1" x14ac:dyDescent="0.2">
      <c r="C4385" s="189"/>
      <c r="F4385" s="73"/>
      <c r="M4385" s="111"/>
      <c r="N4385" s="73"/>
      <c r="O4385" s="73"/>
      <c r="P4385" s="73"/>
      <c r="Q4385" s="73"/>
      <c r="R4385" s="111"/>
      <c r="S4385" s="75"/>
      <c r="T4385" s="73"/>
      <c r="X4385" s="189"/>
      <c r="Y4385" s="189"/>
      <c r="Z4385" s="100"/>
      <c r="AC4385" s="84"/>
      <c r="AD4385" s="189"/>
      <c r="AE4385" s="189"/>
      <c r="AF4385" s="189"/>
      <c r="AG4385" s="189"/>
      <c r="AH4385" s="189"/>
      <c r="AP4385" s="238"/>
    </row>
    <row r="4386" spans="3:42" s="45" customFormat="1" x14ac:dyDescent="0.2">
      <c r="C4386" s="189"/>
      <c r="F4386" s="73"/>
      <c r="M4386" s="111"/>
      <c r="N4386" s="73"/>
      <c r="O4386" s="73"/>
      <c r="P4386" s="73"/>
      <c r="Q4386" s="73"/>
      <c r="R4386" s="111"/>
      <c r="S4386" s="75"/>
      <c r="T4386" s="73"/>
      <c r="X4386" s="189"/>
      <c r="Y4386" s="189"/>
      <c r="Z4386" s="100"/>
      <c r="AC4386" s="84"/>
      <c r="AD4386" s="189"/>
      <c r="AE4386" s="189"/>
      <c r="AF4386" s="189"/>
      <c r="AG4386" s="189"/>
      <c r="AH4386" s="189"/>
      <c r="AP4386" s="238"/>
    </row>
    <row r="4387" spans="3:42" s="45" customFormat="1" x14ac:dyDescent="0.2">
      <c r="C4387" s="189"/>
      <c r="F4387" s="73"/>
      <c r="M4387" s="111"/>
      <c r="N4387" s="73"/>
      <c r="O4387" s="73"/>
      <c r="P4387" s="73"/>
      <c r="Q4387" s="73"/>
      <c r="R4387" s="111"/>
      <c r="S4387" s="75"/>
      <c r="T4387" s="73"/>
      <c r="X4387" s="189"/>
      <c r="Y4387" s="189"/>
      <c r="Z4387" s="100"/>
      <c r="AC4387" s="84"/>
      <c r="AD4387" s="189"/>
      <c r="AE4387" s="189"/>
      <c r="AF4387" s="189"/>
      <c r="AG4387" s="189"/>
      <c r="AH4387" s="189"/>
      <c r="AP4387" s="238"/>
    </row>
    <row r="4388" spans="3:42" s="45" customFormat="1" x14ac:dyDescent="0.2">
      <c r="C4388" s="189"/>
      <c r="F4388" s="73"/>
      <c r="M4388" s="111"/>
      <c r="N4388" s="73"/>
      <c r="O4388" s="73"/>
      <c r="P4388" s="73"/>
      <c r="Q4388" s="73"/>
      <c r="R4388" s="111"/>
      <c r="S4388" s="75"/>
      <c r="T4388" s="73"/>
      <c r="X4388" s="189"/>
      <c r="Y4388" s="189"/>
      <c r="Z4388" s="100"/>
      <c r="AC4388" s="84"/>
      <c r="AD4388" s="189"/>
      <c r="AE4388" s="189"/>
      <c r="AF4388" s="189"/>
      <c r="AG4388" s="189"/>
      <c r="AH4388" s="189"/>
      <c r="AP4388" s="238"/>
    </row>
    <row r="4389" spans="3:42" s="45" customFormat="1" x14ac:dyDescent="0.2">
      <c r="C4389" s="189"/>
      <c r="F4389" s="73"/>
      <c r="M4389" s="111"/>
      <c r="N4389" s="73"/>
      <c r="O4389" s="73"/>
      <c r="P4389" s="73"/>
      <c r="Q4389" s="73"/>
      <c r="R4389" s="111"/>
      <c r="S4389" s="75"/>
      <c r="T4389" s="73"/>
      <c r="X4389" s="189"/>
      <c r="Y4389" s="189"/>
      <c r="Z4389" s="100"/>
      <c r="AC4389" s="84"/>
      <c r="AD4389" s="189"/>
      <c r="AE4389" s="189"/>
      <c r="AF4389" s="189"/>
      <c r="AG4389" s="189"/>
      <c r="AH4389" s="189"/>
      <c r="AP4389" s="238"/>
    </row>
    <row r="4390" spans="3:42" s="45" customFormat="1" x14ac:dyDescent="0.2">
      <c r="C4390" s="189"/>
      <c r="F4390" s="73"/>
      <c r="M4390" s="111"/>
      <c r="N4390" s="73"/>
      <c r="O4390" s="73"/>
      <c r="P4390" s="73"/>
      <c r="Q4390" s="73"/>
      <c r="R4390" s="111"/>
      <c r="S4390" s="75"/>
      <c r="T4390" s="73"/>
      <c r="X4390" s="189"/>
      <c r="Y4390" s="189"/>
      <c r="Z4390" s="100"/>
      <c r="AC4390" s="84"/>
      <c r="AD4390" s="189"/>
      <c r="AE4390" s="189"/>
      <c r="AF4390" s="189"/>
      <c r="AG4390" s="189"/>
      <c r="AH4390" s="189"/>
      <c r="AP4390" s="238"/>
    </row>
    <row r="4391" spans="3:42" s="45" customFormat="1" x14ac:dyDescent="0.2">
      <c r="C4391" s="189"/>
      <c r="F4391" s="73"/>
      <c r="M4391" s="111"/>
      <c r="N4391" s="73"/>
      <c r="O4391" s="73"/>
      <c r="P4391" s="73"/>
      <c r="Q4391" s="73"/>
      <c r="R4391" s="111"/>
      <c r="S4391" s="75"/>
      <c r="T4391" s="73"/>
      <c r="X4391" s="189"/>
      <c r="Y4391" s="189"/>
      <c r="Z4391" s="100"/>
      <c r="AC4391" s="84"/>
      <c r="AD4391" s="189"/>
      <c r="AE4391" s="189"/>
      <c r="AF4391" s="189"/>
      <c r="AG4391" s="189"/>
      <c r="AH4391" s="189"/>
      <c r="AP4391" s="238"/>
    </row>
    <row r="4392" spans="3:42" s="45" customFormat="1" x14ac:dyDescent="0.2">
      <c r="C4392" s="189"/>
      <c r="F4392" s="73"/>
      <c r="M4392" s="111"/>
      <c r="N4392" s="73"/>
      <c r="O4392" s="73"/>
      <c r="P4392" s="73"/>
      <c r="Q4392" s="73"/>
      <c r="R4392" s="111"/>
      <c r="S4392" s="75"/>
      <c r="T4392" s="73"/>
      <c r="X4392" s="189"/>
      <c r="Y4392" s="189"/>
      <c r="Z4392" s="100"/>
      <c r="AC4392" s="84"/>
      <c r="AD4392" s="189"/>
      <c r="AE4392" s="189"/>
      <c r="AF4392" s="189"/>
      <c r="AG4392" s="189"/>
      <c r="AH4392" s="189"/>
      <c r="AP4392" s="238"/>
    </row>
    <row r="4393" spans="3:42" s="45" customFormat="1" x14ac:dyDescent="0.2">
      <c r="C4393" s="189"/>
      <c r="F4393" s="73"/>
      <c r="M4393" s="111"/>
      <c r="N4393" s="73"/>
      <c r="O4393" s="73"/>
      <c r="P4393" s="73"/>
      <c r="Q4393" s="73"/>
      <c r="R4393" s="111"/>
      <c r="S4393" s="75"/>
      <c r="T4393" s="73"/>
      <c r="X4393" s="189"/>
      <c r="Y4393" s="189"/>
      <c r="Z4393" s="100"/>
      <c r="AC4393" s="84"/>
      <c r="AD4393" s="189"/>
      <c r="AE4393" s="189"/>
      <c r="AF4393" s="189"/>
      <c r="AG4393" s="189"/>
      <c r="AH4393" s="189"/>
      <c r="AP4393" s="238"/>
    </row>
    <row r="4394" spans="3:42" s="45" customFormat="1" x14ac:dyDescent="0.2">
      <c r="C4394" s="189"/>
      <c r="F4394" s="73"/>
      <c r="M4394" s="111"/>
      <c r="N4394" s="73"/>
      <c r="O4394" s="73"/>
      <c r="P4394" s="73"/>
      <c r="Q4394" s="73"/>
      <c r="R4394" s="111"/>
      <c r="S4394" s="75"/>
      <c r="T4394" s="73"/>
      <c r="X4394" s="189"/>
      <c r="Y4394" s="189"/>
      <c r="Z4394" s="100"/>
      <c r="AC4394" s="84"/>
      <c r="AD4394" s="189"/>
      <c r="AE4394" s="189"/>
      <c r="AF4394" s="189"/>
      <c r="AG4394" s="189"/>
      <c r="AH4394" s="189"/>
      <c r="AP4394" s="238"/>
    </row>
    <row r="4395" spans="3:42" s="45" customFormat="1" x14ac:dyDescent="0.2">
      <c r="C4395" s="189"/>
      <c r="F4395" s="73"/>
      <c r="M4395" s="111"/>
      <c r="N4395" s="73"/>
      <c r="O4395" s="73"/>
      <c r="P4395" s="73"/>
      <c r="Q4395" s="73"/>
      <c r="R4395" s="111"/>
      <c r="S4395" s="75"/>
      <c r="T4395" s="73"/>
      <c r="X4395" s="189"/>
      <c r="Y4395" s="189"/>
      <c r="Z4395" s="100"/>
      <c r="AC4395" s="84"/>
      <c r="AD4395" s="189"/>
      <c r="AE4395" s="189"/>
      <c r="AF4395" s="189"/>
      <c r="AG4395" s="189"/>
      <c r="AH4395" s="189"/>
      <c r="AP4395" s="238"/>
    </row>
    <row r="4396" spans="3:42" s="45" customFormat="1" x14ac:dyDescent="0.2">
      <c r="C4396" s="189"/>
      <c r="F4396" s="73"/>
      <c r="M4396" s="111"/>
      <c r="N4396" s="73"/>
      <c r="O4396" s="73"/>
      <c r="P4396" s="73"/>
      <c r="Q4396" s="73"/>
      <c r="R4396" s="111"/>
      <c r="S4396" s="75"/>
      <c r="T4396" s="73"/>
      <c r="X4396" s="189"/>
      <c r="Y4396" s="189"/>
      <c r="Z4396" s="100"/>
      <c r="AC4396" s="84"/>
      <c r="AD4396" s="189"/>
      <c r="AE4396" s="189"/>
      <c r="AF4396" s="189"/>
      <c r="AG4396" s="189"/>
      <c r="AH4396" s="189"/>
      <c r="AP4396" s="238"/>
    </row>
    <row r="4397" spans="3:42" s="45" customFormat="1" x14ac:dyDescent="0.2">
      <c r="C4397" s="189"/>
      <c r="F4397" s="73"/>
      <c r="M4397" s="111"/>
      <c r="N4397" s="73"/>
      <c r="O4397" s="73"/>
      <c r="P4397" s="73"/>
      <c r="Q4397" s="73"/>
      <c r="R4397" s="111"/>
      <c r="S4397" s="75"/>
      <c r="T4397" s="73"/>
      <c r="X4397" s="189"/>
      <c r="Y4397" s="189"/>
      <c r="Z4397" s="100"/>
      <c r="AC4397" s="84"/>
      <c r="AD4397" s="189"/>
      <c r="AE4397" s="189"/>
      <c r="AF4397" s="189"/>
      <c r="AG4397" s="189"/>
      <c r="AH4397" s="189"/>
      <c r="AP4397" s="238"/>
    </row>
    <row r="4398" spans="3:42" s="45" customFormat="1" x14ac:dyDescent="0.2">
      <c r="C4398" s="189"/>
      <c r="F4398" s="73"/>
      <c r="M4398" s="111"/>
      <c r="N4398" s="73"/>
      <c r="O4398" s="73"/>
      <c r="P4398" s="73"/>
      <c r="Q4398" s="73"/>
      <c r="R4398" s="111"/>
      <c r="S4398" s="75"/>
      <c r="T4398" s="73"/>
      <c r="X4398" s="189"/>
      <c r="Y4398" s="189"/>
      <c r="Z4398" s="100"/>
      <c r="AC4398" s="84"/>
      <c r="AD4398" s="189"/>
      <c r="AE4398" s="189"/>
      <c r="AF4398" s="189"/>
      <c r="AG4398" s="189"/>
      <c r="AH4398" s="189"/>
      <c r="AP4398" s="238"/>
    </row>
    <row r="4399" spans="3:42" s="45" customFormat="1" x14ac:dyDescent="0.2">
      <c r="C4399" s="189"/>
      <c r="F4399" s="73"/>
      <c r="M4399" s="111"/>
      <c r="N4399" s="73"/>
      <c r="O4399" s="73"/>
      <c r="P4399" s="73"/>
      <c r="Q4399" s="73"/>
      <c r="R4399" s="111"/>
      <c r="S4399" s="75"/>
      <c r="T4399" s="73"/>
      <c r="X4399" s="189"/>
      <c r="Y4399" s="189"/>
      <c r="Z4399" s="100"/>
      <c r="AC4399" s="84"/>
      <c r="AD4399" s="189"/>
      <c r="AE4399" s="189"/>
      <c r="AF4399" s="189"/>
      <c r="AG4399" s="189"/>
      <c r="AH4399" s="189"/>
      <c r="AP4399" s="238"/>
    </row>
    <row r="4400" spans="3:42" s="45" customFormat="1" x14ac:dyDescent="0.2">
      <c r="C4400" s="189"/>
      <c r="F4400" s="73"/>
      <c r="M4400" s="111"/>
      <c r="N4400" s="73"/>
      <c r="O4400" s="73"/>
      <c r="P4400" s="73"/>
      <c r="Q4400" s="73"/>
      <c r="R4400" s="111"/>
      <c r="S4400" s="75"/>
      <c r="T4400" s="73"/>
      <c r="X4400" s="189"/>
      <c r="Y4400" s="189"/>
      <c r="Z4400" s="100"/>
      <c r="AC4400" s="84"/>
      <c r="AD4400" s="189"/>
      <c r="AE4400" s="189"/>
      <c r="AF4400" s="189"/>
      <c r="AG4400" s="189"/>
      <c r="AH4400" s="189"/>
      <c r="AP4400" s="238"/>
    </row>
    <row r="4401" spans="3:42" s="45" customFormat="1" x14ac:dyDescent="0.2">
      <c r="C4401" s="189"/>
      <c r="F4401" s="73"/>
      <c r="M4401" s="111"/>
      <c r="N4401" s="73"/>
      <c r="O4401" s="73"/>
      <c r="P4401" s="73"/>
      <c r="Q4401" s="73"/>
      <c r="R4401" s="111"/>
      <c r="S4401" s="75"/>
      <c r="T4401" s="73"/>
      <c r="X4401" s="189"/>
      <c r="Y4401" s="189"/>
      <c r="Z4401" s="100"/>
      <c r="AC4401" s="84"/>
      <c r="AD4401" s="189"/>
      <c r="AE4401" s="189"/>
      <c r="AF4401" s="189"/>
      <c r="AG4401" s="189"/>
      <c r="AH4401" s="189"/>
      <c r="AP4401" s="238"/>
    </row>
    <row r="4402" spans="3:42" s="45" customFormat="1" x14ac:dyDescent="0.2">
      <c r="C4402" s="189"/>
      <c r="F4402" s="73"/>
      <c r="M4402" s="111"/>
      <c r="N4402" s="73"/>
      <c r="O4402" s="73"/>
      <c r="P4402" s="73"/>
      <c r="Q4402" s="73"/>
      <c r="R4402" s="111"/>
      <c r="S4402" s="75"/>
      <c r="T4402" s="73"/>
      <c r="X4402" s="189"/>
      <c r="Y4402" s="189"/>
      <c r="Z4402" s="100"/>
      <c r="AC4402" s="84"/>
      <c r="AD4402" s="189"/>
      <c r="AE4402" s="189"/>
      <c r="AF4402" s="189"/>
      <c r="AG4402" s="189"/>
      <c r="AH4402" s="189"/>
      <c r="AP4402" s="238"/>
    </row>
    <row r="4403" spans="3:42" s="45" customFormat="1" x14ac:dyDescent="0.2">
      <c r="C4403" s="189"/>
      <c r="F4403" s="73"/>
      <c r="M4403" s="111"/>
      <c r="N4403" s="73"/>
      <c r="O4403" s="73"/>
      <c r="P4403" s="73"/>
      <c r="Q4403" s="73"/>
      <c r="R4403" s="111"/>
      <c r="S4403" s="75"/>
      <c r="T4403" s="73"/>
      <c r="X4403" s="189"/>
      <c r="Y4403" s="189"/>
      <c r="Z4403" s="100"/>
      <c r="AC4403" s="84"/>
      <c r="AD4403" s="189"/>
      <c r="AE4403" s="189"/>
      <c r="AF4403" s="189"/>
      <c r="AG4403" s="189"/>
      <c r="AH4403" s="189"/>
      <c r="AP4403" s="238"/>
    </row>
    <row r="4404" spans="3:42" s="45" customFormat="1" x14ac:dyDescent="0.2">
      <c r="C4404" s="189"/>
      <c r="F4404" s="73"/>
      <c r="M4404" s="111"/>
      <c r="N4404" s="73"/>
      <c r="O4404" s="73"/>
      <c r="P4404" s="73"/>
      <c r="Q4404" s="73"/>
      <c r="R4404" s="111"/>
      <c r="S4404" s="75"/>
      <c r="T4404" s="73"/>
      <c r="X4404" s="189"/>
      <c r="Y4404" s="189"/>
      <c r="Z4404" s="100"/>
      <c r="AC4404" s="84"/>
      <c r="AD4404" s="189"/>
      <c r="AE4404" s="189"/>
      <c r="AF4404" s="189"/>
      <c r="AG4404" s="189"/>
      <c r="AH4404" s="189"/>
      <c r="AP4404" s="238"/>
    </row>
    <row r="4405" spans="3:42" s="45" customFormat="1" x14ac:dyDescent="0.2">
      <c r="C4405" s="189"/>
      <c r="F4405" s="73"/>
      <c r="M4405" s="111"/>
      <c r="N4405" s="73"/>
      <c r="O4405" s="73"/>
      <c r="P4405" s="73"/>
      <c r="Q4405" s="73"/>
      <c r="R4405" s="111"/>
      <c r="S4405" s="75"/>
      <c r="T4405" s="73"/>
      <c r="X4405" s="189"/>
      <c r="Y4405" s="189"/>
      <c r="Z4405" s="100"/>
      <c r="AC4405" s="84"/>
      <c r="AD4405" s="189"/>
      <c r="AE4405" s="189"/>
      <c r="AF4405" s="189"/>
      <c r="AG4405" s="189"/>
      <c r="AH4405" s="189"/>
      <c r="AP4405" s="238"/>
    </row>
    <row r="4406" spans="3:42" s="45" customFormat="1" x14ac:dyDescent="0.2">
      <c r="C4406" s="189"/>
      <c r="F4406" s="73"/>
      <c r="M4406" s="111"/>
      <c r="N4406" s="73"/>
      <c r="O4406" s="73"/>
      <c r="P4406" s="73"/>
      <c r="Q4406" s="73"/>
      <c r="R4406" s="111"/>
      <c r="S4406" s="75"/>
      <c r="T4406" s="73"/>
      <c r="X4406" s="189"/>
      <c r="Y4406" s="189"/>
      <c r="Z4406" s="100"/>
      <c r="AC4406" s="84"/>
      <c r="AD4406" s="189"/>
      <c r="AE4406" s="189"/>
      <c r="AF4406" s="189"/>
      <c r="AG4406" s="189"/>
      <c r="AH4406" s="189"/>
      <c r="AP4406" s="238"/>
    </row>
    <row r="4407" spans="3:42" s="45" customFormat="1" x14ac:dyDescent="0.2">
      <c r="C4407" s="189"/>
      <c r="F4407" s="73"/>
      <c r="M4407" s="111"/>
      <c r="N4407" s="73"/>
      <c r="O4407" s="73"/>
      <c r="P4407" s="73"/>
      <c r="Q4407" s="73"/>
      <c r="R4407" s="111"/>
      <c r="S4407" s="75"/>
      <c r="T4407" s="73"/>
      <c r="X4407" s="189"/>
      <c r="Y4407" s="189"/>
      <c r="Z4407" s="100"/>
      <c r="AC4407" s="84"/>
      <c r="AD4407" s="189"/>
      <c r="AE4407" s="189"/>
      <c r="AF4407" s="189"/>
      <c r="AG4407" s="189"/>
      <c r="AH4407" s="189"/>
      <c r="AP4407" s="238"/>
    </row>
    <row r="4408" spans="3:42" s="45" customFormat="1" x14ac:dyDescent="0.2">
      <c r="C4408" s="189"/>
      <c r="F4408" s="73"/>
      <c r="M4408" s="111"/>
      <c r="N4408" s="73"/>
      <c r="O4408" s="73"/>
      <c r="P4408" s="73"/>
      <c r="Q4408" s="73"/>
      <c r="R4408" s="111"/>
      <c r="S4408" s="75"/>
      <c r="T4408" s="73"/>
      <c r="X4408" s="189"/>
      <c r="Y4408" s="189"/>
      <c r="Z4408" s="100"/>
      <c r="AC4408" s="84"/>
      <c r="AD4408" s="189"/>
      <c r="AE4408" s="189"/>
      <c r="AF4408" s="189"/>
      <c r="AG4408" s="189"/>
      <c r="AH4408" s="189"/>
      <c r="AP4408" s="238"/>
    </row>
    <row r="4409" spans="3:42" s="45" customFormat="1" x14ac:dyDescent="0.2">
      <c r="C4409" s="189"/>
      <c r="F4409" s="73"/>
      <c r="M4409" s="111"/>
      <c r="N4409" s="73"/>
      <c r="O4409" s="73"/>
      <c r="P4409" s="73"/>
      <c r="Q4409" s="73"/>
      <c r="R4409" s="111"/>
      <c r="S4409" s="75"/>
      <c r="T4409" s="73"/>
      <c r="X4409" s="189"/>
      <c r="Y4409" s="189"/>
      <c r="Z4409" s="100"/>
      <c r="AC4409" s="84"/>
      <c r="AD4409" s="189"/>
      <c r="AE4409" s="189"/>
      <c r="AF4409" s="189"/>
      <c r="AG4409" s="189"/>
      <c r="AH4409" s="189"/>
      <c r="AP4409" s="238"/>
    </row>
    <row r="4410" spans="3:42" s="45" customFormat="1" x14ac:dyDescent="0.2">
      <c r="C4410" s="189"/>
      <c r="F4410" s="73"/>
      <c r="M4410" s="111"/>
      <c r="N4410" s="73"/>
      <c r="O4410" s="73"/>
      <c r="P4410" s="73"/>
      <c r="Q4410" s="73"/>
      <c r="R4410" s="111"/>
      <c r="S4410" s="75"/>
      <c r="T4410" s="73"/>
      <c r="X4410" s="189"/>
      <c r="Y4410" s="189"/>
      <c r="Z4410" s="100"/>
      <c r="AC4410" s="84"/>
      <c r="AD4410" s="189"/>
      <c r="AE4410" s="189"/>
      <c r="AF4410" s="189"/>
      <c r="AG4410" s="189"/>
      <c r="AH4410" s="189"/>
      <c r="AP4410" s="238"/>
    </row>
    <row r="4411" spans="3:42" s="45" customFormat="1" x14ac:dyDescent="0.2">
      <c r="C4411" s="189"/>
      <c r="F4411" s="73"/>
      <c r="M4411" s="111"/>
      <c r="N4411" s="73"/>
      <c r="O4411" s="73"/>
      <c r="P4411" s="73"/>
      <c r="Q4411" s="73"/>
      <c r="R4411" s="111"/>
      <c r="S4411" s="75"/>
      <c r="T4411" s="73"/>
      <c r="X4411" s="189"/>
      <c r="Y4411" s="189"/>
      <c r="Z4411" s="100"/>
      <c r="AC4411" s="84"/>
      <c r="AD4411" s="189"/>
      <c r="AE4411" s="189"/>
      <c r="AF4411" s="189"/>
      <c r="AG4411" s="189"/>
      <c r="AH4411" s="189"/>
      <c r="AP4411" s="238"/>
    </row>
    <row r="4412" spans="3:42" s="45" customFormat="1" x14ac:dyDescent="0.2">
      <c r="C4412" s="189"/>
      <c r="F4412" s="73"/>
      <c r="M4412" s="111"/>
      <c r="N4412" s="73"/>
      <c r="O4412" s="73"/>
      <c r="P4412" s="73"/>
      <c r="Q4412" s="73"/>
      <c r="R4412" s="111"/>
      <c r="S4412" s="75"/>
      <c r="T4412" s="73"/>
      <c r="X4412" s="189"/>
      <c r="Y4412" s="189"/>
      <c r="Z4412" s="100"/>
      <c r="AC4412" s="84"/>
      <c r="AD4412" s="189"/>
      <c r="AE4412" s="189"/>
      <c r="AF4412" s="189"/>
      <c r="AG4412" s="189"/>
      <c r="AH4412" s="189"/>
      <c r="AP4412" s="238"/>
    </row>
    <row r="4413" spans="3:42" s="45" customFormat="1" x14ac:dyDescent="0.2">
      <c r="C4413" s="189"/>
      <c r="F4413" s="73"/>
      <c r="M4413" s="111"/>
      <c r="N4413" s="73"/>
      <c r="O4413" s="73"/>
      <c r="P4413" s="73"/>
      <c r="Q4413" s="73"/>
      <c r="R4413" s="111"/>
      <c r="S4413" s="75"/>
      <c r="T4413" s="73"/>
      <c r="X4413" s="189"/>
      <c r="Y4413" s="189"/>
      <c r="Z4413" s="100"/>
      <c r="AC4413" s="84"/>
      <c r="AD4413" s="189"/>
      <c r="AE4413" s="189"/>
      <c r="AF4413" s="189"/>
      <c r="AG4413" s="189"/>
      <c r="AH4413" s="189"/>
      <c r="AP4413" s="238"/>
    </row>
    <row r="4414" spans="3:42" s="45" customFormat="1" x14ac:dyDescent="0.2">
      <c r="C4414" s="189"/>
      <c r="F4414" s="73"/>
      <c r="M4414" s="111"/>
      <c r="N4414" s="73"/>
      <c r="O4414" s="73"/>
      <c r="P4414" s="73"/>
      <c r="Q4414" s="73"/>
      <c r="R4414" s="111"/>
      <c r="S4414" s="75"/>
      <c r="T4414" s="73"/>
      <c r="X4414" s="189"/>
      <c r="Y4414" s="189"/>
      <c r="Z4414" s="100"/>
      <c r="AC4414" s="84"/>
      <c r="AD4414" s="189"/>
      <c r="AE4414" s="189"/>
      <c r="AF4414" s="189"/>
      <c r="AG4414" s="189"/>
      <c r="AH4414" s="189"/>
      <c r="AP4414" s="238"/>
    </row>
    <row r="4415" spans="3:42" s="45" customFormat="1" x14ac:dyDescent="0.2">
      <c r="C4415" s="189"/>
      <c r="F4415" s="73"/>
      <c r="M4415" s="111"/>
      <c r="N4415" s="73"/>
      <c r="O4415" s="73"/>
      <c r="P4415" s="73"/>
      <c r="Q4415" s="73"/>
      <c r="R4415" s="111"/>
      <c r="S4415" s="75"/>
      <c r="T4415" s="73"/>
      <c r="X4415" s="189"/>
      <c r="Y4415" s="189"/>
      <c r="Z4415" s="100"/>
      <c r="AC4415" s="84"/>
      <c r="AD4415" s="189"/>
      <c r="AE4415" s="189"/>
      <c r="AF4415" s="189"/>
      <c r="AG4415" s="189"/>
      <c r="AH4415" s="189"/>
      <c r="AP4415" s="238"/>
    </row>
    <row r="4416" spans="3:42" s="45" customFormat="1" x14ac:dyDescent="0.2">
      <c r="C4416" s="189"/>
      <c r="F4416" s="73"/>
      <c r="M4416" s="111"/>
      <c r="N4416" s="73"/>
      <c r="O4416" s="73"/>
      <c r="P4416" s="73"/>
      <c r="Q4416" s="73"/>
      <c r="R4416" s="111"/>
      <c r="S4416" s="75"/>
      <c r="T4416" s="73"/>
      <c r="X4416" s="189"/>
      <c r="Y4416" s="189"/>
      <c r="Z4416" s="100"/>
      <c r="AC4416" s="84"/>
      <c r="AD4416" s="189"/>
      <c r="AE4416" s="189"/>
      <c r="AF4416" s="189"/>
      <c r="AG4416" s="189"/>
      <c r="AH4416" s="189"/>
      <c r="AP4416" s="238"/>
    </row>
    <row r="4417" spans="3:42" s="45" customFormat="1" x14ac:dyDescent="0.2">
      <c r="C4417" s="189"/>
      <c r="F4417" s="73"/>
      <c r="M4417" s="111"/>
      <c r="N4417" s="73"/>
      <c r="O4417" s="73"/>
      <c r="P4417" s="73"/>
      <c r="Q4417" s="73"/>
      <c r="R4417" s="111"/>
      <c r="S4417" s="75"/>
      <c r="T4417" s="73"/>
      <c r="X4417" s="189"/>
      <c r="Y4417" s="189"/>
      <c r="Z4417" s="100"/>
      <c r="AC4417" s="84"/>
      <c r="AD4417" s="189"/>
      <c r="AE4417" s="189"/>
      <c r="AF4417" s="189"/>
      <c r="AG4417" s="189"/>
      <c r="AH4417" s="189"/>
      <c r="AP4417" s="238"/>
    </row>
    <row r="4418" spans="3:42" s="45" customFormat="1" x14ac:dyDescent="0.2">
      <c r="C4418" s="189"/>
      <c r="F4418" s="73"/>
      <c r="M4418" s="111"/>
      <c r="N4418" s="73"/>
      <c r="O4418" s="73"/>
      <c r="P4418" s="73"/>
      <c r="Q4418" s="73"/>
      <c r="R4418" s="111"/>
      <c r="S4418" s="75"/>
      <c r="T4418" s="73"/>
      <c r="X4418" s="189"/>
      <c r="Y4418" s="189"/>
      <c r="Z4418" s="100"/>
      <c r="AC4418" s="84"/>
      <c r="AD4418" s="189"/>
      <c r="AE4418" s="189"/>
      <c r="AF4418" s="189"/>
      <c r="AG4418" s="189"/>
      <c r="AH4418" s="189"/>
      <c r="AP4418" s="238"/>
    </row>
    <row r="4419" spans="3:42" s="45" customFormat="1" x14ac:dyDescent="0.2">
      <c r="C4419" s="189"/>
      <c r="F4419" s="73"/>
      <c r="M4419" s="111"/>
      <c r="N4419" s="73"/>
      <c r="O4419" s="73"/>
      <c r="P4419" s="73"/>
      <c r="Q4419" s="73"/>
      <c r="R4419" s="111"/>
      <c r="S4419" s="75"/>
      <c r="T4419" s="73"/>
      <c r="X4419" s="189"/>
      <c r="Y4419" s="189"/>
      <c r="Z4419" s="100"/>
      <c r="AC4419" s="84"/>
      <c r="AD4419" s="189"/>
      <c r="AE4419" s="189"/>
      <c r="AF4419" s="189"/>
      <c r="AG4419" s="189"/>
      <c r="AH4419" s="189"/>
      <c r="AP4419" s="238"/>
    </row>
    <row r="4420" spans="3:42" s="45" customFormat="1" x14ac:dyDescent="0.2">
      <c r="C4420" s="189"/>
      <c r="F4420" s="73"/>
      <c r="M4420" s="111"/>
      <c r="N4420" s="73"/>
      <c r="O4420" s="73"/>
      <c r="P4420" s="73"/>
      <c r="Q4420" s="73"/>
      <c r="R4420" s="111"/>
      <c r="S4420" s="75"/>
      <c r="T4420" s="73"/>
      <c r="X4420" s="189"/>
      <c r="Y4420" s="189"/>
      <c r="Z4420" s="100"/>
      <c r="AC4420" s="84"/>
      <c r="AD4420" s="189"/>
      <c r="AE4420" s="189"/>
      <c r="AF4420" s="189"/>
      <c r="AG4420" s="189"/>
      <c r="AH4420" s="189"/>
      <c r="AP4420" s="238"/>
    </row>
    <row r="4421" spans="3:42" s="45" customFormat="1" x14ac:dyDescent="0.2">
      <c r="C4421" s="189"/>
      <c r="F4421" s="73"/>
      <c r="M4421" s="111"/>
      <c r="N4421" s="73"/>
      <c r="O4421" s="73"/>
      <c r="P4421" s="73"/>
      <c r="Q4421" s="73"/>
      <c r="R4421" s="111"/>
      <c r="S4421" s="75"/>
      <c r="T4421" s="73"/>
      <c r="X4421" s="189"/>
      <c r="Y4421" s="189"/>
      <c r="Z4421" s="100"/>
      <c r="AC4421" s="84"/>
      <c r="AD4421" s="189"/>
      <c r="AE4421" s="189"/>
      <c r="AF4421" s="189"/>
      <c r="AG4421" s="189"/>
      <c r="AH4421" s="189"/>
      <c r="AP4421" s="238"/>
    </row>
    <row r="4422" spans="3:42" s="45" customFormat="1" x14ac:dyDescent="0.2">
      <c r="C4422" s="189"/>
      <c r="F4422" s="73"/>
      <c r="M4422" s="111"/>
      <c r="N4422" s="73"/>
      <c r="O4422" s="73"/>
      <c r="P4422" s="73"/>
      <c r="Q4422" s="73"/>
      <c r="R4422" s="111"/>
      <c r="S4422" s="75"/>
      <c r="T4422" s="73"/>
      <c r="X4422" s="189"/>
      <c r="Y4422" s="189"/>
      <c r="Z4422" s="100"/>
      <c r="AC4422" s="84"/>
      <c r="AD4422" s="189"/>
      <c r="AE4422" s="189"/>
      <c r="AF4422" s="189"/>
      <c r="AG4422" s="189"/>
      <c r="AH4422" s="189"/>
      <c r="AP4422" s="238"/>
    </row>
    <row r="4423" spans="3:42" s="45" customFormat="1" x14ac:dyDescent="0.2">
      <c r="C4423" s="189"/>
      <c r="F4423" s="73"/>
      <c r="M4423" s="111"/>
      <c r="N4423" s="73"/>
      <c r="O4423" s="73"/>
      <c r="P4423" s="73"/>
      <c r="Q4423" s="73"/>
      <c r="R4423" s="111"/>
      <c r="S4423" s="75"/>
      <c r="T4423" s="73"/>
      <c r="X4423" s="189"/>
      <c r="Y4423" s="189"/>
      <c r="Z4423" s="100"/>
      <c r="AC4423" s="84"/>
      <c r="AD4423" s="189"/>
      <c r="AE4423" s="189"/>
      <c r="AF4423" s="189"/>
      <c r="AG4423" s="189"/>
      <c r="AH4423" s="189"/>
      <c r="AP4423" s="238"/>
    </row>
    <row r="4424" spans="3:42" s="45" customFormat="1" x14ac:dyDescent="0.2">
      <c r="C4424" s="189"/>
      <c r="F4424" s="73"/>
      <c r="M4424" s="111"/>
      <c r="N4424" s="73"/>
      <c r="O4424" s="73"/>
      <c r="P4424" s="73"/>
      <c r="Q4424" s="73"/>
      <c r="R4424" s="111"/>
      <c r="S4424" s="75"/>
      <c r="T4424" s="73"/>
      <c r="X4424" s="189"/>
      <c r="Y4424" s="189"/>
      <c r="Z4424" s="100"/>
      <c r="AC4424" s="84"/>
      <c r="AD4424" s="189"/>
      <c r="AE4424" s="189"/>
      <c r="AF4424" s="189"/>
      <c r="AG4424" s="189"/>
      <c r="AH4424" s="189"/>
      <c r="AP4424" s="238"/>
    </row>
    <row r="4425" spans="3:42" s="45" customFormat="1" x14ac:dyDescent="0.2">
      <c r="C4425" s="189"/>
      <c r="F4425" s="73"/>
      <c r="M4425" s="111"/>
      <c r="N4425" s="73"/>
      <c r="O4425" s="73"/>
      <c r="P4425" s="73"/>
      <c r="Q4425" s="73"/>
      <c r="R4425" s="111"/>
      <c r="S4425" s="75"/>
      <c r="T4425" s="73"/>
      <c r="X4425" s="189"/>
      <c r="Y4425" s="189"/>
      <c r="Z4425" s="100"/>
      <c r="AC4425" s="84"/>
      <c r="AD4425" s="189"/>
      <c r="AE4425" s="189"/>
      <c r="AF4425" s="189"/>
      <c r="AG4425" s="189"/>
      <c r="AH4425" s="189"/>
      <c r="AP4425" s="238"/>
    </row>
    <row r="4426" spans="3:42" s="45" customFormat="1" x14ac:dyDescent="0.2">
      <c r="C4426" s="189"/>
      <c r="F4426" s="73"/>
      <c r="M4426" s="111"/>
      <c r="N4426" s="73"/>
      <c r="O4426" s="73"/>
      <c r="P4426" s="73"/>
      <c r="Q4426" s="73"/>
      <c r="R4426" s="111"/>
      <c r="S4426" s="75"/>
      <c r="T4426" s="73"/>
      <c r="X4426" s="189"/>
      <c r="Y4426" s="189"/>
      <c r="Z4426" s="100"/>
      <c r="AC4426" s="84"/>
      <c r="AD4426" s="189"/>
      <c r="AE4426" s="189"/>
      <c r="AF4426" s="189"/>
      <c r="AG4426" s="189"/>
      <c r="AH4426" s="189"/>
      <c r="AP4426" s="238"/>
    </row>
    <row r="4427" spans="3:42" s="45" customFormat="1" x14ac:dyDescent="0.2">
      <c r="C4427" s="189"/>
      <c r="F4427" s="73"/>
      <c r="M4427" s="111"/>
      <c r="N4427" s="73"/>
      <c r="O4427" s="73"/>
      <c r="P4427" s="73"/>
      <c r="Q4427" s="73"/>
      <c r="R4427" s="111"/>
      <c r="S4427" s="75"/>
      <c r="T4427" s="73"/>
      <c r="X4427" s="189"/>
      <c r="Y4427" s="189"/>
      <c r="Z4427" s="100"/>
      <c r="AC4427" s="84"/>
      <c r="AD4427" s="189"/>
      <c r="AE4427" s="189"/>
      <c r="AF4427" s="189"/>
      <c r="AG4427" s="189"/>
      <c r="AH4427" s="189"/>
      <c r="AP4427" s="238"/>
    </row>
    <row r="4428" spans="3:42" s="45" customFormat="1" x14ac:dyDescent="0.2">
      <c r="C4428" s="189"/>
      <c r="F4428" s="73"/>
      <c r="M4428" s="111"/>
      <c r="N4428" s="73"/>
      <c r="O4428" s="73"/>
      <c r="P4428" s="73"/>
      <c r="Q4428" s="73"/>
      <c r="R4428" s="111"/>
      <c r="S4428" s="75"/>
      <c r="T4428" s="73"/>
      <c r="X4428" s="189"/>
      <c r="Y4428" s="189"/>
      <c r="Z4428" s="100"/>
      <c r="AC4428" s="84"/>
      <c r="AD4428" s="189"/>
      <c r="AE4428" s="189"/>
      <c r="AF4428" s="189"/>
      <c r="AG4428" s="189"/>
      <c r="AH4428" s="189"/>
      <c r="AP4428" s="238"/>
    </row>
    <row r="4429" spans="3:42" s="45" customFormat="1" x14ac:dyDescent="0.2">
      <c r="C4429" s="189"/>
      <c r="F4429" s="73"/>
      <c r="M4429" s="111"/>
      <c r="N4429" s="73"/>
      <c r="O4429" s="73"/>
      <c r="P4429" s="73"/>
      <c r="Q4429" s="73"/>
      <c r="R4429" s="111"/>
      <c r="S4429" s="75"/>
      <c r="T4429" s="73"/>
      <c r="X4429" s="189"/>
      <c r="Y4429" s="189"/>
      <c r="Z4429" s="100"/>
      <c r="AC4429" s="84"/>
      <c r="AD4429" s="189"/>
      <c r="AE4429" s="189"/>
      <c r="AF4429" s="189"/>
      <c r="AG4429" s="189"/>
      <c r="AH4429" s="189"/>
      <c r="AP4429" s="238"/>
    </row>
    <row r="4430" spans="3:42" s="45" customFormat="1" x14ac:dyDescent="0.2">
      <c r="C4430" s="189"/>
      <c r="F4430" s="73"/>
      <c r="M4430" s="111"/>
      <c r="N4430" s="73"/>
      <c r="O4430" s="73"/>
      <c r="P4430" s="73"/>
      <c r="Q4430" s="73"/>
      <c r="R4430" s="111"/>
      <c r="S4430" s="75"/>
      <c r="T4430" s="73"/>
      <c r="X4430" s="189"/>
      <c r="Y4430" s="189"/>
      <c r="Z4430" s="100"/>
      <c r="AC4430" s="84"/>
      <c r="AD4430" s="189"/>
      <c r="AE4430" s="189"/>
      <c r="AF4430" s="189"/>
      <c r="AG4430" s="189"/>
      <c r="AH4430" s="189"/>
      <c r="AP4430" s="238"/>
    </row>
    <row r="4431" spans="3:42" s="45" customFormat="1" x14ac:dyDescent="0.2">
      <c r="C4431" s="189"/>
      <c r="F4431" s="73"/>
      <c r="M4431" s="111"/>
      <c r="N4431" s="73"/>
      <c r="O4431" s="73"/>
      <c r="P4431" s="73"/>
      <c r="Q4431" s="73"/>
      <c r="R4431" s="111"/>
      <c r="S4431" s="75"/>
      <c r="T4431" s="73"/>
      <c r="X4431" s="189"/>
      <c r="Y4431" s="189"/>
      <c r="Z4431" s="100"/>
      <c r="AC4431" s="84"/>
      <c r="AD4431" s="189"/>
      <c r="AE4431" s="189"/>
      <c r="AF4431" s="189"/>
      <c r="AG4431" s="189"/>
      <c r="AH4431" s="189"/>
      <c r="AP4431" s="238"/>
    </row>
    <row r="4432" spans="3:42" s="45" customFormat="1" x14ac:dyDescent="0.2">
      <c r="C4432" s="189"/>
      <c r="F4432" s="73"/>
      <c r="M4432" s="111"/>
      <c r="N4432" s="73"/>
      <c r="O4432" s="73"/>
      <c r="P4432" s="73"/>
      <c r="Q4432" s="73"/>
      <c r="R4432" s="111"/>
      <c r="S4432" s="75"/>
      <c r="T4432" s="73"/>
      <c r="X4432" s="189"/>
      <c r="Y4432" s="189"/>
      <c r="Z4432" s="100"/>
      <c r="AC4432" s="84"/>
      <c r="AD4432" s="189"/>
      <c r="AE4432" s="189"/>
      <c r="AF4432" s="189"/>
      <c r="AG4432" s="189"/>
      <c r="AH4432" s="189"/>
      <c r="AP4432" s="238"/>
    </row>
    <row r="4433" spans="3:42" s="45" customFormat="1" x14ac:dyDescent="0.2">
      <c r="C4433" s="189"/>
      <c r="F4433" s="73"/>
      <c r="M4433" s="111"/>
      <c r="N4433" s="73"/>
      <c r="O4433" s="73"/>
      <c r="P4433" s="73"/>
      <c r="Q4433" s="73"/>
      <c r="R4433" s="111"/>
      <c r="S4433" s="75"/>
      <c r="T4433" s="73"/>
      <c r="X4433" s="189"/>
      <c r="Y4433" s="189"/>
      <c r="Z4433" s="100"/>
      <c r="AC4433" s="84"/>
      <c r="AD4433" s="189"/>
      <c r="AE4433" s="189"/>
      <c r="AF4433" s="189"/>
      <c r="AG4433" s="189"/>
      <c r="AH4433" s="189"/>
      <c r="AP4433" s="238"/>
    </row>
    <row r="4434" spans="3:42" s="45" customFormat="1" x14ac:dyDescent="0.2">
      <c r="C4434" s="189"/>
      <c r="F4434" s="73"/>
      <c r="M4434" s="111"/>
      <c r="N4434" s="73"/>
      <c r="O4434" s="73"/>
      <c r="P4434" s="73"/>
      <c r="Q4434" s="73"/>
      <c r="R4434" s="111"/>
      <c r="S4434" s="75"/>
      <c r="T4434" s="73"/>
      <c r="X4434" s="189"/>
      <c r="Y4434" s="189"/>
      <c r="Z4434" s="100"/>
      <c r="AC4434" s="84"/>
      <c r="AD4434" s="189"/>
      <c r="AE4434" s="189"/>
      <c r="AF4434" s="189"/>
      <c r="AG4434" s="189"/>
      <c r="AH4434" s="189"/>
      <c r="AP4434" s="238"/>
    </row>
    <row r="4435" spans="3:42" s="45" customFormat="1" x14ac:dyDescent="0.2">
      <c r="C4435" s="189"/>
      <c r="F4435" s="73"/>
      <c r="M4435" s="111"/>
      <c r="N4435" s="73"/>
      <c r="O4435" s="73"/>
      <c r="P4435" s="73"/>
      <c r="Q4435" s="73"/>
      <c r="R4435" s="111"/>
      <c r="S4435" s="75"/>
      <c r="T4435" s="73"/>
      <c r="X4435" s="189"/>
      <c r="Y4435" s="189"/>
      <c r="Z4435" s="100"/>
      <c r="AC4435" s="84"/>
      <c r="AD4435" s="189"/>
      <c r="AE4435" s="189"/>
      <c r="AF4435" s="189"/>
      <c r="AG4435" s="189"/>
      <c r="AH4435" s="189"/>
      <c r="AP4435" s="238"/>
    </row>
    <row r="4436" spans="3:42" s="45" customFormat="1" x14ac:dyDescent="0.2">
      <c r="C4436" s="189"/>
      <c r="F4436" s="73"/>
      <c r="M4436" s="111"/>
      <c r="N4436" s="73"/>
      <c r="O4436" s="73"/>
      <c r="P4436" s="73"/>
      <c r="Q4436" s="73"/>
      <c r="R4436" s="111"/>
      <c r="S4436" s="75"/>
      <c r="T4436" s="73"/>
      <c r="X4436" s="189"/>
      <c r="Y4436" s="189"/>
      <c r="Z4436" s="100"/>
      <c r="AC4436" s="84"/>
      <c r="AD4436" s="189"/>
      <c r="AE4436" s="189"/>
      <c r="AF4436" s="189"/>
      <c r="AG4436" s="189"/>
      <c r="AH4436" s="189"/>
      <c r="AP4436" s="238"/>
    </row>
    <row r="4437" spans="3:42" s="45" customFormat="1" x14ac:dyDescent="0.2">
      <c r="C4437" s="189"/>
      <c r="F4437" s="73"/>
      <c r="M4437" s="111"/>
      <c r="N4437" s="73"/>
      <c r="O4437" s="73"/>
      <c r="P4437" s="73"/>
      <c r="Q4437" s="73"/>
      <c r="R4437" s="111"/>
      <c r="S4437" s="75"/>
      <c r="T4437" s="73"/>
      <c r="X4437" s="189"/>
      <c r="Y4437" s="189"/>
      <c r="Z4437" s="100"/>
      <c r="AC4437" s="84"/>
      <c r="AD4437" s="189"/>
      <c r="AE4437" s="189"/>
      <c r="AF4437" s="189"/>
      <c r="AG4437" s="189"/>
      <c r="AH4437" s="189"/>
      <c r="AP4437" s="238"/>
    </row>
    <row r="4438" spans="3:42" s="45" customFormat="1" x14ac:dyDescent="0.2">
      <c r="C4438" s="189"/>
      <c r="F4438" s="73"/>
      <c r="M4438" s="111"/>
      <c r="N4438" s="73"/>
      <c r="O4438" s="73"/>
      <c r="P4438" s="73"/>
      <c r="Q4438" s="73"/>
      <c r="R4438" s="111"/>
      <c r="S4438" s="75"/>
      <c r="T4438" s="73"/>
      <c r="X4438" s="189"/>
      <c r="Y4438" s="189"/>
      <c r="Z4438" s="100"/>
      <c r="AC4438" s="84"/>
      <c r="AD4438" s="189"/>
      <c r="AE4438" s="189"/>
      <c r="AF4438" s="189"/>
      <c r="AG4438" s="189"/>
      <c r="AH4438" s="189"/>
      <c r="AP4438" s="238"/>
    </row>
    <row r="4439" spans="3:42" s="45" customFormat="1" x14ac:dyDescent="0.2">
      <c r="C4439" s="189"/>
      <c r="F4439" s="73"/>
      <c r="M4439" s="111"/>
      <c r="N4439" s="73"/>
      <c r="O4439" s="73"/>
      <c r="P4439" s="73"/>
      <c r="Q4439" s="73"/>
      <c r="R4439" s="111"/>
      <c r="S4439" s="75"/>
      <c r="T4439" s="73"/>
      <c r="X4439" s="189"/>
      <c r="Y4439" s="189"/>
      <c r="Z4439" s="100"/>
      <c r="AC4439" s="84"/>
      <c r="AD4439" s="189"/>
      <c r="AE4439" s="189"/>
      <c r="AF4439" s="189"/>
      <c r="AG4439" s="189"/>
      <c r="AH4439" s="189"/>
      <c r="AP4439" s="238"/>
    </row>
    <row r="4440" spans="3:42" s="45" customFormat="1" x14ac:dyDescent="0.2">
      <c r="C4440" s="189"/>
      <c r="F4440" s="73"/>
      <c r="M4440" s="111"/>
      <c r="N4440" s="73"/>
      <c r="O4440" s="73"/>
      <c r="P4440" s="73"/>
      <c r="Q4440" s="73"/>
      <c r="R4440" s="111"/>
      <c r="S4440" s="75"/>
      <c r="T4440" s="73"/>
      <c r="X4440" s="189"/>
      <c r="Y4440" s="189"/>
      <c r="Z4440" s="100"/>
      <c r="AC4440" s="84"/>
      <c r="AD4440" s="189"/>
      <c r="AE4440" s="189"/>
      <c r="AF4440" s="189"/>
      <c r="AG4440" s="189"/>
      <c r="AH4440" s="189"/>
      <c r="AP4440" s="238"/>
    </row>
    <row r="4441" spans="3:42" s="45" customFormat="1" x14ac:dyDescent="0.2">
      <c r="C4441" s="189"/>
      <c r="F4441" s="73"/>
      <c r="M4441" s="111"/>
      <c r="N4441" s="73"/>
      <c r="O4441" s="73"/>
      <c r="P4441" s="73"/>
      <c r="Q4441" s="73"/>
      <c r="R4441" s="111"/>
      <c r="S4441" s="75"/>
      <c r="T4441" s="73"/>
      <c r="X4441" s="189"/>
      <c r="Y4441" s="189"/>
      <c r="Z4441" s="100"/>
      <c r="AC4441" s="84"/>
      <c r="AD4441" s="189"/>
      <c r="AE4441" s="189"/>
      <c r="AF4441" s="189"/>
      <c r="AG4441" s="189"/>
      <c r="AH4441" s="189"/>
      <c r="AP4441" s="238"/>
    </row>
    <row r="4442" spans="3:42" s="45" customFormat="1" x14ac:dyDescent="0.2">
      <c r="C4442" s="189"/>
      <c r="F4442" s="73"/>
      <c r="M4442" s="111"/>
      <c r="N4442" s="73"/>
      <c r="O4442" s="73"/>
      <c r="P4442" s="73"/>
      <c r="Q4442" s="73"/>
      <c r="R4442" s="111"/>
      <c r="S4442" s="75"/>
      <c r="T4442" s="73"/>
      <c r="X4442" s="189"/>
      <c r="Y4442" s="189"/>
      <c r="Z4442" s="100"/>
      <c r="AC4442" s="84"/>
      <c r="AD4442" s="189"/>
      <c r="AE4442" s="189"/>
      <c r="AF4442" s="189"/>
      <c r="AG4442" s="189"/>
      <c r="AH4442" s="189"/>
      <c r="AP4442" s="238"/>
    </row>
    <row r="4443" spans="3:42" s="45" customFormat="1" x14ac:dyDescent="0.2">
      <c r="C4443" s="189"/>
      <c r="F4443" s="73"/>
      <c r="M4443" s="111"/>
      <c r="N4443" s="73"/>
      <c r="O4443" s="73"/>
      <c r="P4443" s="73"/>
      <c r="Q4443" s="73"/>
      <c r="R4443" s="111"/>
      <c r="S4443" s="75"/>
      <c r="T4443" s="73"/>
      <c r="X4443" s="189"/>
      <c r="Y4443" s="189"/>
      <c r="Z4443" s="100"/>
      <c r="AC4443" s="84"/>
      <c r="AD4443" s="189"/>
      <c r="AE4443" s="189"/>
      <c r="AF4443" s="189"/>
      <c r="AG4443" s="189"/>
      <c r="AH4443" s="189"/>
      <c r="AP4443" s="238"/>
    </row>
    <row r="4444" spans="3:42" s="45" customFormat="1" x14ac:dyDescent="0.2">
      <c r="C4444" s="189"/>
      <c r="F4444" s="73"/>
      <c r="M4444" s="111"/>
      <c r="N4444" s="73"/>
      <c r="O4444" s="73"/>
      <c r="P4444" s="73"/>
      <c r="Q4444" s="73"/>
      <c r="R4444" s="111"/>
      <c r="S4444" s="75"/>
      <c r="T4444" s="73"/>
      <c r="X4444" s="189"/>
      <c r="Y4444" s="189"/>
      <c r="Z4444" s="100"/>
      <c r="AC4444" s="84"/>
      <c r="AD4444" s="189"/>
      <c r="AE4444" s="189"/>
      <c r="AF4444" s="189"/>
      <c r="AG4444" s="189"/>
      <c r="AH4444" s="189"/>
      <c r="AP4444" s="238"/>
    </row>
    <row r="4445" spans="3:42" s="45" customFormat="1" x14ac:dyDescent="0.2">
      <c r="C4445" s="189"/>
      <c r="F4445" s="73"/>
      <c r="M4445" s="111"/>
      <c r="N4445" s="73"/>
      <c r="O4445" s="73"/>
      <c r="P4445" s="73"/>
      <c r="Q4445" s="73"/>
      <c r="R4445" s="111"/>
      <c r="S4445" s="75"/>
      <c r="T4445" s="73"/>
      <c r="X4445" s="189"/>
      <c r="Y4445" s="189"/>
      <c r="Z4445" s="100"/>
      <c r="AC4445" s="84"/>
      <c r="AD4445" s="189"/>
      <c r="AE4445" s="189"/>
      <c r="AF4445" s="189"/>
      <c r="AG4445" s="189"/>
      <c r="AH4445" s="189"/>
      <c r="AP4445" s="238"/>
    </row>
    <row r="4446" spans="3:42" s="45" customFormat="1" x14ac:dyDescent="0.2">
      <c r="C4446" s="189"/>
      <c r="F4446" s="73"/>
      <c r="M4446" s="111"/>
      <c r="N4446" s="73"/>
      <c r="O4446" s="73"/>
      <c r="P4446" s="73"/>
      <c r="Q4446" s="73"/>
      <c r="R4446" s="111"/>
      <c r="S4446" s="75"/>
      <c r="T4446" s="73"/>
      <c r="X4446" s="189"/>
      <c r="Y4446" s="189"/>
      <c r="Z4446" s="100"/>
      <c r="AC4446" s="84"/>
      <c r="AD4446" s="189"/>
      <c r="AE4446" s="189"/>
      <c r="AF4446" s="189"/>
      <c r="AG4446" s="189"/>
      <c r="AH4446" s="189"/>
      <c r="AP4446" s="238"/>
    </row>
    <row r="4447" spans="3:42" s="45" customFormat="1" x14ac:dyDescent="0.2">
      <c r="C4447" s="189"/>
      <c r="F4447" s="73"/>
      <c r="M4447" s="111"/>
      <c r="N4447" s="73"/>
      <c r="O4447" s="73"/>
      <c r="P4447" s="73"/>
      <c r="Q4447" s="73"/>
      <c r="R4447" s="111"/>
      <c r="S4447" s="75"/>
      <c r="T4447" s="73"/>
      <c r="X4447" s="189"/>
      <c r="Y4447" s="189"/>
      <c r="Z4447" s="100"/>
      <c r="AC4447" s="84"/>
      <c r="AD4447" s="189"/>
      <c r="AE4447" s="189"/>
      <c r="AF4447" s="189"/>
      <c r="AG4447" s="189"/>
      <c r="AH4447" s="189"/>
      <c r="AP4447" s="238"/>
    </row>
    <row r="4448" spans="3:42" s="45" customFormat="1" x14ac:dyDescent="0.2">
      <c r="C4448" s="189"/>
      <c r="F4448" s="73"/>
      <c r="M4448" s="111"/>
      <c r="N4448" s="73"/>
      <c r="O4448" s="73"/>
      <c r="P4448" s="73"/>
      <c r="Q4448" s="73"/>
      <c r="R4448" s="111"/>
      <c r="S4448" s="75"/>
      <c r="T4448" s="73"/>
      <c r="X4448" s="189"/>
      <c r="Y4448" s="189"/>
      <c r="Z4448" s="100"/>
      <c r="AC4448" s="84"/>
      <c r="AD4448" s="189"/>
      <c r="AE4448" s="189"/>
      <c r="AF4448" s="189"/>
      <c r="AG4448" s="189"/>
      <c r="AH4448" s="189"/>
      <c r="AP4448" s="238"/>
    </row>
    <row r="4449" spans="3:42" s="45" customFormat="1" x14ac:dyDescent="0.2">
      <c r="C4449" s="189"/>
      <c r="F4449" s="73"/>
      <c r="M4449" s="111"/>
      <c r="N4449" s="73"/>
      <c r="O4449" s="73"/>
      <c r="P4449" s="73"/>
      <c r="Q4449" s="73"/>
      <c r="R4449" s="111"/>
      <c r="S4449" s="75"/>
      <c r="T4449" s="73"/>
      <c r="X4449" s="189"/>
      <c r="Y4449" s="189"/>
      <c r="Z4449" s="100"/>
      <c r="AC4449" s="84"/>
      <c r="AD4449" s="189"/>
      <c r="AE4449" s="189"/>
      <c r="AF4449" s="189"/>
      <c r="AG4449" s="189"/>
      <c r="AH4449" s="189"/>
      <c r="AP4449" s="238"/>
    </row>
    <row r="4450" spans="3:42" s="45" customFormat="1" x14ac:dyDescent="0.2">
      <c r="C4450" s="189"/>
      <c r="F4450" s="73"/>
      <c r="M4450" s="111"/>
      <c r="N4450" s="73"/>
      <c r="O4450" s="73"/>
      <c r="P4450" s="73"/>
      <c r="Q4450" s="73"/>
      <c r="R4450" s="111"/>
      <c r="S4450" s="75"/>
      <c r="T4450" s="73"/>
      <c r="X4450" s="189"/>
      <c r="Y4450" s="189"/>
      <c r="Z4450" s="100"/>
      <c r="AC4450" s="84"/>
      <c r="AD4450" s="189"/>
      <c r="AE4450" s="189"/>
      <c r="AF4450" s="189"/>
      <c r="AG4450" s="189"/>
      <c r="AH4450" s="189"/>
      <c r="AP4450" s="238"/>
    </row>
    <row r="4451" spans="3:42" s="45" customFormat="1" x14ac:dyDescent="0.2">
      <c r="C4451" s="189"/>
      <c r="F4451" s="73"/>
      <c r="M4451" s="111"/>
      <c r="N4451" s="73"/>
      <c r="O4451" s="73"/>
      <c r="P4451" s="73"/>
      <c r="Q4451" s="73"/>
      <c r="R4451" s="111"/>
      <c r="S4451" s="75"/>
      <c r="T4451" s="73"/>
      <c r="X4451" s="189"/>
      <c r="Y4451" s="189"/>
      <c r="Z4451" s="100"/>
      <c r="AC4451" s="84"/>
      <c r="AD4451" s="189"/>
      <c r="AE4451" s="189"/>
      <c r="AF4451" s="189"/>
      <c r="AG4451" s="189"/>
      <c r="AH4451" s="189"/>
      <c r="AP4451" s="238"/>
    </row>
    <row r="4452" spans="3:42" s="45" customFormat="1" x14ac:dyDescent="0.2">
      <c r="C4452" s="189"/>
      <c r="F4452" s="73"/>
      <c r="M4452" s="111"/>
      <c r="N4452" s="73"/>
      <c r="O4452" s="73"/>
      <c r="P4452" s="73"/>
      <c r="Q4452" s="73"/>
      <c r="R4452" s="111"/>
      <c r="S4452" s="75"/>
      <c r="T4452" s="73"/>
      <c r="X4452" s="189"/>
      <c r="Y4452" s="189"/>
      <c r="Z4452" s="100"/>
      <c r="AC4452" s="84"/>
      <c r="AD4452" s="189"/>
      <c r="AE4452" s="189"/>
      <c r="AF4452" s="189"/>
      <c r="AG4452" s="189"/>
      <c r="AH4452" s="189"/>
      <c r="AP4452" s="238"/>
    </row>
    <row r="4453" spans="3:42" s="45" customFormat="1" x14ac:dyDescent="0.2">
      <c r="C4453" s="189"/>
      <c r="F4453" s="73"/>
      <c r="M4453" s="111"/>
      <c r="N4453" s="73"/>
      <c r="O4453" s="73"/>
      <c r="P4453" s="73"/>
      <c r="Q4453" s="73"/>
      <c r="R4453" s="111"/>
      <c r="S4453" s="75"/>
      <c r="T4453" s="73"/>
      <c r="X4453" s="189"/>
      <c r="Y4453" s="189"/>
      <c r="Z4453" s="100"/>
      <c r="AC4453" s="84"/>
      <c r="AD4453" s="189"/>
      <c r="AE4453" s="189"/>
      <c r="AF4453" s="189"/>
      <c r="AG4453" s="189"/>
      <c r="AH4453" s="189"/>
      <c r="AP4453" s="238"/>
    </row>
    <row r="4454" spans="3:42" s="45" customFormat="1" x14ac:dyDescent="0.2">
      <c r="C4454" s="189"/>
      <c r="F4454" s="73"/>
      <c r="M4454" s="111"/>
      <c r="N4454" s="73"/>
      <c r="O4454" s="73"/>
      <c r="P4454" s="73"/>
      <c r="Q4454" s="73"/>
      <c r="R4454" s="111"/>
      <c r="S4454" s="75"/>
      <c r="T4454" s="73"/>
      <c r="X4454" s="189"/>
      <c r="Y4454" s="189"/>
      <c r="Z4454" s="100"/>
      <c r="AC4454" s="84"/>
      <c r="AD4454" s="189"/>
      <c r="AE4454" s="189"/>
      <c r="AF4454" s="189"/>
      <c r="AG4454" s="189"/>
      <c r="AH4454" s="189"/>
      <c r="AP4454" s="238"/>
    </row>
    <row r="4455" spans="3:42" s="45" customFormat="1" x14ac:dyDescent="0.2">
      <c r="C4455" s="189"/>
      <c r="F4455" s="73"/>
      <c r="M4455" s="111"/>
      <c r="N4455" s="73"/>
      <c r="O4455" s="73"/>
      <c r="P4455" s="73"/>
      <c r="Q4455" s="73"/>
      <c r="R4455" s="111"/>
      <c r="S4455" s="75"/>
      <c r="T4455" s="73"/>
      <c r="X4455" s="189"/>
      <c r="Y4455" s="189"/>
      <c r="Z4455" s="100"/>
      <c r="AC4455" s="84"/>
      <c r="AD4455" s="189"/>
      <c r="AE4455" s="189"/>
      <c r="AF4455" s="189"/>
      <c r="AG4455" s="189"/>
      <c r="AH4455" s="189"/>
      <c r="AP4455" s="238"/>
    </row>
    <row r="4456" spans="3:42" s="45" customFormat="1" x14ac:dyDescent="0.2">
      <c r="C4456" s="189"/>
      <c r="F4456" s="73"/>
      <c r="M4456" s="111"/>
      <c r="N4456" s="73"/>
      <c r="O4456" s="73"/>
      <c r="P4456" s="73"/>
      <c r="Q4456" s="73"/>
      <c r="R4456" s="111"/>
      <c r="S4456" s="75"/>
      <c r="T4456" s="73"/>
      <c r="X4456" s="189"/>
      <c r="Y4456" s="189"/>
      <c r="Z4456" s="100"/>
      <c r="AC4456" s="84"/>
      <c r="AD4456" s="189"/>
      <c r="AE4456" s="189"/>
      <c r="AF4456" s="189"/>
      <c r="AG4456" s="189"/>
      <c r="AH4456" s="189"/>
      <c r="AP4456" s="238"/>
    </row>
    <row r="4457" spans="3:42" s="45" customFormat="1" x14ac:dyDescent="0.2">
      <c r="C4457" s="189"/>
      <c r="F4457" s="73"/>
      <c r="M4457" s="111"/>
      <c r="N4457" s="73"/>
      <c r="O4457" s="73"/>
      <c r="P4457" s="73"/>
      <c r="Q4457" s="73"/>
      <c r="R4457" s="111"/>
      <c r="S4457" s="75"/>
      <c r="T4457" s="73"/>
      <c r="X4457" s="189"/>
      <c r="Y4457" s="189"/>
      <c r="Z4457" s="100"/>
      <c r="AC4457" s="84"/>
      <c r="AD4457" s="189"/>
      <c r="AE4457" s="189"/>
      <c r="AF4457" s="189"/>
      <c r="AG4457" s="189"/>
      <c r="AH4457" s="189"/>
      <c r="AP4457" s="238"/>
    </row>
    <row r="4458" spans="3:42" s="45" customFormat="1" x14ac:dyDescent="0.2">
      <c r="C4458" s="189"/>
      <c r="F4458" s="73"/>
      <c r="M4458" s="111"/>
      <c r="N4458" s="73"/>
      <c r="O4458" s="73"/>
      <c r="P4458" s="73"/>
      <c r="Q4458" s="73"/>
      <c r="R4458" s="111"/>
      <c r="S4458" s="75"/>
      <c r="T4458" s="73"/>
      <c r="X4458" s="189"/>
      <c r="Y4458" s="189"/>
      <c r="Z4458" s="100"/>
      <c r="AC4458" s="84"/>
      <c r="AD4458" s="189"/>
      <c r="AE4458" s="189"/>
      <c r="AF4458" s="189"/>
      <c r="AG4458" s="189"/>
      <c r="AH4458" s="189"/>
      <c r="AP4458" s="238"/>
    </row>
    <row r="4459" spans="3:42" s="45" customFormat="1" x14ac:dyDescent="0.2">
      <c r="C4459" s="189"/>
      <c r="F4459" s="73"/>
      <c r="M4459" s="111"/>
      <c r="N4459" s="73"/>
      <c r="O4459" s="73"/>
      <c r="P4459" s="73"/>
      <c r="Q4459" s="73"/>
      <c r="R4459" s="111"/>
      <c r="S4459" s="75"/>
      <c r="T4459" s="73"/>
      <c r="X4459" s="189"/>
      <c r="Y4459" s="189"/>
      <c r="Z4459" s="100"/>
      <c r="AC4459" s="84"/>
      <c r="AD4459" s="189"/>
      <c r="AE4459" s="189"/>
      <c r="AF4459" s="189"/>
      <c r="AG4459" s="189"/>
      <c r="AH4459" s="189"/>
      <c r="AP4459" s="238"/>
    </row>
    <row r="4460" spans="3:42" s="45" customFormat="1" x14ac:dyDescent="0.2">
      <c r="C4460" s="189"/>
      <c r="F4460" s="73"/>
      <c r="M4460" s="111"/>
      <c r="N4460" s="73"/>
      <c r="O4460" s="73"/>
      <c r="P4460" s="73"/>
      <c r="Q4460" s="73"/>
      <c r="R4460" s="111"/>
      <c r="S4460" s="75"/>
      <c r="T4460" s="73"/>
      <c r="X4460" s="189"/>
      <c r="Y4460" s="189"/>
      <c r="Z4460" s="100"/>
      <c r="AC4460" s="84"/>
      <c r="AD4460" s="189"/>
      <c r="AE4460" s="189"/>
      <c r="AF4460" s="189"/>
      <c r="AG4460" s="189"/>
      <c r="AH4460" s="189"/>
      <c r="AP4460" s="238"/>
    </row>
    <row r="4461" spans="3:42" s="45" customFormat="1" x14ac:dyDescent="0.2">
      <c r="C4461" s="189"/>
      <c r="F4461" s="73"/>
      <c r="M4461" s="111"/>
      <c r="N4461" s="73"/>
      <c r="O4461" s="73"/>
      <c r="P4461" s="73"/>
      <c r="Q4461" s="73"/>
      <c r="R4461" s="111"/>
      <c r="S4461" s="75"/>
      <c r="T4461" s="73"/>
      <c r="X4461" s="189"/>
      <c r="Y4461" s="189"/>
      <c r="Z4461" s="100"/>
      <c r="AC4461" s="84"/>
      <c r="AD4461" s="189"/>
      <c r="AE4461" s="189"/>
      <c r="AF4461" s="189"/>
      <c r="AG4461" s="189"/>
      <c r="AH4461" s="189"/>
      <c r="AP4461" s="238"/>
    </row>
    <row r="4462" spans="3:42" s="45" customFormat="1" x14ac:dyDescent="0.2">
      <c r="C4462" s="189"/>
      <c r="F4462" s="73"/>
      <c r="M4462" s="111"/>
      <c r="N4462" s="73"/>
      <c r="O4462" s="73"/>
      <c r="P4462" s="73"/>
      <c r="Q4462" s="73"/>
      <c r="R4462" s="111"/>
      <c r="S4462" s="75"/>
      <c r="T4462" s="73"/>
      <c r="X4462" s="189"/>
      <c r="Y4462" s="189"/>
      <c r="Z4462" s="100"/>
      <c r="AC4462" s="84"/>
      <c r="AD4462" s="189"/>
      <c r="AE4462" s="189"/>
      <c r="AF4462" s="189"/>
      <c r="AG4462" s="189"/>
      <c r="AH4462" s="189"/>
      <c r="AP4462" s="238"/>
    </row>
    <row r="4463" spans="3:42" s="45" customFormat="1" x14ac:dyDescent="0.2">
      <c r="C4463" s="189"/>
      <c r="F4463" s="73"/>
      <c r="M4463" s="111"/>
      <c r="N4463" s="73"/>
      <c r="O4463" s="73"/>
      <c r="P4463" s="73"/>
      <c r="Q4463" s="73"/>
      <c r="R4463" s="111"/>
      <c r="S4463" s="75"/>
      <c r="T4463" s="73"/>
      <c r="X4463" s="189"/>
      <c r="Y4463" s="189"/>
      <c r="Z4463" s="100"/>
      <c r="AC4463" s="84"/>
      <c r="AD4463" s="189"/>
      <c r="AE4463" s="189"/>
      <c r="AF4463" s="189"/>
      <c r="AG4463" s="189"/>
      <c r="AH4463" s="189"/>
      <c r="AP4463" s="238"/>
    </row>
    <row r="4464" spans="3:42" s="45" customFormat="1" x14ac:dyDescent="0.2">
      <c r="C4464" s="189"/>
      <c r="F4464" s="73"/>
      <c r="M4464" s="111"/>
      <c r="N4464" s="73"/>
      <c r="O4464" s="73"/>
      <c r="P4464" s="73"/>
      <c r="Q4464" s="73"/>
      <c r="R4464" s="111"/>
      <c r="S4464" s="75"/>
      <c r="T4464" s="73"/>
      <c r="X4464" s="189"/>
      <c r="Y4464" s="189"/>
      <c r="Z4464" s="100"/>
      <c r="AC4464" s="84"/>
      <c r="AD4464" s="189"/>
      <c r="AE4464" s="189"/>
      <c r="AF4464" s="189"/>
      <c r="AG4464" s="189"/>
      <c r="AH4464" s="189"/>
      <c r="AP4464" s="238"/>
    </row>
    <row r="4465" spans="2:42" s="45" customFormat="1" x14ac:dyDescent="0.2">
      <c r="C4465" s="189"/>
      <c r="F4465" s="73"/>
      <c r="M4465" s="111"/>
      <c r="N4465" s="73"/>
      <c r="O4465" s="73"/>
      <c r="P4465" s="73"/>
      <c r="Q4465" s="73"/>
      <c r="R4465" s="111"/>
      <c r="S4465" s="75"/>
      <c r="T4465" s="73"/>
      <c r="X4465" s="189"/>
      <c r="Y4465" s="189"/>
      <c r="Z4465" s="100"/>
      <c r="AC4465" s="84"/>
      <c r="AD4465" s="189"/>
      <c r="AE4465" s="189"/>
      <c r="AF4465" s="189"/>
      <c r="AG4465" s="189"/>
      <c r="AH4465" s="189"/>
      <c r="AP4465" s="238"/>
    </row>
    <row r="4466" spans="2:42" s="45" customFormat="1" x14ac:dyDescent="0.2">
      <c r="C4466" s="189"/>
      <c r="F4466" s="73"/>
      <c r="M4466" s="111"/>
      <c r="N4466" s="73"/>
      <c r="O4466" s="73"/>
      <c r="P4466" s="73"/>
      <c r="Q4466" s="73"/>
      <c r="R4466" s="111"/>
      <c r="S4466" s="75"/>
      <c r="T4466" s="73"/>
      <c r="X4466" s="189"/>
      <c r="Y4466" s="189"/>
      <c r="Z4466" s="100"/>
      <c r="AC4466" s="84"/>
      <c r="AD4466" s="189"/>
      <c r="AE4466" s="189"/>
      <c r="AF4466" s="189"/>
      <c r="AG4466" s="189"/>
      <c r="AH4466" s="189"/>
      <c r="AP4466" s="238"/>
    </row>
    <row r="4467" spans="2:42" s="45" customFormat="1" x14ac:dyDescent="0.2">
      <c r="C4467" s="189"/>
      <c r="F4467" s="73"/>
      <c r="M4467" s="111"/>
      <c r="N4467" s="73"/>
      <c r="O4467" s="73"/>
      <c r="P4467" s="73"/>
      <c r="Q4467" s="73"/>
      <c r="R4467" s="111"/>
      <c r="S4467" s="75"/>
      <c r="T4467" s="73"/>
      <c r="X4467" s="189"/>
      <c r="Y4467" s="189"/>
      <c r="Z4467" s="100"/>
      <c r="AC4467" s="84"/>
      <c r="AD4467" s="189"/>
      <c r="AE4467" s="189"/>
      <c r="AF4467" s="189"/>
      <c r="AG4467" s="189"/>
      <c r="AH4467" s="189"/>
      <c r="AP4467" s="238"/>
    </row>
    <row r="4468" spans="2:42" s="45" customFormat="1" x14ac:dyDescent="0.2">
      <c r="C4468" s="189"/>
      <c r="F4468" s="73"/>
      <c r="M4468" s="111"/>
      <c r="N4468" s="73"/>
      <c r="O4468" s="73"/>
      <c r="P4468" s="73"/>
      <c r="Q4468" s="73"/>
      <c r="R4468" s="111"/>
      <c r="S4468" s="75"/>
      <c r="T4468" s="73"/>
      <c r="X4468" s="189"/>
      <c r="Y4468" s="189"/>
      <c r="Z4468" s="100"/>
      <c r="AC4468" s="84"/>
      <c r="AD4468" s="189"/>
      <c r="AE4468" s="189"/>
      <c r="AF4468" s="189"/>
      <c r="AG4468" s="189"/>
      <c r="AH4468" s="189"/>
      <c r="AP4468" s="238"/>
    </row>
    <row r="4469" spans="2:42" s="45" customFormat="1" x14ac:dyDescent="0.2">
      <c r="C4469" s="189"/>
      <c r="F4469" s="73"/>
      <c r="M4469" s="111"/>
      <c r="N4469" s="73"/>
      <c r="O4469" s="73"/>
      <c r="P4469" s="73"/>
      <c r="Q4469" s="73"/>
      <c r="R4469" s="111"/>
      <c r="S4469" s="75"/>
      <c r="T4469" s="73"/>
      <c r="X4469" s="189"/>
      <c r="Y4469" s="189"/>
      <c r="Z4469" s="100"/>
      <c r="AC4469" s="84"/>
      <c r="AD4469" s="189"/>
      <c r="AE4469" s="189"/>
      <c r="AF4469" s="189"/>
      <c r="AG4469" s="189"/>
      <c r="AH4469" s="189"/>
      <c r="AP4469" s="238"/>
    </row>
    <row r="4470" spans="2:42" s="45" customFormat="1" x14ac:dyDescent="0.2">
      <c r="C4470" s="189"/>
      <c r="F4470" s="73"/>
      <c r="M4470" s="111"/>
      <c r="N4470" s="73"/>
      <c r="O4470" s="73"/>
      <c r="P4470" s="73"/>
      <c r="Q4470" s="73"/>
      <c r="R4470" s="111"/>
      <c r="S4470" s="75"/>
      <c r="T4470" s="73"/>
      <c r="X4470" s="189"/>
      <c r="Y4470" s="189"/>
      <c r="Z4470" s="100"/>
      <c r="AC4470" s="84"/>
      <c r="AD4470" s="189"/>
      <c r="AE4470" s="189"/>
      <c r="AF4470" s="189"/>
      <c r="AG4470" s="189"/>
      <c r="AH4470" s="189"/>
      <c r="AP4470" s="238"/>
    </row>
    <row r="4471" spans="2:42" s="45" customFormat="1" x14ac:dyDescent="0.2">
      <c r="C4471" s="189"/>
      <c r="F4471" s="73"/>
      <c r="M4471" s="111"/>
      <c r="N4471" s="73"/>
      <c r="O4471" s="73"/>
      <c r="P4471" s="73"/>
      <c r="Q4471" s="73"/>
      <c r="R4471" s="111"/>
      <c r="S4471" s="75"/>
      <c r="T4471" s="73"/>
      <c r="X4471" s="189"/>
      <c r="Y4471" s="189"/>
      <c r="Z4471" s="100"/>
      <c r="AC4471" s="84"/>
      <c r="AD4471" s="189"/>
      <c r="AE4471" s="189"/>
      <c r="AF4471" s="189"/>
      <c r="AG4471" s="189"/>
      <c r="AH4471" s="189"/>
      <c r="AP4471" s="238"/>
    </row>
    <row r="4472" spans="2:42" s="45" customFormat="1" x14ac:dyDescent="0.2">
      <c r="C4472" s="189"/>
      <c r="F4472" s="73"/>
      <c r="M4472" s="111"/>
      <c r="N4472" s="73"/>
      <c r="O4472" s="73"/>
      <c r="P4472" s="73"/>
      <c r="Q4472" s="73"/>
      <c r="R4472" s="111"/>
      <c r="S4472" s="75"/>
      <c r="T4472" s="73"/>
      <c r="X4472" s="189"/>
      <c r="Y4472" s="189"/>
      <c r="Z4472" s="100"/>
      <c r="AC4472" s="84"/>
      <c r="AD4472" s="189"/>
      <c r="AE4472" s="189"/>
      <c r="AF4472" s="189"/>
      <c r="AG4472" s="189"/>
      <c r="AH4472" s="189"/>
      <c r="AP4472" s="238"/>
    </row>
    <row r="4473" spans="2:42" s="45" customFormat="1" x14ac:dyDescent="0.2">
      <c r="C4473" s="189"/>
      <c r="F4473" s="73"/>
      <c r="M4473" s="111"/>
      <c r="N4473" s="73"/>
      <c r="O4473" s="73"/>
      <c r="P4473" s="73"/>
      <c r="Q4473" s="73"/>
      <c r="R4473" s="111"/>
      <c r="S4473" s="75"/>
      <c r="T4473" s="73"/>
      <c r="X4473" s="189"/>
      <c r="Y4473" s="189"/>
      <c r="Z4473" s="100"/>
      <c r="AC4473" s="84"/>
      <c r="AD4473" s="189"/>
      <c r="AE4473" s="189"/>
      <c r="AF4473" s="189"/>
      <c r="AG4473" s="189"/>
      <c r="AH4473" s="189"/>
      <c r="AP4473" s="238"/>
    </row>
    <row r="4474" spans="2:42" s="45" customFormat="1" x14ac:dyDescent="0.2">
      <c r="C4474" s="189"/>
      <c r="F4474" s="73"/>
      <c r="M4474" s="111"/>
      <c r="N4474" s="73"/>
      <c r="O4474" s="73"/>
      <c r="P4474" s="73"/>
      <c r="Q4474" s="73"/>
      <c r="R4474" s="111"/>
      <c r="S4474" s="75"/>
      <c r="T4474" s="73"/>
      <c r="X4474" s="189"/>
      <c r="Y4474" s="189"/>
      <c r="Z4474" s="100"/>
      <c r="AC4474" s="84"/>
      <c r="AD4474" s="189"/>
      <c r="AE4474" s="189"/>
      <c r="AF4474" s="189"/>
      <c r="AG4474" s="189"/>
      <c r="AH4474" s="189"/>
      <c r="AP4474" s="238"/>
    </row>
    <row r="4475" spans="2:42" s="45" customFormat="1" x14ac:dyDescent="0.2">
      <c r="C4475" s="189"/>
      <c r="F4475" s="73"/>
      <c r="M4475" s="111"/>
      <c r="N4475" s="73"/>
      <c r="O4475" s="73"/>
      <c r="P4475" s="73"/>
      <c r="Q4475" s="73"/>
      <c r="R4475" s="111"/>
      <c r="S4475" s="75"/>
      <c r="T4475" s="73"/>
      <c r="X4475" s="189"/>
      <c r="Y4475" s="189"/>
      <c r="Z4475" s="100"/>
      <c r="AC4475" s="84"/>
      <c r="AD4475" s="189"/>
      <c r="AE4475" s="189"/>
      <c r="AF4475" s="189"/>
      <c r="AG4475" s="189"/>
      <c r="AH4475" s="189"/>
      <c r="AP4475" s="238"/>
    </row>
    <row r="4476" spans="2:42" s="45" customFormat="1" x14ac:dyDescent="0.2">
      <c r="C4476" s="189"/>
      <c r="F4476" s="73"/>
      <c r="M4476" s="111"/>
      <c r="N4476" s="73"/>
      <c r="O4476" s="73"/>
      <c r="P4476" s="73"/>
      <c r="Q4476" s="73"/>
      <c r="R4476" s="111"/>
      <c r="S4476" s="75"/>
      <c r="T4476" s="73"/>
      <c r="X4476" s="189"/>
      <c r="Y4476" s="189"/>
      <c r="Z4476" s="100"/>
      <c r="AC4476" s="84"/>
      <c r="AD4476" s="189"/>
      <c r="AE4476" s="189"/>
      <c r="AF4476" s="189"/>
      <c r="AG4476" s="189"/>
      <c r="AH4476" s="189"/>
      <c r="AP4476" s="238"/>
    </row>
    <row r="4477" spans="2:42" s="45" customFormat="1" x14ac:dyDescent="0.2">
      <c r="B4477"/>
      <c r="C4477" s="27"/>
      <c r="D4477"/>
      <c r="E4477"/>
      <c r="F4477" s="73"/>
      <c r="G4477"/>
      <c r="H4477"/>
      <c r="I4477"/>
      <c r="J4477"/>
      <c r="K4477"/>
      <c r="L4477"/>
      <c r="M4477" s="2"/>
      <c r="N4477" s="1"/>
      <c r="O4477" s="1"/>
      <c r="P4477" s="73"/>
      <c r="Q4477" s="73"/>
      <c r="R4477" s="111"/>
      <c r="S4477" s="75"/>
      <c r="T4477" s="73"/>
      <c r="X4477" s="189"/>
      <c r="Y4477" s="189"/>
      <c r="Z4477" s="100"/>
      <c r="AC4477" s="84"/>
      <c r="AD4477" s="189"/>
      <c r="AE4477" s="189"/>
      <c r="AF4477" s="189"/>
      <c r="AG4477" s="189"/>
      <c r="AH4477" s="189"/>
      <c r="AP4477" s="238"/>
    </row>
    <row r="4478" spans="2:42" s="45" customFormat="1" x14ac:dyDescent="0.2">
      <c r="B4478"/>
      <c r="C4478" s="27"/>
      <c r="D4478"/>
      <c r="E4478"/>
      <c r="F4478" s="73"/>
      <c r="G4478"/>
      <c r="H4478"/>
      <c r="I4478"/>
      <c r="J4478"/>
      <c r="K4478"/>
      <c r="L4478"/>
      <c r="M4478" s="2"/>
      <c r="N4478" s="1"/>
      <c r="O4478" s="1"/>
      <c r="P4478" s="73"/>
      <c r="Q4478" s="73"/>
      <c r="R4478" s="111"/>
      <c r="S4478" s="75"/>
      <c r="T4478" s="73"/>
      <c r="X4478" s="189"/>
      <c r="Y4478" s="189"/>
      <c r="Z4478" s="100"/>
      <c r="AC4478" s="84"/>
      <c r="AD4478" s="189"/>
      <c r="AE4478" s="189"/>
      <c r="AF4478" s="189"/>
      <c r="AG4478" s="189"/>
      <c r="AH4478" s="189"/>
      <c r="AP4478" s="238"/>
    </row>
    <row r="4479" spans="2:42" s="45" customFormat="1" x14ac:dyDescent="0.2">
      <c r="B4479"/>
      <c r="C4479" s="27"/>
      <c r="D4479"/>
      <c r="E4479"/>
      <c r="F4479" s="73"/>
      <c r="G4479"/>
      <c r="H4479"/>
      <c r="I4479"/>
      <c r="J4479"/>
      <c r="K4479"/>
      <c r="L4479"/>
      <c r="M4479" s="2"/>
      <c r="N4479" s="1"/>
      <c r="O4479" s="1"/>
      <c r="P4479" s="73"/>
      <c r="Q4479" s="73"/>
      <c r="R4479" s="111"/>
      <c r="S4479" s="75"/>
      <c r="T4479" s="73"/>
      <c r="X4479" s="189"/>
      <c r="Y4479" s="189"/>
      <c r="Z4479" s="100"/>
      <c r="AC4479" s="84"/>
      <c r="AD4479" s="189"/>
      <c r="AE4479" s="189"/>
      <c r="AF4479" s="189"/>
      <c r="AG4479" s="189"/>
      <c r="AH4479" s="189"/>
      <c r="AP4479" s="238"/>
    </row>
    <row r="4480" spans="2:42" s="45" customFormat="1" x14ac:dyDescent="0.2">
      <c r="B4480"/>
      <c r="C4480" s="27"/>
      <c r="D4480"/>
      <c r="E4480"/>
      <c r="F4480" s="73"/>
      <c r="G4480"/>
      <c r="H4480"/>
      <c r="I4480"/>
      <c r="J4480"/>
      <c r="K4480"/>
      <c r="L4480"/>
      <c r="M4480" s="2"/>
      <c r="N4480" s="1"/>
      <c r="O4480" s="1"/>
      <c r="P4480" s="73"/>
      <c r="Q4480" s="73"/>
      <c r="R4480" s="111"/>
      <c r="S4480" s="75"/>
      <c r="T4480" s="73"/>
      <c r="X4480" s="189"/>
      <c r="Y4480" s="189"/>
      <c r="Z4480" s="100"/>
      <c r="AC4480" s="84"/>
      <c r="AD4480" s="189"/>
      <c r="AE4480" s="189"/>
      <c r="AF4480" s="189"/>
      <c r="AG4480" s="189"/>
      <c r="AH4480" s="189"/>
      <c r="AP4480" s="238"/>
    </row>
    <row r="4481" spans="2:42" s="45" customFormat="1" x14ac:dyDescent="0.2">
      <c r="B4481"/>
      <c r="C4481" s="27"/>
      <c r="D4481"/>
      <c r="E4481"/>
      <c r="F4481" s="73"/>
      <c r="G4481"/>
      <c r="H4481"/>
      <c r="I4481"/>
      <c r="J4481"/>
      <c r="K4481"/>
      <c r="L4481"/>
      <c r="M4481" s="2"/>
      <c r="N4481" s="1"/>
      <c r="O4481" s="1"/>
      <c r="P4481" s="73"/>
      <c r="Q4481" s="73"/>
      <c r="R4481" s="111"/>
      <c r="S4481" s="75"/>
      <c r="T4481" s="73"/>
      <c r="X4481" s="189"/>
      <c r="Y4481" s="189"/>
      <c r="Z4481" s="100"/>
      <c r="AC4481" s="84"/>
      <c r="AD4481" s="189"/>
      <c r="AE4481" s="189"/>
      <c r="AF4481" s="189"/>
      <c r="AG4481" s="189"/>
      <c r="AH4481" s="189"/>
      <c r="AP4481" s="238"/>
    </row>
    <row r="4482" spans="2:42" s="45" customFormat="1" x14ac:dyDescent="0.2">
      <c r="B4482"/>
      <c r="C4482" s="27"/>
      <c r="D4482"/>
      <c r="E4482"/>
      <c r="F4482" s="73"/>
      <c r="G4482"/>
      <c r="H4482"/>
      <c r="I4482"/>
      <c r="J4482"/>
      <c r="K4482"/>
      <c r="L4482"/>
      <c r="M4482" s="2"/>
      <c r="N4482" s="1"/>
      <c r="O4482" s="1"/>
      <c r="P4482" s="73"/>
      <c r="Q4482" s="73"/>
      <c r="R4482" s="111"/>
      <c r="S4482" s="75"/>
      <c r="T4482" s="73"/>
      <c r="X4482" s="189"/>
      <c r="Y4482" s="189"/>
      <c r="Z4482" s="100"/>
      <c r="AC4482" s="84"/>
      <c r="AD4482" s="189"/>
      <c r="AE4482" s="189"/>
      <c r="AF4482" s="189"/>
      <c r="AG4482" s="189"/>
      <c r="AH4482" s="189"/>
      <c r="AP4482" s="238"/>
    </row>
    <row r="4483" spans="2:42" s="45" customFormat="1" x14ac:dyDescent="0.2">
      <c r="B4483"/>
      <c r="C4483" s="27"/>
      <c r="D4483"/>
      <c r="E4483"/>
      <c r="F4483" s="73"/>
      <c r="G4483"/>
      <c r="H4483"/>
      <c r="I4483"/>
      <c r="J4483"/>
      <c r="K4483"/>
      <c r="L4483"/>
      <c r="M4483" s="2"/>
      <c r="N4483" s="1"/>
      <c r="O4483" s="1"/>
      <c r="P4483" s="73"/>
      <c r="Q4483" s="73"/>
      <c r="R4483" s="111"/>
      <c r="S4483" s="75"/>
      <c r="T4483" s="73"/>
      <c r="X4483" s="189"/>
      <c r="Y4483" s="189"/>
      <c r="Z4483" s="100"/>
      <c r="AC4483" s="84"/>
      <c r="AD4483" s="189"/>
      <c r="AE4483" s="189"/>
      <c r="AF4483" s="189"/>
      <c r="AG4483" s="189"/>
      <c r="AH4483" s="189"/>
      <c r="AP4483" s="238"/>
    </row>
    <row r="4484" spans="2:42" s="45" customFormat="1" x14ac:dyDescent="0.2">
      <c r="B4484"/>
      <c r="C4484" s="27"/>
      <c r="D4484"/>
      <c r="E4484"/>
      <c r="F4484" s="73"/>
      <c r="G4484"/>
      <c r="H4484"/>
      <c r="I4484"/>
      <c r="J4484"/>
      <c r="K4484"/>
      <c r="L4484"/>
      <c r="M4484" s="2"/>
      <c r="N4484" s="1"/>
      <c r="O4484" s="1"/>
      <c r="P4484" s="73"/>
      <c r="Q4484" s="73"/>
      <c r="R4484" s="111"/>
      <c r="S4484" s="75"/>
      <c r="T4484" s="73"/>
      <c r="X4484" s="189"/>
      <c r="Y4484" s="189"/>
      <c r="Z4484" s="100"/>
      <c r="AC4484" s="84"/>
      <c r="AD4484" s="189"/>
      <c r="AE4484" s="189"/>
      <c r="AF4484" s="189"/>
      <c r="AG4484" s="189"/>
      <c r="AH4484" s="189"/>
      <c r="AP4484" s="238"/>
    </row>
    <row r="4485" spans="2:42" s="45" customFormat="1" x14ac:dyDescent="0.2">
      <c r="B4485"/>
      <c r="C4485" s="27"/>
      <c r="D4485"/>
      <c r="E4485"/>
      <c r="F4485" s="73"/>
      <c r="G4485"/>
      <c r="H4485"/>
      <c r="I4485"/>
      <c r="J4485"/>
      <c r="K4485"/>
      <c r="L4485"/>
      <c r="M4485" s="2"/>
      <c r="N4485" s="1"/>
      <c r="O4485" s="1"/>
      <c r="P4485" s="73"/>
      <c r="Q4485" s="73"/>
      <c r="R4485" s="111"/>
      <c r="S4485" s="75"/>
      <c r="T4485" s="73"/>
      <c r="X4485" s="189"/>
      <c r="Y4485" s="189"/>
      <c r="Z4485" s="100"/>
      <c r="AC4485" s="84"/>
      <c r="AD4485" s="189"/>
      <c r="AE4485" s="189"/>
      <c r="AF4485" s="189"/>
      <c r="AG4485" s="189"/>
      <c r="AH4485" s="189"/>
      <c r="AP4485" s="238"/>
    </row>
    <row r="4486" spans="2:42" s="45" customFormat="1" x14ac:dyDescent="0.2">
      <c r="B4486"/>
      <c r="C4486" s="27"/>
      <c r="D4486"/>
      <c r="E4486"/>
      <c r="F4486" s="73"/>
      <c r="G4486"/>
      <c r="H4486"/>
      <c r="I4486"/>
      <c r="J4486"/>
      <c r="K4486"/>
      <c r="L4486"/>
      <c r="M4486" s="2"/>
      <c r="N4486" s="1"/>
      <c r="O4486" s="1"/>
      <c r="P4486" s="73"/>
      <c r="Q4486" s="73"/>
      <c r="R4486" s="111"/>
      <c r="S4486" s="75"/>
      <c r="T4486" s="73"/>
      <c r="X4486" s="189"/>
      <c r="Y4486" s="189"/>
      <c r="Z4486" s="100"/>
      <c r="AC4486" s="84"/>
      <c r="AD4486" s="189"/>
      <c r="AE4486" s="189"/>
      <c r="AF4486" s="189"/>
      <c r="AG4486" s="189"/>
      <c r="AH4486" s="189"/>
      <c r="AP4486" s="238"/>
    </row>
    <row r="4487" spans="2:42" s="45" customFormat="1" x14ac:dyDescent="0.2">
      <c r="B4487"/>
      <c r="C4487" s="27"/>
      <c r="D4487"/>
      <c r="E4487"/>
      <c r="F4487" s="73"/>
      <c r="G4487"/>
      <c r="H4487"/>
      <c r="I4487"/>
      <c r="J4487"/>
      <c r="K4487"/>
      <c r="L4487"/>
      <c r="M4487" s="2"/>
      <c r="N4487" s="1"/>
      <c r="O4487" s="1"/>
      <c r="P4487" s="73"/>
      <c r="Q4487" s="73"/>
      <c r="R4487" s="111"/>
      <c r="S4487" s="75"/>
      <c r="T4487" s="73"/>
      <c r="X4487" s="189"/>
      <c r="Y4487" s="189"/>
      <c r="Z4487" s="100"/>
      <c r="AC4487" s="84"/>
      <c r="AD4487" s="189"/>
      <c r="AE4487" s="189"/>
      <c r="AF4487" s="189"/>
      <c r="AG4487" s="189"/>
      <c r="AH4487" s="189"/>
      <c r="AP4487" s="238"/>
    </row>
    <row r="4488" spans="2:42" s="45" customFormat="1" x14ac:dyDescent="0.2">
      <c r="B4488"/>
      <c r="C4488" s="27"/>
      <c r="D4488"/>
      <c r="E4488"/>
      <c r="F4488" s="73"/>
      <c r="G4488"/>
      <c r="H4488"/>
      <c r="I4488"/>
      <c r="J4488"/>
      <c r="K4488"/>
      <c r="L4488"/>
      <c r="M4488" s="2"/>
      <c r="N4488" s="1"/>
      <c r="O4488" s="1"/>
      <c r="P4488" s="73"/>
      <c r="Q4488" s="73"/>
      <c r="R4488" s="111"/>
      <c r="S4488" s="75"/>
      <c r="T4488" s="73"/>
      <c r="X4488" s="189"/>
      <c r="Y4488" s="189"/>
      <c r="Z4488" s="100"/>
      <c r="AC4488" s="84"/>
      <c r="AD4488" s="189"/>
      <c r="AE4488" s="189"/>
      <c r="AF4488" s="189"/>
      <c r="AG4488" s="189"/>
      <c r="AH4488" s="189"/>
      <c r="AP4488" s="238"/>
    </row>
    <row r="4489" spans="2:42" s="45" customFormat="1" x14ac:dyDescent="0.2">
      <c r="B4489"/>
      <c r="C4489" s="27"/>
      <c r="D4489"/>
      <c r="E4489"/>
      <c r="F4489" s="73"/>
      <c r="G4489"/>
      <c r="H4489"/>
      <c r="I4489"/>
      <c r="J4489"/>
      <c r="K4489"/>
      <c r="L4489"/>
      <c r="M4489" s="2"/>
      <c r="N4489" s="1"/>
      <c r="O4489" s="1"/>
      <c r="P4489" s="73"/>
      <c r="Q4489" s="73"/>
      <c r="R4489" s="111"/>
      <c r="S4489" s="75"/>
      <c r="T4489" s="73"/>
      <c r="X4489" s="189"/>
      <c r="Y4489" s="189"/>
      <c r="Z4489" s="100"/>
      <c r="AC4489" s="84"/>
      <c r="AD4489" s="189"/>
      <c r="AE4489" s="189"/>
      <c r="AF4489" s="189"/>
      <c r="AG4489" s="189"/>
      <c r="AH4489" s="189"/>
      <c r="AP4489" s="238"/>
    </row>
    <row r="4490" spans="2:42" s="45" customFormat="1" x14ac:dyDescent="0.2">
      <c r="B4490"/>
      <c r="C4490" s="27"/>
      <c r="D4490"/>
      <c r="E4490"/>
      <c r="F4490" s="73"/>
      <c r="G4490"/>
      <c r="H4490"/>
      <c r="I4490"/>
      <c r="J4490"/>
      <c r="K4490"/>
      <c r="L4490"/>
      <c r="M4490" s="2"/>
      <c r="N4490" s="1"/>
      <c r="O4490" s="1"/>
      <c r="P4490" s="73"/>
      <c r="Q4490" s="73"/>
      <c r="R4490" s="111"/>
      <c r="S4490" s="75"/>
      <c r="T4490" s="73"/>
      <c r="X4490" s="189"/>
      <c r="Y4490" s="189"/>
      <c r="Z4490" s="100"/>
      <c r="AC4490" s="84"/>
      <c r="AD4490" s="189"/>
      <c r="AE4490" s="189"/>
      <c r="AF4490" s="189"/>
      <c r="AG4490" s="189"/>
      <c r="AH4490" s="189"/>
      <c r="AP4490" s="238"/>
    </row>
    <row r="4491" spans="2:42" s="45" customFormat="1" x14ac:dyDescent="0.2">
      <c r="B4491"/>
      <c r="C4491" s="27"/>
      <c r="D4491"/>
      <c r="E4491"/>
      <c r="F4491" s="73"/>
      <c r="G4491"/>
      <c r="H4491"/>
      <c r="I4491"/>
      <c r="J4491"/>
      <c r="K4491"/>
      <c r="L4491"/>
      <c r="M4491" s="2"/>
      <c r="N4491" s="1"/>
      <c r="O4491" s="1"/>
      <c r="P4491" s="73"/>
      <c r="Q4491" s="73"/>
      <c r="R4491" s="111"/>
      <c r="S4491" s="75"/>
      <c r="T4491" s="73"/>
      <c r="X4491" s="189"/>
      <c r="Y4491" s="189"/>
      <c r="Z4491" s="100"/>
      <c r="AC4491" s="84"/>
      <c r="AD4491" s="189"/>
      <c r="AE4491" s="189"/>
      <c r="AF4491" s="189"/>
      <c r="AG4491" s="189"/>
      <c r="AH4491" s="189"/>
      <c r="AP4491" s="238"/>
    </row>
    <row r="4492" spans="2:42" s="45" customFormat="1" x14ac:dyDescent="0.2">
      <c r="B4492"/>
      <c r="C4492" s="27"/>
      <c r="D4492"/>
      <c r="E4492"/>
      <c r="F4492" s="73"/>
      <c r="G4492"/>
      <c r="H4492"/>
      <c r="I4492"/>
      <c r="J4492"/>
      <c r="K4492"/>
      <c r="L4492"/>
      <c r="M4492" s="2"/>
      <c r="N4492" s="1"/>
      <c r="O4492" s="1"/>
      <c r="P4492" s="73"/>
      <c r="Q4492" s="73"/>
      <c r="R4492" s="111"/>
      <c r="S4492" s="75"/>
      <c r="T4492" s="73"/>
      <c r="X4492" s="189"/>
      <c r="Y4492" s="189"/>
      <c r="Z4492" s="100"/>
      <c r="AC4492" s="84"/>
      <c r="AD4492" s="189"/>
      <c r="AE4492" s="189"/>
      <c r="AF4492" s="189"/>
      <c r="AG4492" s="189"/>
      <c r="AH4492" s="189"/>
      <c r="AP4492" s="238"/>
    </row>
    <row r="4493" spans="2:42" s="45" customFormat="1" x14ac:dyDescent="0.2">
      <c r="B4493"/>
      <c r="C4493" s="27"/>
      <c r="D4493"/>
      <c r="E4493"/>
      <c r="F4493" s="73"/>
      <c r="G4493"/>
      <c r="H4493"/>
      <c r="I4493"/>
      <c r="J4493"/>
      <c r="K4493"/>
      <c r="L4493"/>
      <c r="M4493" s="2"/>
      <c r="N4493" s="1"/>
      <c r="O4493" s="1"/>
      <c r="P4493" s="73"/>
      <c r="Q4493" s="73"/>
      <c r="R4493" s="111"/>
      <c r="S4493" s="75"/>
      <c r="T4493" s="73"/>
      <c r="X4493" s="189"/>
      <c r="Y4493" s="189"/>
      <c r="Z4493" s="100"/>
      <c r="AC4493" s="84"/>
      <c r="AD4493" s="189"/>
      <c r="AE4493" s="189"/>
      <c r="AF4493" s="189"/>
      <c r="AG4493" s="189"/>
      <c r="AH4493" s="189"/>
      <c r="AP4493" s="238"/>
    </row>
    <row r="4494" spans="2:42" s="45" customFormat="1" x14ac:dyDescent="0.2">
      <c r="B4494"/>
      <c r="C4494" s="27"/>
      <c r="D4494"/>
      <c r="E4494"/>
      <c r="F4494" s="73"/>
      <c r="G4494"/>
      <c r="H4494"/>
      <c r="I4494"/>
      <c r="J4494"/>
      <c r="K4494"/>
      <c r="L4494"/>
      <c r="M4494" s="2"/>
      <c r="N4494" s="1"/>
      <c r="O4494" s="1"/>
      <c r="P4494" s="73"/>
      <c r="Q4494" s="73"/>
      <c r="R4494" s="111"/>
      <c r="S4494" s="75"/>
      <c r="T4494" s="73"/>
      <c r="X4494" s="189"/>
      <c r="Y4494" s="189"/>
      <c r="Z4494" s="100"/>
      <c r="AC4494" s="84"/>
      <c r="AD4494" s="189"/>
      <c r="AE4494" s="189"/>
      <c r="AF4494" s="189"/>
      <c r="AG4494" s="189"/>
      <c r="AH4494" s="189"/>
      <c r="AP4494" s="238"/>
    </row>
    <row r="4495" spans="2:42" s="45" customFormat="1" x14ac:dyDescent="0.2">
      <c r="B4495"/>
      <c r="C4495" s="27"/>
      <c r="D4495"/>
      <c r="E4495"/>
      <c r="F4495" s="73"/>
      <c r="G4495"/>
      <c r="H4495"/>
      <c r="I4495"/>
      <c r="J4495"/>
      <c r="K4495"/>
      <c r="L4495"/>
      <c r="M4495" s="2"/>
      <c r="N4495" s="1"/>
      <c r="O4495" s="1"/>
      <c r="P4495" s="73"/>
      <c r="Q4495" s="73"/>
      <c r="R4495" s="111"/>
      <c r="S4495" s="75"/>
      <c r="T4495" s="73"/>
      <c r="X4495" s="189"/>
      <c r="Y4495" s="189"/>
      <c r="Z4495" s="100"/>
      <c r="AC4495" s="84"/>
      <c r="AD4495" s="189"/>
      <c r="AE4495" s="189"/>
      <c r="AF4495" s="189"/>
      <c r="AG4495" s="189"/>
      <c r="AH4495" s="189"/>
      <c r="AP4495" s="238"/>
    </row>
    <row r="4496" spans="2:42" s="45" customFormat="1" x14ac:dyDescent="0.2">
      <c r="B4496"/>
      <c r="C4496" s="27"/>
      <c r="D4496"/>
      <c r="E4496"/>
      <c r="F4496" s="73"/>
      <c r="G4496"/>
      <c r="H4496"/>
      <c r="I4496"/>
      <c r="J4496"/>
      <c r="K4496"/>
      <c r="L4496"/>
      <c r="M4496" s="2"/>
      <c r="N4496" s="1"/>
      <c r="O4496" s="1"/>
      <c r="P4496" s="73"/>
      <c r="Q4496" s="73"/>
      <c r="R4496" s="111"/>
      <c r="S4496" s="75"/>
      <c r="T4496" s="73"/>
      <c r="X4496" s="189"/>
      <c r="Y4496" s="189"/>
      <c r="Z4496" s="100"/>
      <c r="AC4496" s="84"/>
      <c r="AD4496" s="189"/>
      <c r="AE4496" s="189"/>
      <c r="AF4496" s="189"/>
      <c r="AG4496" s="189"/>
      <c r="AH4496" s="189"/>
      <c r="AP4496" s="238"/>
    </row>
    <row r="4497" spans="2:42" s="45" customFormat="1" x14ac:dyDescent="0.2">
      <c r="B4497"/>
      <c r="C4497" s="27"/>
      <c r="D4497"/>
      <c r="E4497"/>
      <c r="F4497" s="73"/>
      <c r="G4497"/>
      <c r="H4497"/>
      <c r="I4497"/>
      <c r="J4497"/>
      <c r="K4497"/>
      <c r="L4497"/>
      <c r="M4497" s="2"/>
      <c r="N4497" s="1"/>
      <c r="O4497" s="1"/>
      <c r="P4497" s="73"/>
      <c r="Q4497" s="73"/>
      <c r="R4497" s="111"/>
      <c r="S4497" s="75"/>
      <c r="T4497" s="73"/>
      <c r="X4497" s="189"/>
      <c r="Y4497" s="189"/>
      <c r="Z4497" s="100"/>
      <c r="AC4497" s="84"/>
      <c r="AD4497" s="189"/>
      <c r="AE4497" s="189"/>
      <c r="AF4497" s="189"/>
      <c r="AG4497" s="189"/>
      <c r="AH4497" s="189"/>
      <c r="AP4497" s="238"/>
    </row>
    <row r="4498" spans="2:42" s="45" customFormat="1" x14ac:dyDescent="0.2">
      <c r="B4498"/>
      <c r="C4498" s="27"/>
      <c r="D4498"/>
      <c r="E4498"/>
      <c r="F4498" s="73"/>
      <c r="G4498"/>
      <c r="H4498"/>
      <c r="I4498"/>
      <c r="J4498"/>
      <c r="K4498"/>
      <c r="L4498"/>
      <c r="M4498" s="2"/>
      <c r="N4498" s="1"/>
      <c r="O4498" s="1"/>
      <c r="P4498" s="73"/>
      <c r="Q4498" s="73"/>
      <c r="R4498" s="111"/>
      <c r="S4498" s="75"/>
      <c r="T4498" s="73"/>
      <c r="X4498" s="189"/>
      <c r="Y4498" s="189"/>
      <c r="Z4498" s="100"/>
      <c r="AC4498" s="84"/>
      <c r="AD4498" s="189"/>
      <c r="AE4498" s="189"/>
      <c r="AF4498" s="189"/>
      <c r="AG4498" s="189"/>
      <c r="AH4498" s="189"/>
      <c r="AP4498" s="238"/>
    </row>
    <row r="4499" spans="2:42" s="45" customFormat="1" x14ac:dyDescent="0.2">
      <c r="B4499"/>
      <c r="C4499" s="27"/>
      <c r="D4499"/>
      <c r="E4499"/>
      <c r="F4499" s="73"/>
      <c r="G4499"/>
      <c r="H4499"/>
      <c r="I4499"/>
      <c r="J4499"/>
      <c r="K4499"/>
      <c r="L4499"/>
      <c r="M4499" s="2"/>
      <c r="N4499" s="1"/>
      <c r="O4499" s="1"/>
      <c r="P4499" s="73"/>
      <c r="Q4499" s="73"/>
      <c r="R4499" s="111"/>
      <c r="S4499" s="75"/>
      <c r="T4499" s="73"/>
      <c r="X4499" s="189"/>
      <c r="Y4499" s="189"/>
      <c r="Z4499" s="100"/>
      <c r="AC4499" s="84"/>
      <c r="AD4499" s="189"/>
      <c r="AE4499" s="189"/>
      <c r="AF4499" s="189"/>
      <c r="AG4499" s="189"/>
      <c r="AH4499" s="189"/>
      <c r="AP4499" s="238"/>
    </row>
    <row r="4500" spans="2:42" s="45" customFormat="1" x14ac:dyDescent="0.2">
      <c r="B4500"/>
      <c r="C4500" s="27"/>
      <c r="D4500"/>
      <c r="E4500"/>
      <c r="F4500" s="73"/>
      <c r="G4500"/>
      <c r="H4500"/>
      <c r="I4500"/>
      <c r="J4500"/>
      <c r="K4500"/>
      <c r="L4500"/>
      <c r="M4500" s="2"/>
      <c r="N4500" s="1"/>
      <c r="O4500" s="1"/>
      <c r="P4500" s="73"/>
      <c r="Q4500" s="73"/>
      <c r="R4500" s="111"/>
      <c r="S4500" s="75"/>
      <c r="T4500" s="73"/>
      <c r="X4500" s="189"/>
      <c r="Y4500" s="189"/>
      <c r="Z4500" s="100"/>
      <c r="AC4500" s="84"/>
      <c r="AD4500" s="189"/>
      <c r="AE4500" s="189"/>
      <c r="AF4500" s="189"/>
      <c r="AG4500" s="189"/>
      <c r="AH4500" s="189"/>
      <c r="AP4500" s="238"/>
    </row>
    <row r="4501" spans="2:42" s="45" customFormat="1" x14ac:dyDescent="0.2">
      <c r="B4501"/>
      <c r="C4501" s="27"/>
      <c r="D4501"/>
      <c r="E4501"/>
      <c r="F4501" s="73"/>
      <c r="G4501"/>
      <c r="H4501"/>
      <c r="I4501"/>
      <c r="J4501"/>
      <c r="K4501"/>
      <c r="L4501"/>
      <c r="M4501" s="2"/>
      <c r="N4501" s="1"/>
      <c r="O4501" s="1"/>
      <c r="P4501" s="73"/>
      <c r="Q4501" s="73"/>
      <c r="R4501" s="111"/>
      <c r="S4501" s="75"/>
      <c r="T4501" s="73"/>
      <c r="X4501" s="189"/>
      <c r="Y4501" s="189"/>
      <c r="Z4501" s="100"/>
      <c r="AC4501" s="84"/>
      <c r="AD4501" s="189"/>
      <c r="AE4501" s="189"/>
      <c r="AF4501" s="189"/>
      <c r="AG4501" s="189"/>
      <c r="AH4501" s="189"/>
      <c r="AP4501" s="238"/>
    </row>
    <row r="4502" spans="2:42" s="45" customFormat="1" x14ac:dyDescent="0.2">
      <c r="B4502"/>
      <c r="C4502" s="27"/>
      <c r="D4502"/>
      <c r="E4502"/>
      <c r="F4502" s="73"/>
      <c r="G4502"/>
      <c r="H4502"/>
      <c r="I4502"/>
      <c r="J4502"/>
      <c r="K4502"/>
      <c r="L4502"/>
      <c r="M4502" s="2"/>
      <c r="N4502" s="1"/>
      <c r="O4502" s="1"/>
      <c r="P4502" s="73"/>
      <c r="Q4502" s="73"/>
      <c r="R4502" s="111"/>
      <c r="S4502" s="75"/>
      <c r="T4502" s="73"/>
      <c r="X4502" s="189"/>
      <c r="Y4502" s="189"/>
      <c r="Z4502" s="100"/>
      <c r="AC4502" s="84"/>
      <c r="AD4502" s="189"/>
      <c r="AE4502" s="189"/>
      <c r="AF4502" s="189"/>
      <c r="AG4502" s="189"/>
      <c r="AH4502" s="189"/>
      <c r="AP4502" s="238"/>
    </row>
    <row r="4503" spans="2:42" s="45" customFormat="1" x14ac:dyDescent="0.2">
      <c r="B4503"/>
      <c r="C4503" s="27"/>
      <c r="D4503"/>
      <c r="E4503"/>
      <c r="F4503" s="73"/>
      <c r="G4503"/>
      <c r="H4503"/>
      <c r="I4503"/>
      <c r="J4503"/>
      <c r="K4503"/>
      <c r="L4503"/>
      <c r="M4503" s="2"/>
      <c r="N4503" s="1"/>
      <c r="O4503" s="1"/>
      <c r="P4503" s="73"/>
      <c r="Q4503" s="73"/>
      <c r="R4503" s="111"/>
      <c r="S4503" s="75"/>
      <c r="T4503" s="73"/>
      <c r="X4503" s="189"/>
      <c r="Y4503" s="189"/>
      <c r="Z4503" s="100"/>
      <c r="AC4503" s="84"/>
      <c r="AD4503" s="189"/>
      <c r="AE4503" s="189"/>
      <c r="AF4503" s="189"/>
      <c r="AG4503" s="189"/>
      <c r="AH4503" s="189"/>
      <c r="AP4503" s="238"/>
    </row>
    <row r="4504" spans="2:42" s="45" customFormat="1" x14ac:dyDescent="0.2">
      <c r="B4504"/>
      <c r="C4504" s="27"/>
      <c r="D4504"/>
      <c r="E4504"/>
      <c r="F4504" s="73"/>
      <c r="G4504"/>
      <c r="H4504"/>
      <c r="I4504"/>
      <c r="J4504"/>
      <c r="K4504"/>
      <c r="L4504"/>
      <c r="M4504" s="2"/>
      <c r="N4504" s="1"/>
      <c r="O4504" s="1"/>
      <c r="P4504" s="73"/>
      <c r="Q4504" s="73"/>
      <c r="R4504" s="111"/>
      <c r="S4504" s="75"/>
      <c r="T4504" s="73"/>
      <c r="X4504" s="189"/>
      <c r="Y4504" s="189"/>
      <c r="Z4504" s="100"/>
      <c r="AC4504" s="84"/>
      <c r="AD4504" s="189"/>
      <c r="AE4504" s="189"/>
      <c r="AF4504" s="189"/>
      <c r="AG4504" s="189"/>
      <c r="AH4504" s="189"/>
      <c r="AP4504" s="238"/>
    </row>
    <row r="4505" spans="2:42" s="45" customFormat="1" x14ac:dyDescent="0.2">
      <c r="B4505"/>
      <c r="C4505" s="27"/>
      <c r="D4505"/>
      <c r="E4505"/>
      <c r="F4505" s="73"/>
      <c r="G4505"/>
      <c r="H4505"/>
      <c r="I4505"/>
      <c r="J4505"/>
      <c r="K4505"/>
      <c r="L4505"/>
      <c r="M4505" s="2"/>
      <c r="N4505" s="1"/>
      <c r="O4505" s="1"/>
      <c r="P4505" s="73"/>
      <c r="Q4505" s="73"/>
      <c r="R4505" s="111"/>
      <c r="S4505" s="75"/>
      <c r="T4505" s="73"/>
      <c r="X4505" s="189"/>
      <c r="Y4505" s="189"/>
      <c r="Z4505" s="100"/>
      <c r="AC4505" s="84"/>
      <c r="AD4505" s="189"/>
      <c r="AE4505" s="189"/>
      <c r="AF4505" s="189"/>
      <c r="AG4505" s="189"/>
      <c r="AH4505" s="189"/>
      <c r="AP4505" s="238"/>
    </row>
    <row r="4506" spans="2:42" s="45" customFormat="1" x14ac:dyDescent="0.2">
      <c r="B4506"/>
      <c r="C4506" s="27"/>
      <c r="D4506"/>
      <c r="E4506"/>
      <c r="F4506" s="73"/>
      <c r="G4506"/>
      <c r="H4506"/>
      <c r="I4506"/>
      <c r="J4506"/>
      <c r="K4506"/>
      <c r="L4506"/>
      <c r="M4506" s="2"/>
      <c r="N4506" s="1"/>
      <c r="O4506" s="1"/>
      <c r="P4506" s="73"/>
      <c r="Q4506" s="73"/>
      <c r="R4506" s="111"/>
      <c r="S4506" s="75"/>
      <c r="T4506" s="73"/>
      <c r="X4506" s="189"/>
      <c r="Y4506" s="189"/>
      <c r="Z4506" s="100"/>
      <c r="AC4506" s="84"/>
      <c r="AD4506" s="189"/>
      <c r="AE4506" s="189"/>
      <c r="AF4506" s="189"/>
      <c r="AG4506" s="189"/>
      <c r="AH4506" s="189"/>
      <c r="AP4506" s="238"/>
    </row>
    <row r="4507" spans="2:42" s="45" customFormat="1" x14ac:dyDescent="0.2">
      <c r="B4507"/>
      <c r="C4507" s="27"/>
      <c r="D4507"/>
      <c r="E4507"/>
      <c r="F4507" s="73"/>
      <c r="G4507"/>
      <c r="H4507"/>
      <c r="I4507"/>
      <c r="J4507"/>
      <c r="K4507"/>
      <c r="L4507"/>
      <c r="M4507" s="2"/>
      <c r="N4507" s="1"/>
      <c r="O4507" s="1"/>
      <c r="P4507" s="73"/>
      <c r="Q4507" s="73"/>
      <c r="R4507" s="111"/>
      <c r="S4507" s="75"/>
      <c r="T4507" s="73"/>
      <c r="X4507" s="189"/>
      <c r="Y4507" s="189"/>
      <c r="Z4507" s="100"/>
      <c r="AC4507" s="84"/>
      <c r="AD4507" s="189"/>
      <c r="AE4507" s="189"/>
      <c r="AF4507" s="189"/>
      <c r="AG4507" s="189"/>
      <c r="AH4507" s="189"/>
      <c r="AP4507" s="238"/>
    </row>
    <row r="4508" spans="2:42" s="45" customFormat="1" x14ac:dyDescent="0.2">
      <c r="B4508"/>
      <c r="C4508" s="27"/>
      <c r="D4508"/>
      <c r="E4508"/>
      <c r="F4508" s="73"/>
      <c r="G4508"/>
      <c r="H4508"/>
      <c r="I4508"/>
      <c r="J4508"/>
      <c r="K4508"/>
      <c r="L4508"/>
      <c r="M4508" s="2"/>
      <c r="N4508" s="1"/>
      <c r="O4508" s="1"/>
      <c r="P4508" s="73"/>
      <c r="Q4508" s="73"/>
      <c r="R4508" s="111"/>
      <c r="S4508" s="75"/>
      <c r="T4508" s="73"/>
      <c r="X4508" s="189"/>
      <c r="Y4508" s="189"/>
      <c r="Z4508" s="100"/>
      <c r="AC4508" s="84"/>
      <c r="AD4508" s="189"/>
      <c r="AE4508" s="189"/>
      <c r="AF4508" s="189"/>
      <c r="AG4508" s="189"/>
      <c r="AH4508" s="189"/>
      <c r="AP4508" s="238"/>
    </row>
    <row r="4509" spans="2:42" s="45" customFormat="1" x14ac:dyDescent="0.2">
      <c r="B4509"/>
      <c r="C4509" s="27"/>
      <c r="D4509"/>
      <c r="E4509"/>
      <c r="F4509" s="73"/>
      <c r="G4509"/>
      <c r="H4509"/>
      <c r="I4509"/>
      <c r="J4509"/>
      <c r="K4509"/>
      <c r="L4509"/>
      <c r="M4509" s="2"/>
      <c r="N4509" s="1"/>
      <c r="O4509" s="1"/>
      <c r="P4509" s="73"/>
      <c r="Q4509" s="73"/>
      <c r="R4509" s="111"/>
      <c r="S4509" s="75"/>
      <c r="T4509" s="73"/>
      <c r="X4509" s="189"/>
      <c r="Y4509" s="189"/>
      <c r="Z4509" s="100"/>
      <c r="AC4509" s="84"/>
      <c r="AD4509" s="189"/>
      <c r="AE4509" s="189"/>
      <c r="AF4509" s="189"/>
      <c r="AG4509" s="189"/>
      <c r="AH4509" s="189"/>
      <c r="AP4509" s="238"/>
    </row>
    <row r="4510" spans="2:42" s="45" customFormat="1" x14ac:dyDescent="0.2">
      <c r="B4510"/>
      <c r="C4510" s="27"/>
      <c r="D4510"/>
      <c r="E4510"/>
      <c r="F4510" s="73"/>
      <c r="G4510"/>
      <c r="H4510"/>
      <c r="I4510"/>
      <c r="J4510"/>
      <c r="K4510"/>
      <c r="L4510"/>
      <c r="M4510" s="2"/>
      <c r="N4510" s="1"/>
      <c r="O4510" s="1"/>
      <c r="P4510" s="73"/>
      <c r="Q4510" s="73"/>
      <c r="R4510" s="111"/>
      <c r="S4510" s="75"/>
      <c r="T4510" s="73"/>
      <c r="X4510" s="189"/>
      <c r="Y4510" s="189"/>
      <c r="Z4510" s="100"/>
      <c r="AC4510" s="84"/>
      <c r="AD4510" s="189"/>
      <c r="AE4510" s="189"/>
      <c r="AF4510" s="189"/>
      <c r="AG4510" s="189"/>
      <c r="AH4510" s="189"/>
      <c r="AP4510" s="238"/>
    </row>
    <row r="4511" spans="2:42" s="45" customFormat="1" x14ac:dyDescent="0.2">
      <c r="B4511"/>
      <c r="C4511" s="27"/>
      <c r="D4511"/>
      <c r="E4511"/>
      <c r="F4511" s="73"/>
      <c r="G4511"/>
      <c r="H4511"/>
      <c r="I4511"/>
      <c r="J4511"/>
      <c r="K4511"/>
      <c r="L4511"/>
      <c r="M4511" s="2"/>
      <c r="N4511" s="1"/>
      <c r="O4511" s="1"/>
      <c r="P4511" s="73"/>
      <c r="Q4511" s="73"/>
      <c r="R4511" s="111"/>
      <c r="S4511" s="75"/>
      <c r="T4511" s="73"/>
      <c r="X4511" s="189"/>
      <c r="Y4511" s="189"/>
      <c r="Z4511" s="100"/>
      <c r="AC4511" s="84"/>
      <c r="AD4511" s="189"/>
      <c r="AE4511" s="189"/>
      <c r="AF4511" s="189"/>
      <c r="AG4511" s="189"/>
      <c r="AH4511" s="189"/>
      <c r="AP4511" s="238"/>
    </row>
    <row r="4512" spans="2:42" s="45" customFormat="1" x14ac:dyDescent="0.2">
      <c r="B4512"/>
      <c r="C4512" s="27"/>
      <c r="D4512"/>
      <c r="E4512"/>
      <c r="F4512" s="73"/>
      <c r="G4512"/>
      <c r="H4512"/>
      <c r="I4512"/>
      <c r="J4512"/>
      <c r="K4512"/>
      <c r="L4512"/>
      <c r="M4512" s="2"/>
      <c r="N4512" s="1"/>
      <c r="O4512" s="1"/>
      <c r="P4512" s="73"/>
      <c r="Q4512" s="73"/>
      <c r="R4512" s="111"/>
      <c r="S4512" s="75"/>
      <c r="T4512" s="73"/>
      <c r="X4512" s="189"/>
      <c r="Y4512" s="189"/>
      <c r="Z4512" s="100"/>
      <c r="AC4512" s="84"/>
      <c r="AD4512" s="189"/>
      <c r="AE4512" s="189"/>
      <c r="AF4512" s="189"/>
      <c r="AG4512" s="189"/>
      <c r="AH4512" s="189"/>
      <c r="AP4512" s="238"/>
    </row>
    <row r="4513" spans="2:42" s="45" customFormat="1" x14ac:dyDescent="0.2">
      <c r="B4513"/>
      <c r="C4513" s="27"/>
      <c r="D4513"/>
      <c r="E4513"/>
      <c r="F4513" s="73"/>
      <c r="G4513"/>
      <c r="H4513"/>
      <c r="I4513"/>
      <c r="J4513"/>
      <c r="K4513"/>
      <c r="L4513"/>
      <c r="M4513" s="2"/>
      <c r="N4513" s="1"/>
      <c r="O4513" s="1"/>
      <c r="P4513" s="73"/>
      <c r="Q4513" s="73"/>
      <c r="R4513" s="111"/>
      <c r="S4513" s="75"/>
      <c r="T4513" s="73"/>
      <c r="X4513" s="189"/>
      <c r="Y4513" s="189"/>
      <c r="Z4513" s="100"/>
      <c r="AC4513" s="84"/>
      <c r="AD4513" s="189"/>
      <c r="AE4513" s="189"/>
      <c r="AF4513" s="189"/>
      <c r="AG4513" s="189"/>
      <c r="AH4513" s="189"/>
      <c r="AP4513" s="238"/>
    </row>
    <row r="4514" spans="2:42" s="45" customFormat="1" x14ac:dyDescent="0.2">
      <c r="B4514"/>
      <c r="C4514" s="27"/>
      <c r="D4514"/>
      <c r="E4514"/>
      <c r="F4514" s="73"/>
      <c r="G4514"/>
      <c r="H4514"/>
      <c r="I4514"/>
      <c r="J4514"/>
      <c r="K4514"/>
      <c r="L4514"/>
      <c r="M4514" s="2"/>
      <c r="N4514" s="1"/>
      <c r="O4514" s="1"/>
      <c r="P4514" s="73"/>
      <c r="Q4514" s="73"/>
      <c r="R4514" s="111"/>
      <c r="S4514" s="75"/>
      <c r="T4514" s="73"/>
      <c r="X4514" s="189"/>
      <c r="Y4514" s="189"/>
      <c r="Z4514" s="100"/>
      <c r="AC4514" s="84"/>
      <c r="AD4514" s="189"/>
      <c r="AE4514" s="189"/>
      <c r="AF4514" s="189"/>
      <c r="AG4514" s="189"/>
      <c r="AH4514" s="189"/>
      <c r="AP4514" s="238"/>
    </row>
    <row r="4515" spans="2:42" s="45" customFormat="1" x14ac:dyDescent="0.2">
      <c r="B4515"/>
      <c r="C4515" s="27"/>
      <c r="D4515"/>
      <c r="E4515"/>
      <c r="F4515" s="73"/>
      <c r="G4515"/>
      <c r="H4515"/>
      <c r="I4515"/>
      <c r="J4515"/>
      <c r="K4515"/>
      <c r="L4515"/>
      <c r="M4515" s="2"/>
      <c r="N4515" s="1"/>
      <c r="O4515" s="1"/>
      <c r="P4515" s="73"/>
      <c r="Q4515" s="73"/>
      <c r="R4515" s="111"/>
      <c r="S4515" s="75"/>
      <c r="T4515" s="73"/>
      <c r="X4515" s="189"/>
      <c r="Y4515" s="189"/>
      <c r="Z4515" s="100"/>
      <c r="AC4515" s="84"/>
      <c r="AD4515" s="189"/>
      <c r="AE4515" s="189"/>
      <c r="AF4515" s="189"/>
      <c r="AG4515" s="189"/>
      <c r="AH4515" s="189"/>
      <c r="AP4515" s="238"/>
    </row>
    <row r="4516" spans="2:42" s="45" customFormat="1" x14ac:dyDescent="0.2">
      <c r="B4516"/>
      <c r="C4516" s="27"/>
      <c r="D4516"/>
      <c r="E4516"/>
      <c r="F4516" s="73"/>
      <c r="G4516"/>
      <c r="H4516"/>
      <c r="I4516"/>
      <c r="J4516"/>
      <c r="K4516"/>
      <c r="L4516"/>
      <c r="M4516" s="2"/>
      <c r="N4516" s="1"/>
      <c r="O4516" s="1"/>
      <c r="P4516" s="73"/>
      <c r="Q4516" s="73"/>
      <c r="R4516" s="111"/>
      <c r="S4516" s="75"/>
      <c r="T4516" s="73"/>
      <c r="X4516" s="189"/>
      <c r="Y4516" s="189"/>
      <c r="Z4516" s="100"/>
      <c r="AC4516" s="84"/>
      <c r="AD4516" s="189"/>
      <c r="AE4516" s="189"/>
      <c r="AF4516" s="189"/>
      <c r="AG4516" s="189"/>
      <c r="AH4516" s="189"/>
      <c r="AP4516" s="238"/>
    </row>
    <row r="4517" spans="2:42" s="45" customFormat="1" x14ac:dyDescent="0.2">
      <c r="B4517"/>
      <c r="C4517" s="27"/>
      <c r="D4517"/>
      <c r="E4517"/>
      <c r="F4517" s="73"/>
      <c r="G4517"/>
      <c r="H4517"/>
      <c r="I4517"/>
      <c r="J4517"/>
      <c r="K4517"/>
      <c r="L4517"/>
      <c r="M4517" s="2"/>
      <c r="N4517" s="1"/>
      <c r="O4517" s="1"/>
      <c r="P4517" s="73"/>
      <c r="Q4517" s="73"/>
      <c r="R4517" s="111"/>
      <c r="S4517" s="75"/>
      <c r="T4517" s="73"/>
      <c r="X4517" s="189"/>
      <c r="Y4517" s="189"/>
      <c r="Z4517" s="100"/>
      <c r="AC4517" s="84"/>
      <c r="AD4517" s="189"/>
      <c r="AE4517" s="189"/>
      <c r="AF4517" s="189"/>
      <c r="AG4517" s="189"/>
      <c r="AH4517" s="189"/>
      <c r="AP4517" s="238"/>
    </row>
    <row r="4518" spans="2:42" s="45" customFormat="1" x14ac:dyDescent="0.2">
      <c r="B4518"/>
      <c r="C4518" s="27"/>
      <c r="D4518"/>
      <c r="E4518"/>
      <c r="F4518" s="73"/>
      <c r="G4518"/>
      <c r="H4518"/>
      <c r="I4518"/>
      <c r="J4518"/>
      <c r="K4518"/>
      <c r="L4518"/>
      <c r="M4518" s="2"/>
      <c r="N4518" s="1"/>
      <c r="O4518" s="1"/>
      <c r="P4518" s="73"/>
      <c r="Q4518" s="73"/>
      <c r="R4518" s="111"/>
      <c r="S4518" s="75"/>
      <c r="T4518" s="73"/>
      <c r="X4518" s="189"/>
      <c r="Y4518" s="189"/>
      <c r="Z4518" s="100"/>
      <c r="AC4518" s="84"/>
      <c r="AD4518" s="189"/>
      <c r="AE4518" s="189"/>
      <c r="AF4518" s="189"/>
      <c r="AG4518" s="189"/>
      <c r="AH4518" s="189"/>
      <c r="AP4518" s="238"/>
    </row>
    <row r="4519" spans="2:42" s="45" customFormat="1" x14ac:dyDescent="0.2">
      <c r="B4519"/>
      <c r="C4519" s="27"/>
      <c r="D4519"/>
      <c r="E4519"/>
      <c r="F4519" s="73"/>
      <c r="G4519"/>
      <c r="H4519"/>
      <c r="I4519"/>
      <c r="J4519"/>
      <c r="K4519"/>
      <c r="L4519"/>
      <c r="M4519" s="2"/>
      <c r="N4519" s="1"/>
      <c r="O4519" s="1"/>
      <c r="P4519" s="73"/>
      <c r="Q4519" s="73"/>
      <c r="R4519" s="111"/>
      <c r="S4519" s="75"/>
      <c r="T4519" s="73"/>
      <c r="X4519" s="189"/>
      <c r="Y4519" s="189"/>
      <c r="Z4519" s="100"/>
      <c r="AC4519" s="84"/>
      <c r="AD4519" s="189"/>
      <c r="AE4519" s="189"/>
      <c r="AF4519" s="189"/>
      <c r="AG4519" s="189"/>
      <c r="AH4519" s="189"/>
      <c r="AP4519" s="238"/>
    </row>
    <row r="4520" spans="2:42" s="45" customFormat="1" x14ac:dyDescent="0.2">
      <c r="B4520"/>
      <c r="C4520" s="27"/>
      <c r="D4520"/>
      <c r="E4520"/>
      <c r="F4520" s="73"/>
      <c r="G4520"/>
      <c r="H4520"/>
      <c r="I4520"/>
      <c r="J4520"/>
      <c r="K4520"/>
      <c r="L4520"/>
      <c r="M4520" s="2"/>
      <c r="N4520" s="1"/>
      <c r="O4520" s="1"/>
      <c r="P4520" s="73"/>
      <c r="Q4520" s="73"/>
      <c r="R4520" s="111"/>
      <c r="S4520" s="75"/>
      <c r="T4520" s="73"/>
      <c r="X4520" s="189"/>
      <c r="Y4520" s="189"/>
      <c r="Z4520" s="100"/>
      <c r="AC4520" s="84"/>
      <c r="AD4520" s="189"/>
      <c r="AE4520" s="189"/>
      <c r="AF4520" s="189"/>
      <c r="AG4520" s="189"/>
      <c r="AH4520" s="189"/>
      <c r="AP4520" s="238"/>
    </row>
    <row r="4521" spans="2:42" s="45" customFormat="1" x14ac:dyDescent="0.2">
      <c r="B4521"/>
      <c r="C4521" s="27"/>
      <c r="D4521"/>
      <c r="E4521"/>
      <c r="F4521" s="73"/>
      <c r="G4521"/>
      <c r="H4521"/>
      <c r="I4521"/>
      <c r="J4521"/>
      <c r="K4521"/>
      <c r="L4521"/>
      <c r="M4521" s="2"/>
      <c r="N4521" s="1"/>
      <c r="O4521" s="1"/>
      <c r="P4521" s="73"/>
      <c r="Q4521" s="73"/>
      <c r="R4521" s="111"/>
      <c r="S4521" s="75"/>
      <c r="T4521" s="73"/>
      <c r="X4521" s="189"/>
      <c r="Y4521" s="189"/>
      <c r="Z4521" s="100"/>
      <c r="AC4521" s="84"/>
      <c r="AD4521" s="189"/>
      <c r="AE4521" s="189"/>
      <c r="AF4521" s="189"/>
      <c r="AG4521" s="189"/>
      <c r="AH4521" s="189"/>
      <c r="AP4521" s="238"/>
    </row>
    <row r="4522" spans="2:42" s="45" customFormat="1" x14ac:dyDescent="0.2">
      <c r="B4522"/>
      <c r="C4522" s="27"/>
      <c r="D4522"/>
      <c r="E4522"/>
      <c r="F4522" s="73"/>
      <c r="G4522"/>
      <c r="H4522"/>
      <c r="I4522"/>
      <c r="J4522"/>
      <c r="K4522"/>
      <c r="L4522"/>
      <c r="M4522" s="2"/>
      <c r="N4522" s="1"/>
      <c r="O4522" s="1"/>
      <c r="P4522" s="73"/>
      <c r="Q4522" s="73"/>
      <c r="R4522" s="111"/>
      <c r="S4522" s="75"/>
      <c r="T4522" s="73"/>
      <c r="X4522" s="189"/>
      <c r="Y4522" s="189"/>
      <c r="Z4522" s="100"/>
      <c r="AC4522" s="84"/>
      <c r="AD4522" s="189"/>
      <c r="AE4522" s="189"/>
      <c r="AF4522" s="189"/>
      <c r="AG4522" s="189"/>
      <c r="AH4522" s="189"/>
      <c r="AP4522" s="238"/>
    </row>
    <row r="4523" spans="2:42" s="45" customFormat="1" x14ac:dyDescent="0.2">
      <c r="B4523"/>
      <c r="C4523" s="27"/>
      <c r="D4523"/>
      <c r="E4523"/>
      <c r="F4523" s="73"/>
      <c r="G4523"/>
      <c r="H4523"/>
      <c r="I4523"/>
      <c r="J4523"/>
      <c r="K4523"/>
      <c r="L4523"/>
      <c r="M4523" s="2"/>
      <c r="N4523" s="1"/>
      <c r="O4523" s="1"/>
      <c r="P4523" s="73"/>
      <c r="Q4523" s="73"/>
      <c r="R4523" s="111"/>
      <c r="S4523" s="75"/>
      <c r="T4523" s="73"/>
      <c r="X4523" s="189"/>
      <c r="Y4523" s="189"/>
      <c r="Z4523" s="100"/>
      <c r="AC4523" s="84"/>
      <c r="AD4523" s="189"/>
      <c r="AE4523" s="189"/>
      <c r="AF4523" s="189"/>
      <c r="AG4523" s="189"/>
      <c r="AH4523" s="189"/>
      <c r="AP4523" s="238"/>
    </row>
    <row r="4524" spans="2:42" s="45" customFormat="1" x14ac:dyDescent="0.2">
      <c r="B4524"/>
      <c r="C4524" s="27"/>
      <c r="D4524"/>
      <c r="E4524"/>
      <c r="F4524" s="73"/>
      <c r="G4524"/>
      <c r="H4524"/>
      <c r="I4524"/>
      <c r="J4524"/>
      <c r="K4524"/>
      <c r="L4524"/>
      <c r="M4524" s="2"/>
      <c r="N4524" s="1"/>
      <c r="O4524" s="1"/>
      <c r="P4524" s="73"/>
      <c r="Q4524" s="73"/>
      <c r="R4524" s="111"/>
      <c r="S4524" s="75"/>
      <c r="T4524" s="73"/>
      <c r="X4524" s="189"/>
      <c r="Y4524" s="189"/>
      <c r="Z4524" s="100"/>
      <c r="AC4524" s="84"/>
      <c r="AD4524" s="189"/>
      <c r="AE4524" s="189"/>
      <c r="AF4524" s="189"/>
      <c r="AG4524" s="189"/>
      <c r="AH4524" s="189"/>
      <c r="AP4524" s="238"/>
    </row>
    <row r="4525" spans="2:42" s="45" customFormat="1" x14ac:dyDescent="0.2">
      <c r="B4525"/>
      <c r="C4525" s="27"/>
      <c r="D4525"/>
      <c r="E4525"/>
      <c r="F4525" s="73"/>
      <c r="G4525"/>
      <c r="H4525"/>
      <c r="I4525"/>
      <c r="J4525"/>
      <c r="K4525"/>
      <c r="L4525"/>
      <c r="M4525" s="2"/>
      <c r="N4525" s="1"/>
      <c r="O4525" s="1"/>
      <c r="P4525" s="73"/>
      <c r="Q4525" s="73"/>
      <c r="R4525" s="111"/>
      <c r="S4525" s="75"/>
      <c r="T4525" s="73"/>
      <c r="X4525" s="189"/>
      <c r="Y4525" s="189"/>
      <c r="Z4525" s="100"/>
      <c r="AC4525" s="84"/>
      <c r="AD4525" s="189"/>
      <c r="AE4525" s="189"/>
      <c r="AF4525" s="189"/>
      <c r="AG4525" s="189"/>
      <c r="AH4525" s="189"/>
      <c r="AP4525" s="238"/>
    </row>
    <row r="4526" spans="2:42" s="45" customFormat="1" x14ac:dyDescent="0.2">
      <c r="B4526"/>
      <c r="C4526" s="27"/>
      <c r="D4526"/>
      <c r="E4526"/>
      <c r="F4526" s="73"/>
      <c r="G4526"/>
      <c r="H4526"/>
      <c r="I4526"/>
      <c r="J4526"/>
      <c r="K4526"/>
      <c r="L4526"/>
      <c r="M4526" s="2"/>
      <c r="N4526" s="1"/>
      <c r="O4526" s="1"/>
      <c r="P4526" s="73"/>
      <c r="Q4526" s="73"/>
      <c r="R4526" s="111"/>
      <c r="S4526" s="75"/>
      <c r="T4526" s="73"/>
      <c r="X4526" s="189"/>
      <c r="Y4526" s="189"/>
      <c r="Z4526" s="100"/>
      <c r="AC4526" s="84"/>
      <c r="AD4526" s="189"/>
      <c r="AE4526" s="189"/>
      <c r="AF4526" s="189"/>
      <c r="AG4526" s="189"/>
      <c r="AH4526" s="189"/>
      <c r="AP4526" s="238"/>
    </row>
    <row r="4527" spans="2:42" s="45" customFormat="1" x14ac:dyDescent="0.2">
      <c r="B4527"/>
      <c r="C4527" s="27"/>
      <c r="D4527"/>
      <c r="E4527"/>
      <c r="F4527" s="73"/>
      <c r="G4527"/>
      <c r="H4527"/>
      <c r="I4527"/>
      <c r="J4527"/>
      <c r="K4527"/>
      <c r="L4527"/>
      <c r="M4527" s="2"/>
      <c r="N4527" s="1"/>
      <c r="O4527" s="1"/>
      <c r="P4527" s="73"/>
      <c r="Q4527" s="73"/>
      <c r="R4527" s="111"/>
      <c r="S4527" s="75"/>
      <c r="T4527" s="73"/>
      <c r="X4527" s="189"/>
      <c r="Y4527" s="189"/>
      <c r="Z4527" s="100"/>
      <c r="AC4527" s="84"/>
      <c r="AD4527" s="189"/>
      <c r="AE4527" s="189"/>
      <c r="AF4527" s="189"/>
      <c r="AG4527" s="189"/>
      <c r="AH4527" s="189"/>
      <c r="AP4527" s="238"/>
    </row>
    <row r="4528" spans="2:42" s="45" customFormat="1" x14ac:dyDescent="0.2">
      <c r="B4528"/>
      <c r="C4528" s="27"/>
      <c r="D4528"/>
      <c r="E4528"/>
      <c r="F4528" s="73"/>
      <c r="G4528"/>
      <c r="H4528"/>
      <c r="I4528"/>
      <c r="J4528"/>
      <c r="K4528"/>
      <c r="L4528"/>
      <c r="M4528" s="2"/>
      <c r="N4528" s="1"/>
      <c r="O4528" s="1"/>
      <c r="P4528" s="73"/>
      <c r="Q4528" s="73"/>
      <c r="R4528" s="111"/>
      <c r="S4528" s="75"/>
      <c r="T4528" s="73"/>
      <c r="X4528" s="189"/>
      <c r="Y4528" s="189"/>
      <c r="Z4528" s="100"/>
      <c r="AC4528" s="84"/>
      <c r="AD4528" s="189"/>
      <c r="AE4528" s="189"/>
      <c r="AF4528" s="189"/>
      <c r="AG4528" s="189"/>
      <c r="AH4528" s="189"/>
      <c r="AP4528" s="238"/>
    </row>
    <row r="4529" spans="2:42" s="45" customFormat="1" x14ac:dyDescent="0.2">
      <c r="B4529"/>
      <c r="C4529" s="27"/>
      <c r="D4529"/>
      <c r="E4529"/>
      <c r="F4529" s="73"/>
      <c r="G4529"/>
      <c r="H4529"/>
      <c r="I4529"/>
      <c r="J4529"/>
      <c r="K4529"/>
      <c r="L4529"/>
      <c r="M4529" s="2"/>
      <c r="N4529" s="1"/>
      <c r="O4529" s="1"/>
      <c r="P4529" s="73"/>
      <c r="Q4529" s="73"/>
      <c r="R4529" s="111"/>
      <c r="S4529" s="75"/>
      <c r="T4529" s="73"/>
      <c r="X4529" s="189"/>
      <c r="Y4529" s="189"/>
      <c r="Z4529" s="100"/>
      <c r="AC4529" s="84"/>
      <c r="AD4529" s="189"/>
      <c r="AE4529" s="189"/>
      <c r="AF4529" s="189"/>
      <c r="AG4529" s="189"/>
      <c r="AH4529" s="189"/>
      <c r="AP4529" s="238"/>
    </row>
    <row r="4530" spans="2:42" s="45" customFormat="1" x14ac:dyDescent="0.2">
      <c r="B4530"/>
      <c r="C4530" s="27"/>
      <c r="D4530"/>
      <c r="E4530"/>
      <c r="F4530" s="73"/>
      <c r="G4530"/>
      <c r="H4530"/>
      <c r="I4530"/>
      <c r="J4530"/>
      <c r="K4530"/>
      <c r="L4530"/>
      <c r="M4530" s="2"/>
      <c r="N4530" s="1"/>
      <c r="O4530" s="1"/>
      <c r="P4530" s="73"/>
      <c r="Q4530" s="73"/>
      <c r="R4530" s="111"/>
      <c r="S4530" s="75"/>
      <c r="T4530" s="73"/>
      <c r="X4530" s="189"/>
      <c r="Y4530" s="189"/>
      <c r="Z4530" s="100"/>
      <c r="AC4530" s="84"/>
      <c r="AD4530" s="189"/>
      <c r="AE4530" s="189"/>
      <c r="AF4530" s="189"/>
      <c r="AG4530" s="189"/>
      <c r="AH4530" s="189"/>
      <c r="AP4530" s="238"/>
    </row>
    <row r="4531" spans="2:42" s="45" customFormat="1" x14ac:dyDescent="0.2">
      <c r="B4531"/>
      <c r="C4531" s="27"/>
      <c r="D4531"/>
      <c r="E4531"/>
      <c r="F4531" s="73"/>
      <c r="G4531"/>
      <c r="H4531"/>
      <c r="I4531"/>
      <c r="J4531"/>
      <c r="K4531"/>
      <c r="L4531"/>
      <c r="M4531" s="2"/>
      <c r="N4531" s="1"/>
      <c r="O4531" s="1"/>
      <c r="P4531" s="73"/>
      <c r="Q4531" s="73"/>
      <c r="R4531" s="111"/>
      <c r="S4531" s="75"/>
      <c r="T4531" s="73"/>
      <c r="X4531" s="189"/>
      <c r="Y4531" s="189"/>
      <c r="Z4531" s="100"/>
      <c r="AC4531" s="84"/>
      <c r="AD4531" s="189"/>
      <c r="AE4531" s="189"/>
      <c r="AF4531" s="189"/>
      <c r="AG4531" s="189"/>
      <c r="AH4531" s="189"/>
      <c r="AP4531" s="238"/>
    </row>
    <row r="4532" spans="2:42" s="45" customFormat="1" x14ac:dyDescent="0.2">
      <c r="B4532"/>
      <c r="C4532" s="27"/>
      <c r="D4532"/>
      <c r="E4532"/>
      <c r="F4532" s="73"/>
      <c r="G4532"/>
      <c r="H4532"/>
      <c r="I4532"/>
      <c r="J4532"/>
      <c r="K4532"/>
      <c r="L4532"/>
      <c r="M4532" s="2"/>
      <c r="N4532" s="1"/>
      <c r="O4532" s="1"/>
      <c r="P4532" s="73"/>
      <c r="Q4532" s="73"/>
      <c r="R4532" s="111"/>
      <c r="S4532" s="75"/>
      <c r="T4532" s="73"/>
      <c r="X4532" s="189"/>
      <c r="Y4532" s="189"/>
      <c r="Z4532" s="100"/>
      <c r="AC4532" s="84"/>
      <c r="AD4532" s="189"/>
      <c r="AE4532" s="189"/>
      <c r="AF4532" s="189"/>
      <c r="AG4532" s="189"/>
      <c r="AH4532" s="189"/>
      <c r="AP4532" s="238"/>
    </row>
    <row r="4533" spans="2:42" s="45" customFormat="1" x14ac:dyDescent="0.2">
      <c r="B4533"/>
      <c r="C4533" s="27"/>
      <c r="D4533"/>
      <c r="E4533"/>
      <c r="F4533" s="73"/>
      <c r="G4533"/>
      <c r="H4533"/>
      <c r="I4533"/>
      <c r="J4533"/>
      <c r="K4533"/>
      <c r="L4533"/>
      <c r="M4533" s="2"/>
      <c r="N4533" s="1"/>
      <c r="O4533" s="1"/>
      <c r="P4533" s="73"/>
      <c r="Q4533" s="73"/>
      <c r="R4533" s="111"/>
      <c r="S4533" s="75"/>
      <c r="T4533" s="73"/>
      <c r="X4533" s="189"/>
      <c r="Y4533" s="189"/>
      <c r="Z4533" s="100"/>
      <c r="AC4533" s="84"/>
      <c r="AD4533" s="189"/>
      <c r="AE4533" s="189"/>
      <c r="AF4533" s="189"/>
      <c r="AG4533" s="189"/>
      <c r="AH4533" s="189"/>
      <c r="AP4533" s="238"/>
    </row>
    <row r="4534" spans="2:42" s="45" customFormat="1" x14ac:dyDescent="0.2">
      <c r="B4534"/>
      <c r="C4534" s="27"/>
      <c r="D4534"/>
      <c r="E4534"/>
      <c r="F4534" s="73"/>
      <c r="G4534"/>
      <c r="H4534"/>
      <c r="I4534"/>
      <c r="J4534"/>
      <c r="K4534"/>
      <c r="L4534"/>
      <c r="M4534" s="2"/>
      <c r="N4534" s="1"/>
      <c r="O4534" s="1"/>
      <c r="P4534" s="73"/>
      <c r="Q4534" s="73"/>
      <c r="R4534" s="111"/>
      <c r="S4534" s="75"/>
      <c r="T4534" s="73"/>
      <c r="X4534" s="189"/>
      <c r="Y4534" s="189"/>
      <c r="Z4534" s="100"/>
      <c r="AC4534" s="84"/>
      <c r="AD4534" s="189"/>
      <c r="AE4534" s="189"/>
      <c r="AF4534" s="189"/>
      <c r="AG4534" s="189"/>
      <c r="AH4534" s="189"/>
      <c r="AP4534" s="238"/>
    </row>
    <row r="4535" spans="2:42" s="45" customFormat="1" x14ac:dyDescent="0.2">
      <c r="B4535"/>
      <c r="C4535" s="27"/>
      <c r="D4535"/>
      <c r="E4535"/>
      <c r="F4535" s="73"/>
      <c r="G4535"/>
      <c r="H4535"/>
      <c r="I4535"/>
      <c r="J4535"/>
      <c r="K4535"/>
      <c r="L4535"/>
      <c r="M4535" s="2"/>
      <c r="N4535" s="1"/>
      <c r="O4535" s="1"/>
      <c r="P4535" s="73"/>
      <c r="Q4535" s="73"/>
      <c r="R4535" s="111"/>
      <c r="S4535" s="75"/>
      <c r="T4535" s="73"/>
      <c r="X4535" s="189"/>
      <c r="Y4535" s="189"/>
      <c r="Z4535" s="100"/>
      <c r="AC4535" s="84"/>
      <c r="AD4535" s="189"/>
      <c r="AE4535" s="189"/>
      <c r="AF4535" s="189"/>
      <c r="AG4535" s="189"/>
      <c r="AH4535" s="189"/>
      <c r="AP4535" s="238"/>
    </row>
    <row r="4536" spans="2:42" s="45" customFormat="1" x14ac:dyDescent="0.2">
      <c r="B4536"/>
      <c r="C4536" s="27"/>
      <c r="D4536"/>
      <c r="E4536"/>
      <c r="F4536" s="73"/>
      <c r="G4536"/>
      <c r="H4536"/>
      <c r="I4536"/>
      <c r="J4536"/>
      <c r="K4536"/>
      <c r="L4536"/>
      <c r="M4536" s="2"/>
      <c r="N4536" s="1"/>
      <c r="O4536" s="1"/>
      <c r="P4536" s="73"/>
      <c r="Q4536" s="73"/>
      <c r="R4536" s="111"/>
      <c r="S4536" s="75"/>
      <c r="T4536" s="73"/>
      <c r="X4536" s="189"/>
      <c r="Y4536" s="189"/>
      <c r="Z4536" s="100"/>
      <c r="AC4536" s="84"/>
      <c r="AD4536" s="189"/>
      <c r="AE4536" s="189"/>
      <c r="AF4536" s="189"/>
      <c r="AG4536" s="189"/>
      <c r="AH4536" s="189"/>
      <c r="AP4536" s="238"/>
    </row>
    <row r="4537" spans="2:42" s="45" customFormat="1" x14ac:dyDescent="0.2">
      <c r="B4537"/>
      <c r="C4537" s="27"/>
      <c r="D4537"/>
      <c r="E4537"/>
      <c r="F4537" s="73"/>
      <c r="G4537"/>
      <c r="H4537"/>
      <c r="I4537"/>
      <c r="J4537"/>
      <c r="K4537"/>
      <c r="L4537"/>
      <c r="M4537" s="2"/>
      <c r="N4537" s="1"/>
      <c r="O4537" s="1"/>
      <c r="P4537" s="73"/>
      <c r="Q4537" s="73"/>
      <c r="R4537" s="111"/>
      <c r="S4537" s="75"/>
      <c r="T4537" s="73"/>
      <c r="X4537" s="189"/>
      <c r="Y4537" s="189"/>
      <c r="Z4537" s="100"/>
      <c r="AC4537" s="84"/>
      <c r="AD4537" s="189"/>
      <c r="AE4537" s="189"/>
      <c r="AF4537" s="189"/>
      <c r="AG4537" s="189"/>
      <c r="AH4537" s="189"/>
      <c r="AP4537" s="238"/>
    </row>
    <row r="4538" spans="2:42" s="45" customFormat="1" x14ac:dyDescent="0.2">
      <c r="B4538"/>
      <c r="C4538" s="27"/>
      <c r="D4538"/>
      <c r="E4538"/>
      <c r="F4538" s="73"/>
      <c r="G4538"/>
      <c r="H4538"/>
      <c r="I4538"/>
      <c r="J4538"/>
      <c r="K4538"/>
      <c r="L4538"/>
      <c r="M4538" s="2"/>
      <c r="N4538" s="1"/>
      <c r="O4538" s="1"/>
      <c r="P4538" s="73"/>
      <c r="Q4538" s="73"/>
      <c r="R4538" s="111"/>
      <c r="S4538" s="75"/>
      <c r="T4538" s="73"/>
      <c r="X4538" s="189"/>
      <c r="Y4538" s="189"/>
      <c r="Z4538" s="100"/>
      <c r="AC4538" s="84"/>
      <c r="AD4538" s="189"/>
      <c r="AE4538" s="189"/>
      <c r="AF4538" s="189"/>
      <c r="AG4538" s="189"/>
      <c r="AH4538" s="189"/>
      <c r="AP4538" s="238"/>
    </row>
    <row r="4539" spans="2:42" s="45" customFormat="1" x14ac:dyDescent="0.2">
      <c r="B4539"/>
      <c r="C4539" s="27"/>
      <c r="D4539"/>
      <c r="E4539"/>
      <c r="F4539" s="73"/>
      <c r="G4539"/>
      <c r="H4539"/>
      <c r="I4539"/>
      <c r="J4539"/>
      <c r="K4539"/>
      <c r="L4539"/>
      <c r="M4539" s="2"/>
      <c r="N4539" s="1"/>
      <c r="O4539" s="1"/>
      <c r="P4539" s="73"/>
      <c r="Q4539" s="73"/>
      <c r="R4539" s="111"/>
      <c r="S4539" s="75"/>
      <c r="T4539" s="73"/>
      <c r="X4539" s="189"/>
      <c r="Y4539" s="189"/>
      <c r="Z4539" s="100"/>
      <c r="AC4539" s="84"/>
      <c r="AD4539" s="189"/>
      <c r="AE4539" s="189"/>
      <c r="AF4539" s="189"/>
      <c r="AG4539" s="189"/>
      <c r="AH4539" s="189"/>
      <c r="AP4539" s="238"/>
    </row>
    <row r="4540" spans="2:42" s="45" customFormat="1" x14ac:dyDescent="0.2">
      <c r="B4540"/>
      <c r="C4540" s="27"/>
      <c r="D4540"/>
      <c r="E4540"/>
      <c r="F4540" s="73"/>
      <c r="G4540"/>
      <c r="H4540"/>
      <c r="I4540"/>
      <c r="J4540"/>
      <c r="K4540"/>
      <c r="L4540"/>
      <c r="M4540" s="2"/>
      <c r="N4540" s="1"/>
      <c r="O4540" s="1"/>
      <c r="P4540" s="73"/>
      <c r="Q4540" s="73"/>
      <c r="R4540" s="111"/>
      <c r="S4540" s="75"/>
      <c r="T4540" s="73"/>
      <c r="X4540" s="189"/>
      <c r="Y4540" s="189"/>
      <c r="Z4540" s="100"/>
      <c r="AC4540" s="84"/>
      <c r="AD4540" s="189"/>
      <c r="AE4540" s="189"/>
      <c r="AF4540" s="189"/>
      <c r="AG4540" s="189"/>
      <c r="AH4540" s="189"/>
      <c r="AP4540" s="238"/>
    </row>
    <row r="4541" spans="2:42" s="45" customFormat="1" x14ac:dyDescent="0.2">
      <c r="B4541"/>
      <c r="C4541" s="27"/>
      <c r="D4541"/>
      <c r="E4541"/>
      <c r="F4541" s="73"/>
      <c r="G4541"/>
      <c r="H4541"/>
      <c r="I4541"/>
      <c r="J4541"/>
      <c r="K4541"/>
      <c r="L4541"/>
      <c r="M4541" s="2"/>
      <c r="N4541" s="1"/>
      <c r="O4541" s="1"/>
      <c r="P4541" s="73"/>
      <c r="Q4541" s="73"/>
      <c r="R4541" s="111"/>
      <c r="S4541" s="75"/>
      <c r="T4541" s="73"/>
      <c r="X4541" s="189"/>
      <c r="Y4541" s="189"/>
      <c r="Z4541" s="100"/>
      <c r="AC4541" s="84"/>
      <c r="AD4541" s="189"/>
      <c r="AE4541" s="189"/>
      <c r="AF4541" s="189"/>
      <c r="AG4541" s="189"/>
      <c r="AH4541" s="189"/>
      <c r="AP4541" s="238"/>
    </row>
    <row r="4542" spans="2:42" s="45" customFormat="1" x14ac:dyDescent="0.2">
      <c r="B4542"/>
      <c r="C4542" s="27"/>
      <c r="D4542"/>
      <c r="E4542"/>
      <c r="F4542" s="73"/>
      <c r="G4542"/>
      <c r="H4542"/>
      <c r="I4542"/>
      <c r="J4542"/>
      <c r="K4542"/>
      <c r="L4542"/>
      <c r="M4542" s="2"/>
      <c r="N4542" s="1"/>
      <c r="O4542" s="1"/>
      <c r="P4542" s="73"/>
      <c r="Q4542" s="73"/>
      <c r="R4542" s="111"/>
      <c r="S4542" s="75"/>
      <c r="T4542" s="73"/>
      <c r="X4542" s="189"/>
      <c r="Y4542" s="189"/>
      <c r="Z4542" s="100"/>
      <c r="AC4542" s="84"/>
      <c r="AD4542" s="189"/>
      <c r="AE4542" s="189"/>
      <c r="AF4542" s="189"/>
      <c r="AG4542" s="189"/>
      <c r="AH4542" s="189"/>
      <c r="AP4542" s="238"/>
    </row>
    <row r="4543" spans="2:42" s="45" customFormat="1" x14ac:dyDescent="0.2">
      <c r="B4543"/>
      <c r="C4543" s="27"/>
      <c r="D4543"/>
      <c r="E4543"/>
      <c r="F4543" s="73"/>
      <c r="G4543"/>
      <c r="H4543"/>
      <c r="I4543"/>
      <c r="J4543"/>
      <c r="K4543"/>
      <c r="L4543"/>
      <c r="M4543" s="2"/>
      <c r="N4543" s="1"/>
      <c r="O4543" s="1"/>
      <c r="P4543" s="73"/>
      <c r="Q4543" s="73"/>
      <c r="R4543" s="111"/>
      <c r="S4543" s="75"/>
      <c r="T4543" s="73"/>
      <c r="X4543" s="189"/>
      <c r="Y4543" s="189"/>
      <c r="Z4543" s="100"/>
      <c r="AC4543" s="84"/>
      <c r="AD4543" s="189"/>
      <c r="AE4543" s="189"/>
      <c r="AF4543" s="189"/>
      <c r="AG4543" s="189"/>
      <c r="AH4543" s="189"/>
      <c r="AP4543" s="238"/>
    </row>
    <row r="4544" spans="2:42" s="45" customFormat="1" x14ac:dyDescent="0.2">
      <c r="B4544"/>
      <c r="C4544" s="27"/>
      <c r="D4544"/>
      <c r="E4544"/>
      <c r="F4544" s="73"/>
      <c r="G4544"/>
      <c r="H4544"/>
      <c r="I4544"/>
      <c r="J4544"/>
      <c r="K4544"/>
      <c r="L4544"/>
      <c r="M4544" s="2"/>
      <c r="N4544" s="1"/>
      <c r="O4544" s="1"/>
      <c r="P4544" s="73"/>
      <c r="Q4544" s="73"/>
      <c r="R4544" s="111"/>
      <c r="S4544" s="75"/>
      <c r="T4544" s="73"/>
      <c r="X4544" s="189"/>
      <c r="Y4544" s="189"/>
      <c r="Z4544" s="100"/>
      <c r="AC4544" s="84"/>
      <c r="AD4544" s="189"/>
      <c r="AE4544" s="189"/>
      <c r="AF4544" s="189"/>
      <c r="AG4544" s="189"/>
      <c r="AH4544" s="189"/>
      <c r="AP4544" s="238"/>
    </row>
    <row r="4545" spans="2:42" s="45" customFormat="1" x14ac:dyDescent="0.2">
      <c r="B4545"/>
      <c r="C4545" s="27"/>
      <c r="D4545"/>
      <c r="E4545"/>
      <c r="F4545" s="73"/>
      <c r="G4545"/>
      <c r="H4545"/>
      <c r="I4545"/>
      <c r="J4545"/>
      <c r="K4545"/>
      <c r="L4545"/>
      <c r="M4545" s="2"/>
      <c r="N4545" s="1"/>
      <c r="O4545" s="1"/>
      <c r="P4545" s="73"/>
      <c r="Q4545" s="73"/>
      <c r="R4545" s="111"/>
      <c r="S4545" s="75"/>
      <c r="T4545" s="73"/>
      <c r="X4545" s="189"/>
      <c r="Y4545" s="189"/>
      <c r="Z4545" s="100"/>
      <c r="AC4545" s="84"/>
      <c r="AD4545" s="189"/>
      <c r="AE4545" s="189"/>
      <c r="AF4545" s="189"/>
      <c r="AG4545" s="189"/>
      <c r="AH4545" s="189"/>
      <c r="AP4545" s="238"/>
    </row>
    <row r="4546" spans="2:42" s="45" customFormat="1" x14ac:dyDescent="0.2">
      <c r="B4546"/>
      <c r="C4546" s="27"/>
      <c r="D4546"/>
      <c r="E4546"/>
      <c r="F4546" s="73"/>
      <c r="G4546"/>
      <c r="H4546"/>
      <c r="I4546"/>
      <c r="J4546"/>
      <c r="K4546"/>
      <c r="L4546"/>
      <c r="M4546" s="2"/>
      <c r="N4546" s="1"/>
      <c r="O4546" s="1"/>
      <c r="P4546" s="73"/>
      <c r="Q4546" s="73"/>
      <c r="R4546" s="111"/>
      <c r="S4546" s="75"/>
      <c r="T4546" s="73"/>
      <c r="X4546" s="189"/>
      <c r="Y4546" s="189"/>
      <c r="Z4546" s="100"/>
      <c r="AC4546" s="84"/>
      <c r="AD4546" s="189"/>
      <c r="AE4546" s="189"/>
      <c r="AF4546" s="189"/>
      <c r="AG4546" s="189"/>
      <c r="AH4546" s="189"/>
      <c r="AP4546" s="238"/>
    </row>
    <row r="4547" spans="2:42" s="45" customFormat="1" x14ac:dyDescent="0.2">
      <c r="B4547"/>
      <c r="C4547" s="27"/>
      <c r="D4547"/>
      <c r="E4547"/>
      <c r="F4547" s="73"/>
      <c r="G4547"/>
      <c r="H4547"/>
      <c r="I4547"/>
      <c r="J4547"/>
      <c r="K4547"/>
      <c r="L4547"/>
      <c r="M4547" s="2"/>
      <c r="N4547" s="1"/>
      <c r="O4547" s="1"/>
      <c r="P4547" s="73"/>
      <c r="Q4547" s="73"/>
      <c r="R4547" s="111"/>
      <c r="S4547" s="75"/>
      <c r="T4547" s="73"/>
      <c r="X4547" s="189"/>
      <c r="Y4547" s="189"/>
      <c r="Z4547" s="100"/>
      <c r="AC4547" s="84"/>
      <c r="AD4547" s="189"/>
      <c r="AE4547" s="189"/>
      <c r="AF4547" s="189"/>
      <c r="AG4547" s="189"/>
      <c r="AH4547" s="189"/>
      <c r="AP4547" s="238"/>
    </row>
    <row r="4548" spans="2:42" s="45" customFormat="1" x14ac:dyDescent="0.2">
      <c r="B4548"/>
      <c r="C4548" s="27"/>
      <c r="D4548"/>
      <c r="E4548"/>
      <c r="F4548" s="73"/>
      <c r="G4548"/>
      <c r="H4548"/>
      <c r="I4548"/>
      <c r="J4548"/>
      <c r="K4548"/>
      <c r="L4548"/>
      <c r="M4548" s="2"/>
      <c r="N4548" s="1"/>
      <c r="O4548" s="1"/>
      <c r="P4548" s="73"/>
      <c r="Q4548" s="73"/>
      <c r="R4548" s="111"/>
      <c r="S4548" s="75"/>
      <c r="T4548" s="73"/>
      <c r="X4548" s="189"/>
      <c r="Y4548" s="189"/>
      <c r="Z4548" s="100"/>
      <c r="AC4548" s="84"/>
      <c r="AD4548" s="189"/>
      <c r="AE4548" s="189"/>
      <c r="AF4548" s="189"/>
      <c r="AG4548" s="189"/>
      <c r="AH4548" s="189"/>
      <c r="AP4548" s="238"/>
    </row>
    <row r="4549" spans="2:42" s="45" customFormat="1" x14ac:dyDescent="0.2">
      <c r="B4549"/>
      <c r="C4549" s="27"/>
      <c r="D4549"/>
      <c r="E4549"/>
      <c r="F4549" s="73"/>
      <c r="G4549"/>
      <c r="H4549"/>
      <c r="I4549"/>
      <c r="J4549"/>
      <c r="K4549"/>
      <c r="L4549"/>
      <c r="M4549" s="2"/>
      <c r="N4549" s="1"/>
      <c r="O4549" s="1"/>
      <c r="P4549" s="73"/>
      <c r="Q4549" s="73"/>
      <c r="R4549" s="111"/>
      <c r="S4549" s="75"/>
      <c r="T4549" s="73"/>
      <c r="X4549" s="189"/>
      <c r="Y4549" s="189"/>
      <c r="Z4549" s="100"/>
      <c r="AC4549" s="84"/>
      <c r="AD4549" s="189"/>
      <c r="AE4549" s="189"/>
      <c r="AF4549" s="189"/>
      <c r="AG4549" s="189"/>
      <c r="AH4549" s="189"/>
      <c r="AP4549" s="238"/>
    </row>
    <row r="4550" spans="2:42" s="45" customFormat="1" x14ac:dyDescent="0.2">
      <c r="B4550"/>
      <c r="C4550" s="27"/>
      <c r="D4550"/>
      <c r="E4550"/>
      <c r="F4550" s="73"/>
      <c r="G4550"/>
      <c r="H4550"/>
      <c r="I4550"/>
      <c r="J4550"/>
      <c r="K4550"/>
      <c r="L4550"/>
      <c r="M4550" s="2"/>
      <c r="N4550" s="1"/>
      <c r="O4550" s="1"/>
      <c r="P4550" s="73"/>
      <c r="Q4550" s="73"/>
      <c r="R4550" s="111"/>
      <c r="S4550" s="75"/>
      <c r="T4550" s="73"/>
      <c r="X4550" s="189"/>
      <c r="Y4550" s="189"/>
      <c r="Z4550" s="100"/>
      <c r="AC4550" s="84"/>
      <c r="AD4550" s="189"/>
      <c r="AE4550" s="189"/>
      <c r="AF4550" s="189"/>
      <c r="AG4550" s="189"/>
      <c r="AH4550" s="189"/>
      <c r="AP4550" s="238"/>
    </row>
    <row r="4551" spans="2:42" s="45" customFormat="1" x14ac:dyDescent="0.2">
      <c r="B4551"/>
      <c r="C4551" s="27"/>
      <c r="D4551"/>
      <c r="E4551"/>
      <c r="F4551" s="73"/>
      <c r="G4551"/>
      <c r="H4551"/>
      <c r="I4551"/>
      <c r="J4551"/>
      <c r="K4551"/>
      <c r="L4551"/>
      <c r="M4551" s="2"/>
      <c r="N4551" s="1"/>
      <c r="O4551" s="1"/>
      <c r="P4551" s="73"/>
      <c r="Q4551" s="73"/>
      <c r="R4551" s="111"/>
      <c r="S4551" s="75"/>
      <c r="T4551" s="73"/>
      <c r="X4551" s="189"/>
      <c r="Y4551" s="189"/>
      <c r="Z4551" s="100"/>
      <c r="AC4551" s="84"/>
      <c r="AD4551" s="189"/>
      <c r="AE4551" s="189"/>
      <c r="AF4551" s="189"/>
      <c r="AG4551" s="189"/>
      <c r="AH4551" s="189"/>
      <c r="AP4551" s="238"/>
    </row>
    <row r="4552" spans="2:42" s="45" customFormat="1" x14ac:dyDescent="0.2">
      <c r="B4552"/>
      <c r="C4552" s="27"/>
      <c r="D4552"/>
      <c r="E4552"/>
      <c r="F4552" s="73"/>
      <c r="G4552"/>
      <c r="H4552"/>
      <c r="I4552"/>
      <c r="J4552"/>
      <c r="K4552"/>
      <c r="L4552"/>
      <c r="M4552" s="2"/>
      <c r="N4552" s="1"/>
      <c r="O4552" s="1"/>
      <c r="P4552" s="73"/>
      <c r="Q4552" s="73"/>
      <c r="R4552" s="111"/>
      <c r="S4552" s="75"/>
      <c r="T4552" s="73"/>
      <c r="X4552" s="189"/>
      <c r="Y4552" s="189"/>
      <c r="Z4552" s="100"/>
      <c r="AC4552" s="84"/>
      <c r="AD4552" s="189"/>
      <c r="AE4552" s="189"/>
      <c r="AF4552" s="189"/>
      <c r="AG4552" s="189"/>
      <c r="AH4552" s="189"/>
      <c r="AP4552" s="238"/>
    </row>
    <row r="4553" spans="2:42" s="45" customFormat="1" x14ac:dyDescent="0.2">
      <c r="B4553"/>
      <c r="C4553" s="27"/>
      <c r="D4553"/>
      <c r="E4553"/>
      <c r="F4553" s="73"/>
      <c r="G4553"/>
      <c r="H4553"/>
      <c r="I4553"/>
      <c r="J4553"/>
      <c r="K4553"/>
      <c r="L4553"/>
      <c r="M4553" s="2"/>
      <c r="N4553" s="1"/>
      <c r="O4553" s="1"/>
      <c r="P4553" s="73"/>
      <c r="Q4553" s="73"/>
      <c r="R4553" s="111"/>
      <c r="S4553" s="75"/>
      <c r="T4553" s="73"/>
      <c r="X4553" s="189"/>
      <c r="Y4553" s="189"/>
      <c r="Z4553" s="100"/>
      <c r="AC4553" s="84"/>
      <c r="AD4553" s="189"/>
      <c r="AE4553" s="189"/>
      <c r="AF4553" s="189"/>
      <c r="AG4553" s="189"/>
      <c r="AH4553" s="189"/>
      <c r="AP4553" s="238"/>
    </row>
    <row r="4554" spans="2:42" s="45" customFormat="1" x14ac:dyDescent="0.2">
      <c r="B4554"/>
      <c r="C4554" s="27"/>
      <c r="D4554"/>
      <c r="E4554"/>
      <c r="F4554" s="73"/>
      <c r="G4554"/>
      <c r="H4554"/>
      <c r="I4554"/>
      <c r="J4554"/>
      <c r="K4554"/>
      <c r="L4554"/>
      <c r="M4554" s="2"/>
      <c r="N4554" s="1"/>
      <c r="O4554" s="1"/>
      <c r="P4554" s="73"/>
      <c r="Q4554" s="73"/>
      <c r="R4554" s="111"/>
      <c r="S4554" s="75"/>
      <c r="T4554" s="73"/>
      <c r="X4554" s="189"/>
      <c r="Y4554" s="189"/>
      <c r="Z4554" s="100"/>
      <c r="AC4554" s="84"/>
      <c r="AD4554" s="189"/>
      <c r="AE4554" s="189"/>
      <c r="AF4554" s="189"/>
      <c r="AG4554" s="189"/>
      <c r="AH4554" s="189"/>
      <c r="AP4554" s="238"/>
    </row>
    <row r="4555" spans="2:42" s="45" customFormat="1" x14ac:dyDescent="0.2">
      <c r="B4555"/>
      <c r="C4555" s="27"/>
      <c r="D4555"/>
      <c r="E4555"/>
      <c r="F4555" s="73"/>
      <c r="G4555"/>
      <c r="H4555"/>
      <c r="I4555"/>
      <c r="J4555"/>
      <c r="K4555"/>
      <c r="L4555"/>
      <c r="M4555" s="2"/>
      <c r="N4555" s="1"/>
      <c r="O4555" s="1"/>
      <c r="P4555" s="73"/>
      <c r="Q4555" s="73"/>
      <c r="R4555" s="111"/>
      <c r="S4555" s="75"/>
      <c r="T4555" s="73"/>
      <c r="X4555" s="189"/>
      <c r="Y4555" s="189"/>
      <c r="Z4555" s="100"/>
      <c r="AC4555" s="84"/>
      <c r="AD4555" s="189"/>
      <c r="AE4555" s="189"/>
      <c r="AF4555" s="189"/>
      <c r="AG4555" s="189"/>
      <c r="AH4555" s="189"/>
      <c r="AP4555" s="238"/>
    </row>
    <row r="4556" spans="2:42" s="45" customFormat="1" x14ac:dyDescent="0.2">
      <c r="B4556"/>
      <c r="C4556" s="27"/>
      <c r="D4556"/>
      <c r="E4556"/>
      <c r="F4556" s="73"/>
      <c r="G4556"/>
      <c r="H4556"/>
      <c r="I4556"/>
      <c r="J4556"/>
      <c r="K4556"/>
      <c r="L4556"/>
      <c r="M4556" s="2"/>
      <c r="N4556" s="1"/>
      <c r="O4556" s="1"/>
      <c r="P4556" s="73"/>
      <c r="Q4556" s="73"/>
      <c r="R4556" s="111"/>
      <c r="S4556" s="75"/>
      <c r="T4556" s="73"/>
      <c r="X4556" s="189"/>
      <c r="Y4556" s="189"/>
      <c r="Z4556" s="100"/>
      <c r="AC4556" s="84"/>
      <c r="AD4556" s="189"/>
      <c r="AE4556" s="189"/>
      <c r="AF4556" s="189"/>
      <c r="AG4556" s="189"/>
      <c r="AH4556" s="189"/>
      <c r="AP4556" s="238"/>
    </row>
    <row r="4557" spans="2:42" s="45" customFormat="1" x14ac:dyDescent="0.2">
      <c r="B4557"/>
      <c r="C4557" s="27"/>
      <c r="D4557"/>
      <c r="E4557"/>
      <c r="F4557" s="73"/>
      <c r="G4557"/>
      <c r="H4557"/>
      <c r="I4557"/>
      <c r="J4557"/>
      <c r="K4557"/>
      <c r="L4557"/>
      <c r="M4557" s="2"/>
      <c r="N4557" s="1"/>
      <c r="O4557" s="1"/>
      <c r="P4557" s="73"/>
      <c r="Q4557" s="73"/>
      <c r="R4557" s="111"/>
      <c r="S4557" s="75"/>
      <c r="T4557" s="73"/>
      <c r="X4557" s="189"/>
      <c r="Y4557" s="189"/>
      <c r="Z4557" s="100"/>
      <c r="AC4557" s="84"/>
      <c r="AD4557" s="189"/>
      <c r="AE4557" s="189"/>
      <c r="AF4557" s="189"/>
      <c r="AG4557" s="189"/>
      <c r="AH4557" s="189"/>
      <c r="AP4557" s="238"/>
    </row>
    <row r="4558" spans="2:42" s="45" customFormat="1" x14ac:dyDescent="0.2">
      <c r="B4558"/>
      <c r="C4558" s="27"/>
      <c r="D4558"/>
      <c r="E4558"/>
      <c r="F4558" s="73"/>
      <c r="G4558"/>
      <c r="H4558"/>
      <c r="I4558"/>
      <c r="J4558"/>
      <c r="K4558"/>
      <c r="L4558"/>
      <c r="M4558" s="2"/>
      <c r="N4558" s="1"/>
      <c r="O4558" s="1"/>
      <c r="P4558" s="73"/>
      <c r="Q4558" s="73"/>
      <c r="R4558" s="111"/>
      <c r="S4558" s="75"/>
      <c r="T4558" s="73"/>
      <c r="X4558" s="189"/>
      <c r="Y4558" s="189"/>
      <c r="Z4558" s="100"/>
      <c r="AC4558" s="84"/>
      <c r="AD4558" s="189"/>
      <c r="AE4558" s="189"/>
      <c r="AF4558" s="189"/>
      <c r="AG4558" s="189"/>
      <c r="AH4558" s="189"/>
      <c r="AP4558" s="238"/>
    </row>
    <row r="4559" spans="2:42" s="45" customFormat="1" x14ac:dyDescent="0.2">
      <c r="B4559"/>
      <c r="C4559" s="27"/>
      <c r="D4559"/>
      <c r="E4559"/>
      <c r="F4559" s="73"/>
      <c r="G4559"/>
      <c r="H4559"/>
      <c r="I4559"/>
      <c r="J4559"/>
      <c r="K4559"/>
      <c r="L4559"/>
      <c r="M4559" s="2"/>
      <c r="N4559" s="1"/>
      <c r="O4559" s="1"/>
      <c r="P4559" s="73"/>
      <c r="Q4559" s="73"/>
      <c r="R4559" s="111"/>
      <c r="S4559" s="75"/>
      <c r="T4559" s="73"/>
      <c r="X4559" s="189"/>
      <c r="Y4559" s="189"/>
      <c r="Z4559" s="100"/>
      <c r="AC4559" s="84"/>
      <c r="AD4559" s="189"/>
      <c r="AE4559" s="189"/>
      <c r="AF4559" s="189"/>
      <c r="AG4559" s="189"/>
      <c r="AH4559" s="189"/>
      <c r="AP4559" s="238"/>
    </row>
    <row r="4560" spans="2:42" s="45" customFormat="1" x14ac:dyDescent="0.2">
      <c r="B4560"/>
      <c r="C4560" s="27"/>
      <c r="D4560"/>
      <c r="E4560"/>
      <c r="F4560" s="73"/>
      <c r="G4560"/>
      <c r="H4560"/>
      <c r="I4560"/>
      <c r="J4560"/>
      <c r="K4560"/>
      <c r="L4560"/>
      <c r="M4560" s="2"/>
      <c r="N4560" s="1"/>
      <c r="O4560" s="1"/>
      <c r="P4560" s="73"/>
      <c r="Q4560" s="73"/>
      <c r="R4560" s="111"/>
      <c r="S4560" s="75"/>
      <c r="T4560" s="73"/>
      <c r="X4560" s="189"/>
      <c r="Y4560" s="189"/>
      <c r="Z4560" s="100"/>
      <c r="AC4560" s="84"/>
      <c r="AD4560" s="189"/>
      <c r="AE4560" s="189"/>
      <c r="AF4560" s="189"/>
      <c r="AG4560" s="189"/>
      <c r="AH4560" s="189"/>
      <c r="AP4560" s="238"/>
    </row>
    <row r="4561" spans="2:42" s="45" customFormat="1" x14ac:dyDescent="0.2">
      <c r="B4561"/>
      <c r="C4561" s="27"/>
      <c r="D4561"/>
      <c r="E4561"/>
      <c r="F4561" s="73"/>
      <c r="G4561"/>
      <c r="H4561"/>
      <c r="I4561"/>
      <c r="J4561"/>
      <c r="K4561"/>
      <c r="L4561"/>
      <c r="M4561" s="2"/>
      <c r="N4561" s="1"/>
      <c r="O4561" s="1"/>
      <c r="P4561" s="73"/>
      <c r="Q4561" s="73"/>
      <c r="R4561" s="111"/>
      <c r="S4561" s="75"/>
      <c r="T4561" s="73"/>
      <c r="X4561" s="189"/>
      <c r="Y4561" s="189"/>
      <c r="Z4561" s="100"/>
      <c r="AC4561" s="84"/>
      <c r="AD4561" s="189"/>
      <c r="AE4561" s="189"/>
      <c r="AF4561" s="189"/>
      <c r="AG4561" s="189"/>
      <c r="AH4561" s="189"/>
      <c r="AP4561" s="238"/>
    </row>
    <row r="4562" spans="2:42" s="45" customFormat="1" x14ac:dyDescent="0.2">
      <c r="B4562"/>
      <c r="C4562" s="27"/>
      <c r="D4562"/>
      <c r="E4562"/>
      <c r="F4562" s="73"/>
      <c r="G4562"/>
      <c r="H4562"/>
      <c r="I4562"/>
      <c r="J4562"/>
      <c r="K4562"/>
      <c r="L4562"/>
      <c r="M4562" s="2"/>
      <c r="N4562" s="1"/>
      <c r="O4562" s="1"/>
      <c r="P4562" s="73"/>
      <c r="Q4562" s="73"/>
      <c r="R4562" s="111"/>
      <c r="S4562" s="75"/>
      <c r="T4562" s="73"/>
      <c r="X4562" s="189"/>
      <c r="Y4562" s="189"/>
      <c r="Z4562" s="100"/>
      <c r="AC4562" s="84"/>
      <c r="AD4562" s="189"/>
      <c r="AE4562" s="189"/>
      <c r="AF4562" s="189"/>
      <c r="AG4562" s="189"/>
      <c r="AH4562" s="189"/>
      <c r="AP4562" s="238"/>
    </row>
    <row r="4563" spans="2:42" s="45" customFormat="1" x14ac:dyDescent="0.2">
      <c r="B4563"/>
      <c r="C4563" s="27"/>
      <c r="D4563"/>
      <c r="E4563"/>
      <c r="F4563" s="73"/>
      <c r="G4563"/>
      <c r="H4563"/>
      <c r="I4563"/>
      <c r="J4563"/>
      <c r="K4563"/>
      <c r="L4563"/>
      <c r="M4563" s="2"/>
      <c r="N4563" s="1"/>
      <c r="O4563" s="1"/>
      <c r="P4563" s="73"/>
      <c r="Q4563" s="73"/>
      <c r="R4563" s="111"/>
      <c r="S4563" s="75"/>
      <c r="T4563" s="73"/>
      <c r="X4563" s="189"/>
      <c r="Y4563" s="189"/>
      <c r="Z4563" s="100"/>
      <c r="AC4563" s="84"/>
      <c r="AD4563" s="189"/>
      <c r="AE4563" s="189"/>
      <c r="AF4563" s="189"/>
      <c r="AG4563" s="189"/>
      <c r="AH4563" s="189"/>
      <c r="AP4563" s="238"/>
    </row>
    <row r="4564" spans="2:42" s="45" customFormat="1" x14ac:dyDescent="0.2">
      <c r="B4564"/>
      <c r="C4564" s="27"/>
      <c r="D4564"/>
      <c r="E4564"/>
      <c r="F4564" s="73"/>
      <c r="G4564"/>
      <c r="H4564"/>
      <c r="I4564"/>
      <c r="J4564"/>
      <c r="K4564"/>
      <c r="L4564"/>
      <c r="M4564" s="2"/>
      <c r="N4564" s="1"/>
      <c r="O4564" s="1"/>
      <c r="P4564" s="73"/>
      <c r="Q4564" s="73"/>
      <c r="R4564" s="111"/>
      <c r="S4564" s="75"/>
      <c r="T4564" s="73"/>
      <c r="X4564" s="189"/>
      <c r="Y4564" s="189"/>
      <c r="Z4564" s="100"/>
      <c r="AC4564" s="84"/>
      <c r="AD4564" s="189"/>
      <c r="AE4564" s="189"/>
      <c r="AF4564" s="189"/>
      <c r="AG4564" s="189"/>
      <c r="AH4564" s="189"/>
      <c r="AP4564" s="238"/>
    </row>
    <row r="4565" spans="2:42" s="45" customFormat="1" x14ac:dyDescent="0.2">
      <c r="B4565"/>
      <c r="C4565" s="27"/>
      <c r="D4565"/>
      <c r="E4565"/>
      <c r="F4565" s="73"/>
      <c r="G4565"/>
      <c r="H4565"/>
      <c r="I4565"/>
      <c r="J4565"/>
      <c r="K4565"/>
      <c r="L4565"/>
      <c r="M4565" s="2"/>
      <c r="N4565" s="1"/>
      <c r="O4565" s="1"/>
      <c r="P4565" s="73"/>
      <c r="Q4565" s="73"/>
      <c r="R4565" s="111"/>
      <c r="S4565" s="75"/>
      <c r="T4565" s="73"/>
      <c r="X4565" s="189"/>
      <c r="Y4565" s="189"/>
      <c r="Z4565" s="100"/>
      <c r="AC4565" s="84"/>
      <c r="AD4565" s="189"/>
      <c r="AE4565" s="189"/>
      <c r="AF4565" s="189"/>
      <c r="AG4565" s="189"/>
      <c r="AH4565" s="189"/>
      <c r="AP4565" s="238"/>
    </row>
    <row r="4566" spans="2:42" s="45" customFormat="1" x14ac:dyDescent="0.2">
      <c r="B4566"/>
      <c r="C4566" s="27"/>
      <c r="D4566"/>
      <c r="E4566"/>
      <c r="F4566" s="73"/>
      <c r="G4566"/>
      <c r="H4566"/>
      <c r="I4566"/>
      <c r="J4566"/>
      <c r="K4566"/>
      <c r="L4566"/>
      <c r="M4566" s="2"/>
      <c r="N4566" s="1"/>
      <c r="O4566" s="1"/>
      <c r="P4566" s="73"/>
      <c r="Q4566" s="73"/>
      <c r="R4566" s="111"/>
      <c r="S4566" s="75"/>
      <c r="T4566" s="73"/>
      <c r="X4566" s="189"/>
      <c r="Y4566" s="189"/>
      <c r="Z4566" s="100"/>
      <c r="AC4566" s="84"/>
      <c r="AD4566" s="189"/>
      <c r="AE4566" s="189"/>
      <c r="AF4566" s="189"/>
      <c r="AG4566" s="189"/>
      <c r="AH4566" s="189"/>
      <c r="AP4566" s="238"/>
    </row>
    <row r="4567" spans="2:42" s="45" customFormat="1" x14ac:dyDescent="0.2">
      <c r="B4567"/>
      <c r="C4567" s="27"/>
      <c r="D4567"/>
      <c r="E4567"/>
      <c r="F4567" s="73"/>
      <c r="G4567"/>
      <c r="H4567"/>
      <c r="I4567"/>
      <c r="J4567"/>
      <c r="K4567"/>
      <c r="L4567"/>
      <c r="M4567" s="2"/>
      <c r="N4567" s="1"/>
      <c r="O4567" s="1"/>
      <c r="P4567" s="73"/>
      <c r="Q4567" s="73"/>
      <c r="R4567" s="111"/>
      <c r="S4567" s="75"/>
      <c r="T4567" s="73"/>
      <c r="X4567" s="189"/>
      <c r="Y4567" s="189"/>
      <c r="Z4567" s="100"/>
      <c r="AC4567" s="84"/>
      <c r="AD4567" s="189"/>
      <c r="AE4567" s="189"/>
      <c r="AF4567" s="189"/>
      <c r="AG4567" s="189"/>
      <c r="AH4567" s="189"/>
      <c r="AP4567" s="238"/>
    </row>
    <row r="4568" spans="2:42" s="45" customFormat="1" x14ac:dyDescent="0.2">
      <c r="B4568"/>
      <c r="C4568" s="27"/>
      <c r="D4568"/>
      <c r="E4568"/>
      <c r="F4568" s="73"/>
      <c r="G4568"/>
      <c r="H4568"/>
      <c r="I4568"/>
      <c r="J4568"/>
      <c r="K4568"/>
      <c r="L4568"/>
      <c r="M4568" s="2"/>
      <c r="N4568" s="1"/>
      <c r="O4568" s="1"/>
      <c r="P4568" s="73"/>
      <c r="Q4568" s="73"/>
      <c r="R4568" s="111"/>
      <c r="S4568" s="75"/>
      <c r="T4568" s="73"/>
      <c r="X4568" s="189"/>
      <c r="Y4568" s="189"/>
      <c r="Z4568" s="100"/>
      <c r="AC4568" s="84"/>
      <c r="AD4568" s="189"/>
      <c r="AE4568" s="189"/>
      <c r="AF4568" s="189"/>
      <c r="AG4568" s="189"/>
      <c r="AH4568" s="189"/>
      <c r="AP4568" s="238"/>
    </row>
    <row r="4569" spans="2:42" s="45" customFormat="1" x14ac:dyDescent="0.2">
      <c r="B4569"/>
      <c r="C4569" s="27"/>
      <c r="D4569"/>
      <c r="E4569"/>
      <c r="F4569" s="73"/>
      <c r="G4569"/>
      <c r="H4569"/>
      <c r="I4569"/>
      <c r="J4569"/>
      <c r="K4569"/>
      <c r="L4569"/>
      <c r="M4569" s="2"/>
      <c r="N4569" s="1"/>
      <c r="O4569" s="1"/>
      <c r="P4569" s="73"/>
      <c r="Q4569" s="73"/>
      <c r="R4569" s="111"/>
      <c r="S4569" s="75"/>
      <c r="T4569" s="73"/>
      <c r="X4569" s="189"/>
      <c r="Y4569" s="189"/>
      <c r="Z4569" s="100"/>
      <c r="AC4569" s="84"/>
      <c r="AD4569" s="189"/>
      <c r="AE4569" s="189"/>
      <c r="AF4569" s="189"/>
      <c r="AG4569" s="189"/>
      <c r="AH4569" s="189"/>
      <c r="AP4569" s="238"/>
    </row>
    <row r="4570" spans="2:42" s="45" customFormat="1" x14ac:dyDescent="0.2">
      <c r="B4570"/>
      <c r="C4570" s="27"/>
      <c r="D4570"/>
      <c r="E4570"/>
      <c r="F4570" s="73"/>
      <c r="G4570"/>
      <c r="H4570"/>
      <c r="I4570"/>
      <c r="J4570"/>
      <c r="K4570"/>
      <c r="L4570"/>
      <c r="M4570" s="2"/>
      <c r="N4570" s="1"/>
      <c r="O4570" s="1"/>
      <c r="P4570" s="73"/>
      <c r="Q4570" s="73"/>
      <c r="R4570" s="111"/>
      <c r="S4570" s="75"/>
      <c r="T4570" s="73"/>
      <c r="X4570" s="189"/>
      <c r="Y4570" s="189"/>
      <c r="Z4570" s="100"/>
      <c r="AC4570" s="84"/>
      <c r="AD4570" s="189"/>
      <c r="AE4570" s="189"/>
      <c r="AF4570" s="189"/>
      <c r="AG4570" s="189"/>
      <c r="AH4570" s="189"/>
      <c r="AP4570" s="238"/>
    </row>
    <row r="4571" spans="2:42" s="45" customFormat="1" x14ac:dyDescent="0.2">
      <c r="B4571"/>
      <c r="C4571" s="27"/>
      <c r="D4571"/>
      <c r="E4571"/>
      <c r="F4571" s="73"/>
      <c r="G4571"/>
      <c r="H4571"/>
      <c r="I4571"/>
      <c r="J4571"/>
      <c r="K4571"/>
      <c r="L4571"/>
      <c r="M4571" s="2"/>
      <c r="N4571" s="1"/>
      <c r="O4571" s="1"/>
      <c r="P4571" s="73"/>
      <c r="Q4571" s="73"/>
      <c r="R4571" s="111"/>
      <c r="S4571" s="75"/>
      <c r="T4571" s="73"/>
      <c r="X4571" s="189"/>
      <c r="Y4571" s="189"/>
      <c r="Z4571" s="100"/>
      <c r="AC4571" s="84"/>
      <c r="AD4571" s="189"/>
      <c r="AE4571" s="189"/>
      <c r="AF4571" s="189"/>
      <c r="AG4571" s="189"/>
      <c r="AH4571" s="189"/>
      <c r="AP4571" s="238"/>
    </row>
    <row r="4572" spans="2:42" s="45" customFormat="1" x14ac:dyDescent="0.2">
      <c r="B4572"/>
      <c r="C4572" s="27"/>
      <c r="D4572"/>
      <c r="E4572"/>
      <c r="F4572" s="73"/>
      <c r="G4572"/>
      <c r="H4572"/>
      <c r="I4572"/>
      <c r="J4572"/>
      <c r="K4572"/>
      <c r="L4572"/>
      <c r="M4572" s="2"/>
      <c r="N4572" s="1"/>
      <c r="O4572" s="1"/>
      <c r="P4572" s="73"/>
      <c r="Q4572" s="73"/>
      <c r="R4572" s="111"/>
      <c r="S4572" s="75"/>
      <c r="T4572" s="73"/>
      <c r="X4572" s="189"/>
      <c r="Y4572" s="189"/>
      <c r="Z4572" s="100"/>
      <c r="AC4572" s="84"/>
      <c r="AD4572" s="189"/>
      <c r="AE4572" s="189"/>
      <c r="AF4572" s="189"/>
      <c r="AG4572" s="189"/>
      <c r="AH4572" s="189"/>
      <c r="AP4572" s="238"/>
    </row>
    <row r="4573" spans="2:42" s="45" customFormat="1" x14ac:dyDescent="0.2">
      <c r="B4573"/>
      <c r="C4573" s="27"/>
      <c r="D4573"/>
      <c r="E4573"/>
      <c r="F4573" s="73"/>
      <c r="G4573"/>
      <c r="H4573"/>
      <c r="I4573"/>
      <c r="J4573"/>
      <c r="K4573"/>
      <c r="L4573"/>
      <c r="M4573" s="2"/>
      <c r="N4573" s="1"/>
      <c r="O4573" s="1"/>
      <c r="P4573" s="73"/>
      <c r="Q4573" s="73"/>
      <c r="R4573" s="111"/>
      <c r="S4573" s="75"/>
      <c r="T4573" s="73"/>
      <c r="X4573" s="189"/>
      <c r="Y4573" s="189"/>
      <c r="Z4573" s="100"/>
      <c r="AC4573" s="84"/>
      <c r="AD4573" s="189"/>
      <c r="AE4573" s="189"/>
      <c r="AF4573" s="189"/>
      <c r="AG4573" s="189"/>
      <c r="AH4573" s="189"/>
      <c r="AP4573" s="238"/>
    </row>
    <row r="4574" spans="2:42" s="45" customFormat="1" x14ac:dyDescent="0.2">
      <c r="B4574"/>
      <c r="C4574" s="27"/>
      <c r="D4574"/>
      <c r="E4574"/>
      <c r="F4574" s="73"/>
      <c r="G4574"/>
      <c r="H4574"/>
      <c r="I4574"/>
      <c r="J4574"/>
      <c r="K4574"/>
      <c r="L4574"/>
      <c r="M4574" s="2"/>
      <c r="N4574" s="1"/>
      <c r="O4574" s="1"/>
      <c r="P4574" s="73"/>
      <c r="Q4574" s="73"/>
      <c r="R4574" s="111"/>
      <c r="S4574" s="75"/>
      <c r="T4574" s="73"/>
      <c r="X4574" s="189"/>
      <c r="Y4574" s="189"/>
      <c r="Z4574" s="100"/>
      <c r="AC4574" s="84"/>
      <c r="AD4574" s="189"/>
      <c r="AE4574" s="189"/>
      <c r="AF4574" s="189"/>
      <c r="AG4574" s="189"/>
      <c r="AH4574" s="189"/>
      <c r="AP4574" s="238"/>
    </row>
    <row r="4575" spans="2:42" s="45" customFormat="1" x14ac:dyDescent="0.2">
      <c r="B4575"/>
      <c r="C4575" s="27"/>
      <c r="D4575"/>
      <c r="E4575"/>
      <c r="F4575" s="73"/>
      <c r="G4575"/>
      <c r="H4575"/>
      <c r="I4575"/>
      <c r="J4575"/>
      <c r="K4575"/>
      <c r="L4575"/>
      <c r="M4575" s="2"/>
      <c r="N4575" s="1"/>
      <c r="O4575" s="1"/>
      <c r="P4575" s="73"/>
      <c r="Q4575" s="73"/>
      <c r="R4575" s="111"/>
      <c r="S4575" s="75"/>
      <c r="T4575" s="73"/>
      <c r="X4575" s="189"/>
      <c r="Y4575" s="189"/>
      <c r="Z4575" s="100"/>
      <c r="AC4575" s="84"/>
      <c r="AD4575" s="189"/>
      <c r="AE4575" s="189"/>
      <c r="AF4575" s="189"/>
      <c r="AG4575" s="189"/>
      <c r="AH4575" s="189"/>
      <c r="AP4575" s="238"/>
    </row>
    <row r="4576" spans="2:42" s="45" customFormat="1" x14ac:dyDescent="0.2">
      <c r="B4576"/>
      <c r="C4576" s="27"/>
      <c r="D4576"/>
      <c r="E4576"/>
      <c r="F4576" s="73"/>
      <c r="G4576"/>
      <c r="H4576"/>
      <c r="I4576"/>
      <c r="J4576"/>
      <c r="K4576"/>
      <c r="L4576"/>
      <c r="M4576" s="2"/>
      <c r="N4576" s="1"/>
      <c r="O4576" s="1"/>
      <c r="P4576" s="73"/>
      <c r="Q4576" s="73"/>
      <c r="R4576" s="111"/>
      <c r="S4576" s="75"/>
      <c r="T4576" s="73"/>
      <c r="X4576" s="189"/>
      <c r="Y4576" s="189"/>
      <c r="Z4576" s="100"/>
      <c r="AC4576" s="84"/>
      <c r="AD4576" s="189"/>
      <c r="AE4576" s="189"/>
      <c r="AF4576" s="189"/>
      <c r="AG4576" s="189"/>
      <c r="AH4576" s="189"/>
      <c r="AP4576" s="238"/>
    </row>
    <row r="4577" spans="2:42" s="45" customFormat="1" x14ac:dyDescent="0.2">
      <c r="B4577"/>
      <c r="C4577" s="27"/>
      <c r="D4577"/>
      <c r="E4577"/>
      <c r="F4577" s="73"/>
      <c r="G4577"/>
      <c r="H4577"/>
      <c r="I4577"/>
      <c r="J4577"/>
      <c r="K4577"/>
      <c r="L4577"/>
      <c r="M4577" s="2"/>
      <c r="N4577" s="1"/>
      <c r="O4577" s="1"/>
      <c r="P4577" s="73"/>
      <c r="Q4577" s="73"/>
      <c r="R4577" s="111"/>
      <c r="S4577" s="75"/>
      <c r="T4577" s="73"/>
      <c r="X4577" s="189"/>
      <c r="Y4577" s="189"/>
      <c r="Z4577" s="100"/>
      <c r="AC4577" s="84"/>
      <c r="AD4577" s="189"/>
      <c r="AE4577" s="189"/>
      <c r="AF4577" s="189"/>
      <c r="AG4577" s="189"/>
      <c r="AH4577" s="189"/>
      <c r="AP4577" s="238"/>
    </row>
    <row r="4578" spans="2:42" s="45" customFormat="1" x14ac:dyDescent="0.2">
      <c r="B4578"/>
      <c r="C4578" s="27"/>
      <c r="D4578"/>
      <c r="E4578"/>
      <c r="F4578" s="73"/>
      <c r="G4578"/>
      <c r="H4578"/>
      <c r="I4578"/>
      <c r="J4578"/>
      <c r="K4578"/>
      <c r="L4578"/>
      <c r="M4578" s="2"/>
      <c r="N4578" s="1"/>
      <c r="O4578" s="1"/>
      <c r="P4578" s="73"/>
      <c r="Q4578" s="73"/>
      <c r="R4578" s="111"/>
      <c r="S4578" s="75"/>
      <c r="T4578" s="73"/>
      <c r="X4578" s="189"/>
      <c r="Y4578" s="189"/>
      <c r="Z4578" s="100"/>
      <c r="AC4578" s="84"/>
      <c r="AD4578" s="189"/>
      <c r="AE4578" s="189"/>
      <c r="AF4578" s="189"/>
      <c r="AG4578" s="189"/>
      <c r="AH4578" s="189"/>
      <c r="AP4578" s="238"/>
    </row>
    <row r="4579" spans="2:42" s="45" customFormat="1" x14ac:dyDescent="0.2">
      <c r="B4579"/>
      <c r="C4579" s="27"/>
      <c r="D4579"/>
      <c r="E4579"/>
      <c r="F4579" s="73"/>
      <c r="G4579"/>
      <c r="H4579"/>
      <c r="I4579"/>
      <c r="J4579"/>
      <c r="K4579"/>
      <c r="L4579"/>
      <c r="M4579" s="2"/>
      <c r="N4579" s="1"/>
      <c r="O4579" s="1"/>
      <c r="P4579" s="73"/>
      <c r="Q4579" s="73"/>
      <c r="R4579" s="111"/>
      <c r="S4579" s="75"/>
      <c r="T4579" s="73"/>
      <c r="X4579" s="189"/>
      <c r="Y4579" s="189"/>
      <c r="Z4579" s="100"/>
      <c r="AC4579" s="84"/>
      <c r="AD4579" s="189"/>
      <c r="AE4579" s="189"/>
      <c r="AF4579" s="189"/>
      <c r="AG4579" s="189"/>
      <c r="AH4579" s="189"/>
      <c r="AP4579" s="238"/>
    </row>
    <row r="4580" spans="2:42" s="45" customFormat="1" x14ac:dyDescent="0.2">
      <c r="B4580"/>
      <c r="C4580" s="27"/>
      <c r="D4580"/>
      <c r="E4580"/>
      <c r="F4580" s="73"/>
      <c r="G4580"/>
      <c r="H4580"/>
      <c r="I4580"/>
      <c r="J4580"/>
      <c r="K4580"/>
      <c r="L4580"/>
      <c r="M4580" s="2"/>
      <c r="N4580" s="1"/>
      <c r="O4580" s="1"/>
      <c r="P4580" s="73"/>
      <c r="Q4580" s="73"/>
      <c r="R4580" s="111"/>
      <c r="S4580" s="75"/>
      <c r="T4580" s="73"/>
      <c r="X4580" s="189"/>
      <c r="Y4580" s="189"/>
      <c r="Z4580" s="100"/>
      <c r="AC4580" s="84"/>
      <c r="AD4580" s="189"/>
      <c r="AE4580" s="189"/>
      <c r="AF4580" s="189"/>
      <c r="AG4580" s="189"/>
      <c r="AH4580" s="189"/>
      <c r="AP4580" s="238"/>
    </row>
    <row r="4581" spans="2:42" s="45" customFormat="1" x14ac:dyDescent="0.2">
      <c r="B4581"/>
      <c r="C4581" s="27"/>
      <c r="D4581"/>
      <c r="E4581"/>
      <c r="F4581" s="73"/>
      <c r="G4581"/>
      <c r="H4581"/>
      <c r="I4581"/>
      <c r="J4581"/>
      <c r="K4581"/>
      <c r="L4581"/>
      <c r="M4581" s="2"/>
      <c r="N4581" s="1"/>
      <c r="O4581" s="1"/>
      <c r="P4581" s="73"/>
      <c r="Q4581" s="73"/>
      <c r="R4581" s="111"/>
      <c r="S4581" s="75"/>
      <c r="T4581" s="73"/>
      <c r="X4581" s="189"/>
      <c r="Y4581" s="189"/>
      <c r="Z4581" s="100"/>
      <c r="AC4581" s="84"/>
      <c r="AD4581" s="189"/>
      <c r="AE4581" s="189"/>
      <c r="AF4581" s="189"/>
      <c r="AG4581" s="189"/>
      <c r="AH4581" s="189"/>
      <c r="AP4581" s="238"/>
    </row>
    <row r="4582" spans="2:42" s="45" customFormat="1" x14ac:dyDescent="0.2">
      <c r="B4582"/>
      <c r="C4582" s="27"/>
      <c r="D4582"/>
      <c r="E4582"/>
      <c r="F4582" s="73"/>
      <c r="G4582"/>
      <c r="H4582"/>
      <c r="I4582"/>
      <c r="J4582"/>
      <c r="K4582"/>
      <c r="L4582"/>
      <c r="M4582" s="2"/>
      <c r="N4582" s="1"/>
      <c r="O4582" s="1"/>
      <c r="P4582" s="73"/>
      <c r="Q4582" s="73"/>
      <c r="R4582" s="111"/>
      <c r="S4582" s="75"/>
      <c r="T4582" s="73"/>
      <c r="X4582" s="189"/>
      <c r="Y4582" s="189"/>
      <c r="Z4582" s="100"/>
      <c r="AC4582" s="84"/>
      <c r="AD4582" s="189"/>
      <c r="AE4582" s="189"/>
      <c r="AF4582" s="189"/>
      <c r="AG4582" s="189"/>
      <c r="AH4582" s="189"/>
      <c r="AP4582" s="238"/>
    </row>
    <row r="4583" spans="2:42" s="45" customFormat="1" x14ac:dyDescent="0.2">
      <c r="B4583"/>
      <c r="C4583" s="27"/>
      <c r="D4583"/>
      <c r="E4583"/>
      <c r="F4583" s="73"/>
      <c r="G4583"/>
      <c r="H4583"/>
      <c r="I4583"/>
      <c r="J4583"/>
      <c r="K4583"/>
      <c r="L4583"/>
      <c r="M4583" s="2"/>
      <c r="N4583" s="1"/>
      <c r="O4583" s="1"/>
      <c r="P4583" s="73"/>
      <c r="Q4583" s="73"/>
      <c r="R4583" s="111"/>
      <c r="S4583" s="75"/>
      <c r="T4583" s="73"/>
      <c r="X4583" s="189"/>
      <c r="Y4583" s="189"/>
      <c r="Z4583" s="100"/>
      <c r="AC4583" s="84"/>
      <c r="AD4583" s="189"/>
      <c r="AE4583" s="189"/>
      <c r="AF4583" s="189"/>
      <c r="AG4583" s="189"/>
      <c r="AH4583" s="189"/>
      <c r="AP4583" s="238"/>
    </row>
    <row r="4584" spans="2:42" s="45" customFormat="1" x14ac:dyDescent="0.2">
      <c r="B4584"/>
      <c r="C4584" s="27"/>
      <c r="D4584"/>
      <c r="E4584"/>
      <c r="F4584" s="73"/>
      <c r="G4584"/>
      <c r="H4584"/>
      <c r="I4584"/>
      <c r="J4584"/>
      <c r="K4584"/>
      <c r="L4584"/>
      <c r="M4584" s="2"/>
      <c r="N4584" s="1"/>
      <c r="O4584" s="1"/>
      <c r="P4584" s="73"/>
      <c r="Q4584" s="73"/>
      <c r="R4584" s="111"/>
      <c r="S4584" s="75"/>
      <c r="T4584" s="73"/>
      <c r="X4584" s="189"/>
      <c r="Y4584" s="189"/>
      <c r="Z4584" s="100"/>
      <c r="AC4584" s="84"/>
      <c r="AD4584" s="189"/>
      <c r="AE4584" s="189"/>
      <c r="AF4584" s="189"/>
      <c r="AG4584" s="189"/>
      <c r="AH4584" s="189"/>
      <c r="AP4584" s="238"/>
    </row>
    <row r="4585" spans="2:42" s="45" customFormat="1" x14ac:dyDescent="0.2">
      <c r="B4585"/>
      <c r="C4585" s="27"/>
      <c r="D4585"/>
      <c r="E4585"/>
      <c r="F4585" s="73"/>
      <c r="G4585"/>
      <c r="H4585"/>
      <c r="I4585"/>
      <c r="J4585"/>
      <c r="K4585"/>
      <c r="L4585"/>
      <c r="M4585" s="2"/>
      <c r="N4585" s="1"/>
      <c r="O4585" s="1"/>
      <c r="P4585" s="73"/>
      <c r="Q4585" s="73"/>
      <c r="R4585" s="111"/>
      <c r="S4585" s="75"/>
      <c r="T4585" s="73"/>
      <c r="X4585" s="189"/>
      <c r="Y4585" s="189"/>
      <c r="Z4585" s="100"/>
      <c r="AC4585" s="84"/>
      <c r="AD4585" s="189"/>
      <c r="AE4585" s="189"/>
      <c r="AF4585" s="189"/>
      <c r="AG4585" s="189"/>
      <c r="AH4585" s="189"/>
      <c r="AP4585" s="238"/>
    </row>
    <row r="4586" spans="2:42" s="45" customFormat="1" x14ac:dyDescent="0.2">
      <c r="B4586"/>
      <c r="C4586" s="27"/>
      <c r="D4586"/>
      <c r="E4586"/>
      <c r="F4586" s="73"/>
      <c r="G4586"/>
      <c r="H4586"/>
      <c r="I4586"/>
      <c r="J4586"/>
      <c r="K4586"/>
      <c r="L4586"/>
      <c r="M4586" s="2"/>
      <c r="N4586" s="1"/>
      <c r="O4586" s="1"/>
      <c r="P4586" s="73"/>
      <c r="Q4586" s="73"/>
      <c r="R4586" s="111"/>
      <c r="S4586" s="75"/>
      <c r="T4586" s="73"/>
      <c r="X4586" s="189"/>
      <c r="Y4586" s="189"/>
      <c r="Z4586" s="100"/>
      <c r="AC4586" s="84"/>
      <c r="AD4586" s="189"/>
      <c r="AE4586" s="189"/>
      <c r="AF4586" s="189"/>
      <c r="AG4586" s="189"/>
      <c r="AH4586" s="189"/>
      <c r="AP4586" s="238"/>
    </row>
    <row r="4587" spans="2:42" s="45" customFormat="1" x14ac:dyDescent="0.2">
      <c r="B4587"/>
      <c r="C4587" s="27"/>
      <c r="D4587"/>
      <c r="E4587"/>
      <c r="F4587" s="73"/>
      <c r="G4587"/>
      <c r="H4587"/>
      <c r="I4587"/>
      <c r="J4587"/>
      <c r="K4587"/>
      <c r="L4587"/>
      <c r="M4587" s="2"/>
      <c r="N4587" s="1"/>
      <c r="O4587" s="1"/>
      <c r="P4587" s="73"/>
      <c r="Q4587" s="73"/>
      <c r="R4587" s="111"/>
      <c r="S4587" s="75"/>
      <c r="T4587" s="73"/>
      <c r="X4587" s="189"/>
      <c r="Y4587" s="189"/>
      <c r="Z4587" s="100"/>
      <c r="AC4587" s="84"/>
      <c r="AD4587" s="189"/>
      <c r="AE4587" s="189"/>
      <c r="AF4587" s="189"/>
      <c r="AG4587" s="189"/>
      <c r="AH4587" s="189"/>
      <c r="AP4587" s="238"/>
    </row>
    <row r="4588" spans="2:42" s="45" customFormat="1" x14ac:dyDescent="0.2">
      <c r="B4588"/>
      <c r="C4588" s="27"/>
      <c r="D4588"/>
      <c r="E4588"/>
      <c r="F4588" s="73"/>
      <c r="G4588"/>
      <c r="H4588"/>
      <c r="I4588"/>
      <c r="J4588"/>
      <c r="K4588"/>
      <c r="L4588"/>
      <c r="M4588" s="2"/>
      <c r="N4588" s="1"/>
      <c r="O4588" s="1"/>
      <c r="P4588" s="73"/>
      <c r="Q4588" s="73"/>
      <c r="R4588" s="111"/>
      <c r="S4588" s="75"/>
      <c r="T4588" s="73"/>
      <c r="X4588" s="189"/>
      <c r="Y4588" s="189"/>
      <c r="Z4588" s="100"/>
      <c r="AC4588" s="84"/>
      <c r="AD4588" s="189"/>
      <c r="AE4588" s="189"/>
      <c r="AF4588" s="189"/>
      <c r="AG4588" s="189"/>
      <c r="AH4588" s="189"/>
      <c r="AP4588" s="238"/>
    </row>
    <row r="4589" spans="2:42" s="45" customFormat="1" x14ac:dyDescent="0.2">
      <c r="B4589"/>
      <c r="C4589" s="27"/>
      <c r="D4589"/>
      <c r="E4589"/>
      <c r="F4589" s="73"/>
      <c r="G4589"/>
      <c r="H4589"/>
      <c r="I4589"/>
      <c r="J4589"/>
      <c r="K4589"/>
      <c r="L4589"/>
      <c r="M4589" s="2"/>
      <c r="N4589" s="1"/>
      <c r="O4589" s="1"/>
      <c r="P4589" s="73"/>
      <c r="Q4589" s="73"/>
      <c r="R4589" s="111"/>
      <c r="S4589" s="75"/>
      <c r="T4589" s="73"/>
      <c r="X4589" s="189"/>
      <c r="Y4589" s="189"/>
      <c r="Z4589" s="100"/>
      <c r="AC4589" s="84"/>
      <c r="AD4589" s="189"/>
      <c r="AE4589" s="189"/>
      <c r="AF4589" s="189"/>
      <c r="AG4589" s="189"/>
      <c r="AH4589" s="189"/>
      <c r="AP4589" s="238"/>
    </row>
    <row r="4590" spans="2:42" s="45" customFormat="1" x14ac:dyDescent="0.2">
      <c r="B4590"/>
      <c r="C4590" s="27"/>
      <c r="D4590"/>
      <c r="E4590"/>
      <c r="F4590" s="73"/>
      <c r="G4590"/>
      <c r="H4590"/>
      <c r="I4590"/>
      <c r="J4590"/>
      <c r="K4590"/>
      <c r="L4590"/>
      <c r="M4590" s="2"/>
      <c r="N4590" s="1"/>
      <c r="O4590" s="1"/>
      <c r="P4590" s="73"/>
      <c r="Q4590" s="73"/>
      <c r="R4590" s="111"/>
      <c r="S4590" s="75"/>
      <c r="T4590" s="73"/>
      <c r="X4590" s="189"/>
      <c r="Y4590" s="189"/>
      <c r="Z4590" s="100"/>
      <c r="AC4590" s="84"/>
      <c r="AD4590" s="189"/>
      <c r="AE4590" s="189"/>
      <c r="AF4590" s="189"/>
      <c r="AG4590" s="189"/>
      <c r="AH4590" s="189"/>
      <c r="AP4590" s="238"/>
    </row>
    <row r="4591" spans="2:42" s="45" customFormat="1" x14ac:dyDescent="0.2">
      <c r="B4591"/>
      <c r="C4591" s="27"/>
      <c r="D4591"/>
      <c r="E4591"/>
      <c r="F4591" s="73"/>
      <c r="G4591"/>
      <c r="H4591"/>
      <c r="I4591"/>
      <c r="J4591"/>
      <c r="K4591"/>
      <c r="L4591"/>
      <c r="M4591" s="2"/>
      <c r="N4591" s="1"/>
      <c r="O4591" s="1"/>
      <c r="P4591" s="73"/>
      <c r="Q4591" s="73"/>
      <c r="R4591" s="111"/>
      <c r="S4591" s="75"/>
      <c r="T4591" s="73"/>
      <c r="X4591" s="189"/>
      <c r="Y4591" s="189"/>
      <c r="Z4591" s="100"/>
      <c r="AC4591" s="84"/>
      <c r="AD4591" s="189"/>
      <c r="AE4591" s="189"/>
      <c r="AF4591" s="189"/>
      <c r="AG4591" s="189"/>
      <c r="AH4591" s="189"/>
      <c r="AP4591" s="238"/>
    </row>
    <row r="4592" spans="2:42" s="45" customFormat="1" x14ac:dyDescent="0.2">
      <c r="B4592"/>
      <c r="C4592" s="27"/>
      <c r="D4592"/>
      <c r="E4592"/>
      <c r="F4592" s="73"/>
      <c r="G4592"/>
      <c r="H4592"/>
      <c r="I4592"/>
      <c r="J4592"/>
      <c r="K4592"/>
      <c r="L4592"/>
      <c r="M4592" s="2"/>
      <c r="N4592" s="1"/>
      <c r="O4592" s="1"/>
      <c r="P4592" s="73"/>
      <c r="Q4592" s="73"/>
      <c r="R4592" s="111"/>
      <c r="S4592" s="75"/>
      <c r="T4592" s="73"/>
      <c r="X4592" s="189"/>
      <c r="Y4592" s="189"/>
      <c r="Z4592" s="100"/>
      <c r="AC4592" s="84"/>
      <c r="AD4592" s="189"/>
      <c r="AE4592" s="189"/>
      <c r="AF4592" s="189"/>
      <c r="AG4592" s="189"/>
      <c r="AH4592" s="189"/>
      <c r="AP4592" s="238"/>
    </row>
    <row r="4593" spans="2:42" s="45" customFormat="1" x14ac:dyDescent="0.2">
      <c r="B4593"/>
      <c r="C4593" s="27"/>
      <c r="D4593"/>
      <c r="E4593"/>
      <c r="F4593" s="73"/>
      <c r="G4593"/>
      <c r="H4593"/>
      <c r="I4593"/>
      <c r="J4593"/>
      <c r="K4593"/>
      <c r="L4593"/>
      <c r="M4593" s="2"/>
      <c r="N4593" s="1"/>
      <c r="O4593" s="1"/>
      <c r="P4593" s="73"/>
      <c r="Q4593" s="73"/>
      <c r="R4593" s="111"/>
      <c r="S4593" s="75"/>
      <c r="T4593" s="73"/>
      <c r="X4593" s="189"/>
      <c r="Y4593" s="189"/>
      <c r="Z4593" s="100"/>
      <c r="AC4593" s="84"/>
      <c r="AD4593" s="189"/>
      <c r="AE4593" s="189"/>
      <c r="AF4593" s="189"/>
      <c r="AG4593" s="189"/>
      <c r="AH4593" s="189"/>
      <c r="AP4593" s="238"/>
    </row>
    <row r="4594" spans="2:42" s="45" customFormat="1" x14ac:dyDescent="0.2">
      <c r="B4594"/>
      <c r="C4594" s="27"/>
      <c r="D4594"/>
      <c r="E4594"/>
      <c r="F4594" s="73"/>
      <c r="G4594"/>
      <c r="H4594"/>
      <c r="I4594"/>
      <c r="J4594"/>
      <c r="K4594"/>
      <c r="L4594"/>
      <c r="M4594" s="2"/>
      <c r="N4594" s="1"/>
      <c r="O4594" s="1"/>
      <c r="P4594" s="73"/>
      <c r="Q4594" s="73"/>
      <c r="R4594" s="111"/>
      <c r="S4594" s="75"/>
      <c r="T4594" s="73"/>
      <c r="X4594" s="189"/>
      <c r="Y4594" s="189"/>
      <c r="Z4594" s="100"/>
      <c r="AC4594" s="84"/>
      <c r="AD4594" s="189"/>
      <c r="AE4594" s="189"/>
      <c r="AF4594" s="189"/>
      <c r="AG4594" s="189"/>
      <c r="AH4594" s="189"/>
      <c r="AP4594" s="238"/>
    </row>
    <row r="4595" spans="2:42" s="45" customFormat="1" x14ac:dyDescent="0.2">
      <c r="B4595"/>
      <c r="C4595" s="27"/>
      <c r="D4595"/>
      <c r="E4595"/>
      <c r="F4595" s="73"/>
      <c r="G4595"/>
      <c r="H4595"/>
      <c r="I4595"/>
      <c r="J4595"/>
      <c r="K4595"/>
      <c r="L4595"/>
      <c r="M4595" s="2"/>
      <c r="N4595" s="1"/>
      <c r="O4595" s="1"/>
      <c r="P4595" s="73"/>
      <c r="Q4595" s="73"/>
      <c r="R4595" s="111"/>
      <c r="S4595" s="75"/>
      <c r="T4595" s="73"/>
      <c r="X4595" s="189"/>
      <c r="Y4595" s="189"/>
      <c r="Z4595" s="100"/>
      <c r="AC4595" s="84"/>
      <c r="AD4595" s="189"/>
      <c r="AE4595" s="189"/>
      <c r="AF4595" s="189"/>
      <c r="AG4595" s="189"/>
      <c r="AH4595" s="189"/>
      <c r="AP4595" s="238"/>
    </row>
    <row r="4596" spans="2:42" s="45" customFormat="1" x14ac:dyDescent="0.2">
      <c r="B4596"/>
      <c r="C4596" s="27"/>
      <c r="D4596"/>
      <c r="E4596"/>
      <c r="F4596" s="73"/>
      <c r="G4596"/>
      <c r="H4596"/>
      <c r="I4596"/>
      <c r="J4596"/>
      <c r="K4596"/>
      <c r="L4596"/>
      <c r="M4596" s="2"/>
      <c r="N4596" s="1"/>
      <c r="O4596" s="1"/>
      <c r="P4596" s="73"/>
      <c r="Q4596" s="73"/>
      <c r="R4596" s="111"/>
      <c r="S4596" s="75"/>
      <c r="T4596" s="73"/>
      <c r="X4596" s="189"/>
      <c r="Y4596" s="189"/>
      <c r="Z4596" s="100"/>
      <c r="AC4596" s="84"/>
      <c r="AD4596" s="189"/>
      <c r="AE4596" s="189"/>
      <c r="AF4596" s="189"/>
      <c r="AG4596" s="189"/>
      <c r="AH4596" s="189"/>
      <c r="AP4596" s="238"/>
    </row>
    <row r="4597" spans="2:42" s="45" customFormat="1" x14ac:dyDescent="0.2">
      <c r="B4597"/>
      <c r="C4597" s="27"/>
      <c r="D4597"/>
      <c r="E4597"/>
      <c r="F4597" s="73"/>
      <c r="G4597"/>
      <c r="H4597"/>
      <c r="I4597"/>
      <c r="J4597"/>
      <c r="K4597"/>
      <c r="L4597"/>
      <c r="M4597" s="2"/>
      <c r="N4597" s="1"/>
      <c r="O4597" s="1"/>
      <c r="P4597" s="73"/>
      <c r="Q4597" s="73"/>
      <c r="R4597" s="111"/>
      <c r="S4597" s="75"/>
      <c r="T4597" s="73"/>
      <c r="X4597" s="189"/>
      <c r="Y4597" s="189"/>
      <c r="Z4597" s="100"/>
      <c r="AC4597" s="84"/>
      <c r="AD4597" s="189"/>
      <c r="AE4597" s="189"/>
      <c r="AF4597" s="189"/>
      <c r="AG4597" s="189"/>
      <c r="AH4597" s="189"/>
      <c r="AP4597" s="238"/>
    </row>
    <row r="4598" spans="2:42" s="45" customFormat="1" x14ac:dyDescent="0.2">
      <c r="B4598"/>
      <c r="C4598" s="27"/>
      <c r="D4598"/>
      <c r="E4598"/>
      <c r="F4598" s="73"/>
      <c r="G4598"/>
      <c r="H4598"/>
      <c r="I4598"/>
      <c r="J4598"/>
      <c r="K4598"/>
      <c r="L4598"/>
      <c r="M4598" s="2"/>
      <c r="N4598" s="1"/>
      <c r="O4598" s="1"/>
      <c r="P4598" s="73"/>
      <c r="Q4598" s="73"/>
      <c r="R4598" s="111"/>
      <c r="S4598" s="75"/>
      <c r="T4598" s="73"/>
      <c r="X4598" s="189"/>
      <c r="Y4598" s="189"/>
      <c r="Z4598" s="100"/>
      <c r="AC4598" s="84"/>
      <c r="AD4598" s="189"/>
      <c r="AE4598" s="189"/>
      <c r="AF4598" s="189"/>
      <c r="AG4598" s="189"/>
      <c r="AH4598" s="189"/>
      <c r="AP4598" s="238"/>
    </row>
    <row r="4599" spans="2:42" s="45" customFormat="1" x14ac:dyDescent="0.2">
      <c r="B4599"/>
      <c r="C4599" s="27"/>
      <c r="D4599"/>
      <c r="E4599"/>
      <c r="F4599" s="73"/>
      <c r="G4599"/>
      <c r="H4599"/>
      <c r="I4599"/>
      <c r="J4599"/>
      <c r="K4599"/>
      <c r="L4599"/>
      <c r="M4599" s="2"/>
      <c r="N4599" s="1"/>
      <c r="O4599" s="1"/>
      <c r="P4599" s="73"/>
      <c r="Q4599" s="73"/>
      <c r="R4599" s="111"/>
      <c r="S4599" s="75"/>
      <c r="T4599" s="73"/>
      <c r="X4599" s="189"/>
      <c r="Y4599" s="189"/>
      <c r="Z4599" s="100"/>
      <c r="AC4599" s="84"/>
      <c r="AD4599" s="189"/>
      <c r="AE4599" s="189"/>
      <c r="AF4599" s="189"/>
      <c r="AG4599" s="189"/>
      <c r="AH4599" s="189"/>
      <c r="AP4599" s="238"/>
    </row>
    <row r="4600" spans="2:42" s="45" customFormat="1" x14ac:dyDescent="0.2">
      <c r="B4600"/>
      <c r="C4600" s="27"/>
      <c r="D4600"/>
      <c r="E4600"/>
      <c r="F4600" s="73"/>
      <c r="G4600"/>
      <c r="H4600"/>
      <c r="I4600"/>
      <c r="J4600"/>
      <c r="K4600"/>
      <c r="L4600"/>
      <c r="M4600" s="2"/>
      <c r="N4600" s="1"/>
      <c r="O4600" s="1"/>
      <c r="P4600" s="73"/>
      <c r="Q4600" s="73"/>
      <c r="R4600" s="111"/>
      <c r="S4600" s="75"/>
      <c r="T4600" s="73"/>
      <c r="X4600" s="189"/>
      <c r="Y4600" s="189"/>
      <c r="Z4600" s="100"/>
      <c r="AC4600" s="84"/>
      <c r="AD4600" s="189"/>
      <c r="AE4600" s="189"/>
      <c r="AF4600" s="189"/>
      <c r="AG4600" s="189"/>
      <c r="AH4600" s="189"/>
      <c r="AP4600" s="238"/>
    </row>
    <row r="4601" spans="2:42" s="45" customFormat="1" x14ac:dyDescent="0.2">
      <c r="B4601"/>
      <c r="C4601" s="27"/>
      <c r="D4601"/>
      <c r="E4601"/>
      <c r="F4601" s="73"/>
      <c r="G4601"/>
      <c r="H4601"/>
      <c r="I4601"/>
      <c r="J4601"/>
      <c r="K4601"/>
      <c r="L4601"/>
      <c r="M4601" s="2"/>
      <c r="N4601" s="1"/>
      <c r="O4601" s="1"/>
      <c r="P4601" s="73"/>
      <c r="Q4601" s="73"/>
      <c r="R4601" s="111"/>
      <c r="S4601" s="75"/>
      <c r="T4601" s="73"/>
      <c r="X4601" s="189"/>
      <c r="Y4601" s="189"/>
      <c r="Z4601" s="100"/>
      <c r="AC4601" s="84"/>
      <c r="AD4601" s="189"/>
      <c r="AE4601" s="189"/>
      <c r="AF4601" s="189"/>
      <c r="AG4601" s="189"/>
      <c r="AH4601" s="189"/>
      <c r="AP4601" s="238"/>
    </row>
    <row r="4602" spans="2:42" s="45" customFormat="1" x14ac:dyDescent="0.2">
      <c r="B4602"/>
      <c r="C4602" s="27"/>
      <c r="D4602"/>
      <c r="E4602"/>
      <c r="F4602" s="73"/>
      <c r="G4602"/>
      <c r="H4602"/>
      <c r="I4602"/>
      <c r="J4602"/>
      <c r="K4602"/>
      <c r="L4602"/>
      <c r="M4602" s="2"/>
      <c r="N4602" s="1"/>
      <c r="O4602" s="1"/>
      <c r="P4602" s="73"/>
      <c r="Q4602" s="73"/>
      <c r="R4602" s="111"/>
      <c r="S4602" s="75"/>
      <c r="T4602" s="73"/>
      <c r="X4602" s="189"/>
      <c r="Y4602" s="189"/>
      <c r="Z4602" s="100"/>
      <c r="AC4602" s="84"/>
      <c r="AD4602" s="189"/>
      <c r="AE4602" s="189"/>
      <c r="AF4602" s="189"/>
      <c r="AG4602" s="189"/>
      <c r="AH4602" s="189"/>
      <c r="AP4602" s="238"/>
    </row>
    <row r="4603" spans="2:42" s="45" customFormat="1" x14ac:dyDescent="0.2">
      <c r="B4603"/>
      <c r="C4603" s="27"/>
      <c r="D4603"/>
      <c r="E4603"/>
      <c r="F4603" s="73"/>
      <c r="G4603"/>
      <c r="H4603"/>
      <c r="I4603"/>
      <c r="J4603"/>
      <c r="K4603"/>
      <c r="L4603"/>
      <c r="M4603" s="2"/>
      <c r="N4603" s="1"/>
      <c r="O4603" s="1"/>
      <c r="P4603" s="73"/>
      <c r="Q4603" s="73"/>
      <c r="R4603" s="111"/>
      <c r="S4603" s="75"/>
      <c r="T4603" s="73"/>
      <c r="X4603" s="189"/>
      <c r="Y4603" s="189"/>
      <c r="Z4603" s="100"/>
      <c r="AC4603" s="84"/>
      <c r="AD4603" s="189"/>
      <c r="AE4603" s="189"/>
      <c r="AF4603" s="189"/>
      <c r="AG4603" s="189"/>
      <c r="AH4603" s="189"/>
      <c r="AP4603" s="238"/>
    </row>
    <row r="4604" spans="2:42" s="45" customFormat="1" x14ac:dyDescent="0.2">
      <c r="B4604"/>
      <c r="C4604" s="27"/>
      <c r="D4604"/>
      <c r="E4604"/>
      <c r="F4604" s="73"/>
      <c r="G4604"/>
      <c r="H4604"/>
      <c r="I4604"/>
      <c r="J4604"/>
      <c r="K4604"/>
      <c r="L4604"/>
      <c r="M4604" s="2"/>
      <c r="N4604" s="1"/>
      <c r="O4604" s="1"/>
      <c r="P4604" s="73"/>
      <c r="Q4604" s="73"/>
      <c r="R4604" s="111"/>
      <c r="S4604" s="75"/>
      <c r="T4604" s="73"/>
      <c r="X4604" s="189"/>
      <c r="Y4604" s="189"/>
      <c r="Z4604" s="100"/>
      <c r="AC4604" s="84"/>
      <c r="AD4604" s="189"/>
      <c r="AE4604" s="189"/>
      <c r="AF4604" s="189"/>
      <c r="AG4604" s="189"/>
      <c r="AH4604" s="189"/>
      <c r="AP4604" s="238"/>
    </row>
    <row r="4605" spans="2:42" s="45" customFormat="1" x14ac:dyDescent="0.2">
      <c r="B4605"/>
      <c r="C4605" s="27"/>
      <c r="D4605"/>
      <c r="E4605"/>
      <c r="F4605" s="73"/>
      <c r="G4605"/>
      <c r="H4605"/>
      <c r="I4605"/>
      <c r="J4605"/>
      <c r="K4605"/>
      <c r="L4605"/>
      <c r="M4605" s="2"/>
      <c r="N4605" s="1"/>
      <c r="O4605" s="1"/>
      <c r="P4605" s="73"/>
      <c r="Q4605" s="73"/>
      <c r="R4605" s="111"/>
      <c r="S4605" s="75"/>
      <c r="T4605" s="73"/>
      <c r="X4605" s="189"/>
      <c r="Y4605" s="189"/>
      <c r="Z4605" s="100"/>
      <c r="AC4605" s="84"/>
      <c r="AD4605" s="189"/>
      <c r="AE4605" s="189"/>
      <c r="AF4605" s="189"/>
      <c r="AG4605" s="189"/>
      <c r="AH4605" s="189"/>
      <c r="AP4605" s="238"/>
    </row>
    <row r="4606" spans="2:42" s="45" customFormat="1" x14ac:dyDescent="0.2">
      <c r="B4606"/>
      <c r="C4606" s="27"/>
      <c r="D4606"/>
      <c r="E4606"/>
      <c r="F4606" s="73"/>
      <c r="G4606"/>
      <c r="H4606"/>
      <c r="I4606"/>
      <c r="J4606"/>
      <c r="K4606"/>
      <c r="L4606"/>
      <c r="M4606" s="2"/>
      <c r="N4606" s="1"/>
      <c r="O4606" s="1"/>
      <c r="P4606" s="73"/>
      <c r="Q4606" s="73"/>
      <c r="R4606" s="111"/>
      <c r="S4606" s="75"/>
      <c r="T4606" s="73"/>
      <c r="X4606" s="189"/>
      <c r="Y4606" s="189"/>
      <c r="Z4606" s="100"/>
      <c r="AC4606" s="84"/>
      <c r="AD4606" s="189"/>
      <c r="AE4606" s="189"/>
      <c r="AF4606" s="189"/>
      <c r="AG4606" s="189"/>
      <c r="AH4606" s="189"/>
      <c r="AP4606" s="238"/>
    </row>
    <row r="4607" spans="2:42" s="45" customFormat="1" x14ac:dyDescent="0.2">
      <c r="B4607"/>
      <c r="C4607" s="27"/>
      <c r="D4607"/>
      <c r="E4607"/>
      <c r="F4607" s="73"/>
      <c r="G4607"/>
      <c r="H4607"/>
      <c r="I4607"/>
      <c r="J4607"/>
      <c r="K4607"/>
      <c r="L4607"/>
      <c r="M4607" s="2"/>
      <c r="N4607" s="1"/>
      <c r="O4607" s="1"/>
      <c r="P4607" s="73"/>
      <c r="Q4607" s="73"/>
      <c r="R4607" s="111"/>
      <c r="S4607" s="75"/>
      <c r="T4607" s="73"/>
      <c r="X4607" s="189"/>
      <c r="Y4607" s="189"/>
      <c r="Z4607" s="100"/>
      <c r="AC4607" s="84"/>
      <c r="AD4607" s="189"/>
      <c r="AE4607" s="189"/>
      <c r="AF4607" s="189"/>
      <c r="AG4607" s="189"/>
      <c r="AH4607" s="189"/>
      <c r="AP4607" s="238"/>
    </row>
    <row r="4608" spans="2:42" s="45" customFormat="1" x14ac:dyDescent="0.2">
      <c r="B4608"/>
      <c r="C4608" s="27"/>
      <c r="D4608"/>
      <c r="E4608"/>
      <c r="F4608" s="73"/>
      <c r="G4608"/>
      <c r="H4608"/>
      <c r="I4608"/>
      <c r="J4608"/>
      <c r="K4608"/>
      <c r="L4608"/>
      <c r="M4608" s="2"/>
      <c r="N4608" s="1"/>
      <c r="O4608" s="1"/>
      <c r="P4608" s="73"/>
      <c r="Q4608" s="73"/>
      <c r="R4608" s="111"/>
      <c r="S4608" s="75"/>
      <c r="T4608" s="73"/>
      <c r="X4608" s="189"/>
      <c r="Y4608" s="189"/>
      <c r="Z4608" s="100"/>
      <c r="AC4608" s="84"/>
      <c r="AD4608" s="189"/>
      <c r="AE4608" s="189"/>
      <c r="AF4608" s="189"/>
      <c r="AG4608" s="189"/>
      <c r="AH4608" s="189"/>
      <c r="AP4608" s="238"/>
    </row>
    <row r="4609" spans="2:42" s="45" customFormat="1" x14ac:dyDescent="0.2">
      <c r="B4609"/>
      <c r="C4609" s="27"/>
      <c r="D4609"/>
      <c r="E4609"/>
      <c r="F4609" s="73"/>
      <c r="G4609"/>
      <c r="H4609"/>
      <c r="I4609"/>
      <c r="J4609"/>
      <c r="K4609"/>
      <c r="L4609"/>
      <c r="M4609" s="2"/>
      <c r="N4609" s="1"/>
      <c r="O4609" s="1"/>
      <c r="P4609" s="73"/>
      <c r="Q4609" s="73"/>
      <c r="R4609" s="111"/>
      <c r="S4609" s="75"/>
      <c r="T4609" s="73"/>
      <c r="X4609" s="189"/>
      <c r="Y4609" s="189"/>
      <c r="Z4609" s="100"/>
      <c r="AC4609" s="84"/>
      <c r="AD4609" s="189"/>
      <c r="AE4609" s="189"/>
      <c r="AF4609" s="189"/>
      <c r="AG4609" s="189"/>
      <c r="AH4609" s="189"/>
      <c r="AP4609" s="238"/>
    </row>
    <row r="4610" spans="2:42" s="45" customFormat="1" x14ac:dyDescent="0.2">
      <c r="B4610"/>
      <c r="C4610" s="27"/>
      <c r="D4610"/>
      <c r="E4610"/>
      <c r="F4610" s="73"/>
      <c r="G4610"/>
      <c r="H4610"/>
      <c r="I4610"/>
      <c r="J4610"/>
      <c r="K4610"/>
      <c r="L4610"/>
      <c r="M4610" s="2"/>
      <c r="N4610" s="1"/>
      <c r="O4610" s="1"/>
      <c r="P4610" s="73"/>
      <c r="Q4610" s="73"/>
      <c r="R4610" s="111"/>
      <c r="S4610" s="75"/>
      <c r="T4610" s="73"/>
      <c r="X4610" s="189"/>
      <c r="Y4610" s="189"/>
      <c r="Z4610" s="100"/>
      <c r="AC4610" s="84"/>
      <c r="AD4610" s="189"/>
      <c r="AE4610" s="189"/>
      <c r="AF4610" s="189"/>
      <c r="AG4610" s="189"/>
      <c r="AH4610" s="189"/>
      <c r="AP4610" s="238"/>
    </row>
    <row r="4611" spans="2:42" s="45" customFormat="1" x14ac:dyDescent="0.2">
      <c r="B4611"/>
      <c r="C4611" s="27"/>
      <c r="D4611"/>
      <c r="E4611"/>
      <c r="F4611" s="73"/>
      <c r="G4611"/>
      <c r="H4611"/>
      <c r="I4611"/>
      <c r="J4611"/>
      <c r="K4611"/>
      <c r="L4611"/>
      <c r="M4611" s="2"/>
      <c r="N4611" s="1"/>
      <c r="O4611" s="1"/>
      <c r="P4611" s="73"/>
      <c r="Q4611" s="73"/>
      <c r="R4611" s="111"/>
      <c r="S4611" s="75"/>
      <c r="T4611" s="73"/>
      <c r="X4611" s="189"/>
      <c r="Y4611" s="189"/>
      <c r="Z4611" s="100"/>
      <c r="AC4611" s="84"/>
      <c r="AD4611" s="189"/>
      <c r="AE4611" s="189"/>
      <c r="AF4611" s="189"/>
      <c r="AG4611" s="189"/>
      <c r="AH4611" s="189"/>
      <c r="AP4611" s="238"/>
    </row>
    <row r="4612" spans="2:42" s="45" customFormat="1" x14ac:dyDescent="0.2">
      <c r="B4612"/>
      <c r="C4612" s="27"/>
      <c r="D4612"/>
      <c r="E4612"/>
      <c r="F4612" s="73"/>
      <c r="G4612"/>
      <c r="H4612"/>
      <c r="I4612"/>
      <c r="J4612"/>
      <c r="K4612"/>
      <c r="L4612"/>
      <c r="M4612" s="2"/>
      <c r="N4612" s="1"/>
      <c r="O4612" s="1"/>
      <c r="P4612" s="73"/>
      <c r="Q4612" s="73"/>
      <c r="R4612" s="111"/>
      <c r="S4612" s="75"/>
      <c r="T4612" s="73"/>
      <c r="X4612" s="189"/>
      <c r="Y4612" s="189"/>
      <c r="Z4612" s="100"/>
      <c r="AC4612" s="84"/>
      <c r="AD4612" s="189"/>
      <c r="AE4612" s="189"/>
      <c r="AF4612" s="189"/>
      <c r="AG4612" s="189"/>
      <c r="AH4612" s="189"/>
      <c r="AP4612" s="238"/>
    </row>
    <row r="4613" spans="2:42" s="45" customFormat="1" x14ac:dyDescent="0.2">
      <c r="B4613"/>
      <c r="C4613" s="27"/>
      <c r="D4613"/>
      <c r="E4613"/>
      <c r="F4613" s="73"/>
      <c r="G4613"/>
      <c r="H4613"/>
      <c r="I4613"/>
      <c r="J4613"/>
      <c r="K4613"/>
      <c r="L4613"/>
      <c r="M4613" s="2"/>
      <c r="N4613" s="1"/>
      <c r="O4613" s="1"/>
      <c r="P4613" s="73"/>
      <c r="Q4613" s="73"/>
      <c r="R4613" s="111"/>
      <c r="S4613" s="75"/>
      <c r="T4613" s="73"/>
      <c r="X4613" s="189"/>
      <c r="Y4613" s="189"/>
      <c r="Z4613" s="100"/>
      <c r="AC4613" s="84"/>
      <c r="AD4613" s="189"/>
      <c r="AE4613" s="189"/>
      <c r="AF4613" s="189"/>
      <c r="AG4613" s="189"/>
      <c r="AH4613" s="189"/>
      <c r="AP4613" s="238"/>
    </row>
    <row r="4614" spans="2:42" s="45" customFormat="1" x14ac:dyDescent="0.2">
      <c r="B4614"/>
      <c r="C4614" s="27"/>
      <c r="D4614"/>
      <c r="E4614"/>
      <c r="F4614" s="73"/>
      <c r="G4614"/>
      <c r="H4614"/>
      <c r="I4614"/>
      <c r="J4614"/>
      <c r="K4614"/>
      <c r="L4614"/>
      <c r="M4614" s="2"/>
      <c r="N4614" s="1"/>
      <c r="O4614" s="1"/>
      <c r="P4614" s="73"/>
      <c r="Q4614" s="73"/>
      <c r="R4614" s="111"/>
      <c r="S4614" s="75"/>
      <c r="T4614" s="73"/>
      <c r="X4614" s="189"/>
      <c r="Y4614" s="189"/>
      <c r="Z4614" s="100"/>
      <c r="AC4614" s="84"/>
      <c r="AD4614" s="189"/>
      <c r="AE4614" s="189"/>
      <c r="AF4614" s="189"/>
      <c r="AG4614" s="189"/>
      <c r="AH4614" s="189"/>
      <c r="AP4614" s="238"/>
    </row>
    <row r="4615" spans="2:42" s="45" customFormat="1" x14ac:dyDescent="0.2">
      <c r="B4615"/>
      <c r="C4615" s="27"/>
      <c r="D4615"/>
      <c r="E4615"/>
      <c r="F4615" s="73"/>
      <c r="G4615"/>
      <c r="H4615"/>
      <c r="I4615"/>
      <c r="J4615"/>
      <c r="K4615"/>
      <c r="L4615"/>
      <c r="M4615" s="2"/>
      <c r="N4615" s="1"/>
      <c r="O4615" s="1"/>
      <c r="P4615" s="73"/>
      <c r="Q4615" s="73"/>
      <c r="R4615" s="111"/>
      <c r="S4615" s="75"/>
      <c r="T4615" s="73"/>
      <c r="X4615" s="189"/>
      <c r="Y4615" s="189"/>
      <c r="Z4615" s="100"/>
      <c r="AC4615" s="84"/>
      <c r="AD4615" s="189"/>
      <c r="AE4615" s="189"/>
      <c r="AF4615" s="189"/>
      <c r="AG4615" s="189"/>
      <c r="AH4615" s="189"/>
      <c r="AP4615" s="238"/>
    </row>
    <row r="4616" spans="2:42" s="45" customFormat="1" x14ac:dyDescent="0.2">
      <c r="B4616"/>
      <c r="C4616" s="27"/>
      <c r="D4616"/>
      <c r="E4616"/>
      <c r="F4616" s="73"/>
      <c r="G4616"/>
      <c r="H4616"/>
      <c r="I4616"/>
      <c r="J4616"/>
      <c r="K4616"/>
      <c r="L4616"/>
      <c r="M4616" s="2"/>
      <c r="N4616" s="1"/>
      <c r="O4616" s="1"/>
      <c r="P4616" s="73"/>
      <c r="Q4616" s="73"/>
      <c r="R4616" s="111"/>
      <c r="S4616" s="75"/>
      <c r="T4616" s="73"/>
      <c r="X4616" s="189"/>
      <c r="Y4616" s="189"/>
      <c r="Z4616" s="100"/>
      <c r="AC4616" s="84"/>
      <c r="AD4616" s="189"/>
      <c r="AE4616" s="189"/>
      <c r="AF4616" s="189"/>
      <c r="AG4616" s="189"/>
      <c r="AH4616" s="189"/>
      <c r="AP4616" s="238"/>
    </row>
    <row r="4617" spans="2:42" s="45" customFormat="1" x14ac:dyDescent="0.2">
      <c r="B4617"/>
      <c r="C4617" s="27"/>
      <c r="D4617"/>
      <c r="E4617"/>
      <c r="F4617" s="73"/>
      <c r="G4617"/>
      <c r="H4617"/>
      <c r="I4617"/>
      <c r="J4617"/>
      <c r="K4617"/>
      <c r="L4617"/>
      <c r="M4617" s="2"/>
      <c r="N4617" s="1"/>
      <c r="O4617" s="1"/>
      <c r="P4617" s="73"/>
      <c r="Q4617" s="73"/>
      <c r="R4617" s="111"/>
      <c r="S4617" s="75"/>
      <c r="T4617" s="73"/>
      <c r="X4617" s="189"/>
      <c r="Y4617" s="189"/>
      <c r="Z4617" s="100"/>
      <c r="AC4617" s="84"/>
      <c r="AD4617" s="189"/>
      <c r="AE4617" s="189"/>
      <c r="AF4617" s="189"/>
      <c r="AG4617" s="189"/>
      <c r="AH4617" s="189"/>
      <c r="AP4617" s="238"/>
    </row>
    <row r="4618" spans="2:42" s="45" customFormat="1" x14ac:dyDescent="0.2">
      <c r="B4618"/>
      <c r="C4618" s="27"/>
      <c r="D4618"/>
      <c r="E4618"/>
      <c r="F4618" s="73"/>
      <c r="G4618"/>
      <c r="H4618"/>
      <c r="I4618"/>
      <c r="J4618"/>
      <c r="K4618"/>
      <c r="L4618"/>
      <c r="M4618" s="2"/>
      <c r="N4618" s="1"/>
      <c r="O4618" s="1"/>
      <c r="P4618" s="73"/>
      <c r="Q4618" s="73"/>
      <c r="R4618" s="111"/>
      <c r="S4618" s="75"/>
      <c r="T4618" s="73"/>
      <c r="X4618" s="189"/>
      <c r="Y4618" s="189"/>
      <c r="Z4618" s="100"/>
      <c r="AC4618" s="84"/>
      <c r="AD4618" s="189"/>
      <c r="AE4618" s="189"/>
      <c r="AF4618" s="189"/>
      <c r="AG4618" s="189"/>
      <c r="AH4618" s="189"/>
      <c r="AP4618" s="238"/>
    </row>
    <row r="4619" spans="2:42" s="45" customFormat="1" x14ac:dyDescent="0.2">
      <c r="B4619"/>
      <c r="C4619" s="27"/>
      <c r="D4619"/>
      <c r="E4619"/>
      <c r="F4619" s="73"/>
      <c r="G4619"/>
      <c r="H4619"/>
      <c r="I4619"/>
      <c r="J4619"/>
      <c r="K4619"/>
      <c r="L4619"/>
      <c r="M4619" s="2"/>
      <c r="N4619" s="1"/>
      <c r="O4619" s="1"/>
      <c r="P4619" s="73"/>
      <c r="Q4619" s="73"/>
      <c r="R4619" s="111"/>
      <c r="S4619" s="75"/>
      <c r="T4619" s="73"/>
      <c r="X4619" s="189"/>
      <c r="Y4619" s="189"/>
      <c r="Z4619" s="100"/>
      <c r="AC4619" s="84"/>
      <c r="AD4619" s="189"/>
      <c r="AE4619" s="189"/>
      <c r="AF4619" s="189"/>
      <c r="AG4619" s="189"/>
      <c r="AH4619" s="189"/>
      <c r="AP4619" s="238"/>
    </row>
    <row r="4620" spans="2:42" s="45" customFormat="1" x14ac:dyDescent="0.2">
      <c r="B4620"/>
      <c r="C4620" s="27"/>
      <c r="D4620"/>
      <c r="E4620"/>
      <c r="F4620" s="73"/>
      <c r="G4620"/>
      <c r="H4620"/>
      <c r="I4620"/>
      <c r="J4620"/>
      <c r="K4620"/>
      <c r="L4620"/>
      <c r="M4620" s="2"/>
      <c r="N4620" s="1"/>
      <c r="O4620" s="1"/>
      <c r="P4620" s="73"/>
      <c r="Q4620" s="73"/>
      <c r="R4620" s="111"/>
      <c r="S4620" s="75"/>
      <c r="T4620" s="73"/>
      <c r="X4620" s="189"/>
      <c r="Y4620" s="189"/>
      <c r="Z4620" s="100"/>
      <c r="AC4620" s="84"/>
      <c r="AD4620" s="189"/>
      <c r="AE4620" s="189"/>
      <c r="AF4620" s="189"/>
      <c r="AG4620" s="189"/>
      <c r="AH4620" s="189"/>
      <c r="AP4620" s="238"/>
    </row>
    <row r="4621" spans="2:42" s="45" customFormat="1" x14ac:dyDescent="0.2">
      <c r="B4621"/>
      <c r="C4621" s="27"/>
      <c r="D4621"/>
      <c r="E4621"/>
      <c r="F4621" s="73"/>
      <c r="G4621"/>
      <c r="H4621"/>
      <c r="I4621"/>
      <c r="J4621"/>
      <c r="K4621"/>
      <c r="L4621"/>
      <c r="M4621" s="2"/>
      <c r="N4621" s="1"/>
      <c r="O4621" s="1"/>
      <c r="P4621" s="73"/>
      <c r="Q4621" s="73"/>
      <c r="R4621" s="111"/>
      <c r="S4621" s="75"/>
      <c r="T4621" s="73"/>
      <c r="X4621" s="189"/>
      <c r="Y4621" s="189"/>
      <c r="Z4621" s="100"/>
      <c r="AC4621" s="84"/>
      <c r="AD4621" s="189"/>
      <c r="AE4621" s="189"/>
      <c r="AF4621" s="189"/>
      <c r="AG4621" s="189"/>
      <c r="AH4621" s="189"/>
      <c r="AP4621" s="238"/>
    </row>
    <row r="4622" spans="2:42" s="45" customFormat="1" x14ac:dyDescent="0.2">
      <c r="B4622"/>
      <c r="C4622" s="27"/>
      <c r="D4622"/>
      <c r="E4622"/>
      <c r="F4622" s="73"/>
      <c r="G4622"/>
      <c r="H4622"/>
      <c r="I4622"/>
      <c r="J4622"/>
      <c r="K4622"/>
      <c r="L4622"/>
      <c r="M4622" s="2"/>
      <c r="N4622" s="1"/>
      <c r="O4622" s="1"/>
      <c r="P4622" s="73"/>
      <c r="Q4622" s="73"/>
      <c r="R4622" s="111"/>
      <c r="S4622" s="75"/>
      <c r="T4622" s="73"/>
      <c r="X4622" s="189"/>
      <c r="Y4622" s="189"/>
      <c r="Z4622" s="100"/>
      <c r="AC4622" s="84"/>
      <c r="AD4622" s="189"/>
      <c r="AE4622" s="189"/>
      <c r="AF4622" s="189"/>
      <c r="AG4622" s="189"/>
      <c r="AH4622" s="189"/>
      <c r="AP4622" s="238"/>
    </row>
    <row r="4623" spans="2:42" s="45" customFormat="1" x14ac:dyDescent="0.2">
      <c r="B4623"/>
      <c r="C4623" s="27"/>
      <c r="D4623"/>
      <c r="E4623"/>
      <c r="F4623" s="73"/>
      <c r="G4623"/>
      <c r="H4623"/>
      <c r="I4623"/>
      <c r="J4623"/>
      <c r="K4623"/>
      <c r="L4623"/>
      <c r="M4623" s="2"/>
      <c r="N4623" s="1"/>
      <c r="O4623" s="1"/>
      <c r="P4623" s="73"/>
      <c r="Q4623" s="73"/>
      <c r="R4623" s="111"/>
      <c r="S4623" s="75"/>
      <c r="T4623" s="73"/>
      <c r="X4623" s="189"/>
      <c r="Y4623" s="189"/>
      <c r="Z4623" s="100"/>
      <c r="AC4623" s="84"/>
      <c r="AD4623" s="189"/>
      <c r="AE4623" s="189"/>
      <c r="AF4623" s="189"/>
      <c r="AG4623" s="189"/>
      <c r="AH4623" s="189"/>
      <c r="AP4623" s="238"/>
    </row>
    <row r="4624" spans="2:42" s="45" customFormat="1" x14ac:dyDescent="0.2">
      <c r="B4624"/>
      <c r="C4624" s="27"/>
      <c r="D4624"/>
      <c r="E4624"/>
      <c r="F4624" s="73"/>
      <c r="G4624"/>
      <c r="H4624"/>
      <c r="I4624"/>
      <c r="J4624"/>
      <c r="K4624"/>
      <c r="L4624"/>
      <c r="M4624" s="2"/>
      <c r="N4624" s="1"/>
      <c r="O4624" s="1"/>
      <c r="P4624" s="73"/>
      <c r="Q4624" s="73"/>
      <c r="R4624" s="111"/>
      <c r="S4624" s="75"/>
      <c r="T4624" s="73"/>
      <c r="X4624" s="189"/>
      <c r="Y4624" s="189"/>
      <c r="Z4624" s="100"/>
      <c r="AC4624" s="84"/>
      <c r="AD4624" s="189"/>
      <c r="AE4624" s="189"/>
      <c r="AF4624" s="189"/>
      <c r="AG4624" s="189"/>
      <c r="AH4624" s="189"/>
      <c r="AP4624" s="238"/>
    </row>
    <row r="4625" spans="1:61" s="45" customFormat="1" x14ac:dyDescent="0.2">
      <c r="B4625"/>
      <c r="C4625" s="27"/>
      <c r="D4625"/>
      <c r="E4625"/>
      <c r="F4625" s="73"/>
      <c r="G4625"/>
      <c r="H4625"/>
      <c r="I4625"/>
      <c r="J4625"/>
      <c r="K4625"/>
      <c r="L4625"/>
      <c r="M4625" s="2"/>
      <c r="N4625" s="1"/>
      <c r="O4625" s="1"/>
      <c r="P4625" s="73"/>
      <c r="Q4625" s="73"/>
      <c r="R4625" s="111"/>
      <c r="S4625" s="75"/>
      <c r="T4625" s="73"/>
      <c r="X4625" s="189"/>
      <c r="Y4625" s="189"/>
      <c r="Z4625" s="100"/>
      <c r="AC4625" s="84"/>
      <c r="AD4625" s="189"/>
      <c r="AE4625" s="189"/>
      <c r="AF4625" s="189"/>
      <c r="AG4625" s="189"/>
      <c r="AH4625" s="189"/>
      <c r="AP4625" s="238"/>
    </row>
    <row r="4626" spans="1:61" s="45" customFormat="1" x14ac:dyDescent="0.2">
      <c r="B4626"/>
      <c r="C4626" s="27"/>
      <c r="D4626"/>
      <c r="E4626"/>
      <c r="F4626" s="73"/>
      <c r="G4626"/>
      <c r="H4626"/>
      <c r="I4626"/>
      <c r="J4626"/>
      <c r="K4626"/>
      <c r="L4626"/>
      <c r="M4626" s="2"/>
      <c r="N4626" s="1"/>
      <c r="O4626" s="1"/>
      <c r="P4626" s="73"/>
      <c r="Q4626" s="73"/>
      <c r="R4626" s="111"/>
      <c r="S4626" s="75"/>
      <c r="T4626" s="73"/>
      <c r="X4626" s="189"/>
      <c r="Y4626" s="189"/>
      <c r="Z4626" s="100"/>
      <c r="AC4626" s="84"/>
      <c r="AD4626" s="189"/>
      <c r="AE4626" s="189"/>
      <c r="AF4626" s="189"/>
      <c r="AG4626" s="189"/>
      <c r="AH4626" s="189"/>
      <c r="AP4626" s="238"/>
    </row>
    <row r="4627" spans="1:61" s="45" customFormat="1" x14ac:dyDescent="0.2">
      <c r="A4627"/>
      <c r="B4627"/>
      <c r="C4627" s="27"/>
      <c r="D4627"/>
      <c r="E4627"/>
      <c r="F4627" s="73"/>
      <c r="G4627"/>
      <c r="H4627"/>
      <c r="I4627"/>
      <c r="J4627"/>
      <c r="K4627"/>
      <c r="L4627"/>
      <c r="M4627" s="2"/>
      <c r="N4627" s="1"/>
      <c r="O4627" s="1"/>
      <c r="P4627" s="1"/>
      <c r="Q4627" s="73"/>
      <c r="R4627" s="111"/>
      <c r="S4627" s="75"/>
      <c r="T4627" s="73"/>
      <c r="X4627" s="189"/>
      <c r="Y4627" s="189"/>
      <c r="Z4627" s="100"/>
      <c r="AA4627" s="49"/>
      <c r="AB4627" s="49"/>
      <c r="AC4627" s="84"/>
      <c r="AD4627" s="27"/>
      <c r="AE4627" s="27"/>
      <c r="AF4627" s="27"/>
      <c r="AG4627" s="27"/>
      <c r="AH4627" s="27"/>
      <c r="AI4627" s="49"/>
      <c r="AJ4627" s="49"/>
      <c r="AK4627"/>
      <c r="AL4627"/>
      <c r="AM4627"/>
      <c r="AP4627" s="238"/>
    </row>
    <row r="4628" spans="1:61" x14ac:dyDescent="0.2">
      <c r="F4628" s="73"/>
      <c r="Q4628" s="73"/>
      <c r="R4628" s="111"/>
      <c r="S4628" s="75"/>
      <c r="T4628" s="73"/>
      <c r="U4628" s="45"/>
      <c r="V4628" s="45"/>
      <c r="AS4628" s="45"/>
      <c r="AT4628" s="45"/>
      <c r="AU4628" s="45"/>
      <c r="AV4628" s="45"/>
      <c r="AW4628" s="45"/>
      <c r="AX4628" s="45"/>
      <c r="AY4628" s="45"/>
      <c r="AZ4628" s="45"/>
      <c r="BA4628" s="45"/>
      <c r="BB4628" s="45"/>
      <c r="BC4628" s="45"/>
      <c r="BD4628" s="45"/>
      <c r="BE4628" s="45"/>
      <c r="BF4628" s="45"/>
      <c r="BG4628" s="45"/>
      <c r="BH4628" s="45"/>
      <c r="BI4628" s="45"/>
    </row>
    <row r="4629" spans="1:61" x14ac:dyDescent="0.2">
      <c r="F4629" s="73"/>
      <c r="Q4629" s="73"/>
      <c r="R4629" s="111"/>
      <c r="S4629" s="75"/>
      <c r="T4629" s="73"/>
      <c r="U4629" s="45"/>
      <c r="V4629" s="45"/>
      <c r="AS4629" s="45"/>
      <c r="AT4629" s="45"/>
      <c r="AU4629" s="45"/>
      <c r="AV4629" s="45"/>
      <c r="AW4629" s="45"/>
      <c r="AX4629" s="45"/>
      <c r="AY4629" s="45"/>
      <c r="AZ4629" s="45"/>
      <c r="BA4629" s="45"/>
      <c r="BB4629" s="45"/>
      <c r="BC4629" s="45"/>
      <c r="BD4629" s="45"/>
      <c r="BE4629" s="45"/>
      <c r="BF4629" s="45"/>
      <c r="BG4629" s="45"/>
      <c r="BH4629" s="45"/>
      <c r="BI4629" s="45"/>
    </row>
    <row r="4630" spans="1:61" x14ac:dyDescent="0.2">
      <c r="AS4630" s="45"/>
      <c r="AT4630" s="45"/>
      <c r="AU4630" s="45"/>
      <c r="AV4630" s="45"/>
      <c r="AW4630" s="45"/>
      <c r="AX4630" s="45"/>
      <c r="AY4630" s="45"/>
      <c r="AZ4630" s="45"/>
      <c r="BA4630" s="45"/>
      <c r="BB4630" s="45"/>
      <c r="BC4630" s="45"/>
      <c r="BD4630" s="45"/>
      <c r="BE4630" s="45"/>
      <c r="BF4630" s="45"/>
      <c r="BG4630" s="45"/>
      <c r="BH4630" s="45"/>
    </row>
    <row r="4631" spans="1:61" x14ac:dyDescent="0.2">
      <c r="AS4631" s="45"/>
      <c r="AT4631" s="45"/>
      <c r="AU4631" s="45"/>
      <c r="AV4631" s="45"/>
      <c r="AW4631" s="45"/>
      <c r="AX4631" s="45"/>
      <c r="AY4631" s="45"/>
      <c r="AZ4631" s="45"/>
      <c r="BA4631" s="45"/>
      <c r="BB4631" s="45"/>
      <c r="BC4631" s="45"/>
      <c r="BD4631" s="45"/>
      <c r="BE4631" s="45"/>
      <c r="BF4631" s="45"/>
      <c r="BG4631" s="45"/>
      <c r="BH4631" s="45"/>
    </row>
    <row r="4632" spans="1:61" x14ac:dyDescent="0.2">
      <c r="AS4632" s="45"/>
      <c r="AT4632" s="45"/>
      <c r="AU4632" s="45"/>
      <c r="AV4632" s="45"/>
      <c r="AW4632" s="45"/>
      <c r="AX4632" s="45"/>
      <c r="AY4632" s="45"/>
      <c r="AZ4632" s="45"/>
      <c r="BA4632" s="45"/>
      <c r="BB4632" s="45"/>
      <c r="BC4632" s="45"/>
      <c r="BD4632" s="45"/>
      <c r="BE4632" s="45"/>
      <c r="BF4632" s="45"/>
      <c r="BG4632" s="45"/>
      <c r="BH4632" s="45"/>
    </row>
    <row r="4633" spans="1:61" x14ac:dyDescent="0.2">
      <c r="AS4633" s="45"/>
      <c r="AT4633" s="45"/>
      <c r="AU4633" s="45"/>
      <c r="AV4633" s="45"/>
      <c r="AW4633" s="45"/>
      <c r="AX4633" s="45"/>
      <c r="AY4633" s="45"/>
      <c r="AZ4633" s="45"/>
      <c r="BA4633" s="45"/>
      <c r="BB4633" s="45"/>
      <c r="BC4633" s="45"/>
      <c r="BD4633" s="45"/>
      <c r="BE4633" s="45"/>
      <c r="BF4633" s="45"/>
      <c r="BG4633" s="45"/>
      <c r="BH4633" s="45"/>
    </row>
    <row r="4634" spans="1:61" x14ac:dyDescent="0.2">
      <c r="AS4634" s="45"/>
      <c r="AT4634" s="45"/>
      <c r="AU4634" s="45"/>
      <c r="AV4634" s="45"/>
      <c r="AW4634" s="45"/>
      <c r="AX4634" s="45"/>
      <c r="AY4634" s="45"/>
      <c r="AZ4634" s="45"/>
      <c r="BA4634" s="45"/>
      <c r="BB4634" s="45"/>
      <c r="BC4634" s="45"/>
      <c r="BD4634" s="45"/>
      <c r="BE4634" s="45"/>
      <c r="BF4634" s="45"/>
      <c r="BG4634" s="45"/>
      <c r="BH4634" s="45"/>
    </row>
    <row r="4635" spans="1:61" x14ac:dyDescent="0.2">
      <c r="AS4635" s="45"/>
      <c r="AT4635" s="45"/>
      <c r="AU4635" s="45"/>
      <c r="AV4635" s="45"/>
      <c r="AW4635" s="45"/>
      <c r="AX4635" s="45"/>
      <c r="AY4635" s="45"/>
      <c r="AZ4635" s="45"/>
      <c r="BA4635" s="45"/>
      <c r="BB4635" s="45"/>
      <c r="BC4635" s="45"/>
      <c r="BD4635" s="45"/>
      <c r="BE4635" s="45"/>
      <c r="BF4635" s="45"/>
      <c r="BG4635" s="45"/>
      <c r="BH4635" s="45"/>
    </row>
    <row r="4636" spans="1:61" x14ac:dyDescent="0.2">
      <c r="AS4636" s="45"/>
      <c r="AT4636" s="45"/>
      <c r="AU4636" s="45"/>
      <c r="AV4636" s="45"/>
      <c r="AW4636" s="45"/>
      <c r="AX4636" s="45"/>
      <c r="AY4636" s="45"/>
      <c r="AZ4636" s="45"/>
      <c r="BA4636" s="45"/>
      <c r="BB4636" s="45"/>
      <c r="BC4636" s="45"/>
      <c r="BD4636" s="45"/>
      <c r="BE4636" s="45"/>
      <c r="BF4636" s="45"/>
      <c r="BG4636" s="45"/>
      <c r="BH4636" s="45"/>
    </row>
    <row r="4637" spans="1:61" x14ac:dyDescent="0.2">
      <c r="AS4637" s="45"/>
      <c r="AT4637" s="45"/>
      <c r="AU4637" s="45"/>
      <c r="AV4637" s="45"/>
      <c r="AW4637" s="45"/>
      <c r="AX4637" s="45"/>
      <c r="AY4637" s="45"/>
      <c r="AZ4637" s="45"/>
      <c r="BA4637" s="45"/>
      <c r="BB4637" s="45"/>
      <c r="BC4637" s="45"/>
      <c r="BD4637" s="45"/>
      <c r="BE4637" s="45"/>
      <c r="BF4637" s="45"/>
      <c r="BG4637" s="45"/>
      <c r="BH4637" s="45"/>
    </row>
    <row r="4638" spans="1:61" x14ac:dyDescent="0.2">
      <c r="AS4638" s="45"/>
      <c r="AT4638" s="45"/>
      <c r="AU4638" s="45"/>
      <c r="AV4638" s="45"/>
      <c r="AW4638" s="45"/>
      <c r="AX4638" s="45"/>
      <c r="AY4638" s="45"/>
      <c r="AZ4638" s="45"/>
      <c r="BA4638" s="45"/>
      <c r="BB4638" s="45"/>
      <c r="BC4638" s="45"/>
      <c r="BD4638" s="45"/>
      <c r="BE4638" s="45"/>
      <c r="BF4638" s="45"/>
      <c r="BG4638" s="45"/>
      <c r="BH4638" s="45"/>
    </row>
    <row r="4639" spans="1:61" x14ac:dyDescent="0.2">
      <c r="AS4639" s="45"/>
      <c r="AT4639" s="45"/>
      <c r="AU4639" s="45"/>
      <c r="AV4639" s="45"/>
      <c r="AW4639" s="45"/>
      <c r="AX4639" s="45"/>
      <c r="AY4639" s="45"/>
      <c r="AZ4639" s="45"/>
      <c r="BA4639" s="45"/>
      <c r="BB4639" s="45"/>
      <c r="BC4639" s="45"/>
      <c r="BD4639" s="45"/>
      <c r="BE4639" s="45"/>
      <c r="BF4639" s="45"/>
      <c r="BG4639" s="45"/>
      <c r="BH4639" s="45"/>
    </row>
    <row r="4640" spans="1:61" x14ac:dyDescent="0.2">
      <c r="AS4640" s="45"/>
      <c r="AT4640" s="45"/>
      <c r="AU4640" s="45"/>
      <c r="AV4640" s="45"/>
      <c r="AW4640" s="45"/>
      <c r="AX4640" s="45"/>
      <c r="AY4640" s="45"/>
      <c r="AZ4640" s="45"/>
      <c r="BA4640" s="45"/>
      <c r="BB4640" s="45"/>
      <c r="BC4640" s="45"/>
      <c r="BD4640" s="45"/>
      <c r="BE4640" s="45"/>
      <c r="BF4640" s="45"/>
      <c r="BG4640" s="45"/>
      <c r="BH4640" s="45"/>
    </row>
    <row r="4641" spans="45:60" x14ac:dyDescent="0.2">
      <c r="AS4641" s="45"/>
      <c r="AT4641" s="45"/>
      <c r="AU4641" s="45"/>
      <c r="AV4641" s="45"/>
      <c r="AW4641" s="45"/>
      <c r="AX4641" s="45"/>
      <c r="AY4641" s="45"/>
      <c r="AZ4641" s="45"/>
      <c r="BA4641" s="45"/>
      <c r="BB4641" s="45"/>
      <c r="BC4641" s="45"/>
      <c r="BD4641" s="45"/>
      <c r="BE4641" s="45"/>
      <c r="BF4641" s="45"/>
      <c r="BG4641" s="45"/>
      <c r="BH4641" s="45"/>
    </row>
    <row r="4642" spans="45:60" x14ac:dyDescent="0.2">
      <c r="AS4642" s="45"/>
      <c r="AT4642" s="45"/>
      <c r="AU4642" s="45"/>
      <c r="AV4642" s="45"/>
      <c r="AW4642" s="45"/>
      <c r="AX4642" s="45"/>
      <c r="AY4642" s="45"/>
      <c r="AZ4642" s="45"/>
      <c r="BA4642" s="45"/>
      <c r="BB4642" s="45"/>
      <c r="BC4642" s="45"/>
      <c r="BD4642" s="45"/>
      <c r="BE4642" s="45"/>
      <c r="BF4642" s="45"/>
      <c r="BG4642" s="45"/>
      <c r="BH4642" s="45"/>
    </row>
    <row r="4643" spans="45:60" x14ac:dyDescent="0.2">
      <c r="AS4643" s="45"/>
      <c r="AT4643" s="45"/>
      <c r="AU4643" s="45"/>
      <c r="AV4643" s="45"/>
      <c r="AW4643" s="45"/>
      <c r="AX4643" s="45"/>
      <c r="AY4643" s="45"/>
      <c r="AZ4643" s="45"/>
      <c r="BA4643" s="45"/>
      <c r="BB4643" s="45"/>
      <c r="BC4643" s="45"/>
      <c r="BD4643" s="45"/>
      <c r="BE4643" s="45"/>
      <c r="BF4643" s="45"/>
      <c r="BG4643" s="45"/>
      <c r="BH4643" s="45"/>
    </row>
    <row r="4644" spans="45:60" x14ac:dyDescent="0.2">
      <c r="AS4644" s="45"/>
      <c r="AT4644" s="45"/>
      <c r="AU4644" s="45"/>
      <c r="AV4644" s="45"/>
      <c r="AW4644" s="45"/>
      <c r="AX4644" s="45"/>
      <c r="AY4644" s="45"/>
      <c r="AZ4644" s="45"/>
      <c r="BA4644" s="45"/>
      <c r="BB4644" s="45"/>
      <c r="BC4644" s="45"/>
      <c r="BD4644" s="45"/>
      <c r="BE4644" s="45"/>
      <c r="BF4644" s="45"/>
      <c r="BG4644" s="45"/>
      <c r="BH4644" s="45"/>
    </row>
    <row r="4645" spans="45:60" x14ac:dyDescent="0.2">
      <c r="AS4645" s="45"/>
      <c r="AT4645" s="45"/>
      <c r="AU4645" s="45"/>
      <c r="AV4645" s="45"/>
      <c r="AW4645" s="45"/>
      <c r="AX4645" s="45"/>
      <c r="AY4645" s="45"/>
      <c r="AZ4645" s="45"/>
      <c r="BA4645" s="45"/>
      <c r="BB4645" s="45"/>
      <c r="BC4645" s="45"/>
      <c r="BD4645" s="45"/>
      <c r="BE4645" s="45"/>
      <c r="BF4645" s="45"/>
      <c r="BG4645" s="45"/>
      <c r="BH4645" s="45"/>
    </row>
    <row r="4646" spans="45:60" x14ac:dyDescent="0.2">
      <c r="AS4646" s="45"/>
      <c r="AT4646" s="45"/>
      <c r="AU4646" s="45"/>
      <c r="AV4646" s="45"/>
      <c r="AW4646" s="45"/>
      <c r="AX4646" s="45"/>
      <c r="AY4646" s="45"/>
      <c r="AZ4646" s="45"/>
      <c r="BA4646" s="45"/>
      <c r="BB4646" s="45"/>
      <c r="BC4646" s="45"/>
      <c r="BD4646" s="45"/>
      <c r="BE4646" s="45"/>
      <c r="BF4646" s="45"/>
      <c r="BG4646" s="45"/>
      <c r="BH4646" s="45"/>
    </row>
    <row r="4647" spans="45:60" x14ac:dyDescent="0.2">
      <c r="AS4647" s="45"/>
      <c r="AT4647" s="45"/>
      <c r="AU4647" s="45"/>
      <c r="AV4647" s="45"/>
      <c r="AW4647" s="45"/>
      <c r="AX4647" s="45"/>
      <c r="AY4647" s="45"/>
      <c r="AZ4647" s="45"/>
      <c r="BA4647" s="45"/>
      <c r="BB4647" s="45"/>
      <c r="BC4647" s="45"/>
      <c r="BD4647" s="45"/>
      <c r="BE4647" s="45"/>
      <c r="BF4647" s="45"/>
      <c r="BG4647" s="45"/>
      <c r="BH4647" s="45"/>
    </row>
    <row r="4648" spans="45:60" x14ac:dyDescent="0.2">
      <c r="AS4648" s="45"/>
      <c r="AT4648" s="45"/>
      <c r="AU4648" s="45"/>
      <c r="AV4648" s="45"/>
      <c r="AW4648" s="45"/>
      <c r="AX4648" s="45"/>
      <c r="AY4648" s="45"/>
      <c r="AZ4648" s="45"/>
      <c r="BA4648" s="45"/>
      <c r="BB4648" s="45"/>
      <c r="BC4648" s="45"/>
      <c r="BD4648" s="45"/>
      <c r="BE4648" s="45"/>
      <c r="BF4648" s="45"/>
      <c r="BG4648" s="45"/>
      <c r="BH4648" s="45"/>
    </row>
    <row r="4649" spans="45:60" x14ac:dyDescent="0.2">
      <c r="AS4649" s="45"/>
      <c r="AT4649" s="45"/>
      <c r="AU4649" s="45"/>
      <c r="AV4649" s="45"/>
      <c r="AW4649" s="45"/>
      <c r="AX4649" s="45"/>
      <c r="AY4649" s="45"/>
      <c r="AZ4649" s="45"/>
      <c r="BA4649" s="45"/>
      <c r="BB4649" s="45"/>
      <c r="BC4649" s="45"/>
      <c r="BD4649" s="45"/>
      <c r="BE4649" s="45"/>
      <c r="BF4649" s="45"/>
      <c r="BG4649" s="45"/>
      <c r="BH4649" s="45"/>
    </row>
    <row r="4650" spans="45:60" x14ac:dyDescent="0.2">
      <c r="AS4650" s="45"/>
      <c r="AT4650" s="45"/>
      <c r="AU4650" s="45"/>
      <c r="AV4650" s="45"/>
      <c r="AW4650" s="45"/>
      <c r="AX4650" s="45"/>
      <c r="AY4650" s="45"/>
      <c r="AZ4650" s="45"/>
      <c r="BA4650" s="45"/>
      <c r="BB4650" s="45"/>
      <c r="BC4650" s="45"/>
      <c r="BD4650" s="45"/>
      <c r="BE4650" s="45"/>
      <c r="BF4650" s="45"/>
      <c r="BG4650" s="45"/>
      <c r="BH4650" s="45"/>
    </row>
    <row r="4651" spans="45:60" x14ac:dyDescent="0.2">
      <c r="AS4651" s="45"/>
      <c r="AT4651" s="45"/>
      <c r="AU4651" s="45"/>
      <c r="AV4651" s="45"/>
      <c r="AW4651" s="45"/>
      <c r="AX4651" s="45"/>
      <c r="AY4651" s="45"/>
      <c r="AZ4651" s="45"/>
      <c r="BA4651" s="45"/>
      <c r="BB4651" s="45"/>
      <c r="BC4651" s="45"/>
      <c r="BD4651" s="45"/>
      <c r="BE4651" s="45"/>
      <c r="BF4651" s="45"/>
      <c r="BG4651" s="45"/>
      <c r="BH4651" s="45"/>
    </row>
    <row r="4652" spans="45:60" x14ac:dyDescent="0.2">
      <c r="AS4652" s="45"/>
      <c r="AT4652" s="45"/>
      <c r="AU4652" s="45"/>
      <c r="AV4652" s="45"/>
      <c r="AW4652" s="45"/>
      <c r="AX4652" s="45"/>
      <c r="AY4652" s="45"/>
      <c r="AZ4652" s="45"/>
      <c r="BA4652" s="45"/>
      <c r="BB4652" s="45"/>
      <c r="BC4652" s="45"/>
      <c r="BD4652" s="45"/>
      <c r="BE4652" s="45"/>
      <c r="BF4652" s="45"/>
      <c r="BG4652" s="45"/>
      <c r="BH4652" s="45"/>
    </row>
    <row r="4653" spans="45:60" x14ac:dyDescent="0.2">
      <c r="AS4653" s="45"/>
      <c r="AT4653" s="45"/>
      <c r="AU4653" s="45"/>
      <c r="AV4653" s="45"/>
      <c r="AW4653" s="45"/>
      <c r="AX4653" s="45"/>
      <c r="AY4653" s="45"/>
      <c r="AZ4653" s="45"/>
      <c r="BA4653" s="45"/>
      <c r="BB4653" s="45"/>
      <c r="BC4653" s="45"/>
      <c r="BD4653" s="45"/>
      <c r="BE4653" s="45"/>
      <c r="BF4653" s="45"/>
      <c r="BG4653" s="45"/>
      <c r="BH4653" s="45"/>
    </row>
    <row r="4654" spans="45:60" x14ac:dyDescent="0.2">
      <c r="AS4654" s="45"/>
      <c r="AT4654" s="45"/>
      <c r="AU4654" s="45"/>
      <c r="AV4654" s="45"/>
      <c r="AW4654" s="45"/>
      <c r="AX4654" s="45"/>
      <c r="AY4654" s="45"/>
      <c r="AZ4654" s="45"/>
      <c r="BA4654" s="45"/>
      <c r="BB4654" s="45"/>
      <c r="BC4654" s="45"/>
      <c r="BD4654" s="45"/>
      <c r="BE4654" s="45"/>
      <c r="BF4654" s="45"/>
      <c r="BG4654" s="45"/>
      <c r="BH4654" s="45"/>
    </row>
    <row r="4655" spans="45:60" x14ac:dyDescent="0.2">
      <c r="AS4655" s="45"/>
      <c r="AT4655" s="45"/>
      <c r="AU4655" s="45"/>
      <c r="AV4655" s="45"/>
      <c r="AW4655" s="45"/>
      <c r="AX4655" s="45"/>
      <c r="AY4655" s="45"/>
      <c r="AZ4655" s="45"/>
      <c r="BA4655" s="45"/>
      <c r="BB4655" s="45"/>
      <c r="BC4655" s="45"/>
      <c r="BD4655" s="45"/>
      <c r="BE4655" s="45"/>
      <c r="BF4655" s="45"/>
      <c r="BG4655" s="45"/>
      <c r="BH4655" s="45"/>
    </row>
    <row r="4656" spans="45:60" x14ac:dyDescent="0.2">
      <c r="AS4656" s="45"/>
      <c r="AT4656" s="45"/>
      <c r="AU4656" s="45"/>
      <c r="AV4656" s="45"/>
      <c r="AW4656" s="45"/>
      <c r="AX4656" s="45"/>
      <c r="AY4656" s="45"/>
      <c r="AZ4656" s="45"/>
      <c r="BA4656" s="45"/>
      <c r="BB4656" s="45"/>
      <c r="BC4656" s="45"/>
      <c r="BD4656" s="45"/>
      <c r="BE4656" s="45"/>
      <c r="BF4656" s="45"/>
      <c r="BG4656" s="45"/>
      <c r="BH4656" s="45"/>
    </row>
    <row r="4657" spans="45:60" x14ac:dyDescent="0.2">
      <c r="AS4657" s="45"/>
      <c r="AT4657" s="45"/>
      <c r="AU4657" s="45"/>
      <c r="AV4657" s="45"/>
      <c r="AW4657" s="45"/>
      <c r="AX4657" s="45"/>
      <c r="AY4657" s="45"/>
      <c r="AZ4657" s="45"/>
      <c r="BA4657" s="45"/>
      <c r="BB4657" s="45"/>
      <c r="BC4657" s="45"/>
      <c r="BD4657" s="45"/>
      <c r="BE4657" s="45"/>
      <c r="BF4657" s="45"/>
      <c r="BG4657" s="45"/>
      <c r="BH4657" s="45"/>
    </row>
    <row r="4658" spans="45:60" x14ac:dyDescent="0.2">
      <c r="AS4658" s="45"/>
      <c r="AT4658" s="45"/>
      <c r="AU4658" s="45"/>
      <c r="AV4658" s="45"/>
      <c r="AW4658" s="45"/>
      <c r="AX4658" s="45"/>
      <c r="AY4658" s="45"/>
      <c r="AZ4658" s="45"/>
      <c r="BA4658" s="45"/>
      <c r="BB4658" s="45"/>
      <c r="BC4658" s="45"/>
      <c r="BD4658" s="45"/>
      <c r="BE4658" s="45"/>
      <c r="BF4658" s="45"/>
      <c r="BG4658" s="45"/>
      <c r="BH4658" s="45"/>
    </row>
    <row r="4659" spans="45:60" x14ac:dyDescent="0.2">
      <c r="AS4659" s="45"/>
      <c r="AT4659" s="45"/>
      <c r="AU4659" s="45"/>
      <c r="AV4659" s="45"/>
      <c r="AW4659" s="45"/>
      <c r="AX4659" s="45"/>
      <c r="AY4659" s="45"/>
      <c r="AZ4659" s="45"/>
      <c r="BA4659" s="45"/>
      <c r="BB4659" s="45"/>
      <c r="BC4659" s="45"/>
      <c r="BD4659" s="45"/>
      <c r="BE4659" s="45"/>
      <c r="BF4659" s="45"/>
      <c r="BG4659" s="45"/>
      <c r="BH4659" s="45"/>
    </row>
    <row r="4660" spans="45:60" x14ac:dyDescent="0.2">
      <c r="AS4660" s="45"/>
      <c r="AT4660" s="45"/>
      <c r="AU4660" s="45"/>
      <c r="AV4660" s="45"/>
      <c r="AW4660" s="45"/>
      <c r="AX4660" s="45"/>
      <c r="AY4660" s="45"/>
      <c r="AZ4660" s="45"/>
      <c r="BA4660" s="45"/>
      <c r="BB4660" s="45"/>
      <c r="BC4660" s="45"/>
      <c r="BD4660" s="45"/>
      <c r="BE4660" s="45"/>
      <c r="BF4660" s="45"/>
      <c r="BG4660" s="45"/>
      <c r="BH4660" s="45"/>
    </row>
    <row r="4661" spans="45:60" x14ac:dyDescent="0.2">
      <c r="AS4661" s="45"/>
      <c r="AT4661" s="45"/>
      <c r="AU4661" s="45"/>
      <c r="AV4661" s="45"/>
      <c r="AW4661" s="45"/>
      <c r="AX4661" s="45"/>
      <c r="AY4661" s="45"/>
      <c r="AZ4661" s="45"/>
      <c r="BA4661" s="45"/>
      <c r="BB4661" s="45"/>
      <c r="BC4661" s="45"/>
      <c r="BD4661" s="45"/>
      <c r="BE4661" s="45"/>
      <c r="BF4661" s="45"/>
      <c r="BG4661" s="45"/>
      <c r="BH4661" s="45"/>
    </row>
    <row r="4662" spans="45:60" x14ac:dyDescent="0.2">
      <c r="AS4662" s="45"/>
      <c r="AT4662" s="45"/>
      <c r="AU4662" s="45"/>
      <c r="AV4662" s="45"/>
      <c r="AW4662" s="45"/>
      <c r="AX4662" s="45"/>
      <c r="AY4662" s="45"/>
      <c r="AZ4662" s="45"/>
      <c r="BA4662" s="45"/>
      <c r="BB4662" s="45"/>
      <c r="BC4662" s="45"/>
      <c r="BD4662" s="45"/>
      <c r="BE4662" s="45"/>
      <c r="BF4662" s="45"/>
      <c r="BG4662" s="45"/>
      <c r="BH4662" s="45"/>
    </row>
    <row r="4663" spans="45:60" x14ac:dyDescent="0.2">
      <c r="AS4663" s="45"/>
      <c r="AT4663" s="45"/>
      <c r="AU4663" s="45"/>
      <c r="AV4663" s="45"/>
      <c r="AW4663" s="45"/>
      <c r="AX4663" s="45"/>
      <c r="AY4663" s="45"/>
      <c r="AZ4663" s="45"/>
      <c r="BA4663" s="45"/>
      <c r="BB4663" s="45"/>
      <c r="BC4663" s="45"/>
      <c r="BD4663" s="45"/>
      <c r="BE4663" s="45"/>
      <c r="BF4663" s="45"/>
      <c r="BG4663" s="45"/>
      <c r="BH4663" s="45"/>
    </row>
    <row r="4664" spans="45:60" x14ac:dyDescent="0.2">
      <c r="AS4664" s="45"/>
      <c r="AT4664" s="45"/>
      <c r="AU4664" s="45"/>
      <c r="AV4664" s="45"/>
      <c r="AW4664" s="45"/>
      <c r="AX4664" s="45"/>
      <c r="AY4664" s="45"/>
      <c r="AZ4664" s="45"/>
      <c r="BA4664" s="45"/>
      <c r="BB4664" s="45"/>
      <c r="BC4664" s="45"/>
      <c r="BD4664" s="45"/>
      <c r="BE4664" s="45"/>
      <c r="BF4664" s="45"/>
      <c r="BG4664" s="45"/>
      <c r="BH4664" s="45"/>
    </row>
    <row r="4665" spans="45:60" x14ac:dyDescent="0.2">
      <c r="AS4665" s="45"/>
      <c r="AT4665" s="45"/>
      <c r="AU4665" s="45"/>
      <c r="AV4665" s="45"/>
      <c r="AW4665" s="45"/>
      <c r="AX4665" s="45"/>
      <c r="AY4665" s="45"/>
      <c r="AZ4665" s="45"/>
      <c r="BA4665" s="45"/>
      <c r="BB4665" s="45"/>
      <c r="BC4665" s="45"/>
      <c r="BD4665" s="45"/>
      <c r="BE4665" s="45"/>
      <c r="BF4665" s="45"/>
      <c r="BG4665" s="45"/>
      <c r="BH4665" s="45"/>
    </row>
    <row r="4666" spans="45:60" x14ac:dyDescent="0.2">
      <c r="AS4666" s="45"/>
      <c r="AT4666" s="45"/>
      <c r="AU4666" s="45"/>
      <c r="AV4666" s="45"/>
      <c r="AW4666" s="45"/>
      <c r="AX4666" s="45"/>
      <c r="AY4666" s="45"/>
      <c r="AZ4666" s="45"/>
      <c r="BA4666" s="45"/>
      <c r="BB4666" s="45"/>
      <c r="BC4666" s="45"/>
      <c r="BD4666" s="45"/>
      <c r="BE4666" s="45"/>
      <c r="BF4666" s="45"/>
      <c r="BG4666" s="45"/>
      <c r="BH4666" s="45"/>
    </row>
    <row r="4667" spans="45:60" x14ac:dyDescent="0.2">
      <c r="AS4667" s="45"/>
      <c r="AT4667" s="45"/>
      <c r="AU4667" s="45"/>
      <c r="AV4667" s="45"/>
      <c r="AW4667" s="45"/>
      <c r="AX4667" s="45"/>
      <c r="AY4667" s="45"/>
      <c r="AZ4667" s="45"/>
      <c r="BA4667" s="45"/>
      <c r="BB4667" s="45"/>
      <c r="BC4667" s="45"/>
      <c r="BD4667" s="45"/>
      <c r="BE4667" s="45"/>
      <c r="BF4667" s="45"/>
      <c r="BG4667" s="45"/>
      <c r="BH4667" s="45"/>
    </row>
    <row r="4668" spans="45:60" x14ac:dyDescent="0.2">
      <c r="AS4668" s="45"/>
      <c r="AT4668" s="45"/>
      <c r="AU4668" s="45"/>
      <c r="AV4668" s="45"/>
      <c r="AW4668" s="45"/>
      <c r="AX4668" s="45"/>
      <c r="AY4668" s="45"/>
      <c r="AZ4668" s="45"/>
      <c r="BA4668" s="45"/>
      <c r="BB4668" s="45"/>
      <c r="BC4668" s="45"/>
      <c r="BD4668" s="45"/>
      <c r="BE4668" s="45"/>
      <c r="BF4668" s="45"/>
      <c r="BG4668" s="45"/>
      <c r="BH4668" s="45"/>
    </row>
    <row r="4669" spans="45:60" x14ac:dyDescent="0.2">
      <c r="AS4669" s="45"/>
      <c r="AT4669" s="45"/>
      <c r="AU4669" s="45"/>
      <c r="AV4669" s="45"/>
      <c r="AW4669" s="45"/>
      <c r="AX4669" s="45"/>
      <c r="AY4669" s="45"/>
      <c r="AZ4669" s="45"/>
      <c r="BA4669" s="45"/>
      <c r="BB4669" s="45"/>
      <c r="BC4669" s="45"/>
      <c r="BD4669" s="45"/>
      <c r="BE4669" s="45"/>
      <c r="BF4669" s="45"/>
      <c r="BG4669" s="45"/>
      <c r="BH4669" s="45"/>
    </row>
    <row r="4670" spans="45:60" x14ac:dyDescent="0.2">
      <c r="AS4670" s="45"/>
      <c r="AT4670" s="45"/>
      <c r="AU4670" s="45"/>
      <c r="AV4670" s="45"/>
      <c r="AW4670" s="45"/>
      <c r="AX4670" s="45"/>
      <c r="AY4670" s="45"/>
      <c r="AZ4670" s="45"/>
      <c r="BA4670" s="45"/>
      <c r="BB4670" s="45"/>
      <c r="BC4670" s="45"/>
      <c r="BD4670" s="45"/>
      <c r="BE4670" s="45"/>
      <c r="BF4670" s="45"/>
      <c r="BG4670" s="45"/>
      <c r="BH4670" s="45"/>
    </row>
    <row r="4671" spans="45:60" x14ac:dyDescent="0.2">
      <c r="AS4671" s="45"/>
      <c r="AT4671" s="45"/>
      <c r="AU4671" s="45"/>
      <c r="AV4671" s="45"/>
      <c r="AW4671" s="45"/>
      <c r="AX4671" s="45"/>
      <c r="AY4671" s="45"/>
      <c r="AZ4671" s="45"/>
      <c r="BA4671" s="45"/>
      <c r="BB4671" s="45"/>
      <c r="BC4671" s="45"/>
      <c r="BD4671" s="45"/>
      <c r="BE4671" s="45"/>
      <c r="BF4671" s="45"/>
      <c r="BG4671" s="45"/>
      <c r="BH4671" s="45"/>
    </row>
    <row r="4672" spans="45:60" x14ac:dyDescent="0.2">
      <c r="AS4672" s="45"/>
      <c r="AT4672" s="45"/>
      <c r="AU4672" s="45"/>
      <c r="AV4672" s="45"/>
      <c r="AW4672" s="45"/>
      <c r="AX4672" s="45"/>
      <c r="AY4672" s="45"/>
      <c r="AZ4672" s="45"/>
      <c r="BA4672" s="45"/>
      <c r="BB4672" s="45"/>
      <c r="BC4672" s="45"/>
      <c r="BD4672" s="45"/>
      <c r="BE4672" s="45"/>
      <c r="BF4672" s="45"/>
      <c r="BG4672" s="45"/>
      <c r="BH4672" s="45"/>
    </row>
    <row r="4673" spans="45:60" x14ac:dyDescent="0.2">
      <c r="AS4673" s="45"/>
      <c r="AT4673" s="45"/>
      <c r="AU4673" s="45"/>
      <c r="AV4673" s="45"/>
      <c r="AW4673" s="45"/>
      <c r="AX4673" s="45"/>
      <c r="AY4673" s="45"/>
      <c r="AZ4673" s="45"/>
      <c r="BA4673" s="45"/>
      <c r="BB4673" s="45"/>
      <c r="BC4673" s="45"/>
      <c r="BD4673" s="45"/>
      <c r="BE4673" s="45"/>
      <c r="BF4673" s="45"/>
      <c r="BG4673" s="45"/>
      <c r="BH4673" s="45"/>
    </row>
    <row r="4674" spans="45:60" x14ac:dyDescent="0.2">
      <c r="AS4674" s="45"/>
      <c r="AT4674" s="45"/>
      <c r="AU4674" s="45"/>
      <c r="AV4674" s="45"/>
      <c r="AX4674" s="45"/>
      <c r="AY4674" s="45"/>
      <c r="AZ4674" s="45"/>
      <c r="BA4674" s="45"/>
      <c r="BB4674" s="45"/>
      <c r="BC4674" s="45"/>
      <c r="BD4674" s="45"/>
      <c r="BE4674" s="45"/>
      <c r="BF4674" s="45"/>
      <c r="BG4674" s="45"/>
      <c r="BH4674" s="45"/>
    </row>
    <row r="4675" spans="45:60" x14ac:dyDescent="0.2">
      <c r="AS4675" s="45"/>
      <c r="AT4675" s="45"/>
      <c r="AU4675" s="45"/>
      <c r="AV4675" s="45"/>
      <c r="AX4675" s="45"/>
      <c r="AY4675" s="45"/>
      <c r="AZ4675" s="45"/>
      <c r="BA4675" s="45"/>
      <c r="BB4675" s="45"/>
      <c r="BC4675" s="45"/>
      <c r="BD4675" s="45"/>
      <c r="BE4675" s="45"/>
      <c r="BF4675" s="45"/>
      <c r="BG4675" s="45"/>
      <c r="BH4675" s="45"/>
    </row>
    <row r="4676" spans="45:60" x14ac:dyDescent="0.2">
      <c r="AS4676" s="45"/>
      <c r="AT4676" s="45"/>
      <c r="AU4676" s="45"/>
      <c r="AV4676" s="45"/>
      <c r="AX4676" s="45"/>
      <c r="AY4676" s="45"/>
      <c r="AZ4676" s="45"/>
      <c r="BA4676" s="45"/>
      <c r="BB4676" s="45"/>
      <c r="BC4676" s="45"/>
      <c r="BD4676" s="45"/>
      <c r="BE4676" s="45"/>
      <c r="BF4676" s="45"/>
      <c r="BG4676" s="45"/>
      <c r="BH4676" s="45"/>
    </row>
    <row r="4677" spans="45:60" x14ac:dyDescent="0.2">
      <c r="AS4677" s="45"/>
      <c r="AT4677" s="45"/>
      <c r="AU4677" s="45"/>
      <c r="AV4677" s="45"/>
      <c r="AX4677" s="45"/>
      <c r="AY4677" s="45"/>
      <c r="AZ4677" s="45"/>
      <c r="BA4677" s="45"/>
      <c r="BB4677" s="45"/>
      <c r="BC4677" s="45"/>
      <c r="BD4677" s="45"/>
      <c r="BE4677" s="45"/>
      <c r="BF4677" s="45"/>
      <c r="BG4677" s="45"/>
      <c r="BH4677" s="45"/>
    </row>
    <row r="4678" spans="45:60" x14ac:dyDescent="0.2">
      <c r="AS4678" s="45"/>
      <c r="AT4678" s="45"/>
      <c r="AU4678" s="45"/>
      <c r="AV4678" s="45"/>
      <c r="AX4678" s="45"/>
      <c r="AY4678" s="45"/>
      <c r="AZ4678" s="45"/>
      <c r="BA4678" s="45"/>
      <c r="BB4678" s="45"/>
      <c r="BC4678" s="45"/>
      <c r="BD4678" s="45"/>
      <c r="BE4678" s="45"/>
      <c r="BF4678" s="45"/>
      <c r="BG4678" s="45"/>
      <c r="BH4678" s="45"/>
    </row>
  </sheetData>
  <phoneticPr fontId="0" type="noConversion"/>
  <hyperlinks>
    <hyperlink ref="R616" r:id="rId1" xr:uid="{00000000-0004-0000-0100-000000000000}"/>
    <hyperlink ref="AN471" r:id="rId2" location="stdy" xr:uid="{00000000-0004-0000-0100-000001000000}"/>
    <hyperlink ref="AN397" r:id="rId3" xr:uid="{00000000-0004-0000-0100-000002000000}"/>
    <hyperlink ref="AN523" r:id="rId4" xr:uid="{00000000-0004-0000-0100-000003000000}"/>
    <hyperlink ref="AN550" r:id="rId5" xr:uid="{00000000-0004-0000-0100-000004000000}"/>
    <hyperlink ref="R574" r:id="rId6" xr:uid="{00000000-0004-0000-0100-000005000000}"/>
    <hyperlink ref="AN311" r:id="rId7" xr:uid="{00000000-0004-0000-0100-000006000000}"/>
    <hyperlink ref="R338" r:id="rId8" xr:uid="{00000000-0004-0000-0100-000007000000}"/>
    <hyperlink ref="R566" r:id="rId9" xr:uid="{00000000-0004-0000-0100-000008000000}"/>
    <hyperlink ref="R340" r:id="rId10" xr:uid="{00000000-0004-0000-0100-000009000000}"/>
    <hyperlink ref="R341" r:id="rId11" xr:uid="{00000000-0004-0000-0100-00000A000000}"/>
    <hyperlink ref="AN485" r:id="rId12" xr:uid="{00000000-0004-0000-0100-00000B000000}"/>
    <hyperlink ref="AN484" r:id="rId13" xr:uid="{00000000-0004-0000-0100-00000C000000}"/>
    <hyperlink ref="AN483" r:id="rId14" xr:uid="{00000000-0004-0000-0100-00000D000000}"/>
    <hyperlink ref="AN481" display="www.sciencedirect.com/science?_ob=ArticleURL&amp;_udi=B9839-4XM6SY4-3&amp;_user=8818308&amp;_coverDate=12%2F31%2F2009&amp;_alid=1549243883&amp;_rdoc=125&amp;_fmt=high&amp;_orig=search&amp;_origin=search&amp;_zone=rslt_list_item&amp;_cdi=59037&amp;_sort=r&amp;_st=13&amp;_docanchor=&amp;view=c&amp;_ct=310&amp;_acct=C000" xr:uid="{00000000-0004-0000-0100-00000E000000}"/>
    <hyperlink ref="AN418" r:id="rId15" xr:uid="{00000000-0004-0000-0100-00000F000000}"/>
    <hyperlink ref="R651" r:id="rId16" display="http://webapps01.un.org/vawdatabase/searchDetail.action?measureId=27929" xr:uid="{00000000-0004-0000-0100-000010000000}"/>
    <hyperlink ref="AN303" r:id="rId17" display="http://td.rsmjournals.com/cgi/content/abstract/38/1/52" xr:uid="{00000000-0004-0000-0100-000011000000}"/>
    <hyperlink ref="AN251" r:id="rId18" xr:uid="{00000000-0004-0000-0100-000012000000}"/>
    <hyperlink ref="AN306" r:id="rId19" display="http://webapps01.un.org/vawdatabase/searchDetail.action?measureId=25432" xr:uid="{00000000-0004-0000-0100-000013000000}"/>
    <hyperlink ref="R630" r:id="rId20" xr:uid="{00000000-0004-0000-0100-000014000000}"/>
    <hyperlink ref="AN460" r:id="rId21" xr:uid="{00000000-0004-0000-0100-000015000000}"/>
    <hyperlink ref="R632" r:id="rId22" xr:uid="{00000000-0004-0000-0100-000016000000}"/>
    <hyperlink ref="R633" r:id="rId23" xr:uid="{00000000-0004-0000-0100-000017000000}"/>
    <hyperlink ref="AN380" r:id="rId24" xr:uid="{00000000-0004-0000-0100-000018000000}"/>
    <hyperlink ref="AN506" r:id="rId25" xr:uid="{00000000-0004-0000-0100-000019000000}"/>
    <hyperlink ref="R641" r:id="rId26" xr:uid="{00000000-0004-0000-0100-00001A000000}"/>
    <hyperlink ref="R629" r:id="rId27" xr:uid="{00000000-0004-0000-0100-00001B000000}"/>
    <hyperlink ref="R631" r:id="rId28" xr:uid="{00000000-0004-0000-0100-00001C000000}"/>
    <hyperlink ref="AN261" r:id="rId29" xr:uid="{00000000-0004-0000-0100-00001D000000}"/>
    <hyperlink ref="R625" r:id="rId30" xr:uid="{00000000-0004-0000-0100-00001E000000}"/>
    <hyperlink ref="R627" r:id="rId31" xr:uid="{00000000-0004-0000-0100-00001F000000}"/>
    <hyperlink ref="AN218" r:id="rId32" xr:uid="{00000000-0004-0000-0100-000020000000}"/>
    <hyperlink ref="R621" r:id="rId33" xr:uid="{00000000-0004-0000-0100-000021000000}"/>
    <hyperlink ref="R618" r:id="rId34" xr:uid="{00000000-0004-0000-0100-000022000000}"/>
    <hyperlink ref="R620" r:id="rId35" xr:uid="{00000000-0004-0000-0100-000023000000}"/>
    <hyperlink ref="R650" r:id="rId36" xr:uid="{00000000-0004-0000-0100-000024000000}"/>
    <hyperlink ref="R649" r:id="rId37" xr:uid="{00000000-0004-0000-0100-000025000000}"/>
    <hyperlink ref="R648" r:id="rId38" xr:uid="{00000000-0004-0000-0100-000026000000}"/>
    <hyperlink ref="R646" r:id="rId39" xr:uid="{00000000-0004-0000-0100-000027000000}"/>
    <hyperlink ref="AN239" r:id="rId40" xr:uid="{00000000-0004-0000-0100-000028000000}"/>
    <hyperlink ref="R644" r:id="rId41" xr:uid="{00000000-0004-0000-0100-000029000000}"/>
    <hyperlink ref="R643" r:id="rId42" xr:uid="{00000000-0004-0000-0100-00002A000000}"/>
    <hyperlink ref="R642" r:id="rId43" xr:uid="{00000000-0004-0000-0100-00002B000000}"/>
    <hyperlink ref="R640" r:id="rId44" xr:uid="{00000000-0004-0000-0100-00002C000000}"/>
    <hyperlink ref="R639" r:id="rId45" xr:uid="{00000000-0004-0000-0100-00002D000000}"/>
    <hyperlink ref="R638" r:id="rId46" xr:uid="{00000000-0004-0000-0100-00002E000000}"/>
    <hyperlink ref="R636" r:id="rId47" xr:uid="{00000000-0004-0000-0100-00002F000000}"/>
    <hyperlink ref="R611" r:id="rId48" xr:uid="{00000000-0004-0000-0100-000030000000}"/>
    <hyperlink ref="R612" r:id="rId49" location="top" display="www.infoforhealth.org/pr/l11/l11tables.shtml#top" xr:uid="{00000000-0004-0000-0100-000031000000}"/>
    <hyperlink ref="R617" r:id="rId50" xr:uid="{00000000-0004-0000-0100-000032000000}"/>
    <hyperlink ref="R622" r:id="rId51" location="internatsurvey" xr:uid="{00000000-0004-0000-0100-000033000000}"/>
    <hyperlink ref="AN516" r:id="rId52" xr:uid="{00000000-0004-0000-0100-000034000000}"/>
    <hyperlink ref="R635" r:id="rId53" location="00000386.htm" xr:uid="{00000000-0004-0000-0100-000035000000}"/>
    <hyperlink ref="R619" r:id="rId54" xr:uid="{00000000-0004-0000-0100-000036000000}"/>
    <hyperlink ref="R714" r:id="rId55" display="http://www.eclac.org/publicaciones/xml/4/32194/Nomore.pdf" xr:uid="{00000000-0004-0000-0100-000037000000}"/>
    <hyperlink ref="R614" r:id="rId56" xr:uid="{00000000-0004-0000-0100-000038000000}"/>
    <hyperlink ref="R615" r:id="rId57" xr:uid="{00000000-0004-0000-0100-000039000000}"/>
    <hyperlink ref="AN477" r:id="rId58" display="http://aje.oxfordjournals.org/cgi/reprint/160/3/230" xr:uid="{00000000-0004-0000-0100-00003A000000}"/>
    <hyperlink ref="R626" r:id="rId59" display="http://webapps01.un.org/vawdatabase/searchDetail.action?measureId=17400" xr:uid="{00000000-0004-0000-0100-00003B000000}"/>
    <hyperlink ref="AN472" r:id="rId60" location="stdy" xr:uid="{00000000-0004-0000-0100-00003C000000}"/>
    <hyperlink ref="AN473" r:id="rId61" location="stdy" xr:uid="{00000000-0004-0000-0100-00003D000000}"/>
    <hyperlink ref="R647" r:id="rId62" xr:uid="{00000000-0004-0000-0100-00003E000000}"/>
    <hyperlink ref="R623" r:id="rId63" xr:uid="{00000000-0004-0000-0100-00003F000000}"/>
    <hyperlink ref="R420" r:id="rId64" xr:uid="{00000000-0004-0000-0100-000040000000}"/>
    <hyperlink ref="AN543" r:id="rId65" xr:uid="{00000000-0004-0000-0100-000041000000}"/>
    <hyperlink ref="R463" r:id="rId66" xr:uid="{00000000-0004-0000-0100-000042000000}"/>
    <hyperlink ref="R656" r:id="rId67" xr:uid="{00000000-0004-0000-0100-000043000000}"/>
    <hyperlink ref="R393" r:id="rId68" xr:uid="{00000000-0004-0000-0100-000044000000}"/>
    <hyperlink ref="R661" r:id="rId69" xr:uid="{00000000-0004-0000-0100-000045000000}"/>
    <hyperlink ref="R662" r:id="rId70" xr:uid="{00000000-0004-0000-0100-000046000000}"/>
    <hyperlink ref="R663" r:id="rId71" xr:uid="{00000000-0004-0000-0100-000047000000}"/>
    <hyperlink ref="R664" r:id="rId72" xr:uid="{00000000-0004-0000-0100-000048000000}"/>
    <hyperlink ref="R665" r:id="rId73" xr:uid="{00000000-0004-0000-0100-000049000000}"/>
    <hyperlink ref="R666" r:id="rId74" xr:uid="{00000000-0004-0000-0100-00004A000000}"/>
    <hyperlink ref="R613" r:id="rId75" xr:uid="{00000000-0004-0000-0100-00004B000000}"/>
    <hyperlink ref="R667" r:id="rId76" xr:uid="{00000000-0004-0000-0100-00004C000000}"/>
    <hyperlink ref="R275" r:id="rId77" xr:uid="{00000000-0004-0000-0100-00004D000000}"/>
    <hyperlink ref="AN385" r:id="rId78" xr:uid="{00000000-0004-0000-0100-00004E000000}"/>
    <hyperlink ref="R385" r:id="rId79" xr:uid="{00000000-0004-0000-0100-00004F000000}"/>
    <hyperlink ref="R407" r:id="rId80" xr:uid="{00000000-0004-0000-0100-000050000000}"/>
    <hyperlink ref="R458" r:id="rId81" xr:uid="{00000000-0004-0000-0100-000051000000}"/>
    <hyperlink ref="R501" r:id="rId82" xr:uid="{00000000-0004-0000-0100-000052000000}"/>
    <hyperlink ref="R246" r:id="rId83" xr:uid="{00000000-0004-0000-0100-000053000000}"/>
    <hyperlink ref="M612" r:id="rId84" location="top" display="www.infoforhealth.org/pr/l11/l11tables.shtml#top" xr:uid="{00000000-0004-0000-0100-000054000000}"/>
    <hyperlink ref="M648" r:id="rId85" xr:uid="{00000000-0004-0000-0100-000055000000}"/>
    <hyperlink ref="M560" r:id="rId86" xr:uid="{00000000-0004-0000-0100-000056000000}"/>
    <hyperlink ref="M556" r:id="rId87" xr:uid="{00000000-0004-0000-0100-000057000000}"/>
    <hyperlink ref="M486" r:id="rId88" xr:uid="{00000000-0004-0000-0100-000058000000}"/>
    <hyperlink ref="M401" r:id="rId89" xr:uid="{00000000-0004-0000-0100-000059000000}"/>
    <hyperlink ref="M405" r:id="rId90" xr:uid="{00000000-0004-0000-0100-00005A000000}"/>
    <hyperlink ref="M382" r:id="rId91" xr:uid="{00000000-0004-0000-0100-00005B000000}"/>
    <hyperlink ref="M375" r:id="rId92" xr:uid="{00000000-0004-0000-0100-00005C000000}"/>
    <hyperlink ref="M640" r:id="rId93" xr:uid="{00000000-0004-0000-0100-00005D000000}"/>
    <hyperlink ref="M219" r:id="rId94" xr:uid="{00000000-0004-0000-0100-00005E000000}"/>
    <hyperlink ref="M615" r:id="rId95" xr:uid="{00000000-0004-0000-0100-00005F000000}"/>
    <hyperlink ref="R220" r:id="rId96" xr:uid="{00000000-0004-0000-0100-000060000000}"/>
    <hyperlink ref="M642" r:id="rId97" xr:uid="{00000000-0004-0000-0100-000061000000}"/>
    <hyperlink ref="M227" r:id="rId98" xr:uid="{00000000-0004-0000-0100-000062000000}"/>
    <hyperlink ref="R671" r:id="rId99" display="http://www.usaid.gov/locations/europe_eurasia/dem_gov/docs/domestic_violence_study_final.pdf" xr:uid="{00000000-0004-0000-0100-000063000000}"/>
    <hyperlink ref="M245" r:id="rId100" xr:uid="{00000000-0004-0000-0100-000064000000}"/>
    <hyperlink ref="M665" r:id="rId101" xr:uid="{00000000-0004-0000-0100-000065000000}"/>
    <hyperlink ref="M247" r:id="rId102" xr:uid="{00000000-0004-0000-0100-000066000000}"/>
    <hyperlink ref="M666" r:id="rId103" xr:uid="{00000000-0004-0000-0100-000067000000}"/>
    <hyperlink ref="R250" r:id="rId104" xr:uid="{00000000-0004-0000-0100-000068000000}"/>
    <hyperlink ref="M621" r:id="rId105" xr:uid="{00000000-0004-0000-0100-000069000000}"/>
    <hyperlink ref="M254" r:id="rId106" xr:uid="{00000000-0004-0000-0100-00006A000000}"/>
    <hyperlink ref="M620" r:id="rId107" xr:uid="{00000000-0004-0000-0100-00006B000000}"/>
    <hyperlink ref="M619" r:id="rId108" xr:uid="{00000000-0004-0000-0100-00006C000000}"/>
    <hyperlink ref="M616" r:id="rId109" xr:uid="{00000000-0004-0000-0100-00006D000000}"/>
    <hyperlink ref="M618" r:id="rId110" xr:uid="{00000000-0004-0000-0100-00006E000000}"/>
    <hyperlink ref="M617" r:id="rId111" xr:uid="{00000000-0004-0000-0100-00006F000000}"/>
    <hyperlink ref="M630" r:id="rId112" xr:uid="{00000000-0004-0000-0100-000070000000}"/>
    <hyperlink ref="M633" r:id="rId113" xr:uid="{00000000-0004-0000-0100-000071000000}"/>
    <hyperlink ref="M629" r:id="rId114" xr:uid="{00000000-0004-0000-0100-000072000000}"/>
    <hyperlink ref="M631" r:id="rId115" xr:uid="{00000000-0004-0000-0100-000073000000}"/>
    <hyperlink ref="M625" r:id="rId116" xr:uid="{00000000-0004-0000-0100-000074000000}"/>
    <hyperlink ref="M627" r:id="rId117" xr:uid="{00000000-0004-0000-0100-000075000000}"/>
    <hyperlink ref="M636" r:id="rId118" xr:uid="{00000000-0004-0000-0100-000076000000}"/>
    <hyperlink ref="M622" r:id="rId119" location="internatsurvey" xr:uid="{00000000-0004-0000-0100-000077000000}"/>
    <hyperlink ref="M635" r:id="rId120" location="00000386.htm" xr:uid="{00000000-0004-0000-0100-000078000000}"/>
    <hyperlink ref="M626" r:id="rId121" display="http://webapps01.un.org/vawdatabase/searchDetail.action?measureId=17400" xr:uid="{00000000-0004-0000-0100-000079000000}"/>
    <hyperlink ref="M623" r:id="rId122" xr:uid="{00000000-0004-0000-0100-00007A000000}"/>
    <hyperlink ref="M262" r:id="rId123" xr:uid="{00000000-0004-0000-0100-00007B000000}"/>
    <hyperlink ref="M651" r:id="rId124" display="http://webapps01.un.org/vawdatabase/searchDetail.action?measureId=27929" xr:uid="{00000000-0004-0000-0100-00007C000000}"/>
    <hyperlink ref="M650" r:id="rId125" xr:uid="{00000000-0004-0000-0100-00007D000000}"/>
    <hyperlink ref="R263" r:id="rId126" xr:uid="{00000000-0004-0000-0100-00007E000000}"/>
    <hyperlink ref="M275" r:id="rId127" xr:uid="{00000000-0004-0000-0100-00007F000000}"/>
    <hyperlink ref="M639" r:id="rId128" xr:uid="{00000000-0004-0000-0100-000080000000}"/>
    <hyperlink ref="M278" r:id="rId129" xr:uid="{00000000-0004-0000-0100-000081000000}"/>
    <hyperlink ref="R359" r:id="rId130" xr:uid="{00000000-0004-0000-0100-000082000000}"/>
    <hyperlink ref="M646" r:id="rId131" xr:uid="{00000000-0004-0000-0100-000083000000}"/>
    <hyperlink ref="M647" r:id="rId132" xr:uid="{00000000-0004-0000-0100-000084000000}"/>
    <hyperlink ref="M280" r:id="rId133" xr:uid="{00000000-0004-0000-0100-000085000000}"/>
    <hyperlink ref="M491" r:id="rId134" xr:uid="{00000000-0004-0000-0100-000086000000}"/>
    <hyperlink ref="M447" r:id="rId135" xr:uid="{00000000-0004-0000-0100-000087000000}"/>
    <hyperlink ref="M281" r:id="rId136" xr:uid="{00000000-0004-0000-0100-000088000000}"/>
    <hyperlink ref="M283" r:id="rId137" xr:uid="{00000000-0004-0000-0100-000089000000}"/>
    <hyperlink ref="M667" r:id="rId138" xr:uid="{00000000-0004-0000-0100-00008A000000}"/>
    <hyperlink ref="M288" r:id="rId139" xr:uid="{00000000-0004-0000-0100-00008B000000}"/>
    <hyperlink ref="M661" r:id="rId140" xr:uid="{00000000-0004-0000-0100-00008C000000}"/>
    <hyperlink ref="M662" r:id="rId141" xr:uid="{00000000-0004-0000-0100-00008D000000}"/>
    <hyperlink ref="M663" r:id="rId142" xr:uid="{00000000-0004-0000-0100-00008E000000}"/>
    <hyperlink ref="M664" r:id="rId143" xr:uid="{00000000-0004-0000-0100-00008F000000}"/>
    <hyperlink ref="M644" r:id="rId144" display="www.cahrv.uni-osnabrueck.de/conference/SummaryGermanVAWstudy.pdf" xr:uid="{00000000-0004-0000-0100-000090000000}"/>
    <hyperlink ref="M643" r:id="rId145" xr:uid="{00000000-0004-0000-0100-000091000000}"/>
    <hyperlink ref="R321" r:id="rId146" xr:uid="{00000000-0004-0000-0100-000092000000}"/>
    <hyperlink ref="M336" r:id="rId147" xr:uid="{00000000-0004-0000-0100-000093000000}"/>
    <hyperlink ref="M337" r:id="rId148" xr:uid="{00000000-0004-0000-0100-000094000000}"/>
    <hyperlink ref="R342" r:id="rId149" xr:uid="{00000000-0004-0000-0100-000095000000}"/>
    <hyperlink ref="M348" r:id="rId150" xr:uid="{00000000-0004-0000-0100-000096000000}"/>
    <hyperlink ref="M351" r:id="rId151" xr:uid="{00000000-0004-0000-0100-000097000000}"/>
    <hyperlink ref="R371" r:id="rId152" xr:uid="{00000000-0004-0000-0100-000098000000}"/>
    <hyperlink ref="R428" r:id="rId153" xr:uid="{00000000-0004-0000-0100-000099000000}"/>
    <hyperlink ref="R373" r:id="rId154" xr:uid="{00000000-0004-0000-0100-00009A000000}"/>
    <hyperlink ref="M377" r:id="rId155" location="internatsurvey" xr:uid="{00000000-0004-0000-0100-00009B000000}"/>
    <hyperlink ref="M529" r:id="rId156" xr:uid="{00000000-0004-0000-0100-00009C000000}"/>
    <hyperlink ref="M641" r:id="rId157" xr:uid="{00000000-0004-0000-0100-00009D000000}"/>
    <hyperlink ref="M507" r:id="rId158" xr:uid="{00000000-0004-0000-0100-00009E000000}"/>
    <hyperlink ref="M502" r:id="rId159" xr:uid="{00000000-0004-0000-0100-00009F000000}"/>
    <hyperlink ref="M501" r:id="rId160" xr:uid="{00000000-0004-0000-0100-0000A0000000}"/>
    <hyperlink ref="M711" r:id="rId161" xr:uid="{00000000-0004-0000-0100-0000A1000000}"/>
    <hyperlink ref="M466" r:id="rId162" xr:uid="{00000000-0004-0000-0100-0000A2000000}"/>
    <hyperlink ref="M464" r:id="rId163" xr:uid="{00000000-0004-0000-0100-0000A3000000}"/>
    <hyperlink ref="M458" r:id="rId164" xr:uid="{00000000-0004-0000-0100-0000A4000000}"/>
    <hyperlink ref="M710" r:id="rId165" xr:uid="{00000000-0004-0000-0100-0000A5000000}"/>
    <hyperlink ref="R457" r:id="rId166" xr:uid="{00000000-0004-0000-0100-0000A6000000}"/>
    <hyperlink ref="M451" r:id="rId167" xr:uid="{00000000-0004-0000-0100-0000A7000000}"/>
    <hyperlink ref="M424" r:id="rId168" xr:uid="{00000000-0004-0000-0100-0000A8000000}"/>
    <hyperlink ref="M409" r:id="rId169" xr:uid="{00000000-0004-0000-0100-0000A9000000}"/>
    <hyperlink ref="M407" r:id="rId170" xr:uid="{00000000-0004-0000-0100-0000AA000000}"/>
    <hyperlink ref="M709" r:id="rId171" xr:uid="{00000000-0004-0000-0100-0000AB000000}"/>
    <hyperlink ref="R396" r:id="rId172" xr:uid="{00000000-0004-0000-0100-0000AC000000}"/>
    <hyperlink ref="R386" r:id="rId173" xr:uid="{00000000-0004-0000-0100-0000AD000000}"/>
    <hyperlink ref="M385" r:id="rId174" xr:uid="{00000000-0004-0000-0100-0000AE000000}"/>
    <hyperlink ref="M708" r:id="rId175" xr:uid="{00000000-0004-0000-0100-0000AF000000}"/>
    <hyperlink ref="M528" r:id="rId176" xr:uid="{00000000-0004-0000-0100-0000B0000000}"/>
    <hyperlink ref="M632" r:id="rId177" xr:uid="{00000000-0004-0000-0100-0000B1000000}"/>
    <hyperlink ref="R217" r:id="rId178" xr:uid="{00000000-0004-0000-0100-0000B2000000}"/>
    <hyperlink ref="R260" r:id="rId179" xr:uid="{00000000-0004-0000-0100-0000B3000000}"/>
    <hyperlink ref="R239" r:id="rId180" xr:uid="{00000000-0004-0000-0100-0000B4000000}"/>
    <hyperlink ref="R299" r:id="rId181" xr:uid="{00000000-0004-0000-0100-0000B5000000}"/>
    <hyperlink ref="R252" r:id="rId182" xr:uid="{00000000-0004-0000-0100-0000B6000000}"/>
    <hyperlink ref="M656" r:id="rId183" xr:uid="{00000000-0004-0000-0100-0000B7000000}"/>
    <hyperlink ref="M465" r:id="rId184" xr:uid="{00000000-0004-0000-0100-0000B8000000}"/>
    <hyperlink ref="M304" r:id="rId185" xr:uid="{00000000-0004-0000-0100-0000B9000000}"/>
  </hyperlinks>
  <pageMargins left="0.49" right="0.44" top="0.46" bottom="0.37" header="0.4" footer="0.32"/>
  <pageSetup paperSize="9" orientation="portrait" r:id="rId186"/>
  <headerFooter alignWithMargins="0"/>
  <legacyDrawing r:id="rId18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49"/>
  <sheetViews>
    <sheetView workbookViewId="0">
      <selection activeCell="A19" sqref="A19"/>
    </sheetView>
  </sheetViews>
  <sheetFormatPr defaultRowHeight="12.75" x14ac:dyDescent="0.2"/>
  <cols>
    <col min="1" max="1" width="18.42578125" customWidth="1"/>
    <col min="2" max="2" width="26.140625" customWidth="1"/>
    <col min="4" max="4" width="16.42578125" customWidth="1"/>
  </cols>
  <sheetData>
    <row r="1" spans="1:6" x14ac:dyDescent="0.2">
      <c r="A1" s="391" t="s">
        <v>359</v>
      </c>
      <c r="B1" s="391" t="s">
        <v>1513</v>
      </c>
      <c r="C1" s="391" t="s">
        <v>1514</v>
      </c>
      <c r="D1" s="391" t="s">
        <v>1515</v>
      </c>
      <c r="F1" s="4" t="s">
        <v>1517</v>
      </c>
    </row>
    <row r="2" spans="1:6" x14ac:dyDescent="0.2">
      <c r="A2" s="391" t="s">
        <v>347</v>
      </c>
      <c r="B2" s="391" t="s">
        <v>347</v>
      </c>
      <c r="C2" s="391" t="s">
        <v>1512</v>
      </c>
      <c r="D2" s="391" t="s">
        <v>1186</v>
      </c>
    </row>
    <row r="3" spans="1:6" x14ac:dyDescent="0.2">
      <c r="A3" s="391" t="s">
        <v>124</v>
      </c>
      <c r="B3" s="391" t="s">
        <v>124</v>
      </c>
      <c r="C3" s="391" t="s">
        <v>1507</v>
      </c>
      <c r="D3" s="391" t="s">
        <v>1186</v>
      </c>
    </row>
    <row r="4" spans="1:6" x14ac:dyDescent="0.2">
      <c r="A4" s="391" t="s">
        <v>125</v>
      </c>
      <c r="B4" s="391" t="s">
        <v>125</v>
      </c>
      <c r="C4" s="391" t="s">
        <v>1506</v>
      </c>
      <c r="D4" s="391" t="s">
        <v>1186</v>
      </c>
    </row>
    <row r="5" spans="1:6" x14ac:dyDescent="0.2">
      <c r="A5" s="391" t="s">
        <v>361</v>
      </c>
      <c r="B5" s="391" t="s">
        <v>361</v>
      </c>
      <c r="C5" s="391" t="s">
        <v>1503</v>
      </c>
      <c r="D5" s="391" t="s">
        <v>1186</v>
      </c>
    </row>
    <row r="6" spans="1:6" x14ac:dyDescent="0.2">
      <c r="A6" s="391" t="s">
        <v>126</v>
      </c>
      <c r="B6" s="391" t="s">
        <v>126</v>
      </c>
      <c r="C6" s="391" t="s">
        <v>1502</v>
      </c>
      <c r="D6" s="391" t="s">
        <v>1186</v>
      </c>
    </row>
    <row r="7" spans="1:6" x14ac:dyDescent="0.2">
      <c r="A7" s="391" t="s">
        <v>1498</v>
      </c>
      <c r="B7" s="391" t="s">
        <v>1498</v>
      </c>
      <c r="C7" s="391" t="s">
        <v>1499</v>
      </c>
      <c r="D7" s="391" t="s">
        <v>1263</v>
      </c>
    </row>
    <row r="8" spans="1:6" x14ac:dyDescent="0.2">
      <c r="A8" s="391" t="s">
        <v>1496</v>
      </c>
      <c r="B8" s="391" t="s">
        <v>1496</v>
      </c>
      <c r="C8" s="391" t="s">
        <v>1497</v>
      </c>
      <c r="D8" s="391" t="s">
        <v>1186</v>
      </c>
    </row>
    <row r="9" spans="1:6" x14ac:dyDescent="0.2">
      <c r="A9" s="391" t="s">
        <v>127</v>
      </c>
      <c r="B9" s="391" t="s">
        <v>127</v>
      </c>
      <c r="C9" s="391" t="s">
        <v>1495</v>
      </c>
      <c r="D9" s="391" t="s">
        <v>1186</v>
      </c>
    </row>
    <row r="10" spans="1:6" x14ac:dyDescent="0.2">
      <c r="A10" s="391" t="s">
        <v>362</v>
      </c>
      <c r="B10" s="391" t="s">
        <v>362</v>
      </c>
      <c r="C10" s="391" t="s">
        <v>1494</v>
      </c>
      <c r="D10" s="391" t="s">
        <v>1186</v>
      </c>
    </row>
    <row r="11" spans="1:6" x14ac:dyDescent="0.2">
      <c r="A11" s="391" t="s">
        <v>1490</v>
      </c>
      <c r="B11" s="391" t="s">
        <v>64</v>
      </c>
      <c r="C11" s="391" t="s">
        <v>1491</v>
      </c>
      <c r="D11" s="391" t="s">
        <v>1197</v>
      </c>
    </row>
    <row r="12" spans="1:6" x14ac:dyDescent="0.2">
      <c r="A12" s="391" t="s">
        <v>64</v>
      </c>
      <c r="B12" s="391" t="s">
        <v>64</v>
      </c>
      <c r="C12" s="391" t="s">
        <v>1489</v>
      </c>
      <c r="D12" s="391" t="s">
        <v>1194</v>
      </c>
    </row>
    <row r="13" spans="1:6" x14ac:dyDescent="0.2">
      <c r="A13" s="391" t="s">
        <v>1447</v>
      </c>
      <c r="B13" s="391" t="s">
        <v>64</v>
      </c>
      <c r="C13" s="391" t="s">
        <v>1448</v>
      </c>
      <c r="D13" s="391" t="s">
        <v>1197</v>
      </c>
    </row>
    <row r="14" spans="1:6" x14ac:dyDescent="0.2">
      <c r="A14" s="391" t="s">
        <v>1390</v>
      </c>
      <c r="B14" s="391" t="s">
        <v>64</v>
      </c>
      <c r="C14" s="391" t="s">
        <v>1391</v>
      </c>
      <c r="D14" s="391" t="s">
        <v>1197</v>
      </c>
    </row>
    <row r="15" spans="1:6" x14ac:dyDescent="0.2">
      <c r="A15" s="391" t="s">
        <v>1382</v>
      </c>
      <c r="B15" s="391" t="s">
        <v>64</v>
      </c>
      <c r="C15" s="391" t="s">
        <v>1383</v>
      </c>
      <c r="D15" s="391" t="s">
        <v>1197</v>
      </c>
    </row>
    <row r="16" spans="1:6" x14ac:dyDescent="0.2">
      <c r="A16" s="391" t="s">
        <v>1312</v>
      </c>
      <c r="B16" s="391" t="s">
        <v>64</v>
      </c>
      <c r="C16" s="391" t="s">
        <v>1313</v>
      </c>
      <c r="D16" s="391" t="s">
        <v>1197</v>
      </c>
    </row>
    <row r="17" spans="1:4" x14ac:dyDescent="0.2">
      <c r="A17" s="391" t="s">
        <v>128</v>
      </c>
      <c r="B17" s="391" t="s">
        <v>128</v>
      </c>
      <c r="C17" s="391" t="s">
        <v>1488</v>
      </c>
      <c r="D17" s="391" t="s">
        <v>1186</v>
      </c>
    </row>
    <row r="18" spans="1:4" x14ac:dyDescent="0.2">
      <c r="A18" s="391" t="s">
        <v>83</v>
      </c>
      <c r="B18" s="391" t="s">
        <v>83</v>
      </c>
      <c r="C18" s="391" t="s">
        <v>1487</v>
      </c>
      <c r="D18" s="391" t="s">
        <v>1186</v>
      </c>
    </row>
    <row r="19" spans="1:4" x14ac:dyDescent="0.2">
      <c r="A19" s="391" t="s">
        <v>363</v>
      </c>
      <c r="B19" s="391" t="s">
        <v>363</v>
      </c>
      <c r="C19" s="391" t="s">
        <v>1486</v>
      </c>
      <c r="D19" s="391" t="s">
        <v>1186</v>
      </c>
    </row>
    <row r="20" spans="1:4" x14ac:dyDescent="0.2">
      <c r="A20" s="391" t="s">
        <v>364</v>
      </c>
      <c r="B20" s="391" t="s">
        <v>364</v>
      </c>
      <c r="C20" s="391" t="s">
        <v>1485</v>
      </c>
      <c r="D20" s="391" t="s">
        <v>1186</v>
      </c>
    </row>
    <row r="21" spans="1:4" x14ac:dyDescent="0.2">
      <c r="A21" s="391" t="s">
        <v>65</v>
      </c>
      <c r="B21" s="391" t="s">
        <v>65</v>
      </c>
      <c r="C21" s="391" t="s">
        <v>1484</v>
      </c>
      <c r="D21" s="391" t="s">
        <v>1186</v>
      </c>
    </row>
    <row r="22" spans="1:4" x14ac:dyDescent="0.2">
      <c r="A22" s="391" t="s">
        <v>34</v>
      </c>
      <c r="B22" s="391" t="s">
        <v>34</v>
      </c>
      <c r="C22" s="391" t="s">
        <v>1483</v>
      </c>
      <c r="D22" s="391" t="s">
        <v>1186</v>
      </c>
    </row>
    <row r="23" spans="1:4" x14ac:dyDescent="0.2">
      <c r="A23" s="391" t="s">
        <v>365</v>
      </c>
      <c r="B23" s="391" t="s">
        <v>365</v>
      </c>
      <c r="C23" s="391" t="s">
        <v>1482</v>
      </c>
      <c r="D23" s="391" t="s">
        <v>1186</v>
      </c>
    </row>
    <row r="24" spans="1:4" x14ac:dyDescent="0.2">
      <c r="A24" s="391" t="s">
        <v>129</v>
      </c>
      <c r="B24" s="391" t="s">
        <v>129</v>
      </c>
      <c r="C24" s="391" t="s">
        <v>1481</v>
      </c>
      <c r="D24" s="391" t="s">
        <v>1186</v>
      </c>
    </row>
    <row r="25" spans="1:4" x14ac:dyDescent="0.2">
      <c r="A25" s="391" t="s">
        <v>366</v>
      </c>
      <c r="B25" s="391" t="s">
        <v>366</v>
      </c>
      <c r="C25" s="391" t="s">
        <v>1480</v>
      </c>
      <c r="D25" s="391" t="s">
        <v>1186</v>
      </c>
    </row>
    <row r="26" spans="1:4" x14ac:dyDescent="0.2">
      <c r="A26" s="391" t="s">
        <v>130</v>
      </c>
      <c r="B26" s="391" t="s">
        <v>130</v>
      </c>
      <c r="C26" s="391" t="s">
        <v>1479</v>
      </c>
      <c r="D26" s="391" t="s">
        <v>1186</v>
      </c>
    </row>
    <row r="27" spans="1:4" x14ac:dyDescent="0.2">
      <c r="A27" s="391" t="s">
        <v>367</v>
      </c>
      <c r="B27" s="391" t="s">
        <v>367</v>
      </c>
      <c r="C27" s="391" t="s">
        <v>1476</v>
      </c>
      <c r="D27" s="391" t="s">
        <v>1186</v>
      </c>
    </row>
    <row r="28" spans="1:4" x14ac:dyDescent="0.2">
      <c r="A28" s="391" t="s">
        <v>131</v>
      </c>
      <c r="B28" s="391" t="s">
        <v>131</v>
      </c>
      <c r="C28" s="391" t="s">
        <v>1475</v>
      </c>
      <c r="D28" s="391" t="s">
        <v>1186</v>
      </c>
    </row>
    <row r="29" spans="1:4" x14ac:dyDescent="0.2">
      <c r="A29" s="391" t="s">
        <v>368</v>
      </c>
      <c r="B29" s="391" t="s">
        <v>368</v>
      </c>
      <c r="C29" s="391" t="s">
        <v>1474</v>
      </c>
      <c r="D29" s="391" t="s">
        <v>1186</v>
      </c>
    </row>
    <row r="30" spans="1:4" x14ac:dyDescent="0.2">
      <c r="A30" s="391" t="s">
        <v>132</v>
      </c>
      <c r="B30" s="391" t="s">
        <v>132</v>
      </c>
      <c r="C30" s="391" t="s">
        <v>1473</v>
      </c>
      <c r="D30" s="391" t="s">
        <v>1186</v>
      </c>
    </row>
    <row r="31" spans="1:4" x14ac:dyDescent="0.2">
      <c r="A31" s="391" t="s">
        <v>35</v>
      </c>
      <c r="B31" s="391" t="s">
        <v>35</v>
      </c>
      <c r="C31" s="391" t="s">
        <v>1472</v>
      </c>
      <c r="D31" s="391" t="s">
        <v>1186</v>
      </c>
    </row>
    <row r="32" spans="1:4" x14ac:dyDescent="0.2">
      <c r="A32" s="391" t="s">
        <v>369</v>
      </c>
      <c r="B32" s="391" t="s">
        <v>369</v>
      </c>
      <c r="C32" s="391" t="s">
        <v>1469</v>
      </c>
      <c r="D32" s="391" t="s">
        <v>1186</v>
      </c>
    </row>
    <row r="33" spans="1:4" x14ac:dyDescent="0.2">
      <c r="A33" s="391" t="s">
        <v>133</v>
      </c>
      <c r="B33" s="391" t="s">
        <v>133</v>
      </c>
      <c r="C33" s="391" t="s">
        <v>1468</v>
      </c>
      <c r="D33" s="391" t="s">
        <v>1186</v>
      </c>
    </row>
    <row r="34" spans="1:4" x14ac:dyDescent="0.2">
      <c r="A34" s="391" t="s">
        <v>356</v>
      </c>
      <c r="B34" s="391" t="s">
        <v>356</v>
      </c>
      <c r="C34" s="391" t="s">
        <v>1467</v>
      </c>
      <c r="D34" s="391" t="s">
        <v>1186</v>
      </c>
    </row>
    <row r="35" spans="1:4" x14ac:dyDescent="0.2">
      <c r="A35" s="391" t="s">
        <v>134</v>
      </c>
      <c r="B35" s="391" t="s">
        <v>134</v>
      </c>
      <c r="C35" s="391" t="s">
        <v>1466</v>
      </c>
      <c r="D35" s="391" t="s">
        <v>1186</v>
      </c>
    </row>
    <row r="36" spans="1:4" x14ac:dyDescent="0.2">
      <c r="A36" s="391" t="s">
        <v>1464</v>
      </c>
      <c r="B36" s="391" t="s">
        <v>1464</v>
      </c>
      <c r="C36" s="391" t="s">
        <v>1465</v>
      </c>
      <c r="D36" s="391" t="s">
        <v>1186</v>
      </c>
    </row>
    <row r="37" spans="1:4" x14ac:dyDescent="0.2">
      <c r="A37" s="391" t="s">
        <v>136</v>
      </c>
      <c r="B37" s="391" t="s">
        <v>136</v>
      </c>
      <c r="C37" s="391" t="s">
        <v>1463</v>
      </c>
      <c r="D37" s="391" t="s">
        <v>1186</v>
      </c>
    </row>
    <row r="38" spans="1:4" x14ac:dyDescent="0.2">
      <c r="A38" s="391" t="s">
        <v>62</v>
      </c>
      <c r="B38" s="391" t="s">
        <v>62</v>
      </c>
      <c r="C38" s="391" t="s">
        <v>1462</v>
      </c>
      <c r="D38" s="391" t="s">
        <v>1186</v>
      </c>
    </row>
    <row r="39" spans="1:4" x14ac:dyDescent="0.2">
      <c r="A39" s="391" t="s">
        <v>370</v>
      </c>
      <c r="B39" s="391" t="s">
        <v>370</v>
      </c>
      <c r="C39" s="391" t="s">
        <v>1461</v>
      </c>
      <c r="D39" s="391" t="s">
        <v>1186</v>
      </c>
    </row>
    <row r="40" spans="1:4" x14ac:dyDescent="0.2">
      <c r="A40" s="391" t="s">
        <v>137</v>
      </c>
      <c r="B40" s="391" t="s">
        <v>137</v>
      </c>
      <c r="C40" s="391" t="s">
        <v>1458</v>
      </c>
      <c r="D40" s="391" t="s">
        <v>1186</v>
      </c>
    </row>
    <row r="41" spans="1:4" x14ac:dyDescent="0.2">
      <c r="A41" s="391" t="s">
        <v>138</v>
      </c>
      <c r="B41" s="391" t="s">
        <v>138</v>
      </c>
      <c r="C41" s="391" t="s">
        <v>1457</v>
      </c>
      <c r="D41" s="391" t="s">
        <v>1186</v>
      </c>
    </row>
    <row r="42" spans="1:4" x14ac:dyDescent="0.2">
      <c r="A42" s="391" t="s">
        <v>36</v>
      </c>
      <c r="B42" s="391" t="s">
        <v>36</v>
      </c>
      <c r="C42" s="391" t="s">
        <v>1456</v>
      </c>
      <c r="D42" s="391" t="s">
        <v>1186</v>
      </c>
    </row>
    <row r="43" spans="1:4" x14ac:dyDescent="0.2">
      <c r="A43" s="391" t="s">
        <v>139</v>
      </c>
      <c r="B43" s="391" t="s">
        <v>139</v>
      </c>
      <c r="C43" s="391" t="s">
        <v>1455</v>
      </c>
      <c r="D43" s="391" t="s">
        <v>1194</v>
      </c>
    </row>
    <row r="44" spans="1:4" x14ac:dyDescent="0.2">
      <c r="A44" s="391" t="s">
        <v>37</v>
      </c>
      <c r="B44" s="391" t="s">
        <v>37</v>
      </c>
      <c r="C44" s="391" t="s">
        <v>1452</v>
      </c>
      <c r="D44" s="391" t="s">
        <v>1186</v>
      </c>
    </row>
    <row r="45" spans="1:4" x14ac:dyDescent="0.2">
      <c r="A45" s="391" t="s">
        <v>372</v>
      </c>
      <c r="B45" s="391" t="s">
        <v>372</v>
      </c>
      <c r="C45" s="391" t="s">
        <v>1451</v>
      </c>
      <c r="D45" s="391" t="s">
        <v>1186</v>
      </c>
    </row>
    <row r="46" spans="1:4" x14ac:dyDescent="0.2">
      <c r="A46" s="391" t="s">
        <v>141</v>
      </c>
      <c r="B46" s="391" t="s">
        <v>141</v>
      </c>
      <c r="C46" s="391" t="s">
        <v>1446</v>
      </c>
      <c r="D46" s="391" t="s">
        <v>1186</v>
      </c>
    </row>
    <row r="47" spans="1:4" x14ac:dyDescent="0.2">
      <c r="A47" s="391" t="s">
        <v>374</v>
      </c>
      <c r="B47" s="391" t="s">
        <v>374</v>
      </c>
      <c r="C47" s="391" t="s">
        <v>1442</v>
      </c>
      <c r="D47" s="391" t="s">
        <v>1186</v>
      </c>
    </row>
    <row r="48" spans="1:4" x14ac:dyDescent="0.2">
      <c r="A48" s="391" t="s">
        <v>142</v>
      </c>
      <c r="B48" s="391" t="s">
        <v>142</v>
      </c>
      <c r="C48" s="391" t="s">
        <v>1441</v>
      </c>
      <c r="D48" s="391" t="s">
        <v>1186</v>
      </c>
    </row>
    <row r="49" spans="1:4" x14ac:dyDescent="0.2">
      <c r="A49" s="391" t="s">
        <v>1209</v>
      </c>
      <c r="B49" s="391" t="s">
        <v>142</v>
      </c>
      <c r="C49" s="391" t="s">
        <v>1210</v>
      </c>
      <c r="D49" s="391" t="s">
        <v>1211</v>
      </c>
    </row>
    <row r="50" spans="1:4" x14ac:dyDescent="0.2">
      <c r="A50" s="391" t="s">
        <v>143</v>
      </c>
      <c r="B50" s="391" t="s">
        <v>143</v>
      </c>
      <c r="C50" s="391" t="s">
        <v>1438</v>
      </c>
      <c r="D50" s="391" t="s">
        <v>1186</v>
      </c>
    </row>
    <row r="51" spans="1:4" x14ac:dyDescent="0.2">
      <c r="A51" s="391" t="s">
        <v>350</v>
      </c>
      <c r="B51" s="391" t="s">
        <v>350</v>
      </c>
      <c r="C51" s="391" t="s">
        <v>1437</v>
      </c>
      <c r="D51" s="391" t="s">
        <v>1186</v>
      </c>
    </row>
    <row r="52" spans="1:4" x14ac:dyDescent="0.2">
      <c r="A52" s="391" t="s">
        <v>375</v>
      </c>
      <c r="B52" s="391" t="s">
        <v>375</v>
      </c>
      <c r="C52" s="391" t="s">
        <v>1436</v>
      </c>
      <c r="D52" s="391" t="s">
        <v>1186</v>
      </c>
    </row>
    <row r="53" spans="1:4" x14ac:dyDescent="0.2">
      <c r="A53" s="391" t="s">
        <v>144</v>
      </c>
      <c r="B53" s="391" t="s">
        <v>144</v>
      </c>
      <c r="C53" s="391" t="s">
        <v>1435</v>
      </c>
      <c r="D53" s="391" t="s">
        <v>1194</v>
      </c>
    </row>
    <row r="54" spans="1:4" x14ac:dyDescent="0.2">
      <c r="A54" s="391" t="s">
        <v>1419</v>
      </c>
      <c r="B54" s="391" t="s">
        <v>144</v>
      </c>
      <c r="C54" s="391" t="s">
        <v>1420</v>
      </c>
      <c r="D54" s="391" t="s">
        <v>1197</v>
      </c>
    </row>
    <row r="55" spans="1:4" x14ac:dyDescent="0.2">
      <c r="A55" s="391" t="s">
        <v>384</v>
      </c>
      <c r="B55" s="391" t="s">
        <v>144</v>
      </c>
      <c r="C55" s="391" t="s">
        <v>1400</v>
      </c>
      <c r="D55" s="391" t="s">
        <v>1194</v>
      </c>
    </row>
    <row r="56" spans="1:4" x14ac:dyDescent="0.2">
      <c r="A56" s="391" t="s">
        <v>376</v>
      </c>
      <c r="B56" s="391" t="s">
        <v>376</v>
      </c>
      <c r="C56" s="391" t="s">
        <v>1432</v>
      </c>
      <c r="D56" s="391" t="s">
        <v>1186</v>
      </c>
    </row>
    <row r="57" spans="1:4" x14ac:dyDescent="0.2">
      <c r="A57" s="391" t="s">
        <v>377</v>
      </c>
      <c r="B57" s="391" t="s">
        <v>377</v>
      </c>
      <c r="C57" s="391" t="s">
        <v>1431</v>
      </c>
      <c r="D57" s="391" t="s">
        <v>1186</v>
      </c>
    </row>
    <row r="58" spans="1:4" x14ac:dyDescent="0.2">
      <c r="A58" s="391" t="s">
        <v>38</v>
      </c>
      <c r="B58" s="391" t="s">
        <v>38</v>
      </c>
      <c r="C58" s="391" t="s">
        <v>1430</v>
      </c>
      <c r="D58" s="391" t="s">
        <v>1186</v>
      </c>
    </row>
    <row r="59" spans="1:4" x14ac:dyDescent="0.2">
      <c r="A59" s="391" t="s">
        <v>269</v>
      </c>
      <c r="B59" s="391" t="s">
        <v>269</v>
      </c>
      <c r="C59" s="391" t="s">
        <v>1429</v>
      </c>
      <c r="D59" s="391" t="s">
        <v>1186</v>
      </c>
    </row>
    <row r="60" spans="1:4" x14ac:dyDescent="0.2">
      <c r="A60" s="391" t="s">
        <v>145</v>
      </c>
      <c r="B60" s="391" t="s">
        <v>145</v>
      </c>
      <c r="C60" s="391" t="s">
        <v>1428</v>
      </c>
      <c r="D60" s="391" t="s">
        <v>1186</v>
      </c>
    </row>
    <row r="61" spans="1:4" x14ac:dyDescent="0.2">
      <c r="A61" s="391" t="s">
        <v>109</v>
      </c>
      <c r="B61" s="391" t="s">
        <v>109</v>
      </c>
      <c r="C61" s="391" t="s">
        <v>1427</v>
      </c>
      <c r="D61" s="391" t="s">
        <v>1186</v>
      </c>
    </row>
    <row r="62" spans="1:4" x14ac:dyDescent="0.2">
      <c r="A62" s="391" t="s">
        <v>39</v>
      </c>
      <c r="B62" s="391" t="s">
        <v>39</v>
      </c>
      <c r="C62" s="391" t="s">
        <v>1426</v>
      </c>
      <c r="D62" s="391" t="s">
        <v>1186</v>
      </c>
    </row>
    <row r="63" spans="1:4" x14ac:dyDescent="0.2">
      <c r="A63" s="391" t="s">
        <v>378</v>
      </c>
      <c r="B63" s="391" t="s">
        <v>378</v>
      </c>
      <c r="C63" s="391" t="s">
        <v>1425</v>
      </c>
      <c r="D63" s="391" t="s">
        <v>1186</v>
      </c>
    </row>
    <row r="64" spans="1:4" x14ac:dyDescent="0.2">
      <c r="A64" s="391" t="s">
        <v>379</v>
      </c>
      <c r="B64" s="391" t="s">
        <v>379</v>
      </c>
      <c r="C64" s="391" t="s">
        <v>1424</v>
      </c>
      <c r="D64" s="391" t="s">
        <v>1186</v>
      </c>
    </row>
    <row r="65" spans="1:4" x14ac:dyDescent="0.2">
      <c r="A65" s="391" t="s">
        <v>380</v>
      </c>
      <c r="B65" s="391" t="s">
        <v>380</v>
      </c>
      <c r="C65" s="391" t="s">
        <v>1423</v>
      </c>
      <c r="D65" s="391" t="s">
        <v>1186</v>
      </c>
    </row>
    <row r="66" spans="1:4" x14ac:dyDescent="0.2">
      <c r="A66" s="391" t="s">
        <v>2</v>
      </c>
      <c r="B66" s="391" t="s">
        <v>2</v>
      </c>
      <c r="C66" s="391" t="s">
        <v>1422</v>
      </c>
      <c r="D66" s="391" t="s">
        <v>1186</v>
      </c>
    </row>
    <row r="67" spans="1:4" x14ac:dyDescent="0.2">
      <c r="A67" s="391" t="s">
        <v>1336</v>
      </c>
      <c r="B67" s="391" t="s">
        <v>1337</v>
      </c>
      <c r="C67" s="391" t="s">
        <v>1338</v>
      </c>
      <c r="D67" s="391" t="s">
        <v>1186</v>
      </c>
    </row>
    <row r="68" spans="1:4" x14ac:dyDescent="0.2">
      <c r="A68" s="391" t="s">
        <v>382</v>
      </c>
      <c r="B68" s="391" t="s">
        <v>382</v>
      </c>
      <c r="C68" s="391" t="s">
        <v>1418</v>
      </c>
      <c r="D68" s="391" t="s">
        <v>1186</v>
      </c>
    </row>
    <row r="69" spans="1:4" x14ac:dyDescent="0.2">
      <c r="A69" s="391" t="s">
        <v>1508</v>
      </c>
      <c r="B69" s="391" t="s">
        <v>92</v>
      </c>
      <c r="C69" s="391" t="s">
        <v>1509</v>
      </c>
      <c r="D69" s="391" t="s">
        <v>1194</v>
      </c>
    </row>
    <row r="70" spans="1:4" x14ac:dyDescent="0.2">
      <c r="A70" s="391" t="s">
        <v>92</v>
      </c>
      <c r="B70" s="391" t="s">
        <v>92</v>
      </c>
      <c r="C70" s="391" t="s">
        <v>1416</v>
      </c>
      <c r="D70" s="391" t="s">
        <v>1417</v>
      </c>
    </row>
    <row r="71" spans="1:4" x14ac:dyDescent="0.2">
      <c r="A71" s="391" t="s">
        <v>1453</v>
      </c>
      <c r="B71" s="391" t="s">
        <v>146</v>
      </c>
      <c r="C71" s="391" t="s">
        <v>1454</v>
      </c>
      <c r="D71" s="391" t="s">
        <v>1197</v>
      </c>
    </row>
    <row r="72" spans="1:4" x14ac:dyDescent="0.2">
      <c r="A72" s="391" t="s">
        <v>146</v>
      </c>
      <c r="B72" s="391" t="s">
        <v>146</v>
      </c>
      <c r="C72" s="391" t="s">
        <v>1415</v>
      </c>
      <c r="D72" s="391" t="s">
        <v>1194</v>
      </c>
    </row>
    <row r="73" spans="1:4" x14ac:dyDescent="0.2">
      <c r="A73" s="391" t="s">
        <v>1413</v>
      </c>
      <c r="B73" s="391" t="s">
        <v>146</v>
      </c>
      <c r="C73" s="391" t="s">
        <v>1414</v>
      </c>
      <c r="D73" s="391" t="s">
        <v>1197</v>
      </c>
    </row>
    <row r="74" spans="1:4" x14ac:dyDescent="0.2">
      <c r="A74" s="391" t="s">
        <v>1411</v>
      </c>
      <c r="B74" s="391" t="s">
        <v>146</v>
      </c>
      <c r="C74" s="391" t="s">
        <v>1412</v>
      </c>
      <c r="D74" s="391" t="s">
        <v>1197</v>
      </c>
    </row>
    <row r="75" spans="1:4" x14ac:dyDescent="0.2">
      <c r="A75" s="391" t="s">
        <v>398</v>
      </c>
      <c r="B75" s="391" t="s">
        <v>146</v>
      </c>
      <c r="C75" s="391" t="s">
        <v>1320</v>
      </c>
      <c r="D75" s="391" t="s">
        <v>1197</v>
      </c>
    </row>
    <row r="76" spans="1:4" x14ac:dyDescent="0.2">
      <c r="A76" s="391" t="s">
        <v>1286</v>
      </c>
      <c r="B76" s="391" t="s">
        <v>146</v>
      </c>
      <c r="C76" s="391" t="s">
        <v>1287</v>
      </c>
      <c r="D76" s="391" t="s">
        <v>1197</v>
      </c>
    </row>
    <row r="77" spans="1:4" x14ac:dyDescent="0.2">
      <c r="A77" s="391" t="s">
        <v>1278</v>
      </c>
      <c r="B77" s="391" t="s">
        <v>146</v>
      </c>
      <c r="C77" s="391" t="s">
        <v>1279</v>
      </c>
      <c r="D77" s="391" t="s">
        <v>1197</v>
      </c>
    </row>
    <row r="78" spans="1:4" x14ac:dyDescent="0.2">
      <c r="A78" s="391" t="s">
        <v>1276</v>
      </c>
      <c r="B78" s="391" t="s">
        <v>146</v>
      </c>
      <c r="C78" s="391" t="s">
        <v>1277</v>
      </c>
      <c r="D78" s="391" t="s">
        <v>1197</v>
      </c>
    </row>
    <row r="79" spans="1:4" x14ac:dyDescent="0.2">
      <c r="A79" s="391" t="s">
        <v>1195</v>
      </c>
      <c r="B79" s="391" t="s">
        <v>146</v>
      </c>
      <c r="C79" s="391" t="s">
        <v>1196</v>
      </c>
      <c r="D79" s="391" t="s">
        <v>1197</v>
      </c>
    </row>
    <row r="80" spans="1:4" x14ac:dyDescent="0.2">
      <c r="A80" s="391" t="s">
        <v>147</v>
      </c>
      <c r="B80" s="391" t="s">
        <v>147</v>
      </c>
      <c r="C80" s="391" t="s">
        <v>1410</v>
      </c>
      <c r="D80" s="391" t="s">
        <v>1186</v>
      </c>
    </row>
    <row r="81" spans="1:4" x14ac:dyDescent="0.2">
      <c r="A81" s="391" t="s">
        <v>148</v>
      </c>
      <c r="B81" s="391" t="s">
        <v>148</v>
      </c>
      <c r="C81" s="391" t="s">
        <v>1409</v>
      </c>
      <c r="D81" s="391" t="s">
        <v>1186</v>
      </c>
    </row>
    <row r="82" spans="1:4" x14ac:dyDescent="0.2">
      <c r="A82" s="391" t="s">
        <v>84</v>
      </c>
      <c r="B82" s="391" t="s">
        <v>84</v>
      </c>
      <c r="C82" s="391" t="s">
        <v>1406</v>
      </c>
      <c r="D82" s="391" t="s">
        <v>1186</v>
      </c>
    </row>
    <row r="83" spans="1:4" x14ac:dyDescent="0.2">
      <c r="A83" s="391" t="s">
        <v>259</v>
      </c>
      <c r="B83" s="391" t="s">
        <v>259</v>
      </c>
      <c r="C83" s="391" t="s">
        <v>1405</v>
      </c>
      <c r="D83" s="391" t="s">
        <v>1186</v>
      </c>
    </row>
    <row r="84" spans="1:4" x14ac:dyDescent="0.2">
      <c r="A84" s="391" t="s">
        <v>149</v>
      </c>
      <c r="B84" s="391" t="s">
        <v>149</v>
      </c>
      <c r="C84" s="391" t="s">
        <v>1404</v>
      </c>
      <c r="D84" s="391" t="s">
        <v>1186</v>
      </c>
    </row>
    <row r="85" spans="1:4" x14ac:dyDescent="0.2">
      <c r="A85" s="391" t="s">
        <v>150</v>
      </c>
      <c r="B85" s="391" t="s">
        <v>150</v>
      </c>
      <c r="C85" s="391" t="s">
        <v>1401</v>
      </c>
      <c r="D85" s="391" t="s">
        <v>1186</v>
      </c>
    </row>
    <row r="86" spans="1:4" x14ac:dyDescent="0.2">
      <c r="A86" s="391" t="s">
        <v>385</v>
      </c>
      <c r="B86" s="391" t="s">
        <v>385</v>
      </c>
      <c r="C86" s="391" t="s">
        <v>1399</v>
      </c>
      <c r="D86" s="391" t="s">
        <v>1186</v>
      </c>
    </row>
    <row r="87" spans="1:4" x14ac:dyDescent="0.2">
      <c r="A87" s="391" t="s">
        <v>40</v>
      </c>
      <c r="B87" s="391" t="s">
        <v>40</v>
      </c>
      <c r="C87" s="391" t="s">
        <v>1398</v>
      </c>
      <c r="D87" s="391" t="s">
        <v>1186</v>
      </c>
    </row>
    <row r="88" spans="1:4" x14ac:dyDescent="0.2">
      <c r="A88" s="391" t="s">
        <v>151</v>
      </c>
      <c r="B88" s="391" t="s">
        <v>151</v>
      </c>
      <c r="C88" s="391" t="s">
        <v>1395</v>
      </c>
      <c r="D88" s="391" t="s">
        <v>1186</v>
      </c>
    </row>
    <row r="89" spans="1:4" x14ac:dyDescent="0.2">
      <c r="A89" s="391" t="s">
        <v>387</v>
      </c>
      <c r="B89" s="391" t="s">
        <v>387</v>
      </c>
      <c r="C89" s="391" t="s">
        <v>1394</v>
      </c>
      <c r="D89" s="391" t="s">
        <v>1186</v>
      </c>
    </row>
    <row r="90" spans="1:4" x14ac:dyDescent="0.2">
      <c r="A90" s="391" t="s">
        <v>152</v>
      </c>
      <c r="B90" s="391" t="s">
        <v>152</v>
      </c>
      <c r="C90" s="391" t="s">
        <v>1393</v>
      </c>
      <c r="D90" s="391" t="s">
        <v>1186</v>
      </c>
    </row>
    <row r="91" spans="1:4" x14ac:dyDescent="0.2">
      <c r="A91" s="391" t="s">
        <v>46</v>
      </c>
      <c r="B91" s="391" t="s">
        <v>46</v>
      </c>
      <c r="C91" s="391" t="s">
        <v>1392</v>
      </c>
      <c r="D91" s="391" t="s">
        <v>1186</v>
      </c>
    </row>
    <row r="92" spans="1:4" x14ac:dyDescent="0.2">
      <c r="A92" s="391" t="s">
        <v>45</v>
      </c>
      <c r="B92" s="391" t="s">
        <v>45</v>
      </c>
      <c r="C92" s="391" t="s">
        <v>1389</v>
      </c>
      <c r="D92" s="391" t="s">
        <v>1186</v>
      </c>
    </row>
    <row r="93" spans="1:4" x14ac:dyDescent="0.2">
      <c r="A93" s="391" t="s">
        <v>153</v>
      </c>
      <c r="B93" s="391" t="s">
        <v>1387</v>
      </c>
      <c r="C93" s="391" t="s">
        <v>1388</v>
      </c>
      <c r="D93" s="391" t="s">
        <v>1194</v>
      </c>
    </row>
    <row r="94" spans="1:4" x14ac:dyDescent="0.2">
      <c r="A94" s="391" t="s">
        <v>154</v>
      </c>
      <c r="B94" s="391" t="s">
        <v>154</v>
      </c>
      <c r="C94" s="391" t="s">
        <v>1386</v>
      </c>
      <c r="D94" s="391" t="s">
        <v>1186</v>
      </c>
    </row>
    <row r="95" spans="1:4" x14ac:dyDescent="0.2">
      <c r="A95" s="391" t="s">
        <v>155</v>
      </c>
      <c r="B95" s="391" t="s">
        <v>155</v>
      </c>
      <c r="C95" s="391" t="s">
        <v>1385</v>
      </c>
      <c r="D95" s="391" t="s">
        <v>1186</v>
      </c>
    </row>
    <row r="96" spans="1:4" x14ac:dyDescent="0.2">
      <c r="A96" s="391" t="s">
        <v>70</v>
      </c>
      <c r="B96" s="391" t="s">
        <v>70</v>
      </c>
      <c r="C96" s="391" t="s">
        <v>1384</v>
      </c>
      <c r="D96" s="391" t="s">
        <v>1186</v>
      </c>
    </row>
    <row r="97" spans="1:4" x14ac:dyDescent="0.2">
      <c r="A97" s="391" t="s">
        <v>71</v>
      </c>
      <c r="B97" s="391" t="s">
        <v>71</v>
      </c>
      <c r="C97" s="391" t="s">
        <v>1381</v>
      </c>
      <c r="D97" s="391" t="s">
        <v>1186</v>
      </c>
    </row>
    <row r="98" spans="1:4" x14ac:dyDescent="0.2">
      <c r="A98" s="391" t="s">
        <v>156</v>
      </c>
      <c r="B98" s="391" t="s">
        <v>156</v>
      </c>
      <c r="C98" s="391" t="s">
        <v>1380</v>
      </c>
      <c r="D98" s="391" t="s">
        <v>1186</v>
      </c>
    </row>
    <row r="99" spans="1:4" x14ac:dyDescent="0.2">
      <c r="A99" s="391" t="s">
        <v>157</v>
      </c>
      <c r="B99" s="391" t="s">
        <v>157</v>
      </c>
      <c r="C99" s="391" t="s">
        <v>1379</v>
      </c>
      <c r="D99" s="391" t="s">
        <v>1186</v>
      </c>
    </row>
    <row r="100" spans="1:4" x14ac:dyDescent="0.2">
      <c r="A100" s="391" t="s">
        <v>158</v>
      </c>
      <c r="B100" s="391" t="s">
        <v>158</v>
      </c>
      <c r="C100" s="391" t="s">
        <v>1378</v>
      </c>
      <c r="D100" s="391" t="s">
        <v>1186</v>
      </c>
    </row>
    <row r="101" spans="1:4" x14ac:dyDescent="0.2">
      <c r="A101" s="391" t="s">
        <v>110</v>
      </c>
      <c r="B101" s="391" t="s">
        <v>110</v>
      </c>
      <c r="C101" s="391" t="s">
        <v>1375</v>
      </c>
      <c r="D101" s="391" t="s">
        <v>1186</v>
      </c>
    </row>
    <row r="102" spans="1:4" x14ac:dyDescent="0.2">
      <c r="A102" s="391" t="s">
        <v>159</v>
      </c>
      <c r="B102" s="391" t="s">
        <v>159</v>
      </c>
      <c r="C102" s="391" t="s">
        <v>1374</v>
      </c>
      <c r="D102" s="391" t="s">
        <v>1186</v>
      </c>
    </row>
    <row r="103" spans="1:4" x14ac:dyDescent="0.2">
      <c r="A103" s="391" t="s">
        <v>1443</v>
      </c>
      <c r="B103" s="391" t="s">
        <v>1444</v>
      </c>
      <c r="C103" s="391" t="s">
        <v>1445</v>
      </c>
      <c r="D103" s="391" t="s">
        <v>1186</v>
      </c>
    </row>
    <row r="104" spans="1:4" x14ac:dyDescent="0.2">
      <c r="A104" s="391" t="s">
        <v>160</v>
      </c>
      <c r="B104" s="391" t="s">
        <v>160</v>
      </c>
      <c r="C104" s="391" t="s">
        <v>1373</v>
      </c>
      <c r="D104" s="391" t="s">
        <v>1186</v>
      </c>
    </row>
    <row r="105" spans="1:4" x14ac:dyDescent="0.2">
      <c r="A105" s="391" t="s">
        <v>72</v>
      </c>
      <c r="B105" s="391" t="s">
        <v>72</v>
      </c>
      <c r="C105" s="391" t="s">
        <v>1372</v>
      </c>
      <c r="D105" s="391" t="s">
        <v>1186</v>
      </c>
    </row>
    <row r="106" spans="1:4" x14ac:dyDescent="0.2">
      <c r="A106" s="391" t="s">
        <v>161</v>
      </c>
      <c r="B106" s="391" t="s">
        <v>161</v>
      </c>
      <c r="C106" s="391" t="s">
        <v>1369</v>
      </c>
      <c r="D106" s="391" t="s">
        <v>1186</v>
      </c>
    </row>
    <row r="107" spans="1:4" x14ac:dyDescent="0.2">
      <c r="A107" s="391" t="s">
        <v>1260</v>
      </c>
      <c r="B107" s="391" t="s">
        <v>1261</v>
      </c>
      <c r="C107" s="391" t="s">
        <v>1262</v>
      </c>
      <c r="D107" s="391" t="s">
        <v>1263</v>
      </c>
    </row>
    <row r="108" spans="1:4" x14ac:dyDescent="0.2">
      <c r="A108" s="391" t="s">
        <v>388</v>
      </c>
      <c r="B108" s="391" t="s">
        <v>388</v>
      </c>
      <c r="C108" s="391" t="s">
        <v>1368</v>
      </c>
      <c r="D108" s="391" t="s">
        <v>1186</v>
      </c>
    </row>
    <row r="109" spans="1:4" x14ac:dyDescent="0.2">
      <c r="A109" s="391" t="s">
        <v>3</v>
      </c>
      <c r="B109" s="391" t="s">
        <v>3</v>
      </c>
      <c r="C109" s="391" t="s">
        <v>1367</v>
      </c>
      <c r="D109" s="391" t="s">
        <v>1186</v>
      </c>
    </row>
    <row r="110" spans="1:4" x14ac:dyDescent="0.2">
      <c r="A110" s="391" t="s">
        <v>502</v>
      </c>
      <c r="B110" s="391" t="s">
        <v>502</v>
      </c>
      <c r="C110" s="391" t="s">
        <v>1366</v>
      </c>
      <c r="D110" s="391" t="s">
        <v>1186</v>
      </c>
    </row>
    <row r="111" spans="1:4" x14ac:dyDescent="0.2">
      <c r="A111" s="391" t="s">
        <v>1364</v>
      </c>
      <c r="B111" s="391" t="s">
        <v>1364</v>
      </c>
      <c r="C111" s="391" t="s">
        <v>1365</v>
      </c>
      <c r="D111" s="391" t="s">
        <v>1186</v>
      </c>
    </row>
    <row r="112" spans="1:4" x14ac:dyDescent="0.2">
      <c r="A112" s="391" t="s">
        <v>163</v>
      </c>
      <c r="B112" s="391" t="s">
        <v>163</v>
      </c>
      <c r="C112" s="391" t="s">
        <v>1363</v>
      </c>
      <c r="D112" s="391" t="s">
        <v>1186</v>
      </c>
    </row>
    <row r="113" spans="1:4" x14ac:dyDescent="0.2">
      <c r="A113" s="391" t="s">
        <v>391</v>
      </c>
      <c r="B113" s="391" t="s">
        <v>391</v>
      </c>
      <c r="C113" s="391" t="s">
        <v>1362</v>
      </c>
      <c r="D113" s="391" t="s">
        <v>1186</v>
      </c>
    </row>
    <row r="114" spans="1:4" x14ac:dyDescent="0.2">
      <c r="A114" s="391" t="s">
        <v>164</v>
      </c>
      <c r="B114" s="391" t="s">
        <v>164</v>
      </c>
      <c r="C114" s="391" t="s">
        <v>1361</v>
      </c>
      <c r="D114" s="391" t="s">
        <v>1186</v>
      </c>
    </row>
    <row r="115" spans="1:4" x14ac:dyDescent="0.2">
      <c r="A115" s="391" t="s">
        <v>392</v>
      </c>
      <c r="B115" s="391" t="s">
        <v>392</v>
      </c>
      <c r="C115" s="391" t="s">
        <v>1360</v>
      </c>
      <c r="D115" s="391" t="s">
        <v>1186</v>
      </c>
    </row>
    <row r="116" spans="1:4" x14ac:dyDescent="0.2">
      <c r="A116" s="391" t="s">
        <v>165</v>
      </c>
      <c r="B116" s="391" t="s">
        <v>165</v>
      </c>
      <c r="C116" s="391" t="s">
        <v>1359</v>
      </c>
      <c r="D116" s="391" t="s">
        <v>1186</v>
      </c>
    </row>
    <row r="117" spans="1:4" x14ac:dyDescent="0.2">
      <c r="A117" s="391" t="s">
        <v>166</v>
      </c>
      <c r="B117" s="391" t="s">
        <v>166</v>
      </c>
      <c r="C117" s="391" t="s">
        <v>1358</v>
      </c>
      <c r="D117" s="391" t="s">
        <v>1186</v>
      </c>
    </row>
    <row r="118" spans="1:4" x14ac:dyDescent="0.2">
      <c r="A118" s="391" t="s">
        <v>167</v>
      </c>
      <c r="B118" s="391" t="s">
        <v>167</v>
      </c>
      <c r="C118" s="391" t="s">
        <v>1357</v>
      </c>
      <c r="D118" s="391" t="s">
        <v>1186</v>
      </c>
    </row>
    <row r="119" spans="1:4" x14ac:dyDescent="0.2">
      <c r="A119" s="391" t="s">
        <v>168</v>
      </c>
      <c r="B119" s="391" t="s">
        <v>168</v>
      </c>
      <c r="C119" s="391" t="s">
        <v>1356</v>
      </c>
      <c r="D119" s="391" t="s">
        <v>1186</v>
      </c>
    </row>
    <row r="120" spans="1:4" x14ac:dyDescent="0.2">
      <c r="A120" s="391" t="s">
        <v>393</v>
      </c>
      <c r="B120" s="391" t="s">
        <v>393</v>
      </c>
      <c r="C120" s="391" t="s">
        <v>1355</v>
      </c>
      <c r="D120" s="391" t="s">
        <v>1186</v>
      </c>
    </row>
    <row r="121" spans="1:4" x14ac:dyDescent="0.2">
      <c r="A121" s="391" t="s">
        <v>262</v>
      </c>
      <c r="B121" s="391" t="s">
        <v>262</v>
      </c>
      <c r="C121" s="391" t="s">
        <v>1354</v>
      </c>
      <c r="D121" s="391" t="s">
        <v>1186</v>
      </c>
    </row>
    <row r="122" spans="1:4" x14ac:dyDescent="0.2">
      <c r="A122" s="391" t="s">
        <v>169</v>
      </c>
      <c r="B122" s="391" t="s">
        <v>169</v>
      </c>
      <c r="C122" s="391" t="s">
        <v>1353</v>
      </c>
      <c r="D122" s="391" t="s">
        <v>1186</v>
      </c>
    </row>
    <row r="123" spans="1:4" x14ac:dyDescent="0.2">
      <c r="A123" s="391" t="s">
        <v>1350</v>
      </c>
      <c r="B123" s="391" t="s">
        <v>1351</v>
      </c>
      <c r="C123" s="391" t="s">
        <v>1352</v>
      </c>
      <c r="D123" s="391" t="s">
        <v>1194</v>
      </c>
    </row>
    <row r="124" spans="1:4" x14ac:dyDescent="0.2">
      <c r="A124" s="391" t="s">
        <v>394</v>
      </c>
      <c r="B124" s="391" t="s">
        <v>394</v>
      </c>
      <c r="C124" s="391" t="s">
        <v>1349</v>
      </c>
      <c r="D124" s="391" t="s">
        <v>1186</v>
      </c>
    </row>
    <row r="125" spans="1:4" x14ac:dyDescent="0.2">
      <c r="A125" s="391" t="s">
        <v>170</v>
      </c>
      <c r="B125" s="391" t="s">
        <v>170</v>
      </c>
      <c r="C125" s="391" t="s">
        <v>1348</v>
      </c>
      <c r="D125" s="391" t="s">
        <v>1186</v>
      </c>
    </row>
    <row r="126" spans="1:4" x14ac:dyDescent="0.2">
      <c r="A126" s="391" t="s">
        <v>171</v>
      </c>
      <c r="B126" s="391" t="s">
        <v>171</v>
      </c>
      <c r="C126" s="391" t="s">
        <v>1347</v>
      </c>
      <c r="D126" s="391" t="s">
        <v>1186</v>
      </c>
    </row>
    <row r="127" spans="1:4" x14ac:dyDescent="0.2">
      <c r="A127" s="391" t="s">
        <v>172</v>
      </c>
      <c r="B127" s="391" t="s">
        <v>172</v>
      </c>
      <c r="C127" s="391" t="s">
        <v>1346</v>
      </c>
      <c r="D127" s="391" t="s">
        <v>1186</v>
      </c>
    </row>
    <row r="128" spans="1:4" x14ac:dyDescent="0.2">
      <c r="A128" s="391" t="s">
        <v>173</v>
      </c>
      <c r="B128" s="391" t="s">
        <v>173</v>
      </c>
      <c r="C128" s="391" t="s">
        <v>1345</v>
      </c>
      <c r="D128" s="391" t="s">
        <v>1186</v>
      </c>
    </row>
    <row r="129" spans="1:4" x14ac:dyDescent="0.2">
      <c r="A129" s="391" t="s">
        <v>174</v>
      </c>
      <c r="B129" s="391" t="s">
        <v>174</v>
      </c>
      <c r="C129" s="391" t="s">
        <v>1344</v>
      </c>
      <c r="D129" s="391" t="s">
        <v>1186</v>
      </c>
    </row>
    <row r="130" spans="1:4" x14ac:dyDescent="0.2">
      <c r="A130" s="391" t="s">
        <v>175</v>
      </c>
      <c r="B130" s="391" t="s">
        <v>175</v>
      </c>
      <c r="C130" s="391" t="s">
        <v>1343</v>
      </c>
      <c r="D130" s="391" t="s">
        <v>1186</v>
      </c>
    </row>
    <row r="131" spans="1:4" x14ac:dyDescent="0.2">
      <c r="A131" s="391" t="s">
        <v>1161</v>
      </c>
      <c r="B131" s="391" t="s">
        <v>1161</v>
      </c>
      <c r="C131" s="391" t="s">
        <v>1342</v>
      </c>
      <c r="D131" s="391" t="s">
        <v>1186</v>
      </c>
    </row>
    <row r="132" spans="1:4" x14ac:dyDescent="0.2">
      <c r="A132" s="391" t="s">
        <v>176</v>
      </c>
      <c r="B132" s="391" t="s">
        <v>176</v>
      </c>
      <c r="C132" s="391" t="s">
        <v>1341</v>
      </c>
      <c r="D132" s="391" t="s">
        <v>1186</v>
      </c>
    </row>
    <row r="133" spans="1:4" x14ac:dyDescent="0.2">
      <c r="A133" s="391" t="s">
        <v>177</v>
      </c>
      <c r="B133" s="391" t="s">
        <v>177</v>
      </c>
      <c r="C133" s="391" t="s">
        <v>1340</v>
      </c>
      <c r="D133" s="391" t="s">
        <v>1186</v>
      </c>
    </row>
    <row r="134" spans="1:4" x14ac:dyDescent="0.2">
      <c r="A134" s="391" t="s">
        <v>50</v>
      </c>
      <c r="B134" s="391" t="s">
        <v>50</v>
      </c>
      <c r="C134" s="391" t="s">
        <v>1339</v>
      </c>
      <c r="D134" s="391" t="s">
        <v>1186</v>
      </c>
    </row>
    <row r="135" spans="1:4" x14ac:dyDescent="0.2">
      <c r="A135" s="391" t="s">
        <v>396</v>
      </c>
      <c r="B135" s="391" t="s">
        <v>396</v>
      </c>
      <c r="C135" s="391" t="s">
        <v>1335</v>
      </c>
      <c r="D135" s="391" t="s">
        <v>1186</v>
      </c>
    </row>
    <row r="136" spans="1:4" x14ac:dyDescent="0.2">
      <c r="A136" s="391" t="s">
        <v>1333</v>
      </c>
      <c r="B136" s="391" t="s">
        <v>1333</v>
      </c>
      <c r="C136" s="391" t="s">
        <v>1334</v>
      </c>
      <c r="D136" s="391" t="s">
        <v>1186</v>
      </c>
    </row>
    <row r="137" spans="1:4" x14ac:dyDescent="0.2">
      <c r="A137" s="391" t="s">
        <v>178</v>
      </c>
      <c r="B137" s="391" t="s">
        <v>178</v>
      </c>
      <c r="C137" s="391" t="s">
        <v>1332</v>
      </c>
      <c r="D137" s="391" t="s">
        <v>1186</v>
      </c>
    </row>
    <row r="138" spans="1:4" x14ac:dyDescent="0.2">
      <c r="A138" s="391" t="s">
        <v>438</v>
      </c>
      <c r="B138" s="391" t="s">
        <v>438</v>
      </c>
      <c r="C138" s="391" t="s">
        <v>1331</v>
      </c>
      <c r="D138" s="391" t="s">
        <v>1186</v>
      </c>
    </row>
    <row r="139" spans="1:4" x14ac:dyDescent="0.2">
      <c r="A139" s="391" t="s">
        <v>179</v>
      </c>
      <c r="B139" s="391" t="s">
        <v>179</v>
      </c>
      <c r="C139" s="391" t="s">
        <v>1328</v>
      </c>
      <c r="D139" s="391" t="s">
        <v>1186</v>
      </c>
    </row>
    <row r="140" spans="1:4" x14ac:dyDescent="0.2">
      <c r="A140" s="391" t="s">
        <v>180</v>
      </c>
      <c r="B140" s="391" t="s">
        <v>180</v>
      </c>
      <c r="C140" s="391" t="s">
        <v>1327</v>
      </c>
      <c r="D140" s="391" t="s">
        <v>1186</v>
      </c>
    </row>
    <row r="141" spans="1:4" x14ac:dyDescent="0.2">
      <c r="A141" s="391" t="s">
        <v>397</v>
      </c>
      <c r="B141" s="391" t="s">
        <v>397</v>
      </c>
      <c r="C141" s="391" t="s">
        <v>1326</v>
      </c>
      <c r="D141" s="391" t="s">
        <v>1186</v>
      </c>
    </row>
    <row r="142" spans="1:4" x14ac:dyDescent="0.2">
      <c r="A142" s="391" t="s">
        <v>4</v>
      </c>
      <c r="B142" s="391" t="s">
        <v>4</v>
      </c>
      <c r="C142" s="391" t="s">
        <v>1325</v>
      </c>
      <c r="D142" s="391" t="s">
        <v>1186</v>
      </c>
    </row>
    <row r="143" spans="1:4" x14ac:dyDescent="0.2">
      <c r="A143" s="391" t="s">
        <v>1323</v>
      </c>
      <c r="B143" s="391" t="s">
        <v>1323</v>
      </c>
      <c r="C143" s="391" t="s">
        <v>1324</v>
      </c>
      <c r="D143" s="391" t="s">
        <v>1186</v>
      </c>
    </row>
    <row r="144" spans="1:4" x14ac:dyDescent="0.2">
      <c r="A144" s="391" t="s">
        <v>181</v>
      </c>
      <c r="B144" s="391" t="s">
        <v>181</v>
      </c>
      <c r="C144" s="391" t="s">
        <v>1322</v>
      </c>
      <c r="D144" s="391" t="s">
        <v>1186</v>
      </c>
    </row>
    <row r="145" spans="1:4" x14ac:dyDescent="0.2">
      <c r="A145" s="391" t="s">
        <v>1492</v>
      </c>
      <c r="B145" s="391" t="s">
        <v>93</v>
      </c>
      <c r="C145" s="391" t="s">
        <v>1493</v>
      </c>
      <c r="D145" s="391" t="s">
        <v>1194</v>
      </c>
    </row>
    <row r="146" spans="1:4" x14ac:dyDescent="0.2">
      <c r="A146" s="391" t="s">
        <v>1439</v>
      </c>
      <c r="B146" s="391" t="s">
        <v>93</v>
      </c>
      <c r="C146" s="391" t="s">
        <v>1440</v>
      </c>
      <c r="D146" s="391" t="s">
        <v>1194</v>
      </c>
    </row>
    <row r="147" spans="1:4" x14ac:dyDescent="0.2">
      <c r="A147" s="391" t="s">
        <v>93</v>
      </c>
      <c r="B147" s="391" t="s">
        <v>93</v>
      </c>
      <c r="C147" s="391" t="s">
        <v>1321</v>
      </c>
      <c r="D147" s="391" t="s">
        <v>1194</v>
      </c>
    </row>
    <row r="148" spans="1:4" x14ac:dyDescent="0.2">
      <c r="A148" s="391" t="s">
        <v>1256</v>
      </c>
      <c r="B148" s="391" t="s">
        <v>93</v>
      </c>
      <c r="C148" s="391" t="s">
        <v>1257</v>
      </c>
      <c r="D148" s="391" t="s">
        <v>1194</v>
      </c>
    </row>
    <row r="149" spans="1:4" x14ac:dyDescent="0.2">
      <c r="A149" s="391" t="s">
        <v>1449</v>
      </c>
      <c r="B149" s="391" t="s">
        <v>182</v>
      </c>
      <c r="C149" s="391" t="s">
        <v>1450</v>
      </c>
      <c r="D149" s="391" t="s">
        <v>1197</v>
      </c>
    </row>
    <row r="150" spans="1:4" x14ac:dyDescent="0.2">
      <c r="A150" s="391" t="s">
        <v>182</v>
      </c>
      <c r="B150" s="391" t="s">
        <v>182</v>
      </c>
      <c r="C150" s="391" t="s">
        <v>1319</v>
      </c>
      <c r="D150" s="391" t="s">
        <v>1194</v>
      </c>
    </row>
    <row r="151" spans="1:4" x14ac:dyDescent="0.2">
      <c r="A151" s="391" t="s">
        <v>1314</v>
      </c>
      <c r="B151" s="391" t="s">
        <v>182</v>
      </c>
      <c r="C151" s="391" t="s">
        <v>1315</v>
      </c>
      <c r="D151" s="391" t="s">
        <v>1197</v>
      </c>
    </row>
    <row r="152" spans="1:4" x14ac:dyDescent="0.2">
      <c r="A152" s="391" t="s">
        <v>51</v>
      </c>
      <c r="B152" s="391" t="s">
        <v>51</v>
      </c>
      <c r="C152" s="391" t="s">
        <v>1318</v>
      </c>
      <c r="D152" s="391" t="s">
        <v>1186</v>
      </c>
    </row>
    <row r="153" spans="1:4" x14ac:dyDescent="0.2">
      <c r="A153" s="391" t="s">
        <v>183</v>
      </c>
      <c r="B153" s="391" t="s">
        <v>183</v>
      </c>
      <c r="C153" s="391" t="s">
        <v>1317</v>
      </c>
      <c r="D153" s="391" t="s">
        <v>1186</v>
      </c>
    </row>
    <row r="154" spans="1:4" x14ac:dyDescent="0.2">
      <c r="A154" s="391" t="s">
        <v>5</v>
      </c>
      <c r="B154" s="391" t="s">
        <v>5</v>
      </c>
      <c r="C154" s="391" t="s">
        <v>1316</v>
      </c>
      <c r="D154" s="391" t="s">
        <v>1186</v>
      </c>
    </row>
    <row r="155" spans="1:4" x14ac:dyDescent="0.2">
      <c r="A155" s="391" t="s">
        <v>1310</v>
      </c>
      <c r="B155" s="391" t="s">
        <v>1310</v>
      </c>
      <c r="C155" s="391" t="s">
        <v>1311</v>
      </c>
      <c r="D155" s="391" t="s">
        <v>1186</v>
      </c>
    </row>
    <row r="156" spans="1:4" x14ac:dyDescent="0.2">
      <c r="A156" s="391" t="s">
        <v>94</v>
      </c>
      <c r="B156" s="391" t="s">
        <v>94</v>
      </c>
      <c r="C156" s="391" t="s">
        <v>1307</v>
      </c>
      <c r="D156" s="391" t="s">
        <v>1186</v>
      </c>
    </row>
    <row r="157" spans="1:4" x14ac:dyDescent="0.2">
      <c r="A157" s="391" t="s">
        <v>400</v>
      </c>
      <c r="B157" s="391" t="s">
        <v>400</v>
      </c>
      <c r="C157" s="391" t="s">
        <v>1306</v>
      </c>
      <c r="D157" s="391" t="s">
        <v>1186</v>
      </c>
    </row>
    <row r="158" spans="1:4" x14ac:dyDescent="0.2">
      <c r="A158" s="391" t="s">
        <v>184</v>
      </c>
      <c r="B158" s="391" t="s">
        <v>184</v>
      </c>
      <c r="C158" s="391" t="s">
        <v>1305</v>
      </c>
      <c r="D158" s="391" t="s">
        <v>1186</v>
      </c>
    </row>
    <row r="159" spans="1:4" x14ac:dyDescent="0.2">
      <c r="A159" s="391" t="s">
        <v>1303</v>
      </c>
      <c r="B159" s="391" t="s">
        <v>1303</v>
      </c>
      <c r="C159" s="391" t="s">
        <v>1304</v>
      </c>
      <c r="D159" s="391" t="s">
        <v>1186</v>
      </c>
    </row>
    <row r="160" spans="1:4" x14ac:dyDescent="0.2">
      <c r="A160" s="391" t="s">
        <v>1407</v>
      </c>
      <c r="B160" s="391" t="s">
        <v>1192</v>
      </c>
      <c r="C160" s="391" t="s">
        <v>1408</v>
      </c>
      <c r="D160" s="391" t="s">
        <v>1194</v>
      </c>
    </row>
    <row r="161" spans="1:4" x14ac:dyDescent="0.2">
      <c r="A161" s="391" t="s">
        <v>1191</v>
      </c>
      <c r="B161" s="391" t="s">
        <v>1192</v>
      </c>
      <c r="C161" s="391" t="s">
        <v>1193</v>
      </c>
      <c r="D161" s="391" t="s">
        <v>1194</v>
      </c>
    </row>
    <row r="162" spans="1:4" x14ac:dyDescent="0.2">
      <c r="A162" s="391" t="s">
        <v>185</v>
      </c>
      <c r="B162" s="391" t="s">
        <v>185</v>
      </c>
      <c r="C162" s="391" t="s">
        <v>1302</v>
      </c>
      <c r="D162" s="391" t="s">
        <v>1186</v>
      </c>
    </row>
    <row r="163" spans="1:4" x14ac:dyDescent="0.2">
      <c r="A163" s="391" t="s">
        <v>73</v>
      </c>
      <c r="B163" s="391" t="s">
        <v>73</v>
      </c>
      <c r="C163" s="391" t="s">
        <v>1034</v>
      </c>
      <c r="D163" s="391" t="s">
        <v>1186</v>
      </c>
    </row>
    <row r="164" spans="1:4" x14ac:dyDescent="0.2">
      <c r="A164" s="391" t="s">
        <v>56</v>
      </c>
      <c r="B164" s="391" t="s">
        <v>56</v>
      </c>
      <c r="C164" s="391" t="s">
        <v>1301</v>
      </c>
      <c r="D164" s="391" t="s">
        <v>1186</v>
      </c>
    </row>
    <row r="165" spans="1:4" x14ac:dyDescent="0.2">
      <c r="A165" s="391" t="s">
        <v>57</v>
      </c>
      <c r="B165" s="391" t="s">
        <v>57</v>
      </c>
      <c r="C165" s="391" t="s">
        <v>1300</v>
      </c>
      <c r="D165" s="391" t="s">
        <v>1186</v>
      </c>
    </row>
    <row r="166" spans="1:4" x14ac:dyDescent="0.2">
      <c r="A166" s="391" t="s">
        <v>79</v>
      </c>
      <c r="B166" s="391" t="s">
        <v>79</v>
      </c>
      <c r="C166" s="391" t="s">
        <v>1299</v>
      </c>
      <c r="D166" s="391" t="s">
        <v>1186</v>
      </c>
    </row>
    <row r="167" spans="1:4" x14ac:dyDescent="0.2">
      <c r="A167" s="391" t="s">
        <v>186</v>
      </c>
      <c r="B167" s="391" t="s">
        <v>186</v>
      </c>
      <c r="C167" s="391" t="s">
        <v>1296</v>
      </c>
      <c r="D167" s="391" t="s">
        <v>1186</v>
      </c>
    </row>
    <row r="168" spans="1:4" x14ac:dyDescent="0.2">
      <c r="A168" s="391" t="s">
        <v>187</v>
      </c>
      <c r="B168" s="391" t="s">
        <v>187</v>
      </c>
      <c r="C168" s="391" t="s">
        <v>1295</v>
      </c>
      <c r="D168" s="391" t="s">
        <v>1186</v>
      </c>
    </row>
    <row r="169" spans="1:4" x14ac:dyDescent="0.2">
      <c r="A169" s="391" t="s">
        <v>401</v>
      </c>
      <c r="B169" s="391" t="s">
        <v>401</v>
      </c>
      <c r="C169" s="391" t="s">
        <v>1293</v>
      </c>
      <c r="D169" s="391" t="s">
        <v>1186</v>
      </c>
    </row>
    <row r="170" spans="1:4" x14ac:dyDescent="0.2">
      <c r="A170" s="391" t="s">
        <v>405</v>
      </c>
      <c r="B170" s="391" t="s">
        <v>1265</v>
      </c>
      <c r="C170" s="391" t="s">
        <v>1266</v>
      </c>
      <c r="D170" s="391" t="s">
        <v>1186</v>
      </c>
    </row>
    <row r="171" spans="1:4" x14ac:dyDescent="0.2">
      <c r="A171" s="391" t="s">
        <v>1291</v>
      </c>
      <c r="B171" s="391" t="s">
        <v>1291</v>
      </c>
      <c r="C171" s="391" t="s">
        <v>1292</v>
      </c>
      <c r="D171" s="391" t="s">
        <v>1186</v>
      </c>
    </row>
    <row r="172" spans="1:4" x14ac:dyDescent="0.2">
      <c r="A172" s="391" t="s">
        <v>95</v>
      </c>
      <c r="B172" s="391" t="s">
        <v>95</v>
      </c>
      <c r="C172" s="391" t="s">
        <v>1290</v>
      </c>
      <c r="D172" s="391" t="s">
        <v>1186</v>
      </c>
    </row>
    <row r="173" spans="1:4" x14ac:dyDescent="0.2">
      <c r="A173" s="391" t="s">
        <v>403</v>
      </c>
      <c r="B173" s="391" t="s">
        <v>403</v>
      </c>
      <c r="C173" s="391" t="s">
        <v>1289</v>
      </c>
      <c r="D173" s="391" t="s">
        <v>1186</v>
      </c>
    </row>
    <row r="174" spans="1:4" x14ac:dyDescent="0.2">
      <c r="A174" s="391" t="s">
        <v>188</v>
      </c>
      <c r="B174" s="391" t="s">
        <v>188</v>
      </c>
      <c r="C174" s="391" t="s">
        <v>1288</v>
      </c>
      <c r="D174" s="391" t="s">
        <v>1186</v>
      </c>
    </row>
    <row r="175" spans="1:4" x14ac:dyDescent="0.2">
      <c r="A175" s="391" t="s">
        <v>1282</v>
      </c>
      <c r="B175" s="391" t="s">
        <v>1282</v>
      </c>
      <c r="C175" s="391" t="s">
        <v>1283</v>
      </c>
      <c r="D175" s="391" t="s">
        <v>1186</v>
      </c>
    </row>
    <row r="176" spans="1:4" x14ac:dyDescent="0.2">
      <c r="A176" s="391" t="s">
        <v>1280</v>
      </c>
      <c r="B176" s="391" t="s">
        <v>1280</v>
      </c>
      <c r="C176" s="391" t="s">
        <v>1281</v>
      </c>
      <c r="D176" s="391" t="s">
        <v>1186</v>
      </c>
    </row>
    <row r="177" spans="1:4" x14ac:dyDescent="0.2">
      <c r="A177" s="391" t="s">
        <v>1274</v>
      </c>
      <c r="B177" s="391" t="s">
        <v>1274</v>
      </c>
      <c r="C177" s="391" t="s">
        <v>1275</v>
      </c>
      <c r="D177" s="391" t="s">
        <v>1186</v>
      </c>
    </row>
    <row r="178" spans="1:4" x14ac:dyDescent="0.2">
      <c r="A178" s="391" t="s">
        <v>80</v>
      </c>
      <c r="B178" s="391" t="s">
        <v>80</v>
      </c>
      <c r="C178" s="391" t="s">
        <v>1273</v>
      </c>
      <c r="D178" s="391" t="s">
        <v>1186</v>
      </c>
    </row>
    <row r="179" spans="1:4" x14ac:dyDescent="0.2">
      <c r="A179" s="391" t="s">
        <v>1271</v>
      </c>
      <c r="B179" s="391" t="s">
        <v>1271</v>
      </c>
      <c r="C179" s="391" t="s">
        <v>1272</v>
      </c>
      <c r="D179" s="391" t="s">
        <v>1186</v>
      </c>
    </row>
    <row r="180" spans="1:4" x14ac:dyDescent="0.2">
      <c r="A180" s="391" t="s">
        <v>1269</v>
      </c>
      <c r="B180" s="391" t="s">
        <v>1269</v>
      </c>
      <c r="C180" s="391" t="s">
        <v>1270</v>
      </c>
      <c r="D180" s="391" t="s">
        <v>1186</v>
      </c>
    </row>
    <row r="181" spans="1:4" x14ac:dyDescent="0.2">
      <c r="A181" s="391" t="s">
        <v>189</v>
      </c>
      <c r="B181" s="391" t="s">
        <v>189</v>
      </c>
      <c r="C181" s="391" t="s">
        <v>1268</v>
      </c>
      <c r="D181" s="391" t="s">
        <v>1186</v>
      </c>
    </row>
    <row r="182" spans="1:4" x14ac:dyDescent="0.2">
      <c r="A182" s="391" t="s">
        <v>190</v>
      </c>
      <c r="B182" s="391" t="s">
        <v>190</v>
      </c>
      <c r="C182" s="391" t="s">
        <v>1267</v>
      </c>
      <c r="D182" s="391" t="s">
        <v>1186</v>
      </c>
    </row>
    <row r="183" spans="1:4" x14ac:dyDescent="0.2">
      <c r="A183" s="391" t="s">
        <v>501</v>
      </c>
      <c r="B183" s="391" t="s">
        <v>501</v>
      </c>
      <c r="C183" s="391" t="s">
        <v>1264</v>
      </c>
      <c r="D183" s="391" t="s">
        <v>1186</v>
      </c>
    </row>
    <row r="184" spans="1:4" x14ac:dyDescent="0.2">
      <c r="A184" s="391" t="s">
        <v>191</v>
      </c>
      <c r="B184" s="391" t="s">
        <v>191</v>
      </c>
      <c r="C184" s="391" t="s">
        <v>1259</v>
      </c>
      <c r="D184" s="391" t="s">
        <v>1186</v>
      </c>
    </row>
    <row r="185" spans="1:4" x14ac:dyDescent="0.2">
      <c r="A185" s="391" t="s">
        <v>192</v>
      </c>
      <c r="B185" s="391" t="s">
        <v>192</v>
      </c>
      <c r="C185" s="391" t="s">
        <v>1258</v>
      </c>
      <c r="D185" s="391" t="s">
        <v>1186</v>
      </c>
    </row>
    <row r="186" spans="1:4" x14ac:dyDescent="0.2">
      <c r="A186" s="391" t="s">
        <v>406</v>
      </c>
      <c r="B186" s="391" t="s">
        <v>406</v>
      </c>
      <c r="C186" s="391" t="s">
        <v>1255</v>
      </c>
      <c r="D186" s="391" t="s">
        <v>1186</v>
      </c>
    </row>
    <row r="187" spans="1:4" x14ac:dyDescent="0.2">
      <c r="A187" s="391" t="s">
        <v>407</v>
      </c>
      <c r="B187" s="391" t="s">
        <v>407</v>
      </c>
      <c r="C187" s="391" t="s">
        <v>1254</v>
      </c>
      <c r="D187" s="391" t="s">
        <v>1186</v>
      </c>
    </row>
    <row r="188" spans="1:4" x14ac:dyDescent="0.2">
      <c r="A188" s="391" t="s">
        <v>408</v>
      </c>
      <c r="B188" s="391" t="s">
        <v>408</v>
      </c>
      <c r="C188" s="391" t="s">
        <v>1253</v>
      </c>
      <c r="D188" s="391" t="s">
        <v>1186</v>
      </c>
    </row>
    <row r="189" spans="1:4" x14ac:dyDescent="0.2">
      <c r="A189" s="391" t="s">
        <v>193</v>
      </c>
      <c r="B189" s="391" t="s">
        <v>193</v>
      </c>
      <c r="C189" s="391" t="s">
        <v>1252</v>
      </c>
      <c r="D189" s="391" t="s">
        <v>1186</v>
      </c>
    </row>
    <row r="190" spans="1:4" x14ac:dyDescent="0.2">
      <c r="A190" s="391" t="s">
        <v>1250</v>
      </c>
      <c r="B190" s="391" t="s">
        <v>1250</v>
      </c>
      <c r="C190" s="391" t="s">
        <v>1251</v>
      </c>
      <c r="D190" s="391" t="s">
        <v>1190</v>
      </c>
    </row>
    <row r="191" spans="1:4" x14ac:dyDescent="0.2">
      <c r="A191" s="391" t="s">
        <v>194</v>
      </c>
      <c r="B191" s="391" t="s">
        <v>194</v>
      </c>
      <c r="C191" s="391" t="s">
        <v>1249</v>
      </c>
      <c r="D191" s="391" t="s">
        <v>1186</v>
      </c>
    </row>
    <row r="192" spans="1:4" x14ac:dyDescent="0.2">
      <c r="A192" s="391" t="s">
        <v>1245</v>
      </c>
      <c r="B192" s="391" t="s">
        <v>1245</v>
      </c>
      <c r="C192" s="391" t="s">
        <v>1246</v>
      </c>
      <c r="D192" s="391" t="s">
        <v>1186</v>
      </c>
    </row>
    <row r="193" spans="1:4" x14ac:dyDescent="0.2">
      <c r="A193" s="391" t="s">
        <v>1243</v>
      </c>
      <c r="B193" s="391" t="s">
        <v>1243</v>
      </c>
      <c r="C193" s="391" t="s">
        <v>1244</v>
      </c>
      <c r="D193" s="391" t="s">
        <v>1186</v>
      </c>
    </row>
    <row r="194" spans="1:4" x14ac:dyDescent="0.2">
      <c r="A194" s="391" t="s">
        <v>195</v>
      </c>
      <c r="B194" s="391" t="s">
        <v>195</v>
      </c>
      <c r="C194" s="391" t="s">
        <v>1242</v>
      </c>
      <c r="D194" s="391" t="s">
        <v>1186</v>
      </c>
    </row>
    <row r="195" spans="1:4" x14ac:dyDescent="0.2">
      <c r="A195" s="391" t="s">
        <v>196</v>
      </c>
      <c r="B195" s="391" t="s">
        <v>196</v>
      </c>
      <c r="C195" s="391" t="s">
        <v>1241</v>
      </c>
      <c r="D195" s="391" t="s">
        <v>1186</v>
      </c>
    </row>
    <row r="196" spans="1:4" x14ac:dyDescent="0.2">
      <c r="A196" s="391" t="s">
        <v>197</v>
      </c>
      <c r="B196" s="391" t="s">
        <v>197</v>
      </c>
      <c r="C196" s="391" t="s">
        <v>1240</v>
      </c>
      <c r="D196" s="391" t="s">
        <v>1186</v>
      </c>
    </row>
    <row r="197" spans="1:4" x14ac:dyDescent="0.2">
      <c r="A197" s="391" t="s">
        <v>412</v>
      </c>
      <c r="B197" s="391" t="s">
        <v>412</v>
      </c>
      <c r="C197" s="391" t="s">
        <v>1239</v>
      </c>
      <c r="D197" s="391" t="s">
        <v>1186</v>
      </c>
    </row>
    <row r="198" spans="1:4" x14ac:dyDescent="0.2">
      <c r="A198" s="391" t="s">
        <v>413</v>
      </c>
      <c r="B198" s="391" t="s">
        <v>413</v>
      </c>
      <c r="C198" s="391" t="s">
        <v>1238</v>
      </c>
      <c r="D198" s="391" t="s">
        <v>1186</v>
      </c>
    </row>
    <row r="199" spans="1:4" x14ac:dyDescent="0.2">
      <c r="A199" s="391" t="s">
        <v>96</v>
      </c>
      <c r="B199" s="391" t="s">
        <v>96</v>
      </c>
      <c r="C199" s="391" t="s">
        <v>1237</v>
      </c>
      <c r="D199" s="391" t="s">
        <v>1186</v>
      </c>
    </row>
    <row r="200" spans="1:4" x14ac:dyDescent="0.2">
      <c r="A200" s="391" t="s">
        <v>97</v>
      </c>
      <c r="B200" s="391" t="s">
        <v>97</v>
      </c>
      <c r="C200" s="391" t="s">
        <v>1236</v>
      </c>
      <c r="D200" s="391" t="s">
        <v>1186</v>
      </c>
    </row>
    <row r="201" spans="1:4" x14ac:dyDescent="0.2">
      <c r="A201" s="391" t="s">
        <v>198</v>
      </c>
      <c r="B201" s="391" t="s">
        <v>198</v>
      </c>
      <c r="C201" s="391" t="s">
        <v>1235</v>
      </c>
      <c r="D201" s="391" t="s">
        <v>1186</v>
      </c>
    </row>
    <row r="202" spans="1:4" x14ac:dyDescent="0.2">
      <c r="A202" s="391" t="s">
        <v>199</v>
      </c>
      <c r="B202" s="391" t="s">
        <v>199</v>
      </c>
      <c r="C202" s="391" t="s">
        <v>1234</v>
      </c>
      <c r="D202" s="391" t="s">
        <v>1186</v>
      </c>
    </row>
    <row r="203" spans="1:4" x14ac:dyDescent="0.2">
      <c r="A203" s="391" t="s">
        <v>320</v>
      </c>
      <c r="B203" s="391" t="s">
        <v>320</v>
      </c>
      <c r="C203" s="391" t="s">
        <v>1233</v>
      </c>
      <c r="D203" s="391" t="s">
        <v>1186</v>
      </c>
    </row>
    <row r="204" spans="1:4" x14ac:dyDescent="0.2">
      <c r="A204" s="391" t="s">
        <v>81</v>
      </c>
      <c r="B204" s="391" t="s">
        <v>81</v>
      </c>
      <c r="C204" s="391" t="s">
        <v>1230</v>
      </c>
      <c r="D204" s="391" t="s">
        <v>1186</v>
      </c>
    </row>
    <row r="205" spans="1:4" x14ac:dyDescent="0.2">
      <c r="A205" s="391" t="s">
        <v>200</v>
      </c>
      <c r="B205" s="391" t="s">
        <v>200</v>
      </c>
      <c r="C205" s="391" t="s">
        <v>1229</v>
      </c>
      <c r="D205" s="391" t="s">
        <v>1186</v>
      </c>
    </row>
    <row r="206" spans="1:4" x14ac:dyDescent="0.2">
      <c r="A206" s="391" t="s">
        <v>1227</v>
      </c>
      <c r="B206" s="391" t="s">
        <v>1227</v>
      </c>
      <c r="C206" s="391" t="s">
        <v>1228</v>
      </c>
      <c r="D206" s="391" t="s">
        <v>1186</v>
      </c>
    </row>
    <row r="207" spans="1:4" x14ac:dyDescent="0.2">
      <c r="A207" s="391" t="s">
        <v>353</v>
      </c>
      <c r="B207" s="391" t="s">
        <v>353</v>
      </c>
      <c r="C207" s="391" t="s">
        <v>1226</v>
      </c>
      <c r="D207" s="391" t="s">
        <v>1186</v>
      </c>
    </row>
    <row r="208" spans="1:4" x14ac:dyDescent="0.2">
      <c r="A208" s="391" t="s">
        <v>202</v>
      </c>
      <c r="B208" s="391" t="s">
        <v>202</v>
      </c>
      <c r="C208" s="391" t="s">
        <v>1225</v>
      </c>
      <c r="D208" s="391" t="s">
        <v>1186</v>
      </c>
    </row>
    <row r="209" spans="1:4" x14ac:dyDescent="0.2">
      <c r="A209" s="391" t="s">
        <v>98</v>
      </c>
      <c r="B209" s="391" t="s">
        <v>98</v>
      </c>
      <c r="C209" s="391" t="s">
        <v>1224</v>
      </c>
      <c r="D209" s="391" t="s">
        <v>1186</v>
      </c>
    </row>
    <row r="210" spans="1:4" x14ac:dyDescent="0.2">
      <c r="A210" s="391" t="s">
        <v>414</v>
      </c>
      <c r="B210" s="391" t="s">
        <v>414</v>
      </c>
      <c r="C210" s="391" t="s">
        <v>1223</v>
      </c>
      <c r="D210" s="391" t="s">
        <v>1186</v>
      </c>
    </row>
    <row r="211" spans="1:4" x14ac:dyDescent="0.2">
      <c r="A211" s="391" t="s">
        <v>1170</v>
      </c>
      <c r="B211" s="391" t="s">
        <v>1170</v>
      </c>
      <c r="C211" s="391" t="s">
        <v>1220</v>
      </c>
      <c r="D211" s="391" t="s">
        <v>1186</v>
      </c>
    </row>
    <row r="212" spans="1:4" x14ac:dyDescent="0.2">
      <c r="A212" s="391" t="s">
        <v>25</v>
      </c>
      <c r="B212" s="391" t="s">
        <v>25</v>
      </c>
      <c r="C212" s="391" t="s">
        <v>1219</v>
      </c>
      <c r="D212" s="391" t="s">
        <v>1186</v>
      </c>
    </row>
    <row r="213" spans="1:4" x14ac:dyDescent="0.2">
      <c r="A213" s="391" t="s">
        <v>99</v>
      </c>
      <c r="B213" s="391" t="s">
        <v>99</v>
      </c>
      <c r="C213" s="391" t="s">
        <v>1218</v>
      </c>
      <c r="D213" s="391" t="s">
        <v>1186</v>
      </c>
    </row>
    <row r="214" spans="1:4" x14ac:dyDescent="0.2">
      <c r="A214" s="391" t="s">
        <v>415</v>
      </c>
      <c r="B214" s="391" t="s">
        <v>415</v>
      </c>
      <c r="C214" s="391" t="s">
        <v>1217</v>
      </c>
      <c r="D214" s="391" t="s">
        <v>1186</v>
      </c>
    </row>
    <row r="215" spans="1:4" x14ac:dyDescent="0.2">
      <c r="A215" s="391" t="s">
        <v>1510</v>
      </c>
      <c r="B215" s="391" t="s">
        <v>203</v>
      </c>
      <c r="C215" s="391" t="s">
        <v>1511</v>
      </c>
      <c r="D215" s="391" t="s">
        <v>1197</v>
      </c>
    </row>
    <row r="216" spans="1:4" x14ac:dyDescent="0.2">
      <c r="A216" s="391" t="s">
        <v>1500</v>
      </c>
      <c r="B216" s="391" t="s">
        <v>203</v>
      </c>
      <c r="C216" s="391" t="s">
        <v>1501</v>
      </c>
      <c r="D216" s="391" t="s">
        <v>1197</v>
      </c>
    </row>
    <row r="217" spans="1:4" x14ac:dyDescent="0.2">
      <c r="A217" s="391" t="s">
        <v>1477</v>
      </c>
      <c r="B217" s="391" t="s">
        <v>203</v>
      </c>
      <c r="C217" s="391" t="s">
        <v>1478</v>
      </c>
      <c r="D217" s="391" t="s">
        <v>1197</v>
      </c>
    </row>
    <row r="218" spans="1:4" x14ac:dyDescent="0.2">
      <c r="A218" s="391" t="s">
        <v>1470</v>
      </c>
      <c r="B218" s="391" t="s">
        <v>203</v>
      </c>
      <c r="C218" s="391" t="s">
        <v>1471</v>
      </c>
      <c r="D218" s="391" t="s">
        <v>1197</v>
      </c>
    </row>
    <row r="219" spans="1:4" x14ac:dyDescent="0.2">
      <c r="A219" s="391" t="s">
        <v>1459</v>
      </c>
      <c r="B219" s="391" t="s">
        <v>203</v>
      </c>
      <c r="C219" s="391" t="s">
        <v>1460</v>
      </c>
      <c r="D219" s="391" t="s">
        <v>1197</v>
      </c>
    </row>
    <row r="220" spans="1:4" x14ac:dyDescent="0.2">
      <c r="A220" s="391" t="s">
        <v>1433</v>
      </c>
      <c r="B220" s="391" t="s">
        <v>203</v>
      </c>
      <c r="C220" s="391" t="s">
        <v>1434</v>
      </c>
      <c r="D220" s="391" t="s">
        <v>1197</v>
      </c>
    </row>
    <row r="221" spans="1:4" x14ac:dyDescent="0.2">
      <c r="A221" s="391" t="s">
        <v>381</v>
      </c>
      <c r="B221" s="391" t="s">
        <v>203</v>
      </c>
      <c r="C221" s="391" t="s">
        <v>1421</v>
      </c>
      <c r="D221" s="391" t="s">
        <v>1197</v>
      </c>
    </row>
    <row r="222" spans="1:4" x14ac:dyDescent="0.2">
      <c r="A222" s="391" t="s">
        <v>1402</v>
      </c>
      <c r="B222" s="391" t="s">
        <v>203</v>
      </c>
      <c r="C222" s="391" t="s">
        <v>1403</v>
      </c>
      <c r="D222" s="391" t="s">
        <v>1197</v>
      </c>
    </row>
    <row r="223" spans="1:4" x14ac:dyDescent="0.2">
      <c r="A223" s="391" t="s">
        <v>1396</v>
      </c>
      <c r="B223" s="391" t="s">
        <v>203</v>
      </c>
      <c r="C223" s="391" t="s">
        <v>1397</v>
      </c>
      <c r="D223" s="391" t="s">
        <v>1194</v>
      </c>
    </row>
    <row r="224" spans="1:4" x14ac:dyDescent="0.2">
      <c r="A224" s="391" t="s">
        <v>1376</v>
      </c>
      <c r="B224" s="391" t="s">
        <v>203</v>
      </c>
      <c r="C224" s="391" t="s">
        <v>1377</v>
      </c>
      <c r="D224" s="391" t="s">
        <v>1194</v>
      </c>
    </row>
    <row r="225" spans="1:4" x14ac:dyDescent="0.2">
      <c r="A225" s="391" t="s">
        <v>1370</v>
      </c>
      <c r="B225" s="391" t="s">
        <v>203</v>
      </c>
      <c r="C225" s="391" t="s">
        <v>1371</v>
      </c>
      <c r="D225" s="391" t="s">
        <v>1194</v>
      </c>
    </row>
    <row r="226" spans="1:4" x14ac:dyDescent="0.2">
      <c r="A226" s="391" t="s">
        <v>1329</v>
      </c>
      <c r="B226" s="391" t="s">
        <v>203</v>
      </c>
      <c r="C226" s="391" t="s">
        <v>1330</v>
      </c>
      <c r="D226" s="391" t="s">
        <v>1197</v>
      </c>
    </row>
    <row r="227" spans="1:4" x14ac:dyDescent="0.2">
      <c r="A227" s="391" t="s">
        <v>1297</v>
      </c>
      <c r="B227" s="391" t="s">
        <v>203</v>
      </c>
      <c r="C227" s="391" t="s">
        <v>1298</v>
      </c>
      <c r="D227" s="391" t="s">
        <v>1197</v>
      </c>
    </row>
    <row r="228" spans="1:4" x14ac:dyDescent="0.2">
      <c r="A228" s="391" t="s">
        <v>1284</v>
      </c>
      <c r="B228" s="391" t="s">
        <v>203</v>
      </c>
      <c r="C228" s="391" t="s">
        <v>1285</v>
      </c>
      <c r="D228" s="391" t="s">
        <v>1197</v>
      </c>
    </row>
    <row r="229" spans="1:4" x14ac:dyDescent="0.2">
      <c r="A229" s="391" t="s">
        <v>1247</v>
      </c>
      <c r="B229" s="391" t="s">
        <v>203</v>
      </c>
      <c r="C229" s="391" t="s">
        <v>1248</v>
      </c>
      <c r="D229" s="391" t="s">
        <v>1197</v>
      </c>
    </row>
    <row r="230" spans="1:4" x14ac:dyDescent="0.2">
      <c r="A230" s="391" t="s">
        <v>1221</v>
      </c>
      <c r="B230" s="391" t="s">
        <v>203</v>
      </c>
      <c r="C230" s="391" t="s">
        <v>1222</v>
      </c>
      <c r="D230" s="391" t="s">
        <v>1197</v>
      </c>
    </row>
    <row r="231" spans="1:4" x14ac:dyDescent="0.2">
      <c r="A231" s="391" t="s">
        <v>203</v>
      </c>
      <c r="B231" s="391" t="s">
        <v>203</v>
      </c>
      <c r="C231" s="391" t="s">
        <v>1216</v>
      </c>
      <c r="D231" s="391" t="s">
        <v>1194</v>
      </c>
    </row>
    <row r="232" spans="1:4" x14ac:dyDescent="0.2">
      <c r="A232" s="391" t="s">
        <v>1198</v>
      </c>
      <c r="B232" s="391" t="s">
        <v>203</v>
      </c>
      <c r="C232" s="391" t="s">
        <v>1199</v>
      </c>
      <c r="D232" s="391" t="s">
        <v>1197</v>
      </c>
    </row>
    <row r="233" spans="1:4" x14ac:dyDescent="0.2">
      <c r="A233" s="391" t="s">
        <v>22</v>
      </c>
      <c r="B233" s="391" t="s">
        <v>1231</v>
      </c>
      <c r="C233" s="391" t="s">
        <v>1232</v>
      </c>
      <c r="D233" s="391" t="s">
        <v>1186</v>
      </c>
    </row>
    <row r="234" spans="1:4" x14ac:dyDescent="0.2">
      <c r="A234" s="391" t="s">
        <v>1504</v>
      </c>
      <c r="B234" s="391" t="s">
        <v>1214</v>
      </c>
      <c r="C234" s="391" t="s">
        <v>1505</v>
      </c>
      <c r="D234" s="391" t="s">
        <v>1197</v>
      </c>
    </row>
    <row r="235" spans="1:4" x14ac:dyDescent="0.2">
      <c r="A235" s="391" t="s">
        <v>1308</v>
      </c>
      <c r="B235" s="391" t="s">
        <v>1214</v>
      </c>
      <c r="C235" s="391" t="s">
        <v>1309</v>
      </c>
      <c r="D235" s="391" t="s">
        <v>1197</v>
      </c>
    </row>
    <row r="236" spans="1:4" x14ac:dyDescent="0.2">
      <c r="A236" s="391" t="s">
        <v>58</v>
      </c>
      <c r="B236" s="391" t="s">
        <v>1214</v>
      </c>
      <c r="C236" s="391" t="s">
        <v>1294</v>
      </c>
      <c r="D236" s="391" t="s">
        <v>1197</v>
      </c>
    </row>
    <row r="237" spans="1:4" x14ac:dyDescent="0.2">
      <c r="A237" s="391" t="s">
        <v>63</v>
      </c>
      <c r="B237" s="391" t="s">
        <v>1214</v>
      </c>
      <c r="C237" s="391" t="s">
        <v>355</v>
      </c>
      <c r="D237" s="391" t="s">
        <v>1194</v>
      </c>
    </row>
    <row r="238" spans="1:4" x14ac:dyDescent="0.2">
      <c r="A238" s="391" t="s">
        <v>1213</v>
      </c>
      <c r="B238" s="391" t="s">
        <v>1214</v>
      </c>
      <c r="C238" s="391" t="s">
        <v>1215</v>
      </c>
      <c r="D238" s="391" t="s">
        <v>1197</v>
      </c>
    </row>
    <row r="239" spans="1:4" x14ac:dyDescent="0.2">
      <c r="A239" s="391" t="s">
        <v>1200</v>
      </c>
      <c r="B239" s="391" t="s">
        <v>1201</v>
      </c>
      <c r="C239" s="391" t="s">
        <v>1202</v>
      </c>
      <c r="D239" s="391" t="s">
        <v>1197</v>
      </c>
    </row>
    <row r="240" spans="1:4" x14ac:dyDescent="0.2">
      <c r="A240" s="391" t="s">
        <v>59</v>
      </c>
      <c r="B240" s="391" t="s">
        <v>59</v>
      </c>
      <c r="C240" s="391" t="s">
        <v>1212</v>
      </c>
      <c r="D240" s="391" t="s">
        <v>1186</v>
      </c>
    </row>
    <row r="241" spans="1:4" x14ac:dyDescent="0.2">
      <c r="A241" s="391" t="s">
        <v>416</v>
      </c>
      <c r="B241" s="391" t="s">
        <v>416</v>
      </c>
      <c r="C241" s="391" t="s">
        <v>1208</v>
      </c>
      <c r="D241" s="391" t="s">
        <v>1186</v>
      </c>
    </row>
    <row r="242" spans="1:4" x14ac:dyDescent="0.2">
      <c r="A242" s="391" t="s">
        <v>1171</v>
      </c>
      <c r="B242" s="391" t="s">
        <v>1171</v>
      </c>
      <c r="C242" s="391" t="s">
        <v>1207</v>
      </c>
      <c r="D242" s="391" t="s">
        <v>1186</v>
      </c>
    </row>
    <row r="243" spans="1:4" x14ac:dyDescent="0.2">
      <c r="A243" s="391" t="s">
        <v>1205</v>
      </c>
      <c r="B243" s="391" t="s">
        <v>1205</v>
      </c>
      <c r="C243" s="391" t="s">
        <v>1206</v>
      </c>
      <c r="D243" s="391" t="s">
        <v>1186</v>
      </c>
    </row>
    <row r="244" spans="1:4" x14ac:dyDescent="0.2">
      <c r="A244" s="391" t="s">
        <v>204</v>
      </c>
      <c r="B244" s="391" t="s">
        <v>204</v>
      </c>
      <c r="C244" s="391" t="s">
        <v>1204</v>
      </c>
      <c r="D244" s="391" t="s">
        <v>1186</v>
      </c>
    </row>
    <row r="245" spans="1:4" x14ac:dyDescent="0.2">
      <c r="A245" s="391" t="s">
        <v>82</v>
      </c>
      <c r="B245" s="391" t="s">
        <v>82</v>
      </c>
      <c r="C245" s="391" t="s">
        <v>1203</v>
      </c>
      <c r="D245" s="391" t="s">
        <v>1186</v>
      </c>
    </row>
    <row r="246" spans="1:4" x14ac:dyDescent="0.2">
      <c r="A246" s="391" t="s">
        <v>417</v>
      </c>
      <c r="B246" s="391" t="s">
        <v>417</v>
      </c>
      <c r="C246" s="391" t="s">
        <v>1189</v>
      </c>
      <c r="D246" s="391" t="s">
        <v>1190</v>
      </c>
    </row>
    <row r="247" spans="1:4" x14ac:dyDescent="0.2">
      <c r="A247" s="391" t="s">
        <v>357</v>
      </c>
      <c r="B247" s="391" t="s">
        <v>357</v>
      </c>
      <c r="C247" s="391" t="s">
        <v>1188</v>
      </c>
      <c r="D247" s="391" t="s">
        <v>1186</v>
      </c>
    </row>
    <row r="248" spans="1:4" x14ac:dyDescent="0.2">
      <c r="A248" s="391" t="s">
        <v>29</v>
      </c>
      <c r="B248" s="391" t="s">
        <v>29</v>
      </c>
      <c r="C248" s="391" t="s">
        <v>1187</v>
      </c>
      <c r="D248" s="391" t="s">
        <v>1186</v>
      </c>
    </row>
    <row r="249" spans="1:4" x14ac:dyDescent="0.2">
      <c r="A249" s="391" t="s">
        <v>31</v>
      </c>
      <c r="B249" s="391" t="s">
        <v>31</v>
      </c>
      <c r="C249" s="391" t="s">
        <v>1185</v>
      </c>
      <c r="D249" s="391" t="s">
        <v>1186</v>
      </c>
    </row>
  </sheetData>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348"/>
  <sheetViews>
    <sheetView workbookViewId="0">
      <pane xSplit="2" ySplit="1" topLeftCell="C2" activePane="bottomRight" state="frozen"/>
      <selection pane="topRight" activeCell="C1" sqref="C1"/>
      <selection pane="bottomLeft" activeCell="A2" sqref="A2"/>
      <selection pane="bottomRight" activeCell="N15" sqref="N15"/>
    </sheetView>
  </sheetViews>
  <sheetFormatPr defaultRowHeight="12.75" customHeight="1" x14ac:dyDescent="0.2"/>
  <cols>
    <col min="1" max="1" width="27" customWidth="1"/>
    <col min="2" max="2" width="16.140625" customWidth="1"/>
    <col min="3" max="3" width="2.5703125" customWidth="1"/>
    <col min="4" max="4" width="14.85546875" customWidth="1"/>
    <col min="5" max="5" width="10" style="11" customWidth="1"/>
    <col min="6" max="6" width="12.5703125" customWidth="1"/>
    <col min="7" max="7" width="2" customWidth="1"/>
    <col min="10" max="10" width="5.85546875" customWidth="1"/>
  </cols>
  <sheetData>
    <row r="1" spans="1:11" ht="12.75" customHeight="1" x14ac:dyDescent="0.2">
      <c r="A1" s="14" t="s">
        <v>359</v>
      </c>
      <c r="B1" s="64" t="s">
        <v>499</v>
      </c>
      <c r="C1" s="64" t="s">
        <v>284</v>
      </c>
      <c r="D1" s="66" t="s">
        <v>496</v>
      </c>
      <c r="E1" s="297"/>
      <c r="F1" s="64"/>
      <c r="G1" s="65"/>
      <c r="H1" s="58" t="s">
        <v>424</v>
      </c>
    </row>
    <row r="2" spans="1:11" ht="12.75" customHeight="1" x14ac:dyDescent="0.2">
      <c r="A2" s="14"/>
      <c r="B2" s="64"/>
      <c r="C2" s="64"/>
      <c r="D2" s="64"/>
      <c r="E2" s="297"/>
      <c r="F2" s="64"/>
      <c r="G2" s="65"/>
      <c r="H2" s="63" t="s">
        <v>444</v>
      </c>
    </row>
    <row r="3" spans="1:11" ht="12.75" customHeight="1" x14ac:dyDescent="0.2">
      <c r="A3" s="14"/>
      <c r="B3" s="64"/>
      <c r="C3" s="64"/>
      <c r="D3" s="909" t="s">
        <v>447</v>
      </c>
      <c r="E3" s="910"/>
      <c r="F3" s="67"/>
      <c r="H3" s="63" t="s">
        <v>443</v>
      </c>
    </row>
    <row r="4" spans="1:11" ht="12.75" customHeight="1" thickBot="1" x14ac:dyDescent="0.25">
      <c r="A4" s="14"/>
      <c r="B4" s="64"/>
      <c r="C4" s="64"/>
      <c r="D4" s="911" t="s">
        <v>448</v>
      </c>
      <c r="E4" s="910"/>
      <c r="F4" s="67"/>
      <c r="H4" s="60" t="s">
        <v>445</v>
      </c>
    </row>
    <row r="5" spans="1:11" ht="12.75" customHeight="1" thickBot="1" x14ac:dyDescent="0.25">
      <c r="A5" s="14"/>
      <c r="B5" s="64"/>
      <c r="C5" s="64"/>
      <c r="D5" s="71" t="s">
        <v>449</v>
      </c>
      <c r="E5" s="298" t="s">
        <v>497</v>
      </c>
      <c r="F5" s="67"/>
      <c r="H5" s="4" t="s">
        <v>498</v>
      </c>
    </row>
    <row r="6" spans="1:11" ht="12.75" customHeight="1" x14ac:dyDescent="0.2">
      <c r="A6" s="47" t="s">
        <v>347</v>
      </c>
      <c r="D6" s="68"/>
      <c r="E6" s="299"/>
      <c r="F6" s="67"/>
    </row>
    <row r="7" spans="1:11" ht="12.75" customHeight="1" x14ac:dyDescent="0.2">
      <c r="A7" s="47" t="s">
        <v>124</v>
      </c>
      <c r="B7" s="61">
        <v>29.8</v>
      </c>
      <c r="C7" s="61"/>
      <c r="D7" s="68"/>
      <c r="E7" s="299"/>
      <c r="F7" s="67"/>
      <c r="H7" s="60" t="s">
        <v>124</v>
      </c>
      <c r="I7" s="59">
        <v>2005</v>
      </c>
      <c r="J7" s="60" t="s">
        <v>425</v>
      </c>
      <c r="K7" s="61">
        <v>29.8</v>
      </c>
    </row>
    <row r="8" spans="1:11" ht="12.75" customHeight="1" x14ac:dyDescent="0.2">
      <c r="A8" s="47" t="s">
        <v>125</v>
      </c>
      <c r="B8" s="61">
        <v>67.900000000000006</v>
      </c>
      <c r="C8" s="61"/>
      <c r="D8" s="68"/>
      <c r="E8" s="299"/>
      <c r="F8" s="67"/>
      <c r="H8" s="60" t="s">
        <v>125</v>
      </c>
      <c r="I8" s="59">
        <v>2006</v>
      </c>
      <c r="J8" s="60" t="s">
        <v>425</v>
      </c>
      <c r="K8" s="61">
        <v>67.900000000000006</v>
      </c>
    </row>
    <row r="9" spans="1:11" ht="12.75" customHeight="1" x14ac:dyDescent="0.2">
      <c r="A9" s="47" t="s">
        <v>360</v>
      </c>
      <c r="B9" s="61"/>
      <c r="C9" s="61"/>
      <c r="D9" s="68"/>
      <c r="E9" s="299"/>
      <c r="F9" s="67"/>
      <c r="H9" s="60"/>
      <c r="I9" s="59"/>
      <c r="J9" s="60"/>
      <c r="K9" s="61"/>
    </row>
    <row r="10" spans="1:11" ht="12.75" customHeight="1" x14ac:dyDescent="0.2">
      <c r="A10" s="47" t="s">
        <v>361</v>
      </c>
      <c r="B10" s="61"/>
      <c r="C10" s="61"/>
      <c r="D10" s="68"/>
      <c r="E10" s="299"/>
      <c r="F10" s="67"/>
      <c r="H10" s="60"/>
      <c r="I10" s="59"/>
      <c r="J10" s="60"/>
      <c r="K10" s="61"/>
    </row>
    <row r="11" spans="1:11" ht="12.75" customHeight="1" x14ac:dyDescent="0.2">
      <c r="A11" s="47" t="s">
        <v>126</v>
      </c>
      <c r="B11" s="61"/>
      <c r="C11" s="61"/>
      <c r="D11" s="68"/>
      <c r="E11" s="299"/>
      <c r="F11" s="67"/>
      <c r="H11" s="60"/>
      <c r="I11" s="59"/>
      <c r="J11" s="60"/>
      <c r="K11" s="61"/>
    </row>
    <row r="12" spans="1:11" ht="12.75" customHeight="1" x14ac:dyDescent="0.2">
      <c r="A12" s="47" t="s">
        <v>214</v>
      </c>
      <c r="B12" s="61"/>
      <c r="C12" s="61"/>
      <c r="D12" s="68"/>
      <c r="E12" s="299"/>
      <c r="F12" s="67"/>
      <c r="H12" s="60"/>
      <c r="I12" s="59"/>
      <c r="J12" s="60"/>
      <c r="K12" s="61"/>
    </row>
    <row r="13" spans="1:11" ht="12.75" customHeight="1" x14ac:dyDescent="0.2">
      <c r="A13" s="47" t="s">
        <v>127</v>
      </c>
      <c r="B13" s="61"/>
      <c r="C13" s="61"/>
      <c r="D13" s="69"/>
      <c r="E13" s="300"/>
      <c r="F13" s="67"/>
      <c r="H13" s="60"/>
      <c r="I13" s="59"/>
      <c r="J13" s="60"/>
      <c r="K13" s="61"/>
    </row>
    <row r="14" spans="1:11" ht="12.75" customHeight="1" x14ac:dyDescent="0.2">
      <c r="A14" s="47" t="s">
        <v>362</v>
      </c>
      <c r="B14" s="61">
        <f>E14</f>
        <v>23.73407890649267</v>
      </c>
      <c r="C14" s="61"/>
      <c r="D14" s="68" t="s">
        <v>450</v>
      </c>
      <c r="E14" s="299">
        <v>23.73407890649267</v>
      </c>
      <c r="F14" s="67"/>
      <c r="H14" s="60" t="s">
        <v>362</v>
      </c>
      <c r="I14" s="59">
        <v>2005</v>
      </c>
      <c r="J14" s="60" t="s">
        <v>244</v>
      </c>
      <c r="K14" s="61">
        <v>22.1</v>
      </c>
    </row>
    <row r="15" spans="1:11" ht="12.75" customHeight="1" x14ac:dyDescent="0.2">
      <c r="A15" s="47" t="s">
        <v>64</v>
      </c>
      <c r="B15" s="61"/>
      <c r="C15" s="61"/>
      <c r="D15" s="68"/>
      <c r="E15" s="299"/>
      <c r="F15" s="67"/>
      <c r="H15" s="60"/>
      <c r="I15" s="59"/>
      <c r="J15" s="60"/>
      <c r="K15" s="61"/>
    </row>
    <row r="16" spans="1:11" ht="12.75" customHeight="1" x14ac:dyDescent="0.2">
      <c r="A16" s="47" t="s">
        <v>128</v>
      </c>
      <c r="B16" s="61"/>
      <c r="C16" s="61"/>
      <c r="D16" s="68"/>
      <c r="E16" s="299"/>
      <c r="F16" s="67"/>
      <c r="H16" s="60"/>
      <c r="I16" s="59"/>
      <c r="J16" s="60"/>
      <c r="K16" s="61"/>
    </row>
    <row r="17" spans="1:11" ht="12.75" customHeight="1" x14ac:dyDescent="0.2">
      <c r="A17" s="47" t="s">
        <v>83</v>
      </c>
      <c r="B17" s="61">
        <f>E17</f>
        <v>52.545476742766525</v>
      </c>
      <c r="C17" s="61"/>
      <c r="D17" s="68" t="s">
        <v>451</v>
      </c>
      <c r="E17" s="299">
        <v>52.545476742766525</v>
      </c>
      <c r="F17" s="67"/>
      <c r="H17" s="60" t="s">
        <v>83</v>
      </c>
      <c r="I17" s="59">
        <v>2006</v>
      </c>
      <c r="J17" s="60" t="s">
        <v>244</v>
      </c>
      <c r="K17" s="61">
        <v>49</v>
      </c>
    </row>
    <row r="18" spans="1:11" ht="12.75" customHeight="1" x14ac:dyDescent="0.2">
      <c r="A18" s="47" t="s">
        <v>363</v>
      </c>
      <c r="B18" s="61"/>
      <c r="C18" s="61"/>
      <c r="D18" s="68"/>
      <c r="E18" s="299"/>
      <c r="F18" s="67"/>
      <c r="H18" s="60"/>
      <c r="I18" s="59"/>
      <c r="J18" s="60"/>
      <c r="K18" s="61"/>
    </row>
    <row r="19" spans="1:11" ht="12.75" customHeight="1" x14ac:dyDescent="0.2">
      <c r="A19" s="47" t="s">
        <v>364</v>
      </c>
      <c r="B19" s="61"/>
      <c r="C19" s="61"/>
      <c r="D19" s="68"/>
      <c r="E19" s="299"/>
      <c r="F19" s="67"/>
      <c r="H19" s="60"/>
      <c r="I19" s="59"/>
      <c r="J19" s="60"/>
      <c r="K19" s="61"/>
    </row>
    <row r="20" spans="1:11" ht="12.75" customHeight="1" x14ac:dyDescent="0.2">
      <c r="A20" s="47" t="s">
        <v>65</v>
      </c>
      <c r="B20" s="61">
        <f>E20</f>
        <v>36.382668851265137</v>
      </c>
      <c r="C20" s="61"/>
      <c r="D20" s="68" t="s">
        <v>452</v>
      </c>
      <c r="E20" s="299">
        <v>36.382668851265137</v>
      </c>
      <c r="F20" s="67"/>
      <c r="H20" s="60"/>
      <c r="I20" s="59"/>
      <c r="J20" s="60"/>
      <c r="K20" s="61"/>
    </row>
    <row r="21" spans="1:11" ht="12.75" customHeight="1" x14ac:dyDescent="0.2">
      <c r="A21" s="47" t="s">
        <v>34</v>
      </c>
      <c r="B21" s="61"/>
      <c r="C21" s="61"/>
      <c r="D21" s="68"/>
      <c r="E21" s="299"/>
      <c r="F21" s="67"/>
      <c r="H21" s="60"/>
      <c r="I21" s="59"/>
      <c r="J21" s="60"/>
      <c r="K21" s="61"/>
    </row>
    <row r="22" spans="1:11" ht="12.75" customHeight="1" x14ac:dyDescent="0.2">
      <c r="A22" s="47" t="s">
        <v>365</v>
      </c>
      <c r="B22" s="61"/>
      <c r="C22" s="61"/>
      <c r="D22" s="68"/>
      <c r="E22" s="299"/>
      <c r="F22" s="67"/>
      <c r="H22" s="60"/>
      <c r="I22" s="59"/>
      <c r="J22" s="60"/>
      <c r="K22" s="61"/>
    </row>
    <row r="23" spans="1:11" ht="12.75" customHeight="1" x14ac:dyDescent="0.2">
      <c r="A23" s="47" t="s">
        <v>129</v>
      </c>
      <c r="B23" s="61"/>
      <c r="C23" s="61"/>
      <c r="D23" s="68"/>
      <c r="E23" s="299"/>
      <c r="F23" s="67"/>
      <c r="H23" s="60"/>
      <c r="I23" s="59"/>
      <c r="J23" s="60"/>
      <c r="K23" s="61"/>
    </row>
    <row r="24" spans="1:11" ht="12.75" customHeight="1" x14ac:dyDescent="0.2">
      <c r="A24" s="47" t="s">
        <v>366</v>
      </c>
      <c r="B24" s="61">
        <v>12.2</v>
      </c>
      <c r="C24" s="61"/>
      <c r="D24" s="68"/>
      <c r="E24" s="299"/>
      <c r="F24" s="67"/>
      <c r="H24" s="60" t="s">
        <v>366</v>
      </c>
      <c r="I24" s="59">
        <v>2006</v>
      </c>
      <c r="J24" s="60" t="s">
        <v>425</v>
      </c>
      <c r="K24" s="61">
        <v>12.2</v>
      </c>
    </row>
    <row r="25" spans="1:11" ht="12.75" customHeight="1" x14ac:dyDescent="0.2">
      <c r="A25" s="47" t="s">
        <v>130</v>
      </c>
      <c r="B25" s="61">
        <f>E25</f>
        <v>51.910386280526303</v>
      </c>
      <c r="C25" s="61"/>
      <c r="D25" s="68" t="s">
        <v>454</v>
      </c>
      <c r="E25" s="299">
        <v>51.910386280526303</v>
      </c>
      <c r="F25" s="67"/>
      <c r="H25" s="60" t="s">
        <v>130</v>
      </c>
      <c r="I25" s="59">
        <v>2006</v>
      </c>
      <c r="J25" s="60" t="s">
        <v>244</v>
      </c>
      <c r="K25" s="61">
        <v>46.6</v>
      </c>
    </row>
    <row r="26" spans="1:11" ht="12.75" customHeight="1" x14ac:dyDescent="0.2">
      <c r="A26" s="47" t="s">
        <v>367</v>
      </c>
      <c r="B26" s="61"/>
      <c r="C26" s="61"/>
      <c r="D26" s="68"/>
      <c r="E26" s="299"/>
      <c r="F26" s="67"/>
      <c r="H26" s="60"/>
      <c r="I26" s="59"/>
      <c r="J26" s="60"/>
      <c r="K26" s="61"/>
    </row>
    <row r="27" spans="1:11" ht="12.75" customHeight="1" x14ac:dyDescent="0.2">
      <c r="A27" s="47" t="s">
        <v>131</v>
      </c>
      <c r="B27" s="61">
        <f>E27</f>
        <v>22.562910904556766</v>
      </c>
      <c r="C27" s="61"/>
      <c r="D27" s="68" t="s">
        <v>455</v>
      </c>
      <c r="E27" s="299">
        <v>22.562910904556766</v>
      </c>
      <c r="F27" s="67"/>
      <c r="H27" s="60"/>
      <c r="I27" s="59"/>
      <c r="J27" s="60"/>
      <c r="K27" s="61"/>
    </row>
    <row r="28" spans="1:11" ht="12.75" customHeight="1" x14ac:dyDescent="0.2">
      <c r="A28" s="47" t="s">
        <v>368</v>
      </c>
      <c r="B28" s="61">
        <v>4.8</v>
      </c>
      <c r="C28" s="61"/>
      <c r="D28" s="68"/>
      <c r="E28" s="299"/>
      <c r="F28" s="67"/>
      <c r="H28" s="60" t="s">
        <v>426</v>
      </c>
      <c r="I28" s="59">
        <v>2006</v>
      </c>
      <c r="J28" s="60" t="s">
        <v>425</v>
      </c>
      <c r="K28" s="61">
        <v>4.8</v>
      </c>
    </row>
    <row r="29" spans="1:11" ht="12.75" customHeight="1" x14ac:dyDescent="0.2">
      <c r="A29" s="47" t="s">
        <v>132</v>
      </c>
      <c r="B29" s="61"/>
      <c r="C29" s="61"/>
      <c r="D29" s="68"/>
      <c r="E29" s="299"/>
      <c r="F29" s="67"/>
      <c r="H29" s="60"/>
      <c r="I29" s="59"/>
      <c r="J29" s="60"/>
      <c r="K29" s="61"/>
    </row>
    <row r="30" spans="1:11" ht="12.75" customHeight="1" x14ac:dyDescent="0.2">
      <c r="A30" s="47" t="s">
        <v>35</v>
      </c>
      <c r="B30" s="61"/>
      <c r="C30" s="61"/>
      <c r="D30" s="68"/>
      <c r="E30" s="299"/>
      <c r="F30" s="67"/>
      <c r="H30" s="60"/>
      <c r="I30" s="59"/>
      <c r="J30" s="60"/>
      <c r="K30" s="61"/>
    </row>
    <row r="31" spans="1:11" ht="12.75" customHeight="1" x14ac:dyDescent="0.2">
      <c r="A31" s="47" t="s">
        <v>369</v>
      </c>
      <c r="B31" s="61"/>
      <c r="C31" s="61"/>
      <c r="D31" s="68"/>
      <c r="E31" s="299"/>
      <c r="F31" s="67"/>
      <c r="H31" s="60"/>
      <c r="I31" s="59"/>
      <c r="J31" s="60"/>
      <c r="K31" s="61"/>
    </row>
    <row r="32" spans="1:11" ht="12.75" customHeight="1" x14ac:dyDescent="0.2">
      <c r="A32" s="47" t="s">
        <v>133</v>
      </c>
      <c r="B32" s="61"/>
      <c r="C32" s="61"/>
      <c r="D32" s="68"/>
      <c r="E32" s="299"/>
      <c r="F32" s="67"/>
      <c r="H32" s="60"/>
      <c r="I32" s="59"/>
      <c r="J32" s="60"/>
      <c r="K32" s="61"/>
    </row>
    <row r="33" spans="1:11" ht="12.75" customHeight="1" x14ac:dyDescent="0.2">
      <c r="A33" s="47" t="s">
        <v>356</v>
      </c>
      <c r="B33" s="61">
        <f>AVERAGE(E33,K33)</f>
        <v>72.46708124697146</v>
      </c>
      <c r="C33" s="61"/>
      <c r="D33" s="68" t="s">
        <v>453</v>
      </c>
      <c r="E33" s="299">
        <v>73.534162493942915</v>
      </c>
      <c r="F33" s="67"/>
      <c r="H33" s="60" t="s">
        <v>356</v>
      </c>
      <c r="I33" s="59">
        <v>2006</v>
      </c>
      <c r="J33" s="60" t="s">
        <v>425</v>
      </c>
      <c r="K33" s="61">
        <v>71.400000000000006</v>
      </c>
    </row>
    <row r="34" spans="1:11" ht="12.75" customHeight="1" x14ac:dyDescent="0.2">
      <c r="A34" s="47" t="s">
        <v>134</v>
      </c>
      <c r="F34" s="67"/>
    </row>
    <row r="35" spans="1:11" ht="12.75" customHeight="1" x14ac:dyDescent="0.2">
      <c r="A35" s="47" t="s">
        <v>136</v>
      </c>
      <c r="B35" s="61">
        <f>E35</f>
        <v>53.443949817887621</v>
      </c>
      <c r="C35" s="61"/>
      <c r="D35" s="68" t="s">
        <v>458</v>
      </c>
      <c r="E35" s="299">
        <v>53.443949817887621</v>
      </c>
      <c r="F35" s="67"/>
      <c r="H35" s="60" t="s">
        <v>136</v>
      </c>
      <c r="I35" s="59">
        <v>2004</v>
      </c>
      <c r="J35" s="60" t="s">
        <v>244</v>
      </c>
      <c r="K35" s="61">
        <v>55.6</v>
      </c>
    </row>
    <row r="36" spans="1:11" ht="12.75" customHeight="1" x14ac:dyDescent="0.2">
      <c r="A36" s="47" t="s">
        <v>62</v>
      </c>
      <c r="B36" s="61"/>
      <c r="C36" s="61"/>
      <c r="F36" s="67"/>
      <c r="H36" s="60"/>
      <c r="I36" s="59"/>
      <c r="J36" s="60"/>
      <c r="K36" s="61"/>
    </row>
    <row r="37" spans="1:11" ht="12.75" customHeight="1" x14ac:dyDescent="0.2">
      <c r="A37" s="47" t="s">
        <v>370</v>
      </c>
      <c r="B37" s="61"/>
      <c r="C37" s="61"/>
      <c r="F37" s="67"/>
      <c r="H37" s="60"/>
      <c r="I37" s="59"/>
      <c r="J37" s="60"/>
      <c r="K37" s="61"/>
    </row>
    <row r="38" spans="1:11" ht="12.75" customHeight="1" x14ac:dyDescent="0.2">
      <c r="A38" s="47" t="s">
        <v>371</v>
      </c>
      <c r="B38" s="61"/>
      <c r="C38" s="61"/>
      <c r="F38" s="67"/>
      <c r="H38" s="60"/>
      <c r="I38" s="59"/>
      <c r="J38" s="60"/>
      <c r="K38" s="61"/>
    </row>
    <row r="39" spans="1:11" ht="12.75" customHeight="1" x14ac:dyDescent="0.2">
      <c r="A39" s="47" t="s">
        <v>137</v>
      </c>
      <c r="B39" s="61"/>
      <c r="C39" s="61"/>
      <c r="F39" s="67"/>
      <c r="H39" s="60"/>
      <c r="I39" s="59"/>
      <c r="J39" s="60"/>
      <c r="K39" s="61"/>
    </row>
    <row r="40" spans="1:11" ht="12.75" customHeight="1" x14ac:dyDescent="0.2">
      <c r="A40" s="47" t="s">
        <v>138</v>
      </c>
      <c r="B40" s="61">
        <f>E40</f>
        <v>59.850905218317358</v>
      </c>
      <c r="C40" s="61"/>
      <c r="D40" s="68" t="s">
        <v>489</v>
      </c>
      <c r="E40" s="299">
        <v>59.850905218317358</v>
      </c>
      <c r="F40" s="67"/>
      <c r="H40" s="60"/>
      <c r="I40" s="59"/>
      <c r="J40" s="60"/>
      <c r="K40" s="61"/>
    </row>
    <row r="41" spans="1:11" ht="12.75" customHeight="1" x14ac:dyDescent="0.2">
      <c r="A41" s="47" t="s">
        <v>36</v>
      </c>
      <c r="B41" s="61"/>
      <c r="C41" s="61"/>
      <c r="F41" s="67"/>
      <c r="H41" s="60"/>
      <c r="I41" s="59"/>
      <c r="J41" s="60"/>
      <c r="K41" s="61"/>
    </row>
    <row r="42" spans="1:11" ht="12.75" customHeight="1" x14ac:dyDescent="0.2">
      <c r="A42" s="47" t="s">
        <v>139</v>
      </c>
      <c r="B42" s="61"/>
      <c r="C42" s="61"/>
      <c r="F42" s="67"/>
      <c r="H42" s="60"/>
      <c r="I42" s="59"/>
      <c r="J42" s="60"/>
      <c r="K42" s="61"/>
    </row>
    <row r="43" spans="1:11" ht="12.75" customHeight="1" x14ac:dyDescent="0.2">
      <c r="A43" s="47" t="s">
        <v>37</v>
      </c>
      <c r="B43" s="61"/>
      <c r="C43" s="61"/>
      <c r="F43" s="67"/>
      <c r="H43" s="60"/>
      <c r="I43" s="59"/>
      <c r="J43" s="60"/>
      <c r="K43" s="61"/>
    </row>
    <row r="44" spans="1:11" ht="12.75" customHeight="1" x14ac:dyDescent="0.2">
      <c r="A44" s="47" t="s">
        <v>372</v>
      </c>
      <c r="B44" s="61"/>
      <c r="C44" s="61"/>
      <c r="F44" s="67"/>
      <c r="H44" s="60"/>
      <c r="I44" s="59"/>
      <c r="J44" s="60"/>
      <c r="K44" s="61"/>
    </row>
    <row r="45" spans="1:11" ht="12.75" customHeight="1" x14ac:dyDescent="0.2">
      <c r="A45" s="47" t="s">
        <v>140</v>
      </c>
      <c r="B45" s="61">
        <f>E45</f>
        <v>66.427340608845384</v>
      </c>
      <c r="C45" s="61"/>
      <c r="D45" s="68" t="s">
        <v>457</v>
      </c>
      <c r="E45" s="299">
        <v>66.427340608845384</v>
      </c>
      <c r="F45" s="67"/>
      <c r="H45" s="60" t="s">
        <v>140</v>
      </c>
      <c r="I45" s="59">
        <v>2005</v>
      </c>
      <c r="J45" s="60" t="s">
        <v>244</v>
      </c>
      <c r="K45" s="61">
        <v>75.7</v>
      </c>
    </row>
    <row r="46" spans="1:11" ht="12.75" customHeight="1" x14ac:dyDescent="0.2">
      <c r="A46" s="47" t="s">
        <v>141</v>
      </c>
      <c r="B46" s="61"/>
      <c r="C46" s="61"/>
      <c r="F46" s="67"/>
      <c r="H46" s="60"/>
      <c r="I46" s="59"/>
      <c r="J46" s="60"/>
      <c r="K46" s="61"/>
    </row>
    <row r="47" spans="1:11" ht="12.75" customHeight="1" x14ac:dyDescent="0.2">
      <c r="A47" s="47" t="s">
        <v>373</v>
      </c>
      <c r="B47" s="61">
        <v>64.5</v>
      </c>
      <c r="C47" s="61"/>
      <c r="F47" s="67"/>
      <c r="H47" s="60" t="s">
        <v>428</v>
      </c>
      <c r="I47" s="59">
        <v>2006</v>
      </c>
      <c r="J47" s="60" t="s">
        <v>425</v>
      </c>
      <c r="K47" s="61">
        <v>64.5</v>
      </c>
    </row>
    <row r="48" spans="1:11" ht="12.75" customHeight="1" x14ac:dyDescent="0.2">
      <c r="A48" s="47" t="s">
        <v>374</v>
      </c>
      <c r="B48" s="61"/>
      <c r="C48" s="61"/>
      <c r="F48" s="67"/>
      <c r="H48" s="60"/>
      <c r="I48" s="59"/>
      <c r="J48" s="60"/>
      <c r="K48" s="61"/>
    </row>
    <row r="49" spans="1:11" ht="12.75" customHeight="1" x14ac:dyDescent="0.2">
      <c r="A49" s="47" t="s">
        <v>142</v>
      </c>
      <c r="B49" s="61"/>
      <c r="C49" s="61"/>
      <c r="F49" s="67"/>
      <c r="H49" s="60"/>
      <c r="I49" s="59"/>
      <c r="J49" s="60"/>
      <c r="K49" s="61"/>
    </row>
    <row r="50" spans="1:11" ht="12.75" customHeight="1" x14ac:dyDescent="0.2">
      <c r="A50" s="47" t="s">
        <v>143</v>
      </c>
      <c r="B50" s="61"/>
      <c r="C50" s="61"/>
      <c r="F50" s="67"/>
      <c r="H50" s="60"/>
      <c r="I50" s="59"/>
      <c r="J50" s="60"/>
      <c r="K50" s="61"/>
    </row>
    <row r="51" spans="1:11" ht="12.75" customHeight="1" x14ac:dyDescent="0.2">
      <c r="A51" s="47" t="s">
        <v>350</v>
      </c>
      <c r="B51" s="61"/>
      <c r="C51" s="61"/>
      <c r="F51" s="67"/>
      <c r="H51" s="60"/>
      <c r="I51" s="59"/>
      <c r="J51" s="60"/>
      <c r="K51" s="61"/>
    </row>
    <row r="52" spans="1:11" ht="12.75" customHeight="1" x14ac:dyDescent="0.2">
      <c r="A52" s="47" t="s">
        <v>375</v>
      </c>
      <c r="B52" s="61">
        <f>E52</f>
        <v>77.725313077396251</v>
      </c>
      <c r="C52" s="61"/>
      <c r="D52" s="68" t="s">
        <v>456</v>
      </c>
      <c r="E52" s="299">
        <v>77.725313077396251</v>
      </c>
      <c r="F52" s="67"/>
      <c r="H52" s="60" t="s">
        <v>427</v>
      </c>
      <c r="I52" s="59">
        <v>2007</v>
      </c>
      <c r="J52" s="60" t="s">
        <v>244</v>
      </c>
      <c r="K52" s="61">
        <v>75.599999999999994</v>
      </c>
    </row>
    <row r="53" spans="1:11" ht="12.75" customHeight="1" x14ac:dyDescent="0.2">
      <c r="A53" s="47" t="s">
        <v>144</v>
      </c>
    </row>
    <row r="54" spans="1:11" ht="12.75" customHeight="1" x14ac:dyDescent="0.2">
      <c r="A54" s="47" t="s">
        <v>376</v>
      </c>
    </row>
    <row r="55" spans="1:11" ht="12.75" customHeight="1" x14ac:dyDescent="0.2">
      <c r="A55" s="47" t="s">
        <v>377</v>
      </c>
    </row>
    <row r="56" spans="1:11" ht="12.75" customHeight="1" x14ac:dyDescent="0.2">
      <c r="A56" s="47" t="s">
        <v>38</v>
      </c>
      <c r="B56" s="61">
        <f>E56</f>
        <v>8.9987839481150189</v>
      </c>
      <c r="C56" s="61"/>
      <c r="D56" s="68" t="s">
        <v>459</v>
      </c>
      <c r="E56" s="299">
        <v>8.9987839481150189</v>
      </c>
      <c r="F56" s="61"/>
      <c r="H56" s="60" t="s">
        <v>38</v>
      </c>
      <c r="I56" s="59">
        <v>2007</v>
      </c>
      <c r="J56" s="60" t="s">
        <v>244</v>
      </c>
      <c r="K56" s="61">
        <v>8.6</v>
      </c>
    </row>
    <row r="57" spans="1:11" ht="12.75" customHeight="1" x14ac:dyDescent="0.2">
      <c r="A57" s="47" t="s">
        <v>269</v>
      </c>
      <c r="B57" s="61"/>
      <c r="C57" s="61"/>
      <c r="D57" s="68"/>
      <c r="E57" s="299"/>
      <c r="F57" s="61"/>
      <c r="H57" s="60"/>
      <c r="I57" s="59"/>
      <c r="J57" s="60"/>
      <c r="K57" s="61"/>
    </row>
    <row r="58" spans="1:11" ht="12.75" customHeight="1" x14ac:dyDescent="0.2">
      <c r="A58" s="47" t="s">
        <v>145</v>
      </c>
      <c r="B58" s="61"/>
      <c r="C58" s="61"/>
      <c r="D58" s="68"/>
      <c r="E58" s="299"/>
      <c r="F58" s="61"/>
      <c r="H58" s="60"/>
      <c r="I58" s="59"/>
      <c r="J58" s="60"/>
      <c r="K58" s="61"/>
    </row>
    <row r="59" spans="1:11" ht="12.75" customHeight="1" x14ac:dyDescent="0.2">
      <c r="A59" s="47" t="s">
        <v>109</v>
      </c>
      <c r="B59" s="61">
        <f>E59</f>
        <v>53.600633078343428</v>
      </c>
      <c r="C59" s="61"/>
      <c r="D59" s="68" t="s">
        <v>460</v>
      </c>
      <c r="E59" s="299">
        <v>53.600633078343428</v>
      </c>
      <c r="F59" s="61"/>
      <c r="H59" s="60" t="s">
        <v>109</v>
      </c>
      <c r="I59" s="59">
        <v>2005</v>
      </c>
      <c r="J59" s="60" t="s">
        <v>244</v>
      </c>
      <c r="K59" s="61">
        <v>50</v>
      </c>
    </row>
    <row r="60" spans="1:11" ht="12.75" customHeight="1" x14ac:dyDescent="0.2">
      <c r="A60" s="47" t="s">
        <v>39</v>
      </c>
      <c r="B60" s="61"/>
      <c r="C60" s="61"/>
      <c r="D60" s="68"/>
      <c r="E60" s="299"/>
      <c r="F60" s="61"/>
      <c r="H60" s="60"/>
      <c r="I60" s="59"/>
      <c r="J60" s="60"/>
      <c r="K60" s="61"/>
    </row>
    <row r="61" spans="1:11" ht="12.75" customHeight="1" x14ac:dyDescent="0.2">
      <c r="A61" s="47" t="s">
        <v>378</v>
      </c>
      <c r="B61" s="61"/>
      <c r="C61" s="61"/>
      <c r="D61" s="68"/>
      <c r="E61" s="299"/>
      <c r="F61" s="61"/>
      <c r="H61" s="60"/>
      <c r="I61" s="59"/>
      <c r="J61" s="60"/>
      <c r="K61" s="61"/>
    </row>
    <row r="62" spans="1:11" ht="12.75" customHeight="1" x14ac:dyDescent="0.2">
      <c r="A62" s="47" t="s">
        <v>379</v>
      </c>
      <c r="B62" s="61"/>
      <c r="C62" s="61"/>
      <c r="D62" s="68"/>
      <c r="E62" s="299"/>
      <c r="F62" s="61"/>
      <c r="H62" s="60"/>
      <c r="I62" s="59"/>
      <c r="J62" s="60"/>
      <c r="K62" s="61"/>
    </row>
    <row r="63" spans="1:11" ht="12.75" customHeight="1" x14ac:dyDescent="0.2">
      <c r="A63" s="47" t="s">
        <v>380</v>
      </c>
      <c r="B63" s="61"/>
      <c r="C63" s="61"/>
      <c r="D63" s="68"/>
      <c r="E63" s="299"/>
      <c r="F63" s="61"/>
      <c r="H63" s="60"/>
      <c r="I63" s="59"/>
      <c r="J63" s="60"/>
      <c r="K63" s="61"/>
    </row>
    <row r="64" spans="1:11" ht="12.75" customHeight="1" x14ac:dyDescent="0.2">
      <c r="A64" s="47" t="s">
        <v>2</v>
      </c>
      <c r="B64" s="61">
        <f>E64</f>
        <v>77.068388330942355</v>
      </c>
      <c r="C64" s="61"/>
      <c r="D64" s="68" t="s">
        <v>461</v>
      </c>
      <c r="E64" s="299">
        <v>77.068388330942355</v>
      </c>
      <c r="F64" s="61"/>
      <c r="H64" s="60" t="s">
        <v>2</v>
      </c>
      <c r="I64" s="59">
        <v>2005</v>
      </c>
      <c r="J64" s="60" t="s">
        <v>244</v>
      </c>
      <c r="K64" s="61">
        <v>81</v>
      </c>
    </row>
    <row r="65" spans="1:11" ht="12.75" customHeight="1" x14ac:dyDescent="0.2">
      <c r="A65" s="47" t="s">
        <v>381</v>
      </c>
      <c r="B65" s="61"/>
      <c r="C65" s="61"/>
      <c r="D65" s="68"/>
      <c r="E65" s="299"/>
      <c r="F65" s="61"/>
      <c r="H65" s="60"/>
      <c r="I65" s="59"/>
      <c r="J65" s="60"/>
      <c r="K65" s="61"/>
    </row>
    <row r="66" spans="1:11" ht="12.75" customHeight="1" x14ac:dyDescent="0.2">
      <c r="A66" s="47" t="s">
        <v>382</v>
      </c>
      <c r="B66" s="61"/>
      <c r="C66" s="61"/>
      <c r="D66" s="68"/>
      <c r="E66" s="299"/>
      <c r="F66" s="61"/>
      <c r="H66" s="60"/>
      <c r="I66" s="59"/>
      <c r="J66" s="60"/>
      <c r="K66" s="61"/>
    </row>
    <row r="67" spans="1:11" ht="12.75" customHeight="1" x14ac:dyDescent="0.2">
      <c r="A67" s="47" t="s">
        <v>92</v>
      </c>
      <c r="B67" s="61"/>
      <c r="C67" s="61"/>
      <c r="D67" s="68"/>
      <c r="E67" s="299"/>
      <c r="F67" s="61"/>
      <c r="H67" s="60"/>
      <c r="I67" s="59"/>
      <c r="J67" s="60"/>
      <c r="K67" s="61"/>
    </row>
    <row r="68" spans="1:11" ht="12.75" customHeight="1" x14ac:dyDescent="0.2">
      <c r="A68" s="47" t="s">
        <v>146</v>
      </c>
      <c r="B68" s="61"/>
      <c r="C68" s="61"/>
      <c r="D68" s="68"/>
      <c r="E68" s="299"/>
      <c r="F68" s="61"/>
      <c r="H68" s="60"/>
      <c r="I68" s="59"/>
      <c r="J68" s="60"/>
      <c r="K68" s="61"/>
    </row>
    <row r="69" spans="1:11" ht="12.75" customHeight="1" x14ac:dyDescent="0.2">
      <c r="A69" s="47" t="s">
        <v>383</v>
      </c>
      <c r="B69" s="61"/>
      <c r="C69" s="61"/>
      <c r="D69" s="68"/>
      <c r="E69" s="299"/>
      <c r="F69" s="61"/>
      <c r="H69" s="60"/>
      <c r="I69" s="59"/>
      <c r="J69" s="60"/>
      <c r="K69" s="61"/>
    </row>
    <row r="70" spans="1:11" ht="12.75" customHeight="1" x14ac:dyDescent="0.2">
      <c r="A70" s="47" t="s">
        <v>147</v>
      </c>
      <c r="B70" s="61"/>
      <c r="C70" s="61"/>
      <c r="D70" s="68"/>
      <c r="E70" s="299"/>
      <c r="F70" s="61"/>
      <c r="H70" s="60"/>
      <c r="I70" s="59"/>
      <c r="J70" s="60"/>
      <c r="K70" s="61"/>
    </row>
    <row r="71" spans="1:11" ht="12.75" customHeight="1" x14ac:dyDescent="0.2">
      <c r="A71" s="47" t="s">
        <v>148</v>
      </c>
      <c r="B71" s="61">
        <v>74</v>
      </c>
      <c r="C71" s="61"/>
      <c r="D71" s="68"/>
      <c r="E71" s="299"/>
      <c r="F71" s="61"/>
      <c r="H71" s="60" t="s">
        <v>429</v>
      </c>
      <c r="I71" s="59" t="s">
        <v>430</v>
      </c>
      <c r="J71" s="60" t="s">
        <v>425</v>
      </c>
      <c r="K71" s="61">
        <v>74</v>
      </c>
    </row>
    <row r="72" spans="1:11" ht="12.75" customHeight="1" x14ac:dyDescent="0.2">
      <c r="A72" s="47" t="s">
        <v>84</v>
      </c>
      <c r="B72" s="61">
        <v>6.9</v>
      </c>
      <c r="C72" s="61"/>
      <c r="D72" s="68"/>
      <c r="E72" s="299"/>
      <c r="F72" s="61"/>
      <c r="H72" s="60" t="s">
        <v>84</v>
      </c>
      <c r="I72" s="59">
        <v>2005</v>
      </c>
      <c r="J72" s="60" t="s">
        <v>425</v>
      </c>
      <c r="K72" s="61">
        <v>6.9</v>
      </c>
    </row>
    <row r="73" spans="1:11" ht="12.75" customHeight="1" x14ac:dyDescent="0.2">
      <c r="A73" s="47" t="s">
        <v>259</v>
      </c>
      <c r="B73" s="61"/>
      <c r="C73" s="61"/>
      <c r="D73" s="68"/>
      <c r="E73" s="299"/>
      <c r="F73" s="61"/>
      <c r="H73" s="60"/>
      <c r="I73" s="59"/>
      <c r="J73" s="60"/>
      <c r="K73" s="61"/>
    </row>
    <row r="74" spans="1:11" ht="12.75" customHeight="1" x14ac:dyDescent="0.2">
      <c r="A74" s="47" t="s">
        <v>149</v>
      </c>
      <c r="B74" s="61">
        <f>AVERAGE(E74,K74)</f>
        <v>46.274564063684622</v>
      </c>
      <c r="C74" s="61"/>
      <c r="D74" s="68" t="s">
        <v>462</v>
      </c>
      <c r="E74" s="299">
        <v>45.849128127369234</v>
      </c>
      <c r="F74" s="61"/>
      <c r="H74" s="60" t="s">
        <v>149</v>
      </c>
      <c r="I74" s="59">
        <v>2006</v>
      </c>
      <c r="J74" s="60" t="s">
        <v>425</v>
      </c>
      <c r="K74" s="61">
        <v>46.7</v>
      </c>
    </row>
    <row r="75" spans="1:11" ht="12.75" customHeight="1" x14ac:dyDescent="0.2">
      <c r="A75" s="47" t="s">
        <v>150</v>
      </c>
      <c r="B75" s="61"/>
      <c r="C75" s="61"/>
      <c r="D75" s="68"/>
      <c r="E75" s="299"/>
      <c r="F75" s="61"/>
      <c r="H75" s="60"/>
      <c r="I75" s="59"/>
      <c r="J75" s="60"/>
      <c r="K75" s="61"/>
    </row>
    <row r="76" spans="1:11" ht="12.75" customHeight="1" x14ac:dyDescent="0.2">
      <c r="A76" s="47" t="s">
        <v>384</v>
      </c>
      <c r="B76" s="61"/>
      <c r="C76" s="61"/>
      <c r="D76" s="68"/>
      <c r="E76" s="299"/>
      <c r="F76" s="61"/>
      <c r="H76" s="60"/>
      <c r="I76" s="59"/>
      <c r="J76" s="60"/>
      <c r="K76" s="61"/>
    </row>
    <row r="77" spans="1:11" ht="12.75" customHeight="1" x14ac:dyDescent="0.2">
      <c r="A77" s="47" t="s">
        <v>385</v>
      </c>
      <c r="B77" s="61"/>
      <c r="C77" s="61"/>
      <c r="D77" s="68"/>
      <c r="E77" s="299"/>
      <c r="F77" s="61"/>
      <c r="H77" s="60"/>
      <c r="I77" s="59"/>
      <c r="J77" s="60"/>
      <c r="K77" s="61"/>
    </row>
    <row r="78" spans="1:11" ht="12.75" customHeight="1" x14ac:dyDescent="0.2">
      <c r="A78" s="47" t="s">
        <v>386</v>
      </c>
      <c r="B78" s="61"/>
      <c r="C78" s="61"/>
      <c r="D78" s="68"/>
      <c r="E78" s="299"/>
      <c r="F78" s="61"/>
      <c r="H78" s="60"/>
      <c r="I78" s="59"/>
      <c r="J78" s="60"/>
      <c r="K78" s="61"/>
    </row>
    <row r="79" spans="1:11" ht="12.75" customHeight="1" x14ac:dyDescent="0.2">
      <c r="A79" s="47" t="s">
        <v>40</v>
      </c>
      <c r="B79" s="61"/>
      <c r="C79" s="61"/>
      <c r="D79" s="68"/>
      <c r="E79" s="299"/>
      <c r="F79" s="61"/>
      <c r="H79" s="60"/>
      <c r="I79" s="59"/>
      <c r="J79" s="60"/>
      <c r="K79" s="61"/>
    </row>
    <row r="80" spans="1:11" ht="12.75" customHeight="1" x14ac:dyDescent="0.2">
      <c r="A80" s="47" t="s">
        <v>151</v>
      </c>
      <c r="B80" s="61">
        <f>E80</f>
        <v>88.194444444444045</v>
      </c>
      <c r="C80" s="61"/>
      <c r="D80" s="68" t="s">
        <v>463</v>
      </c>
      <c r="E80" s="299">
        <v>88.194444444444045</v>
      </c>
      <c r="F80" s="61"/>
      <c r="H80" s="60" t="s">
        <v>151</v>
      </c>
      <c r="I80" s="59">
        <v>2005</v>
      </c>
      <c r="J80" s="60" t="s">
        <v>244</v>
      </c>
      <c r="K80" s="61">
        <v>85.6</v>
      </c>
    </row>
    <row r="81" spans="1:11" ht="12.75" customHeight="1" x14ac:dyDescent="0.2">
      <c r="A81" s="47" t="s">
        <v>387</v>
      </c>
      <c r="B81" s="61">
        <v>51.5</v>
      </c>
      <c r="C81" s="61"/>
      <c r="D81" s="68"/>
      <c r="E81" s="299"/>
      <c r="F81" s="61"/>
      <c r="H81" s="60" t="s">
        <v>431</v>
      </c>
      <c r="I81" s="59">
        <v>2006</v>
      </c>
      <c r="J81" s="60" t="s">
        <v>425</v>
      </c>
      <c r="K81" s="61">
        <v>51.5</v>
      </c>
    </row>
    <row r="82" spans="1:11" ht="12.75" customHeight="1" x14ac:dyDescent="0.2">
      <c r="A82" s="47" t="s">
        <v>152</v>
      </c>
      <c r="B82" s="61">
        <v>17.899999999999999</v>
      </c>
      <c r="C82" s="61"/>
      <c r="D82" s="68"/>
      <c r="E82" s="299"/>
      <c r="F82" s="61"/>
      <c r="H82" s="60" t="s">
        <v>152</v>
      </c>
      <c r="I82" s="59" t="s">
        <v>432</v>
      </c>
      <c r="J82" s="60" t="s">
        <v>425</v>
      </c>
      <c r="K82" s="61">
        <v>17.899999999999999</v>
      </c>
    </row>
    <row r="83" spans="1:11" ht="12.75" customHeight="1" x14ac:dyDescent="0.2">
      <c r="A83" s="47" t="s">
        <v>46</v>
      </c>
      <c r="B83" s="61">
        <f>E83</f>
        <v>36.781996915959695</v>
      </c>
      <c r="C83" s="61"/>
      <c r="D83" s="68" t="s">
        <v>465</v>
      </c>
      <c r="E83" s="299">
        <v>36.781996915959695</v>
      </c>
      <c r="F83" s="61"/>
      <c r="H83" s="60" t="s">
        <v>46</v>
      </c>
      <c r="I83" s="59">
        <v>2005</v>
      </c>
      <c r="J83" s="60" t="s">
        <v>244</v>
      </c>
      <c r="K83" s="61">
        <v>29</v>
      </c>
    </row>
    <row r="84" spans="1:11" ht="12.75" customHeight="1" x14ac:dyDescent="0.2">
      <c r="A84" s="47" t="s">
        <v>45</v>
      </c>
      <c r="B84" s="61">
        <f>E84</f>
        <v>17.14860447573561</v>
      </c>
      <c r="C84" s="61"/>
      <c r="D84" s="68" t="s">
        <v>464</v>
      </c>
      <c r="E84" s="299">
        <v>17.14860447573561</v>
      </c>
      <c r="F84" s="61"/>
      <c r="H84" s="60" t="s">
        <v>45</v>
      </c>
      <c r="I84" s="59" t="s">
        <v>430</v>
      </c>
      <c r="J84" s="60" t="s">
        <v>244</v>
      </c>
      <c r="K84" s="61">
        <v>15.5</v>
      </c>
    </row>
    <row r="85" spans="1:11" ht="12.75" customHeight="1" x14ac:dyDescent="0.2">
      <c r="A85" s="47" t="s">
        <v>153</v>
      </c>
      <c r="B85" s="61"/>
      <c r="C85" s="61"/>
      <c r="F85" s="61"/>
      <c r="H85" s="60"/>
      <c r="I85" s="59"/>
      <c r="J85" s="60"/>
      <c r="K85" s="61"/>
    </row>
    <row r="86" spans="1:11" ht="12.75" customHeight="1" x14ac:dyDescent="0.2">
      <c r="A86" s="47" t="s">
        <v>154</v>
      </c>
      <c r="B86" s="61"/>
      <c r="C86" s="61"/>
      <c r="F86" s="61"/>
      <c r="H86" s="60"/>
      <c r="I86" s="59"/>
      <c r="J86" s="60"/>
      <c r="K86" s="61"/>
    </row>
    <row r="87" spans="1:11" ht="12.75" customHeight="1" x14ac:dyDescent="0.2">
      <c r="A87" s="47" t="s">
        <v>155</v>
      </c>
      <c r="B87" s="61"/>
      <c r="C87" s="61"/>
      <c r="F87" s="61"/>
      <c r="H87" s="60"/>
      <c r="I87" s="59"/>
      <c r="J87" s="60"/>
      <c r="K87" s="61"/>
    </row>
    <row r="88" spans="1:11" ht="12.75" customHeight="1" x14ac:dyDescent="0.2">
      <c r="A88" s="47" t="s">
        <v>70</v>
      </c>
      <c r="B88" s="61">
        <f>E88</f>
        <v>53.927876702079111</v>
      </c>
      <c r="C88" s="61"/>
      <c r="D88" s="68" t="s">
        <v>467</v>
      </c>
      <c r="E88" s="299">
        <v>53.927876702079111</v>
      </c>
      <c r="F88" s="61"/>
      <c r="H88" s="60" t="s">
        <v>70</v>
      </c>
      <c r="I88" s="59" t="s">
        <v>430</v>
      </c>
      <c r="J88" s="60" t="s">
        <v>433</v>
      </c>
      <c r="K88" s="61">
        <v>54.4</v>
      </c>
    </row>
    <row r="89" spans="1:11" ht="12.75" customHeight="1" x14ac:dyDescent="0.2">
      <c r="A89" s="47" t="s">
        <v>71</v>
      </c>
      <c r="B89" s="61">
        <f>E89</f>
        <v>30.052681992337053</v>
      </c>
      <c r="C89" s="61"/>
      <c r="D89" s="68" t="s">
        <v>466</v>
      </c>
      <c r="E89" s="299">
        <v>30.052681992337053</v>
      </c>
      <c r="F89" s="61"/>
      <c r="H89" s="60" t="s">
        <v>71</v>
      </c>
      <c r="I89" s="59" t="s">
        <v>434</v>
      </c>
      <c r="J89" s="60" t="s">
        <v>244</v>
      </c>
      <c r="K89" s="61">
        <v>24.8</v>
      </c>
    </row>
    <row r="90" spans="1:11" ht="12.75" customHeight="1" x14ac:dyDescent="0.2">
      <c r="A90" s="47" t="s">
        <v>156</v>
      </c>
      <c r="B90" s="61"/>
      <c r="C90" s="61"/>
      <c r="F90" s="61"/>
      <c r="H90" s="60"/>
      <c r="I90" s="59"/>
      <c r="J90" s="60"/>
      <c r="K90" s="61"/>
    </row>
    <row r="91" spans="1:11" ht="12.75" customHeight="1" x14ac:dyDescent="0.2">
      <c r="A91" s="47" t="s">
        <v>157</v>
      </c>
      <c r="B91" s="61">
        <v>59.1</v>
      </c>
      <c r="C91" s="61"/>
      <c r="F91" s="61"/>
      <c r="H91" s="60" t="s">
        <v>157</v>
      </c>
      <c r="I91" s="59">
        <v>2006</v>
      </c>
      <c r="J91" s="60" t="s">
        <v>425</v>
      </c>
      <c r="K91" s="61">
        <v>59.1</v>
      </c>
    </row>
    <row r="92" spans="1:11" ht="12.75" customHeight="1" x14ac:dyDescent="0.2">
      <c r="A92" s="47" t="s">
        <v>158</v>
      </c>
      <c r="B92" s="61"/>
      <c r="C92" s="61"/>
      <c r="F92" s="61"/>
      <c r="H92" s="60"/>
      <c r="I92" s="59"/>
      <c r="J92" s="60"/>
      <c r="K92" s="61"/>
    </row>
    <row r="93" spans="1:11" ht="12.75" customHeight="1" x14ac:dyDescent="0.2">
      <c r="A93" s="47" t="s">
        <v>110</v>
      </c>
      <c r="B93" s="61"/>
      <c r="C93" s="61"/>
      <c r="F93" s="61"/>
      <c r="H93" s="60"/>
      <c r="I93" s="59"/>
      <c r="J93" s="60"/>
      <c r="K93" s="61"/>
    </row>
    <row r="94" spans="1:11" ht="12.75" customHeight="1" x14ac:dyDescent="0.2">
      <c r="A94" s="47" t="s">
        <v>159</v>
      </c>
      <c r="B94" s="61"/>
      <c r="C94" s="61"/>
      <c r="F94" s="61"/>
      <c r="H94" s="60"/>
      <c r="I94" s="59"/>
      <c r="J94" s="60"/>
      <c r="K94" s="61"/>
    </row>
    <row r="95" spans="1:11" ht="12.75" customHeight="1" x14ac:dyDescent="0.2">
      <c r="A95" s="47" t="s">
        <v>160</v>
      </c>
      <c r="B95" s="61">
        <v>6.1</v>
      </c>
      <c r="C95" s="61"/>
      <c r="F95" s="61"/>
      <c r="H95" s="60" t="s">
        <v>160</v>
      </c>
      <c r="I95" s="59">
        <v>2006</v>
      </c>
      <c r="J95" s="60" t="s">
        <v>425</v>
      </c>
      <c r="K95" s="61">
        <v>6.1</v>
      </c>
    </row>
    <row r="96" spans="1:11" ht="12.75" customHeight="1" x14ac:dyDescent="0.2">
      <c r="A96" s="47" t="s">
        <v>72</v>
      </c>
      <c r="B96" s="61"/>
      <c r="C96" s="61"/>
      <c r="F96" s="61"/>
      <c r="H96" s="60"/>
      <c r="I96" s="59"/>
      <c r="J96" s="60"/>
      <c r="K96" s="61"/>
    </row>
    <row r="97" spans="1:11" ht="12.75" customHeight="1" x14ac:dyDescent="0.2">
      <c r="A97" s="47" t="s">
        <v>161</v>
      </c>
      <c r="B97" s="61">
        <f>E97</f>
        <v>57.683106367316697</v>
      </c>
      <c r="C97" s="61"/>
      <c r="D97" s="68" t="s">
        <v>468</v>
      </c>
      <c r="E97" s="299">
        <v>57.683106367316697</v>
      </c>
      <c r="F97" s="61"/>
      <c r="H97" s="60" t="s">
        <v>161</v>
      </c>
      <c r="I97" s="59">
        <v>2007</v>
      </c>
      <c r="J97" s="60" t="s">
        <v>244</v>
      </c>
      <c r="K97" s="61">
        <v>90</v>
      </c>
    </row>
    <row r="98" spans="1:11" ht="12.75" customHeight="1" x14ac:dyDescent="0.2">
      <c r="A98" s="47" t="s">
        <v>162</v>
      </c>
      <c r="B98" s="61">
        <f>E98</f>
        <v>51.562709590878541</v>
      </c>
      <c r="C98" s="61"/>
      <c r="D98" s="68" t="s">
        <v>470</v>
      </c>
      <c r="E98" s="299">
        <v>51.562709590878541</v>
      </c>
      <c r="F98" s="61"/>
      <c r="H98" s="60" t="s">
        <v>162</v>
      </c>
      <c r="I98" s="59">
        <v>2005</v>
      </c>
      <c r="J98" s="60" t="s">
        <v>244</v>
      </c>
      <c r="K98" s="61">
        <v>55.2</v>
      </c>
    </row>
    <row r="99" spans="1:11" ht="12.75" customHeight="1" x14ac:dyDescent="0.2">
      <c r="A99" s="47" t="s">
        <v>388</v>
      </c>
      <c r="B99" s="61">
        <v>10.4</v>
      </c>
      <c r="C99" s="61"/>
      <c r="D99" s="68"/>
      <c r="E99" s="299"/>
      <c r="F99" s="61"/>
      <c r="H99" s="60" t="s">
        <v>388</v>
      </c>
      <c r="I99" s="59">
        <v>2006</v>
      </c>
      <c r="J99" s="60" t="s">
        <v>425</v>
      </c>
      <c r="K99" s="61">
        <v>10.4</v>
      </c>
    </row>
    <row r="100" spans="1:11" ht="12.75" customHeight="1" x14ac:dyDescent="0.2">
      <c r="A100" s="47" t="s">
        <v>3</v>
      </c>
      <c r="B100" s="61">
        <f>E100</f>
        <v>59.105919765166355</v>
      </c>
      <c r="C100" s="61"/>
      <c r="D100" s="68" t="s">
        <v>469</v>
      </c>
      <c r="E100" s="299">
        <v>59.105919765166355</v>
      </c>
      <c r="F100" s="61"/>
      <c r="H100" s="60" t="s">
        <v>3</v>
      </c>
      <c r="I100" s="59">
        <v>2003</v>
      </c>
      <c r="J100" s="60" t="s">
        <v>244</v>
      </c>
      <c r="K100" s="61">
        <v>67.900000000000006</v>
      </c>
    </row>
    <row r="101" spans="1:11" ht="12.75" customHeight="1" x14ac:dyDescent="0.2">
      <c r="A101" s="47" t="s">
        <v>389</v>
      </c>
      <c r="B101" s="61"/>
      <c r="C101" s="61"/>
      <c r="F101" s="61"/>
      <c r="H101" s="60"/>
      <c r="I101" s="59"/>
      <c r="J101" s="60"/>
      <c r="K101" s="61"/>
    </row>
    <row r="102" spans="1:11" ht="12.75" customHeight="1" x14ac:dyDescent="0.2">
      <c r="A102" s="47" t="s">
        <v>390</v>
      </c>
      <c r="B102" s="61"/>
      <c r="C102" s="61"/>
      <c r="F102" s="61"/>
      <c r="H102" s="60"/>
      <c r="I102" s="59"/>
      <c r="J102" s="60"/>
      <c r="K102" s="61"/>
    </row>
    <row r="103" spans="1:11" ht="12.75" customHeight="1" x14ac:dyDescent="0.2">
      <c r="A103" s="47" t="s">
        <v>163</v>
      </c>
      <c r="B103" s="61"/>
      <c r="C103" s="61"/>
      <c r="F103" s="61"/>
      <c r="H103" s="60"/>
      <c r="I103" s="59"/>
      <c r="J103" s="60"/>
      <c r="K103" s="61"/>
    </row>
    <row r="104" spans="1:11" ht="12.75" customHeight="1" x14ac:dyDescent="0.2">
      <c r="A104" s="47" t="s">
        <v>391</v>
      </c>
      <c r="B104" s="61">
        <v>37.700000000000003</v>
      </c>
      <c r="C104" s="61"/>
      <c r="F104" s="61"/>
      <c r="H104" s="60" t="s">
        <v>391</v>
      </c>
      <c r="I104" s="59" t="s">
        <v>430</v>
      </c>
      <c r="J104" s="60" t="s">
        <v>425</v>
      </c>
      <c r="K104" s="61">
        <v>37.700000000000003</v>
      </c>
    </row>
    <row r="105" spans="1:11" ht="12.75" customHeight="1" x14ac:dyDescent="0.2">
      <c r="A105" s="47" t="s">
        <v>164</v>
      </c>
      <c r="B105" s="61">
        <v>81.2</v>
      </c>
      <c r="C105" s="61"/>
      <c r="F105" s="61"/>
      <c r="H105" s="60" t="s">
        <v>435</v>
      </c>
      <c r="I105" s="59">
        <v>2006</v>
      </c>
      <c r="J105" s="60" t="s">
        <v>425</v>
      </c>
      <c r="K105" s="61">
        <v>81.2</v>
      </c>
    </row>
    <row r="106" spans="1:11" ht="12.75" customHeight="1" x14ac:dyDescent="0.2">
      <c r="A106" s="47" t="s">
        <v>392</v>
      </c>
      <c r="B106" s="61"/>
      <c r="C106" s="61"/>
      <c r="F106" s="61"/>
      <c r="H106" s="60"/>
      <c r="I106" s="59"/>
      <c r="J106" s="60"/>
      <c r="K106" s="61"/>
    </row>
    <row r="107" spans="1:11" ht="12.75" customHeight="1" x14ac:dyDescent="0.2">
      <c r="A107" s="47" t="s">
        <v>165</v>
      </c>
      <c r="B107" s="61"/>
      <c r="C107" s="61"/>
      <c r="F107" s="61"/>
      <c r="H107" s="60"/>
      <c r="I107" s="59"/>
      <c r="J107" s="60"/>
      <c r="K107" s="61"/>
    </row>
    <row r="108" spans="1:11" ht="12.75" customHeight="1" x14ac:dyDescent="0.2">
      <c r="A108" s="47" t="s">
        <v>166</v>
      </c>
      <c r="B108" s="61">
        <f>E108</f>
        <v>49.723365016314304</v>
      </c>
      <c r="C108" s="61"/>
      <c r="D108" s="68" t="s">
        <v>472</v>
      </c>
      <c r="E108" s="299">
        <v>49.723365016314304</v>
      </c>
      <c r="F108" s="61"/>
      <c r="H108" s="60"/>
      <c r="I108" s="59"/>
      <c r="J108" s="60"/>
      <c r="K108" s="61"/>
    </row>
    <row r="109" spans="1:11" ht="12.75" customHeight="1" x14ac:dyDescent="0.2">
      <c r="A109" s="47" t="s">
        <v>167</v>
      </c>
      <c r="B109" s="61">
        <f>E109</f>
        <v>57.561478427330186</v>
      </c>
      <c r="C109" s="61"/>
      <c r="D109" s="68" t="s">
        <v>471</v>
      </c>
      <c r="E109" s="299">
        <v>57.561478427330186</v>
      </c>
      <c r="F109" s="61"/>
      <c r="H109" s="60" t="s">
        <v>167</v>
      </c>
      <c r="I109" s="59">
        <v>2007</v>
      </c>
      <c r="J109" s="60" t="s">
        <v>244</v>
      </c>
      <c r="K109" s="61">
        <v>59.3</v>
      </c>
    </row>
    <row r="110" spans="1:11" ht="12.75" customHeight="1" x14ac:dyDescent="0.2">
      <c r="A110" s="47" t="s">
        <v>168</v>
      </c>
      <c r="B110" s="61"/>
      <c r="C110" s="61"/>
      <c r="F110" s="61"/>
      <c r="H110" s="60"/>
      <c r="I110" s="59"/>
      <c r="J110" s="60"/>
      <c r="K110" s="61"/>
    </row>
    <row r="111" spans="1:11" ht="12.75" customHeight="1" x14ac:dyDescent="0.2">
      <c r="A111" s="47" t="s">
        <v>393</v>
      </c>
      <c r="B111" s="61"/>
      <c r="C111" s="61"/>
      <c r="F111" s="61"/>
      <c r="H111" s="60"/>
      <c r="I111" s="59"/>
      <c r="J111" s="60"/>
      <c r="K111" s="61"/>
    </row>
    <row r="112" spans="1:11" ht="12.75" customHeight="1" x14ac:dyDescent="0.2">
      <c r="A112" s="47" t="s">
        <v>262</v>
      </c>
      <c r="B112" s="61"/>
      <c r="C112" s="61"/>
      <c r="F112" s="61"/>
      <c r="H112" s="60"/>
      <c r="I112" s="59"/>
      <c r="J112" s="60"/>
      <c r="K112" s="61"/>
    </row>
    <row r="113" spans="1:11" ht="12.75" customHeight="1" x14ac:dyDescent="0.2">
      <c r="A113" s="47" t="s">
        <v>169</v>
      </c>
      <c r="B113" s="61"/>
      <c r="C113" s="61"/>
      <c r="F113" s="61"/>
      <c r="H113" s="60"/>
      <c r="I113" s="59"/>
      <c r="J113" s="60"/>
      <c r="K113" s="61"/>
    </row>
    <row r="114" spans="1:11" ht="12.75" customHeight="1" x14ac:dyDescent="0.2">
      <c r="A114" s="47" t="s">
        <v>394</v>
      </c>
      <c r="B114" s="61">
        <v>20.7</v>
      </c>
      <c r="C114" s="61"/>
      <c r="F114" s="61"/>
      <c r="H114" s="60" t="s">
        <v>394</v>
      </c>
      <c r="I114" s="59">
        <v>2005</v>
      </c>
      <c r="J114" s="60" t="s">
        <v>425</v>
      </c>
      <c r="K114" s="61">
        <v>20.7</v>
      </c>
    </row>
    <row r="115" spans="1:11" ht="12.75" customHeight="1" x14ac:dyDescent="0.2">
      <c r="A115" s="47" t="s">
        <v>170</v>
      </c>
      <c r="B115" s="61">
        <f>E115</f>
        <v>31.775998725455278</v>
      </c>
      <c r="C115" s="61"/>
      <c r="D115" s="68" t="s">
        <v>475</v>
      </c>
      <c r="E115" s="299">
        <v>31.775998725455278</v>
      </c>
      <c r="F115" s="61"/>
      <c r="H115" s="60" t="s">
        <v>170</v>
      </c>
      <c r="I115" s="59" t="s">
        <v>436</v>
      </c>
      <c r="J115" s="60" t="s">
        <v>244</v>
      </c>
      <c r="K115" s="61">
        <v>28</v>
      </c>
    </row>
    <row r="116" spans="1:11" ht="12.75" customHeight="1" x14ac:dyDescent="0.2">
      <c r="A116" s="47" t="s">
        <v>171</v>
      </c>
      <c r="B116" s="61">
        <f>E116</f>
        <v>33.512195121951216</v>
      </c>
      <c r="C116" s="61"/>
      <c r="D116" s="68" t="s">
        <v>477</v>
      </c>
      <c r="E116" s="299">
        <v>33.512195121951216</v>
      </c>
      <c r="F116" s="61"/>
      <c r="H116" s="60" t="s">
        <v>171</v>
      </c>
      <c r="I116" s="59">
        <v>2004</v>
      </c>
      <c r="J116" s="60" t="s">
        <v>244</v>
      </c>
      <c r="K116" s="61">
        <v>28.2</v>
      </c>
    </row>
    <row r="117" spans="1:11" ht="12.75" customHeight="1" x14ac:dyDescent="0.2">
      <c r="A117" s="47" t="s">
        <v>172</v>
      </c>
      <c r="B117" s="61">
        <v>70.2</v>
      </c>
      <c r="C117" s="61"/>
      <c r="F117" s="61"/>
      <c r="H117" s="60" t="s">
        <v>173</v>
      </c>
      <c r="I117" s="59">
        <v>2007</v>
      </c>
      <c r="J117" s="60" t="s">
        <v>437</v>
      </c>
      <c r="K117" s="61">
        <v>70.2</v>
      </c>
    </row>
    <row r="118" spans="1:11" ht="12.75" customHeight="1" x14ac:dyDescent="0.2">
      <c r="A118" s="47" t="s">
        <v>174</v>
      </c>
      <c r="B118" s="61">
        <f>E118</f>
        <v>81.395694135115235</v>
      </c>
      <c r="C118" s="61"/>
      <c r="D118" s="68" t="s">
        <v>476</v>
      </c>
      <c r="E118" s="299">
        <v>81.395694135115235</v>
      </c>
      <c r="F118" s="61"/>
      <c r="H118" s="60" t="s">
        <v>174</v>
      </c>
      <c r="I118" s="59">
        <v>2006</v>
      </c>
      <c r="J118" s="60" t="s">
        <v>244</v>
      </c>
      <c r="K118" s="61">
        <v>75.2</v>
      </c>
    </row>
    <row r="119" spans="1:11" ht="12.75" customHeight="1" x14ac:dyDescent="0.2">
      <c r="A119" s="47" t="s">
        <v>175</v>
      </c>
      <c r="B119" s="61"/>
      <c r="C119" s="61"/>
      <c r="F119" s="61"/>
      <c r="H119" s="60"/>
      <c r="I119" s="59"/>
      <c r="J119" s="60"/>
      <c r="K119" s="61"/>
    </row>
    <row r="120" spans="1:11" ht="12.75" customHeight="1" x14ac:dyDescent="0.2">
      <c r="A120" s="47" t="s">
        <v>395</v>
      </c>
      <c r="B120" s="61"/>
      <c r="C120" s="61"/>
      <c r="F120" s="61"/>
      <c r="H120" s="60"/>
      <c r="I120" s="59"/>
      <c r="J120" s="60"/>
      <c r="K120" s="61"/>
    </row>
    <row r="121" spans="1:11" ht="12.75" customHeight="1" x14ac:dyDescent="0.2">
      <c r="A121" s="47" t="s">
        <v>176</v>
      </c>
      <c r="B121" s="61"/>
      <c r="C121" s="61"/>
      <c r="F121" s="61"/>
      <c r="H121" s="60"/>
      <c r="I121" s="59"/>
      <c r="J121" s="60"/>
      <c r="K121" s="61"/>
    </row>
    <row r="122" spans="1:11" ht="12.75" customHeight="1" x14ac:dyDescent="0.2">
      <c r="A122" s="47" t="s">
        <v>177</v>
      </c>
      <c r="B122" s="61"/>
      <c r="C122" s="61"/>
      <c r="F122" s="61"/>
      <c r="H122" s="60"/>
      <c r="I122" s="59"/>
      <c r="J122" s="60"/>
      <c r="K122" s="61"/>
    </row>
    <row r="123" spans="1:11" ht="12.75" customHeight="1" x14ac:dyDescent="0.2">
      <c r="A123" s="47" t="s">
        <v>50</v>
      </c>
      <c r="B123" s="61"/>
      <c r="C123" s="61"/>
      <c r="F123" s="61"/>
      <c r="H123" s="60"/>
      <c r="I123" s="59"/>
      <c r="J123" s="60"/>
      <c r="K123" s="61"/>
    </row>
    <row r="124" spans="1:11" ht="12.75" customHeight="1" x14ac:dyDescent="0.2">
      <c r="A124" s="47" t="s">
        <v>396</v>
      </c>
      <c r="B124" s="61">
        <f>E124</f>
        <v>19.403188445292347</v>
      </c>
      <c r="C124" s="61"/>
      <c r="D124" s="68" t="s">
        <v>474</v>
      </c>
      <c r="E124" s="299">
        <v>19.403188445292347</v>
      </c>
      <c r="F124" s="61"/>
      <c r="H124" s="60" t="s">
        <v>396</v>
      </c>
      <c r="I124" s="59">
        <v>2005</v>
      </c>
      <c r="J124" s="60" t="s">
        <v>244</v>
      </c>
      <c r="K124" s="61">
        <v>20.8</v>
      </c>
    </row>
    <row r="125" spans="1:11" ht="12.75" customHeight="1" x14ac:dyDescent="0.2">
      <c r="A125" s="47" t="s">
        <v>178</v>
      </c>
      <c r="B125" s="61">
        <v>20.399999999999999</v>
      </c>
      <c r="C125" s="61"/>
      <c r="F125" s="61"/>
      <c r="H125" s="60" t="s">
        <v>178</v>
      </c>
      <c r="I125" s="59">
        <v>2005</v>
      </c>
      <c r="J125" s="60" t="s">
        <v>425</v>
      </c>
      <c r="K125" s="61">
        <v>20.399999999999999</v>
      </c>
    </row>
    <row r="126" spans="1:11" ht="12.75" customHeight="1" x14ac:dyDescent="0.2">
      <c r="A126" s="47" t="s">
        <v>179</v>
      </c>
      <c r="D126" s="68" t="s">
        <v>473</v>
      </c>
      <c r="E126" s="299">
        <v>65.045302813543543</v>
      </c>
    </row>
    <row r="127" spans="1:11" ht="12.75" customHeight="1" x14ac:dyDescent="0.2">
      <c r="A127" s="47" t="s">
        <v>180</v>
      </c>
      <c r="B127" s="61">
        <v>36</v>
      </c>
      <c r="C127" s="61"/>
      <c r="D127" s="68" t="s">
        <v>478</v>
      </c>
      <c r="E127" s="299">
        <v>53.623538895606721</v>
      </c>
      <c r="F127" s="61"/>
      <c r="H127" s="60" t="s">
        <v>180</v>
      </c>
      <c r="I127" s="59">
        <v>2008</v>
      </c>
      <c r="J127" s="60" t="s">
        <v>425</v>
      </c>
      <c r="K127" s="61">
        <v>36</v>
      </c>
    </row>
    <row r="128" spans="1:11" ht="12.75" customHeight="1" x14ac:dyDescent="0.2">
      <c r="A128" s="47" t="s">
        <v>397</v>
      </c>
      <c r="B128" s="61"/>
      <c r="C128" s="61"/>
      <c r="F128" s="61"/>
      <c r="H128" s="60"/>
      <c r="I128" s="59"/>
      <c r="J128" s="60"/>
      <c r="K128" s="61"/>
    </row>
    <row r="129" spans="1:11" ht="12.75" customHeight="1" x14ac:dyDescent="0.2">
      <c r="A129" s="47" t="s">
        <v>4</v>
      </c>
      <c r="B129" s="61">
        <f>E129</f>
        <v>38.467934726119857</v>
      </c>
      <c r="C129" s="61"/>
      <c r="D129" s="68" t="s">
        <v>479</v>
      </c>
      <c r="E129" s="299">
        <v>38.467934726119857</v>
      </c>
      <c r="F129" s="61"/>
      <c r="H129" s="60" t="s">
        <v>4</v>
      </c>
      <c r="I129" s="59" t="s">
        <v>432</v>
      </c>
      <c r="J129" s="60" t="s">
        <v>244</v>
      </c>
      <c r="K129" s="61">
        <v>35.200000000000003</v>
      </c>
    </row>
    <row r="130" spans="1:11" ht="12.75" customHeight="1" x14ac:dyDescent="0.2">
      <c r="A130" s="47" t="s">
        <v>181</v>
      </c>
      <c r="B130" s="61">
        <f>E130</f>
        <v>26.423701881183067</v>
      </c>
      <c r="C130" s="61"/>
      <c r="D130" s="68" t="s">
        <v>483</v>
      </c>
      <c r="E130" s="299">
        <v>26.423701881183067</v>
      </c>
      <c r="F130" s="61"/>
      <c r="H130" s="60" t="s">
        <v>181</v>
      </c>
      <c r="I130" s="59">
        <v>2006</v>
      </c>
      <c r="J130" s="60" t="s">
        <v>244</v>
      </c>
      <c r="K130" s="61">
        <v>23.2</v>
      </c>
    </row>
    <row r="131" spans="1:11" ht="12.75" customHeight="1" x14ac:dyDescent="0.2">
      <c r="A131" s="47" t="s">
        <v>93</v>
      </c>
      <c r="B131" s="61"/>
      <c r="C131" s="61"/>
      <c r="F131" s="61"/>
      <c r="H131" s="60"/>
      <c r="I131" s="59"/>
      <c r="J131" s="60"/>
      <c r="K131" s="61"/>
    </row>
    <row r="132" spans="1:11" ht="12.75" customHeight="1" x14ac:dyDescent="0.2">
      <c r="A132" s="47" t="s">
        <v>398</v>
      </c>
      <c r="B132" s="61"/>
      <c r="C132" s="61"/>
      <c r="F132" s="61"/>
      <c r="H132" s="60"/>
      <c r="I132" s="59"/>
      <c r="J132" s="60"/>
      <c r="K132" s="61"/>
    </row>
    <row r="133" spans="1:11" ht="12.75" customHeight="1" x14ac:dyDescent="0.2">
      <c r="A133" s="47" t="s">
        <v>399</v>
      </c>
      <c r="B133" s="61"/>
      <c r="C133" s="61"/>
      <c r="F133" s="61"/>
      <c r="H133" s="60"/>
      <c r="I133" s="59"/>
      <c r="J133" s="60"/>
      <c r="K133" s="61"/>
    </row>
    <row r="134" spans="1:11" ht="12.75" customHeight="1" x14ac:dyDescent="0.2">
      <c r="A134" s="47" t="s">
        <v>182</v>
      </c>
      <c r="B134" s="61"/>
      <c r="C134" s="61"/>
      <c r="F134" s="61"/>
      <c r="H134" s="60"/>
      <c r="I134" s="59"/>
      <c r="J134" s="60"/>
      <c r="K134" s="61"/>
    </row>
    <row r="135" spans="1:11" ht="12.75" customHeight="1" x14ac:dyDescent="0.2">
      <c r="A135" s="47" t="s">
        <v>51</v>
      </c>
      <c r="B135" s="61">
        <f>E135</f>
        <v>17.544218382578403</v>
      </c>
      <c r="C135" s="61"/>
      <c r="D135" s="68" t="s">
        <v>482</v>
      </c>
      <c r="E135" s="299">
        <v>17.544218382578403</v>
      </c>
      <c r="F135" s="61"/>
      <c r="H135" s="60" t="s">
        <v>51</v>
      </c>
      <c r="I135" s="59">
        <v>2001</v>
      </c>
      <c r="J135" s="60" t="s">
        <v>244</v>
      </c>
      <c r="K135" s="61">
        <v>16.899999999999999</v>
      </c>
    </row>
    <row r="136" spans="1:11" ht="12.75" customHeight="1" x14ac:dyDescent="0.2">
      <c r="A136" s="47" t="s">
        <v>183</v>
      </c>
      <c r="B136" s="61">
        <f>E136</f>
        <v>70.755028025057754</v>
      </c>
      <c r="C136" s="61"/>
      <c r="D136" s="68" t="s">
        <v>480</v>
      </c>
      <c r="E136" s="299">
        <v>70.755028025057754</v>
      </c>
      <c r="F136" s="61"/>
      <c r="H136" s="60" t="s">
        <v>183</v>
      </c>
      <c r="I136" s="59">
        <v>2006</v>
      </c>
      <c r="J136" s="60" t="s">
        <v>244</v>
      </c>
      <c r="K136" s="61">
        <v>70.099999999999994</v>
      </c>
    </row>
    <row r="137" spans="1:11" ht="12.75" customHeight="1" x14ac:dyDescent="0.2">
      <c r="A137" s="47" t="s">
        <v>5</v>
      </c>
      <c r="B137" s="61">
        <f>E137</f>
        <v>49.17500811262822</v>
      </c>
      <c r="C137" s="61"/>
      <c r="D137" s="68" t="s">
        <v>481</v>
      </c>
      <c r="E137" s="299">
        <v>49.17500811262822</v>
      </c>
      <c r="F137" s="61"/>
      <c r="H137" s="60" t="s">
        <v>5</v>
      </c>
      <c r="I137" s="59">
        <v>2003</v>
      </c>
      <c r="J137" s="60" t="s">
        <v>244</v>
      </c>
      <c r="K137" s="61">
        <v>64.5</v>
      </c>
    </row>
    <row r="138" spans="1:11" ht="12.75" customHeight="1" x14ac:dyDescent="0.2">
      <c r="A138" s="47" t="s">
        <v>94</v>
      </c>
      <c r="B138" s="61"/>
      <c r="C138" s="61"/>
      <c r="F138" s="61"/>
      <c r="H138" s="60"/>
      <c r="I138" s="59"/>
      <c r="J138" s="60"/>
      <c r="K138" s="61"/>
    </row>
    <row r="139" spans="1:11" ht="12.75" customHeight="1" x14ac:dyDescent="0.2">
      <c r="A139" s="47" t="s">
        <v>400</v>
      </c>
      <c r="B139" s="61"/>
      <c r="C139" s="61"/>
      <c r="F139" s="61"/>
      <c r="H139" s="60"/>
      <c r="I139" s="59"/>
      <c r="J139" s="60"/>
      <c r="K139" s="61"/>
    </row>
    <row r="140" spans="1:11" ht="12.75" customHeight="1" x14ac:dyDescent="0.2">
      <c r="A140" s="47" t="s">
        <v>184</v>
      </c>
      <c r="B140" s="61"/>
      <c r="C140" s="61"/>
      <c r="F140" s="61"/>
      <c r="H140" s="60"/>
      <c r="I140" s="59"/>
      <c r="J140" s="60"/>
      <c r="K140" s="61"/>
    </row>
    <row r="141" spans="1:11" ht="12.75" customHeight="1" x14ac:dyDescent="0.2">
      <c r="A141" s="47" t="s">
        <v>185</v>
      </c>
      <c r="B141" s="61"/>
      <c r="C141" s="61"/>
      <c r="F141" s="61"/>
      <c r="H141" s="60"/>
      <c r="I141" s="59"/>
      <c r="J141" s="60"/>
      <c r="K141" s="61"/>
    </row>
    <row r="142" spans="1:11" ht="12.75" customHeight="1" x14ac:dyDescent="0.2">
      <c r="A142" s="47" t="s">
        <v>73</v>
      </c>
      <c r="B142" s="61"/>
      <c r="C142" s="61"/>
      <c r="F142" s="61"/>
      <c r="H142" s="60"/>
      <c r="I142" s="59"/>
      <c r="J142" s="60"/>
      <c r="K142" s="61"/>
    </row>
    <row r="143" spans="1:11" ht="12.75" customHeight="1" x14ac:dyDescent="0.2">
      <c r="A143" s="47" t="s">
        <v>56</v>
      </c>
      <c r="B143" s="61"/>
      <c r="C143" s="61"/>
      <c r="F143" s="61"/>
      <c r="H143" s="60"/>
      <c r="I143" s="59"/>
      <c r="J143" s="60"/>
      <c r="K143" s="61"/>
    </row>
    <row r="144" spans="1:11" ht="12.75" customHeight="1" x14ac:dyDescent="0.2">
      <c r="A144" s="47" t="s">
        <v>57</v>
      </c>
      <c r="B144" s="61"/>
      <c r="C144" s="61"/>
      <c r="F144" s="61"/>
      <c r="H144" s="60"/>
      <c r="I144" s="59"/>
      <c r="J144" s="60"/>
      <c r="K144" s="61"/>
    </row>
    <row r="145" spans="1:11" ht="12.75" customHeight="1" x14ac:dyDescent="0.2">
      <c r="A145" s="47" t="s">
        <v>79</v>
      </c>
      <c r="B145" s="61">
        <f>E145</f>
        <v>15.425571248983221</v>
      </c>
      <c r="C145" s="61"/>
      <c r="D145" s="68" t="s">
        <v>484</v>
      </c>
      <c r="E145" s="299">
        <v>15.425571248983221</v>
      </c>
      <c r="F145" s="61"/>
      <c r="H145" s="60" t="s">
        <v>79</v>
      </c>
      <c r="I145" s="59">
        <v>2003</v>
      </c>
      <c r="J145" s="60" t="s">
        <v>244</v>
      </c>
      <c r="K145" s="61">
        <v>24.1</v>
      </c>
    </row>
    <row r="146" spans="1:11" ht="12.75" customHeight="1" x14ac:dyDescent="0.2">
      <c r="A146" s="47" t="s">
        <v>186</v>
      </c>
      <c r="B146" s="61"/>
      <c r="C146" s="61"/>
      <c r="D146" s="68"/>
      <c r="E146" s="299"/>
      <c r="F146" s="61"/>
      <c r="H146" s="60"/>
      <c r="I146" s="59"/>
      <c r="J146" s="60"/>
      <c r="K146" s="61"/>
    </row>
    <row r="147" spans="1:11" ht="12.75" customHeight="1" x14ac:dyDescent="0.2">
      <c r="A147" s="47" t="s">
        <v>187</v>
      </c>
      <c r="B147" s="61"/>
      <c r="C147" s="61"/>
      <c r="D147" s="68"/>
      <c r="E147" s="299"/>
      <c r="F147" s="61"/>
      <c r="H147" s="60"/>
      <c r="I147" s="59"/>
      <c r="J147" s="60"/>
      <c r="K147" s="61"/>
    </row>
    <row r="148" spans="1:11" ht="12.75" customHeight="1" x14ac:dyDescent="0.2">
      <c r="A148" s="47" t="s">
        <v>58</v>
      </c>
      <c r="B148" s="61"/>
      <c r="C148" s="61"/>
      <c r="D148" s="68"/>
      <c r="E148" s="299"/>
      <c r="F148" s="61"/>
      <c r="H148" s="60"/>
      <c r="I148" s="59"/>
      <c r="J148" s="60"/>
      <c r="K148" s="61"/>
    </row>
    <row r="149" spans="1:11" ht="12.75" customHeight="1" x14ac:dyDescent="0.2">
      <c r="A149" s="47" t="s">
        <v>401</v>
      </c>
      <c r="B149" s="61"/>
      <c r="C149" s="61"/>
      <c r="D149" s="68"/>
      <c r="E149" s="299"/>
      <c r="F149" s="61"/>
      <c r="H149" s="60"/>
      <c r="I149" s="59"/>
      <c r="J149" s="60"/>
      <c r="K149" s="61"/>
    </row>
    <row r="150" spans="1:11" ht="12.75" customHeight="1" x14ac:dyDescent="0.2">
      <c r="A150" s="47" t="s">
        <v>402</v>
      </c>
      <c r="B150" s="61"/>
      <c r="C150" s="61"/>
      <c r="D150" s="68"/>
      <c r="E150" s="299"/>
      <c r="F150" s="61"/>
      <c r="H150" s="60"/>
      <c r="I150" s="59"/>
      <c r="J150" s="60"/>
      <c r="K150" s="61"/>
    </row>
    <row r="151" spans="1:11" ht="12.75" customHeight="1" x14ac:dyDescent="0.2">
      <c r="A151" s="47" t="s">
        <v>95</v>
      </c>
      <c r="B151" s="61"/>
      <c r="C151" s="61"/>
      <c r="D151" s="68"/>
      <c r="E151" s="299"/>
      <c r="F151" s="61"/>
      <c r="H151" s="60"/>
      <c r="I151" s="59"/>
      <c r="J151" s="60"/>
      <c r="K151" s="61"/>
    </row>
    <row r="152" spans="1:11" ht="12.75" customHeight="1" x14ac:dyDescent="0.2">
      <c r="A152" s="47" t="s">
        <v>403</v>
      </c>
      <c r="B152" s="61"/>
      <c r="C152" s="61"/>
      <c r="D152" s="68"/>
      <c r="E152" s="299"/>
      <c r="F152" s="61"/>
      <c r="H152" s="60"/>
      <c r="I152" s="59"/>
      <c r="J152" s="60"/>
      <c r="K152" s="61"/>
    </row>
    <row r="153" spans="1:11" ht="12.75" customHeight="1" x14ac:dyDescent="0.2">
      <c r="A153" s="47" t="s">
        <v>188</v>
      </c>
      <c r="B153" s="61">
        <f>E153</f>
        <v>47.346430793848285</v>
      </c>
      <c r="C153" s="61"/>
      <c r="D153" s="68" t="s">
        <v>485</v>
      </c>
      <c r="E153" s="299">
        <v>47.346430793848285</v>
      </c>
      <c r="F153" s="61"/>
      <c r="H153" s="60" t="s">
        <v>188</v>
      </c>
      <c r="I153" s="59">
        <v>2005</v>
      </c>
      <c r="J153" s="60" t="s">
        <v>244</v>
      </c>
      <c r="K153" s="61">
        <v>48</v>
      </c>
    </row>
    <row r="154" spans="1:11" ht="12.75" customHeight="1" x14ac:dyDescent="0.2">
      <c r="A154" s="47" t="s">
        <v>404</v>
      </c>
      <c r="B154" s="61">
        <v>32</v>
      </c>
      <c r="C154" s="61"/>
      <c r="D154" s="68"/>
      <c r="E154" s="299"/>
      <c r="F154" s="61"/>
      <c r="H154" s="60" t="s">
        <v>439</v>
      </c>
      <c r="I154" s="59">
        <v>2006</v>
      </c>
      <c r="J154" s="60" t="s">
        <v>425</v>
      </c>
      <c r="K154" s="61">
        <v>32</v>
      </c>
    </row>
    <row r="155" spans="1:11" ht="12.75" customHeight="1" x14ac:dyDescent="0.2">
      <c r="A155" s="47" t="s">
        <v>189</v>
      </c>
      <c r="B155" s="61"/>
      <c r="C155" s="61"/>
      <c r="D155" s="68"/>
      <c r="E155" s="299"/>
      <c r="F155" s="61"/>
      <c r="H155" s="60"/>
      <c r="I155" s="59"/>
      <c r="J155" s="60"/>
      <c r="K155" s="61"/>
    </row>
    <row r="156" spans="1:11" ht="12.75" customHeight="1" x14ac:dyDescent="0.2">
      <c r="A156" s="47" t="s">
        <v>190</v>
      </c>
      <c r="B156" s="61">
        <f>E156</f>
        <v>68.042665189083991</v>
      </c>
      <c r="C156" s="61"/>
      <c r="D156" s="68" t="s">
        <v>487</v>
      </c>
      <c r="E156" s="299">
        <v>68.042665189083991</v>
      </c>
      <c r="F156" s="61"/>
      <c r="H156" s="60" t="s">
        <v>190</v>
      </c>
      <c r="I156" s="59">
        <v>2005</v>
      </c>
      <c r="J156" s="60" t="s">
        <v>244</v>
      </c>
      <c r="K156" s="61">
        <v>65.2</v>
      </c>
    </row>
    <row r="157" spans="1:11" ht="12.75" customHeight="1" x14ac:dyDescent="0.2">
      <c r="A157" s="47" t="s">
        <v>405</v>
      </c>
      <c r="B157" s="61">
        <v>6.2</v>
      </c>
      <c r="C157" s="61"/>
      <c r="D157" s="68"/>
      <c r="E157" s="299"/>
      <c r="F157" s="61"/>
      <c r="H157" s="60" t="s">
        <v>440</v>
      </c>
      <c r="I157" s="59" t="s">
        <v>430</v>
      </c>
      <c r="J157" s="60" t="s">
        <v>425</v>
      </c>
      <c r="K157" s="61">
        <v>6.2</v>
      </c>
    </row>
    <row r="158" spans="1:11" ht="12.75" customHeight="1" x14ac:dyDescent="0.2">
      <c r="A158" s="47" t="s">
        <v>191</v>
      </c>
      <c r="B158" s="61">
        <v>85</v>
      </c>
      <c r="C158" s="61"/>
      <c r="D158" s="68" t="s">
        <v>486</v>
      </c>
      <c r="E158" s="299">
        <v>71.242015613910596</v>
      </c>
      <c r="F158" s="61"/>
      <c r="H158" s="60" t="s">
        <v>191</v>
      </c>
      <c r="I158" s="59">
        <v>2005</v>
      </c>
      <c r="J158" s="60" t="s">
        <v>425</v>
      </c>
      <c r="K158" s="61">
        <v>85</v>
      </c>
    </row>
    <row r="159" spans="1:11" ht="12.75" customHeight="1" x14ac:dyDescent="0.2">
      <c r="A159" s="47" t="s">
        <v>192</v>
      </c>
      <c r="B159" s="61"/>
      <c r="C159" s="61"/>
      <c r="F159" s="61"/>
      <c r="H159" s="60"/>
      <c r="I159" s="59"/>
      <c r="J159" s="60"/>
      <c r="K159" s="61"/>
    </row>
    <row r="160" spans="1:11" ht="12.75" customHeight="1" x14ac:dyDescent="0.2">
      <c r="A160" s="47" t="s">
        <v>406</v>
      </c>
      <c r="B160" s="61"/>
      <c r="C160" s="61"/>
      <c r="F160" s="61"/>
      <c r="H160" s="60"/>
      <c r="I160" s="59"/>
      <c r="J160" s="60"/>
      <c r="K160" s="61"/>
    </row>
    <row r="161" spans="1:11" ht="12.75" customHeight="1" x14ac:dyDescent="0.2">
      <c r="A161" s="47" t="s">
        <v>407</v>
      </c>
      <c r="B161" s="61"/>
      <c r="C161" s="61"/>
      <c r="F161" s="61"/>
      <c r="H161" s="60"/>
      <c r="I161" s="59"/>
      <c r="J161" s="60"/>
      <c r="K161" s="61"/>
    </row>
    <row r="162" spans="1:11" ht="12.75" customHeight="1" x14ac:dyDescent="0.2">
      <c r="A162" s="47" t="s">
        <v>408</v>
      </c>
      <c r="B162" s="61"/>
      <c r="C162" s="61"/>
      <c r="F162" s="61"/>
      <c r="H162" s="60"/>
      <c r="I162" s="59"/>
      <c r="J162" s="60"/>
      <c r="K162" s="61"/>
    </row>
    <row r="163" spans="1:11" ht="12.75" customHeight="1" x14ac:dyDescent="0.2">
      <c r="A163" s="47" t="s">
        <v>193</v>
      </c>
      <c r="B163" s="61">
        <v>75.7</v>
      </c>
      <c r="C163" s="61"/>
      <c r="F163" s="61"/>
      <c r="H163" s="60" t="s">
        <v>193</v>
      </c>
      <c r="I163" s="59">
        <v>2006</v>
      </c>
      <c r="J163" s="60" t="s">
        <v>425</v>
      </c>
      <c r="K163" s="61">
        <v>75.7</v>
      </c>
    </row>
    <row r="164" spans="1:11" ht="12.75" customHeight="1" x14ac:dyDescent="0.2">
      <c r="A164" s="47" t="s">
        <v>194</v>
      </c>
      <c r="B164" s="61"/>
      <c r="C164" s="61"/>
      <c r="F164" s="61"/>
      <c r="H164" s="60"/>
      <c r="I164" s="59"/>
      <c r="J164" s="60"/>
      <c r="K164" s="61"/>
    </row>
    <row r="165" spans="1:11" ht="12.75" customHeight="1" x14ac:dyDescent="0.2">
      <c r="A165" s="47" t="s">
        <v>409</v>
      </c>
      <c r="B165" s="61"/>
      <c r="C165" s="61"/>
      <c r="F165" s="61"/>
      <c r="H165" s="60"/>
      <c r="I165" s="59"/>
      <c r="J165" s="60"/>
      <c r="K165" s="61"/>
    </row>
    <row r="166" spans="1:11" ht="12.75" customHeight="1" x14ac:dyDescent="0.2">
      <c r="A166" s="47" t="s">
        <v>195</v>
      </c>
      <c r="B166" s="61"/>
      <c r="C166" s="61"/>
      <c r="F166" s="61"/>
      <c r="H166" s="60"/>
      <c r="I166" s="59"/>
      <c r="J166" s="60"/>
      <c r="K166" s="61"/>
    </row>
    <row r="167" spans="1:11" ht="12.75" customHeight="1" x14ac:dyDescent="0.2">
      <c r="A167" s="47" t="s">
        <v>196</v>
      </c>
      <c r="B167" s="61"/>
      <c r="C167" s="61"/>
      <c r="F167" s="61"/>
      <c r="H167" s="60"/>
      <c r="I167" s="59"/>
      <c r="J167" s="60"/>
      <c r="K167" s="61"/>
    </row>
    <row r="168" spans="1:11" ht="12.75" customHeight="1" x14ac:dyDescent="0.2">
      <c r="A168" s="47" t="s">
        <v>410</v>
      </c>
      <c r="B168" s="61"/>
      <c r="C168" s="61"/>
      <c r="F168" s="61"/>
      <c r="H168" s="60"/>
      <c r="I168" s="59"/>
      <c r="J168" s="60"/>
      <c r="K168" s="61"/>
    </row>
    <row r="169" spans="1:11" ht="12.75" customHeight="1" x14ac:dyDescent="0.2">
      <c r="A169" s="47" t="s">
        <v>411</v>
      </c>
      <c r="B169" s="61"/>
      <c r="C169" s="61"/>
      <c r="F169" s="61"/>
      <c r="H169" s="60"/>
      <c r="I169" s="59"/>
      <c r="J169" s="60"/>
      <c r="K169" s="61"/>
    </row>
    <row r="170" spans="1:11" ht="12.75" customHeight="1" x14ac:dyDescent="0.2">
      <c r="A170" s="47" t="s">
        <v>197</v>
      </c>
      <c r="B170" s="61"/>
      <c r="C170" s="61"/>
      <c r="F170" s="61"/>
      <c r="H170" s="60"/>
      <c r="I170" s="59"/>
      <c r="J170" s="60"/>
      <c r="K170" s="61"/>
    </row>
    <row r="171" spans="1:11" ht="12.75" customHeight="1" x14ac:dyDescent="0.2">
      <c r="A171" s="47" t="s">
        <v>412</v>
      </c>
      <c r="B171" s="61">
        <v>13.2</v>
      </c>
      <c r="C171" s="61"/>
      <c r="F171" s="61"/>
      <c r="H171" s="60" t="s">
        <v>412</v>
      </c>
      <c r="I171" s="59">
        <v>2006</v>
      </c>
      <c r="J171" s="60" t="s">
        <v>425</v>
      </c>
      <c r="K171" s="61">
        <v>13.2</v>
      </c>
    </row>
    <row r="172" spans="1:11" ht="12.75" customHeight="1" x14ac:dyDescent="0.2">
      <c r="A172" s="47" t="s">
        <v>413</v>
      </c>
      <c r="B172" s="61">
        <f>E172</f>
        <v>37.899176541474169</v>
      </c>
      <c r="C172" s="61"/>
      <c r="D172" s="68" t="s">
        <v>488</v>
      </c>
      <c r="E172" s="299">
        <v>37.899176541474169</v>
      </c>
      <c r="F172" s="61"/>
      <c r="H172" s="60" t="s">
        <v>413</v>
      </c>
      <c r="I172" s="59" t="s">
        <v>432</v>
      </c>
      <c r="J172" s="60" t="s">
        <v>244</v>
      </c>
      <c r="K172" s="61">
        <v>37.9</v>
      </c>
    </row>
    <row r="173" spans="1:11" ht="12.75" customHeight="1" x14ac:dyDescent="0.2">
      <c r="A173" s="47" t="s">
        <v>96</v>
      </c>
      <c r="B173" s="61"/>
      <c r="C173" s="61"/>
      <c r="F173" s="61"/>
      <c r="H173" s="60"/>
      <c r="I173" s="59"/>
      <c r="J173" s="60"/>
      <c r="K173" s="61"/>
    </row>
    <row r="174" spans="1:11" ht="12.75" customHeight="1" x14ac:dyDescent="0.2">
      <c r="A174" s="47" t="s">
        <v>97</v>
      </c>
      <c r="B174" s="61"/>
      <c r="C174" s="61"/>
      <c r="F174" s="61"/>
      <c r="H174" s="60"/>
      <c r="I174" s="59"/>
      <c r="J174" s="60"/>
      <c r="K174" s="61"/>
    </row>
    <row r="175" spans="1:11" ht="12.75" customHeight="1" x14ac:dyDescent="0.2">
      <c r="A175" s="47" t="s">
        <v>198</v>
      </c>
      <c r="B175" s="61"/>
      <c r="C175" s="61"/>
      <c r="F175" s="61"/>
      <c r="H175" s="60"/>
      <c r="I175" s="59"/>
      <c r="J175" s="60"/>
      <c r="K175" s="61"/>
    </row>
    <row r="176" spans="1:11" ht="12.75" customHeight="1" x14ac:dyDescent="0.2">
      <c r="A176" s="47" t="s">
        <v>199</v>
      </c>
      <c r="B176" s="61"/>
      <c r="C176" s="61"/>
      <c r="F176" s="61"/>
      <c r="H176" s="60"/>
      <c r="I176" s="59"/>
      <c r="J176" s="60"/>
      <c r="K176" s="61"/>
    </row>
    <row r="177" spans="1:11" ht="12.75" customHeight="1" x14ac:dyDescent="0.2">
      <c r="A177" s="47" t="s">
        <v>320</v>
      </c>
      <c r="B177" s="61">
        <v>74.400000000000006</v>
      </c>
      <c r="C177" s="61"/>
      <c r="F177" s="61"/>
      <c r="H177" s="60" t="s">
        <v>320</v>
      </c>
      <c r="I177" s="59">
        <v>2005</v>
      </c>
      <c r="J177" s="60" t="s">
        <v>425</v>
      </c>
      <c r="K177" s="61">
        <v>74.400000000000006</v>
      </c>
    </row>
    <row r="178" spans="1:11" ht="12.75" customHeight="1" x14ac:dyDescent="0.2">
      <c r="A178" s="47" t="s">
        <v>22</v>
      </c>
      <c r="B178" s="61">
        <f>E178</f>
        <v>57.007797270955166</v>
      </c>
      <c r="C178" s="61"/>
      <c r="D178" s="68" t="s">
        <v>491</v>
      </c>
      <c r="E178" s="299">
        <v>57.007797270955166</v>
      </c>
      <c r="F178" s="61"/>
      <c r="H178" s="60" t="s">
        <v>22</v>
      </c>
      <c r="I178" s="59" t="s">
        <v>441</v>
      </c>
      <c r="J178" s="60" t="s">
        <v>244</v>
      </c>
      <c r="K178" s="61">
        <v>59.6</v>
      </c>
    </row>
    <row r="179" spans="1:11" ht="12.75" customHeight="1" x14ac:dyDescent="0.2">
      <c r="A179" s="47" t="s">
        <v>81</v>
      </c>
      <c r="B179" s="61"/>
      <c r="C179" s="61"/>
      <c r="F179" s="61"/>
      <c r="H179" s="60"/>
      <c r="I179" s="59"/>
      <c r="J179" s="60"/>
      <c r="K179" s="61"/>
    </row>
    <row r="180" spans="1:11" ht="12.75" customHeight="1" x14ac:dyDescent="0.2">
      <c r="A180" s="47" t="s">
        <v>200</v>
      </c>
      <c r="B180" s="61">
        <v>53.2</v>
      </c>
      <c r="C180" s="61"/>
      <c r="F180" s="61"/>
      <c r="H180" s="60" t="s">
        <v>200</v>
      </c>
      <c r="I180" s="59">
        <v>2006</v>
      </c>
      <c r="J180" s="60" t="s">
        <v>425</v>
      </c>
      <c r="K180" s="61">
        <v>53.2</v>
      </c>
    </row>
    <row r="181" spans="1:11" ht="12.75" customHeight="1" x14ac:dyDescent="0.2">
      <c r="A181" s="47" t="s">
        <v>353</v>
      </c>
      <c r="B181" s="61">
        <v>7.6</v>
      </c>
      <c r="C181" s="61"/>
      <c r="F181" s="61"/>
      <c r="H181" s="60" t="s">
        <v>201</v>
      </c>
      <c r="I181" s="59">
        <v>2006</v>
      </c>
      <c r="J181" s="60" t="s">
        <v>425</v>
      </c>
      <c r="K181" s="61">
        <v>7.6</v>
      </c>
    </row>
    <row r="182" spans="1:11" ht="12.75" customHeight="1" x14ac:dyDescent="0.2">
      <c r="A182" s="47" t="s">
        <v>202</v>
      </c>
      <c r="B182" s="61"/>
      <c r="C182" s="61"/>
      <c r="F182" s="61"/>
      <c r="H182" s="60"/>
      <c r="I182" s="59"/>
      <c r="J182" s="60"/>
      <c r="K182" s="61"/>
    </row>
    <row r="183" spans="1:11" ht="12.75" customHeight="1" x14ac:dyDescent="0.2">
      <c r="A183" s="47" t="s">
        <v>98</v>
      </c>
      <c r="B183" s="61">
        <f>E183</f>
        <v>39.176280858454192</v>
      </c>
      <c r="C183" s="61"/>
      <c r="D183" s="68" t="s">
        <v>490</v>
      </c>
      <c r="E183" s="299">
        <v>39.176280858454192</v>
      </c>
      <c r="F183" s="61"/>
      <c r="H183" s="60" t="s">
        <v>98</v>
      </c>
      <c r="I183" s="59">
        <v>2003</v>
      </c>
      <c r="J183" s="60" t="s">
        <v>244</v>
      </c>
      <c r="K183" s="61">
        <v>39.200000000000003</v>
      </c>
    </row>
    <row r="184" spans="1:11" ht="12.75" customHeight="1" x14ac:dyDescent="0.2">
      <c r="A184" s="47" t="s">
        <v>414</v>
      </c>
      <c r="B184" s="61">
        <v>37.700000000000003</v>
      </c>
      <c r="C184" s="61"/>
      <c r="F184" s="61"/>
      <c r="H184" s="60" t="s">
        <v>414</v>
      </c>
      <c r="I184" s="59">
        <v>2006</v>
      </c>
      <c r="J184" s="60" t="s">
        <v>425</v>
      </c>
      <c r="K184" s="61">
        <v>37.700000000000003</v>
      </c>
    </row>
    <row r="185" spans="1:11" ht="12.75" customHeight="1" x14ac:dyDescent="0.2">
      <c r="A185" s="47" t="s">
        <v>25</v>
      </c>
      <c r="B185" s="61">
        <f>E185</f>
        <v>73.048469387754849</v>
      </c>
      <c r="C185" s="61"/>
      <c r="D185" s="68" t="s">
        <v>493</v>
      </c>
      <c r="E185" s="299">
        <v>73.048469387754849</v>
      </c>
      <c r="F185" s="61"/>
      <c r="H185" s="60" t="s">
        <v>25</v>
      </c>
      <c r="I185" s="59">
        <v>2006</v>
      </c>
      <c r="J185" s="60" t="s">
        <v>244</v>
      </c>
      <c r="K185" s="61">
        <v>70.2</v>
      </c>
    </row>
    <row r="186" spans="1:11" ht="12.75" customHeight="1" x14ac:dyDescent="0.2">
      <c r="A186" s="47" t="s">
        <v>99</v>
      </c>
      <c r="B186" s="61">
        <f>E186</f>
        <v>3.6191041234055015</v>
      </c>
      <c r="C186" s="61"/>
      <c r="D186" s="68" t="s">
        <v>492</v>
      </c>
      <c r="E186" s="299">
        <v>3.6191041234055015</v>
      </c>
      <c r="F186" s="61"/>
      <c r="H186" s="60" t="s">
        <v>99</v>
      </c>
      <c r="I186" s="59">
        <v>2007</v>
      </c>
      <c r="J186" s="60" t="s">
        <v>244</v>
      </c>
      <c r="K186" s="61">
        <v>3.6</v>
      </c>
    </row>
    <row r="187" spans="1:11" ht="12.75" customHeight="1" x14ac:dyDescent="0.2">
      <c r="A187" s="47" t="s">
        <v>415</v>
      </c>
      <c r="B187" s="61"/>
      <c r="C187" s="61"/>
      <c r="F187" s="61"/>
      <c r="H187" s="60"/>
      <c r="I187" s="59"/>
      <c r="J187" s="60"/>
      <c r="K187" s="61"/>
    </row>
    <row r="188" spans="1:11" ht="12.75" customHeight="1" x14ac:dyDescent="0.2">
      <c r="A188" s="47" t="s">
        <v>203</v>
      </c>
      <c r="B188" s="61"/>
      <c r="C188" s="61"/>
      <c r="F188" s="61"/>
      <c r="H188" s="60"/>
      <c r="I188" s="59"/>
      <c r="J188" s="60"/>
      <c r="K188" s="61"/>
    </row>
    <row r="189" spans="1:11" ht="12.75" customHeight="1" x14ac:dyDescent="0.2">
      <c r="A189" s="47" t="s">
        <v>63</v>
      </c>
      <c r="B189" s="61"/>
      <c r="C189" s="61"/>
      <c r="F189" s="61"/>
      <c r="H189" s="60"/>
      <c r="I189" s="59"/>
      <c r="J189" s="60"/>
      <c r="K189" s="61"/>
    </row>
    <row r="190" spans="1:11" ht="12.75" customHeight="1" x14ac:dyDescent="0.2">
      <c r="A190" s="47" t="s">
        <v>59</v>
      </c>
      <c r="B190" s="61"/>
      <c r="C190" s="61"/>
      <c r="D190" s="68"/>
      <c r="E190" s="299"/>
      <c r="F190" s="61"/>
      <c r="H190" s="60"/>
      <c r="I190" s="59"/>
      <c r="J190" s="60"/>
      <c r="K190" s="61"/>
    </row>
    <row r="191" spans="1:11" ht="12.75" customHeight="1" x14ac:dyDescent="0.2">
      <c r="A191" s="47" t="s">
        <v>416</v>
      </c>
      <c r="B191" s="61">
        <f>K191</f>
        <v>69.599999999999994</v>
      </c>
      <c r="C191" s="61"/>
      <c r="D191" s="70" t="s">
        <v>500</v>
      </c>
      <c r="E191" s="301"/>
      <c r="F191" s="61"/>
      <c r="H191" s="60" t="s">
        <v>416</v>
      </c>
      <c r="I191" s="59">
        <v>2002</v>
      </c>
      <c r="J191" s="60" t="s">
        <v>244</v>
      </c>
      <c r="K191" s="61">
        <v>69.599999999999994</v>
      </c>
    </row>
    <row r="192" spans="1:11" ht="12.75" customHeight="1" x14ac:dyDescent="0.2">
      <c r="A192" s="47" t="s">
        <v>204</v>
      </c>
      <c r="B192" s="61"/>
      <c r="C192" s="61"/>
      <c r="D192" s="68"/>
      <c r="E192" s="299"/>
      <c r="F192" s="61"/>
      <c r="H192" s="60"/>
      <c r="I192" s="59"/>
      <c r="J192" s="60"/>
      <c r="K192" s="61"/>
    </row>
    <row r="193" spans="1:11" ht="12.75" customHeight="1" x14ac:dyDescent="0.2">
      <c r="A193" s="47" t="s">
        <v>82</v>
      </c>
      <c r="B193" s="61">
        <v>63.8</v>
      </c>
      <c r="C193" s="61"/>
      <c r="D193" s="68"/>
      <c r="E193" s="299"/>
      <c r="F193" s="61"/>
      <c r="H193" s="60" t="s">
        <v>82</v>
      </c>
      <c r="I193" s="59">
        <v>2006</v>
      </c>
      <c r="J193" s="60" t="s">
        <v>425</v>
      </c>
      <c r="K193" s="61">
        <v>63.8</v>
      </c>
    </row>
    <row r="194" spans="1:11" ht="12.75" customHeight="1" x14ac:dyDescent="0.2">
      <c r="A194" s="47" t="s">
        <v>417</v>
      </c>
      <c r="B194" s="61"/>
      <c r="C194" s="61"/>
      <c r="D194" s="68"/>
      <c r="E194" s="299"/>
      <c r="F194" s="61"/>
      <c r="H194" s="60"/>
      <c r="I194" s="59"/>
      <c r="J194" s="60"/>
      <c r="K194" s="61"/>
    </row>
    <row r="195" spans="1:11" ht="12.75" customHeight="1" x14ac:dyDescent="0.2">
      <c r="A195" s="47" t="s">
        <v>357</v>
      </c>
      <c r="B195" s="61"/>
      <c r="C195" s="61"/>
      <c r="D195" s="68"/>
      <c r="E195" s="299"/>
      <c r="F195" s="61"/>
      <c r="H195" s="60"/>
      <c r="I195" s="59"/>
      <c r="J195" s="60"/>
      <c r="K195" s="61"/>
    </row>
    <row r="196" spans="1:11" ht="12.75" customHeight="1" x14ac:dyDescent="0.2">
      <c r="A196" s="47" t="s">
        <v>29</v>
      </c>
      <c r="B196" s="61">
        <f>E196</f>
        <v>75.11287453824005</v>
      </c>
      <c r="C196" s="61"/>
      <c r="D196" s="68" t="s">
        <v>494</v>
      </c>
      <c r="E196" s="299">
        <v>75.11287453824005</v>
      </c>
      <c r="F196" s="61"/>
      <c r="H196" s="60" t="s">
        <v>29</v>
      </c>
      <c r="I196" s="59" t="s">
        <v>442</v>
      </c>
      <c r="J196" s="60" t="s">
        <v>244</v>
      </c>
      <c r="K196" s="61">
        <v>85.4</v>
      </c>
    </row>
    <row r="197" spans="1:11" ht="12.75" customHeight="1" x14ac:dyDescent="0.2">
      <c r="A197" s="47" t="s">
        <v>31</v>
      </c>
      <c r="B197" s="61">
        <f>E197</f>
        <v>50.621307801996394</v>
      </c>
      <c r="C197" s="61"/>
      <c r="D197" s="68" t="s">
        <v>495</v>
      </c>
      <c r="E197" s="299">
        <v>50.621307801996394</v>
      </c>
      <c r="F197" s="61"/>
      <c r="H197" s="60" t="s">
        <v>31</v>
      </c>
      <c r="I197" s="59" t="s">
        <v>430</v>
      </c>
      <c r="J197" s="60" t="s">
        <v>244</v>
      </c>
      <c r="K197" s="61">
        <v>47.7</v>
      </c>
    </row>
    <row r="198" spans="1:11" ht="12.75" customHeight="1" x14ac:dyDescent="0.2">
      <c r="B198" s="62"/>
      <c r="C198" s="62"/>
      <c r="F198" s="62"/>
      <c r="H198" s="4" t="s">
        <v>446</v>
      </c>
    </row>
    <row r="199" spans="1:11" ht="12.75" customHeight="1" x14ac:dyDescent="0.2">
      <c r="B199" s="1"/>
      <c r="C199" s="1"/>
      <c r="F199" s="1"/>
      <c r="H199" s="60" t="s">
        <v>438</v>
      </c>
      <c r="I199" s="59">
        <v>2006</v>
      </c>
      <c r="J199" s="60" t="s">
        <v>425</v>
      </c>
      <c r="K199" s="61">
        <v>10.199999999999999</v>
      </c>
    </row>
    <row r="201" spans="1:11" ht="12.75" customHeight="1" x14ac:dyDescent="0.2">
      <c r="A201" s="307" t="s">
        <v>1005</v>
      </c>
    </row>
    <row r="205" spans="1:11" ht="12.75" customHeight="1" x14ac:dyDescent="0.2">
      <c r="D205" s="61"/>
      <c r="E205" s="61"/>
    </row>
    <row r="206" spans="1:11" ht="12.75" customHeight="1" x14ac:dyDescent="0.2">
      <c r="D206" s="61"/>
      <c r="E206" s="61"/>
    </row>
    <row r="207" spans="1:11" ht="12.75" customHeight="1" x14ac:dyDescent="0.2">
      <c r="D207" s="61"/>
      <c r="E207" s="61"/>
    </row>
    <row r="208" spans="1:11" ht="12.75" customHeight="1" x14ac:dyDescent="0.2">
      <c r="D208" s="61"/>
      <c r="E208" s="61"/>
    </row>
    <row r="209" spans="4:5" ht="12.75" customHeight="1" x14ac:dyDescent="0.2">
      <c r="D209" s="61"/>
      <c r="E209" s="61"/>
    </row>
    <row r="210" spans="4:5" ht="12.75" customHeight="1" x14ac:dyDescent="0.2">
      <c r="D210" s="61"/>
      <c r="E210" s="61"/>
    </row>
    <row r="211" spans="4:5" ht="12.75" customHeight="1" x14ac:dyDescent="0.2">
      <c r="D211" s="61"/>
      <c r="E211" s="61"/>
    </row>
    <row r="212" spans="4:5" ht="12.75" customHeight="1" x14ac:dyDescent="0.2">
      <c r="D212" s="61"/>
      <c r="E212" s="61"/>
    </row>
    <row r="213" spans="4:5" ht="12.75" customHeight="1" x14ac:dyDescent="0.2">
      <c r="D213" s="61"/>
      <c r="E213" s="61"/>
    </row>
    <row r="214" spans="4:5" ht="12.75" customHeight="1" x14ac:dyDescent="0.2">
      <c r="D214" s="61"/>
      <c r="E214" s="61"/>
    </row>
    <row r="215" spans="4:5" ht="12.75" customHeight="1" x14ac:dyDescent="0.2">
      <c r="D215" s="61"/>
      <c r="E215" s="61"/>
    </row>
    <row r="216" spans="4:5" ht="12.75" customHeight="1" x14ac:dyDescent="0.2">
      <c r="D216" s="61"/>
      <c r="E216" s="61"/>
    </row>
    <row r="217" spans="4:5" ht="12.75" customHeight="1" x14ac:dyDescent="0.2">
      <c r="D217" s="61"/>
      <c r="E217" s="61"/>
    </row>
    <row r="218" spans="4:5" ht="12.75" customHeight="1" x14ac:dyDescent="0.2">
      <c r="D218" s="61"/>
      <c r="E218" s="61"/>
    </row>
    <row r="219" spans="4:5" ht="12.75" customHeight="1" x14ac:dyDescent="0.2">
      <c r="D219" s="61"/>
      <c r="E219" s="61"/>
    </row>
    <row r="220" spans="4:5" ht="12.75" customHeight="1" x14ac:dyDescent="0.2">
      <c r="D220" s="61"/>
      <c r="E220" s="61"/>
    </row>
    <row r="221" spans="4:5" ht="12.75" customHeight="1" x14ac:dyDescent="0.2">
      <c r="D221" s="61"/>
      <c r="E221" s="61"/>
    </row>
    <row r="222" spans="4:5" ht="12.75" customHeight="1" x14ac:dyDescent="0.2">
      <c r="D222" s="61"/>
      <c r="E222" s="61"/>
    </row>
    <row r="223" spans="4:5" ht="12.75" customHeight="1" x14ac:dyDescent="0.2">
      <c r="D223" s="61"/>
      <c r="E223" s="61"/>
    </row>
    <row r="224" spans="4:5" ht="12.75" customHeight="1" x14ac:dyDescent="0.2">
      <c r="D224" s="61"/>
      <c r="E224" s="61"/>
    </row>
    <row r="225" spans="4:5" ht="12.75" customHeight="1" x14ac:dyDescent="0.2">
      <c r="D225" s="61"/>
      <c r="E225" s="61"/>
    </row>
    <row r="226" spans="4:5" ht="12.75" customHeight="1" x14ac:dyDescent="0.2">
      <c r="D226" s="61"/>
      <c r="E226" s="61"/>
    </row>
    <row r="227" spans="4:5" ht="12.75" customHeight="1" x14ac:dyDescent="0.2">
      <c r="D227" s="61"/>
      <c r="E227" s="61"/>
    </row>
    <row r="228" spans="4:5" ht="12.75" customHeight="1" x14ac:dyDescent="0.2">
      <c r="D228" s="61"/>
      <c r="E228" s="61"/>
    </row>
    <row r="229" spans="4:5" ht="12.75" customHeight="1" x14ac:dyDescent="0.2">
      <c r="D229" s="61"/>
      <c r="E229" s="61"/>
    </row>
    <row r="230" spans="4:5" ht="12.75" customHeight="1" x14ac:dyDescent="0.2">
      <c r="D230" s="61"/>
      <c r="E230" s="61"/>
    </row>
    <row r="231" spans="4:5" ht="12.75" customHeight="1" x14ac:dyDescent="0.2">
      <c r="D231" s="61"/>
      <c r="E231" s="61"/>
    </row>
    <row r="232" spans="4:5" ht="12.75" customHeight="1" x14ac:dyDescent="0.2">
      <c r="D232" s="61"/>
      <c r="E232" s="61"/>
    </row>
    <row r="233" spans="4:5" ht="12.75" customHeight="1" x14ac:dyDescent="0.2">
      <c r="D233" s="61"/>
      <c r="E233" s="61"/>
    </row>
    <row r="234" spans="4:5" ht="12.75" customHeight="1" x14ac:dyDescent="0.2">
      <c r="D234" s="61"/>
      <c r="E234" s="61"/>
    </row>
    <row r="235" spans="4:5" ht="12.75" customHeight="1" x14ac:dyDescent="0.2">
      <c r="D235" s="61"/>
      <c r="E235" s="61"/>
    </row>
    <row r="236" spans="4:5" ht="12.75" customHeight="1" x14ac:dyDescent="0.2">
      <c r="D236" s="61"/>
      <c r="E236" s="61"/>
    </row>
    <row r="237" spans="4:5" ht="12.75" customHeight="1" x14ac:dyDescent="0.2">
      <c r="D237" s="61"/>
      <c r="E237" s="61"/>
    </row>
    <row r="238" spans="4:5" ht="12.75" customHeight="1" x14ac:dyDescent="0.2">
      <c r="D238" s="61"/>
      <c r="E238" s="61"/>
    </row>
    <row r="239" spans="4:5" ht="12.75" customHeight="1" x14ac:dyDescent="0.2">
      <c r="D239" s="61"/>
      <c r="E239" s="61"/>
    </row>
    <row r="240" spans="4:5" ht="12.75" customHeight="1" x14ac:dyDescent="0.2">
      <c r="D240" s="61"/>
      <c r="E240" s="61"/>
    </row>
    <row r="241" spans="4:5" ht="12.75" customHeight="1" x14ac:dyDescent="0.2">
      <c r="D241" s="61"/>
      <c r="E241" s="61"/>
    </row>
    <row r="242" spans="4:5" ht="12.75" customHeight="1" x14ac:dyDescent="0.2">
      <c r="D242" s="61"/>
      <c r="E242" s="61"/>
    </row>
    <row r="243" spans="4:5" ht="12.75" customHeight="1" x14ac:dyDescent="0.2">
      <c r="D243" s="61"/>
      <c r="E243" s="61"/>
    </row>
    <row r="244" spans="4:5" ht="12.75" customHeight="1" x14ac:dyDescent="0.2">
      <c r="D244" s="61"/>
      <c r="E244" s="61"/>
    </row>
    <row r="245" spans="4:5" ht="12.75" customHeight="1" x14ac:dyDescent="0.2">
      <c r="D245" s="61"/>
      <c r="E245" s="61"/>
    </row>
    <row r="246" spans="4:5" ht="12.75" customHeight="1" x14ac:dyDescent="0.2">
      <c r="D246" s="61"/>
      <c r="E246" s="61"/>
    </row>
    <row r="247" spans="4:5" ht="12.75" customHeight="1" x14ac:dyDescent="0.2">
      <c r="D247" s="61"/>
      <c r="E247" s="61"/>
    </row>
    <row r="248" spans="4:5" ht="12.75" customHeight="1" x14ac:dyDescent="0.2">
      <c r="D248" s="61"/>
      <c r="E248" s="61"/>
    </row>
    <row r="249" spans="4:5" ht="12.75" customHeight="1" x14ac:dyDescent="0.2">
      <c r="D249" s="61"/>
      <c r="E249" s="61"/>
    </row>
    <row r="250" spans="4:5" ht="12.75" customHeight="1" x14ac:dyDescent="0.2">
      <c r="D250" s="61"/>
      <c r="E250" s="61"/>
    </row>
    <row r="251" spans="4:5" ht="12.75" customHeight="1" x14ac:dyDescent="0.2">
      <c r="D251" s="61"/>
      <c r="E251" s="61"/>
    </row>
    <row r="252" spans="4:5" ht="12.75" customHeight="1" x14ac:dyDescent="0.2">
      <c r="D252" s="61"/>
      <c r="E252" s="61"/>
    </row>
    <row r="253" spans="4:5" ht="12.75" customHeight="1" x14ac:dyDescent="0.2">
      <c r="D253" s="61"/>
      <c r="E253" s="61"/>
    </row>
    <row r="254" spans="4:5" ht="12.75" customHeight="1" x14ac:dyDescent="0.2">
      <c r="D254" s="61"/>
      <c r="E254" s="61"/>
    </row>
    <row r="255" spans="4:5" ht="12.75" customHeight="1" x14ac:dyDescent="0.2">
      <c r="D255" s="61"/>
      <c r="E255" s="61"/>
    </row>
    <row r="256" spans="4:5" ht="12.75" customHeight="1" x14ac:dyDescent="0.2">
      <c r="D256" s="61"/>
      <c r="E256" s="61"/>
    </row>
    <row r="257" spans="4:5" ht="12.75" customHeight="1" x14ac:dyDescent="0.2">
      <c r="D257" s="61"/>
      <c r="E257" s="61"/>
    </row>
    <row r="258" spans="4:5" ht="12.75" customHeight="1" x14ac:dyDescent="0.2">
      <c r="D258" s="61"/>
      <c r="E258" s="61"/>
    </row>
    <row r="259" spans="4:5" ht="12.75" customHeight="1" x14ac:dyDescent="0.2">
      <c r="D259" s="61"/>
      <c r="E259" s="61"/>
    </row>
    <row r="260" spans="4:5" ht="12.75" customHeight="1" x14ac:dyDescent="0.2">
      <c r="D260" s="61"/>
      <c r="E260" s="61"/>
    </row>
    <row r="261" spans="4:5" ht="12.75" customHeight="1" x14ac:dyDescent="0.2">
      <c r="D261" s="61"/>
      <c r="E261" s="61"/>
    </row>
    <row r="262" spans="4:5" ht="12.75" customHeight="1" x14ac:dyDescent="0.2">
      <c r="D262" s="61"/>
      <c r="E262" s="61"/>
    </row>
    <row r="263" spans="4:5" ht="12.75" customHeight="1" x14ac:dyDescent="0.2">
      <c r="D263" s="61"/>
      <c r="E263" s="61"/>
    </row>
    <row r="264" spans="4:5" ht="12.75" customHeight="1" x14ac:dyDescent="0.2">
      <c r="D264" s="61"/>
      <c r="E264" s="61"/>
    </row>
    <row r="265" spans="4:5" ht="12.75" customHeight="1" x14ac:dyDescent="0.2">
      <c r="D265" s="61"/>
      <c r="E265" s="61"/>
    </row>
    <row r="266" spans="4:5" ht="12.75" customHeight="1" x14ac:dyDescent="0.2">
      <c r="D266" s="61"/>
      <c r="E266" s="61"/>
    </row>
    <row r="267" spans="4:5" ht="12.75" customHeight="1" x14ac:dyDescent="0.2">
      <c r="D267" s="61"/>
      <c r="E267" s="61"/>
    </row>
    <row r="268" spans="4:5" ht="12.75" customHeight="1" x14ac:dyDescent="0.2">
      <c r="D268" s="61"/>
      <c r="E268" s="61"/>
    </row>
    <row r="269" spans="4:5" ht="12.75" customHeight="1" x14ac:dyDescent="0.2">
      <c r="D269" s="61"/>
      <c r="E269" s="61"/>
    </row>
    <row r="270" spans="4:5" ht="12.75" customHeight="1" x14ac:dyDescent="0.2">
      <c r="D270" s="61"/>
      <c r="E270" s="61"/>
    </row>
    <row r="271" spans="4:5" ht="12.75" customHeight="1" x14ac:dyDescent="0.2">
      <c r="D271" s="61"/>
      <c r="E271" s="61"/>
    </row>
    <row r="272" spans="4:5" ht="12.75" customHeight="1" x14ac:dyDescent="0.2">
      <c r="D272" s="61"/>
      <c r="E272" s="61"/>
    </row>
    <row r="273" spans="4:5" ht="12.75" customHeight="1" x14ac:dyDescent="0.2">
      <c r="D273" s="61"/>
      <c r="E273" s="61"/>
    </row>
    <row r="274" spans="4:5" ht="12.75" customHeight="1" x14ac:dyDescent="0.2">
      <c r="D274" s="61"/>
      <c r="E274" s="61"/>
    </row>
    <row r="276" spans="4:5" ht="12.75" customHeight="1" x14ac:dyDescent="0.2">
      <c r="D276" s="61"/>
      <c r="E276" s="61"/>
    </row>
    <row r="277" spans="4:5" ht="12.75" customHeight="1" x14ac:dyDescent="0.2">
      <c r="D277" s="61"/>
      <c r="E277" s="61"/>
    </row>
    <row r="278" spans="4:5" ht="12.75" customHeight="1" x14ac:dyDescent="0.2">
      <c r="D278" s="61"/>
      <c r="E278" s="61"/>
    </row>
    <row r="279" spans="4:5" ht="12.75" customHeight="1" x14ac:dyDescent="0.2">
      <c r="D279" s="61"/>
      <c r="E279" s="61"/>
    </row>
    <row r="280" spans="4:5" ht="12.75" customHeight="1" x14ac:dyDescent="0.2">
      <c r="D280" s="61"/>
      <c r="E280" s="61"/>
    </row>
    <row r="281" spans="4:5" ht="12.75" customHeight="1" x14ac:dyDescent="0.2">
      <c r="D281" s="61"/>
      <c r="E281" s="61"/>
    </row>
    <row r="282" spans="4:5" ht="12.75" customHeight="1" x14ac:dyDescent="0.2">
      <c r="D282" s="61"/>
      <c r="E282" s="61"/>
    </row>
    <row r="283" spans="4:5" ht="12.75" customHeight="1" x14ac:dyDescent="0.2">
      <c r="D283" s="61"/>
      <c r="E283" s="61"/>
    </row>
    <row r="284" spans="4:5" ht="12.75" customHeight="1" x14ac:dyDescent="0.2">
      <c r="D284" s="61"/>
      <c r="E284" s="61"/>
    </row>
    <row r="285" spans="4:5" ht="12.75" customHeight="1" x14ac:dyDescent="0.2">
      <c r="D285" s="61"/>
      <c r="E285" s="61"/>
    </row>
    <row r="286" spans="4:5" ht="12.75" customHeight="1" x14ac:dyDescent="0.2">
      <c r="D286" s="61"/>
      <c r="E286" s="61"/>
    </row>
    <row r="287" spans="4:5" ht="12.75" customHeight="1" x14ac:dyDescent="0.2">
      <c r="D287" s="61"/>
      <c r="E287" s="61"/>
    </row>
    <row r="288" spans="4:5" ht="12.75" customHeight="1" x14ac:dyDescent="0.2">
      <c r="D288" s="61"/>
      <c r="E288" s="61"/>
    </row>
    <row r="289" spans="4:5" ht="12.75" customHeight="1" x14ac:dyDescent="0.2">
      <c r="D289" s="61"/>
      <c r="E289" s="61"/>
    </row>
    <row r="290" spans="4:5" ht="12.75" customHeight="1" x14ac:dyDescent="0.2">
      <c r="D290" s="61"/>
      <c r="E290" s="61"/>
    </row>
    <row r="291" spans="4:5" ht="12.75" customHeight="1" x14ac:dyDescent="0.2">
      <c r="D291" s="61"/>
      <c r="E291" s="61"/>
    </row>
    <row r="292" spans="4:5" ht="12.75" customHeight="1" x14ac:dyDescent="0.2">
      <c r="D292" s="61"/>
      <c r="E292" s="61"/>
    </row>
    <row r="293" spans="4:5" ht="12.75" customHeight="1" x14ac:dyDescent="0.2">
      <c r="D293" s="61"/>
      <c r="E293" s="61"/>
    </row>
    <row r="294" spans="4:5" ht="12.75" customHeight="1" x14ac:dyDescent="0.2">
      <c r="D294" s="61"/>
      <c r="E294" s="61"/>
    </row>
    <row r="295" spans="4:5" ht="12.75" customHeight="1" x14ac:dyDescent="0.2">
      <c r="D295" s="61"/>
      <c r="E295" s="61"/>
    </row>
    <row r="296" spans="4:5" ht="12.75" customHeight="1" x14ac:dyDescent="0.2">
      <c r="D296" s="61"/>
      <c r="E296" s="61"/>
    </row>
    <row r="297" spans="4:5" ht="12.75" customHeight="1" x14ac:dyDescent="0.2">
      <c r="D297" s="61"/>
      <c r="E297" s="61"/>
    </row>
    <row r="298" spans="4:5" ht="12.75" customHeight="1" x14ac:dyDescent="0.2">
      <c r="D298" s="61"/>
      <c r="E298" s="61"/>
    </row>
    <row r="299" spans="4:5" ht="12.75" customHeight="1" x14ac:dyDescent="0.2">
      <c r="D299" s="61"/>
      <c r="E299" s="61"/>
    </row>
    <row r="300" spans="4:5" ht="12.75" customHeight="1" x14ac:dyDescent="0.2">
      <c r="D300" s="61"/>
      <c r="E300" s="61"/>
    </row>
    <row r="301" spans="4:5" ht="12.75" customHeight="1" x14ac:dyDescent="0.2">
      <c r="D301" s="61"/>
      <c r="E301" s="61"/>
    </row>
    <row r="302" spans="4:5" ht="12.75" customHeight="1" x14ac:dyDescent="0.2">
      <c r="D302" s="61"/>
      <c r="E302" s="61"/>
    </row>
    <row r="303" spans="4:5" ht="12.75" customHeight="1" x14ac:dyDescent="0.2">
      <c r="D303" s="61"/>
      <c r="E303" s="61"/>
    </row>
    <row r="304" spans="4:5" ht="12.75" customHeight="1" x14ac:dyDescent="0.2">
      <c r="D304" s="61"/>
      <c r="E304" s="61"/>
    </row>
    <row r="305" spans="4:5" ht="12.75" customHeight="1" x14ac:dyDescent="0.2">
      <c r="D305" s="61"/>
      <c r="E305" s="61"/>
    </row>
    <row r="306" spans="4:5" ht="12.75" customHeight="1" x14ac:dyDescent="0.2">
      <c r="D306" s="61"/>
      <c r="E306" s="61"/>
    </row>
    <row r="307" spans="4:5" ht="12.75" customHeight="1" x14ac:dyDescent="0.2">
      <c r="D307" s="61"/>
      <c r="E307" s="61"/>
    </row>
    <row r="308" spans="4:5" ht="12.75" customHeight="1" x14ac:dyDescent="0.2">
      <c r="D308" s="61"/>
      <c r="E308" s="61"/>
    </row>
    <row r="309" spans="4:5" ht="12.75" customHeight="1" x14ac:dyDescent="0.2">
      <c r="D309" s="61"/>
      <c r="E309" s="61"/>
    </row>
    <row r="310" spans="4:5" ht="12.75" customHeight="1" x14ac:dyDescent="0.2">
      <c r="D310" s="61"/>
      <c r="E310" s="61"/>
    </row>
    <row r="311" spans="4:5" ht="12.75" customHeight="1" x14ac:dyDescent="0.2">
      <c r="D311" s="61"/>
      <c r="E311" s="61"/>
    </row>
    <row r="312" spans="4:5" ht="12.75" customHeight="1" x14ac:dyDescent="0.2">
      <c r="D312" s="61"/>
      <c r="E312" s="61"/>
    </row>
    <row r="313" spans="4:5" ht="12.75" customHeight="1" x14ac:dyDescent="0.2">
      <c r="D313" s="61"/>
      <c r="E313" s="61"/>
    </row>
    <row r="314" spans="4:5" ht="12.75" customHeight="1" x14ac:dyDescent="0.2">
      <c r="D314" s="61"/>
      <c r="E314" s="61"/>
    </row>
    <row r="315" spans="4:5" ht="12.75" customHeight="1" x14ac:dyDescent="0.2">
      <c r="D315" s="61"/>
      <c r="E315" s="61"/>
    </row>
    <row r="316" spans="4:5" ht="12.75" customHeight="1" x14ac:dyDescent="0.2">
      <c r="D316" s="61"/>
      <c r="E316" s="61"/>
    </row>
    <row r="317" spans="4:5" ht="12.75" customHeight="1" x14ac:dyDescent="0.2">
      <c r="D317" s="61"/>
      <c r="E317" s="61"/>
    </row>
    <row r="318" spans="4:5" ht="12.75" customHeight="1" x14ac:dyDescent="0.2">
      <c r="D318" s="61"/>
      <c r="E318" s="61"/>
    </row>
    <row r="319" spans="4:5" ht="12.75" customHeight="1" x14ac:dyDescent="0.2">
      <c r="D319" s="61"/>
      <c r="E319" s="61"/>
    </row>
    <row r="320" spans="4:5" ht="12.75" customHeight="1" x14ac:dyDescent="0.2">
      <c r="D320" s="61"/>
      <c r="E320" s="61"/>
    </row>
    <row r="321" spans="4:5" ht="12.75" customHeight="1" x14ac:dyDescent="0.2">
      <c r="D321" s="61"/>
      <c r="E321" s="61"/>
    </row>
    <row r="322" spans="4:5" ht="12.75" customHeight="1" x14ac:dyDescent="0.2">
      <c r="D322" s="61"/>
      <c r="E322" s="61"/>
    </row>
    <row r="323" spans="4:5" ht="12.75" customHeight="1" x14ac:dyDescent="0.2">
      <c r="D323" s="61"/>
      <c r="E323" s="61"/>
    </row>
    <row r="324" spans="4:5" ht="12.75" customHeight="1" x14ac:dyDescent="0.2">
      <c r="D324" s="61"/>
      <c r="E324" s="61"/>
    </row>
    <row r="325" spans="4:5" ht="12.75" customHeight="1" x14ac:dyDescent="0.2">
      <c r="D325" s="61"/>
      <c r="E325" s="61"/>
    </row>
    <row r="326" spans="4:5" ht="12.75" customHeight="1" x14ac:dyDescent="0.2">
      <c r="D326" s="61"/>
      <c r="E326" s="61"/>
    </row>
    <row r="327" spans="4:5" ht="12.75" customHeight="1" x14ac:dyDescent="0.2">
      <c r="D327" s="61"/>
      <c r="E327" s="61"/>
    </row>
    <row r="328" spans="4:5" ht="12.75" customHeight="1" x14ac:dyDescent="0.2">
      <c r="D328" s="61"/>
      <c r="E328" s="61"/>
    </row>
    <row r="329" spans="4:5" ht="12.75" customHeight="1" x14ac:dyDescent="0.2">
      <c r="D329" s="61"/>
      <c r="E329" s="61"/>
    </row>
    <row r="330" spans="4:5" ht="12.75" customHeight="1" x14ac:dyDescent="0.2">
      <c r="D330" s="61"/>
      <c r="E330" s="61"/>
    </row>
    <row r="331" spans="4:5" ht="12.75" customHeight="1" x14ac:dyDescent="0.2">
      <c r="D331" s="61"/>
      <c r="E331" s="61"/>
    </row>
    <row r="332" spans="4:5" ht="12.75" customHeight="1" x14ac:dyDescent="0.2">
      <c r="D332" s="61"/>
      <c r="E332" s="61"/>
    </row>
    <row r="333" spans="4:5" ht="12.75" customHeight="1" x14ac:dyDescent="0.2">
      <c r="D333" s="61"/>
      <c r="E333" s="61"/>
    </row>
    <row r="334" spans="4:5" ht="12.75" customHeight="1" x14ac:dyDescent="0.2">
      <c r="D334" s="61"/>
      <c r="E334" s="61"/>
    </row>
    <row r="335" spans="4:5" ht="12.75" customHeight="1" x14ac:dyDescent="0.2">
      <c r="D335" s="61"/>
      <c r="E335" s="61"/>
    </row>
    <row r="336" spans="4:5" ht="12.75" customHeight="1" x14ac:dyDescent="0.2">
      <c r="D336" s="61"/>
      <c r="E336" s="61"/>
    </row>
    <row r="337" spans="4:5" ht="12.75" customHeight="1" x14ac:dyDescent="0.2">
      <c r="D337" s="61"/>
      <c r="E337" s="61"/>
    </row>
    <row r="338" spans="4:5" ht="12.75" customHeight="1" x14ac:dyDescent="0.2">
      <c r="D338" s="61"/>
      <c r="E338" s="61"/>
    </row>
    <row r="339" spans="4:5" ht="12.75" customHeight="1" x14ac:dyDescent="0.2">
      <c r="D339" s="61"/>
      <c r="E339" s="61"/>
    </row>
    <row r="340" spans="4:5" ht="12.75" customHeight="1" x14ac:dyDescent="0.2">
      <c r="D340" s="61"/>
      <c r="E340" s="61"/>
    </row>
    <row r="341" spans="4:5" ht="12.75" customHeight="1" x14ac:dyDescent="0.2">
      <c r="D341" s="61"/>
      <c r="E341" s="61"/>
    </row>
    <row r="342" spans="4:5" ht="12.75" customHeight="1" x14ac:dyDescent="0.2">
      <c r="D342" s="61"/>
      <c r="E342" s="61"/>
    </row>
    <row r="343" spans="4:5" ht="12.75" customHeight="1" x14ac:dyDescent="0.2">
      <c r="D343" s="61"/>
      <c r="E343" s="61"/>
    </row>
    <row r="344" spans="4:5" ht="12.75" customHeight="1" x14ac:dyDescent="0.2">
      <c r="D344" s="61"/>
      <c r="E344" s="61"/>
    </row>
    <row r="345" spans="4:5" ht="12.75" customHeight="1" x14ac:dyDescent="0.2">
      <c r="D345" s="61"/>
      <c r="E345" s="61"/>
    </row>
    <row r="346" spans="4:5" ht="12.75" customHeight="1" x14ac:dyDescent="0.2">
      <c r="D346" s="61"/>
      <c r="E346" s="61"/>
    </row>
    <row r="347" spans="4:5" ht="12.75" customHeight="1" x14ac:dyDescent="0.2">
      <c r="D347" s="62"/>
      <c r="E347" s="302"/>
    </row>
    <row r="348" spans="4:5" ht="12.75" customHeight="1" x14ac:dyDescent="0.2">
      <c r="D348" s="1"/>
      <c r="E348" s="18"/>
    </row>
  </sheetData>
  <mergeCells count="2">
    <mergeCell ref="D3:E3"/>
    <mergeCell ref="D4:E4"/>
  </mergeCells>
  <hyperlinks>
    <hyperlink ref="H1" r:id="rId1"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K36"/>
  <sheetViews>
    <sheetView workbookViewId="0">
      <selection activeCell="J10" sqref="J10"/>
    </sheetView>
  </sheetViews>
  <sheetFormatPr defaultRowHeight="12.75" x14ac:dyDescent="0.2"/>
  <cols>
    <col min="1" max="1" width="1.42578125" customWidth="1"/>
    <col min="2" max="2" width="12.85546875" customWidth="1"/>
    <col min="3" max="3" width="20.28515625" customWidth="1"/>
    <col min="4" max="4" width="4.85546875" style="1" customWidth="1"/>
    <col min="5" max="5" width="5.42578125" style="1" customWidth="1"/>
    <col min="6" max="6" width="4" style="1" customWidth="1"/>
    <col min="7" max="7" width="9.7109375" style="1" customWidth="1"/>
    <col min="8" max="8" width="6.42578125" style="1" customWidth="1"/>
    <col min="9" max="9" width="5.85546875" customWidth="1"/>
    <col min="10" max="10" width="24.85546875" customWidth="1"/>
    <col min="11" max="11" width="66.28515625" customWidth="1"/>
  </cols>
  <sheetData>
    <row r="1" spans="2:11" x14ac:dyDescent="0.2">
      <c r="B1" t="s">
        <v>2695</v>
      </c>
      <c r="C1" t="s">
        <v>2697</v>
      </c>
      <c r="D1" s="1" t="s">
        <v>1556</v>
      </c>
      <c r="E1" s="1" t="s">
        <v>2662</v>
      </c>
      <c r="F1" s="1" t="s">
        <v>2666</v>
      </c>
      <c r="G1" s="1" t="s">
        <v>2664</v>
      </c>
      <c r="H1" s="1" t="s">
        <v>2665</v>
      </c>
      <c r="I1" s="1" t="s">
        <v>346</v>
      </c>
      <c r="J1" s="1" t="s">
        <v>2732</v>
      </c>
      <c r="K1" s="1" t="s">
        <v>271</v>
      </c>
    </row>
    <row r="2" spans="2:11" x14ac:dyDescent="0.2">
      <c r="B2" t="s">
        <v>1697</v>
      </c>
      <c r="C2" t="s">
        <v>212</v>
      </c>
      <c r="D2" s="1">
        <v>1996</v>
      </c>
      <c r="E2" s="1" t="s">
        <v>2667</v>
      </c>
      <c r="F2" s="1" t="s">
        <v>289</v>
      </c>
      <c r="G2" s="1" t="s">
        <v>1535</v>
      </c>
      <c r="H2" s="1" t="s">
        <v>234</v>
      </c>
      <c r="I2">
        <v>4520</v>
      </c>
      <c r="J2" t="s">
        <v>2698</v>
      </c>
      <c r="K2" t="s">
        <v>1559</v>
      </c>
    </row>
    <row r="3" spans="2:11" x14ac:dyDescent="0.2">
      <c r="B3" t="s">
        <v>2521</v>
      </c>
      <c r="C3" t="s">
        <v>2744</v>
      </c>
      <c r="D3" s="1">
        <v>1996</v>
      </c>
      <c r="E3" s="1" t="s">
        <v>2693</v>
      </c>
      <c r="F3" s="1" t="s">
        <v>18</v>
      </c>
      <c r="G3" s="1" t="s">
        <v>1574</v>
      </c>
      <c r="H3" s="1" t="s">
        <v>546</v>
      </c>
      <c r="I3">
        <v>346</v>
      </c>
      <c r="J3" t="s">
        <v>2699</v>
      </c>
      <c r="K3" t="s">
        <v>1647</v>
      </c>
    </row>
    <row r="4" spans="2:11" x14ac:dyDescent="0.2">
      <c r="B4" t="s">
        <v>1698</v>
      </c>
      <c r="C4" t="s">
        <v>75</v>
      </c>
      <c r="D4" s="1">
        <v>1998</v>
      </c>
      <c r="E4" s="1" t="s">
        <v>2667</v>
      </c>
      <c r="F4" s="1" t="s">
        <v>17</v>
      </c>
      <c r="G4" s="1" t="s">
        <v>2680</v>
      </c>
      <c r="H4" s="1" t="s">
        <v>19</v>
      </c>
      <c r="I4">
        <v>9938</v>
      </c>
      <c r="J4" t="s">
        <v>2700</v>
      </c>
      <c r="K4" t="s">
        <v>2095</v>
      </c>
    </row>
    <row r="5" spans="2:11" x14ac:dyDescent="0.2">
      <c r="B5" t="s">
        <v>1940</v>
      </c>
      <c r="C5" t="s">
        <v>1941</v>
      </c>
      <c r="D5" s="1">
        <v>2001</v>
      </c>
      <c r="E5" s="1" t="s">
        <v>2667</v>
      </c>
      <c r="F5" s="1" t="s">
        <v>15</v>
      </c>
      <c r="G5" s="1" t="s">
        <v>245</v>
      </c>
      <c r="H5" s="1" t="s">
        <v>19</v>
      </c>
      <c r="I5">
        <v>502</v>
      </c>
      <c r="J5" t="s">
        <v>2701</v>
      </c>
      <c r="K5" t="s">
        <v>1942</v>
      </c>
    </row>
    <row r="6" spans="2:11" x14ac:dyDescent="0.2">
      <c r="B6" t="s">
        <v>1700</v>
      </c>
      <c r="C6" t="s">
        <v>2751</v>
      </c>
      <c r="D6" s="1">
        <v>2001</v>
      </c>
      <c r="E6" s="1" t="s">
        <v>2667</v>
      </c>
      <c r="F6" s="1" t="s">
        <v>289</v>
      </c>
      <c r="G6" s="1" t="s">
        <v>1574</v>
      </c>
      <c r="I6">
        <v>967</v>
      </c>
      <c r="J6" t="s">
        <v>2702</v>
      </c>
      <c r="K6" t="s">
        <v>1576</v>
      </c>
    </row>
    <row r="7" spans="2:11" x14ac:dyDescent="0.2">
      <c r="B7" t="s">
        <v>2605</v>
      </c>
      <c r="C7" t="s">
        <v>2736</v>
      </c>
      <c r="D7" s="1">
        <v>2003</v>
      </c>
      <c r="E7" s="1" t="s">
        <v>2667</v>
      </c>
      <c r="F7" s="1" t="s">
        <v>17</v>
      </c>
      <c r="G7" s="1" t="s">
        <v>2609</v>
      </c>
      <c r="H7" s="1" t="s">
        <v>2606</v>
      </c>
      <c r="I7">
        <v>900</v>
      </c>
      <c r="J7" t="s">
        <v>2703</v>
      </c>
      <c r="K7" t="s">
        <v>2611</v>
      </c>
    </row>
    <row r="8" spans="2:11" x14ac:dyDescent="0.2">
      <c r="B8" t="s">
        <v>1908</v>
      </c>
      <c r="C8" t="s">
        <v>2742</v>
      </c>
      <c r="D8" s="1">
        <v>2003</v>
      </c>
      <c r="E8" s="1" t="s">
        <v>2667</v>
      </c>
      <c r="F8" s="1" t="s">
        <v>15</v>
      </c>
      <c r="G8" s="1" t="s">
        <v>503</v>
      </c>
      <c r="H8" s="1" t="s">
        <v>1911</v>
      </c>
      <c r="I8">
        <v>1250</v>
      </c>
      <c r="J8" t="s">
        <v>2730</v>
      </c>
      <c r="K8" t="s">
        <v>1909</v>
      </c>
    </row>
    <row r="9" spans="2:11" x14ac:dyDescent="0.2">
      <c r="B9" t="s">
        <v>2460</v>
      </c>
      <c r="C9" t="s">
        <v>2668</v>
      </c>
      <c r="D9" s="1">
        <v>2004</v>
      </c>
      <c r="E9" s="1" t="s">
        <v>2667</v>
      </c>
      <c r="F9" s="1" t="s">
        <v>18</v>
      </c>
      <c r="G9" s="1" t="s">
        <v>1574</v>
      </c>
      <c r="I9">
        <v>998</v>
      </c>
      <c r="J9" t="s">
        <v>2704</v>
      </c>
      <c r="K9" t="s">
        <v>2471</v>
      </c>
    </row>
    <row r="10" spans="2:11" x14ac:dyDescent="0.2">
      <c r="B10" t="s">
        <v>1980</v>
      </c>
      <c r="C10" t="s">
        <v>2675</v>
      </c>
      <c r="D10" s="1">
        <v>2004</v>
      </c>
      <c r="E10" s="1" t="s">
        <v>2662</v>
      </c>
      <c r="F10" s="1" t="s">
        <v>78</v>
      </c>
      <c r="G10" s="1" t="s">
        <v>503</v>
      </c>
      <c r="H10" s="1" t="s">
        <v>1894</v>
      </c>
      <c r="I10">
        <v>991</v>
      </c>
      <c r="J10" t="s">
        <v>2705</v>
      </c>
      <c r="K10" t="s">
        <v>1981</v>
      </c>
    </row>
    <row r="11" spans="2:11" x14ac:dyDescent="0.2">
      <c r="B11" t="s">
        <v>1702</v>
      </c>
      <c r="C11" t="s">
        <v>2748</v>
      </c>
      <c r="D11" s="1">
        <v>2004</v>
      </c>
      <c r="E11" s="1" t="s">
        <v>2667</v>
      </c>
      <c r="F11" s="1" t="s">
        <v>18</v>
      </c>
      <c r="G11" s="1" t="s">
        <v>503</v>
      </c>
      <c r="H11" s="1" t="s">
        <v>48</v>
      </c>
      <c r="I11">
        <v>1718</v>
      </c>
      <c r="J11" t="s">
        <v>2706</v>
      </c>
      <c r="K11" t="s">
        <v>2174</v>
      </c>
    </row>
    <row r="12" spans="2:11" x14ac:dyDescent="0.2">
      <c r="B12" t="s">
        <v>1871</v>
      </c>
      <c r="C12" t="s">
        <v>2745</v>
      </c>
      <c r="D12" s="1">
        <v>2004</v>
      </c>
      <c r="E12" s="1" t="s">
        <v>2662</v>
      </c>
      <c r="F12" s="1" t="s">
        <v>18</v>
      </c>
      <c r="G12" s="1" t="s">
        <v>503</v>
      </c>
      <c r="H12" s="1" t="s">
        <v>546</v>
      </c>
      <c r="I12">
        <v>135</v>
      </c>
      <c r="J12" t="s">
        <v>2707</v>
      </c>
      <c r="K12" t="s">
        <v>1876</v>
      </c>
    </row>
    <row r="13" spans="2:11" x14ac:dyDescent="0.2">
      <c r="B13" t="s">
        <v>2073</v>
      </c>
      <c r="C13" t="s">
        <v>2754</v>
      </c>
      <c r="D13" s="1">
        <v>2005</v>
      </c>
      <c r="E13" s="1" t="s">
        <v>2662</v>
      </c>
      <c r="F13" s="1" t="s">
        <v>18</v>
      </c>
      <c r="G13" s="1" t="s">
        <v>503</v>
      </c>
      <c r="H13" s="1" t="s">
        <v>546</v>
      </c>
      <c r="I13">
        <v>751</v>
      </c>
      <c r="J13" t="s">
        <v>2708</v>
      </c>
      <c r="K13" t="s">
        <v>1972</v>
      </c>
    </row>
    <row r="14" spans="2:11" x14ac:dyDescent="0.2">
      <c r="B14" t="s">
        <v>2694</v>
      </c>
      <c r="C14" t="s">
        <v>14</v>
      </c>
      <c r="D14" s="1">
        <v>2006</v>
      </c>
      <c r="E14" s="1" t="s">
        <v>2667</v>
      </c>
      <c r="F14" s="1" t="s">
        <v>1837</v>
      </c>
      <c r="G14" s="1" t="s">
        <v>2733</v>
      </c>
      <c r="H14" s="1" t="s">
        <v>19</v>
      </c>
      <c r="I14">
        <v>69436</v>
      </c>
    </row>
    <row r="15" spans="2:11" x14ac:dyDescent="0.2">
      <c r="B15" t="s">
        <v>1777</v>
      </c>
      <c r="C15" t="s">
        <v>2743</v>
      </c>
      <c r="D15" s="1">
        <v>2006</v>
      </c>
      <c r="E15" s="1" t="s">
        <v>2693</v>
      </c>
      <c r="F15" s="1" t="s">
        <v>17</v>
      </c>
      <c r="G15" s="1" t="s">
        <v>503</v>
      </c>
      <c r="H15" s="1" t="s">
        <v>1778</v>
      </c>
      <c r="I15">
        <v>141</v>
      </c>
      <c r="J15" t="s">
        <v>2709</v>
      </c>
      <c r="K15" t="s">
        <v>1865</v>
      </c>
    </row>
    <row r="16" spans="2:11" x14ac:dyDescent="0.2">
      <c r="B16" t="s">
        <v>1706</v>
      </c>
      <c r="C16" t="s">
        <v>2752</v>
      </c>
      <c r="D16" s="1">
        <v>2007</v>
      </c>
      <c r="E16" s="1" t="s">
        <v>2662</v>
      </c>
      <c r="F16" s="1" t="s">
        <v>646</v>
      </c>
      <c r="G16" s="1" t="s">
        <v>503</v>
      </c>
      <c r="H16" s="1" t="s">
        <v>1538</v>
      </c>
      <c r="I16">
        <v>2363</v>
      </c>
      <c r="J16" t="s">
        <v>2710</v>
      </c>
      <c r="K16" t="s">
        <v>1899</v>
      </c>
    </row>
    <row r="17" spans="2:11" x14ac:dyDescent="0.2">
      <c r="B17" t="s">
        <v>2463</v>
      </c>
      <c r="C17" t="s">
        <v>2739</v>
      </c>
      <c r="D17" s="1">
        <v>2007</v>
      </c>
      <c r="E17" s="1" t="s">
        <v>2667</v>
      </c>
      <c r="F17" s="1" t="s">
        <v>646</v>
      </c>
      <c r="G17" s="1" t="s">
        <v>2674</v>
      </c>
      <c r="H17" s="1" t="s">
        <v>2464</v>
      </c>
      <c r="I17">
        <f>13549+7812</f>
        <v>21361</v>
      </c>
      <c r="J17" t="s">
        <v>2726</v>
      </c>
      <c r="K17" t="s">
        <v>2466</v>
      </c>
    </row>
    <row r="18" spans="2:11" x14ac:dyDescent="0.2">
      <c r="B18" t="s">
        <v>2188</v>
      </c>
      <c r="C18" t="s">
        <v>1644</v>
      </c>
      <c r="D18" s="1">
        <v>2008</v>
      </c>
      <c r="E18" s="1" t="s">
        <v>2662</v>
      </c>
      <c r="F18" s="1" t="s">
        <v>78</v>
      </c>
      <c r="G18" s="1" t="s">
        <v>2674</v>
      </c>
      <c r="H18" s="1" t="s">
        <v>1536</v>
      </c>
      <c r="I18">
        <v>1038</v>
      </c>
      <c r="J18" t="s">
        <v>2711</v>
      </c>
      <c r="K18" t="s">
        <v>1716</v>
      </c>
    </row>
    <row r="19" spans="2:11" x14ac:dyDescent="0.2">
      <c r="B19" t="s">
        <v>1707</v>
      </c>
      <c r="C19" t="s">
        <v>2669</v>
      </c>
      <c r="D19" s="1">
        <v>2008</v>
      </c>
      <c r="E19" s="1" t="s">
        <v>2662</v>
      </c>
      <c r="F19" s="1" t="s">
        <v>17</v>
      </c>
      <c r="G19" s="1" t="s">
        <v>2674</v>
      </c>
      <c r="H19" s="1" t="s">
        <v>1922</v>
      </c>
      <c r="I19">
        <v>284</v>
      </c>
      <c r="J19" t="s">
        <v>2712</v>
      </c>
      <c r="K19" t="s">
        <v>1560</v>
      </c>
    </row>
    <row r="20" spans="2:11" x14ac:dyDescent="0.2">
      <c r="B20" t="s">
        <v>2005</v>
      </c>
      <c r="C20" t="s">
        <v>2670</v>
      </c>
      <c r="D20" s="1">
        <v>2009</v>
      </c>
      <c r="E20" s="1" t="s">
        <v>2662</v>
      </c>
      <c r="F20" s="1" t="s">
        <v>78</v>
      </c>
      <c r="G20" s="1" t="s">
        <v>2734</v>
      </c>
      <c r="H20" s="1" t="s">
        <v>2677</v>
      </c>
      <c r="I20">
        <v>2139</v>
      </c>
      <c r="J20" t="s">
        <v>2713</v>
      </c>
      <c r="K20" t="s">
        <v>1715</v>
      </c>
    </row>
    <row r="21" spans="2:11" x14ac:dyDescent="0.2">
      <c r="B21" t="s">
        <v>2004</v>
      </c>
      <c r="C21" t="s">
        <v>2735</v>
      </c>
      <c r="D21" s="1">
        <v>2009</v>
      </c>
      <c r="E21" s="1" t="s">
        <v>2662</v>
      </c>
      <c r="F21" s="1" t="s">
        <v>18</v>
      </c>
      <c r="G21" s="1" t="s">
        <v>503</v>
      </c>
      <c r="H21" s="1" t="s">
        <v>19</v>
      </c>
      <c r="I21">
        <v>265</v>
      </c>
      <c r="J21" t="s">
        <v>2714</v>
      </c>
      <c r="K21" t="s">
        <v>1895</v>
      </c>
    </row>
    <row r="22" spans="2:11" x14ac:dyDescent="0.2">
      <c r="B22" t="s">
        <v>1708</v>
      </c>
      <c r="C22" t="s">
        <v>2746</v>
      </c>
      <c r="D22" s="1">
        <v>2009</v>
      </c>
      <c r="E22" s="1" t="s">
        <v>2693</v>
      </c>
      <c r="F22" s="1" t="s">
        <v>289</v>
      </c>
      <c r="G22" s="1" t="s">
        <v>2674</v>
      </c>
      <c r="H22" s="1" t="s">
        <v>251</v>
      </c>
      <c r="I22">
        <v>2274</v>
      </c>
      <c r="J22" t="s">
        <v>2715</v>
      </c>
      <c r="K22" t="s">
        <v>1562</v>
      </c>
    </row>
    <row r="23" spans="2:11" x14ac:dyDescent="0.2">
      <c r="B23" t="s">
        <v>2395</v>
      </c>
      <c r="C23" t="s">
        <v>2129</v>
      </c>
      <c r="D23" s="1">
        <v>2010</v>
      </c>
      <c r="E23" s="1" t="s">
        <v>2693</v>
      </c>
      <c r="F23" s="1" t="s">
        <v>18</v>
      </c>
      <c r="G23" s="1" t="s">
        <v>503</v>
      </c>
      <c r="H23" s="1" t="s">
        <v>2132</v>
      </c>
      <c r="I23">
        <v>718</v>
      </c>
      <c r="J23" t="s">
        <v>2716</v>
      </c>
      <c r="K23" t="s">
        <v>2133</v>
      </c>
    </row>
    <row r="24" spans="2:11" x14ac:dyDescent="0.2">
      <c r="B24" t="s">
        <v>2138</v>
      </c>
      <c r="C24" t="s">
        <v>2753</v>
      </c>
      <c r="D24" s="1">
        <v>2010</v>
      </c>
      <c r="E24" s="1" t="s">
        <v>2693</v>
      </c>
      <c r="F24" s="1" t="s">
        <v>18</v>
      </c>
      <c r="G24" s="1" t="s">
        <v>503</v>
      </c>
      <c r="I24">
        <v>250</v>
      </c>
      <c r="J24" t="s">
        <v>2717</v>
      </c>
      <c r="K24" t="s">
        <v>2139</v>
      </c>
    </row>
    <row r="25" spans="2:11" x14ac:dyDescent="0.2">
      <c r="B25" t="s">
        <v>2179</v>
      </c>
      <c r="C25" t="s">
        <v>2740</v>
      </c>
      <c r="D25" s="1">
        <v>2011</v>
      </c>
      <c r="E25" s="1" t="s">
        <v>2667</v>
      </c>
      <c r="F25" s="1" t="s">
        <v>18</v>
      </c>
      <c r="G25" s="1" t="s">
        <v>503</v>
      </c>
      <c r="H25" s="1" t="s">
        <v>19</v>
      </c>
      <c r="I25">
        <v>260</v>
      </c>
      <c r="J25" t="s">
        <v>2718</v>
      </c>
      <c r="K25" t="s">
        <v>2182</v>
      </c>
    </row>
    <row r="26" spans="2:11" x14ac:dyDescent="0.2">
      <c r="B26" t="s">
        <v>2363</v>
      </c>
      <c r="C26" t="s">
        <v>2671</v>
      </c>
      <c r="D26" s="1">
        <v>2012</v>
      </c>
      <c r="E26" s="1" t="s">
        <v>2662</v>
      </c>
      <c r="F26" s="1" t="s">
        <v>18</v>
      </c>
      <c r="G26" s="1" t="s">
        <v>2674</v>
      </c>
      <c r="H26" s="1" t="s">
        <v>1872</v>
      </c>
      <c r="I26">
        <v>1137</v>
      </c>
      <c r="J26" t="s">
        <v>2719</v>
      </c>
      <c r="K26" t="s">
        <v>1873</v>
      </c>
    </row>
    <row r="27" spans="2:11" x14ac:dyDescent="0.2">
      <c r="B27" t="s">
        <v>2229</v>
      </c>
      <c r="C27" t="s">
        <v>2741</v>
      </c>
      <c r="D27" s="1">
        <v>2013</v>
      </c>
      <c r="E27" s="1" t="s">
        <v>2693</v>
      </c>
      <c r="F27" s="1" t="s">
        <v>18</v>
      </c>
      <c r="G27" s="1" t="s">
        <v>503</v>
      </c>
      <c r="H27" s="1" t="s">
        <v>2266</v>
      </c>
      <c r="I27">
        <v>150</v>
      </c>
      <c r="J27" t="s">
        <v>2720</v>
      </c>
      <c r="K27" t="s">
        <v>2267</v>
      </c>
    </row>
    <row r="28" spans="2:11" x14ac:dyDescent="0.2">
      <c r="B28" t="s">
        <v>2200</v>
      </c>
      <c r="C28" t="s">
        <v>2738</v>
      </c>
      <c r="D28" s="1">
        <v>2013</v>
      </c>
      <c r="E28" s="1" t="s">
        <v>2693</v>
      </c>
      <c r="F28" s="1" t="s">
        <v>18</v>
      </c>
      <c r="G28" s="1" t="s">
        <v>503</v>
      </c>
      <c r="H28" s="1" t="s">
        <v>2197</v>
      </c>
      <c r="I28">
        <v>389</v>
      </c>
      <c r="J28" t="s">
        <v>2721</v>
      </c>
      <c r="K28" t="s">
        <v>2199</v>
      </c>
    </row>
    <row r="29" spans="2:11" x14ac:dyDescent="0.2">
      <c r="B29" t="s">
        <v>2309</v>
      </c>
      <c r="C29" t="s">
        <v>2672</v>
      </c>
      <c r="D29" s="1">
        <v>2013</v>
      </c>
      <c r="E29" s="1" t="s">
        <v>2662</v>
      </c>
      <c r="F29" s="1" t="s">
        <v>18</v>
      </c>
      <c r="G29" s="1" t="s">
        <v>503</v>
      </c>
      <c r="I29">
        <v>630</v>
      </c>
      <c r="J29" t="s">
        <v>2722</v>
      </c>
      <c r="K29" t="s">
        <v>2310</v>
      </c>
    </row>
    <row r="30" spans="2:11" x14ac:dyDescent="0.2">
      <c r="B30" t="s">
        <v>2585</v>
      </c>
      <c r="C30" t="s">
        <v>2581</v>
      </c>
      <c r="D30" s="1">
        <v>2014</v>
      </c>
      <c r="E30" s="1" t="s">
        <v>2693</v>
      </c>
      <c r="F30" s="1" t="s">
        <v>78</v>
      </c>
      <c r="G30" s="1" t="s">
        <v>2586</v>
      </c>
      <c r="H30" s="1" t="s">
        <v>2588</v>
      </c>
      <c r="I30">
        <v>11151</v>
      </c>
      <c r="J30" t="s">
        <v>2727</v>
      </c>
      <c r="K30" t="s">
        <v>2589</v>
      </c>
    </row>
    <row r="31" spans="2:11" x14ac:dyDescent="0.2">
      <c r="B31" t="s">
        <v>2427</v>
      </c>
      <c r="C31" t="s">
        <v>1752</v>
      </c>
      <c r="D31" s="1">
        <v>2014</v>
      </c>
      <c r="E31" s="1" t="s">
        <v>2662</v>
      </c>
      <c r="F31" s="1" t="s">
        <v>78</v>
      </c>
      <c r="G31" s="1" t="s">
        <v>503</v>
      </c>
      <c r="H31" s="1" t="s">
        <v>546</v>
      </c>
      <c r="I31">
        <v>401</v>
      </c>
      <c r="J31" t="s">
        <v>2723</v>
      </c>
      <c r="K31" t="s">
        <v>2431</v>
      </c>
    </row>
    <row r="32" spans="2:11" x14ac:dyDescent="0.2">
      <c r="B32" t="s">
        <v>2440</v>
      </c>
      <c r="C32" t="s">
        <v>2747</v>
      </c>
      <c r="D32" s="1">
        <v>2014</v>
      </c>
      <c r="E32" s="1" t="s">
        <v>2662</v>
      </c>
      <c r="F32" s="1" t="s">
        <v>18</v>
      </c>
      <c r="G32" s="1" t="s">
        <v>2674</v>
      </c>
      <c r="H32" s="1" t="s">
        <v>1925</v>
      </c>
      <c r="I32">
        <v>150</v>
      </c>
      <c r="J32" t="s">
        <v>2724</v>
      </c>
      <c r="K32" t="s">
        <v>2618</v>
      </c>
    </row>
    <row r="33" spans="2:11" x14ac:dyDescent="0.2">
      <c r="B33" t="s">
        <v>2286</v>
      </c>
      <c r="C33" t="s">
        <v>2749</v>
      </c>
      <c r="D33" s="1">
        <v>2015</v>
      </c>
      <c r="E33" s="1" t="s">
        <v>2667</v>
      </c>
      <c r="F33" s="1" t="s">
        <v>18</v>
      </c>
      <c r="G33" s="1" t="s">
        <v>503</v>
      </c>
      <c r="H33" s="1" t="s">
        <v>2287</v>
      </c>
      <c r="I33">
        <v>400</v>
      </c>
      <c r="J33" t="s">
        <v>2725</v>
      </c>
      <c r="K33" t="s">
        <v>2288</v>
      </c>
    </row>
    <row r="34" spans="2:11" x14ac:dyDescent="0.2">
      <c r="B34" t="s">
        <v>2497</v>
      </c>
      <c r="C34" t="s">
        <v>2673</v>
      </c>
      <c r="D34" s="1">
        <v>2015</v>
      </c>
      <c r="E34" s="1" t="s">
        <v>2662</v>
      </c>
      <c r="F34" s="1" t="s">
        <v>17</v>
      </c>
      <c r="G34" s="1" t="s">
        <v>2499</v>
      </c>
      <c r="H34" s="1" t="s">
        <v>2505</v>
      </c>
      <c r="I34">
        <v>6316</v>
      </c>
      <c r="J34" t="s">
        <v>2728</v>
      </c>
      <c r="K34" t="s">
        <v>2506</v>
      </c>
    </row>
    <row r="35" spans="2:11" x14ac:dyDescent="0.2">
      <c r="B35" t="s">
        <v>2335</v>
      </c>
      <c r="C35" t="s">
        <v>2737</v>
      </c>
      <c r="D35" s="1">
        <v>2016</v>
      </c>
      <c r="E35" s="1" t="s">
        <v>2662</v>
      </c>
      <c r="F35" s="1" t="s">
        <v>15</v>
      </c>
      <c r="G35" s="1" t="s">
        <v>2674</v>
      </c>
      <c r="H35" s="1" t="s">
        <v>19</v>
      </c>
      <c r="I35">
        <v>100</v>
      </c>
      <c r="J35" t="s">
        <v>2729</v>
      </c>
      <c r="K35" t="s">
        <v>2336</v>
      </c>
    </row>
    <row r="36" spans="2:11" x14ac:dyDescent="0.2">
      <c r="B36" t="s">
        <v>2449</v>
      </c>
      <c r="C36" t="s">
        <v>2750</v>
      </c>
      <c r="D36" s="1">
        <v>2016</v>
      </c>
      <c r="E36" s="1" t="s">
        <v>2693</v>
      </c>
      <c r="F36" s="1" t="s">
        <v>18</v>
      </c>
      <c r="G36" s="1" t="s">
        <v>2674</v>
      </c>
      <c r="H36" s="1" t="s">
        <v>2450</v>
      </c>
      <c r="I36">
        <v>200</v>
      </c>
      <c r="J36" t="s">
        <v>2731</v>
      </c>
      <c r="K36" t="s">
        <v>2455</v>
      </c>
    </row>
  </sheetData>
  <sortState ref="B2:K135">
    <sortCondition ref="D2:D135"/>
    <sortCondition ref="B2:B135"/>
    <sortCondition ref="C2:C135"/>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GBVdata</vt:lpstr>
      <vt:lpstr>GBV data for old map</vt:lpstr>
      <vt:lpstr>data for new map</vt:lpstr>
      <vt:lpstr>attitude to GBV</vt:lpstr>
      <vt:lpstr>jnl appendix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Simister</dc:creator>
  <cp:lastModifiedBy>John Simister</cp:lastModifiedBy>
  <cp:lastPrinted>2007-01-13T20:38:37Z</cp:lastPrinted>
  <dcterms:created xsi:type="dcterms:W3CDTF">2007-01-10T16:13:37Z</dcterms:created>
  <dcterms:modified xsi:type="dcterms:W3CDTF">2018-07-16T23:21:25Z</dcterms:modified>
</cp:coreProperties>
</file>